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A30E2267-0069-470D-AB74-D37C264ECDE6}" xr6:coauthVersionLast="47" xr6:coauthVersionMax="47" xr10:uidLastSave="{00000000-0000-0000-0000-000000000000}"/>
  <bookViews>
    <workbookView xWindow="-5220" yWindow="-21720" windowWidth="38640" windowHeight="21240" tabRatio="940" xr2:uid="{D2336E5D-9D95-42CF-A19E-601C32E8F66C}"/>
  </bookViews>
  <sheets>
    <sheet name="Introduction" sheetId="313" r:id="rId1"/>
    <sheet name="Methodology" sheetId="315" r:id="rId2"/>
    <sheet name="EPD List" sheetId="2" r:id="rId3"/>
    <sheet name="Emission Factors database" sheetId="293" r:id="rId4"/>
    <sheet name="EF Table_detail" sheetId="180" state="hidden" r:id="rId5"/>
    <sheet name="Database CSV" sheetId="318" r:id="rId6"/>
    <sheet name="AAC_block" sheetId="309" r:id="rId7"/>
    <sheet name="AAC_panel" sheetId="233" r:id="rId8"/>
    <sheet name="Access_floor" sheetId="282" r:id="rId9"/>
    <sheet name="Aluminium_cladding" sheetId="244" r:id="rId10"/>
    <sheet name="Aluminium_extru_anodised" sheetId="278" r:id="rId11"/>
    <sheet name="Aluminium_extru_powdercoat" sheetId="277" r:id="rId12"/>
    <sheet name="Aluminium_extruded" sheetId="276" r:id="rId13"/>
    <sheet name="Asphalt" sheetId="231" r:id="rId14"/>
    <sheet name="Building_services" sheetId="306" r:id="rId15"/>
    <sheet name="Carpet_flooring" sheetId="283" r:id="rId16"/>
    <sheet name="Ceiling_Wall_generic" sheetId="307" r:id="rId17"/>
    <sheet name="Ceiling_tile" sheetId="301" r:id="rId18"/>
    <sheet name="Clay_bricks" sheetId="250" r:id="rId19"/>
    <sheet name="Concrete_10MPa" sheetId="220" r:id="rId20"/>
    <sheet name="Concrete_20MPa" sheetId="196" r:id="rId21"/>
    <sheet name="Concrete_25MPa" sheetId="221" r:id="rId22"/>
    <sheet name="Concrete_32MPa" sheetId="222" r:id="rId23"/>
    <sheet name="Concrete_40MPa" sheetId="223" r:id="rId24"/>
    <sheet name="Concrete_50MPa" sheetId="224" r:id="rId25"/>
    <sheet name="Concrete_65MPa" sheetId="225" r:id="rId26"/>
    <sheet name="Concrete_80MPa" sheetId="226" r:id="rId27"/>
    <sheet name="Concrete_80upMPa" sheetId="227" r:id="rId28"/>
    <sheet name="Concrete_bricks" sheetId="232" r:id="rId29"/>
    <sheet name="Concrete_hollowcore" sheetId="230" r:id="rId30"/>
    <sheet name="Concrete_precast_panel" sheetId="310" r:id="rId31"/>
    <sheet name="Curtain_wall" sheetId="305" r:id="rId32"/>
    <sheet name="Eng_Timber_Decorative_Pb" sheetId="259" r:id="rId33"/>
    <sheet name="Eng_Timber_GLT_CLT_Hard" sheetId="262" r:id="rId34"/>
    <sheet name="Eng_Timber_GLT_CLT_Soft" sheetId="261" r:id="rId35"/>
    <sheet name="Eng_Timber_LVL" sheetId="263" r:id="rId36"/>
    <sheet name="Eng_Timber_MDF" sheetId="260" r:id="rId37"/>
    <sheet name="Eng_Timber_OSB" sheetId="264" r:id="rId38"/>
    <sheet name="Eng_Timber_Particleboard" sheetId="258" r:id="rId39"/>
    <sheet name="Eng_Timber_Plywood" sheetId="256" r:id="rId40"/>
    <sheet name="Epoxy_flooring" sheetId="304" r:id="rId41"/>
    <sheet name="Escalator" sheetId="268" r:id="rId42"/>
    <sheet name="Fibre_Cement" sheetId="251" r:id="rId43"/>
    <sheet name="Fill_base_quarry" sheetId="245" r:id="rId44"/>
    <sheet name="GRC" sheetId="279" r:id="rId45"/>
    <sheet name="Glass" sheetId="273" r:id="rId46"/>
    <sheet name="Hybrid_flooring" sheetId="287" r:id="rId47"/>
    <sheet name="Laminate_flooring" sheetId="286" r:id="rId48"/>
    <sheet name="Lift_Cat1_2" sheetId="265" r:id="rId49"/>
    <sheet name="Lift_Cat3_4" sheetId="266" r:id="rId50"/>
    <sheet name="Lift_Cat5_6" sheetId="267" r:id="rId51"/>
    <sheet name="Linoleum_flooring" sheetId="302" r:id="rId52"/>
    <sheet name="Panel_SIP_less_equal_100" sheetId="247" r:id="rId53"/>
    <sheet name="Panel_SIP_more100" sheetId="248" r:id="rId54"/>
    <sheet name="Pavers_ceramic" sheetId="271" r:id="rId55"/>
    <sheet name="Pavers_stone" sheetId="272" r:id="rId56"/>
    <sheet name="Plasterboard" sheetId="252" r:id="rId57"/>
    <sheet name="Plastic_sheeting" sheetId="303" r:id="rId58"/>
    <sheet name="Recovered_aggregate" sheetId="246" r:id="rId59"/>
    <sheet name="Reinforcing_steel" sheetId="235" r:id="rId60"/>
    <sheet name="Roller_Door" sheetId="281" r:id="rId61"/>
    <sheet name="Roof_Tiles_Clay" sheetId="269" r:id="rId62"/>
    <sheet name="Rubber_flooring" sheetId="285" r:id="rId63"/>
    <sheet name="Stabilised_sand" sheetId="249" r:id="rId64"/>
    <sheet name="Stainless_steel" sheetId="234" r:id="rId65"/>
    <sheet name="Steel_cladding_metallic" sheetId="241" r:id="rId66"/>
    <sheet name="Steel_cladding_painted" sheetId="243" r:id="rId67"/>
    <sheet name="Structural_steel_cold" sheetId="237" r:id="rId68"/>
    <sheet name="Structural_steel_hot" sheetId="236" r:id="rId69"/>
    <sheet name="Structural_steel_hot_gal" sheetId="297" r:id="rId70"/>
    <sheet name="Structural_steel_hot_painted" sheetId="298" r:id="rId71"/>
    <sheet name="Timber_Weatherboard" sheetId="255" r:id="rId72"/>
    <sheet name="Timber_hardwood" sheetId="254" r:id="rId73"/>
    <sheet name="Timber_softwood" sheetId="253" r:id="rId74"/>
    <sheet name="Vinyl_flooring" sheetId="284" r:id="rId75"/>
    <sheet name="Window_doors_generic" sheetId="308" r:id="rId76"/>
  </sheets>
  <definedNames>
    <definedName name="_xlnm._FilterDatabase" localSheetId="4" hidden="1">'EF Table_detail'!$A$5:$AB$127</definedName>
    <definedName name="_xlnm._FilterDatabase" localSheetId="3" hidden="1">'Emission Factors database'!$A$8:$V$119</definedName>
    <definedName name="_xlnm._FilterDatabase" localSheetId="2" hidden="1">'EPD List'!$A$7:$AE$4007</definedName>
    <definedName name="List_Carbonstored">#REF!</definedName>
    <definedName name="List_EFs">_xlfn.ANCHORARRAY(#REF!)</definedName>
    <definedName name="macro_db_filename">#REF!</definedName>
    <definedName name="macro_db_intro">#REF!</definedName>
    <definedName name="macro_db_keep">#REF!</definedName>
    <definedName name="macro_epd_filename">#REF!</definedName>
    <definedName name="macro_epd_intro">#REF!</definedName>
    <definedName name="macro_epd_keep">#REF!</definedName>
    <definedName name="macro_td_filename">#REF!</definedName>
    <definedName name="macro_td_intro">#REF!</definedName>
    <definedName name="print_SF">_xlfn.LAMBDA(_xlpm.x,IF(_xlpm.x&lt;&gt;"",_xlfn.LET(_xlpm.orig_value,IFERROR(ROUND(_xlpm.x,3-(1+INT(LOG10(ABS(_xlpm.x))))),0),IF(_xlpm.orig_value=0,TEXT(0,"0"),IF(ABS(_xlpm.orig_value)&gt;=100000,TEXT(_xlpm.orig_value,"0.00E+00"),IF(ABS(_xlpm.orig_value)&gt;=100,TEXT(_xlpm.orig_value,"#,##"),IF(ABS(_xlpm.orig_value)&gt;=10,TEXT(_xlpm.orig_value,"#,##0.0"),IF(ABS(_xlpm.orig_value)&gt;=1,TEXT(_xlpm.orig_value,"#,##0.00"),IF(ABS(_xlpm.orig_value)&gt;=0.1,TEXT(_xlpm.orig_value,"0.000"),IF(ABS(_xlpm.orig_value)&gt;=0.01,TEXT(_xlpm.orig_value,"0.0000"),IF(ABS(_xlpm.orig_value)&gt;=0.001,TEXT(_xlpm.orig_value,"0.00000"),TEXT(_xlpm.orig_value,"0.00E+00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 i="293" l="1"/>
  <c r="P9" i="293"/>
  <c r="P136" i="293" s="1"/>
  <c r="P88" i="293" a="1"/>
  <c r="P88" i="293" s="1"/>
  <c r="P129" i="293" a="1"/>
  <c r="P129" i="293" s="1"/>
  <c r="Q8" i="293"/>
  <c r="Q9" i="293"/>
  <c r="Q136" i="293" s="1"/>
  <c r="Q88" i="293" a="1"/>
  <c r="Q88" i="293" s="1"/>
  <c r="Q129" i="293" a="1"/>
  <c r="Q129" i="293" s="1"/>
  <c r="A8" i="293"/>
  <c r="B8" i="293"/>
  <c r="C8" i="293"/>
  <c r="D8" i="293"/>
  <c r="E8" i="293"/>
  <c r="F8" i="293"/>
  <c r="G8" i="293"/>
  <c r="H8" i="293"/>
  <c r="I8" i="293"/>
  <c r="J8" i="293"/>
  <c r="K8" i="293"/>
  <c r="L8" i="293"/>
  <c r="M8" i="293"/>
  <c r="N8" i="293"/>
  <c r="O8" i="293"/>
  <c r="R8" i="293"/>
  <c r="S8" i="293"/>
  <c r="T8" i="293"/>
  <c r="U8" i="293"/>
  <c r="A9" i="293"/>
  <c r="A136" i="293" s="1"/>
  <c r="B9" i="293"/>
  <c r="B136" i="293" s="1"/>
  <c r="C9" i="293"/>
  <c r="C136" i="293" s="1"/>
  <c r="D9" i="293"/>
  <c r="D136" i="293" s="1"/>
  <c r="E9" i="293"/>
  <c r="E136" i="293" s="1"/>
  <c r="F9" i="293"/>
  <c r="G9" i="293"/>
  <c r="H9" i="293"/>
  <c r="H136" i="293" s="1"/>
  <c r="I9" i="293"/>
  <c r="I136" i="293" s="1"/>
  <c r="J9" i="293"/>
  <c r="J136" i="293" s="1"/>
  <c r="K9" i="293"/>
  <c r="K136" i="293" s="1"/>
  <c r="L9" i="293"/>
  <c r="L136" i="293" s="1"/>
  <c r="M9" i="293"/>
  <c r="M136" i="293" s="1"/>
  <c r="N9" i="293"/>
  <c r="N136" i="293" s="1"/>
  <c r="O9" i="293"/>
  <c r="O136" i="293" s="1"/>
  <c r="R9" i="293"/>
  <c r="R136" i="293" s="1"/>
  <c r="S9" i="293"/>
  <c r="S136" i="293" s="1"/>
  <c r="T9" i="293"/>
  <c r="T136" i="293" s="1"/>
  <c r="U9" i="293"/>
  <c r="U136" i="293" s="1"/>
  <c r="A10" i="293"/>
  <c r="B10" i="293"/>
  <c r="C10" i="293"/>
  <c r="A11" i="293"/>
  <c r="B11" i="293"/>
  <c r="C11" i="293"/>
  <c r="A12" i="293"/>
  <c r="B12" i="293"/>
  <c r="C12" i="293"/>
  <c r="A13" i="293"/>
  <c r="B13" i="293"/>
  <c r="C13" i="293"/>
  <c r="A14" i="293"/>
  <c r="B14" i="293"/>
  <c r="C14" i="293"/>
  <c r="A15" i="293"/>
  <c r="B15" i="293"/>
  <c r="C15" i="293"/>
  <c r="A16" i="293"/>
  <c r="B16" i="293"/>
  <c r="C16" i="293"/>
  <c r="A17" i="293"/>
  <c r="B17" i="293"/>
  <c r="C17" i="293"/>
  <c r="A18" i="293"/>
  <c r="B18" i="293"/>
  <c r="C18" i="293"/>
  <c r="A19" i="293"/>
  <c r="B19" i="293"/>
  <c r="C19" i="293"/>
  <c r="A20" i="293"/>
  <c r="B20" i="293"/>
  <c r="C20" i="293"/>
  <c r="A21" i="293"/>
  <c r="B21" i="293"/>
  <c r="C21" i="293"/>
  <c r="A22" i="293"/>
  <c r="B22" i="293"/>
  <c r="C22" i="293"/>
  <c r="A23" i="293"/>
  <c r="B23" i="293"/>
  <c r="C23" i="293"/>
  <c r="A24" i="293"/>
  <c r="B24" i="293"/>
  <c r="C24" i="293"/>
  <c r="A25" i="293"/>
  <c r="B25" i="293"/>
  <c r="C25" i="293"/>
  <c r="A26" i="293"/>
  <c r="B26" i="293"/>
  <c r="C26" i="293"/>
  <c r="A27" i="293"/>
  <c r="B27" i="293"/>
  <c r="C27" i="293"/>
  <c r="A28" i="293"/>
  <c r="B28" i="293"/>
  <c r="C28" i="293"/>
  <c r="A29" i="293"/>
  <c r="B29" i="293"/>
  <c r="C29" i="293"/>
  <c r="A30" i="293"/>
  <c r="B30" i="293"/>
  <c r="C30" i="293"/>
  <c r="A31" i="293"/>
  <c r="B31" i="293"/>
  <c r="C31" i="293"/>
  <c r="A32" i="293"/>
  <c r="B32" i="293"/>
  <c r="C32" i="293"/>
  <c r="A33" i="293"/>
  <c r="B33" i="293"/>
  <c r="C33" i="293"/>
  <c r="A34" i="293"/>
  <c r="B34" i="293"/>
  <c r="C34" i="293"/>
  <c r="A35" i="293"/>
  <c r="B35" i="293"/>
  <c r="C35" i="293"/>
  <c r="A36" i="293"/>
  <c r="B36" i="293"/>
  <c r="C36" i="293"/>
  <c r="A37" i="293"/>
  <c r="B37" i="293"/>
  <c r="C37" i="293"/>
  <c r="A38" i="293"/>
  <c r="B38" i="293"/>
  <c r="C38" i="293"/>
  <c r="A39" i="293"/>
  <c r="B39" i="293"/>
  <c r="C39" i="293"/>
  <c r="A40" i="293"/>
  <c r="B40" i="293"/>
  <c r="C40" i="293"/>
  <c r="A41" i="293"/>
  <c r="B41" i="293"/>
  <c r="C41" i="293"/>
  <c r="A42" i="293"/>
  <c r="B42" i="293"/>
  <c r="C42" i="293"/>
  <c r="A43" i="293"/>
  <c r="B43" i="293"/>
  <c r="C43" i="293"/>
  <c r="A44" i="293"/>
  <c r="B44" i="293"/>
  <c r="C44" i="293"/>
  <c r="A45" i="293"/>
  <c r="B45" i="293"/>
  <c r="C45" i="293"/>
  <c r="A46" i="293"/>
  <c r="B46" i="293"/>
  <c r="C46" i="293"/>
  <c r="A47" i="293"/>
  <c r="B47" i="293"/>
  <c r="C47" i="293"/>
  <c r="A48" i="293"/>
  <c r="B48" i="293"/>
  <c r="C48" i="293"/>
  <c r="A49" i="293"/>
  <c r="B49" i="293"/>
  <c r="C49" i="293"/>
  <c r="A50" i="293"/>
  <c r="B50" i="293"/>
  <c r="C50" i="293"/>
  <c r="A51" i="293"/>
  <c r="B51" i="293"/>
  <c r="C51" i="293"/>
  <c r="A52" i="293"/>
  <c r="B52" i="293"/>
  <c r="C52" i="293"/>
  <c r="A53" i="293"/>
  <c r="B53" i="293"/>
  <c r="C53" i="293"/>
  <c r="A54" i="293"/>
  <c r="B54" i="293"/>
  <c r="C54" i="293"/>
  <c r="A55" i="293"/>
  <c r="B55" i="293"/>
  <c r="C55" i="293"/>
  <c r="A56" i="293"/>
  <c r="B56" i="293"/>
  <c r="C56" i="293"/>
  <c r="A57" i="293"/>
  <c r="B57" i="293"/>
  <c r="C57" i="293"/>
  <c r="A58" i="293"/>
  <c r="B58" i="293"/>
  <c r="C58" i="293"/>
  <c r="A59" i="293"/>
  <c r="B59" i="293"/>
  <c r="C59" i="293"/>
  <c r="A60" i="293"/>
  <c r="B60" i="293"/>
  <c r="C60" i="293"/>
  <c r="A61" i="293"/>
  <c r="B61" i="293"/>
  <c r="C61" i="293"/>
  <c r="A62" i="293"/>
  <c r="B62" i="293"/>
  <c r="C62" i="293"/>
  <c r="A63" i="293"/>
  <c r="B63" i="293"/>
  <c r="C63" i="293"/>
  <c r="A64" i="293"/>
  <c r="B64" i="293"/>
  <c r="C64" i="293"/>
  <c r="A65" i="293"/>
  <c r="B65" i="293"/>
  <c r="C65" i="293"/>
  <c r="A66" i="293"/>
  <c r="B66" i="293"/>
  <c r="C66" i="293"/>
  <c r="A67" i="293"/>
  <c r="B67" i="293"/>
  <c r="C67" i="293"/>
  <c r="A68" i="293"/>
  <c r="B68" i="293"/>
  <c r="C68" i="293"/>
  <c r="A69" i="293"/>
  <c r="B69" i="293"/>
  <c r="C69" i="293"/>
  <c r="A70" i="293"/>
  <c r="B70" i="293"/>
  <c r="C70" i="293"/>
  <c r="A71" i="293"/>
  <c r="B71" i="293"/>
  <c r="C71" i="293"/>
  <c r="A72" i="293"/>
  <c r="B72" i="293"/>
  <c r="C72" i="293"/>
  <c r="A73" i="293"/>
  <c r="B73" i="293"/>
  <c r="C73" i="293"/>
  <c r="A74" i="293"/>
  <c r="B74" i="293"/>
  <c r="C74" i="293"/>
  <c r="A75" i="293"/>
  <c r="B75" i="293"/>
  <c r="C75" i="293"/>
  <c r="A76" i="293"/>
  <c r="B76" i="293"/>
  <c r="C76" i="293"/>
  <c r="A77" i="293"/>
  <c r="B77" i="293"/>
  <c r="C77" i="293"/>
  <c r="A78" i="293"/>
  <c r="B78" i="293"/>
  <c r="C78" i="293"/>
  <c r="A79" i="293"/>
  <c r="B79" i="293"/>
  <c r="C79" i="293"/>
  <c r="A80" i="293"/>
  <c r="B80" i="293"/>
  <c r="C80" i="293"/>
  <c r="A81" i="293"/>
  <c r="B81" i="293"/>
  <c r="C81" i="293"/>
  <c r="A82" i="293"/>
  <c r="B82" i="293"/>
  <c r="C82" i="293"/>
  <c r="A83" i="293"/>
  <c r="B83" i="293"/>
  <c r="C83" i="293"/>
  <c r="A84" i="293"/>
  <c r="B84" i="293"/>
  <c r="C84" i="293"/>
  <c r="A85" i="293"/>
  <c r="B85" i="293"/>
  <c r="C85" i="293"/>
  <c r="A86" i="293"/>
  <c r="B86" i="293"/>
  <c r="C86" i="293"/>
  <c r="A87" i="293"/>
  <c r="B87" i="293"/>
  <c r="C87" i="293"/>
  <c r="A88" i="293"/>
  <c r="B88" i="293"/>
  <c r="C88" i="293"/>
  <c r="A89" i="293"/>
  <c r="B89" i="293"/>
  <c r="C89" i="293"/>
  <c r="A90" i="293"/>
  <c r="B90" i="293"/>
  <c r="C90" i="293"/>
  <c r="A91" i="293"/>
  <c r="B91" i="293"/>
  <c r="C91" i="293"/>
  <c r="E91" i="293"/>
  <c r="F91" i="293"/>
  <c r="A92" i="293"/>
  <c r="B92" i="293"/>
  <c r="C92" i="293"/>
  <c r="E92" i="293"/>
  <c r="F92" i="293"/>
  <c r="A93" i="293"/>
  <c r="B93" i="293"/>
  <c r="C93" i="293"/>
  <c r="E93" i="293"/>
  <c r="F93" i="293"/>
  <c r="A94" i="293"/>
  <c r="B94" i="293"/>
  <c r="C94" i="293"/>
  <c r="E94" i="293"/>
  <c r="F94" i="293"/>
  <c r="A95" i="293"/>
  <c r="B95" i="293"/>
  <c r="C95" i="293"/>
  <c r="E95" i="293"/>
  <c r="F95" i="293"/>
  <c r="A96" i="293"/>
  <c r="B96" i="293"/>
  <c r="C96" i="293"/>
  <c r="E96" i="293"/>
  <c r="F96" i="293"/>
  <c r="A97" i="293"/>
  <c r="B97" i="293"/>
  <c r="C97" i="293"/>
  <c r="E97" i="293"/>
  <c r="F97" i="293"/>
  <c r="A98" i="293"/>
  <c r="B98" i="293"/>
  <c r="C98" i="293"/>
  <c r="E98" i="293"/>
  <c r="F98" i="293"/>
  <c r="A99" i="293"/>
  <c r="B99" i="293"/>
  <c r="C99" i="293"/>
  <c r="E99" i="293"/>
  <c r="F99" i="293"/>
  <c r="A100" i="293"/>
  <c r="B100" i="293"/>
  <c r="C100" i="293"/>
  <c r="U100" i="293"/>
  <c r="A101" i="293"/>
  <c r="B101" i="293"/>
  <c r="C101" i="293"/>
  <c r="U101" i="293"/>
  <c r="A102" i="293"/>
  <c r="B102" i="293"/>
  <c r="C102" i="293"/>
  <c r="U102" i="293"/>
  <c r="A103" i="293"/>
  <c r="B103" i="293"/>
  <c r="C103" i="293"/>
  <c r="U103" i="293"/>
  <c r="A104" i="293"/>
  <c r="B104" i="293"/>
  <c r="C104" i="293"/>
  <c r="U104" i="293"/>
  <c r="A105" i="293"/>
  <c r="B105" i="293"/>
  <c r="C105" i="293"/>
  <c r="U105" i="293"/>
  <c r="A106" i="293"/>
  <c r="B106" i="293"/>
  <c r="C106" i="293"/>
  <c r="U106" i="293"/>
  <c r="A107" i="293"/>
  <c r="B107" i="293"/>
  <c r="C107" i="293"/>
  <c r="U107" i="293"/>
  <c r="A108" i="293"/>
  <c r="B108" i="293"/>
  <c r="C108" i="293"/>
  <c r="U108" i="293"/>
  <c r="A109" i="293"/>
  <c r="B109" i="293"/>
  <c r="C109" i="293"/>
  <c r="U109" i="293"/>
  <c r="A110" i="293"/>
  <c r="B110" i="293"/>
  <c r="C110" i="293"/>
  <c r="U110" i="293"/>
  <c r="A111" i="293"/>
  <c r="B111" i="293"/>
  <c r="C111" i="293"/>
  <c r="A112" i="293"/>
  <c r="B112" i="293"/>
  <c r="C112" i="293"/>
  <c r="A113" i="293"/>
  <c r="B113" i="293"/>
  <c r="C113" i="293"/>
  <c r="A114" i="293"/>
  <c r="B114" i="293"/>
  <c r="C114" i="293"/>
  <c r="A115" i="293"/>
  <c r="B115" i="293"/>
  <c r="C115" i="293"/>
  <c r="A116" i="293"/>
  <c r="B116" i="293"/>
  <c r="C116" i="293"/>
  <c r="A117" i="293"/>
  <c r="B117" i="293"/>
  <c r="C117" i="293"/>
  <c r="A118" i="293"/>
  <c r="B118" i="293"/>
  <c r="C118" i="293"/>
  <c r="A119" i="293"/>
  <c r="B119" i="293"/>
  <c r="C119" i="293"/>
  <c r="A120" i="293"/>
  <c r="B120" i="293"/>
  <c r="C120" i="293"/>
  <c r="A121" i="293"/>
  <c r="B121" i="293"/>
  <c r="C121" i="293"/>
  <c r="A122" i="293"/>
  <c r="B122" i="293"/>
  <c r="C122" i="293"/>
  <c r="A123" i="293"/>
  <c r="B123" i="293"/>
  <c r="C123" i="293"/>
  <c r="S123" i="293"/>
  <c r="A124" i="293"/>
  <c r="B124" i="293"/>
  <c r="C124" i="293"/>
  <c r="A125" i="293"/>
  <c r="B125" i="293"/>
  <c r="C125" i="293"/>
  <c r="A126" i="293"/>
  <c r="B126" i="293"/>
  <c r="C126" i="293"/>
  <c r="A127" i="293"/>
  <c r="B127" i="293"/>
  <c r="C127" i="293"/>
  <c r="A128" i="293"/>
  <c r="B128" i="293"/>
  <c r="C128" i="293"/>
  <c r="A129" i="293"/>
  <c r="B129" i="293"/>
  <c r="C129" i="293"/>
  <c r="D129" i="293"/>
  <c r="E129" i="293"/>
  <c r="F129" i="293"/>
  <c r="T129" i="293"/>
  <c r="U129" i="293"/>
  <c r="F136" i="293"/>
  <c r="G136" i="293"/>
  <c r="D31" i="315" l="1"/>
  <c r="D30" i="315"/>
  <c r="D29" i="315"/>
  <c r="D28" i="315"/>
  <c r="D27" i="315"/>
  <c r="E7" i="180"/>
  <c r="E8" i="180"/>
  <c r="E9" i="180"/>
  <c r="E10" i="180"/>
  <c r="E11" i="180"/>
  <c r="E12" i="180"/>
  <c r="E13" i="180"/>
  <c r="E14" i="180"/>
  <c r="E15" i="180"/>
  <c r="E16" i="180"/>
  <c r="E17" i="180"/>
  <c r="E18" i="180"/>
  <c r="E19" i="180"/>
  <c r="E20" i="180"/>
  <c r="E21" i="180"/>
  <c r="E22" i="180"/>
  <c r="E23" i="180"/>
  <c r="E24" i="180"/>
  <c r="E25" i="180"/>
  <c r="E26" i="180"/>
  <c r="E27" i="180"/>
  <c r="E28" i="180"/>
  <c r="E29" i="180"/>
  <c r="E30" i="180"/>
  <c r="E31" i="180"/>
  <c r="E32" i="180"/>
  <c r="E33" i="180"/>
  <c r="E34" i="180"/>
  <c r="E35" i="180"/>
  <c r="E36" i="180"/>
  <c r="E37" i="180"/>
  <c r="E38" i="180"/>
  <c r="E39" i="180"/>
  <c r="E40" i="180"/>
  <c r="E41" i="180"/>
  <c r="E42" i="180"/>
  <c r="E43" i="180"/>
  <c r="E44" i="180"/>
  <c r="E45" i="180"/>
  <c r="E46" i="180"/>
  <c r="E47" i="180"/>
  <c r="E48" i="180"/>
  <c r="E49" i="180"/>
  <c r="E50" i="180"/>
  <c r="E51" i="180"/>
  <c r="E52" i="180"/>
  <c r="E53" i="180"/>
  <c r="E54" i="180"/>
  <c r="E55" i="180"/>
  <c r="E56" i="180"/>
  <c r="E57" i="180"/>
  <c r="E58" i="180"/>
  <c r="E59" i="180"/>
  <c r="E60" i="180"/>
  <c r="E61" i="180"/>
  <c r="E62" i="180"/>
  <c r="E63" i="180"/>
  <c r="E64" i="180"/>
  <c r="E65" i="180"/>
  <c r="E66" i="180"/>
  <c r="E67" i="180"/>
  <c r="E68" i="180"/>
  <c r="E69" i="180"/>
  <c r="E70" i="180"/>
  <c r="E71" i="180"/>
  <c r="E72" i="180"/>
  <c r="E73" i="180"/>
  <c r="E74" i="180"/>
  <c r="E75" i="180"/>
  <c r="E76" i="180"/>
  <c r="E77" i="180"/>
  <c r="E78" i="180"/>
  <c r="E79" i="180"/>
  <c r="E80" i="180"/>
  <c r="E81" i="180"/>
  <c r="E82" i="180"/>
  <c r="E83" i="180"/>
  <c r="E84" i="180"/>
  <c r="E85" i="180"/>
  <c r="E86" i="180"/>
  <c r="E87" i="180"/>
  <c r="E88" i="180"/>
  <c r="E89" i="180"/>
  <c r="Z89" i="180"/>
  <c r="S91" i="293" s="1"/>
  <c r="E90" i="180"/>
  <c r="Z90" i="180"/>
  <c r="S92" i="293" s="1"/>
  <c r="E91" i="180"/>
  <c r="H92" i="180" l="1"/>
  <c r="G94" i="293" s="1"/>
  <c r="H95" i="180"/>
  <c r="G97" i="293" s="1"/>
  <c r="H89" i="180"/>
  <c r="G91" i="293" s="1"/>
  <c r="H90" i="180"/>
  <c r="G92" i="293" s="1"/>
  <c r="H91" i="180"/>
  <c r="G93" i="293" s="1"/>
  <c r="H94" i="180"/>
  <c r="G96" i="293" s="1"/>
  <c r="H96" i="180"/>
  <c r="G98" i="293" s="1"/>
  <c r="H97" i="180"/>
  <c r="G99" i="293" s="1"/>
  <c r="H127" i="180"/>
  <c r="G129" i="293" s="1"/>
  <c r="H93" i="180"/>
  <c r="G95" i="293" s="1"/>
  <c r="Z91" i="180"/>
  <c r="S93" i="293" s="1"/>
  <c r="E92" i="180"/>
  <c r="Z92" i="180" l="1"/>
  <c r="S94" i="293" s="1"/>
  <c r="E93" i="180"/>
  <c r="Z93" i="180" l="1"/>
  <c r="S95" i="293" s="1"/>
  <c r="E94" i="180"/>
  <c r="Z94" i="180" l="1"/>
  <c r="S96" i="293" s="1"/>
  <c r="E95" i="180"/>
  <c r="AB41" i="180" a="1"/>
  <c r="AB31" i="180" a="1"/>
  <c r="G22" i="180" a="1"/>
  <c r="AB7" i="180" a="1"/>
  <c r="AB21" i="180" a="1"/>
  <c r="G58" i="180" a="1"/>
  <c r="D43" i="180" a="1"/>
  <c r="AB72" i="180" a="1"/>
  <c r="AA68" i="180" a="1"/>
  <c r="D26" i="180" a="1"/>
  <c r="G48" i="180" a="1"/>
  <c r="AB90" i="180" a="1"/>
  <c r="AA43" i="180" a="1"/>
  <c r="AA14" i="180" a="1"/>
  <c r="G56" i="180" a="1"/>
  <c r="AB25" i="180" a="1"/>
  <c r="G10" i="180" a="1"/>
  <c r="AA32" i="180" a="1"/>
  <c r="AB19" i="180" a="1"/>
  <c r="AB16" i="180" a="1"/>
  <c r="D78" i="180" a="1"/>
  <c r="AB46" i="180" a="1"/>
  <c r="D75" i="180" a="1"/>
  <c r="G62" i="180" a="1"/>
  <c r="AB63" i="180" a="1"/>
  <c r="AB35" i="180" a="1"/>
  <c r="AB36" i="180" a="1"/>
  <c r="D91" i="180" a="1"/>
  <c r="D13" i="180" a="1"/>
  <c r="D24" i="180" a="1"/>
  <c r="G49" i="180" a="1"/>
  <c r="D88" i="180" a="1"/>
  <c r="AA76" i="180" a="1"/>
  <c r="AA31" i="180" a="1"/>
  <c r="G67" i="180" a="1"/>
  <c r="D89" i="180" a="1"/>
  <c r="F27" i="180" a="1"/>
  <c r="D64" i="180" a="1"/>
  <c r="U27" i="180" a="1"/>
  <c r="G53" i="180" a="1"/>
  <c r="G18" i="180" a="1"/>
  <c r="AA83" i="180" a="1"/>
  <c r="D29" i="180" a="1"/>
  <c r="AB47" i="180" a="1"/>
  <c r="AA24" i="180" a="1"/>
  <c r="AA93" i="180" a="1"/>
  <c r="AA70" i="180" a="1"/>
  <c r="AA87" i="180" a="1"/>
  <c r="G41" i="180" a="1"/>
  <c r="AA73" i="180" a="1"/>
  <c r="AB89" i="180" a="1"/>
  <c r="G17" i="180" a="1"/>
  <c r="D74" i="180" a="1"/>
  <c r="D87" i="180" a="1"/>
  <c r="AA84" i="180" a="1"/>
  <c r="G68" i="180" a="1"/>
  <c r="G14" i="180" a="1"/>
  <c r="AB55" i="180" a="1"/>
  <c r="W65" i="180" a="1"/>
  <c r="AA37" i="180" a="1"/>
  <c r="G24" i="180" a="1"/>
  <c r="G78" i="180" a="1"/>
  <c r="AB60" i="180" a="1"/>
  <c r="D83" i="180" a="1"/>
  <c r="AB15" i="180" a="1"/>
  <c r="D11" i="180" a="1"/>
  <c r="G60" i="180" a="1"/>
  <c r="G50" i="180" a="1"/>
  <c r="AA60" i="180" a="1"/>
  <c r="AA58" i="180" a="1"/>
  <c r="AA13" i="180" a="1"/>
  <c r="W62" i="180" a="1"/>
  <c r="D15" i="180" a="1"/>
  <c r="AB44" i="180" a="1"/>
  <c r="D70" i="180" a="1"/>
  <c r="G73" i="180" a="1"/>
  <c r="AA51" i="180" a="1"/>
  <c r="V26" i="180" a="1"/>
  <c r="G61" i="180" a="1"/>
  <c r="AB52" i="180" a="1"/>
  <c r="G21" i="180" a="1"/>
  <c r="G81" i="180" a="1"/>
  <c r="AB33" i="180" a="1"/>
  <c r="U62" i="180" a="1"/>
  <c r="W27" i="180" a="1"/>
  <c r="G59" i="180" a="1"/>
  <c r="AA65" i="180" a="1"/>
  <c r="AB14" i="180" a="1"/>
  <c r="D51" i="180" a="1"/>
  <c r="D37" i="180" a="1"/>
  <c r="AB57" i="180" a="1"/>
  <c r="AA79" i="180" a="1"/>
  <c r="G8" i="180" a="1"/>
  <c r="AA25" i="180" a="1"/>
  <c r="AA46" i="180" a="1"/>
  <c r="G39" i="180" a="1"/>
  <c r="G64" i="180" a="1"/>
  <c r="AA81" i="180" a="1"/>
  <c r="AB45" i="180" a="1"/>
  <c r="AA9" i="180" a="1"/>
  <c r="AB12" i="180" a="1"/>
  <c r="G34" i="180" a="1"/>
  <c r="V27" i="180" a="1"/>
  <c r="D40" i="180" a="1"/>
  <c r="D66" i="180" a="1"/>
  <c r="AA48" i="180" a="1"/>
  <c r="AB91" i="180" a="1"/>
  <c r="AA38" i="180" a="1"/>
  <c r="D41" i="180" a="1"/>
  <c r="D28" i="180" a="1"/>
  <c r="D95" i="180" a="1"/>
  <c r="AB43" i="180" a="1"/>
  <c r="AA42" i="180" a="1"/>
  <c r="AA45" i="180" a="1"/>
  <c r="AB62" i="180" a="1"/>
  <c r="AA41" i="180" a="1"/>
  <c r="G31" i="180" a="1"/>
  <c r="AA72" i="180" a="1"/>
  <c r="AB94" i="180" a="1"/>
  <c r="G72" i="180" a="1"/>
  <c r="AB39" i="180" a="1"/>
  <c r="AB22" i="180" a="1"/>
  <c r="W26" i="180" a="1"/>
  <c r="AA47" i="180" a="1"/>
  <c r="AB73" i="180" a="1"/>
  <c r="G32" i="180" a="1"/>
  <c r="G77" i="180" a="1"/>
  <c r="AA78" i="180" a="1"/>
  <c r="AA86" i="180" a="1"/>
  <c r="D50" i="180" a="1"/>
  <c r="AA57" i="180" a="1"/>
  <c r="D94" i="180" a="1"/>
  <c r="G27" i="180" a="1"/>
  <c r="G82" i="180" a="1"/>
  <c r="G88" i="180" a="1"/>
  <c r="AA27" i="180" a="1"/>
  <c r="G45" i="180" a="1"/>
  <c r="D57" i="180" a="1"/>
  <c r="D32" i="180" a="1"/>
  <c r="G65" i="180" a="1"/>
  <c r="D21" i="180" a="1"/>
  <c r="AA36" i="180" a="1"/>
  <c r="W64" i="180" a="1"/>
  <c r="AA91" i="180" a="1"/>
  <c r="AA67" i="180" a="1"/>
  <c r="AA89" i="180" a="1"/>
  <c r="G7" i="180" a="1"/>
  <c r="D8" i="180" a="1"/>
  <c r="G40" i="180" a="1"/>
  <c r="AB61" i="180" a="1"/>
  <c r="AB75" i="180" a="1"/>
  <c r="AB8" i="180" a="1"/>
  <c r="G44" i="180" a="1"/>
  <c r="G26" i="180" a="1"/>
  <c r="D22" i="180" a="1"/>
  <c r="D85" i="180" a="1"/>
  <c r="D12" i="180" a="1"/>
  <c r="D33" i="180" a="1"/>
  <c r="G25" i="180" a="1"/>
  <c r="U65" i="180" a="1"/>
  <c r="G70" i="180" a="1"/>
  <c r="G86" i="180" a="1"/>
  <c r="G42" i="180" a="1"/>
  <c r="D42" i="180" a="1"/>
  <c r="G76" i="180" a="1"/>
  <c r="AB27" i="180" a="1"/>
  <c r="AA18" i="180" a="1"/>
  <c r="G46" i="180" a="1"/>
  <c r="G63" i="180" a="1"/>
  <c r="AB50" i="180" a="1"/>
  <c r="D34" i="180" a="1"/>
  <c r="AB34" i="180" a="1"/>
  <c r="D31" i="180" a="1"/>
  <c r="G66" i="180" a="1"/>
  <c r="AA94" i="180" a="1"/>
  <c r="G55" i="180" a="1"/>
  <c r="D84" i="180" a="1"/>
  <c r="D46" i="180" a="1"/>
  <c r="G38" i="180" a="1"/>
  <c r="U26" i="180" a="1"/>
  <c r="G20" i="180" a="1"/>
  <c r="AA69" i="180" a="1"/>
  <c r="D7" i="180" a="1"/>
  <c r="AA49" i="180" a="1"/>
  <c r="AB74" i="180" a="1"/>
  <c r="G29" i="180" a="1"/>
  <c r="AA63" i="180" a="1"/>
  <c r="AB13" i="180" a="1"/>
  <c r="AB23" i="180" a="1"/>
  <c r="G75" i="180" a="1"/>
  <c r="D39" i="180" a="1"/>
  <c r="D81" i="180" a="1"/>
  <c r="AB79" i="180" a="1"/>
  <c r="D54" i="180" a="1"/>
  <c r="G87" i="180" a="1"/>
  <c r="G19" i="180" a="1"/>
  <c r="AB51" i="180" a="1"/>
  <c r="D16" i="180" a="1"/>
  <c r="D14" i="180" a="1"/>
  <c r="G85" i="180" a="1"/>
  <c r="T26" i="180" a="1"/>
  <c r="D77" i="180" a="1"/>
  <c r="AB29" i="180" a="1"/>
  <c r="AA11" i="180" a="1"/>
  <c r="AB68" i="180" a="1"/>
  <c r="AA26" i="180" a="1"/>
  <c r="G9" i="180" a="1"/>
  <c r="D79" i="180" a="1"/>
  <c r="AB30" i="180" a="1"/>
  <c r="AA44" i="180" a="1"/>
  <c r="AB78" i="180" a="1"/>
  <c r="G37" i="180" a="1"/>
  <c r="AA29" i="180" a="1"/>
  <c r="AA75" i="180" a="1"/>
  <c r="AB81" i="180" a="1"/>
  <c r="AA92" i="180" a="1"/>
  <c r="AB49" i="180" a="1"/>
  <c r="AB76" i="180" a="1"/>
  <c r="D53" i="180" a="1"/>
  <c r="AA30" i="180" a="1"/>
  <c r="D67" i="180" a="1"/>
  <c r="AA74" i="180" a="1"/>
  <c r="AA16" i="180" a="1"/>
  <c r="D61" i="180" a="1"/>
  <c r="AA34" i="180" a="1"/>
  <c r="AB26" i="180" a="1"/>
  <c r="AB53" i="180" a="1"/>
  <c r="D27" i="180" a="1"/>
  <c r="AA40" i="180" a="1"/>
  <c r="G12" i="180" a="1"/>
  <c r="AA64" i="180" a="1"/>
  <c r="D20" i="180" a="1"/>
  <c r="AA61" i="180" a="1"/>
  <c r="D71" i="180" a="1"/>
  <c r="D18" i="180" a="1"/>
  <c r="G54" i="180" a="1"/>
  <c r="G15" i="180" a="1"/>
  <c r="AA39" i="180" a="1"/>
  <c r="AA8" i="180" a="1"/>
  <c r="D9" i="180" a="1"/>
  <c r="G11" i="180" a="1"/>
  <c r="AA23" i="180" a="1"/>
  <c r="AB40" i="180" a="1"/>
  <c r="D68" i="180" a="1"/>
  <c r="D38" i="180" a="1"/>
  <c r="D45" i="180" a="1"/>
  <c r="D52" i="180" a="1"/>
  <c r="D56" i="180" a="1"/>
  <c r="AA35" i="180" a="1"/>
  <c r="AA55" i="180" a="1"/>
  <c r="AA17" i="180" a="1"/>
  <c r="AA15" i="180" a="1"/>
  <c r="AB38" i="180" a="1"/>
  <c r="D35" i="180" a="1"/>
  <c r="D90" i="180" a="1"/>
  <c r="AA20" i="180" a="1"/>
  <c r="D48" i="180" a="1"/>
  <c r="AB42" i="180" a="1"/>
  <c r="D86" i="180" a="1"/>
  <c r="G79" i="180" a="1"/>
  <c r="AB67" i="180" a="1"/>
  <c r="D73" i="180" a="1"/>
  <c r="AB69" i="180" a="1"/>
  <c r="AA59" i="180" a="1"/>
  <c r="D36" i="180" a="1"/>
  <c r="AB32" i="180" a="1"/>
  <c r="AA82" i="180" a="1"/>
  <c r="T27" i="180" a="1"/>
  <c r="D58" i="180" a="1"/>
  <c r="AB58" i="180" a="1"/>
  <c r="AA7" i="180" a="1"/>
  <c r="AB28" i="180" a="1"/>
  <c r="AA85" i="180" a="1"/>
  <c r="G51" i="180" a="1"/>
  <c r="AB18" i="180" a="1"/>
  <c r="AA56" i="180" a="1"/>
  <c r="AB86" i="180" a="1"/>
  <c r="AA66" i="180" a="1"/>
  <c r="AB10" i="180" a="1"/>
  <c r="AB87" i="180" a="1"/>
  <c r="AA53" i="180" a="1"/>
  <c r="AB83" i="180" a="1"/>
  <c r="AA88" i="180" a="1"/>
  <c r="D44" i="180" a="1"/>
  <c r="AA52" i="180" a="1"/>
  <c r="AB84" i="180" a="1"/>
  <c r="AB65" i="180" a="1"/>
  <c r="D23" i="180" a="1"/>
  <c r="AB54" i="180" a="1"/>
  <c r="D19" i="180" a="1"/>
  <c r="AA90" i="180" a="1"/>
  <c r="G35" i="180" a="1"/>
  <c r="AB11" i="180" a="1"/>
  <c r="AB71" i="180" a="1"/>
  <c r="AB88" i="180" a="1"/>
  <c r="G80" i="180" a="1"/>
  <c r="D93" i="180" a="1"/>
  <c r="G84" i="180" a="1"/>
  <c r="AA10" i="180" a="1"/>
  <c r="AA22" i="180" a="1"/>
  <c r="D55" i="180" a="1"/>
  <c r="AA19" i="180" a="1"/>
  <c r="D47" i="180" a="1"/>
  <c r="AB70" i="180" a="1"/>
  <c r="AB17" i="180" a="1"/>
  <c r="G71" i="180" a="1"/>
  <c r="D60" i="180" a="1"/>
  <c r="G33" i="180" a="1"/>
  <c r="AB24" i="180" a="1"/>
  <c r="AB64" i="180" a="1"/>
  <c r="AB48" i="180" a="1"/>
  <c r="G52" i="180" a="1"/>
  <c r="AA33" i="180" a="1"/>
  <c r="AA50" i="180" a="1"/>
  <c r="AB56" i="180" a="1"/>
  <c r="AA28" i="180" a="1"/>
  <c r="AB20" i="180" a="1"/>
  <c r="G74" i="180" a="1"/>
  <c r="AB93" i="180" a="1"/>
  <c r="AB37" i="180" a="1"/>
  <c r="D62" i="180" a="1"/>
  <c r="G69" i="180" a="1"/>
  <c r="D92" i="180" a="1"/>
  <c r="U64" i="180" a="1"/>
  <c r="AA54" i="180" a="1"/>
  <c r="D80" i="180" a="1"/>
  <c r="D65" i="180" a="1"/>
  <c r="D82" i="180" a="1"/>
  <c r="AA80" i="180" a="1"/>
  <c r="D25" i="180" a="1"/>
  <c r="AB77" i="180" a="1"/>
  <c r="G83" i="180" a="1"/>
  <c r="F17" i="180" a="1"/>
  <c r="G13" i="180" a="1"/>
  <c r="G16" i="180" a="1"/>
  <c r="AB59" i="180" a="1"/>
  <c r="G36" i="180" a="1"/>
  <c r="F26" i="180" a="1"/>
  <c r="G47" i="180" a="1"/>
  <c r="D76" i="180" a="1"/>
  <c r="D63" i="180" a="1"/>
  <c r="AA77" i="180" a="1"/>
  <c r="G57" i="180" a="1"/>
  <c r="G28" i="180" a="1"/>
  <c r="D10" i="180" a="1"/>
  <c r="G30" i="180" a="1"/>
  <c r="AB85" i="180" a="1"/>
  <c r="D49" i="180" a="1"/>
  <c r="AA62" i="180" a="1"/>
  <c r="AA71" i="180" a="1"/>
  <c r="D30" i="180" a="1"/>
  <c r="D59" i="180" a="1"/>
  <c r="G43" i="180" a="1"/>
  <c r="D72" i="180" a="1"/>
  <c r="G23" i="180" a="1"/>
  <c r="AB66" i="180" a="1"/>
  <c r="AA21" i="180" a="1"/>
  <c r="AB82" i="180" a="1"/>
  <c r="AA12" i="180" a="1"/>
  <c r="AB92" i="180" a="1"/>
  <c r="D17" i="180" a="1"/>
  <c r="AB80" i="180" a="1"/>
  <c r="AB9" i="180" a="1"/>
  <c r="D69" i="180" a="1"/>
  <c r="G33" i="180" l="1"/>
  <c r="F36" i="293" s="1"/>
  <c r="AA74" i="180"/>
  <c r="T76" i="293" s="1"/>
  <c r="AB52" i="180"/>
  <c r="U54" i="293" s="1"/>
  <c r="AA57" i="180"/>
  <c r="T59" i="293" s="1"/>
  <c r="G19" i="180"/>
  <c r="F22" i="293" s="1"/>
  <c r="AA70" i="180"/>
  <c r="T72" i="293" s="1"/>
  <c r="D38" i="180"/>
  <c r="AB56" i="180"/>
  <c r="U58" i="293" s="1"/>
  <c r="AB54" i="180"/>
  <c r="U56" i="293" s="1"/>
  <c r="D56" i="180"/>
  <c r="D58" i="293" s="1"/>
  <c r="G62" i="180"/>
  <c r="F64" i="293" s="1"/>
  <c r="AA33" i="180"/>
  <c r="T36" i="293" s="1"/>
  <c r="AA59" i="180"/>
  <c r="T61" i="293" s="1"/>
  <c r="AB17" i="180"/>
  <c r="U20" i="293" s="1"/>
  <c r="G51" i="180"/>
  <c r="F53" i="293" s="1"/>
  <c r="D72" i="180"/>
  <c r="D74" i="293" s="1"/>
  <c r="G42" i="180"/>
  <c r="F44" i="293" s="1"/>
  <c r="AB39" i="180"/>
  <c r="U41" i="293" s="1"/>
  <c r="D92" i="180"/>
  <c r="D94" i="293" s="1"/>
  <c r="W64" i="180"/>
  <c r="Q66" i="293" s="1" a="1"/>
  <c r="Q66" i="293" s="1"/>
  <c r="G27" i="180"/>
  <c r="F30" i="293" s="1"/>
  <c r="D48" i="180"/>
  <c r="D50" i="293" s="1"/>
  <c r="G72" i="180"/>
  <c r="F74" i="293" s="1"/>
  <c r="G9" i="180"/>
  <c r="F12" i="293" s="1"/>
  <c r="AB21" i="180"/>
  <c r="U24" i="293" s="1"/>
  <c r="G64" i="180"/>
  <c r="F66" i="293" s="1"/>
  <c r="G21" i="180"/>
  <c r="F24" i="293" s="1"/>
  <c r="AB68" i="180"/>
  <c r="U70" i="293" s="1"/>
  <c r="AA81" i="180"/>
  <c r="T83" i="293" s="1"/>
  <c r="G77" i="180"/>
  <c r="AA64" i="180"/>
  <c r="T66" i="293" s="1"/>
  <c r="D35" i="180"/>
  <c r="D38" i="293" s="1"/>
  <c r="AB55" i="180"/>
  <c r="U57" i="293" s="1"/>
  <c r="G7" i="180"/>
  <c r="F10" i="293" s="1"/>
  <c r="AB49" i="180"/>
  <c r="U51" i="293" s="1"/>
  <c r="D27" i="180"/>
  <c r="D30" i="293" s="1"/>
  <c r="AB91" i="180"/>
  <c r="U93" i="293" s="1"/>
  <c r="AB59" i="180"/>
  <c r="U61" i="293" s="1"/>
  <c r="AB88" i="180"/>
  <c r="U90" i="293" s="1"/>
  <c r="AA13" i="180"/>
  <c r="T16" i="293" s="1"/>
  <c r="AB60" i="180"/>
  <c r="U62" i="293" s="1"/>
  <c r="AB70" i="180"/>
  <c r="U72" i="293" s="1"/>
  <c r="G76" i="180"/>
  <c r="F78" i="293" s="1"/>
  <c r="AA63" i="180"/>
  <c r="T65" i="293" s="1"/>
  <c r="AB57" i="180"/>
  <c r="U59" i="293" s="1"/>
  <c r="T26" i="180"/>
  <c r="AA30" i="180"/>
  <c r="T33" i="293" s="1"/>
  <c r="G18" i="180"/>
  <c r="F21" i="293" s="1"/>
  <c r="AA19" i="180"/>
  <c r="T22" i="293" s="1"/>
  <c r="AA56" i="180"/>
  <c r="T58" i="293" s="1"/>
  <c r="AB10" i="180"/>
  <c r="U13" i="293" s="1"/>
  <c r="AB14" i="180"/>
  <c r="U17" i="293" s="1"/>
  <c r="AB33" i="180"/>
  <c r="U36" i="293" s="1"/>
  <c r="AA93" i="180"/>
  <c r="T95" i="293" s="1"/>
  <c r="AB90" i="180"/>
  <c r="U92" i="293" s="1"/>
  <c r="AA44" i="180"/>
  <c r="T46" i="293" s="1"/>
  <c r="D79" i="180"/>
  <c r="D81" i="293" s="1"/>
  <c r="G39" i="180"/>
  <c r="F41" i="293" s="1"/>
  <c r="AB67" i="180"/>
  <c r="U69" i="293" s="1"/>
  <c r="AB84" i="180"/>
  <c r="U86" i="293" s="1"/>
  <c r="AB38" i="180"/>
  <c r="AB66" i="180"/>
  <c r="U68" i="293" s="1"/>
  <c r="D43" i="180"/>
  <c r="D45" i="293" s="1"/>
  <c r="D12" i="180"/>
  <c r="D15" i="293" s="1"/>
  <c r="G81" i="180"/>
  <c r="F83" i="293" s="1"/>
  <c r="AA58" i="180"/>
  <c r="T60" i="293" s="1"/>
  <c r="AA71" i="180"/>
  <c r="T73" i="293" s="1"/>
  <c r="AB80" i="180"/>
  <c r="U82" i="293" s="1"/>
  <c r="D18" i="180"/>
  <c r="D21" i="293" s="1"/>
  <c r="G71" i="180"/>
  <c r="F73" i="293" s="1"/>
  <c r="D15" i="180"/>
  <c r="D18" i="293" s="1"/>
  <c r="G12" i="180"/>
  <c r="F15" i="293" s="1"/>
  <c r="AA54" i="180"/>
  <c r="T56" i="293" s="1"/>
  <c r="G88" i="180"/>
  <c r="F90" i="293" s="1"/>
  <c r="G86" i="180"/>
  <c r="F88" i="293" s="1"/>
  <c r="AB19" i="180"/>
  <c r="U22" i="293" s="1"/>
  <c r="G49" i="180"/>
  <c r="F51" i="293" s="1"/>
  <c r="AA84" i="180"/>
  <c r="T86" i="293" s="1"/>
  <c r="D93" i="180"/>
  <c r="D95" i="293" s="1"/>
  <c r="AB23" i="180"/>
  <c r="U26" i="293" s="1"/>
  <c r="AA43" i="180"/>
  <c r="T45" i="293" s="1"/>
  <c r="D30" i="180"/>
  <c r="D33" i="293" s="1"/>
  <c r="G10" i="180"/>
  <c r="F13" i="293" s="1"/>
  <c r="G45" i="180"/>
  <c r="F47" i="293" s="1"/>
  <c r="G87" i="180"/>
  <c r="F89" i="293" s="1"/>
  <c r="AA80" i="180"/>
  <c r="T82" i="293" s="1"/>
  <c r="AB31" i="180"/>
  <c r="U34" i="293" s="1"/>
  <c r="U64" i="180"/>
  <c r="P66" i="293" s="1" a="1"/>
  <c r="P66" i="293" s="1"/>
  <c r="D31" i="180"/>
  <c r="D34" i="293" s="1"/>
  <c r="AB28" i="180"/>
  <c r="U31" i="293" s="1"/>
  <c r="AA20" i="180"/>
  <c r="T23" i="293" s="1"/>
  <c r="AA87" i="180"/>
  <c r="T89" i="293" s="1"/>
  <c r="D49" i="180"/>
  <c r="D51" i="293" s="1"/>
  <c r="AB24" i="180"/>
  <c r="U27" i="293" s="1"/>
  <c r="D58" i="180"/>
  <c r="D60" i="293" s="1"/>
  <c r="U27" i="180"/>
  <c r="P30" i="293" s="1" a="1"/>
  <c r="P30" i="293" s="1"/>
  <c r="AB85" i="180"/>
  <c r="U87" i="293" s="1"/>
  <c r="AB15" i="180"/>
  <c r="U18" i="293" s="1"/>
  <c r="G78" i="180"/>
  <c r="F80" i="293" s="1"/>
  <c r="D54" i="180"/>
  <c r="D56" i="293" s="1"/>
  <c r="G41" i="180"/>
  <c r="F43" i="293" s="1"/>
  <c r="D78" i="180"/>
  <c r="D80" i="293" s="1"/>
  <c r="AA88" i="180"/>
  <c r="T90" i="293" s="1"/>
  <c r="AA53" i="180"/>
  <c r="T55" i="293" s="1"/>
  <c r="U26" i="180"/>
  <c r="P29" i="293" s="1" a="1"/>
  <c r="P29" i="293" s="1"/>
  <c r="D39" i="180"/>
  <c r="D41" i="293" s="1"/>
  <c r="D69" i="180"/>
  <c r="D71" i="293" s="1"/>
  <c r="G38" i="180"/>
  <c r="H38" i="180" s="1"/>
  <c r="D75" i="180"/>
  <c r="D77" i="293" s="1"/>
  <c r="D60" i="180"/>
  <c r="D62" i="293" s="1"/>
  <c r="AB48" i="180"/>
  <c r="U50" i="293" s="1"/>
  <c r="D80" i="180"/>
  <c r="D82" i="293" s="1"/>
  <c r="W65" i="180"/>
  <c r="Q67" i="293" s="1" a="1"/>
  <c r="Q67" i="293" s="1"/>
  <c r="AA12" i="180"/>
  <c r="T15" i="293" s="1"/>
  <c r="AB46" i="180"/>
  <c r="U48" i="293" s="1"/>
  <c r="AB20" i="180"/>
  <c r="U23" i="293" s="1"/>
  <c r="F17" i="180"/>
  <c r="E20" i="293" s="1"/>
  <c r="G14" i="180"/>
  <c r="F17" i="293" s="1"/>
  <c r="D63" i="180"/>
  <c r="D65" i="293" s="1"/>
  <c r="AA28" i="180"/>
  <c r="T31" i="293" s="1"/>
  <c r="D34" i="180"/>
  <c r="D37" i="293" s="1"/>
  <c r="G48" i="180"/>
  <c r="F50" i="293" s="1"/>
  <c r="AA17" i="180"/>
  <c r="T20" i="293" s="1"/>
  <c r="G61" i="180"/>
  <c r="F63" i="293" s="1"/>
  <c r="D84" i="180"/>
  <c r="D86" i="293" s="1"/>
  <c r="AA37" i="180"/>
  <c r="T40" i="293" s="1"/>
  <c r="AA9" i="180"/>
  <c r="T12" i="293" s="1"/>
  <c r="AA83" i="180"/>
  <c r="T85" i="293" s="1"/>
  <c r="D25" i="180"/>
  <c r="D28" i="293" s="1"/>
  <c r="G30" i="180"/>
  <c r="F33" i="293" s="1"/>
  <c r="AA41" i="180"/>
  <c r="T43" i="293" s="1"/>
  <c r="AA92" i="180"/>
  <c r="T94" i="293" s="1"/>
  <c r="D23" i="180"/>
  <c r="D26" i="293" s="1"/>
  <c r="D57" i="180"/>
  <c r="D59" i="293" s="1"/>
  <c r="AB53" i="180"/>
  <c r="U55" i="293" s="1"/>
  <c r="AB40" i="180"/>
  <c r="U42" i="293" s="1"/>
  <c r="G65" i="180"/>
  <c r="F67" i="293" s="1"/>
  <c r="D64" i="180"/>
  <c r="D66" i="293" s="1"/>
  <c r="AB62" i="180"/>
  <c r="U64" i="293" s="1"/>
  <c r="AB75" i="180"/>
  <c r="U77" i="293" s="1"/>
  <c r="AB35" i="180"/>
  <c r="U38" i="293" s="1"/>
  <c r="G24" i="180"/>
  <c r="F27" i="293" s="1"/>
  <c r="AB32" i="180"/>
  <c r="U35" i="293" s="1"/>
  <c r="D73" i="180"/>
  <c r="D75" i="293" s="1"/>
  <c r="D83" i="180"/>
  <c r="D85" i="293" s="1"/>
  <c r="D86" i="180"/>
  <c r="D88" i="293" s="1"/>
  <c r="G69" i="180"/>
  <c r="F71" i="293" s="1"/>
  <c r="AA35" i="180"/>
  <c r="T38" i="293" s="1"/>
  <c r="G60" i="180"/>
  <c r="F62" i="293" s="1"/>
  <c r="D68" i="180"/>
  <c r="D70" i="293" s="1"/>
  <c r="G57" i="180"/>
  <c r="F59" i="293" s="1"/>
  <c r="G17" i="180"/>
  <c r="F20" i="293" s="1"/>
  <c r="D10" i="180"/>
  <c r="D13" i="293" s="1"/>
  <c r="D24" i="180"/>
  <c r="D27" i="293" s="1"/>
  <c r="AA22" i="180"/>
  <c r="T25" i="293" s="1"/>
  <c r="AB89" i="180"/>
  <c r="U91" i="293" s="1"/>
  <c r="G43" i="180"/>
  <c r="F45" i="293" s="1"/>
  <c r="AA47" i="180"/>
  <c r="T49" i="293" s="1"/>
  <c r="D19" i="180"/>
  <c r="D22" i="293" s="1"/>
  <c r="D36" i="180"/>
  <c r="D39" i="293" s="1"/>
  <c r="AA14" i="180"/>
  <c r="T17" i="293" s="1"/>
  <c r="D74" i="180"/>
  <c r="D76" i="293" s="1"/>
  <c r="AB26" i="180"/>
  <c r="U29" i="293" s="1"/>
  <c r="G47" i="180"/>
  <c r="F49" i="293" s="1"/>
  <c r="AA38" i="180"/>
  <c r="AA16" i="180"/>
  <c r="T19" i="293" s="1"/>
  <c r="AA40" i="180"/>
  <c r="T42" i="293" s="1"/>
  <c r="G28" i="180"/>
  <c r="F31" i="293" s="1"/>
  <c r="G67" i="180"/>
  <c r="F69" i="293" s="1"/>
  <c r="D67" i="180"/>
  <c r="D69" i="293" s="1"/>
  <c r="G32" i="180"/>
  <c r="F35" i="293" s="1"/>
  <c r="AA11" i="180"/>
  <c r="T14" i="293" s="1"/>
  <c r="G70" i="180"/>
  <c r="F72" i="293" s="1"/>
  <c r="AA49" i="180"/>
  <c r="T51" i="293" s="1"/>
  <c r="AA15" i="180"/>
  <c r="T18" i="293" s="1"/>
  <c r="AB79" i="180"/>
  <c r="U81" i="293" s="1"/>
  <c r="AB51" i="180"/>
  <c r="U53" i="293" s="1"/>
  <c r="G75" i="180"/>
  <c r="F77" i="293" s="1"/>
  <c r="AB71" i="180"/>
  <c r="U73" i="293" s="1"/>
  <c r="D21" i="180"/>
  <c r="D24" i="293" s="1"/>
  <c r="F26" i="180"/>
  <c r="E29" i="293" s="1"/>
  <c r="AB72" i="180"/>
  <c r="U74" i="293" s="1"/>
  <c r="G11" i="180"/>
  <c r="F14" i="293" s="1"/>
  <c r="G35" i="180"/>
  <c r="F38" i="293" s="1"/>
  <c r="V27" i="180"/>
  <c r="D40" i="180"/>
  <c r="D42" i="293" s="1"/>
  <c r="AB83" i="180"/>
  <c r="U85" i="293" s="1"/>
  <c r="AB25" i="180"/>
  <c r="U28" i="293" s="1"/>
  <c r="G84" i="180"/>
  <c r="F86" i="293" s="1"/>
  <c r="AA34" i="180"/>
  <c r="T37" i="293" s="1"/>
  <c r="G85" i="180"/>
  <c r="F87" i="293" s="1"/>
  <c r="D89" i="180"/>
  <c r="D91" i="293" s="1"/>
  <c r="D26" i="180"/>
  <c r="D29" i="293" s="1"/>
  <c r="F27" i="180"/>
  <c r="E30" i="293" s="1"/>
  <c r="AB12" i="180"/>
  <c r="U15" i="293" s="1"/>
  <c r="AA89" i="180"/>
  <c r="T91" i="293" s="1"/>
  <c r="AA65" i="180"/>
  <c r="T67" i="293" s="1"/>
  <c r="AA60" i="180"/>
  <c r="T62" i="293" s="1"/>
  <c r="D20" i="180"/>
  <c r="D23" i="293" s="1"/>
  <c r="D32" i="180"/>
  <c r="D35" i="293" s="1"/>
  <c r="D53" i="180"/>
  <c r="D55" i="293" s="1"/>
  <c r="D14" i="180"/>
  <c r="D17" i="293" s="1"/>
  <c r="D90" i="180"/>
  <c r="D92" i="293" s="1"/>
  <c r="AA8" i="180"/>
  <c r="T11" i="293" s="1"/>
  <c r="G13" i="180"/>
  <c r="F16" i="293" s="1"/>
  <c r="G52" i="180"/>
  <c r="F54" i="293" s="1"/>
  <c r="D41" i="180"/>
  <c r="D43" i="293" s="1"/>
  <c r="AB76" i="180"/>
  <c r="U78" i="293" s="1"/>
  <c r="AA90" i="180"/>
  <c r="T92" i="293" s="1"/>
  <c r="D13" i="180"/>
  <c r="D16" i="293" s="1"/>
  <c r="AA18" i="180"/>
  <c r="T21" i="293" s="1"/>
  <c r="G20" i="180"/>
  <c r="F23" i="293" s="1"/>
  <c r="AB41" i="180"/>
  <c r="U43" i="293" s="1"/>
  <c r="G31" i="180"/>
  <c r="F34" i="293" s="1"/>
  <c r="AB74" i="180"/>
  <c r="U76" i="293" s="1"/>
  <c r="W27" i="180"/>
  <c r="Q30" i="293" s="1" a="1"/>
  <c r="Q30" i="293" s="1"/>
  <c r="D62" i="180"/>
  <c r="D64" i="293" s="1"/>
  <c r="AA29" i="180"/>
  <c r="T32" i="293" s="1"/>
  <c r="AA68" i="180"/>
  <c r="T70" i="293" s="1"/>
  <c r="AA21" i="180"/>
  <c r="T24" i="293" s="1"/>
  <c r="AB30" i="180"/>
  <c r="U33" i="293" s="1"/>
  <c r="D11" i="180"/>
  <c r="D14" i="293" s="1"/>
  <c r="T27" i="180"/>
  <c r="D22" i="180"/>
  <c r="D25" i="293" s="1"/>
  <c r="AA85" i="180"/>
  <c r="T87" i="293" s="1"/>
  <c r="D52" i="180"/>
  <c r="D54" i="293" s="1"/>
  <c r="D71" i="180"/>
  <c r="D73" i="293" s="1"/>
  <c r="G29" i="180"/>
  <c r="F32" i="293" s="1"/>
  <c r="AB63" i="180"/>
  <c r="U65" i="293" s="1"/>
  <c r="D82" i="180"/>
  <c r="D84" i="293" s="1"/>
  <c r="D7" i="180"/>
  <c r="D10" i="293" s="1"/>
  <c r="AB37" i="180"/>
  <c r="U40" i="293" s="1"/>
  <c r="AA78" i="180"/>
  <c r="T80" i="293" s="1"/>
  <c r="AA75" i="180"/>
  <c r="T77" i="293" s="1"/>
  <c r="D42" i="180"/>
  <c r="D44" i="293" s="1"/>
  <c r="D46" i="180"/>
  <c r="D48" i="293" s="1"/>
  <c r="AA26" i="180"/>
  <c r="T29" i="293" s="1"/>
  <c r="AB78" i="180"/>
  <c r="U80" i="293" s="1"/>
  <c r="AB27" i="180"/>
  <c r="U30" i="293" s="1"/>
  <c r="AA31" i="180"/>
  <c r="T34" i="293" s="1"/>
  <c r="D45" i="180"/>
  <c r="D47" i="293" s="1"/>
  <c r="AA45" i="180"/>
  <c r="T47" i="293" s="1"/>
  <c r="AB29" i="180"/>
  <c r="U32" i="293" s="1"/>
  <c r="G74" i="180"/>
  <c r="F76" i="293" s="1"/>
  <c r="U62" i="180"/>
  <c r="P64" i="293" s="1" a="1"/>
  <c r="P64" i="293" s="1"/>
  <c r="G15" i="180"/>
  <c r="F18" i="293" s="1"/>
  <c r="D65" i="180"/>
  <c r="D67" i="293" s="1"/>
  <c r="D85" i="180"/>
  <c r="D87" i="293" s="1"/>
  <c r="AA23" i="180"/>
  <c r="T26" i="293" s="1"/>
  <c r="AA52" i="180"/>
  <c r="T54" i="293" s="1"/>
  <c r="AB7" i="180"/>
  <c r="U10" i="293" s="1"/>
  <c r="D9" i="180"/>
  <c r="D12" i="293" s="1"/>
  <c r="AB11" i="180"/>
  <c r="U14" i="293" s="1"/>
  <c r="G79" i="180"/>
  <c r="F81" i="293" s="1"/>
  <c r="AB86" i="180"/>
  <c r="U88" i="293" s="1"/>
  <c r="D81" i="180"/>
  <c r="D83" i="293" s="1"/>
  <c r="D94" i="180"/>
  <c r="D96" i="293" s="1"/>
  <c r="AB81" i="180"/>
  <c r="U83" i="293" s="1"/>
  <c r="AA36" i="180"/>
  <c r="T39" i="293" s="1"/>
  <c r="AA50" i="180"/>
  <c r="T52" i="293" s="1"/>
  <c r="G80" i="180"/>
  <c r="F82" i="293" s="1"/>
  <c r="AA55" i="180"/>
  <c r="T57" i="293" s="1"/>
  <c r="D87" i="180"/>
  <c r="D89" i="293" s="1"/>
  <c r="D29" i="180"/>
  <c r="D32" i="293" s="1"/>
  <c r="AB93" i="180"/>
  <c r="U95" i="293" s="1"/>
  <c r="D77" i="180"/>
  <c r="D79" i="293" s="1"/>
  <c r="AA42" i="180"/>
  <c r="T44" i="293" s="1"/>
  <c r="G68" i="180"/>
  <c r="F70" i="293" s="1"/>
  <c r="W26" i="180"/>
  <c r="Q29" i="293" s="1" a="1"/>
  <c r="Q29" i="293" s="1"/>
  <c r="AB34" i="180"/>
  <c r="U37" i="293" s="1"/>
  <c r="AB87" i="180"/>
  <c r="U89" i="293" s="1"/>
  <c r="AA24" i="180"/>
  <c r="T27" i="293" s="1"/>
  <c r="AA48" i="180"/>
  <c r="T50" i="293" s="1"/>
  <c r="AB13" i="180"/>
  <c r="U16" i="293" s="1"/>
  <c r="G36" i="180"/>
  <c r="F39" i="293" s="1"/>
  <c r="D70" i="180"/>
  <c r="D72" i="293" s="1"/>
  <c r="AB8" i="180"/>
  <c r="U11" i="293" s="1"/>
  <c r="G8" i="180"/>
  <c r="F11" i="293" s="1"/>
  <c r="AA79" i="180"/>
  <c r="T81" i="293" s="1"/>
  <c r="D47" i="180"/>
  <c r="D49" i="293" s="1"/>
  <c r="D50" i="180"/>
  <c r="D52" i="293" s="1"/>
  <c r="D37" i="180"/>
  <c r="D40" i="293" s="1"/>
  <c r="AA77" i="180"/>
  <c r="T79" i="293" s="1"/>
  <c r="D66" i="180"/>
  <c r="D68" i="293" s="1"/>
  <c r="G53" i="180"/>
  <c r="F55" i="293" s="1"/>
  <c r="AA7" i="180"/>
  <c r="T10" i="293" s="1"/>
  <c r="G23" i="180"/>
  <c r="H23" i="180" s="1"/>
  <c r="G26" i="293" s="1"/>
  <c r="AA62" i="180"/>
  <c r="T64" i="293" s="1"/>
  <c r="AA66" i="180"/>
  <c r="T68" i="293" s="1"/>
  <c r="AA69" i="180"/>
  <c r="T71" i="293" s="1"/>
  <c r="D61" i="180"/>
  <c r="D63" i="293" s="1"/>
  <c r="D88" i="180"/>
  <c r="D90" i="293" s="1"/>
  <c r="AB18" i="180"/>
  <c r="U21" i="293" s="1"/>
  <c r="AA46" i="180"/>
  <c r="T48" i="293" s="1"/>
  <c r="AB61" i="180"/>
  <c r="U63" i="293" s="1"/>
  <c r="AA39" i="180"/>
  <c r="T41" i="293" s="1"/>
  <c r="AB69" i="180"/>
  <c r="U71" i="293" s="1"/>
  <c r="G26" i="180"/>
  <c r="F29" i="293" s="1"/>
  <c r="AB92" i="180"/>
  <c r="U94" i="293" s="1"/>
  <c r="AB43" i="180"/>
  <c r="U45" i="293" s="1"/>
  <c r="D33" i="180"/>
  <c r="D36" i="293" s="1"/>
  <c r="AB50" i="180"/>
  <c r="U52" i="293" s="1"/>
  <c r="G44" i="180"/>
  <c r="F46" i="293" s="1"/>
  <c r="AA73" i="180"/>
  <c r="T75" i="293" s="1"/>
  <c r="G83" i="180"/>
  <c r="F85" i="293" s="1"/>
  <c r="AB77" i="180"/>
  <c r="U79" i="293" s="1"/>
  <c r="AB44" i="180"/>
  <c r="U46" i="293" s="1"/>
  <c r="AA76" i="180"/>
  <c r="T78" i="293" s="1"/>
  <c r="AA27" i="180"/>
  <c r="T30" i="293" s="1"/>
  <c r="AB22" i="180"/>
  <c r="U25" i="293" s="1"/>
  <c r="G59" i="180"/>
  <c r="F61" i="293" s="1"/>
  <c r="D17" i="180"/>
  <c r="D20" i="293" s="1"/>
  <c r="AA10" i="180"/>
  <c r="T13" i="293" s="1"/>
  <c r="G58" i="180"/>
  <c r="F60" i="293" s="1"/>
  <c r="AB47" i="180"/>
  <c r="U49" i="293" s="1"/>
  <c r="D28" i="180"/>
  <c r="D31" i="293" s="1"/>
  <c r="D8" i="180"/>
  <c r="D11" i="293" s="1"/>
  <c r="AA72" i="180"/>
  <c r="T74" i="293" s="1"/>
  <c r="V26" i="180"/>
  <c r="G34" i="180"/>
  <c r="F37" i="293" s="1"/>
  <c r="G66" i="180"/>
  <c r="F68" i="293" s="1"/>
  <c r="D91" i="180"/>
  <c r="D93" i="293" s="1"/>
  <c r="G55" i="180"/>
  <c r="F57" i="293" s="1"/>
  <c r="G50" i="180"/>
  <c r="F52" i="293" s="1"/>
  <c r="D51" i="180"/>
  <c r="D53" i="293" s="1"/>
  <c r="AB42" i="180"/>
  <c r="U44" i="293" s="1"/>
  <c r="AA25" i="180"/>
  <c r="T28" i="293" s="1"/>
  <c r="U65" i="180"/>
  <c r="P67" i="293" s="1" a="1"/>
  <c r="P67" i="293" s="1"/>
  <c r="D76" i="180"/>
  <c r="D78" i="293" s="1"/>
  <c r="D44" i="180"/>
  <c r="D46" i="293" s="1"/>
  <c r="G73" i="180"/>
  <c r="F75" i="293" s="1"/>
  <c r="AB65" i="180"/>
  <c r="U67" i="293" s="1"/>
  <c r="G16" i="180"/>
  <c r="F19" i="293" s="1"/>
  <c r="G46" i="180"/>
  <c r="F48" i="293" s="1"/>
  <c r="D55" i="180"/>
  <c r="D57" i="293" s="1"/>
  <c r="AB36" i="180"/>
  <c r="U39" i="293" s="1"/>
  <c r="G56" i="180"/>
  <c r="F58" i="293" s="1"/>
  <c r="AB45" i="180"/>
  <c r="U47" i="293" s="1"/>
  <c r="AA61" i="180"/>
  <c r="T63" i="293" s="1"/>
  <c r="AA32" i="180"/>
  <c r="T35" i="293" s="1"/>
  <c r="W62" i="180"/>
  <c r="Q64" i="293" s="1" a="1"/>
  <c r="Q64" i="293" s="1"/>
  <c r="G54" i="180"/>
  <c r="F56" i="293" s="1"/>
  <c r="G25" i="180"/>
  <c r="F28" i="293" s="1"/>
  <c r="AA86" i="180"/>
  <c r="T88" i="293" s="1"/>
  <c r="AA51" i="180"/>
  <c r="T53" i="293" s="1"/>
  <c r="AB82" i="180"/>
  <c r="U84" i="293" s="1"/>
  <c r="G37" i="180"/>
  <c r="F40" i="293" s="1"/>
  <c r="AB9" i="180"/>
  <c r="U12" i="293" s="1"/>
  <c r="AB64" i="180"/>
  <c r="U66" i="293" s="1"/>
  <c r="AA82" i="180"/>
  <c r="T84" i="293" s="1"/>
  <c r="G40" i="180"/>
  <c r="F42" i="293" s="1"/>
  <c r="G22" i="180"/>
  <c r="F25" i="293" s="1"/>
  <c r="AA67" i="180"/>
  <c r="T69" i="293" s="1"/>
  <c r="AB16" i="180"/>
  <c r="U19" i="293" s="1"/>
  <c r="D59" i="180"/>
  <c r="D61" i="293" s="1"/>
  <c r="AB58" i="180"/>
  <c r="U60" i="293" s="1"/>
  <c r="AA91" i="180"/>
  <c r="T93" i="293" s="1"/>
  <c r="AB73" i="180"/>
  <c r="U75" i="293" s="1"/>
  <c r="G63" i="180"/>
  <c r="F65" i="293" s="1"/>
  <c r="G82" i="180"/>
  <c r="F84" i="293" s="1"/>
  <c r="D16" i="180"/>
  <c r="D19" i="293" s="1"/>
  <c r="H33" i="180"/>
  <c r="G36" i="293" s="1"/>
  <c r="H39" i="180"/>
  <c r="G41" i="293" s="1"/>
  <c r="H87" i="180"/>
  <c r="G89" i="293" s="1"/>
  <c r="H77" i="180"/>
  <c r="G79" i="293" s="1"/>
  <c r="F79" i="293"/>
  <c r="D95" i="180"/>
  <c r="D97" i="293" s="1"/>
  <c r="AB94" i="180"/>
  <c r="U96" i="293" s="1"/>
  <c r="AA94" i="180"/>
  <c r="T96" i="293" s="1"/>
  <c r="Z95" i="180"/>
  <c r="S97" i="293" s="1"/>
  <c r="E96" i="180"/>
  <c r="AA95" i="180" a="1"/>
  <c r="D96" i="180" a="1"/>
  <c r="AB95" i="180" a="1"/>
  <c r="H59" i="180" l="1"/>
  <c r="G61" i="293" s="1"/>
  <c r="H79" i="180"/>
  <c r="G81" i="293" s="1"/>
  <c r="H56" i="180"/>
  <c r="G58" i="293" s="1"/>
  <c r="H67" i="180"/>
  <c r="G69" i="293" s="1"/>
  <c r="H29" i="180"/>
  <c r="G32" i="293" s="1"/>
  <c r="H54" i="180"/>
  <c r="G56" i="293" s="1"/>
  <c r="H60" i="180"/>
  <c r="G62" i="293" s="1"/>
  <c r="H32" i="180"/>
  <c r="G35" i="293" s="1"/>
  <c r="H88" i="180"/>
  <c r="G90" i="293" s="1"/>
  <c r="H53" i="180"/>
  <c r="G55" i="293" s="1"/>
  <c r="H26" i="180"/>
  <c r="G29" i="293" s="1"/>
  <c r="H24" i="180"/>
  <c r="G27" i="293" s="1"/>
  <c r="H13" i="180"/>
  <c r="G16" i="293" s="1"/>
  <c r="H51" i="180"/>
  <c r="G53" i="293" s="1"/>
  <c r="H12" i="180"/>
  <c r="G15" i="293" s="1"/>
  <c r="H57" i="180"/>
  <c r="G59" i="293" s="1"/>
  <c r="H66" i="180"/>
  <c r="G68" i="293" s="1"/>
  <c r="H19" i="180"/>
  <c r="G22" i="293" s="1"/>
  <c r="Z17" i="180"/>
  <c r="S20" i="293" s="1"/>
  <c r="H64" i="180"/>
  <c r="G66" i="293" s="1"/>
  <c r="H48" i="180"/>
  <c r="G50" i="293" s="1"/>
  <c r="H49" i="180"/>
  <c r="G51" i="293" s="1"/>
  <c r="F26" i="293"/>
  <c r="H58" i="180"/>
  <c r="G60" i="293" s="1"/>
  <c r="H69" i="180"/>
  <c r="G71" i="293" s="1"/>
  <c r="H42" i="180"/>
  <c r="G44" i="293" s="1"/>
  <c r="H37" i="180"/>
  <c r="G40" i="293" s="1"/>
  <c r="H14" i="180"/>
  <c r="G17" i="293" s="1"/>
  <c r="H28" i="180"/>
  <c r="G31" i="293" s="1"/>
  <c r="H34" i="180"/>
  <c r="G37" i="293" s="1"/>
  <c r="H61" i="180"/>
  <c r="G63" i="293" s="1"/>
  <c r="H10" i="180"/>
  <c r="G13" i="293" s="1"/>
  <c r="H41" i="180"/>
  <c r="G43" i="293" s="1"/>
  <c r="H18" i="180"/>
  <c r="G21" i="293" s="1"/>
  <c r="H81" i="180"/>
  <c r="G83" i="293" s="1"/>
  <c r="H76" i="180"/>
  <c r="G78" i="293" s="1"/>
  <c r="H43" i="180"/>
  <c r="G45" i="293" s="1"/>
  <c r="H17" i="180"/>
  <c r="G20" i="293" s="1"/>
  <c r="H65" i="180"/>
  <c r="G67" i="293" s="1"/>
  <c r="H62" i="180"/>
  <c r="G64" i="293" s="1"/>
  <c r="H86" i="180"/>
  <c r="G88" i="293" s="1"/>
  <c r="H16" i="180"/>
  <c r="G19" i="293" s="1"/>
  <c r="H27" i="180"/>
  <c r="G30" i="293" s="1"/>
  <c r="H7" i="180"/>
  <c r="G10" i="293" s="1"/>
  <c r="H21" i="180"/>
  <c r="G24" i="293" s="1"/>
  <c r="H71" i="180"/>
  <c r="G73" i="293" s="1"/>
  <c r="H70" i="180"/>
  <c r="G72" i="293" s="1"/>
  <c r="H22" i="180"/>
  <c r="G25" i="293" s="1"/>
  <c r="Z26" i="180"/>
  <c r="S29" i="293" s="1"/>
  <c r="H15" i="180"/>
  <c r="G18" i="293" s="1"/>
  <c r="H44" i="180"/>
  <c r="G46" i="293" s="1"/>
  <c r="H55" i="180"/>
  <c r="G57" i="293" s="1"/>
  <c r="H83" i="180"/>
  <c r="G85" i="293" s="1"/>
  <c r="H84" i="180"/>
  <c r="G86" i="293" s="1"/>
  <c r="H45" i="180"/>
  <c r="G47" i="293" s="1"/>
  <c r="H11" i="180"/>
  <c r="G14" i="293" s="1"/>
  <c r="H78" i="180"/>
  <c r="G80" i="293" s="1"/>
  <c r="H68" i="180"/>
  <c r="G70" i="293" s="1"/>
  <c r="H47" i="180"/>
  <c r="G49" i="293" s="1"/>
  <c r="H72" i="180"/>
  <c r="G74" i="293" s="1"/>
  <c r="H9" i="180"/>
  <c r="G12" i="293" s="1"/>
  <c r="H82" i="180"/>
  <c r="G84" i="293" s="1"/>
  <c r="H73" i="180"/>
  <c r="G75" i="293" s="1"/>
  <c r="H85" i="180"/>
  <c r="G87" i="293" s="1"/>
  <c r="H25" i="180"/>
  <c r="G28" i="293" s="1"/>
  <c r="H50" i="180"/>
  <c r="G52" i="293" s="1"/>
  <c r="H31" i="180"/>
  <c r="G34" i="293" s="1"/>
  <c r="H80" i="180"/>
  <c r="G82" i="293" s="1"/>
  <c r="H8" i="180"/>
  <c r="G11" i="293" s="1"/>
  <c r="H46" i="180"/>
  <c r="G48" i="293" s="1"/>
  <c r="H74" i="180"/>
  <c r="G76" i="293" s="1"/>
  <c r="H30" i="180"/>
  <c r="G33" i="293" s="1"/>
  <c r="H40" i="180"/>
  <c r="G42" i="293" s="1"/>
  <c r="H52" i="180"/>
  <c r="G54" i="293" s="1"/>
  <c r="Z27" i="180"/>
  <c r="S30" i="293" s="1"/>
  <c r="H63" i="180"/>
  <c r="G65" i="293" s="1"/>
  <c r="H36" i="180"/>
  <c r="G39" i="293" s="1"/>
  <c r="H35" i="180"/>
  <c r="G38" i="293" s="1"/>
  <c r="H20" i="180"/>
  <c r="G23" i="293" s="1"/>
  <c r="H75" i="180"/>
  <c r="G77" i="293" s="1"/>
  <c r="AB95" i="180"/>
  <c r="U97" i="293" s="1"/>
  <c r="D96" i="180"/>
  <c r="D98" i="293" s="1"/>
  <c r="AA95" i="180"/>
  <c r="T97" i="293" s="1"/>
  <c r="Z96" i="180"/>
  <c r="S98" i="293" s="1"/>
  <c r="E97" i="180"/>
  <c r="AB96" i="180" a="1"/>
  <c r="AA96" i="180" a="1"/>
  <c r="D97" i="180" a="1"/>
  <c r="D97" i="180" l="1"/>
  <c r="D99" i="293" s="1"/>
  <c r="AB96" i="180"/>
  <c r="U98" i="293" s="1"/>
  <c r="AA96" i="180"/>
  <c r="T98" i="293" s="1"/>
  <c r="Z97" i="180"/>
  <c r="S99" i="293" s="1"/>
  <c r="E98" i="180"/>
  <c r="F98" i="180" a="1"/>
  <c r="AA97" i="180" a="1"/>
  <c r="G98" i="180" a="1"/>
  <c r="D98" i="180" a="1"/>
  <c r="AB97" i="180" a="1"/>
  <c r="AA97" i="180" l="1"/>
  <c r="T99" i="293" s="1"/>
  <c r="D98" i="180"/>
  <c r="D100" i="293" s="1"/>
  <c r="AB97" i="180"/>
  <c r="U99" i="293" s="1"/>
  <c r="F98" i="180"/>
  <c r="E100" i="293" s="1"/>
  <c r="G98" i="180"/>
  <c r="F100" i="293" s="1"/>
  <c r="E99" i="180"/>
  <c r="D99" i="180" a="1"/>
  <c r="G99" i="180" a="1"/>
  <c r="F99" i="180" a="1"/>
  <c r="AA98" i="180" a="1"/>
  <c r="H98" i="180" l="1"/>
  <c r="G100" i="293" s="1"/>
  <c r="Z98" i="180"/>
  <c r="S100" i="293" s="1"/>
  <c r="AA98" i="180"/>
  <c r="T100" i="293" s="1"/>
  <c r="D99" i="180"/>
  <c r="D101" i="293" s="1"/>
  <c r="F99" i="180"/>
  <c r="E101" i="293" s="1"/>
  <c r="G99" i="180"/>
  <c r="F101" i="293" s="1"/>
  <c r="E100" i="180"/>
  <c r="G100" i="180" a="1"/>
  <c r="F100" i="180" a="1"/>
  <c r="AA99" i="180" a="1"/>
  <c r="D100" i="180" a="1"/>
  <c r="H99" i="180" l="1"/>
  <c r="G101" i="293" s="1"/>
  <c r="Z99" i="180"/>
  <c r="S101" i="293" s="1"/>
  <c r="AA99" i="180"/>
  <c r="T101" i="293" s="1"/>
  <c r="G100" i="180"/>
  <c r="F102" i="293" s="1"/>
  <c r="F100" i="180"/>
  <c r="E102" i="293" s="1"/>
  <c r="D100" i="180"/>
  <c r="D102" i="293" s="1"/>
  <c r="E101" i="180"/>
  <c r="D101" i="180" a="1"/>
  <c r="F101" i="180" a="1"/>
  <c r="G101" i="180" a="1"/>
  <c r="AA100" i="180" a="1"/>
  <c r="Z100" i="180" l="1"/>
  <c r="S102" i="293" s="1"/>
  <c r="H100" i="180"/>
  <c r="G102" i="293" s="1"/>
  <c r="D101" i="180"/>
  <c r="D103" i="293" s="1"/>
  <c r="AA100" i="180"/>
  <c r="T102" i="293" s="1"/>
  <c r="G101" i="180"/>
  <c r="F103" i="293" s="1"/>
  <c r="F101" i="180"/>
  <c r="E103" i="293" s="1"/>
  <c r="E102" i="180"/>
  <c r="G102" i="180" a="1"/>
  <c r="AA101" i="180" a="1"/>
  <c r="D102" i="180" a="1"/>
  <c r="F102" i="180" a="1"/>
  <c r="Z101" i="180" l="1"/>
  <c r="S103" i="293" s="1"/>
  <c r="H101" i="180"/>
  <c r="G103" i="293" s="1"/>
  <c r="AA101" i="180"/>
  <c r="T103" i="293" s="1"/>
  <c r="D102" i="180"/>
  <c r="D104" i="293" s="1"/>
  <c r="G102" i="180"/>
  <c r="F104" i="293" s="1"/>
  <c r="F102" i="180"/>
  <c r="E104" i="293" s="1"/>
  <c r="E103" i="180"/>
  <c r="G103" i="180" a="1"/>
  <c r="AA102" i="180" a="1"/>
  <c r="D103" i="180" a="1"/>
  <c r="F103" i="180" a="1"/>
  <c r="Z102" i="180" l="1"/>
  <c r="S104" i="293" s="1"/>
  <c r="H102" i="180"/>
  <c r="G104" i="293" s="1"/>
  <c r="D103" i="180"/>
  <c r="D105" i="293" s="1"/>
  <c r="F103" i="180"/>
  <c r="E105" i="293" s="1"/>
  <c r="AA102" i="180"/>
  <c r="T104" i="293" s="1"/>
  <c r="G103" i="180"/>
  <c r="F105" i="293" s="1"/>
  <c r="E104" i="180"/>
  <c r="AA103" i="180" a="1"/>
  <c r="D104" i="180" a="1"/>
  <c r="G104" i="180" a="1"/>
  <c r="F104" i="180" a="1"/>
  <c r="H103" i="180" l="1"/>
  <c r="G105" i="293" s="1"/>
  <c r="Z103" i="180"/>
  <c r="S105" i="293" s="1"/>
  <c r="G104" i="180"/>
  <c r="F106" i="293" s="1"/>
  <c r="F104" i="180"/>
  <c r="E106" i="293" s="1"/>
  <c r="AA103" i="180"/>
  <c r="T105" i="293" s="1"/>
  <c r="D104" i="180"/>
  <c r="D106" i="293" s="1"/>
  <c r="E105" i="180"/>
  <c r="G105" i="180" a="1"/>
  <c r="D105" i="180" a="1"/>
  <c r="F105" i="180" a="1"/>
  <c r="AA104" i="180" a="1"/>
  <c r="Z104" i="180" l="1"/>
  <c r="S106" i="293" s="1"/>
  <c r="H104" i="180"/>
  <c r="G106" i="293" s="1"/>
  <c r="D105" i="180"/>
  <c r="D107" i="293" s="1"/>
  <c r="AA104" i="180"/>
  <c r="T106" i="293" s="1"/>
  <c r="G105" i="180"/>
  <c r="F107" i="293" s="1"/>
  <c r="F105" i="180"/>
  <c r="E107" i="293" s="1"/>
  <c r="E106" i="180"/>
  <c r="F106" i="180" a="1"/>
  <c r="D106" i="180" a="1"/>
  <c r="G106" i="180" a="1"/>
  <c r="AA105" i="180" a="1"/>
  <c r="Z105" i="180" l="1"/>
  <c r="S107" i="293" s="1"/>
  <c r="H105" i="180"/>
  <c r="G107" i="293" s="1"/>
  <c r="D106" i="180"/>
  <c r="D108" i="293" s="1"/>
  <c r="AA105" i="180"/>
  <c r="T107" i="293" s="1"/>
  <c r="G106" i="180"/>
  <c r="F108" i="293" s="1"/>
  <c r="F106" i="180"/>
  <c r="E108" i="293" s="1"/>
  <c r="E107" i="180"/>
  <c r="AA106" i="180" a="1"/>
  <c r="F107" i="180" a="1"/>
  <c r="G107" i="180" a="1"/>
  <c r="D107" i="180" a="1"/>
  <c r="Z106" i="180" l="1"/>
  <c r="S108" i="293" s="1"/>
  <c r="H106" i="180"/>
  <c r="G108" i="293" s="1"/>
  <c r="AA106" i="180"/>
  <c r="T108" i="293" s="1"/>
  <c r="G107" i="180"/>
  <c r="F109" i="293" s="1"/>
  <c r="F107" i="180"/>
  <c r="E109" i="293" s="1"/>
  <c r="D107" i="180"/>
  <c r="D109" i="293" s="1"/>
  <c r="E108" i="180"/>
  <c r="G108" i="180" a="1"/>
  <c r="AA107" i="180" a="1"/>
  <c r="F108" i="180" a="1"/>
  <c r="D108" i="180" a="1"/>
  <c r="Z107" i="180" l="1"/>
  <c r="S109" i="293" s="1"/>
  <c r="H107" i="180"/>
  <c r="G109" i="293" s="1"/>
  <c r="AA107" i="180"/>
  <c r="T109" i="293" s="1"/>
  <c r="F108" i="180"/>
  <c r="E110" i="293" s="1"/>
  <c r="D108" i="180"/>
  <c r="D110" i="293" s="1"/>
  <c r="G108" i="180"/>
  <c r="F110" i="293" s="1"/>
  <c r="E109" i="180"/>
  <c r="G109" i="180" a="1"/>
  <c r="AA108" i="180" a="1"/>
  <c r="D109" i="180" a="1"/>
  <c r="F109" i="180" a="1"/>
  <c r="H108" i="180" l="1"/>
  <c r="G110" i="293" s="1"/>
  <c r="Z108" i="180"/>
  <c r="S110" i="293" s="1"/>
  <c r="AA108" i="180"/>
  <c r="T110" i="293" s="1"/>
  <c r="D109" i="180"/>
  <c r="D111" i="293" s="1"/>
  <c r="G109" i="180"/>
  <c r="F111" i="293" s="1"/>
  <c r="F109" i="180"/>
  <c r="E111" i="293" s="1"/>
  <c r="E110" i="180"/>
  <c r="D110" i="180" a="1"/>
  <c r="AA109" i="180" a="1"/>
  <c r="AB109" i="180" a="1"/>
  <c r="F110" i="180" a="1"/>
  <c r="G110" i="180" a="1"/>
  <c r="Z109" i="180" l="1"/>
  <c r="S111" i="293" s="1"/>
  <c r="H109" i="180"/>
  <c r="G111" i="293" s="1"/>
  <c r="AA109" i="180"/>
  <c r="T111" i="293" s="1"/>
  <c r="F110" i="180"/>
  <c r="E112" i="293" s="1"/>
  <c r="D110" i="180"/>
  <c r="D112" i="293" s="1"/>
  <c r="AB109" i="180"/>
  <c r="U111" i="293" s="1"/>
  <c r="G110" i="180"/>
  <c r="F112" i="293" s="1"/>
  <c r="E111" i="180"/>
  <c r="D111" i="180" a="1"/>
  <c r="AA110" i="180" a="1"/>
  <c r="AB110" i="180" a="1"/>
  <c r="F111" i="180" a="1"/>
  <c r="G111" i="180" a="1"/>
  <c r="Z110" i="180" l="1"/>
  <c r="S112" i="293" s="1"/>
  <c r="H110" i="180"/>
  <c r="G112" i="293" s="1"/>
  <c r="F111" i="180"/>
  <c r="E113" i="293" s="1"/>
  <c r="AA110" i="180"/>
  <c r="T112" i="293" s="1"/>
  <c r="D111" i="180"/>
  <c r="D113" i="293" s="1"/>
  <c r="AB110" i="180"/>
  <c r="U112" i="293" s="1"/>
  <c r="G111" i="180"/>
  <c r="F113" i="293" s="1"/>
  <c r="E112" i="180"/>
  <c r="AA111" i="180" a="1"/>
  <c r="AB111" i="180" a="1"/>
  <c r="D112" i="180" a="1"/>
  <c r="G112" i="180" a="1"/>
  <c r="F112" i="180" a="1"/>
  <c r="H111" i="180" l="1"/>
  <c r="G113" i="293" s="1"/>
  <c r="Z111" i="180"/>
  <c r="S113" i="293" s="1"/>
  <c r="AA111" i="180"/>
  <c r="T113" i="293" s="1"/>
  <c r="F112" i="180"/>
  <c r="E114" i="293" s="1"/>
  <c r="D112" i="180"/>
  <c r="D114" i="293" s="1"/>
  <c r="AB111" i="180"/>
  <c r="U113" i="293" s="1"/>
  <c r="G112" i="180"/>
  <c r="F114" i="293" s="1"/>
  <c r="E113" i="180"/>
  <c r="F113" i="180" a="1"/>
  <c r="AB112" i="180" a="1"/>
  <c r="G113" i="180" a="1"/>
  <c r="AA112" i="180" a="1"/>
  <c r="D113" i="180" a="1"/>
  <c r="H112" i="180" l="1"/>
  <c r="G114" i="293" s="1"/>
  <c r="Z112" i="180"/>
  <c r="S114" i="293" s="1"/>
  <c r="AA112" i="180"/>
  <c r="T114" i="293" s="1"/>
  <c r="AB112" i="180"/>
  <c r="U114" i="293" s="1"/>
  <c r="D113" i="180"/>
  <c r="D115" i="293" s="1"/>
  <c r="F113" i="180"/>
  <c r="E115" i="293" s="1"/>
  <c r="G113" i="180"/>
  <c r="F115" i="293" s="1"/>
  <c r="E114" i="180"/>
  <c r="G114" i="180" a="1"/>
  <c r="D114" i="180" a="1"/>
  <c r="AB113" i="180" a="1"/>
  <c r="AA113" i="180" a="1"/>
  <c r="F114" i="180" a="1"/>
  <c r="H113" i="180" l="1"/>
  <c r="G115" i="293" s="1"/>
  <c r="Z113" i="180"/>
  <c r="S115" i="293" s="1"/>
  <c r="AA113" i="180"/>
  <c r="T115" i="293" s="1"/>
  <c r="AB113" i="180"/>
  <c r="U115" i="293" s="1"/>
  <c r="F114" i="180"/>
  <c r="E116" i="293" s="1"/>
  <c r="D114" i="180"/>
  <c r="D116" i="293" s="1"/>
  <c r="G114" i="180"/>
  <c r="F116" i="293" s="1"/>
  <c r="E115" i="180"/>
  <c r="AB114" i="180" a="1"/>
  <c r="D115" i="180" a="1"/>
  <c r="F115" i="180" a="1"/>
  <c r="G115" i="180" a="1"/>
  <c r="AA114" i="180" a="1"/>
  <c r="H114" i="180" l="1"/>
  <c r="G116" i="293" s="1"/>
  <c r="Z114" i="180"/>
  <c r="S116" i="293" s="1"/>
  <c r="AA114" i="180"/>
  <c r="T116" i="293" s="1"/>
  <c r="F115" i="180"/>
  <c r="E117" i="293" s="1"/>
  <c r="D115" i="180"/>
  <c r="D117" i="293" s="1"/>
  <c r="AB114" i="180"/>
  <c r="U116" i="293" s="1"/>
  <c r="G115" i="180"/>
  <c r="F117" i="293" s="1"/>
  <c r="E116" i="180"/>
  <c r="F116" i="180" a="1"/>
  <c r="G116" i="180" a="1"/>
  <c r="AA115" i="180" a="1"/>
  <c r="D116" i="180" a="1"/>
  <c r="AB115" i="180" a="1"/>
  <c r="H115" i="180" l="1"/>
  <c r="G117" i="293" s="1"/>
  <c r="Z115" i="180"/>
  <c r="S117" i="293" s="1"/>
  <c r="AB115" i="180"/>
  <c r="U117" i="293" s="1"/>
  <c r="AA115" i="180"/>
  <c r="T117" i="293" s="1"/>
  <c r="D116" i="180"/>
  <c r="D118" i="293" s="1"/>
  <c r="F116" i="180"/>
  <c r="E118" i="293" s="1"/>
  <c r="G116" i="180"/>
  <c r="F118" i="293" s="1"/>
  <c r="E117" i="180"/>
  <c r="AA116" i="180" a="1"/>
  <c r="F117" i="180" a="1"/>
  <c r="G117" i="180" a="1"/>
  <c r="D117" i="180" a="1"/>
  <c r="AB116" i="180" a="1"/>
  <c r="H116" i="180" l="1"/>
  <c r="G118" i="293" s="1"/>
  <c r="Z116" i="180"/>
  <c r="S118" i="293" s="1"/>
  <c r="AB116" i="180"/>
  <c r="U118" i="293" s="1"/>
  <c r="AA116" i="180"/>
  <c r="T118" i="293" s="1"/>
  <c r="F117" i="180"/>
  <c r="E119" i="293" s="1"/>
  <c r="D117" i="180"/>
  <c r="D119" i="293" s="1"/>
  <c r="G117" i="180"/>
  <c r="F119" i="293" s="1"/>
  <c r="E118" i="180"/>
  <c r="D118" i="180" a="1"/>
  <c r="AA117" i="180" a="1"/>
  <c r="AB117" i="180" a="1"/>
  <c r="H117" i="180" l="1"/>
  <c r="G119" i="293" s="1"/>
  <c r="Z117" i="180"/>
  <c r="S119" i="293" s="1"/>
  <c r="AB117" i="180"/>
  <c r="U119" i="293" s="1"/>
  <c r="AA117" i="180"/>
  <c r="T119" i="293" s="1"/>
  <c r="D118" i="180"/>
  <c r="D120" i="293" s="1"/>
  <c r="G118" i="180" a="1"/>
  <c r="G118" i="180" l="1"/>
  <c r="F120" i="293" s="1"/>
  <c r="E119" i="180"/>
  <c r="AB118" i="180" a="1"/>
  <c r="D119" i="180" a="1"/>
  <c r="AA118" i="180" a="1"/>
  <c r="H118" i="180" l="1"/>
  <c r="G120" i="293" s="1"/>
  <c r="AB118" i="180"/>
  <c r="U120" i="293" s="1"/>
  <c r="AA118" i="180"/>
  <c r="T120" i="293" s="1"/>
  <c r="D119" i="180"/>
  <c r="D121" i="293" s="1"/>
  <c r="G119" i="180" a="1"/>
  <c r="G119" i="180" l="1"/>
  <c r="F121" i="293" s="1"/>
  <c r="E120" i="180"/>
  <c r="D120" i="180" a="1"/>
  <c r="AB119" i="180" a="1"/>
  <c r="AA119" i="180" a="1"/>
  <c r="H119" i="180" l="1"/>
  <c r="G121" i="293" s="1"/>
  <c r="AB119" i="180"/>
  <c r="U121" i="293" s="1"/>
  <c r="AA119" i="180"/>
  <c r="T121" i="293" s="1"/>
  <c r="D120" i="180"/>
  <c r="D122" i="293" s="1"/>
  <c r="G120" i="180" a="1"/>
  <c r="G120" i="180" l="1"/>
  <c r="F122" i="293" s="1"/>
  <c r="E121" i="180"/>
  <c r="AA120" i="180" a="1"/>
  <c r="D121" i="180" a="1"/>
  <c r="AB120" i="180" a="1"/>
  <c r="H120" i="180" l="1"/>
  <c r="G122" i="293" s="1"/>
  <c r="AB120" i="180"/>
  <c r="U122" i="293" s="1"/>
  <c r="AA120" i="180"/>
  <c r="T122" i="293" s="1"/>
  <c r="D121" i="180"/>
  <c r="D123" i="293" s="1"/>
  <c r="G121" i="180" a="1"/>
  <c r="G121" i="180" l="1"/>
  <c r="F123" i="293" s="1"/>
  <c r="E122" i="180"/>
  <c r="F122" i="180" a="1"/>
  <c r="AA121" i="180" a="1"/>
  <c r="AB121" i="180" a="1"/>
  <c r="G122" i="180" a="1"/>
  <c r="D122" i="180" a="1"/>
  <c r="H121" i="180" l="1"/>
  <c r="G123" i="293" s="1"/>
  <c r="F122" i="180"/>
  <c r="E124" i="293" s="1"/>
  <c r="G122" i="180"/>
  <c r="F124" i="293" s="1"/>
  <c r="AB121" i="180"/>
  <c r="U123" i="293" s="1"/>
  <c r="AA121" i="180"/>
  <c r="T123" i="293" s="1"/>
  <c r="D122" i="180"/>
  <c r="D124" i="293" s="1"/>
  <c r="H122" i="180" l="1"/>
  <c r="G124" i="293" s="1"/>
  <c r="Z122" i="180"/>
  <c r="S124" i="293" s="1"/>
  <c r="E123" i="180"/>
  <c r="AA122" i="180" a="1"/>
  <c r="G123" i="180" a="1"/>
  <c r="D123" i="180" a="1"/>
  <c r="F123" i="180" a="1"/>
  <c r="AB122" i="180" a="1"/>
  <c r="AA122" i="180" l="1"/>
  <c r="T124" i="293" s="1"/>
  <c r="G123" i="180"/>
  <c r="F125" i="293" s="1"/>
  <c r="F123" i="180"/>
  <c r="E125" i="293" s="1"/>
  <c r="D123" i="180"/>
  <c r="D125" i="293" s="1"/>
  <c r="AB122" i="180"/>
  <c r="U124" i="293" s="1"/>
  <c r="E124" i="180"/>
  <c r="F124" i="180" a="1"/>
  <c r="AB123" i="180" a="1"/>
  <c r="G124" i="180" a="1"/>
  <c r="AA123" i="180" a="1"/>
  <c r="D124" i="180" a="1"/>
  <c r="Z123" i="180" l="1"/>
  <c r="S125" i="293" s="1"/>
  <c r="H123" i="180"/>
  <c r="G125" i="293" s="1"/>
  <c r="AA123" i="180"/>
  <c r="T125" i="293" s="1"/>
  <c r="D124" i="180"/>
  <c r="D126" i="293" s="1"/>
  <c r="AB123" i="180"/>
  <c r="U125" i="293" s="1"/>
  <c r="F124" i="180"/>
  <c r="E126" i="293" s="1"/>
  <c r="G124" i="180"/>
  <c r="F126" i="293" s="1"/>
  <c r="E125" i="180"/>
  <c r="D125" i="180" a="1"/>
  <c r="AA124" i="180" a="1"/>
  <c r="G125" i="180" a="1"/>
  <c r="F125" i="180" a="1"/>
  <c r="AB124" i="180" a="1"/>
  <c r="Z124" i="180" l="1"/>
  <c r="S126" i="293" s="1"/>
  <c r="H124" i="180"/>
  <c r="G126" i="293" s="1"/>
  <c r="AA124" i="180"/>
  <c r="T126" i="293" s="1"/>
  <c r="AB124" i="180"/>
  <c r="U126" i="293" s="1"/>
  <c r="F125" i="180"/>
  <c r="E127" i="293" s="1"/>
  <c r="D125" i="180"/>
  <c r="D127" i="293" s="1"/>
  <c r="G125" i="180"/>
  <c r="F127" i="293" s="1"/>
  <c r="E126" i="180"/>
  <c r="D126" i="180" a="1"/>
  <c r="AB125" i="180" a="1"/>
  <c r="G126" i="180" a="1"/>
  <c r="AA125" i="180" a="1"/>
  <c r="F126" i="180" a="1"/>
  <c r="Z125" i="180" l="1"/>
  <c r="S127" i="293" s="1"/>
  <c r="H125" i="180"/>
  <c r="G127" i="293" s="1"/>
  <c r="AB125" i="180"/>
  <c r="U127" i="293" s="1"/>
  <c r="AA125" i="180"/>
  <c r="T127" i="293" s="1"/>
  <c r="D126" i="180"/>
  <c r="D128" i="293" s="1"/>
  <c r="F126" i="180"/>
  <c r="E128" i="293" s="1"/>
  <c r="G126" i="180"/>
  <c r="F128" i="293" s="1"/>
  <c r="E127" i="180"/>
  <c r="Z127" i="180"/>
  <c r="S129" i="293" s="1"/>
  <c r="L18" i="310"/>
  <c r="M18" i="310"/>
  <c r="N18" i="310"/>
  <c r="N17" i="310"/>
  <c r="M17" i="310"/>
  <c r="L17" i="310"/>
  <c r="S5" i="310"/>
  <c r="P17" i="310"/>
  <c r="J17" i="310"/>
  <c r="J18" i="310" s="1"/>
  <c r="J19" i="310" s="1"/>
  <c r="J20" i="310" s="1"/>
  <c r="K20" i="310"/>
  <c r="K19" i="310"/>
  <c r="K18" i="310"/>
  <c r="K17" i="310"/>
  <c r="A1" i="310"/>
  <c r="J41" i="305"/>
  <c r="J42" i="305" s="1"/>
  <c r="J43" i="305" s="1"/>
  <c r="J44" i="305" s="1"/>
  <c r="J49" i="305"/>
  <c r="J50" i="305" s="1"/>
  <c r="J51" i="305" s="1"/>
  <c r="J52" i="305" s="1"/>
  <c r="J53" i="305" s="1"/>
  <c r="K40" i="305"/>
  <c r="A1" i="305"/>
  <c r="J17" i="305"/>
  <c r="J18" i="305" s="1"/>
  <c r="J19" i="305" s="1"/>
  <c r="J20" i="305" s="1"/>
  <c r="K17" i="305"/>
  <c r="L17" i="305"/>
  <c r="M17" i="305"/>
  <c r="N17" i="305"/>
  <c r="O17" i="305"/>
  <c r="P17" i="305"/>
  <c r="Q17" i="305"/>
  <c r="R17" i="305"/>
  <c r="S17" i="305"/>
  <c r="T17" i="305"/>
  <c r="U17" i="305"/>
  <c r="V17" i="305"/>
  <c r="W17" i="305"/>
  <c r="X17" i="305"/>
  <c r="Z17" i="305"/>
  <c r="K18" i="305"/>
  <c r="Z18" i="305"/>
  <c r="K19" i="305"/>
  <c r="K20" i="305"/>
  <c r="J21" i="305"/>
  <c r="J22" i="305" s="1"/>
  <c r="J23" i="305" s="1"/>
  <c r="J24" i="305" s="1"/>
  <c r="K21" i="305"/>
  <c r="L21" i="305"/>
  <c r="M21" i="305"/>
  <c r="N21" i="305"/>
  <c r="O21" i="305"/>
  <c r="P21" i="305"/>
  <c r="Q21" i="305"/>
  <c r="R21" i="305"/>
  <c r="S21" i="305"/>
  <c r="T21" i="305"/>
  <c r="U21" i="305"/>
  <c r="V21" i="305"/>
  <c r="W21" i="305"/>
  <c r="X21" i="305"/>
  <c r="Z21" i="305"/>
  <c r="K22" i="305"/>
  <c r="Z22" i="305"/>
  <c r="K23" i="305"/>
  <c r="K24" i="305"/>
  <c r="J25" i="305"/>
  <c r="J26" i="305" s="1"/>
  <c r="J27" i="305" s="1"/>
  <c r="J28" i="305" s="1"/>
  <c r="K25" i="305"/>
  <c r="L25" i="305"/>
  <c r="M25" i="305"/>
  <c r="N25" i="305"/>
  <c r="O25" i="305"/>
  <c r="P25" i="305"/>
  <c r="Q25" i="305"/>
  <c r="R25" i="305"/>
  <c r="S25" i="305"/>
  <c r="T25" i="305"/>
  <c r="U25" i="305"/>
  <c r="V25" i="305"/>
  <c r="W25" i="305"/>
  <c r="X25" i="305"/>
  <c r="Z25" i="305"/>
  <c r="K26" i="305"/>
  <c r="Z26" i="305"/>
  <c r="K27" i="305"/>
  <c r="K28" i="305"/>
  <c r="J29" i="305"/>
  <c r="J30" i="305" s="1"/>
  <c r="J31" i="305" s="1"/>
  <c r="J32" i="305" s="1"/>
  <c r="K29" i="305"/>
  <c r="L29" i="305"/>
  <c r="M29" i="305"/>
  <c r="N29" i="305"/>
  <c r="O29" i="305"/>
  <c r="P29" i="305"/>
  <c r="Q29" i="305"/>
  <c r="R29" i="305"/>
  <c r="S29" i="305"/>
  <c r="T29" i="305"/>
  <c r="U29" i="305"/>
  <c r="V29" i="305"/>
  <c r="W29" i="305"/>
  <c r="X29" i="305"/>
  <c r="Z29" i="305"/>
  <c r="K30" i="305"/>
  <c r="Z30" i="305"/>
  <c r="K31" i="305"/>
  <c r="K32" i="305"/>
  <c r="J33" i="305"/>
  <c r="J34" i="305" s="1"/>
  <c r="J35" i="305" s="1"/>
  <c r="J36" i="305" s="1"/>
  <c r="K33" i="305"/>
  <c r="L33" i="305"/>
  <c r="M33" i="305"/>
  <c r="N33" i="305"/>
  <c r="O33" i="305"/>
  <c r="P33" i="305"/>
  <c r="Q33" i="305"/>
  <c r="R33" i="305"/>
  <c r="S33" i="305"/>
  <c r="T33" i="305"/>
  <c r="U33" i="305"/>
  <c r="V33" i="305"/>
  <c r="W33" i="305"/>
  <c r="X33" i="305"/>
  <c r="Z33" i="305"/>
  <c r="K34" i="305"/>
  <c r="Z34" i="305"/>
  <c r="K35" i="305"/>
  <c r="K36" i="305"/>
  <c r="J37" i="305"/>
  <c r="J38" i="305" s="1"/>
  <c r="J39" i="305" s="1"/>
  <c r="J40" i="305" s="1"/>
  <c r="K37" i="305"/>
  <c r="L37" i="305"/>
  <c r="M37" i="305"/>
  <c r="N37" i="305"/>
  <c r="O37" i="305"/>
  <c r="P37" i="305"/>
  <c r="Q37" i="305"/>
  <c r="R37" i="305"/>
  <c r="S37" i="305"/>
  <c r="T37" i="305"/>
  <c r="U37" i="305"/>
  <c r="V37" i="305"/>
  <c r="W37" i="305"/>
  <c r="X37" i="305"/>
  <c r="Z37" i="305"/>
  <c r="K38" i="305"/>
  <c r="Z38" i="305"/>
  <c r="K39" i="305"/>
  <c r="K41" i="305"/>
  <c r="L41" i="305"/>
  <c r="M41" i="305"/>
  <c r="N41" i="305"/>
  <c r="O41" i="305"/>
  <c r="P41" i="305"/>
  <c r="Q41" i="305"/>
  <c r="R41" i="305"/>
  <c r="S41" i="305"/>
  <c r="T41" i="305"/>
  <c r="U41" i="305"/>
  <c r="V41" i="305"/>
  <c r="W41" i="305"/>
  <c r="X41" i="305"/>
  <c r="Z41" i="305"/>
  <c r="K42" i="305"/>
  <c r="Z42" i="305"/>
  <c r="K43" i="305"/>
  <c r="K44" i="305"/>
  <c r="J45" i="305"/>
  <c r="J46" i="305" s="1"/>
  <c r="J47" i="305" s="1"/>
  <c r="J48" i="305" s="1"/>
  <c r="K45" i="305"/>
  <c r="L45" i="305"/>
  <c r="M45" i="305"/>
  <c r="N45" i="305"/>
  <c r="O45" i="305"/>
  <c r="P45" i="305"/>
  <c r="Q45" i="305"/>
  <c r="R45" i="305"/>
  <c r="S45" i="305"/>
  <c r="T45" i="305"/>
  <c r="U45" i="305"/>
  <c r="V45" i="305"/>
  <c r="W45" i="305"/>
  <c r="X45" i="305"/>
  <c r="Z45" i="305"/>
  <c r="K46" i="305"/>
  <c r="Z46" i="305"/>
  <c r="K47" i="305"/>
  <c r="K48" i="305"/>
  <c r="K49" i="305"/>
  <c r="L49" i="305"/>
  <c r="M49" i="305"/>
  <c r="N49" i="305"/>
  <c r="O49" i="305"/>
  <c r="P49" i="305"/>
  <c r="Q49" i="305"/>
  <c r="R49" i="305"/>
  <c r="S49" i="305"/>
  <c r="T49" i="305"/>
  <c r="U49" i="305"/>
  <c r="V49" i="305"/>
  <c r="W49" i="305"/>
  <c r="X49" i="305"/>
  <c r="Z49" i="305"/>
  <c r="K50" i="305"/>
  <c r="L50" i="305"/>
  <c r="M50" i="305"/>
  <c r="N50" i="305"/>
  <c r="P50" i="305"/>
  <c r="Q50" i="305"/>
  <c r="R50" i="305"/>
  <c r="S50" i="305"/>
  <c r="T50" i="305"/>
  <c r="U50" i="305"/>
  <c r="V50" i="305"/>
  <c r="W50" i="305"/>
  <c r="X50" i="305"/>
  <c r="K51" i="305"/>
  <c r="K52" i="305"/>
  <c r="A1" i="307"/>
  <c r="J17" i="307"/>
  <c r="J18" i="307" s="1"/>
  <c r="J19" i="307" s="1"/>
  <c r="J20" i="307" s="1"/>
  <c r="K17" i="307"/>
  <c r="L17" i="307"/>
  <c r="M17" i="307"/>
  <c r="N17" i="307"/>
  <c r="O17" i="307"/>
  <c r="P17" i="307"/>
  <c r="Q17" i="307"/>
  <c r="R17" i="307"/>
  <c r="K18" i="307"/>
  <c r="M18" i="307"/>
  <c r="K19" i="307"/>
  <c r="K20" i="307"/>
  <c r="J21" i="307"/>
  <c r="J22" i="307" s="1"/>
  <c r="J23" i="307" s="1"/>
  <c r="J24" i="307" s="1"/>
  <c r="K21" i="307"/>
  <c r="L21" i="307"/>
  <c r="M21" i="307"/>
  <c r="N21" i="307"/>
  <c r="O21" i="307"/>
  <c r="P21" i="307"/>
  <c r="Q21" i="307"/>
  <c r="R21" i="307"/>
  <c r="K22" i="307"/>
  <c r="L22" i="307"/>
  <c r="K23" i="307"/>
  <c r="K24" i="307"/>
  <c r="J25" i="307"/>
  <c r="J26" i="307" s="1"/>
  <c r="J27" i="307" s="1"/>
  <c r="J28" i="307" s="1"/>
  <c r="K25" i="307"/>
  <c r="L25" i="307"/>
  <c r="M25" i="307"/>
  <c r="N25" i="307"/>
  <c r="O25" i="307"/>
  <c r="P25" i="307"/>
  <c r="Q25" i="307"/>
  <c r="R25" i="307"/>
  <c r="K26" i="307"/>
  <c r="M26" i="307"/>
  <c r="K27" i="307"/>
  <c r="K28" i="307"/>
  <c r="J29" i="307"/>
  <c r="J30" i="307" s="1"/>
  <c r="J31" i="307" s="1"/>
  <c r="J32" i="307" s="1"/>
  <c r="K29" i="307"/>
  <c r="L29" i="307"/>
  <c r="M29" i="307"/>
  <c r="N29" i="307"/>
  <c r="O29" i="307"/>
  <c r="P29" i="307"/>
  <c r="Q29" i="307"/>
  <c r="R29" i="307"/>
  <c r="K30" i="307"/>
  <c r="K31" i="307"/>
  <c r="K32" i="307"/>
  <c r="J33" i="307"/>
  <c r="J34" i="307" s="1"/>
  <c r="J35" i="307" s="1"/>
  <c r="J36" i="307" s="1"/>
  <c r="K33" i="307"/>
  <c r="L33" i="307"/>
  <c r="M33" i="307"/>
  <c r="N33" i="307"/>
  <c r="O33" i="307"/>
  <c r="P33" i="307"/>
  <c r="Q33" i="307"/>
  <c r="R33" i="307"/>
  <c r="K34" i="307"/>
  <c r="M34" i="307"/>
  <c r="K35" i="307"/>
  <c r="K36" i="307"/>
  <c r="J37" i="307"/>
  <c r="J38" i="307" s="1"/>
  <c r="J39" i="307" s="1"/>
  <c r="J40" i="307" s="1"/>
  <c r="K37" i="307"/>
  <c r="L37" i="307"/>
  <c r="M37" i="307"/>
  <c r="N37" i="307"/>
  <c r="O37" i="307"/>
  <c r="P37" i="307"/>
  <c r="Q37" i="307"/>
  <c r="R37" i="307"/>
  <c r="K38" i="307"/>
  <c r="K39" i="307"/>
  <c r="K40" i="307"/>
  <c r="J41" i="307"/>
  <c r="J42" i="307" s="1"/>
  <c r="J43" i="307" s="1"/>
  <c r="J44" i="307" s="1"/>
  <c r="K41" i="307"/>
  <c r="L41" i="307"/>
  <c r="M41" i="307"/>
  <c r="N41" i="307"/>
  <c r="O41" i="307"/>
  <c r="P41" i="307"/>
  <c r="Q41" i="307"/>
  <c r="R41" i="307"/>
  <c r="K42" i="307"/>
  <c r="K43" i="307"/>
  <c r="K44" i="307"/>
  <c r="J45" i="307"/>
  <c r="J46" i="307" s="1"/>
  <c r="J47" i="307" s="1"/>
  <c r="J48" i="307" s="1"/>
  <c r="K45" i="307"/>
  <c r="L45" i="307"/>
  <c r="M45" i="307"/>
  <c r="N45" i="307"/>
  <c r="O45" i="307"/>
  <c r="P45" i="307"/>
  <c r="Q45" i="307"/>
  <c r="R45" i="307"/>
  <c r="K46" i="307"/>
  <c r="K47" i="307"/>
  <c r="K48" i="307"/>
  <c r="J49" i="307"/>
  <c r="J50" i="307" s="1"/>
  <c r="J51" i="307" s="1"/>
  <c r="J52" i="307" s="1"/>
  <c r="K49" i="307"/>
  <c r="L49" i="307"/>
  <c r="M49" i="307"/>
  <c r="N49" i="307"/>
  <c r="O49" i="307"/>
  <c r="P49" i="307"/>
  <c r="Q49" i="307"/>
  <c r="R49" i="307"/>
  <c r="K50" i="307"/>
  <c r="K51" i="307"/>
  <c r="K52" i="307"/>
  <c r="J53" i="307"/>
  <c r="J54" i="307" s="1"/>
  <c r="J55" i="307" s="1"/>
  <c r="J56" i="307" s="1"/>
  <c r="K53" i="307"/>
  <c r="L53" i="307"/>
  <c r="M53" i="307"/>
  <c r="N53" i="307"/>
  <c r="O53" i="307"/>
  <c r="P53" i="307"/>
  <c r="Q53" i="307"/>
  <c r="R53" i="307"/>
  <c r="K54" i="307"/>
  <c r="K55" i="307"/>
  <c r="K56" i="307"/>
  <c r="J57" i="307"/>
  <c r="J58" i="307" s="1"/>
  <c r="J59" i="307" s="1"/>
  <c r="J60" i="307" s="1"/>
  <c r="K57" i="307"/>
  <c r="L57" i="307"/>
  <c r="M57" i="307"/>
  <c r="N57" i="307"/>
  <c r="O57" i="307"/>
  <c r="P57" i="307"/>
  <c r="Q57" i="307"/>
  <c r="R57" i="307"/>
  <c r="K58" i="307"/>
  <c r="K59" i="307"/>
  <c r="K60" i="307"/>
  <c r="Z126" i="180" l="1"/>
  <c r="S128" i="293" s="1"/>
  <c r="H126" i="180"/>
  <c r="G128" i="293" s="1"/>
  <c r="Z50" i="305"/>
  <c r="P18" i="310"/>
  <c r="L12" i="305" l="1" a="1"/>
  <c r="L12" i="305" s="1"/>
  <c r="L12" i="310" l="1" a="1"/>
  <c r="L12" i="310" s="1"/>
  <c r="L12" i="307" a="1"/>
  <c r="L12" i="307" s="1"/>
  <c r="A1" i="308"/>
  <c r="L12" i="308" a="1"/>
  <c r="L12" i="308" s="1"/>
  <c r="J17" i="308"/>
  <c r="J18" i="308" s="1"/>
  <c r="J19" i="308" s="1"/>
  <c r="J20" i="308" s="1"/>
  <c r="K17" i="308"/>
  <c r="L17" i="308"/>
  <c r="M17" i="308"/>
  <c r="N17" i="308"/>
  <c r="O17" i="308"/>
  <c r="P17" i="308"/>
  <c r="Q17" i="308"/>
  <c r="R17" i="308"/>
  <c r="T17" i="308"/>
  <c r="K18" i="308"/>
  <c r="L18" i="308"/>
  <c r="M18" i="308"/>
  <c r="N18" i="308"/>
  <c r="O18" i="308"/>
  <c r="R18" i="308"/>
  <c r="K19" i="308"/>
  <c r="K20" i="308"/>
  <c r="J21" i="308"/>
  <c r="J22" i="308" s="1"/>
  <c r="J23" i="308" s="1"/>
  <c r="J24" i="308" s="1"/>
  <c r="K21" i="308"/>
  <c r="L21" i="308"/>
  <c r="M21" i="308"/>
  <c r="N21" i="308"/>
  <c r="O21" i="308"/>
  <c r="P21" i="308"/>
  <c r="Q21" i="308"/>
  <c r="R21" i="308"/>
  <c r="T21" i="308"/>
  <c r="K22" i="308"/>
  <c r="U22" i="308"/>
  <c r="Q22" i="308" s="1"/>
  <c r="K23" i="308"/>
  <c r="K24" i="308"/>
  <c r="J25" i="308"/>
  <c r="J26" i="308" s="1"/>
  <c r="J27" i="308" s="1"/>
  <c r="J28" i="308" s="1"/>
  <c r="K25" i="308"/>
  <c r="L25" i="308"/>
  <c r="M25" i="308"/>
  <c r="N25" i="308"/>
  <c r="O25" i="308"/>
  <c r="P25" i="308"/>
  <c r="Q25" i="308"/>
  <c r="R25" i="308"/>
  <c r="T25" i="308"/>
  <c r="K26" i="308"/>
  <c r="O26" i="308"/>
  <c r="Q26" i="308"/>
  <c r="R26" i="308"/>
  <c r="K27" i="308"/>
  <c r="K28" i="308"/>
  <c r="J29" i="308"/>
  <c r="J30" i="308" s="1"/>
  <c r="J31" i="308" s="1"/>
  <c r="J32" i="308" s="1"/>
  <c r="K29" i="308"/>
  <c r="L29" i="308"/>
  <c r="M29" i="308"/>
  <c r="N29" i="308"/>
  <c r="O29" i="308"/>
  <c r="P29" i="308"/>
  <c r="Q29" i="308"/>
  <c r="R29" i="308"/>
  <c r="T29" i="308"/>
  <c r="K30" i="308"/>
  <c r="L30" i="308"/>
  <c r="O30" i="308"/>
  <c r="Q30" i="308"/>
  <c r="R30" i="308"/>
  <c r="K31" i="308"/>
  <c r="K32" i="308"/>
  <c r="J33" i="308"/>
  <c r="J34" i="308" s="1"/>
  <c r="J35" i="308" s="1"/>
  <c r="J36" i="308" s="1"/>
  <c r="K33" i="308"/>
  <c r="L33" i="308"/>
  <c r="M33" i="308"/>
  <c r="N33" i="308"/>
  <c r="O33" i="308"/>
  <c r="P33" i="308"/>
  <c r="Q33" i="308"/>
  <c r="R33" i="308"/>
  <c r="T33" i="308"/>
  <c r="L34" i="308"/>
  <c r="M34" i="308"/>
  <c r="N34" i="308"/>
  <c r="O34" i="308"/>
  <c r="R34" i="308"/>
  <c r="K34" i="308"/>
  <c r="K35" i="308"/>
  <c r="K36" i="308"/>
  <c r="J37" i="308"/>
  <c r="J38" i="308" s="1"/>
  <c r="J39" i="308" s="1"/>
  <c r="J40" i="308" s="1"/>
  <c r="K37" i="308"/>
  <c r="L37" i="308"/>
  <c r="M37" i="308"/>
  <c r="N37" i="308"/>
  <c r="O37" i="308"/>
  <c r="P37" i="308"/>
  <c r="Q37" i="308"/>
  <c r="R37" i="308"/>
  <c r="T37" i="308"/>
  <c r="K38" i="308"/>
  <c r="T38" i="308"/>
  <c r="K39" i="308"/>
  <c r="K40" i="308"/>
  <c r="J41" i="308"/>
  <c r="J42" i="308" s="1"/>
  <c r="J43" i="308" s="1"/>
  <c r="J44" i="308" s="1"/>
  <c r="K41" i="308"/>
  <c r="L41" i="308"/>
  <c r="M41" i="308"/>
  <c r="N41" i="308"/>
  <c r="O41" i="308"/>
  <c r="P41" i="308"/>
  <c r="Q41" i="308"/>
  <c r="R41" i="308"/>
  <c r="T41" i="308"/>
  <c r="K42" i="308"/>
  <c r="P42" i="308"/>
  <c r="Q42" i="308"/>
  <c r="K43" i="308"/>
  <c r="K44" i="308"/>
  <c r="J45" i="308"/>
  <c r="J46" i="308" s="1"/>
  <c r="J47" i="308" s="1"/>
  <c r="J48" i="308" s="1"/>
  <c r="K45" i="308"/>
  <c r="L45" i="308"/>
  <c r="M45" i="308"/>
  <c r="N45" i="308"/>
  <c r="O45" i="308"/>
  <c r="P45" i="308"/>
  <c r="Q45" i="308"/>
  <c r="R45" i="308"/>
  <c r="T45" i="308"/>
  <c r="K46" i="308"/>
  <c r="Q46" i="308"/>
  <c r="T46" i="308" s="1"/>
  <c r="K47" i="308"/>
  <c r="K48" i="308"/>
  <c r="J49" i="308"/>
  <c r="J50" i="308" s="1"/>
  <c r="J51" i="308" s="1"/>
  <c r="J52" i="308" s="1"/>
  <c r="K49" i="308"/>
  <c r="L49" i="308"/>
  <c r="M49" i="308"/>
  <c r="N49" i="308"/>
  <c r="O49" i="308"/>
  <c r="P49" i="308"/>
  <c r="Q49" i="308"/>
  <c r="R49" i="308"/>
  <c r="T49" i="308"/>
  <c r="K50" i="308"/>
  <c r="U50" i="308"/>
  <c r="P50" i="308" s="1"/>
  <c r="K51" i="308"/>
  <c r="K52" i="308"/>
  <c r="A1" i="251"/>
  <c r="H21" i="251"/>
  <c r="H22" i="251"/>
  <c r="H75" i="251"/>
  <c r="H76" i="251"/>
  <c r="H77" i="251"/>
  <c r="H78" i="251"/>
  <c r="H79" i="251"/>
  <c r="H80" i="251"/>
  <c r="H81" i="251"/>
  <c r="H82" i="251"/>
  <c r="H83" i="251"/>
  <c r="H84" i="251"/>
  <c r="H85" i="251"/>
  <c r="H86" i="251"/>
  <c r="H87" i="251"/>
  <c r="H88" i="251"/>
  <c r="H89" i="251"/>
  <c r="H90" i="251"/>
  <c r="H91" i="251"/>
  <c r="H92" i="251"/>
  <c r="H93" i="251"/>
  <c r="H94" i="251"/>
  <c r="H95" i="251"/>
  <c r="H96" i="251"/>
  <c r="H97" i="251"/>
  <c r="H98" i="251"/>
  <c r="H99" i="251"/>
  <c r="H100" i="251"/>
  <c r="H101" i="251"/>
  <c r="H102" i="251"/>
  <c r="H103" i="251"/>
  <c r="H104" i="251"/>
  <c r="H105" i="251"/>
  <c r="H106" i="251"/>
  <c r="H107" i="251"/>
  <c r="H108" i="251"/>
  <c r="H109" i="251"/>
  <c r="H110" i="251"/>
  <c r="H111" i="251"/>
  <c r="H112" i="251"/>
  <c r="H113" i="251"/>
  <c r="H114" i="251"/>
  <c r="H115" i="251"/>
  <c r="H116" i="251"/>
  <c r="H117" i="251"/>
  <c r="H118" i="251"/>
  <c r="H119" i="251"/>
  <c r="H120" i="251"/>
  <c r="H121" i="251"/>
  <c r="H122" i="251"/>
  <c r="H123" i="251"/>
  <c r="H124" i="251"/>
  <c r="H125" i="251"/>
  <c r="H126" i="251"/>
  <c r="H127" i="251"/>
  <c r="H128" i="251"/>
  <c r="H129" i="251"/>
  <c r="H130" i="251"/>
  <c r="H131" i="251"/>
  <c r="H132" i="251"/>
  <c r="H133" i="251"/>
  <c r="H134" i="251"/>
  <c r="H135" i="251"/>
  <c r="H136" i="251"/>
  <c r="H137" i="251"/>
  <c r="H138" i="251"/>
  <c r="H139" i="251"/>
  <c r="H140" i="251"/>
  <c r="H141" i="251"/>
  <c r="H142" i="251"/>
  <c r="H143" i="251"/>
  <c r="H144" i="251"/>
  <c r="H145" i="251"/>
  <c r="H146" i="251"/>
  <c r="H147" i="251"/>
  <c r="H148" i="251"/>
  <c r="H149" i="251"/>
  <c r="H150" i="251"/>
  <c r="H151" i="251"/>
  <c r="H152" i="251"/>
  <c r="H153" i="251"/>
  <c r="H154" i="251"/>
  <c r="H155" i="251"/>
  <c r="H156" i="251"/>
  <c r="H157" i="251"/>
  <c r="H158" i="251"/>
  <c r="H159" i="251"/>
  <c r="H160" i="251"/>
  <c r="H161" i="251"/>
  <c r="H162" i="251"/>
  <c r="H163" i="251"/>
  <c r="H164" i="251"/>
  <c r="H165" i="251"/>
  <c r="H166" i="251"/>
  <c r="H167" i="251"/>
  <c r="H168" i="251"/>
  <c r="H169" i="251"/>
  <c r="H170" i="251"/>
  <c r="H171" i="251"/>
  <c r="H172" i="251"/>
  <c r="H173" i="251"/>
  <c r="H174" i="251"/>
  <c r="H175" i="251"/>
  <c r="H176" i="251"/>
  <c r="H177" i="251"/>
  <c r="H178" i="251"/>
  <c r="H179" i="251"/>
  <c r="H180" i="251"/>
  <c r="H181" i="251"/>
  <c r="H182" i="251"/>
  <c r="H183" i="251"/>
  <c r="H184" i="251"/>
  <c r="H185" i="251"/>
  <c r="H186" i="251"/>
  <c r="H187" i="251"/>
  <c r="H188" i="251"/>
  <c r="H189" i="251"/>
  <c r="H190" i="251"/>
  <c r="H191" i="251"/>
  <c r="H192" i="251"/>
  <c r="H193" i="251"/>
  <c r="H194" i="251"/>
  <c r="H195" i="251"/>
  <c r="H196" i="251"/>
  <c r="H197" i="251"/>
  <c r="H198" i="251"/>
  <c r="H199" i="251"/>
  <c r="H200" i="251"/>
  <c r="H201" i="251"/>
  <c r="H202" i="251"/>
  <c r="H203" i="251"/>
  <c r="H204" i="251"/>
  <c r="H205" i="251"/>
  <c r="H206" i="251"/>
  <c r="H207" i="251"/>
  <c r="H208" i="251"/>
  <c r="H209" i="251"/>
  <c r="H210" i="251"/>
  <c r="H211" i="251"/>
  <c r="H212" i="251"/>
  <c r="H213" i="251"/>
  <c r="H214" i="251"/>
  <c r="H215" i="251"/>
  <c r="H216" i="251"/>
  <c r="H217" i="251"/>
  <c r="H218" i="251"/>
  <c r="H219" i="251"/>
  <c r="H220" i="251"/>
  <c r="H221" i="251"/>
  <c r="H222" i="251"/>
  <c r="H223" i="251"/>
  <c r="H224" i="251"/>
  <c r="H225" i="251"/>
  <c r="H226" i="251"/>
  <c r="H227" i="251"/>
  <c r="H228" i="251"/>
  <c r="H229" i="251"/>
  <c r="H230" i="251"/>
  <c r="H231" i="251"/>
  <c r="H232" i="251"/>
  <c r="H233" i="251"/>
  <c r="H234" i="251"/>
  <c r="H235" i="251"/>
  <c r="H236" i="251"/>
  <c r="H237" i="251"/>
  <c r="H238" i="251"/>
  <c r="H239" i="251"/>
  <c r="H240" i="251"/>
  <c r="H241" i="251"/>
  <c r="H242" i="251"/>
  <c r="H243" i="251"/>
  <c r="H244" i="251"/>
  <c r="H245" i="251"/>
  <c r="H246" i="251"/>
  <c r="H247" i="251"/>
  <c r="H248" i="251"/>
  <c r="H249" i="251"/>
  <c r="H250" i="251"/>
  <c r="H251" i="251"/>
  <c r="H252" i="251"/>
  <c r="H253" i="251"/>
  <c r="H254" i="251"/>
  <c r="H255" i="251"/>
  <c r="H256" i="251"/>
  <c r="H257" i="251"/>
  <c r="H258" i="251"/>
  <c r="H259" i="251"/>
  <c r="H260" i="251"/>
  <c r="H261" i="251"/>
  <c r="H262" i="251"/>
  <c r="H263" i="251"/>
  <c r="H264" i="251"/>
  <c r="H265" i="251"/>
  <c r="H266" i="251"/>
  <c r="H267" i="251"/>
  <c r="H268" i="251"/>
  <c r="H269" i="251"/>
  <c r="H270" i="251"/>
  <c r="H271" i="251"/>
  <c r="H272" i="251"/>
  <c r="H273" i="251"/>
  <c r="H274" i="251"/>
  <c r="H275" i="251"/>
  <c r="H276" i="251"/>
  <c r="H277" i="251"/>
  <c r="H278" i="251"/>
  <c r="H279" i="251"/>
  <c r="H280" i="251"/>
  <c r="H281" i="251"/>
  <c r="H282" i="251"/>
  <c r="H283" i="251"/>
  <c r="H284" i="251"/>
  <c r="H285" i="251"/>
  <c r="H286" i="251"/>
  <c r="H287" i="251"/>
  <c r="H288" i="251"/>
  <c r="H289" i="251"/>
  <c r="H290" i="251"/>
  <c r="H291" i="251"/>
  <c r="H292" i="251"/>
  <c r="H293" i="251"/>
  <c r="H294" i="251"/>
  <c r="H295" i="251"/>
  <c r="H296" i="251"/>
  <c r="H297" i="251"/>
  <c r="H298" i="251"/>
  <c r="H299" i="251"/>
  <c r="H300" i="251"/>
  <c r="H301" i="251"/>
  <c r="H302" i="251"/>
  <c r="H303" i="251"/>
  <c r="H304" i="251"/>
  <c r="H305" i="251"/>
  <c r="H306" i="251"/>
  <c r="H307" i="251"/>
  <c r="H308" i="251"/>
  <c r="H309" i="251"/>
  <c r="H310" i="251"/>
  <c r="H311" i="251"/>
  <c r="H312" i="251"/>
  <c r="H313" i="251"/>
  <c r="H314" i="251"/>
  <c r="H315" i="251"/>
  <c r="H316" i="251"/>
  <c r="H317" i="251"/>
  <c r="H318" i="251"/>
  <c r="H319" i="251"/>
  <c r="H320" i="251"/>
  <c r="H321" i="251"/>
  <c r="H322" i="251"/>
  <c r="H323" i="251"/>
  <c r="H324" i="251"/>
  <c r="H325" i="251"/>
  <c r="H326" i="251"/>
  <c r="H327" i="251"/>
  <c r="H328" i="251"/>
  <c r="H329" i="251"/>
  <c r="H330" i="251"/>
  <c r="H331" i="251"/>
  <c r="H332" i="251"/>
  <c r="H333" i="251"/>
  <c r="H334" i="251"/>
  <c r="H335" i="251"/>
  <c r="H336" i="251"/>
  <c r="H337" i="251"/>
  <c r="H338" i="251"/>
  <c r="H339" i="251"/>
  <c r="H340" i="251"/>
  <c r="H341" i="251"/>
  <c r="H342" i="251"/>
  <c r="H343" i="251"/>
  <c r="H344" i="251"/>
  <c r="H345" i="251"/>
  <c r="H346" i="251"/>
  <c r="H347" i="251"/>
  <c r="H348" i="251"/>
  <c r="H349" i="251"/>
  <c r="H350" i="251"/>
  <c r="H351" i="251"/>
  <c r="H352" i="251"/>
  <c r="H353" i="251"/>
  <c r="H354" i="251"/>
  <c r="H355" i="251"/>
  <c r="H356" i="251"/>
  <c r="H357" i="251"/>
  <c r="H358" i="251"/>
  <c r="H359" i="251"/>
  <c r="H360" i="251"/>
  <c r="H361" i="251"/>
  <c r="H362" i="251"/>
  <c r="H363" i="251"/>
  <c r="H364" i="251"/>
  <c r="H365" i="251"/>
  <c r="H366" i="251"/>
  <c r="H367" i="251"/>
  <c r="H368" i="251"/>
  <c r="H369" i="251"/>
  <c r="H370" i="251"/>
  <c r="H371" i="251"/>
  <c r="H372" i="251"/>
  <c r="H373" i="251"/>
  <c r="H374" i="251"/>
  <c r="H375" i="251"/>
  <c r="H376" i="251"/>
  <c r="H377" i="251"/>
  <c r="H378" i="251"/>
  <c r="H379" i="251"/>
  <c r="H380" i="251"/>
  <c r="H381" i="251"/>
  <c r="H382" i="251"/>
  <c r="H383" i="251"/>
  <c r="H384" i="251"/>
  <c r="H385" i="251"/>
  <c r="H386" i="251"/>
  <c r="H387" i="251"/>
  <c r="H388" i="251"/>
  <c r="H389" i="251"/>
  <c r="H390" i="251"/>
  <c r="H391" i="251"/>
  <c r="H392" i="251"/>
  <c r="H393" i="251"/>
  <c r="H394" i="251"/>
  <c r="H395" i="251"/>
  <c r="H396" i="251"/>
  <c r="H397" i="251"/>
  <c r="H398" i="251"/>
  <c r="H399" i="251"/>
  <c r="H400" i="251"/>
  <c r="H401" i="251"/>
  <c r="H402" i="251"/>
  <c r="H403" i="251"/>
  <c r="H404" i="251"/>
  <c r="H405" i="251"/>
  <c r="H406" i="251"/>
  <c r="H407" i="251"/>
  <c r="H408" i="251"/>
  <c r="H409" i="251"/>
  <c r="H410" i="251"/>
  <c r="H411" i="251"/>
  <c r="H412" i="251"/>
  <c r="H413" i="251"/>
  <c r="H414" i="251"/>
  <c r="H415" i="251"/>
  <c r="H416" i="251"/>
  <c r="H417" i="251"/>
  <c r="H418" i="251"/>
  <c r="H419" i="251"/>
  <c r="H420" i="251"/>
  <c r="H421" i="251"/>
  <c r="H422" i="251"/>
  <c r="H423" i="251"/>
  <c r="H424" i="251"/>
  <c r="H425" i="251"/>
  <c r="H426" i="251"/>
  <c r="H427" i="251"/>
  <c r="H428" i="251"/>
  <c r="H429" i="251"/>
  <c r="H430" i="251"/>
  <c r="H431" i="251"/>
  <c r="H432" i="251"/>
  <c r="H433" i="251"/>
  <c r="H434" i="251"/>
  <c r="H435" i="251"/>
  <c r="H436" i="251"/>
  <c r="H437" i="251"/>
  <c r="H438" i="251"/>
  <c r="H439" i="251"/>
  <c r="H440" i="251"/>
  <c r="H441" i="251"/>
  <c r="H442" i="251"/>
  <c r="H443" i="251"/>
  <c r="H444" i="251"/>
  <c r="H445" i="251"/>
  <c r="H446" i="251"/>
  <c r="H447" i="251"/>
  <c r="H448" i="251"/>
  <c r="H449" i="251"/>
  <c r="H450" i="251"/>
  <c r="H451" i="251"/>
  <c r="H452" i="251"/>
  <c r="H453" i="251"/>
  <c r="H454" i="251"/>
  <c r="H455" i="251"/>
  <c r="H456" i="251"/>
  <c r="H457" i="251"/>
  <c r="H458" i="251"/>
  <c r="H459" i="251"/>
  <c r="H460" i="251"/>
  <c r="H461" i="251"/>
  <c r="H462" i="251"/>
  <c r="H463" i="251"/>
  <c r="H464" i="251"/>
  <c r="H465" i="251"/>
  <c r="H466" i="251"/>
  <c r="H467" i="251"/>
  <c r="H468" i="251"/>
  <c r="H469" i="251"/>
  <c r="H470" i="251"/>
  <c r="H471" i="251"/>
  <c r="H472" i="251"/>
  <c r="H473" i="251"/>
  <c r="H474" i="251"/>
  <c r="H475" i="251"/>
  <c r="H476" i="251"/>
  <c r="H477" i="251"/>
  <c r="H478" i="251"/>
  <c r="H479" i="251"/>
  <c r="H480" i="251"/>
  <c r="H481" i="251"/>
  <c r="H482" i="251"/>
  <c r="H483" i="251"/>
  <c r="H484" i="251"/>
  <c r="H485" i="251"/>
  <c r="H486" i="251"/>
  <c r="H487" i="251"/>
  <c r="H488" i="251"/>
  <c r="H489" i="251"/>
  <c r="H490" i="251"/>
  <c r="H491" i="251"/>
  <c r="H492" i="251"/>
  <c r="H493" i="251"/>
  <c r="H494" i="251"/>
  <c r="H495" i="251"/>
  <c r="H496" i="251"/>
  <c r="H497" i="251"/>
  <c r="H498" i="251"/>
  <c r="H499" i="251"/>
  <c r="H500" i="251"/>
  <c r="A1" i="233"/>
  <c r="A1" i="309"/>
  <c r="P22" i="308" l="1"/>
  <c r="O50" i="308"/>
  <c r="O22" i="308"/>
  <c r="L50" i="308"/>
  <c r="T34" i="308"/>
  <c r="T26" i="308"/>
  <c r="T18" i="308"/>
  <c r="Q50" i="308"/>
  <c r="T42" i="308"/>
  <c r="T30" i="308"/>
  <c r="R50" i="308"/>
  <c r="A1" i="306"/>
  <c r="A1" i="278"/>
  <c r="A1" i="277"/>
  <c r="A1" i="276"/>
  <c r="A1" i="281"/>
  <c r="A1" i="304"/>
  <c r="A1" i="302"/>
  <c r="A1" i="285"/>
  <c r="A1" i="287"/>
  <c r="A1" i="286"/>
  <c r="A1" i="284"/>
  <c r="A1" i="283"/>
  <c r="A1" i="282"/>
  <c r="A1" i="273"/>
  <c r="A1" i="272"/>
  <c r="A1" i="271"/>
  <c r="A1" i="279"/>
  <c r="A1" i="269"/>
  <c r="A1" i="268"/>
  <c r="A1" i="267"/>
  <c r="A1" i="266"/>
  <c r="A1" i="265"/>
  <c r="A1" i="264"/>
  <c r="A1" i="263"/>
  <c r="A1" i="262"/>
  <c r="A1" i="261"/>
  <c r="A1" i="260"/>
  <c r="A1" i="259"/>
  <c r="A1" i="258"/>
  <c r="A1" i="256"/>
  <c r="A1" i="255"/>
  <c r="A1" i="254"/>
  <c r="A1" i="253"/>
  <c r="A1" i="301"/>
  <c r="A1" i="252"/>
  <c r="A1" i="250"/>
  <c r="A1" i="248"/>
  <c r="A1" i="247"/>
  <c r="A1" i="249"/>
  <c r="A1" i="246"/>
  <c r="A1" i="245"/>
  <c r="A1" i="303"/>
  <c r="A1" i="244"/>
  <c r="A1" i="243"/>
  <c r="A1" i="241"/>
  <c r="A1" i="237"/>
  <c r="A1" i="298"/>
  <c r="A1" i="297"/>
  <c r="A1" i="236"/>
  <c r="A1" i="235"/>
  <c r="A1" i="234"/>
  <c r="A1" i="232"/>
  <c r="A1" i="231"/>
  <c r="A1" i="230"/>
  <c r="A1" i="227"/>
  <c r="A1" i="226"/>
  <c r="A1" i="225"/>
  <c r="A1" i="224"/>
  <c r="A1" i="223"/>
  <c r="A1" i="222"/>
  <c r="A1" i="221"/>
  <c r="A1" i="196"/>
  <c r="A1" i="220"/>
  <c r="T22" i="308" l="1"/>
  <c r="T50" i="308"/>
  <c r="AA126" i="180" a="1"/>
  <c r="AB126" i="180" a="1"/>
  <c r="AA126" i="180" l="1"/>
  <c r="T128" i="293" s="1"/>
  <c r="AB126" i="180"/>
  <c r="U128" i="293" s="1"/>
  <c r="K36" i="306"/>
  <c r="D36" i="306"/>
  <c r="X35" i="306"/>
  <c r="W35" i="306"/>
  <c r="V35" i="306"/>
  <c r="U35" i="306"/>
  <c r="K35" i="306"/>
  <c r="D35" i="306"/>
  <c r="X34" i="306"/>
  <c r="W34" i="306"/>
  <c r="V34" i="306"/>
  <c r="U34" i="306"/>
  <c r="K34" i="306"/>
  <c r="D34" i="306"/>
  <c r="X33" i="306"/>
  <c r="W33" i="306"/>
  <c r="V33" i="306"/>
  <c r="U33" i="306"/>
  <c r="K33" i="306"/>
  <c r="J33" i="306"/>
  <c r="J34" i="306" s="1"/>
  <c r="J35" i="306" s="1"/>
  <c r="J36" i="306" s="1"/>
  <c r="X32" i="306"/>
  <c r="W32" i="306"/>
  <c r="V32" i="306"/>
  <c r="U32" i="306"/>
  <c r="K32" i="306"/>
  <c r="D32" i="306"/>
  <c r="X31" i="306"/>
  <c r="W31" i="306"/>
  <c r="V31" i="306"/>
  <c r="U31" i="306"/>
  <c r="K31" i="306"/>
  <c r="D31" i="306"/>
  <c r="X30" i="306"/>
  <c r="W30" i="306"/>
  <c r="V30" i="306"/>
  <c r="U30" i="306"/>
  <c r="K30" i="306"/>
  <c r="D30" i="306"/>
  <c r="X29" i="306"/>
  <c r="W29" i="306"/>
  <c r="V29" i="306"/>
  <c r="U29" i="306"/>
  <c r="K29" i="306"/>
  <c r="J29" i="306"/>
  <c r="J30" i="306" s="1"/>
  <c r="J31" i="306" s="1"/>
  <c r="J32" i="306" s="1"/>
  <c r="X28" i="306"/>
  <c r="W28" i="306"/>
  <c r="V28" i="306"/>
  <c r="U28" i="306"/>
  <c r="K28" i="306"/>
  <c r="X27" i="306"/>
  <c r="W27" i="306"/>
  <c r="V27" i="306"/>
  <c r="U27" i="306"/>
  <c r="K27" i="306"/>
  <c r="X26" i="306"/>
  <c r="W26" i="306"/>
  <c r="V26" i="306"/>
  <c r="U26" i="306"/>
  <c r="K26" i="306"/>
  <c r="AD25" i="306"/>
  <c r="X25" i="306"/>
  <c r="W25" i="306"/>
  <c r="V25" i="306"/>
  <c r="U25" i="306"/>
  <c r="T25" i="306"/>
  <c r="K25" i="306"/>
  <c r="J25" i="306"/>
  <c r="J26" i="306" s="1"/>
  <c r="J27" i="306" s="1"/>
  <c r="J28" i="306" s="1"/>
  <c r="AD24" i="306"/>
  <c r="X24" i="306"/>
  <c r="W24" i="306"/>
  <c r="V24" i="306"/>
  <c r="U24" i="306"/>
  <c r="T24" i="306"/>
  <c r="K24" i="306"/>
  <c r="D24" i="306"/>
  <c r="AD23" i="306"/>
  <c r="X23" i="306"/>
  <c r="W23" i="306"/>
  <c r="V23" i="306"/>
  <c r="U23" i="306"/>
  <c r="T23" i="306"/>
  <c r="K23" i="306"/>
  <c r="D23" i="306"/>
  <c r="AD22" i="306"/>
  <c r="X22" i="306"/>
  <c r="W22" i="306"/>
  <c r="V22" i="306"/>
  <c r="U22" i="306"/>
  <c r="T22" i="306"/>
  <c r="K22" i="306"/>
  <c r="D22" i="306"/>
  <c r="X21" i="306"/>
  <c r="W21" i="306"/>
  <c r="V21" i="306"/>
  <c r="U21" i="306"/>
  <c r="K21" i="306"/>
  <c r="J21" i="306"/>
  <c r="J22" i="306" s="1"/>
  <c r="J23" i="306" s="1"/>
  <c r="J24" i="306" s="1"/>
  <c r="X20" i="306"/>
  <c r="W20" i="306"/>
  <c r="V20" i="306"/>
  <c r="U20" i="306"/>
  <c r="K20" i="306"/>
  <c r="D20" i="306"/>
  <c r="X19" i="306"/>
  <c r="W19" i="306"/>
  <c r="V19" i="306"/>
  <c r="U19" i="306"/>
  <c r="K19" i="306"/>
  <c r="D19" i="306"/>
  <c r="X18" i="306"/>
  <c r="W18" i="306"/>
  <c r="V18" i="306"/>
  <c r="U18" i="306"/>
  <c r="K18" i="306"/>
  <c r="D18" i="306"/>
  <c r="X17" i="306"/>
  <c r="W17" i="306"/>
  <c r="V17" i="306"/>
  <c r="U17" i="306"/>
  <c r="K17" i="306"/>
  <c r="J17" i="306"/>
  <c r="Y24" i="306" l="1"/>
  <c r="Y23" i="306"/>
  <c r="Y25" i="306"/>
  <c r="E36" i="306"/>
  <c r="J18" i="306"/>
  <c r="E35" i="306"/>
  <c r="E34" i="306"/>
  <c r="D28" i="306"/>
  <c r="E23" i="306"/>
  <c r="E20" i="306"/>
  <c r="E19" i="306"/>
  <c r="E18" i="306"/>
  <c r="E32" i="306"/>
  <c r="E24" i="306"/>
  <c r="E22" i="306"/>
  <c r="Y22" i="306"/>
  <c r="E30" i="306"/>
  <c r="E31" i="306"/>
  <c r="D26" i="306"/>
  <c r="D27" i="306"/>
  <c r="T122" i="180" a="1"/>
  <c r="T122" i="180" l="1"/>
  <c r="J19" i="306"/>
  <c r="E28" i="306"/>
  <c r="E27" i="306"/>
  <c r="E26" i="306"/>
  <c r="J20" i="306" l="1"/>
  <c r="J126" i="180" a="1"/>
  <c r="J122" i="180" a="1"/>
  <c r="O122" i="180" a="1"/>
  <c r="O124" i="180" a="1"/>
  <c r="P126" i="180" a="1"/>
  <c r="T126" i="180" a="1"/>
  <c r="V123" i="180" a="1"/>
  <c r="K123" i="180" a="1"/>
  <c r="I122" i="180" a="1"/>
  <c r="N126" i="180" a="1"/>
  <c r="J125" i="180" a="1"/>
  <c r="V124" i="180" a="1"/>
  <c r="P123" i="180" a="1"/>
  <c r="T126" i="180" l="1"/>
  <c r="J122" i="180"/>
  <c r="J124" i="293" s="1" a="1"/>
  <c r="J124" i="293" s="1"/>
  <c r="P126" i="180"/>
  <c r="N126" i="180"/>
  <c r="O124" i="180"/>
  <c r="N126" i="293" s="1" a="1"/>
  <c r="N126" i="293" s="1"/>
  <c r="P123" i="180"/>
  <c r="O122" i="180"/>
  <c r="N124" i="293" s="1" a="1"/>
  <c r="N124" i="293" s="1"/>
  <c r="I122" i="180"/>
  <c r="I124" i="293" s="1" a="1"/>
  <c r="I124" i="293" s="1"/>
  <c r="J126" i="180"/>
  <c r="J128" i="293" s="1" a="1"/>
  <c r="J128" i="293" s="1"/>
  <c r="J125" i="180"/>
  <c r="J127" i="293" s="1" a="1"/>
  <c r="J127" i="293" s="1"/>
  <c r="V124" i="180"/>
  <c r="V123" i="180"/>
  <c r="K123" i="180"/>
  <c r="K125" i="293" s="1" a="1"/>
  <c r="K125" i="293" s="1"/>
  <c r="W126" i="180" a="1"/>
  <c r="V122" i="180" a="1"/>
  <c r="W125" i="180" a="1"/>
  <c r="V126" i="180" a="1"/>
  <c r="K124" i="180" a="1"/>
  <c r="W122" i="180" a="1"/>
  <c r="O123" i="180" a="1"/>
  <c r="P124" i="180" a="1"/>
  <c r="T123" i="180" a="1"/>
  <c r="W124" i="180" a="1"/>
  <c r="U123" i="180" a="1"/>
  <c r="K122" i="180" a="1"/>
  <c r="I123" i="180" a="1"/>
  <c r="U122" i="180" a="1"/>
  <c r="I124" i="180" a="1"/>
  <c r="V125" i="180" a="1"/>
  <c r="U126" i="180" a="1"/>
  <c r="T125" i="180" a="1"/>
  <c r="W123" i="180" a="1"/>
  <c r="K125" i="180" a="1"/>
  <c r="N122" i="180" a="1"/>
  <c r="P122" i="180" a="1"/>
  <c r="N123" i="180" a="1"/>
  <c r="T124" i="180" a="1"/>
  <c r="O125" i="180" a="1"/>
  <c r="I125" i="180" a="1"/>
  <c r="N125" i="180" a="1"/>
  <c r="I126" i="180" a="1"/>
  <c r="U124" i="180" a="1"/>
  <c r="N124" i="180" a="1"/>
  <c r="J123" i="180" a="1"/>
  <c r="U125" i="180" a="1"/>
  <c r="O126" i="180" a="1"/>
  <c r="J124" i="180" a="1"/>
  <c r="P125" i="180" a="1"/>
  <c r="K126" i="180" a="1"/>
  <c r="K124" i="180" l="1"/>
  <c r="K126" i="293" s="1" a="1"/>
  <c r="K126" i="293" s="1"/>
  <c r="T124" i="180"/>
  <c r="W123" i="180"/>
  <c r="Q125" i="293" s="1" a="1"/>
  <c r="Q125" i="293" s="1"/>
  <c r="N122" i="180"/>
  <c r="M124" i="293" s="1" a="1"/>
  <c r="M124" i="293" s="1"/>
  <c r="U124" i="180"/>
  <c r="P126" i="293" s="1" a="1"/>
  <c r="P126" i="293" s="1"/>
  <c r="V126" i="180"/>
  <c r="J123" i="180"/>
  <c r="J125" i="293" s="1" a="1"/>
  <c r="J125" i="293" s="1"/>
  <c r="P124" i="180"/>
  <c r="Q124" i="180" s="1"/>
  <c r="V122" i="180"/>
  <c r="U126" i="180"/>
  <c r="P128" i="293" s="1" a="1"/>
  <c r="P128" i="293" s="1"/>
  <c r="I123" i="180"/>
  <c r="I125" i="293" s="1" a="1"/>
  <c r="I125" i="293" s="1"/>
  <c r="K125" i="180"/>
  <c r="K127" i="293" s="1" a="1"/>
  <c r="K127" i="293" s="1"/>
  <c r="T125" i="180"/>
  <c r="N125" i="180"/>
  <c r="R125" i="180" s="1"/>
  <c r="L127" i="293" s="1" a="1"/>
  <c r="L127" i="293" s="1"/>
  <c r="W126" i="180"/>
  <c r="Q128" i="293" s="1" a="1"/>
  <c r="Q128" i="293" s="1"/>
  <c r="P125" i="180"/>
  <c r="Q125" i="180" s="1"/>
  <c r="N123" i="180"/>
  <c r="R123" i="180" s="1"/>
  <c r="L125" i="293" s="1" a="1"/>
  <c r="L125" i="293" s="1"/>
  <c r="U122" i="180"/>
  <c r="P124" i="293" s="1" a="1"/>
  <c r="P124" i="293" s="1"/>
  <c r="W122" i="180"/>
  <c r="Q124" i="293" s="1" a="1"/>
  <c r="Q124" i="293" s="1"/>
  <c r="O125" i="180"/>
  <c r="N127" i="293" s="1" a="1"/>
  <c r="N127" i="293" s="1"/>
  <c r="U125" i="180"/>
  <c r="P127" i="293" s="1" a="1"/>
  <c r="P127" i="293" s="1"/>
  <c r="K126" i="180"/>
  <c r="K128" i="293" s="1" a="1"/>
  <c r="K128" i="293" s="1"/>
  <c r="I126" i="180"/>
  <c r="I128" i="293" s="1" a="1"/>
  <c r="I128" i="293" s="1"/>
  <c r="K122" i="180"/>
  <c r="K124" i="293" s="1" a="1"/>
  <c r="K124" i="293" s="1"/>
  <c r="W125" i="180"/>
  <c r="Q127" i="293" s="1" a="1"/>
  <c r="Q127" i="293" s="1"/>
  <c r="N124" i="180"/>
  <c r="M126" i="293" s="1" a="1"/>
  <c r="M126" i="293" s="1"/>
  <c r="T123" i="180"/>
  <c r="V125" i="180"/>
  <c r="I125" i="180"/>
  <c r="I127" i="293" s="1" a="1"/>
  <c r="I127" i="293" s="1"/>
  <c r="O126" i="180"/>
  <c r="N128" i="293" s="1" a="1"/>
  <c r="N128" i="293" s="1"/>
  <c r="P122" i="180"/>
  <c r="J124" i="180"/>
  <c r="J126" i="293" s="1" a="1"/>
  <c r="J126" i="293" s="1"/>
  <c r="I124" i="180"/>
  <c r="I126" i="293" s="1" a="1"/>
  <c r="I126" i="293" s="1"/>
  <c r="O123" i="180"/>
  <c r="N125" i="293" s="1" a="1"/>
  <c r="N125" i="293" s="1"/>
  <c r="W124" i="180"/>
  <c r="Q126" i="293" s="1" a="1"/>
  <c r="Q126" i="293" s="1"/>
  <c r="U123" i="180"/>
  <c r="P125" i="293" s="1" a="1"/>
  <c r="P125" i="293" s="1"/>
  <c r="M122" i="180"/>
  <c r="H124" i="293" s="1" a="1"/>
  <c r="H124" i="293" s="1"/>
  <c r="M128" i="293" a="1"/>
  <c r="M128" i="293" s="1"/>
  <c r="R126" i="180"/>
  <c r="L128" i="293" s="1" a="1"/>
  <c r="L128" i="293" s="1"/>
  <c r="O128" i="293" a="1"/>
  <c r="O128" i="293" s="1"/>
  <c r="Q126" i="180"/>
  <c r="O125" i="293" a="1"/>
  <c r="O125" i="293" s="1"/>
  <c r="Q123" i="180"/>
  <c r="L123" i="180"/>
  <c r="Y123" i="180"/>
  <c r="R125" i="293" s="1" a="1"/>
  <c r="R125" i="293" s="1"/>
  <c r="L124" i="180" l="1"/>
  <c r="O126" i="293" a="1"/>
  <c r="O126" i="293" s="1"/>
  <c r="Y122" i="180"/>
  <c r="R124" i="293" s="1" a="1"/>
  <c r="R124" i="293" s="1"/>
  <c r="Q122" i="180"/>
  <c r="O124" i="293" a="1"/>
  <c r="O124" i="293" s="1"/>
  <c r="M126" i="180"/>
  <c r="H128" i="293" s="1" a="1"/>
  <c r="H128" i="293" s="1"/>
  <c r="O127" i="293" a="1"/>
  <c r="O127" i="293" s="1"/>
  <c r="L126" i="180"/>
  <c r="M127" i="293" a="1"/>
  <c r="M127" i="293" s="1"/>
  <c r="Y125" i="180"/>
  <c r="R127" i="293" s="1" a="1"/>
  <c r="R127" i="293" s="1"/>
  <c r="M124" i="180"/>
  <c r="H126" i="293" s="1" a="1"/>
  <c r="H126" i="293" s="1"/>
  <c r="Y126" i="180"/>
  <c r="R128" i="293" s="1" a="1"/>
  <c r="R128" i="293" s="1"/>
  <c r="M125" i="293" a="1"/>
  <c r="M125" i="293" s="1"/>
  <c r="R124" i="180"/>
  <c r="L126" i="293" s="1" a="1"/>
  <c r="L126" i="293" s="1"/>
  <c r="L125" i="180"/>
  <c r="M123" i="180"/>
  <c r="H125" i="293" s="1" a="1"/>
  <c r="H125" i="293" s="1"/>
  <c r="Y124" i="180"/>
  <c r="R126" i="293" s="1" a="1"/>
  <c r="R126" i="293" s="1"/>
  <c r="L122" i="180"/>
  <c r="R122" i="180"/>
  <c r="L124" i="293" s="1" a="1"/>
  <c r="L124" i="293" s="1"/>
  <c r="M125" i="180"/>
  <c r="H127" i="293" s="1" a="1"/>
  <c r="H127" i="293" s="1"/>
  <c r="AL33" i="298" l="1"/>
  <c r="AK33" i="298"/>
  <c r="AJ33" i="298"/>
  <c r="AL37" i="298"/>
  <c r="AK37" i="298"/>
  <c r="AJ37" i="298"/>
  <c r="G515" i="298"/>
  <c r="G514" i="298"/>
  <c r="G513" i="298"/>
  <c r="G512" i="298"/>
  <c r="G511" i="298"/>
  <c r="G510" i="298"/>
  <c r="G509" i="298"/>
  <c r="G508" i="298"/>
  <c r="G507" i="298"/>
  <c r="G506" i="298"/>
  <c r="G505" i="298"/>
  <c r="G504" i="298"/>
  <c r="G503" i="298"/>
  <c r="G502" i="298"/>
  <c r="G501" i="298"/>
  <c r="G500" i="298"/>
  <c r="G499" i="298"/>
  <c r="G498" i="298"/>
  <c r="G497" i="298"/>
  <c r="G496" i="298"/>
  <c r="G495" i="298"/>
  <c r="G494" i="298"/>
  <c r="G493" i="298"/>
  <c r="G492" i="298"/>
  <c r="G491" i="298"/>
  <c r="G490" i="298"/>
  <c r="G489" i="298"/>
  <c r="G488" i="298"/>
  <c r="G487" i="298"/>
  <c r="G486" i="298"/>
  <c r="G485" i="298"/>
  <c r="G484" i="298"/>
  <c r="G483" i="298"/>
  <c r="G482" i="298"/>
  <c r="G481" i="298"/>
  <c r="G480" i="298"/>
  <c r="G479" i="298"/>
  <c r="G478" i="298"/>
  <c r="G477" i="298"/>
  <c r="G476" i="298"/>
  <c r="G475" i="298"/>
  <c r="G474" i="298"/>
  <c r="G473" i="298"/>
  <c r="G472" i="298"/>
  <c r="G471" i="298"/>
  <c r="G470" i="298"/>
  <c r="G469" i="298"/>
  <c r="G468" i="298"/>
  <c r="G467" i="298"/>
  <c r="G466" i="298"/>
  <c r="G465" i="298"/>
  <c r="G464" i="298"/>
  <c r="G463" i="298"/>
  <c r="G462" i="298"/>
  <c r="G461" i="298"/>
  <c r="G460" i="298"/>
  <c r="G459" i="298"/>
  <c r="G458" i="298"/>
  <c r="G457" i="298"/>
  <c r="G456" i="298"/>
  <c r="G455" i="298"/>
  <c r="G454" i="298"/>
  <c r="G453" i="298"/>
  <c r="G452" i="298"/>
  <c r="G451" i="298"/>
  <c r="G450" i="298"/>
  <c r="G449" i="298"/>
  <c r="G448" i="298"/>
  <c r="G447" i="298"/>
  <c r="G446" i="298"/>
  <c r="G445" i="298"/>
  <c r="G444" i="298"/>
  <c r="G443" i="298"/>
  <c r="G442" i="298"/>
  <c r="G441" i="298"/>
  <c r="G440" i="298"/>
  <c r="G439" i="298"/>
  <c r="G438" i="298"/>
  <c r="G437" i="298"/>
  <c r="G436" i="298"/>
  <c r="G435" i="298"/>
  <c r="G434" i="298"/>
  <c r="G433" i="298"/>
  <c r="G432" i="298"/>
  <c r="G431" i="298"/>
  <c r="G430" i="298"/>
  <c r="G429" i="298"/>
  <c r="G428" i="298"/>
  <c r="G427" i="298"/>
  <c r="G426" i="298"/>
  <c r="G425" i="298"/>
  <c r="G424" i="298"/>
  <c r="G423" i="298"/>
  <c r="G422" i="298"/>
  <c r="G421" i="298"/>
  <c r="G420" i="298"/>
  <c r="G419" i="298"/>
  <c r="G418" i="298"/>
  <c r="G417" i="298"/>
  <c r="G416" i="298"/>
  <c r="G415" i="298"/>
  <c r="G414" i="298"/>
  <c r="G413" i="298"/>
  <c r="G412" i="298"/>
  <c r="G411" i="298"/>
  <c r="G410" i="298"/>
  <c r="G409" i="298"/>
  <c r="G408" i="298"/>
  <c r="G407" i="298"/>
  <c r="G406" i="298"/>
  <c r="G405" i="298"/>
  <c r="G404" i="298"/>
  <c r="G403" i="298"/>
  <c r="G402" i="298"/>
  <c r="G401" i="298"/>
  <c r="G400" i="298"/>
  <c r="G399" i="298"/>
  <c r="G398" i="298"/>
  <c r="G397" i="298"/>
  <c r="G396" i="298"/>
  <c r="G395" i="298"/>
  <c r="G394" i="298"/>
  <c r="G393" i="298"/>
  <c r="G392" i="298"/>
  <c r="G391" i="298"/>
  <c r="G390" i="298"/>
  <c r="G389" i="298"/>
  <c r="G388" i="298"/>
  <c r="G387" i="298"/>
  <c r="G386" i="298"/>
  <c r="G385" i="298"/>
  <c r="G384" i="298"/>
  <c r="G383" i="298"/>
  <c r="G382" i="298"/>
  <c r="G381" i="298"/>
  <c r="G380" i="298"/>
  <c r="G379" i="298"/>
  <c r="G378" i="298"/>
  <c r="G377" i="298"/>
  <c r="G376" i="298"/>
  <c r="G375" i="298"/>
  <c r="G374" i="298"/>
  <c r="G373" i="298"/>
  <c r="G372" i="298"/>
  <c r="G371" i="298"/>
  <c r="G370" i="298"/>
  <c r="G369" i="298"/>
  <c r="G368" i="298"/>
  <c r="G367" i="298"/>
  <c r="G366" i="298"/>
  <c r="G365" i="298"/>
  <c r="G364" i="298"/>
  <c r="G363" i="298"/>
  <c r="G362" i="298"/>
  <c r="G361" i="298"/>
  <c r="G360" i="298"/>
  <c r="G359" i="298"/>
  <c r="G358" i="298"/>
  <c r="G357" i="298"/>
  <c r="G356" i="298"/>
  <c r="G355" i="298"/>
  <c r="G354" i="298"/>
  <c r="G353" i="298"/>
  <c r="G352" i="298"/>
  <c r="G351" i="298"/>
  <c r="G350" i="298"/>
  <c r="G349" i="298"/>
  <c r="G348" i="298"/>
  <c r="G347" i="298"/>
  <c r="G346" i="298"/>
  <c r="G345" i="298"/>
  <c r="G344" i="298"/>
  <c r="G343" i="298"/>
  <c r="G342" i="298"/>
  <c r="G341" i="298"/>
  <c r="G340" i="298"/>
  <c r="G339" i="298"/>
  <c r="G338" i="298"/>
  <c r="G337" i="298"/>
  <c r="G336" i="298"/>
  <c r="G335" i="298"/>
  <c r="G334" i="298"/>
  <c r="G333" i="298"/>
  <c r="G332" i="298"/>
  <c r="G331" i="298"/>
  <c r="G330" i="298"/>
  <c r="G329" i="298"/>
  <c r="G328" i="298"/>
  <c r="G327" i="298"/>
  <c r="G326" i="298"/>
  <c r="G325" i="298"/>
  <c r="G324" i="298"/>
  <c r="G323" i="298"/>
  <c r="G322" i="298"/>
  <c r="G321" i="298"/>
  <c r="G320" i="298"/>
  <c r="G319" i="298"/>
  <c r="G318" i="298"/>
  <c r="G317" i="298"/>
  <c r="G316" i="298"/>
  <c r="G315" i="298"/>
  <c r="G314" i="298"/>
  <c r="G313" i="298"/>
  <c r="G312" i="298"/>
  <c r="G311" i="298"/>
  <c r="G310" i="298"/>
  <c r="G309" i="298"/>
  <c r="G308" i="298"/>
  <c r="G307" i="298"/>
  <c r="G306" i="298"/>
  <c r="G305" i="298"/>
  <c r="G304" i="298"/>
  <c r="G303" i="298"/>
  <c r="G302" i="298"/>
  <c r="G301" i="298"/>
  <c r="G300" i="298"/>
  <c r="G299" i="298"/>
  <c r="G298" i="298"/>
  <c r="G297" i="298"/>
  <c r="G296" i="298"/>
  <c r="G295" i="298"/>
  <c r="G294" i="298"/>
  <c r="G293" i="298"/>
  <c r="G292" i="298"/>
  <c r="G291" i="298"/>
  <c r="G290" i="298"/>
  <c r="G289" i="298"/>
  <c r="G288" i="298"/>
  <c r="G287" i="298"/>
  <c r="G286" i="298"/>
  <c r="G285" i="298"/>
  <c r="G284" i="298"/>
  <c r="F284" i="298"/>
  <c r="G283" i="298"/>
  <c r="F283" i="298"/>
  <c r="G282" i="298"/>
  <c r="F282" i="298"/>
  <c r="G281" i="298"/>
  <c r="F281" i="298"/>
  <c r="G280" i="298"/>
  <c r="F280" i="298"/>
  <c r="G279" i="298"/>
  <c r="F279" i="298"/>
  <c r="G278" i="298"/>
  <c r="F278" i="298"/>
  <c r="G277" i="298"/>
  <c r="F277" i="298"/>
  <c r="G276" i="298"/>
  <c r="F276" i="298"/>
  <c r="G275" i="298"/>
  <c r="F275" i="298"/>
  <c r="G274" i="298"/>
  <c r="F274" i="298"/>
  <c r="G273" i="298"/>
  <c r="F273" i="298"/>
  <c r="G272" i="298"/>
  <c r="F272" i="298"/>
  <c r="G271" i="298"/>
  <c r="F271" i="298"/>
  <c r="G270" i="298"/>
  <c r="F270" i="298"/>
  <c r="G269" i="298"/>
  <c r="F269" i="298"/>
  <c r="G268" i="298"/>
  <c r="F268" i="298"/>
  <c r="G267" i="298"/>
  <c r="F267" i="298"/>
  <c r="G266" i="298"/>
  <c r="F266" i="298"/>
  <c r="G265" i="298"/>
  <c r="F265" i="298"/>
  <c r="G264" i="298"/>
  <c r="F264" i="298"/>
  <c r="G263" i="298"/>
  <c r="F263" i="298"/>
  <c r="G262" i="298"/>
  <c r="F262" i="298"/>
  <c r="G261" i="298"/>
  <c r="F261" i="298"/>
  <c r="G260" i="298"/>
  <c r="F260" i="298"/>
  <c r="G259" i="298"/>
  <c r="F259" i="298"/>
  <c r="G258" i="298"/>
  <c r="F258" i="298"/>
  <c r="G257" i="298"/>
  <c r="F257" i="298"/>
  <c r="G256" i="298"/>
  <c r="F256" i="298"/>
  <c r="G255" i="298"/>
  <c r="F255" i="298"/>
  <c r="G254" i="298"/>
  <c r="F254" i="298"/>
  <c r="G253" i="298"/>
  <c r="F253" i="298"/>
  <c r="G252" i="298"/>
  <c r="F252" i="298"/>
  <c r="G251" i="298"/>
  <c r="F251" i="298"/>
  <c r="G250" i="298"/>
  <c r="F250" i="298"/>
  <c r="G249" i="298"/>
  <c r="F249" i="298"/>
  <c r="G248" i="298"/>
  <c r="F248" i="298"/>
  <c r="G247" i="298"/>
  <c r="F247" i="298"/>
  <c r="G246" i="298"/>
  <c r="F246" i="298"/>
  <c r="G245" i="298"/>
  <c r="F245" i="298"/>
  <c r="G244" i="298"/>
  <c r="F244" i="298"/>
  <c r="G243" i="298"/>
  <c r="F243" i="298"/>
  <c r="G242" i="298"/>
  <c r="F242" i="298"/>
  <c r="G241" i="298"/>
  <c r="F241" i="298"/>
  <c r="G240" i="298"/>
  <c r="F240" i="298"/>
  <c r="G239" i="298"/>
  <c r="F239" i="298"/>
  <c r="G238" i="298"/>
  <c r="F238" i="298"/>
  <c r="G237" i="298"/>
  <c r="F237" i="298"/>
  <c r="G236" i="298"/>
  <c r="F236" i="298"/>
  <c r="G235" i="298"/>
  <c r="F235" i="298"/>
  <c r="G234" i="298"/>
  <c r="F234" i="298"/>
  <c r="G233" i="298"/>
  <c r="F233" i="298"/>
  <c r="G232" i="298"/>
  <c r="F232" i="298"/>
  <c r="G231" i="298"/>
  <c r="F231" i="298"/>
  <c r="G230" i="298"/>
  <c r="F230" i="298"/>
  <c r="G229" i="298"/>
  <c r="F229" i="298"/>
  <c r="G228" i="298"/>
  <c r="F228" i="298"/>
  <c r="G227" i="298"/>
  <c r="F227" i="298"/>
  <c r="G226" i="298"/>
  <c r="F226" i="298"/>
  <c r="G225" i="298"/>
  <c r="F225" i="298"/>
  <c r="G224" i="298"/>
  <c r="F224" i="298"/>
  <c r="G223" i="298"/>
  <c r="F223" i="298"/>
  <c r="G222" i="298"/>
  <c r="F222" i="298"/>
  <c r="G221" i="298"/>
  <c r="F221" i="298"/>
  <c r="G220" i="298"/>
  <c r="F220" i="298"/>
  <c r="G219" i="298"/>
  <c r="F219" i="298"/>
  <c r="G218" i="298"/>
  <c r="F218" i="298"/>
  <c r="G217" i="298"/>
  <c r="F217" i="298"/>
  <c r="G216" i="298"/>
  <c r="F216" i="298"/>
  <c r="G215" i="298"/>
  <c r="F215" i="298"/>
  <c r="G214" i="298"/>
  <c r="F214" i="298"/>
  <c r="G213" i="298"/>
  <c r="F213" i="298"/>
  <c r="G212" i="298"/>
  <c r="F212" i="298"/>
  <c r="G211" i="298"/>
  <c r="F211" i="298"/>
  <c r="G210" i="298"/>
  <c r="F210" i="298"/>
  <c r="G209" i="298"/>
  <c r="F209" i="298"/>
  <c r="G208" i="298"/>
  <c r="F208" i="298"/>
  <c r="G207" i="298"/>
  <c r="F207" i="298"/>
  <c r="G206" i="298"/>
  <c r="F206" i="298"/>
  <c r="G205" i="298"/>
  <c r="F205" i="298"/>
  <c r="G204" i="298"/>
  <c r="F204" i="298"/>
  <c r="G203" i="298"/>
  <c r="F203" i="298"/>
  <c r="G202" i="298"/>
  <c r="F202" i="298"/>
  <c r="G201" i="298"/>
  <c r="F201" i="298"/>
  <c r="G200" i="298"/>
  <c r="F200" i="298"/>
  <c r="G199" i="298"/>
  <c r="F199" i="298"/>
  <c r="G198" i="298"/>
  <c r="F198" i="298"/>
  <c r="G197" i="298"/>
  <c r="F197" i="298"/>
  <c r="G196" i="298"/>
  <c r="F196" i="298"/>
  <c r="G195" i="298"/>
  <c r="F195" i="298"/>
  <c r="G194" i="298"/>
  <c r="F194" i="298"/>
  <c r="G193" i="298"/>
  <c r="F193" i="298"/>
  <c r="G192" i="298"/>
  <c r="F192" i="298"/>
  <c r="G191" i="298"/>
  <c r="F191" i="298"/>
  <c r="G190" i="298"/>
  <c r="F190" i="298"/>
  <c r="G189" i="298"/>
  <c r="G188" i="298"/>
  <c r="G187" i="298"/>
  <c r="G186" i="298"/>
  <c r="G185" i="298"/>
  <c r="G184" i="298"/>
  <c r="G183" i="298"/>
  <c r="G182" i="298"/>
  <c r="G181" i="298"/>
  <c r="G180" i="298"/>
  <c r="G179" i="298"/>
  <c r="G178" i="298"/>
  <c r="G177" i="298"/>
  <c r="G176" i="298"/>
  <c r="G175" i="298"/>
  <c r="G174" i="298"/>
  <c r="G173" i="298"/>
  <c r="G172" i="298"/>
  <c r="G171" i="298"/>
  <c r="G170" i="298"/>
  <c r="G169" i="298"/>
  <c r="G168" i="298"/>
  <c r="G167" i="298"/>
  <c r="G166" i="298"/>
  <c r="G165" i="298"/>
  <c r="G164" i="298"/>
  <c r="G163" i="298"/>
  <c r="G162" i="298"/>
  <c r="G161" i="298"/>
  <c r="G160" i="298"/>
  <c r="G159" i="298"/>
  <c r="G158" i="298"/>
  <c r="G157" i="298"/>
  <c r="G156" i="298"/>
  <c r="G155" i="298"/>
  <c r="G154" i="298"/>
  <c r="G153" i="298"/>
  <c r="G152" i="298"/>
  <c r="G151" i="298"/>
  <c r="G150" i="298"/>
  <c r="G149" i="298"/>
  <c r="G148" i="298"/>
  <c r="G147" i="298"/>
  <c r="G146" i="298"/>
  <c r="G145" i="298"/>
  <c r="G144" i="298"/>
  <c r="G143" i="298"/>
  <c r="G142" i="298"/>
  <c r="G141" i="298"/>
  <c r="G140" i="298"/>
  <c r="G139" i="298"/>
  <c r="G138" i="298"/>
  <c r="G137" i="298"/>
  <c r="G136" i="298"/>
  <c r="G135" i="298"/>
  <c r="F135" i="298"/>
  <c r="G134" i="298"/>
  <c r="F134" i="298"/>
  <c r="G133" i="298"/>
  <c r="F133" i="298"/>
  <c r="G132" i="298"/>
  <c r="F132" i="298"/>
  <c r="G131" i="298"/>
  <c r="F131" i="298"/>
  <c r="G130" i="298"/>
  <c r="F130" i="298"/>
  <c r="G129" i="298"/>
  <c r="F129" i="298"/>
  <c r="G128" i="298"/>
  <c r="F128" i="298"/>
  <c r="G127" i="298"/>
  <c r="F127" i="298"/>
  <c r="G126" i="298"/>
  <c r="F126" i="298"/>
  <c r="G125" i="298"/>
  <c r="F125" i="298"/>
  <c r="G124" i="298"/>
  <c r="F124" i="298"/>
  <c r="G123" i="298"/>
  <c r="F123" i="298"/>
  <c r="G122" i="298"/>
  <c r="F122" i="298"/>
  <c r="G121" i="298"/>
  <c r="F121" i="298"/>
  <c r="G120" i="298"/>
  <c r="F120" i="298"/>
  <c r="G119" i="298"/>
  <c r="F119" i="298"/>
  <c r="G118" i="298"/>
  <c r="F118" i="298"/>
  <c r="G117" i="298"/>
  <c r="F117" i="298"/>
  <c r="G116" i="298"/>
  <c r="F116" i="298"/>
  <c r="G115" i="298"/>
  <c r="F115" i="298"/>
  <c r="G114" i="298"/>
  <c r="F114" i="298"/>
  <c r="G113" i="298"/>
  <c r="F113" i="298"/>
  <c r="G112" i="298"/>
  <c r="F112" i="298"/>
  <c r="G111" i="298"/>
  <c r="F111" i="298"/>
  <c r="G110" i="298"/>
  <c r="F110" i="298"/>
  <c r="G109" i="298"/>
  <c r="F109" i="298"/>
  <c r="G108" i="298"/>
  <c r="F108" i="298"/>
  <c r="G107" i="298"/>
  <c r="F107" i="298"/>
  <c r="G106" i="298"/>
  <c r="F106" i="298"/>
  <c r="G105" i="298"/>
  <c r="F105" i="298"/>
  <c r="G104" i="298"/>
  <c r="F104" i="298"/>
  <c r="G103" i="298"/>
  <c r="F103" i="298"/>
  <c r="G102" i="298"/>
  <c r="F102" i="298"/>
  <c r="G101" i="298"/>
  <c r="F101" i="298"/>
  <c r="G100" i="298"/>
  <c r="F100" i="298"/>
  <c r="G99" i="298"/>
  <c r="F99" i="298"/>
  <c r="G98" i="298"/>
  <c r="F98" i="298"/>
  <c r="G97" i="298"/>
  <c r="F97" i="298"/>
  <c r="G96" i="298"/>
  <c r="F96" i="298"/>
  <c r="G95" i="298"/>
  <c r="F95" i="298"/>
  <c r="G94" i="298"/>
  <c r="F94" i="298"/>
  <c r="G93" i="298"/>
  <c r="F93" i="298"/>
  <c r="G92" i="298"/>
  <c r="F92" i="298"/>
  <c r="G91" i="298"/>
  <c r="F91" i="298"/>
  <c r="G90" i="298"/>
  <c r="F90" i="298"/>
  <c r="G89" i="298"/>
  <c r="F89" i="298"/>
  <c r="G88" i="298"/>
  <c r="F88" i="298"/>
  <c r="G87" i="298"/>
  <c r="F87" i="298"/>
  <c r="G86" i="298"/>
  <c r="F86" i="298"/>
  <c r="G85" i="298"/>
  <c r="F85" i="298"/>
  <c r="G84" i="298"/>
  <c r="F84" i="298"/>
  <c r="G83" i="298"/>
  <c r="F83" i="298"/>
  <c r="G82" i="298"/>
  <c r="F82" i="298"/>
  <c r="G81" i="298"/>
  <c r="F81" i="298"/>
  <c r="G80" i="298"/>
  <c r="F80" i="298"/>
  <c r="G79" i="298"/>
  <c r="F79" i="298"/>
  <c r="G78" i="298"/>
  <c r="F78" i="298"/>
  <c r="G77" i="298"/>
  <c r="F77" i="298"/>
  <c r="G76" i="298"/>
  <c r="F76" i="298"/>
  <c r="G75" i="298"/>
  <c r="F75" i="298"/>
  <c r="G74" i="298"/>
  <c r="F74" i="298"/>
  <c r="G73" i="298"/>
  <c r="F73" i="298"/>
  <c r="G72" i="298"/>
  <c r="F72" i="298"/>
  <c r="G71" i="298"/>
  <c r="F71" i="298"/>
  <c r="G70" i="298"/>
  <c r="F70" i="298"/>
  <c r="G69" i="298"/>
  <c r="F69" i="298"/>
  <c r="G68" i="298"/>
  <c r="F68" i="298"/>
  <c r="G67" i="298"/>
  <c r="F67" i="298"/>
  <c r="G66" i="298"/>
  <c r="F66" i="298"/>
  <c r="G65" i="298"/>
  <c r="F65" i="298"/>
  <c r="G64" i="298"/>
  <c r="F64" i="298"/>
  <c r="G63" i="298"/>
  <c r="F63" i="298"/>
  <c r="G62" i="298"/>
  <c r="F62" i="298"/>
  <c r="G61" i="298"/>
  <c r="F61" i="298"/>
  <c r="G60" i="298"/>
  <c r="F60" i="298"/>
  <c r="G59" i="298"/>
  <c r="F59" i="298"/>
  <c r="G58" i="298"/>
  <c r="F58" i="298"/>
  <c r="G57" i="298"/>
  <c r="F57" i="298"/>
  <c r="G56" i="298"/>
  <c r="F56" i="298"/>
  <c r="G55" i="298"/>
  <c r="F55" i="298"/>
  <c r="G54" i="298"/>
  <c r="F54" i="298"/>
  <c r="AE53" i="298"/>
  <c r="AF53" i="298" s="1"/>
  <c r="G53" i="298"/>
  <c r="F53" i="298"/>
  <c r="AE52" i="298"/>
  <c r="AF52" i="298" s="1"/>
  <c r="G52" i="298"/>
  <c r="F52" i="298"/>
  <c r="AE51" i="298"/>
  <c r="AF51" i="298" s="1"/>
  <c r="R30" i="298" s="1"/>
  <c r="G51" i="298"/>
  <c r="F51" i="298"/>
  <c r="G50" i="298"/>
  <c r="F50" i="298"/>
  <c r="G49" i="298"/>
  <c r="F49" i="298"/>
  <c r="G48" i="298"/>
  <c r="F48" i="298"/>
  <c r="G47" i="298"/>
  <c r="F47" i="298"/>
  <c r="G46" i="298"/>
  <c r="F46" i="298"/>
  <c r="G45" i="298"/>
  <c r="F45" i="298"/>
  <c r="G44" i="298"/>
  <c r="F44" i="298"/>
  <c r="G43" i="298"/>
  <c r="F43" i="298"/>
  <c r="G42" i="298"/>
  <c r="F42" i="298"/>
  <c r="G41" i="298"/>
  <c r="F41" i="298"/>
  <c r="G40" i="298"/>
  <c r="F40" i="298"/>
  <c r="G39" i="298"/>
  <c r="F39" i="298"/>
  <c r="G38" i="298"/>
  <c r="F38" i="298"/>
  <c r="G37" i="298"/>
  <c r="F37" i="298"/>
  <c r="G36" i="298"/>
  <c r="F36" i="298"/>
  <c r="G35" i="298"/>
  <c r="F35" i="298"/>
  <c r="G34" i="298"/>
  <c r="F34" i="298"/>
  <c r="G33" i="298"/>
  <c r="F33" i="298"/>
  <c r="Q35" i="297"/>
  <c r="Q36" i="297"/>
  <c r="Q37" i="297"/>
  <c r="Q38" i="297"/>
  <c r="Q39" i="297"/>
  <c r="Q40" i="297"/>
  <c r="Q41" i="297"/>
  <c r="Q42" i="297"/>
  <c r="Q43" i="297"/>
  <c r="Q44" i="297"/>
  <c r="Q45" i="297"/>
  <c r="Q46" i="297"/>
  <c r="Q47" i="297"/>
  <c r="Q48" i="297"/>
  <c r="Q49" i="297"/>
  <c r="Q50" i="297"/>
  <c r="Q51" i="297"/>
  <c r="Q52" i="297"/>
  <c r="Q53" i="297"/>
  <c r="Q54" i="297"/>
  <c r="Q55" i="297"/>
  <c r="Q56" i="297"/>
  <c r="Q57" i="297"/>
  <c r="Q58" i="297"/>
  <c r="Q59" i="297"/>
  <c r="Q60" i="297"/>
  <c r="Q61" i="297"/>
  <c r="Q62" i="297"/>
  <c r="Q63" i="297"/>
  <c r="Q64" i="297"/>
  <c r="Q65" i="297"/>
  <c r="Q66" i="297"/>
  <c r="Q67" i="297"/>
  <c r="Q68" i="297"/>
  <c r="Q69" i="297"/>
  <c r="Q70" i="297"/>
  <c r="Q71" i="297"/>
  <c r="Q72" i="297"/>
  <c r="Q73" i="297"/>
  <c r="Q74" i="297"/>
  <c r="Q75" i="297"/>
  <c r="Q76" i="297"/>
  <c r="Q77" i="297"/>
  <c r="Q78" i="297"/>
  <c r="Q79" i="297"/>
  <c r="Q80" i="297"/>
  <c r="Q81" i="297"/>
  <c r="Q82" i="297"/>
  <c r="Q83" i="297"/>
  <c r="Q84" i="297"/>
  <c r="Q85" i="297"/>
  <c r="Q86" i="297"/>
  <c r="Q87" i="297"/>
  <c r="Q88" i="297"/>
  <c r="Q89" i="297"/>
  <c r="Q90" i="297"/>
  <c r="Q91" i="297"/>
  <c r="Q92" i="297"/>
  <c r="Q93" i="297"/>
  <c r="Q94" i="297"/>
  <c r="Q95" i="297"/>
  <c r="Q96" i="297"/>
  <c r="Q97" i="297"/>
  <c r="Q98" i="297"/>
  <c r="Q99" i="297"/>
  <c r="Q100" i="297"/>
  <c r="Q101" i="297"/>
  <c r="Q102" i="297"/>
  <c r="Q103" i="297"/>
  <c r="Q104" i="297"/>
  <c r="Q105" i="297"/>
  <c r="Q106" i="297"/>
  <c r="Q107" i="297"/>
  <c r="Q108" i="297"/>
  <c r="Q109" i="297"/>
  <c r="Q110" i="297"/>
  <c r="Q111" i="297"/>
  <c r="Q112" i="297"/>
  <c r="Q113" i="297"/>
  <c r="Q114" i="297"/>
  <c r="Q115" i="297"/>
  <c r="Q116" i="297"/>
  <c r="Q117" i="297"/>
  <c r="Q118" i="297"/>
  <c r="Q119" i="297"/>
  <c r="Q120" i="297"/>
  <c r="Q121" i="297"/>
  <c r="Q122" i="297"/>
  <c r="Q123" i="297"/>
  <c r="Q124" i="297"/>
  <c r="Q125" i="297"/>
  <c r="Q126" i="297"/>
  <c r="Q127" i="297"/>
  <c r="Q128" i="297"/>
  <c r="Q129" i="297"/>
  <c r="Q130" i="297"/>
  <c r="Q131" i="297"/>
  <c r="Q132" i="297"/>
  <c r="Q133" i="297"/>
  <c r="Q134" i="297"/>
  <c r="Q135" i="297"/>
  <c r="Q136" i="297"/>
  <c r="Q137" i="297"/>
  <c r="Q138" i="297"/>
  <c r="Q139" i="297"/>
  <c r="Q140" i="297"/>
  <c r="Q141" i="297"/>
  <c r="Q142" i="297"/>
  <c r="Q143" i="297"/>
  <c r="Q144" i="297"/>
  <c r="Q145" i="297"/>
  <c r="Q146" i="297"/>
  <c r="Q147" i="297"/>
  <c r="Q148" i="297"/>
  <c r="Q149" i="297"/>
  <c r="Q150" i="297"/>
  <c r="Q151" i="297"/>
  <c r="Q152" i="297"/>
  <c r="Q153" i="297"/>
  <c r="Q154" i="297"/>
  <c r="Q155" i="297"/>
  <c r="Q156" i="297"/>
  <c r="Q157" i="297"/>
  <c r="Q158" i="297"/>
  <c r="Q159" i="297"/>
  <c r="Q160" i="297"/>
  <c r="Q161" i="297"/>
  <c r="Q162" i="297"/>
  <c r="Q163" i="297"/>
  <c r="Q164" i="297"/>
  <c r="Q165" i="297"/>
  <c r="Q166" i="297"/>
  <c r="Q167" i="297"/>
  <c r="Q168" i="297"/>
  <c r="Q169" i="297"/>
  <c r="Q170" i="297"/>
  <c r="Q171" i="297"/>
  <c r="Q172" i="297"/>
  <c r="Q173" i="297"/>
  <c r="Q174" i="297"/>
  <c r="Q175" i="297"/>
  <c r="Q176" i="297"/>
  <c r="Q177" i="297"/>
  <c r="Q178" i="297"/>
  <c r="Q179" i="297"/>
  <c r="Q180" i="297"/>
  <c r="Q181" i="297"/>
  <c r="Q182" i="297"/>
  <c r="Q183" i="297"/>
  <c r="Q184" i="297"/>
  <c r="Q185" i="297"/>
  <c r="Q186" i="297"/>
  <c r="Q187" i="297"/>
  <c r="Q188" i="297"/>
  <c r="Q189" i="297"/>
  <c r="Q190" i="297"/>
  <c r="Q191" i="297"/>
  <c r="Q192" i="297"/>
  <c r="Q193" i="297"/>
  <c r="Q194" i="297"/>
  <c r="Q195" i="297"/>
  <c r="Q196" i="297"/>
  <c r="Q197" i="297"/>
  <c r="Q198" i="297"/>
  <c r="Q199" i="297"/>
  <c r="Q200" i="297"/>
  <c r="Q201" i="297"/>
  <c r="Q202" i="297"/>
  <c r="Q203" i="297"/>
  <c r="Q204" i="297"/>
  <c r="Q205" i="297"/>
  <c r="Q206" i="297"/>
  <c r="Q207" i="297"/>
  <c r="Q208" i="297"/>
  <c r="Q209" i="297"/>
  <c r="Q210" i="297"/>
  <c r="Q211" i="297"/>
  <c r="Q212" i="297"/>
  <c r="Q213" i="297"/>
  <c r="Q214" i="297"/>
  <c r="Q215" i="297"/>
  <c r="Q216" i="297"/>
  <c r="Q217" i="297"/>
  <c r="Q218" i="297"/>
  <c r="Q219" i="297"/>
  <c r="Q220" i="297"/>
  <c r="Q221" i="297"/>
  <c r="Q222" i="297"/>
  <c r="Q223" i="297"/>
  <c r="Q224" i="297"/>
  <c r="Q225" i="297"/>
  <c r="Q226" i="297"/>
  <c r="Q227" i="297"/>
  <c r="Q228" i="297"/>
  <c r="Q229" i="297"/>
  <c r="Q230" i="297"/>
  <c r="Q231" i="297"/>
  <c r="Q232" i="297"/>
  <c r="Q233" i="297"/>
  <c r="Q234" i="297"/>
  <c r="Q235" i="297"/>
  <c r="Q236" i="297"/>
  <c r="Q237" i="297"/>
  <c r="Q238" i="297"/>
  <c r="Q239" i="297"/>
  <c r="Q240" i="297"/>
  <c r="Q241" i="297"/>
  <c r="Q242" i="297"/>
  <c r="Q243" i="297"/>
  <c r="Q244" i="297"/>
  <c r="Q245" i="297"/>
  <c r="Q246" i="297"/>
  <c r="Q247" i="297"/>
  <c r="Q248" i="297"/>
  <c r="Q249" i="297"/>
  <c r="Q250" i="297"/>
  <c r="Q251" i="297"/>
  <c r="Q252" i="297"/>
  <c r="Q253" i="297"/>
  <c r="Q254" i="297"/>
  <c r="Q255" i="297"/>
  <c r="Q256" i="297"/>
  <c r="Q257" i="297"/>
  <c r="Q258" i="297"/>
  <c r="Q259" i="297"/>
  <c r="Q260" i="297"/>
  <c r="Q261" i="297"/>
  <c r="Q262" i="297"/>
  <c r="Q263" i="297"/>
  <c r="Q264" i="297"/>
  <c r="Q265" i="297"/>
  <c r="Q266" i="297"/>
  <c r="Q267" i="297"/>
  <c r="Q268" i="297"/>
  <c r="Q269" i="297"/>
  <c r="Q270" i="297"/>
  <c r="Q271" i="297"/>
  <c r="Q272" i="297"/>
  <c r="Q273" i="297"/>
  <c r="Q274" i="297"/>
  <c r="Q275" i="297"/>
  <c r="Q276" i="297"/>
  <c r="Q277" i="297"/>
  <c r="Q278" i="297"/>
  <c r="Q279" i="297"/>
  <c r="Q280" i="297"/>
  <c r="Q281" i="297"/>
  <c r="Q282" i="297"/>
  <c r="Q283" i="297"/>
  <c r="Q284" i="297"/>
  <c r="Q285" i="297"/>
  <c r="Q286" i="297"/>
  <c r="Q287" i="297"/>
  <c r="Q288" i="297"/>
  <c r="Q289" i="297"/>
  <c r="Q290" i="297"/>
  <c r="Q291" i="297"/>
  <c r="Q292" i="297"/>
  <c r="Q293" i="297"/>
  <c r="Q294" i="297"/>
  <c r="Q295" i="297"/>
  <c r="Q296" i="297"/>
  <c r="Q297" i="297"/>
  <c r="Q298" i="297"/>
  <c r="Q299" i="297"/>
  <c r="Q300" i="297"/>
  <c r="Q301" i="297"/>
  <c r="Q302" i="297"/>
  <c r="Q303" i="297"/>
  <c r="Q304" i="297"/>
  <c r="Q305" i="297"/>
  <c r="Q306" i="297"/>
  <c r="Q307" i="297"/>
  <c r="Q308" i="297"/>
  <c r="Q309" i="297"/>
  <c r="Q310" i="297"/>
  <c r="Q311" i="297"/>
  <c r="Q312" i="297"/>
  <c r="Q313" i="297"/>
  <c r="Q314" i="297"/>
  <c r="Q315" i="297"/>
  <c r="Q316" i="297"/>
  <c r="Q317" i="297"/>
  <c r="Q318" i="297"/>
  <c r="Q319" i="297"/>
  <c r="Q320" i="297"/>
  <c r="Q321" i="297"/>
  <c r="Q322" i="297"/>
  <c r="Q323" i="297"/>
  <c r="Q324" i="297"/>
  <c r="Q325" i="297"/>
  <c r="Q326" i="297"/>
  <c r="Q327" i="297"/>
  <c r="Q328" i="297"/>
  <c r="Q329" i="297"/>
  <c r="Q330" i="297"/>
  <c r="Q331" i="297"/>
  <c r="Q332" i="297"/>
  <c r="Q333" i="297"/>
  <c r="Q334" i="297"/>
  <c r="Q335" i="297"/>
  <c r="Q336" i="297"/>
  <c r="Q337" i="297"/>
  <c r="Q338" i="297"/>
  <c r="Q339" i="297"/>
  <c r="Q340" i="297"/>
  <c r="Q341" i="297"/>
  <c r="Q342" i="297"/>
  <c r="Q343" i="297"/>
  <c r="Q344" i="297"/>
  <c r="Q345" i="297"/>
  <c r="Q346" i="297"/>
  <c r="Q347" i="297"/>
  <c r="Q348" i="297"/>
  <c r="Q349" i="297"/>
  <c r="Q350" i="297"/>
  <c r="Q351" i="297"/>
  <c r="Q352" i="297"/>
  <c r="Q353" i="297"/>
  <c r="Q354" i="297"/>
  <c r="Q355" i="297"/>
  <c r="Q356" i="297"/>
  <c r="Q357" i="297"/>
  <c r="Q358" i="297"/>
  <c r="Q359" i="297"/>
  <c r="Q360" i="297"/>
  <c r="Q361" i="297"/>
  <c r="Q362" i="297"/>
  <c r="Q363" i="297"/>
  <c r="Q364" i="297"/>
  <c r="Q365" i="297"/>
  <c r="Q366" i="297"/>
  <c r="Q367" i="297"/>
  <c r="Q368" i="297"/>
  <c r="Q369" i="297"/>
  <c r="Q370" i="297"/>
  <c r="Q371" i="297"/>
  <c r="Q372" i="297"/>
  <c r="Q373" i="297"/>
  <c r="Q374" i="297"/>
  <c r="Q375" i="297"/>
  <c r="Q376" i="297"/>
  <c r="Q377" i="297"/>
  <c r="Q378" i="297"/>
  <c r="Q379" i="297"/>
  <c r="Q380" i="297"/>
  <c r="Q381" i="297"/>
  <c r="Q382" i="297"/>
  <c r="Q383" i="297"/>
  <c r="Q384" i="297"/>
  <c r="Q385" i="297"/>
  <c r="Q386" i="297"/>
  <c r="Q387" i="297"/>
  <c r="Q388" i="297"/>
  <c r="Q389" i="297"/>
  <c r="Q390" i="297"/>
  <c r="Q391" i="297"/>
  <c r="Q392" i="297"/>
  <c r="Q393" i="297"/>
  <c r="Q394" i="297"/>
  <c r="Q395" i="297"/>
  <c r="Q396" i="297"/>
  <c r="Q397" i="297"/>
  <c r="Q398" i="297"/>
  <c r="Q399" i="297"/>
  <c r="Q400" i="297"/>
  <c r="Q401" i="297"/>
  <c r="Q402" i="297"/>
  <c r="Q403" i="297"/>
  <c r="Q404" i="297"/>
  <c r="Q405" i="297"/>
  <c r="Q406" i="297"/>
  <c r="Q407" i="297"/>
  <c r="Q408" i="297"/>
  <c r="Q409" i="297"/>
  <c r="Q410" i="297"/>
  <c r="Q411" i="297"/>
  <c r="Q412" i="297"/>
  <c r="Q413" i="297"/>
  <c r="Q414" i="297"/>
  <c r="Q415" i="297"/>
  <c r="Q416" i="297"/>
  <c r="Q417" i="297"/>
  <c r="Q418" i="297"/>
  <c r="Q419" i="297"/>
  <c r="Q420" i="297"/>
  <c r="Q421" i="297"/>
  <c r="Q422" i="297"/>
  <c r="Q423" i="297"/>
  <c r="Q424" i="297"/>
  <c r="Q425" i="297"/>
  <c r="Q426" i="297"/>
  <c r="Q427" i="297"/>
  <c r="Q428" i="297"/>
  <c r="Q429" i="297"/>
  <c r="Q430" i="297"/>
  <c r="Q431" i="297"/>
  <c r="Q432" i="297"/>
  <c r="Q433" i="297"/>
  <c r="Q434" i="297"/>
  <c r="Q435" i="297"/>
  <c r="Q436" i="297"/>
  <c r="Q437" i="297"/>
  <c r="Q438" i="297"/>
  <c r="Q439" i="297"/>
  <c r="Q440" i="297"/>
  <c r="Q441" i="297"/>
  <c r="Q442" i="297"/>
  <c r="Q443" i="297"/>
  <c r="Q444" i="297"/>
  <c r="Q445" i="297"/>
  <c r="Q446" i="297"/>
  <c r="Q447" i="297"/>
  <c r="Q448" i="297"/>
  <c r="Q449" i="297"/>
  <c r="Q450" i="297"/>
  <c r="Q451" i="297"/>
  <c r="Q452" i="297"/>
  <c r="Q453" i="297"/>
  <c r="Q454" i="297"/>
  <c r="Q455" i="297"/>
  <c r="Q456" i="297"/>
  <c r="Q457" i="297"/>
  <c r="Q458" i="297"/>
  <c r="Q459" i="297"/>
  <c r="Q460" i="297"/>
  <c r="Q461" i="297"/>
  <c r="Q462" i="297"/>
  <c r="Q463" i="297"/>
  <c r="Q464" i="297"/>
  <c r="Q465" i="297"/>
  <c r="Q466" i="297"/>
  <c r="Q467" i="297"/>
  <c r="Q468" i="297"/>
  <c r="Q469" i="297"/>
  <c r="Q470" i="297"/>
  <c r="Q471" i="297"/>
  <c r="Q472" i="297"/>
  <c r="Q473" i="297"/>
  <c r="Q474" i="297"/>
  <c r="Q475" i="297"/>
  <c r="Q476" i="297"/>
  <c r="Q477" i="297"/>
  <c r="Q478" i="297"/>
  <c r="Q479" i="297"/>
  <c r="Q480" i="297"/>
  <c r="Q481" i="297"/>
  <c r="Q482" i="297"/>
  <c r="Q483" i="297"/>
  <c r="Q484" i="297"/>
  <c r="Q485" i="297"/>
  <c r="Q486" i="297"/>
  <c r="Q487" i="297"/>
  <c r="Q488" i="297"/>
  <c r="Q489" i="297"/>
  <c r="Q490" i="297"/>
  <c r="Q491" i="297"/>
  <c r="Q492" i="297"/>
  <c r="Q493" i="297"/>
  <c r="Q494" i="297"/>
  <c r="Q495" i="297"/>
  <c r="Q496" i="297"/>
  <c r="Q497" i="297"/>
  <c r="Q498" i="297"/>
  <c r="Q499" i="297"/>
  <c r="Q500" i="297"/>
  <c r="Q501" i="297"/>
  <c r="Q502" i="297"/>
  <c r="Q503" i="297"/>
  <c r="Q504" i="297"/>
  <c r="Q505" i="297"/>
  <c r="Q506" i="297"/>
  <c r="Q507" i="297"/>
  <c r="Q508" i="297"/>
  <c r="Q509" i="297"/>
  <c r="Q510" i="297"/>
  <c r="Q511" i="297"/>
  <c r="Q512" i="297"/>
  <c r="Q513" i="297"/>
  <c r="Q514" i="297"/>
  <c r="Q515" i="297"/>
  <c r="Q516" i="297"/>
  <c r="Q34" i="297"/>
  <c r="N35" i="297"/>
  <c r="N36" i="297"/>
  <c r="N37" i="297"/>
  <c r="N38" i="297"/>
  <c r="N39" i="297"/>
  <c r="N40" i="297"/>
  <c r="N41" i="297"/>
  <c r="N42" i="297"/>
  <c r="N43" i="297"/>
  <c r="N44" i="297"/>
  <c r="N45" i="297"/>
  <c r="N46" i="297"/>
  <c r="N47" i="297"/>
  <c r="N48" i="297"/>
  <c r="N49" i="297"/>
  <c r="N50" i="297"/>
  <c r="N51" i="297"/>
  <c r="N52" i="297"/>
  <c r="N53" i="297"/>
  <c r="N54" i="297"/>
  <c r="N55" i="297"/>
  <c r="N56" i="297"/>
  <c r="N57" i="297"/>
  <c r="N58" i="297"/>
  <c r="N59" i="297"/>
  <c r="N60" i="297"/>
  <c r="N61" i="297"/>
  <c r="N62" i="297"/>
  <c r="N63" i="297"/>
  <c r="N64" i="297"/>
  <c r="N65" i="297"/>
  <c r="N66" i="297"/>
  <c r="N67" i="297"/>
  <c r="N68" i="297"/>
  <c r="N69" i="297"/>
  <c r="N70" i="297"/>
  <c r="N71" i="297"/>
  <c r="N72" i="297"/>
  <c r="N73" i="297"/>
  <c r="N74" i="297"/>
  <c r="N75" i="297"/>
  <c r="N76" i="297"/>
  <c r="N77" i="297"/>
  <c r="N78" i="297"/>
  <c r="N79" i="297"/>
  <c r="N80" i="297"/>
  <c r="N81" i="297"/>
  <c r="N82" i="297"/>
  <c r="N83" i="297"/>
  <c r="N84" i="297"/>
  <c r="N85" i="297"/>
  <c r="N86" i="297"/>
  <c r="N87" i="297"/>
  <c r="N88" i="297"/>
  <c r="N89" i="297"/>
  <c r="N90" i="297"/>
  <c r="N91" i="297"/>
  <c r="N92" i="297"/>
  <c r="N93" i="297"/>
  <c r="N94" i="297"/>
  <c r="N95" i="297"/>
  <c r="N96" i="297"/>
  <c r="N97" i="297"/>
  <c r="N98" i="297"/>
  <c r="N99" i="297"/>
  <c r="N100" i="297"/>
  <c r="N101" i="297"/>
  <c r="N102" i="297"/>
  <c r="N103" i="297"/>
  <c r="N104" i="297"/>
  <c r="N105" i="297"/>
  <c r="N106" i="297"/>
  <c r="N107" i="297"/>
  <c r="N108" i="297"/>
  <c r="N109" i="297"/>
  <c r="N110" i="297"/>
  <c r="N111" i="297"/>
  <c r="N112" i="297"/>
  <c r="N113" i="297"/>
  <c r="N114" i="297"/>
  <c r="N115" i="297"/>
  <c r="N116" i="297"/>
  <c r="N117" i="297"/>
  <c r="N118" i="297"/>
  <c r="N119" i="297"/>
  <c r="N120" i="297"/>
  <c r="N121" i="297"/>
  <c r="N122" i="297"/>
  <c r="N123" i="297"/>
  <c r="N124" i="297"/>
  <c r="N125" i="297"/>
  <c r="N126" i="297"/>
  <c r="N127" i="297"/>
  <c r="N128" i="297"/>
  <c r="N129" i="297"/>
  <c r="N130" i="297"/>
  <c r="N131" i="297"/>
  <c r="N132" i="297"/>
  <c r="N133" i="297"/>
  <c r="N134" i="297"/>
  <c r="N135" i="297"/>
  <c r="N136" i="297"/>
  <c r="N137" i="297"/>
  <c r="N138" i="297"/>
  <c r="N139" i="297"/>
  <c r="N140" i="297"/>
  <c r="N141" i="297"/>
  <c r="N142" i="297"/>
  <c r="N143" i="297"/>
  <c r="N144" i="297"/>
  <c r="N145" i="297"/>
  <c r="N146" i="297"/>
  <c r="N147" i="297"/>
  <c r="N148" i="297"/>
  <c r="N149" i="297"/>
  <c r="N150" i="297"/>
  <c r="N151" i="297"/>
  <c r="N152" i="297"/>
  <c r="N153" i="297"/>
  <c r="N154" i="297"/>
  <c r="N155" i="297"/>
  <c r="N156" i="297"/>
  <c r="N157" i="297"/>
  <c r="N158" i="297"/>
  <c r="N159" i="297"/>
  <c r="N160" i="297"/>
  <c r="N161" i="297"/>
  <c r="N162" i="297"/>
  <c r="N163" i="297"/>
  <c r="N164" i="297"/>
  <c r="N165" i="297"/>
  <c r="N166" i="297"/>
  <c r="N167" i="297"/>
  <c r="N168" i="297"/>
  <c r="N169" i="297"/>
  <c r="N170" i="297"/>
  <c r="N171" i="297"/>
  <c r="N172" i="297"/>
  <c r="N173" i="297"/>
  <c r="N174" i="297"/>
  <c r="N175" i="297"/>
  <c r="N176" i="297"/>
  <c r="N177" i="297"/>
  <c r="N178" i="297"/>
  <c r="N179" i="297"/>
  <c r="N180" i="297"/>
  <c r="N181" i="297"/>
  <c r="N182" i="297"/>
  <c r="N183" i="297"/>
  <c r="N184" i="297"/>
  <c r="N185" i="297"/>
  <c r="N186" i="297"/>
  <c r="N187" i="297"/>
  <c r="N188" i="297"/>
  <c r="N189" i="297"/>
  <c r="N190" i="297"/>
  <c r="N191" i="297"/>
  <c r="N192" i="297"/>
  <c r="N193" i="297"/>
  <c r="N194" i="297"/>
  <c r="N195" i="297"/>
  <c r="N196" i="297"/>
  <c r="N197" i="297"/>
  <c r="N198" i="297"/>
  <c r="N199" i="297"/>
  <c r="N200" i="297"/>
  <c r="N201" i="297"/>
  <c r="N202" i="297"/>
  <c r="N203" i="297"/>
  <c r="N204" i="297"/>
  <c r="N205" i="297"/>
  <c r="N206" i="297"/>
  <c r="N207" i="297"/>
  <c r="N208" i="297"/>
  <c r="N209" i="297"/>
  <c r="N210" i="297"/>
  <c r="N211" i="297"/>
  <c r="N212" i="297"/>
  <c r="N213" i="297"/>
  <c r="N214" i="297"/>
  <c r="N215" i="297"/>
  <c r="N216" i="297"/>
  <c r="N217" i="297"/>
  <c r="N218" i="297"/>
  <c r="N219" i="297"/>
  <c r="N220" i="297"/>
  <c r="N221" i="297"/>
  <c r="N222" i="297"/>
  <c r="N223" i="297"/>
  <c r="N224" i="297"/>
  <c r="N225" i="297"/>
  <c r="N226" i="297"/>
  <c r="N227" i="297"/>
  <c r="N228" i="297"/>
  <c r="N229" i="297"/>
  <c r="N230" i="297"/>
  <c r="N231" i="297"/>
  <c r="N232" i="297"/>
  <c r="N233" i="297"/>
  <c r="N234" i="297"/>
  <c r="N235" i="297"/>
  <c r="N236" i="297"/>
  <c r="N237" i="297"/>
  <c r="N238" i="297"/>
  <c r="N239" i="297"/>
  <c r="N240" i="297"/>
  <c r="N241" i="297"/>
  <c r="N242" i="297"/>
  <c r="N243" i="297"/>
  <c r="N244" i="297"/>
  <c r="N245" i="297"/>
  <c r="N246" i="297"/>
  <c r="N247" i="297"/>
  <c r="N248" i="297"/>
  <c r="N249" i="297"/>
  <c r="N250" i="297"/>
  <c r="N251" i="297"/>
  <c r="N252" i="297"/>
  <c r="N253" i="297"/>
  <c r="N254" i="297"/>
  <c r="N255" i="297"/>
  <c r="N256" i="297"/>
  <c r="N257" i="297"/>
  <c r="N258" i="297"/>
  <c r="N259" i="297"/>
  <c r="N260" i="297"/>
  <c r="N261" i="297"/>
  <c r="N262" i="297"/>
  <c r="N263" i="297"/>
  <c r="N264" i="297"/>
  <c r="N265" i="297"/>
  <c r="N266" i="297"/>
  <c r="N267" i="297"/>
  <c r="N268" i="297"/>
  <c r="N269" i="297"/>
  <c r="N270" i="297"/>
  <c r="N271" i="297"/>
  <c r="N272" i="297"/>
  <c r="N273" i="297"/>
  <c r="N274" i="297"/>
  <c r="N275" i="297"/>
  <c r="N276" i="297"/>
  <c r="N277" i="297"/>
  <c r="N278" i="297"/>
  <c r="N279" i="297"/>
  <c r="N280" i="297"/>
  <c r="N281" i="297"/>
  <c r="N282" i="297"/>
  <c r="N283" i="297"/>
  <c r="N284" i="297"/>
  <c r="N285" i="297"/>
  <c r="N286" i="297"/>
  <c r="N287" i="297"/>
  <c r="N288" i="297"/>
  <c r="N289" i="297"/>
  <c r="N290" i="297"/>
  <c r="N291" i="297"/>
  <c r="N292" i="297"/>
  <c r="N293" i="297"/>
  <c r="N294" i="297"/>
  <c r="N295" i="297"/>
  <c r="N296" i="297"/>
  <c r="N297" i="297"/>
  <c r="N298" i="297"/>
  <c r="N299" i="297"/>
  <c r="N300" i="297"/>
  <c r="N301" i="297"/>
  <c r="N302" i="297"/>
  <c r="N303" i="297"/>
  <c r="N304" i="297"/>
  <c r="N305" i="297"/>
  <c r="N306" i="297"/>
  <c r="N307" i="297"/>
  <c r="N308" i="297"/>
  <c r="N309" i="297"/>
  <c r="N310" i="297"/>
  <c r="N311" i="297"/>
  <c r="N312" i="297"/>
  <c r="N313" i="297"/>
  <c r="N314" i="297"/>
  <c r="N315" i="297"/>
  <c r="N316" i="297"/>
  <c r="N317" i="297"/>
  <c r="N318" i="297"/>
  <c r="N319" i="297"/>
  <c r="N320" i="297"/>
  <c r="N321" i="297"/>
  <c r="N322" i="297"/>
  <c r="N323" i="297"/>
  <c r="N324" i="297"/>
  <c r="N325" i="297"/>
  <c r="N326" i="297"/>
  <c r="N327" i="297"/>
  <c r="N328" i="297"/>
  <c r="N329" i="297"/>
  <c r="N330" i="297"/>
  <c r="N331" i="297"/>
  <c r="N332" i="297"/>
  <c r="N333" i="297"/>
  <c r="N334" i="297"/>
  <c r="N335" i="297"/>
  <c r="N336" i="297"/>
  <c r="N337" i="297"/>
  <c r="N338" i="297"/>
  <c r="N339" i="297"/>
  <c r="N340" i="297"/>
  <c r="N341" i="297"/>
  <c r="N342" i="297"/>
  <c r="N343" i="297"/>
  <c r="N344" i="297"/>
  <c r="N345" i="297"/>
  <c r="N346" i="297"/>
  <c r="N347" i="297"/>
  <c r="N348" i="297"/>
  <c r="N349" i="297"/>
  <c r="N350" i="297"/>
  <c r="N351" i="297"/>
  <c r="N352" i="297"/>
  <c r="N353" i="297"/>
  <c r="N354" i="297"/>
  <c r="N355" i="297"/>
  <c r="N356" i="297"/>
  <c r="N357" i="297"/>
  <c r="N358" i="297"/>
  <c r="N359" i="297"/>
  <c r="N360" i="297"/>
  <c r="N361" i="297"/>
  <c r="N362" i="297"/>
  <c r="N363" i="297"/>
  <c r="N364" i="297"/>
  <c r="N365" i="297"/>
  <c r="N366" i="297"/>
  <c r="N367" i="297"/>
  <c r="N368" i="297"/>
  <c r="N369" i="297"/>
  <c r="N370" i="297"/>
  <c r="N371" i="297"/>
  <c r="N372" i="297"/>
  <c r="N373" i="297"/>
  <c r="N374" i="297"/>
  <c r="N375" i="297"/>
  <c r="N376" i="297"/>
  <c r="N377" i="297"/>
  <c r="N378" i="297"/>
  <c r="N379" i="297"/>
  <c r="N380" i="297"/>
  <c r="N381" i="297"/>
  <c r="N382" i="297"/>
  <c r="N383" i="297"/>
  <c r="N384" i="297"/>
  <c r="N385" i="297"/>
  <c r="N386" i="297"/>
  <c r="N387" i="297"/>
  <c r="N388" i="297"/>
  <c r="N389" i="297"/>
  <c r="N390" i="297"/>
  <c r="N391" i="297"/>
  <c r="N392" i="297"/>
  <c r="N393" i="297"/>
  <c r="N394" i="297"/>
  <c r="N395" i="297"/>
  <c r="N396" i="297"/>
  <c r="N397" i="297"/>
  <c r="N398" i="297"/>
  <c r="N399" i="297"/>
  <c r="N400" i="297"/>
  <c r="N401" i="297"/>
  <c r="N402" i="297"/>
  <c r="N403" i="297"/>
  <c r="N404" i="297"/>
  <c r="N405" i="297"/>
  <c r="N406" i="297"/>
  <c r="N407" i="297"/>
  <c r="N408" i="297"/>
  <c r="N409" i="297"/>
  <c r="N410" i="297"/>
  <c r="N411" i="297"/>
  <c r="N412" i="297"/>
  <c r="N413" i="297"/>
  <c r="N414" i="297"/>
  <c r="N415" i="297"/>
  <c r="N416" i="297"/>
  <c r="N417" i="297"/>
  <c r="N418" i="297"/>
  <c r="N419" i="297"/>
  <c r="N420" i="297"/>
  <c r="N421" i="297"/>
  <c r="N422" i="297"/>
  <c r="N423" i="297"/>
  <c r="N424" i="297"/>
  <c r="N425" i="297"/>
  <c r="N426" i="297"/>
  <c r="N427" i="297"/>
  <c r="N428" i="297"/>
  <c r="N429" i="297"/>
  <c r="N430" i="297"/>
  <c r="N431" i="297"/>
  <c r="N432" i="297"/>
  <c r="N433" i="297"/>
  <c r="N434" i="297"/>
  <c r="N435" i="297"/>
  <c r="N436" i="297"/>
  <c r="N437" i="297"/>
  <c r="N438" i="297"/>
  <c r="N439" i="297"/>
  <c r="N440" i="297"/>
  <c r="N441" i="297"/>
  <c r="N442" i="297"/>
  <c r="N443" i="297"/>
  <c r="N444" i="297"/>
  <c r="N445" i="297"/>
  <c r="N446" i="297"/>
  <c r="N447" i="297"/>
  <c r="N448" i="297"/>
  <c r="N449" i="297"/>
  <c r="N450" i="297"/>
  <c r="N451" i="297"/>
  <c r="N452" i="297"/>
  <c r="N453" i="297"/>
  <c r="N454" i="297"/>
  <c r="N455" i="297"/>
  <c r="N456" i="297"/>
  <c r="N457" i="297"/>
  <c r="N458" i="297"/>
  <c r="N459" i="297"/>
  <c r="N460" i="297"/>
  <c r="N461" i="297"/>
  <c r="N462" i="297"/>
  <c r="N463" i="297"/>
  <c r="N464" i="297"/>
  <c r="N465" i="297"/>
  <c r="N466" i="297"/>
  <c r="N467" i="297"/>
  <c r="N468" i="297"/>
  <c r="N469" i="297"/>
  <c r="N470" i="297"/>
  <c r="N471" i="297"/>
  <c r="N472" i="297"/>
  <c r="N473" i="297"/>
  <c r="N474" i="297"/>
  <c r="N475" i="297"/>
  <c r="N476" i="297"/>
  <c r="N477" i="297"/>
  <c r="N478" i="297"/>
  <c r="N479" i="297"/>
  <c r="N480" i="297"/>
  <c r="N481" i="297"/>
  <c r="N482" i="297"/>
  <c r="N483" i="297"/>
  <c r="N484" i="297"/>
  <c r="N485" i="297"/>
  <c r="N486" i="297"/>
  <c r="N487" i="297"/>
  <c r="N488" i="297"/>
  <c r="N489" i="297"/>
  <c r="N490" i="297"/>
  <c r="N491" i="297"/>
  <c r="N492" i="297"/>
  <c r="N493" i="297"/>
  <c r="N494" i="297"/>
  <c r="N495" i="297"/>
  <c r="N496" i="297"/>
  <c r="N497" i="297"/>
  <c r="N498" i="297"/>
  <c r="N499" i="297"/>
  <c r="N500" i="297"/>
  <c r="N501" i="297"/>
  <c r="N502" i="297"/>
  <c r="N503" i="297"/>
  <c r="N504" i="297"/>
  <c r="N505" i="297"/>
  <c r="N506" i="297"/>
  <c r="N507" i="297"/>
  <c r="N508" i="297"/>
  <c r="N509" i="297"/>
  <c r="N510" i="297"/>
  <c r="N511" i="297"/>
  <c r="N512" i="297"/>
  <c r="N513" i="297"/>
  <c r="N514" i="297"/>
  <c r="N515" i="297"/>
  <c r="N516" i="297"/>
  <c r="N34" i="297"/>
  <c r="K32" i="297"/>
  <c r="K36" i="297" s="1"/>
  <c r="AL40" i="298" l="1"/>
  <c r="J52" i="298" s="1"/>
  <c r="AJ40" i="298"/>
  <c r="H76" i="298" s="1"/>
  <c r="R76" i="298" s="1"/>
  <c r="AK40" i="298"/>
  <c r="I389" i="298" s="1"/>
  <c r="S30" i="298"/>
  <c r="Y30" i="298"/>
  <c r="M30" i="298"/>
  <c r="N30" i="298"/>
  <c r="Z30" i="298"/>
  <c r="T30" i="298"/>
  <c r="K514" i="297"/>
  <c r="K258" i="297"/>
  <c r="X30" i="298"/>
  <c r="K217" i="297"/>
  <c r="K450" i="297"/>
  <c r="K194" i="297"/>
  <c r="L30" i="298"/>
  <c r="K153" i="297"/>
  <c r="K409" i="297"/>
  <c r="K281" i="297"/>
  <c r="K473" i="297"/>
  <c r="K129" i="297"/>
  <c r="K345" i="297"/>
  <c r="K65" i="297"/>
  <c r="K386" i="297"/>
  <c r="K322" i="297"/>
  <c r="J182" i="298"/>
  <c r="J255" i="298"/>
  <c r="J208" i="298"/>
  <c r="J201" i="298"/>
  <c r="J138" i="298"/>
  <c r="J115" i="298"/>
  <c r="J424" i="298"/>
  <c r="H133" i="298"/>
  <c r="H265" i="298"/>
  <c r="R265" i="298" s="1"/>
  <c r="K505" i="297"/>
  <c r="K441" i="297"/>
  <c r="K377" i="297"/>
  <c r="K313" i="297"/>
  <c r="K249" i="297"/>
  <c r="K185" i="297"/>
  <c r="K114" i="297"/>
  <c r="K498" i="297"/>
  <c r="K434" i="297"/>
  <c r="K370" i="297"/>
  <c r="K306" i="297"/>
  <c r="K242" i="297"/>
  <c r="K178" i="297"/>
  <c r="K106" i="297"/>
  <c r="K489" i="297"/>
  <c r="K425" i="297"/>
  <c r="K361" i="297"/>
  <c r="K297" i="297"/>
  <c r="K233" i="297"/>
  <c r="K169" i="297"/>
  <c r="K91" i="297"/>
  <c r="K482" i="297"/>
  <c r="K418" i="297"/>
  <c r="K354" i="297"/>
  <c r="K290" i="297"/>
  <c r="K226" i="297"/>
  <c r="K162" i="297"/>
  <c r="K83" i="297"/>
  <c r="K466" i="297"/>
  <c r="K402" i="297"/>
  <c r="K338" i="297"/>
  <c r="K274" i="297"/>
  <c r="K210" i="297"/>
  <c r="K146" i="297"/>
  <c r="K42" i="297"/>
  <c r="K457" i="297"/>
  <c r="K393" i="297"/>
  <c r="K329" i="297"/>
  <c r="K265" i="297"/>
  <c r="K201" i="297"/>
  <c r="K137" i="297"/>
  <c r="K510" i="297"/>
  <c r="K494" i="297"/>
  <c r="K478" i="297"/>
  <c r="K462" i="297"/>
  <c r="K446" i="297"/>
  <c r="K430" i="297"/>
  <c r="K414" i="297"/>
  <c r="K398" i="297"/>
  <c r="K382" i="297"/>
  <c r="K366" i="297"/>
  <c r="K350" i="297"/>
  <c r="K334" i="297"/>
  <c r="K318" i="297"/>
  <c r="K302" i="297"/>
  <c r="K286" i="297"/>
  <c r="K270" i="297"/>
  <c r="K254" i="297"/>
  <c r="K238" i="297"/>
  <c r="K222" i="297"/>
  <c r="K206" i="297"/>
  <c r="K190" i="297"/>
  <c r="K174" i="297"/>
  <c r="K158" i="297"/>
  <c r="K142" i="297"/>
  <c r="K122" i="297"/>
  <c r="K99" i="297"/>
  <c r="K81" i="297"/>
  <c r="K58" i="297"/>
  <c r="K35" i="297"/>
  <c r="K507" i="297"/>
  <c r="K491" i="297"/>
  <c r="K475" i="297"/>
  <c r="K459" i="297"/>
  <c r="K443" i="297"/>
  <c r="K427" i="297"/>
  <c r="K411" i="297"/>
  <c r="K395" i="297"/>
  <c r="K379" i="297"/>
  <c r="K363" i="297"/>
  <c r="K347" i="297"/>
  <c r="K331" i="297"/>
  <c r="K315" i="297"/>
  <c r="K299" i="297"/>
  <c r="K283" i="297"/>
  <c r="K267" i="297"/>
  <c r="K251" i="297"/>
  <c r="K235" i="297"/>
  <c r="K219" i="297"/>
  <c r="K203" i="297"/>
  <c r="K187" i="297"/>
  <c r="K171" i="297"/>
  <c r="K155" i="297"/>
  <c r="K139" i="297"/>
  <c r="K121" i="297"/>
  <c r="K98" i="297"/>
  <c r="K75" i="297"/>
  <c r="K57" i="297"/>
  <c r="K506" i="297"/>
  <c r="K490" i="297"/>
  <c r="K474" i="297"/>
  <c r="K458" i="297"/>
  <c r="K442" i="297"/>
  <c r="K426" i="297"/>
  <c r="K410" i="297"/>
  <c r="K394" i="297"/>
  <c r="K378" i="297"/>
  <c r="K362" i="297"/>
  <c r="K346" i="297"/>
  <c r="K330" i="297"/>
  <c r="K314" i="297"/>
  <c r="K298" i="297"/>
  <c r="K282" i="297"/>
  <c r="K266" i="297"/>
  <c r="K250" i="297"/>
  <c r="K234" i="297"/>
  <c r="K218" i="297"/>
  <c r="K202" i="297"/>
  <c r="K186" i="297"/>
  <c r="K170" i="297"/>
  <c r="K154" i="297"/>
  <c r="K138" i="297"/>
  <c r="K115" i="297"/>
  <c r="K97" i="297"/>
  <c r="K74" i="297"/>
  <c r="K51" i="297"/>
  <c r="K34" i="297"/>
  <c r="K73" i="297"/>
  <c r="K50" i="297"/>
  <c r="K486" i="297"/>
  <c r="K454" i="297"/>
  <c r="K422" i="297"/>
  <c r="K390" i="297"/>
  <c r="K358" i="297"/>
  <c r="K326" i="297"/>
  <c r="K294" i="297"/>
  <c r="K278" i="297"/>
  <c r="K262" i="297"/>
  <c r="K230" i="297"/>
  <c r="K214" i="297"/>
  <c r="K198" i="297"/>
  <c r="K166" i="297"/>
  <c r="K150" i="297"/>
  <c r="K131" i="297"/>
  <c r="K113" i="297"/>
  <c r="K90" i="297"/>
  <c r="K67" i="297"/>
  <c r="K49" i="297"/>
  <c r="K502" i="297"/>
  <c r="K470" i="297"/>
  <c r="K438" i="297"/>
  <c r="K406" i="297"/>
  <c r="K374" i="297"/>
  <c r="K342" i="297"/>
  <c r="K310" i="297"/>
  <c r="K246" i="297"/>
  <c r="K182" i="297"/>
  <c r="K515" i="297"/>
  <c r="K499" i="297"/>
  <c r="K483" i="297"/>
  <c r="K467" i="297"/>
  <c r="K451" i="297"/>
  <c r="K435" i="297"/>
  <c r="K419" i="297"/>
  <c r="K403" i="297"/>
  <c r="K387" i="297"/>
  <c r="K371" i="297"/>
  <c r="K355" i="297"/>
  <c r="K339" i="297"/>
  <c r="K323" i="297"/>
  <c r="K307" i="297"/>
  <c r="K291" i="297"/>
  <c r="K275" i="297"/>
  <c r="K259" i="297"/>
  <c r="K243" i="297"/>
  <c r="K227" i="297"/>
  <c r="K211" i="297"/>
  <c r="K195" i="297"/>
  <c r="K179" i="297"/>
  <c r="K163" i="297"/>
  <c r="K147" i="297"/>
  <c r="K130" i="297"/>
  <c r="K107" i="297"/>
  <c r="K89" i="297"/>
  <c r="K66" i="297"/>
  <c r="K43" i="297"/>
  <c r="K513" i="297"/>
  <c r="K497" i="297"/>
  <c r="K481" i="297"/>
  <c r="K465" i="297"/>
  <c r="K449" i="297"/>
  <c r="K433" i="297"/>
  <c r="K417" i="297"/>
  <c r="K401" i="297"/>
  <c r="K385" i="297"/>
  <c r="K369" i="297"/>
  <c r="K353" i="297"/>
  <c r="K337" i="297"/>
  <c r="K321" i="297"/>
  <c r="K305" i="297"/>
  <c r="K289" i="297"/>
  <c r="K273" i="297"/>
  <c r="K257" i="297"/>
  <c r="K241" i="297"/>
  <c r="K225" i="297"/>
  <c r="K209" i="297"/>
  <c r="K193" i="297"/>
  <c r="K177" i="297"/>
  <c r="K161" i="297"/>
  <c r="K145" i="297"/>
  <c r="K123" i="297"/>
  <c r="K105" i="297"/>
  <c r="K82" i="297"/>
  <c r="K59" i="297"/>
  <c r="K41" i="297"/>
  <c r="K512" i="297"/>
  <c r="K504" i="297"/>
  <c r="K496" i="297"/>
  <c r="K488" i="297"/>
  <c r="K480" i="297"/>
  <c r="K472" i="297"/>
  <c r="K464" i="297"/>
  <c r="K456" i="297"/>
  <c r="K448" i="297"/>
  <c r="K440" i="297"/>
  <c r="K432" i="297"/>
  <c r="K424" i="297"/>
  <c r="K416" i="297"/>
  <c r="K408" i="297"/>
  <c r="K400" i="297"/>
  <c r="K392" i="297"/>
  <c r="K384" i="297"/>
  <c r="K376" i="297"/>
  <c r="K368" i="297"/>
  <c r="K360" i="297"/>
  <c r="K352" i="297"/>
  <c r="K344" i="297"/>
  <c r="K336" i="297"/>
  <c r="K328" i="297"/>
  <c r="K320" i="297"/>
  <c r="K312" i="297"/>
  <c r="K304" i="297"/>
  <c r="K296" i="297"/>
  <c r="K288" i="297"/>
  <c r="K280" i="297"/>
  <c r="K272" i="297"/>
  <c r="K264" i="297"/>
  <c r="K256" i="297"/>
  <c r="K248" i="297"/>
  <c r="K240" i="297"/>
  <c r="K232" i="297"/>
  <c r="K224" i="297"/>
  <c r="K216" i="297"/>
  <c r="K208" i="297"/>
  <c r="K200" i="297"/>
  <c r="K192" i="297"/>
  <c r="K184" i="297"/>
  <c r="K176" i="297"/>
  <c r="K168" i="297"/>
  <c r="K160" i="297"/>
  <c r="K152" i="297"/>
  <c r="K144" i="297"/>
  <c r="K136" i="297"/>
  <c r="K128" i="297"/>
  <c r="K120" i="297"/>
  <c r="K112" i="297"/>
  <c r="K104" i="297"/>
  <c r="K96" i="297"/>
  <c r="K88" i="297"/>
  <c r="K80" i="297"/>
  <c r="K72" i="297"/>
  <c r="K64" i="297"/>
  <c r="K56" i="297"/>
  <c r="K48" i="297"/>
  <c r="K40" i="297"/>
  <c r="K511" i="297"/>
  <c r="K503" i="297"/>
  <c r="K495" i="297"/>
  <c r="K487" i="297"/>
  <c r="K479" i="297"/>
  <c r="K471" i="297"/>
  <c r="K463" i="297"/>
  <c r="K455" i="297"/>
  <c r="K447" i="297"/>
  <c r="K439" i="297"/>
  <c r="K431" i="297"/>
  <c r="K423" i="297"/>
  <c r="K415" i="297"/>
  <c r="K407" i="297"/>
  <c r="K399" i="297"/>
  <c r="K391" i="297"/>
  <c r="K383" i="297"/>
  <c r="K375" i="297"/>
  <c r="K367" i="297"/>
  <c r="K359" i="297"/>
  <c r="K351" i="297"/>
  <c r="K343" i="297"/>
  <c r="K335" i="297"/>
  <c r="K327" i="297"/>
  <c r="K319" i="297"/>
  <c r="K311" i="297"/>
  <c r="K303" i="297"/>
  <c r="K295" i="297"/>
  <c r="K287" i="297"/>
  <c r="K279" i="297"/>
  <c r="K271" i="297"/>
  <c r="K263" i="297"/>
  <c r="K255" i="297"/>
  <c r="K247" i="297"/>
  <c r="K239" i="297"/>
  <c r="K231" i="297"/>
  <c r="K223" i="297"/>
  <c r="K215" i="297"/>
  <c r="K207" i="297"/>
  <c r="K199" i="297"/>
  <c r="K191" i="297"/>
  <c r="K183" i="297"/>
  <c r="K175" i="297"/>
  <c r="K167" i="297"/>
  <c r="K159" i="297"/>
  <c r="K151" i="297"/>
  <c r="K143" i="297"/>
  <c r="K135" i="297"/>
  <c r="K127" i="297"/>
  <c r="K119" i="297"/>
  <c r="K111" i="297"/>
  <c r="K103" i="297"/>
  <c r="K95" i="297"/>
  <c r="K87" i="297"/>
  <c r="K79" i="297"/>
  <c r="K71" i="297"/>
  <c r="K63" i="297"/>
  <c r="K55" i="297"/>
  <c r="K47" i="297"/>
  <c r="K39" i="297"/>
  <c r="K134" i="297"/>
  <c r="K126" i="297"/>
  <c r="K118" i="297"/>
  <c r="K110" i="297"/>
  <c r="K102" i="297"/>
  <c r="K94" i="297"/>
  <c r="K86" i="297"/>
  <c r="K78" i="297"/>
  <c r="K70" i="297"/>
  <c r="K62" i="297"/>
  <c r="K54" i="297"/>
  <c r="K46" i="297"/>
  <c r="K38" i="297"/>
  <c r="K509" i="297"/>
  <c r="K501" i="297"/>
  <c r="K493" i="297"/>
  <c r="K485" i="297"/>
  <c r="K477" i="297"/>
  <c r="K469" i="297"/>
  <c r="K461" i="297"/>
  <c r="K453" i="297"/>
  <c r="K445" i="297"/>
  <c r="K437" i="297"/>
  <c r="K429" i="297"/>
  <c r="K421" i="297"/>
  <c r="K413" i="297"/>
  <c r="K405" i="297"/>
  <c r="K397" i="297"/>
  <c r="K389" i="297"/>
  <c r="K381" i="297"/>
  <c r="K373" i="297"/>
  <c r="K365" i="297"/>
  <c r="K357" i="297"/>
  <c r="K349" i="297"/>
  <c r="K341" i="297"/>
  <c r="K333" i="297"/>
  <c r="K325" i="297"/>
  <c r="K317" i="297"/>
  <c r="K309" i="297"/>
  <c r="K301" i="297"/>
  <c r="K293" i="297"/>
  <c r="K285" i="297"/>
  <c r="K277" i="297"/>
  <c r="K269" i="297"/>
  <c r="K261" i="297"/>
  <c r="K253" i="297"/>
  <c r="K245" i="297"/>
  <c r="K237" i="297"/>
  <c r="K229" i="297"/>
  <c r="K221" i="297"/>
  <c r="K213" i="297"/>
  <c r="K205" i="297"/>
  <c r="K197" i="297"/>
  <c r="K189" i="297"/>
  <c r="K181" i="297"/>
  <c r="K173" i="297"/>
  <c r="K165" i="297"/>
  <c r="K157" i="297"/>
  <c r="K149" i="297"/>
  <c r="K141" i="297"/>
  <c r="K133" i="297"/>
  <c r="K125" i="297"/>
  <c r="K117" i="297"/>
  <c r="K109" i="297"/>
  <c r="K101" i="297"/>
  <c r="K93" i="297"/>
  <c r="K85" i="297"/>
  <c r="K77" i="297"/>
  <c r="K69" i="297"/>
  <c r="K61" i="297"/>
  <c r="K53" i="297"/>
  <c r="K45" i="297"/>
  <c r="K37" i="297"/>
  <c r="K516" i="297"/>
  <c r="K508" i="297"/>
  <c r="K500" i="297"/>
  <c r="K492" i="297"/>
  <c r="K484" i="297"/>
  <c r="K476" i="297"/>
  <c r="K468" i="297"/>
  <c r="K460" i="297"/>
  <c r="K452" i="297"/>
  <c r="K444" i="297"/>
  <c r="K436" i="297"/>
  <c r="K428" i="297"/>
  <c r="K420" i="297"/>
  <c r="K412" i="297"/>
  <c r="K404" i="297"/>
  <c r="K396" i="297"/>
  <c r="K388" i="297"/>
  <c r="K380" i="297"/>
  <c r="K372" i="297"/>
  <c r="K364" i="297"/>
  <c r="K356" i="297"/>
  <c r="K348" i="297"/>
  <c r="K340" i="297"/>
  <c r="K332" i="297"/>
  <c r="K324" i="297"/>
  <c r="K316" i="297"/>
  <c r="K308" i="297"/>
  <c r="K300" i="297"/>
  <c r="K292" i="297"/>
  <c r="K284" i="297"/>
  <c r="K276" i="297"/>
  <c r="K268" i="297"/>
  <c r="K260" i="297"/>
  <c r="K252" i="297"/>
  <c r="K244" i="297"/>
  <c r="K236" i="297"/>
  <c r="K228" i="297"/>
  <c r="K220" i="297"/>
  <c r="K212" i="297"/>
  <c r="K204" i="297"/>
  <c r="K196" i="297"/>
  <c r="K188" i="297"/>
  <c r="K180" i="297"/>
  <c r="K172" i="297"/>
  <c r="K164" i="297"/>
  <c r="K156" i="297"/>
  <c r="K148" i="297"/>
  <c r="K140" i="297"/>
  <c r="K132" i="297"/>
  <c r="K124" i="297"/>
  <c r="K116" i="297"/>
  <c r="K108" i="297"/>
  <c r="K100" i="297"/>
  <c r="K92" i="297"/>
  <c r="K84" i="297"/>
  <c r="K76" i="297"/>
  <c r="K68" i="297"/>
  <c r="K60" i="297"/>
  <c r="K52" i="297"/>
  <c r="K44" i="297"/>
  <c r="H474" i="298" l="1"/>
  <c r="R474" i="298" s="1"/>
  <c r="J477" i="298"/>
  <c r="J373" i="298"/>
  <c r="J498" i="298"/>
  <c r="J132" i="298"/>
  <c r="J401" i="298"/>
  <c r="J116" i="298"/>
  <c r="J442" i="298"/>
  <c r="J381" i="298"/>
  <c r="J190" i="298"/>
  <c r="H212" i="298"/>
  <c r="R212" i="298" s="1"/>
  <c r="H505" i="298"/>
  <c r="R505" i="298" s="1"/>
  <c r="H377" i="298"/>
  <c r="R377" i="298" s="1"/>
  <c r="J99" i="298"/>
  <c r="T99" i="298" s="1"/>
  <c r="J504" i="298"/>
  <c r="J106" i="298"/>
  <c r="Z106" i="298" s="1"/>
  <c r="J169" i="298"/>
  <c r="N169" i="298" s="1"/>
  <c r="J176" i="298"/>
  <c r="T176" i="298" s="1"/>
  <c r="J269" i="298"/>
  <c r="N269" i="298" s="1"/>
  <c r="J501" i="298"/>
  <c r="Z501" i="298" s="1"/>
  <c r="J67" i="298"/>
  <c r="N67" i="298" s="1"/>
  <c r="J90" i="298"/>
  <c r="T90" i="298" s="1"/>
  <c r="J153" i="298"/>
  <c r="Z153" i="298" s="1"/>
  <c r="J160" i="298"/>
  <c r="N160" i="298" s="1"/>
  <c r="J207" i="298"/>
  <c r="N207" i="298" s="1"/>
  <c r="J395" i="298"/>
  <c r="N395" i="298" s="1"/>
  <c r="J230" i="298"/>
  <c r="N230" i="298" s="1"/>
  <c r="J487" i="298"/>
  <c r="N487" i="298" s="1"/>
  <c r="J51" i="298"/>
  <c r="N51" i="298" s="1"/>
  <c r="J74" i="298"/>
  <c r="Z74" i="298" s="1"/>
  <c r="J137" i="298"/>
  <c r="T137" i="298" s="1"/>
  <c r="J144" i="298"/>
  <c r="N144" i="298" s="1"/>
  <c r="J191" i="298"/>
  <c r="T191" i="298" s="1"/>
  <c r="J431" i="298"/>
  <c r="Z431" i="298" s="1"/>
  <c r="J236" i="298"/>
  <c r="Z236" i="298" s="1"/>
  <c r="J458" i="298"/>
  <c r="Z458" i="298" s="1"/>
  <c r="J507" i="298"/>
  <c r="Z507" i="298" s="1"/>
  <c r="J105" i="298"/>
  <c r="N105" i="298" s="1"/>
  <c r="J112" i="298"/>
  <c r="Z112" i="298" s="1"/>
  <c r="J37" i="298"/>
  <c r="N37" i="298" s="1"/>
  <c r="J78" i="298"/>
  <c r="J124" i="298"/>
  <c r="J454" i="298"/>
  <c r="T454" i="298" s="1"/>
  <c r="J122" i="298"/>
  <c r="Z122" i="298" s="1"/>
  <c r="J185" i="298"/>
  <c r="N185" i="298" s="1"/>
  <c r="J192" i="298"/>
  <c r="Z192" i="298" s="1"/>
  <c r="J239" i="298"/>
  <c r="N239" i="298" s="1"/>
  <c r="J228" i="298"/>
  <c r="N228" i="298" s="1"/>
  <c r="J83" i="298"/>
  <c r="T83" i="298" s="1"/>
  <c r="J223" i="298"/>
  <c r="Z223" i="298" s="1"/>
  <c r="J473" i="298"/>
  <c r="N473" i="298" s="1"/>
  <c r="J35" i="298"/>
  <c r="Z35" i="298" s="1"/>
  <c r="J58" i="298"/>
  <c r="T58" i="298" s="1"/>
  <c r="J121" i="298"/>
  <c r="N121" i="298" s="1"/>
  <c r="J128" i="298"/>
  <c r="T128" i="298" s="1"/>
  <c r="J159" i="298"/>
  <c r="Z159" i="298" s="1"/>
  <c r="J460" i="298"/>
  <c r="T460" i="298" s="1"/>
  <c r="J42" i="298"/>
  <c r="N42" i="298" s="1"/>
  <c r="J143" i="298"/>
  <c r="N143" i="298" s="1"/>
  <c r="J444" i="298"/>
  <c r="Z444" i="298" s="1"/>
  <c r="J486" i="298"/>
  <c r="N486" i="298" s="1"/>
  <c r="J514" i="298"/>
  <c r="Z514" i="298" s="1"/>
  <c r="J89" i="298"/>
  <c r="T89" i="298" s="1"/>
  <c r="J96" i="298"/>
  <c r="Z96" i="298" s="1"/>
  <c r="J127" i="298"/>
  <c r="J237" i="298"/>
  <c r="T237" i="298" s="1"/>
  <c r="J430" i="298"/>
  <c r="N430" i="298" s="1"/>
  <c r="J472" i="298"/>
  <c r="N472" i="298" s="1"/>
  <c r="J500" i="298"/>
  <c r="N500" i="298" s="1"/>
  <c r="J73" i="298"/>
  <c r="J80" i="298"/>
  <c r="J95" i="298"/>
  <c r="N95" i="298" s="1"/>
  <c r="J397" i="298"/>
  <c r="J416" i="298"/>
  <c r="N416" i="298" s="1"/>
  <c r="J451" i="298"/>
  <c r="N451" i="298" s="1"/>
  <c r="J485" i="298"/>
  <c r="Z485" i="298" s="1"/>
  <c r="J57" i="298"/>
  <c r="Z57" i="298" s="1"/>
  <c r="J64" i="298"/>
  <c r="T64" i="298" s="1"/>
  <c r="J79" i="298"/>
  <c r="T79" i="298" s="1"/>
  <c r="J206" i="298"/>
  <c r="T206" i="298" s="1"/>
  <c r="J402" i="298"/>
  <c r="N402" i="298" s="1"/>
  <c r="J429" i="298"/>
  <c r="Z429" i="298" s="1"/>
  <c r="J471" i="298"/>
  <c r="T471" i="298" s="1"/>
  <c r="J41" i="298"/>
  <c r="T41" i="298" s="1"/>
  <c r="J48" i="298"/>
  <c r="T48" i="298" s="1"/>
  <c r="J63" i="298"/>
  <c r="Z63" i="298" s="1"/>
  <c r="J252" i="298"/>
  <c r="T252" i="298" s="1"/>
  <c r="J388" i="298"/>
  <c r="T388" i="298" s="1"/>
  <c r="J415" i="298"/>
  <c r="Z415" i="298" s="1"/>
  <c r="J457" i="298"/>
  <c r="N457" i="298" s="1"/>
  <c r="J499" i="298"/>
  <c r="N499" i="298" s="1"/>
  <c r="J512" i="298"/>
  <c r="T512" i="298" s="1"/>
  <c r="J70" i="298"/>
  <c r="Z70" i="298" s="1"/>
  <c r="J293" i="298"/>
  <c r="Z293" i="298" s="1"/>
  <c r="J358" i="298"/>
  <c r="Z358" i="298" s="1"/>
  <c r="J254" i="298"/>
  <c r="T254" i="298" s="1"/>
  <c r="J337" i="298"/>
  <c r="J428" i="298"/>
  <c r="J463" i="298"/>
  <c r="J484" i="298"/>
  <c r="J417" i="298"/>
  <c r="T417" i="298" s="1"/>
  <c r="J342" i="298"/>
  <c r="Z342" i="298" s="1"/>
  <c r="J414" i="298"/>
  <c r="N414" i="298" s="1"/>
  <c r="J469" i="298"/>
  <c r="Z469" i="298" s="1"/>
  <c r="J244" i="298"/>
  <c r="T244" i="298" s="1"/>
  <c r="J321" i="298"/>
  <c r="T321" i="298" s="1"/>
  <c r="J400" i="298"/>
  <c r="T400" i="298" s="1"/>
  <c r="J427" i="298"/>
  <c r="Z427" i="298" s="1"/>
  <c r="J455" i="298"/>
  <c r="Z455" i="298" s="1"/>
  <c r="J285" i="298"/>
  <c r="N285" i="298" s="1"/>
  <c r="J511" i="298"/>
  <c r="Z511" i="298" s="1"/>
  <c r="J306" i="298"/>
  <c r="N306" i="298" s="1"/>
  <c r="J291" i="298"/>
  <c r="T291" i="298" s="1"/>
  <c r="J371" i="298"/>
  <c r="N371" i="298" s="1"/>
  <c r="J392" i="298"/>
  <c r="N392" i="298" s="1"/>
  <c r="J426" i="298"/>
  <c r="T426" i="298" s="1"/>
  <c r="J425" i="298"/>
  <c r="Z425" i="298" s="1"/>
  <c r="J275" i="298"/>
  <c r="N275" i="298" s="1"/>
  <c r="J298" i="298"/>
  <c r="Z298" i="298" s="1"/>
  <c r="J356" i="298"/>
  <c r="Z356" i="298" s="1"/>
  <c r="J370" i="298"/>
  <c r="Z370" i="298" s="1"/>
  <c r="J474" i="298"/>
  <c r="N474" i="298" s="1"/>
  <c r="J382" i="298"/>
  <c r="N382" i="298" s="1"/>
  <c r="J46" i="298"/>
  <c r="Z46" i="298" s="1"/>
  <c r="J259" i="298"/>
  <c r="J282" i="298"/>
  <c r="J341" i="298"/>
  <c r="T341" i="298" s="1"/>
  <c r="J355" i="298"/>
  <c r="N355" i="298" s="1"/>
  <c r="J398" i="298"/>
  <c r="N398" i="298" s="1"/>
  <c r="J53" i="298"/>
  <c r="N53" i="298" s="1"/>
  <c r="J86" i="298"/>
  <c r="T86" i="298" s="1"/>
  <c r="J92" i="298"/>
  <c r="N92" i="298" s="1"/>
  <c r="J243" i="298"/>
  <c r="N243" i="298" s="1"/>
  <c r="J266" i="298"/>
  <c r="N266" i="298" s="1"/>
  <c r="J326" i="298"/>
  <c r="T326" i="298" s="1"/>
  <c r="J340" i="298"/>
  <c r="Z340" i="298" s="1"/>
  <c r="J384" i="298"/>
  <c r="T384" i="298" s="1"/>
  <c r="J140" i="298"/>
  <c r="N140" i="298" s="1"/>
  <c r="J133" i="298"/>
  <c r="Z133" i="298" s="1"/>
  <c r="J227" i="298"/>
  <c r="Z227" i="298" s="1"/>
  <c r="J250" i="298"/>
  <c r="Z250" i="298" s="1"/>
  <c r="J311" i="298"/>
  <c r="T311" i="298" s="1"/>
  <c r="J325" i="298"/>
  <c r="Z325" i="298" s="1"/>
  <c r="J369" i="298"/>
  <c r="N369" i="298" s="1"/>
  <c r="J181" i="298"/>
  <c r="T181" i="298" s="1"/>
  <c r="J174" i="298"/>
  <c r="T174" i="298" s="1"/>
  <c r="J211" i="298"/>
  <c r="N211" i="298" s="1"/>
  <c r="J234" i="298"/>
  <c r="Z234" i="298" s="1"/>
  <c r="J297" i="298"/>
  <c r="J310" i="298"/>
  <c r="N310" i="298" s="1"/>
  <c r="J354" i="298"/>
  <c r="N354" i="298" s="1"/>
  <c r="J222" i="298"/>
  <c r="N222" i="298" s="1"/>
  <c r="J214" i="298"/>
  <c r="N214" i="298" s="1"/>
  <c r="J379" i="298"/>
  <c r="J157" i="298"/>
  <c r="Z157" i="298" s="1"/>
  <c r="J364" i="298"/>
  <c r="N364" i="298" s="1"/>
  <c r="J449" i="298"/>
  <c r="N449" i="298" s="1"/>
  <c r="J446" i="298"/>
  <c r="Z446" i="298" s="1"/>
  <c r="J349" i="298"/>
  <c r="N349" i="298" s="1"/>
  <c r="J468" i="298"/>
  <c r="T468" i="298" s="1"/>
  <c r="J327" i="298"/>
  <c r="T327" i="298" s="1"/>
  <c r="J386" i="298"/>
  <c r="T386" i="298" s="1"/>
  <c r="J406" i="298"/>
  <c r="Z406" i="298" s="1"/>
  <c r="J441" i="298"/>
  <c r="Z441" i="298" s="1"/>
  <c r="J102" i="298"/>
  <c r="T102" i="298" s="1"/>
  <c r="J312" i="298"/>
  <c r="N312" i="298" s="1"/>
  <c r="J213" i="298"/>
  <c r="T213" i="298" s="1"/>
  <c r="J412" i="298"/>
  <c r="N412" i="298" s="1"/>
  <c r="J467" i="298"/>
  <c r="N467" i="298" s="1"/>
  <c r="J220" i="298"/>
  <c r="T220" i="298" s="1"/>
  <c r="J195" i="298"/>
  <c r="T195" i="298" s="1"/>
  <c r="J218" i="298"/>
  <c r="N218" i="298" s="1"/>
  <c r="J281" i="298"/>
  <c r="Z281" i="298" s="1"/>
  <c r="J288" i="298"/>
  <c r="Z288" i="298" s="1"/>
  <c r="J339" i="298"/>
  <c r="T339" i="298" s="1"/>
  <c r="J307" i="298"/>
  <c r="T307" i="298" s="1"/>
  <c r="J315" i="298"/>
  <c r="T315" i="298" s="1"/>
  <c r="J261" i="298"/>
  <c r="N261" i="298" s="1"/>
  <c r="J179" i="298"/>
  <c r="J202" i="298"/>
  <c r="T202" i="298" s="1"/>
  <c r="J265" i="298"/>
  <c r="J272" i="298"/>
  <c r="J324" i="298"/>
  <c r="T324" i="298" s="1"/>
  <c r="J359" i="298"/>
  <c r="N359" i="298" s="1"/>
  <c r="J383" i="298"/>
  <c r="T383" i="298" s="1"/>
  <c r="J302" i="298"/>
  <c r="N302" i="298" s="1"/>
  <c r="J163" i="298"/>
  <c r="N163" i="298" s="1"/>
  <c r="J186" i="298"/>
  <c r="N186" i="298" s="1"/>
  <c r="J249" i="298"/>
  <c r="T249" i="298" s="1"/>
  <c r="J256" i="298"/>
  <c r="Z256" i="298" s="1"/>
  <c r="J303" i="298"/>
  <c r="T303" i="298" s="1"/>
  <c r="J410" i="298"/>
  <c r="N410" i="298" s="1"/>
  <c r="J336" i="298"/>
  <c r="Z336" i="298" s="1"/>
  <c r="J147" i="298"/>
  <c r="N147" i="298" s="1"/>
  <c r="J170" i="298"/>
  <c r="T170" i="298" s="1"/>
  <c r="J233" i="298"/>
  <c r="N233" i="298" s="1"/>
  <c r="J240" i="298"/>
  <c r="T240" i="298" s="1"/>
  <c r="J287" i="298"/>
  <c r="Z287" i="298" s="1"/>
  <c r="J509" i="298"/>
  <c r="Z509" i="298" s="1"/>
  <c r="J374" i="298"/>
  <c r="Z374" i="298" s="1"/>
  <c r="J131" i="298"/>
  <c r="N131" i="298" s="1"/>
  <c r="J154" i="298"/>
  <c r="Z154" i="298" s="1"/>
  <c r="J217" i="298"/>
  <c r="T217" i="298" s="1"/>
  <c r="J224" i="298"/>
  <c r="T224" i="298" s="1"/>
  <c r="J271" i="298"/>
  <c r="N271" i="298" s="1"/>
  <c r="J54" i="298"/>
  <c r="J100" i="298"/>
  <c r="N100" i="298" s="1"/>
  <c r="J110" i="298"/>
  <c r="N110" i="298" s="1"/>
  <c r="J284" i="298"/>
  <c r="N284" i="298" s="1"/>
  <c r="J439" i="298"/>
  <c r="N439" i="298" s="1"/>
  <c r="J480" i="298"/>
  <c r="Z480" i="298" s="1"/>
  <c r="J423" i="298"/>
  <c r="T423" i="298" s="1"/>
  <c r="J365" i="298"/>
  <c r="N365" i="298" s="1"/>
  <c r="J299" i="298"/>
  <c r="N299" i="298" s="1"/>
  <c r="J235" i="298"/>
  <c r="N235" i="298" s="1"/>
  <c r="J171" i="298"/>
  <c r="Z171" i="298" s="1"/>
  <c r="J107" i="298"/>
  <c r="Z107" i="298" s="1"/>
  <c r="J43" i="298"/>
  <c r="J465" i="298"/>
  <c r="T465" i="298" s="1"/>
  <c r="J387" i="298"/>
  <c r="J320" i="298"/>
  <c r="T320" i="298" s="1"/>
  <c r="J258" i="298"/>
  <c r="J194" i="298"/>
  <c r="N194" i="298" s="1"/>
  <c r="J130" i="298"/>
  <c r="N130" i="298" s="1"/>
  <c r="J66" i="298"/>
  <c r="T66" i="298" s="1"/>
  <c r="J492" i="298"/>
  <c r="T492" i="298" s="1"/>
  <c r="J436" i="298"/>
  <c r="N436" i="298" s="1"/>
  <c r="J378" i="298"/>
  <c r="N378" i="298" s="1"/>
  <c r="J319" i="298"/>
  <c r="T319" i="298" s="1"/>
  <c r="J257" i="298"/>
  <c r="Z257" i="298" s="1"/>
  <c r="J193" i="298"/>
  <c r="N193" i="298" s="1"/>
  <c r="J129" i="298"/>
  <c r="Z129" i="298" s="1"/>
  <c r="J65" i="298"/>
  <c r="Z65" i="298" s="1"/>
  <c r="J470" i="298"/>
  <c r="J399" i="298"/>
  <c r="T399" i="298" s="1"/>
  <c r="J332" i="298"/>
  <c r="T332" i="298" s="1"/>
  <c r="J264" i="298"/>
  <c r="N264" i="298" s="1"/>
  <c r="J200" i="298"/>
  <c r="Z200" i="298" s="1"/>
  <c r="J136" i="298"/>
  <c r="N136" i="298" s="1"/>
  <c r="J72" i="298"/>
  <c r="N72" i="298" s="1"/>
  <c r="J490" i="298"/>
  <c r="Z490" i="298" s="1"/>
  <c r="J434" i="298"/>
  <c r="N434" i="298" s="1"/>
  <c r="J377" i="298"/>
  <c r="Z377" i="298" s="1"/>
  <c r="J317" i="298"/>
  <c r="N317" i="298" s="1"/>
  <c r="J247" i="298"/>
  <c r="Z247" i="298" s="1"/>
  <c r="J183" i="298"/>
  <c r="Z183" i="298" s="1"/>
  <c r="J119" i="298"/>
  <c r="J55" i="298"/>
  <c r="Z55" i="298" s="1"/>
  <c r="J180" i="298"/>
  <c r="N180" i="298" s="1"/>
  <c r="J353" i="298"/>
  <c r="T353" i="298" s="1"/>
  <c r="J76" i="298"/>
  <c r="T76" i="298" s="1"/>
  <c r="J245" i="298"/>
  <c r="Z245" i="298" s="1"/>
  <c r="J459" i="298"/>
  <c r="N459" i="298" s="1"/>
  <c r="J118" i="298"/>
  <c r="Z118" i="298" s="1"/>
  <c r="J292" i="298"/>
  <c r="J481" i="298"/>
  <c r="Z481" i="298" s="1"/>
  <c r="J142" i="298"/>
  <c r="T142" i="298" s="1"/>
  <c r="J309" i="298"/>
  <c r="Z309" i="298" s="1"/>
  <c r="J461" i="298"/>
  <c r="N461" i="298" s="1"/>
  <c r="J276" i="298"/>
  <c r="T276" i="298" s="1"/>
  <c r="J45" i="298"/>
  <c r="Z45" i="298" s="1"/>
  <c r="J418" i="298"/>
  <c r="J329" i="298"/>
  <c r="Z329" i="298" s="1"/>
  <c r="J278" i="298"/>
  <c r="T278" i="298" s="1"/>
  <c r="J294" i="298"/>
  <c r="N294" i="298" s="1"/>
  <c r="J300" i="298"/>
  <c r="N300" i="298" s="1"/>
  <c r="J253" i="298"/>
  <c r="Z253" i="298" s="1"/>
  <c r="J330" i="298"/>
  <c r="Z330" i="298" s="1"/>
  <c r="J38" i="298"/>
  <c r="N38" i="298" s="1"/>
  <c r="J175" i="298"/>
  <c r="Z175" i="298" s="1"/>
  <c r="J111" i="298"/>
  <c r="T111" i="298" s="1"/>
  <c r="J47" i="298"/>
  <c r="N47" i="298" s="1"/>
  <c r="J198" i="298"/>
  <c r="T198" i="298" s="1"/>
  <c r="J375" i="298"/>
  <c r="T375" i="298" s="1"/>
  <c r="J94" i="298"/>
  <c r="T94" i="298" s="1"/>
  <c r="J268" i="298"/>
  <c r="J475" i="298"/>
  <c r="Z475" i="298" s="1"/>
  <c r="J141" i="298"/>
  <c r="J308" i="298"/>
  <c r="N308" i="298" s="1"/>
  <c r="J496" i="298"/>
  <c r="T496" i="298" s="1"/>
  <c r="J165" i="298"/>
  <c r="Z165" i="298" s="1"/>
  <c r="J343" i="298"/>
  <c r="T343" i="298" s="1"/>
  <c r="J482" i="298"/>
  <c r="J314" i="298"/>
  <c r="N314" i="298" s="1"/>
  <c r="J108" i="298"/>
  <c r="T108" i="298" s="1"/>
  <c r="J447" i="298"/>
  <c r="T447" i="298" s="1"/>
  <c r="J403" i="298"/>
  <c r="T403" i="298" s="1"/>
  <c r="J351" i="298"/>
  <c r="J453" i="298"/>
  <c r="Z453" i="298" s="1"/>
  <c r="J328" i="298"/>
  <c r="J367" i="298"/>
  <c r="Z367" i="298" s="1"/>
  <c r="J368" i="298"/>
  <c r="Z368" i="298" s="1"/>
  <c r="N52" i="298"/>
  <c r="J156" i="298"/>
  <c r="N156" i="298" s="1"/>
  <c r="J316" i="298"/>
  <c r="Z316" i="298" s="1"/>
  <c r="J489" i="298"/>
  <c r="N489" i="298" s="1"/>
  <c r="J466" i="298"/>
  <c r="T466" i="298" s="1"/>
  <c r="J409" i="298"/>
  <c r="T409" i="298" s="1"/>
  <c r="J350" i="298"/>
  <c r="N350" i="298" s="1"/>
  <c r="J283" i="298"/>
  <c r="T283" i="298" s="1"/>
  <c r="J219" i="298"/>
  <c r="T219" i="298" s="1"/>
  <c r="J155" i="298"/>
  <c r="N155" i="298" s="1"/>
  <c r="J91" i="298"/>
  <c r="T91" i="298" s="1"/>
  <c r="J515" i="298"/>
  <c r="N515" i="298" s="1"/>
  <c r="J443" i="298"/>
  <c r="Z443" i="298" s="1"/>
  <c r="J372" i="298"/>
  <c r="J305" i="298"/>
  <c r="N305" i="298" s="1"/>
  <c r="J242" i="298"/>
  <c r="Z242" i="298" s="1"/>
  <c r="J178" i="298"/>
  <c r="T178" i="298" s="1"/>
  <c r="J114" i="298"/>
  <c r="N114" i="298" s="1"/>
  <c r="J50" i="298"/>
  <c r="J478" i="298"/>
  <c r="N478" i="298" s="1"/>
  <c r="J421" i="298"/>
  <c r="T421" i="298" s="1"/>
  <c r="J363" i="298"/>
  <c r="N363" i="298" s="1"/>
  <c r="J304" i="298"/>
  <c r="N304" i="298" s="1"/>
  <c r="J241" i="298"/>
  <c r="T241" i="298" s="1"/>
  <c r="J177" i="298"/>
  <c r="T177" i="298" s="1"/>
  <c r="J113" i="298"/>
  <c r="J49" i="298"/>
  <c r="N49" i="298" s="1"/>
  <c r="J456" i="298"/>
  <c r="N456" i="298" s="1"/>
  <c r="J385" i="298"/>
  <c r="T385" i="298" s="1"/>
  <c r="J318" i="298"/>
  <c r="N318" i="298" s="1"/>
  <c r="J248" i="298"/>
  <c r="J184" i="298"/>
  <c r="Z184" i="298" s="1"/>
  <c r="J120" i="298"/>
  <c r="N120" i="298" s="1"/>
  <c r="J56" i="298"/>
  <c r="N56" i="298" s="1"/>
  <c r="J476" i="298"/>
  <c r="N476" i="298" s="1"/>
  <c r="J420" i="298"/>
  <c r="Z420" i="298" s="1"/>
  <c r="J361" i="298"/>
  <c r="T361" i="298" s="1"/>
  <c r="J295" i="298"/>
  <c r="J231" i="298"/>
  <c r="J167" i="298"/>
  <c r="Z167" i="298" s="1"/>
  <c r="J103" i="298"/>
  <c r="T103" i="298" s="1"/>
  <c r="J39" i="298"/>
  <c r="J221" i="298"/>
  <c r="T221" i="298" s="1"/>
  <c r="J390" i="298"/>
  <c r="T390" i="298" s="1"/>
  <c r="J117" i="298"/>
  <c r="Z117" i="298" s="1"/>
  <c r="J286" i="298"/>
  <c r="T286" i="298" s="1"/>
  <c r="J495" i="298"/>
  <c r="N495" i="298" s="1"/>
  <c r="J164" i="298"/>
  <c r="Z164" i="298" s="1"/>
  <c r="J323" i="298"/>
  <c r="N323" i="298" s="1"/>
  <c r="J510" i="298"/>
  <c r="N510" i="298" s="1"/>
  <c r="J188" i="298"/>
  <c r="N188" i="298" s="1"/>
  <c r="J360" i="298"/>
  <c r="Z360" i="298" s="1"/>
  <c r="J497" i="298"/>
  <c r="T497" i="298" s="1"/>
  <c r="J344" i="298"/>
  <c r="J166" i="298"/>
  <c r="T166" i="298" s="1"/>
  <c r="J483" i="298"/>
  <c r="T483" i="298" s="1"/>
  <c r="J419" i="298"/>
  <c r="J488" i="298"/>
  <c r="Z488" i="298" s="1"/>
  <c r="J366" i="298"/>
  <c r="J433" i="298"/>
  <c r="T433" i="298" s="1"/>
  <c r="J404" i="298"/>
  <c r="T404" i="298" s="1"/>
  <c r="J149" i="298"/>
  <c r="N149" i="298" s="1"/>
  <c r="J212" i="298"/>
  <c r="N212" i="298" s="1"/>
  <c r="J197" i="298"/>
  <c r="N197" i="298" s="1"/>
  <c r="J352" i="298"/>
  <c r="N352" i="298" s="1"/>
  <c r="J508" i="298"/>
  <c r="J452" i="298"/>
  <c r="T452" i="298" s="1"/>
  <c r="J394" i="298"/>
  <c r="N394" i="298" s="1"/>
  <c r="J335" i="298"/>
  <c r="Z335" i="298" s="1"/>
  <c r="J267" i="298"/>
  <c r="T267" i="298" s="1"/>
  <c r="J203" i="298"/>
  <c r="Z203" i="298" s="1"/>
  <c r="J139" i="298"/>
  <c r="N139" i="298" s="1"/>
  <c r="J75" i="298"/>
  <c r="T75" i="298" s="1"/>
  <c r="J493" i="298"/>
  <c r="N493" i="298" s="1"/>
  <c r="J422" i="298"/>
  <c r="J357" i="298"/>
  <c r="N357" i="298" s="1"/>
  <c r="J290" i="298"/>
  <c r="Z290" i="298" s="1"/>
  <c r="J226" i="298"/>
  <c r="N226" i="298" s="1"/>
  <c r="J162" i="298"/>
  <c r="Z162" i="298" s="1"/>
  <c r="J98" i="298"/>
  <c r="J34" i="298"/>
  <c r="N34" i="298" s="1"/>
  <c r="J464" i="298"/>
  <c r="Z464" i="298" s="1"/>
  <c r="J407" i="298"/>
  <c r="T407" i="298" s="1"/>
  <c r="J348" i="298"/>
  <c r="Z348" i="298" s="1"/>
  <c r="J289" i="298"/>
  <c r="N289" i="298" s="1"/>
  <c r="J225" i="298"/>
  <c r="T225" i="298" s="1"/>
  <c r="J161" i="298"/>
  <c r="T161" i="298" s="1"/>
  <c r="J97" i="298"/>
  <c r="N97" i="298" s="1"/>
  <c r="J513" i="298"/>
  <c r="Z513" i="298" s="1"/>
  <c r="J435" i="298"/>
  <c r="Z435" i="298" s="1"/>
  <c r="J362" i="298"/>
  <c r="Z362" i="298" s="1"/>
  <c r="J296" i="298"/>
  <c r="T296" i="298" s="1"/>
  <c r="J232" i="298"/>
  <c r="T232" i="298" s="1"/>
  <c r="J168" i="298"/>
  <c r="J104" i="298"/>
  <c r="J40" i="298"/>
  <c r="J462" i="298"/>
  <c r="Z462" i="298" s="1"/>
  <c r="J405" i="298"/>
  <c r="Z405" i="298" s="1"/>
  <c r="J346" i="298"/>
  <c r="N346" i="298" s="1"/>
  <c r="J279" i="298"/>
  <c r="N279" i="298" s="1"/>
  <c r="J215" i="298"/>
  <c r="N215" i="298" s="1"/>
  <c r="J151" i="298"/>
  <c r="Z151" i="298" s="1"/>
  <c r="J87" i="298"/>
  <c r="T87" i="298" s="1"/>
  <c r="J93" i="298"/>
  <c r="Z93" i="298" s="1"/>
  <c r="J262" i="298"/>
  <c r="T262" i="298" s="1"/>
  <c r="J440" i="298"/>
  <c r="N440" i="298" s="1"/>
  <c r="J158" i="298"/>
  <c r="N158" i="298" s="1"/>
  <c r="J338" i="298"/>
  <c r="J36" i="298"/>
  <c r="N36" i="298" s="1"/>
  <c r="J205" i="298"/>
  <c r="J411" i="298"/>
  <c r="J60" i="298"/>
  <c r="Z60" i="298" s="1"/>
  <c r="J229" i="298"/>
  <c r="N229" i="298" s="1"/>
  <c r="J396" i="298"/>
  <c r="N396" i="298" s="1"/>
  <c r="J44" i="298"/>
  <c r="Z44" i="298" s="1"/>
  <c r="J277" i="298"/>
  <c r="Z277" i="298" s="1"/>
  <c r="J61" i="298"/>
  <c r="N61" i="298" s="1"/>
  <c r="J62" i="298"/>
  <c r="N62" i="298" s="1"/>
  <c r="J68" i="298"/>
  <c r="N68" i="298" s="1"/>
  <c r="J85" i="298"/>
  <c r="N85" i="298" s="1"/>
  <c r="J502" i="298"/>
  <c r="Z502" i="298" s="1"/>
  <c r="J260" i="298"/>
  <c r="J438" i="298"/>
  <c r="J109" i="298"/>
  <c r="J125" i="298"/>
  <c r="Z125" i="298" s="1"/>
  <c r="J126" i="298"/>
  <c r="J148" i="298"/>
  <c r="T148" i="298" s="1"/>
  <c r="J69" i="298"/>
  <c r="N69" i="298" s="1"/>
  <c r="J238" i="298"/>
  <c r="T238" i="298" s="1"/>
  <c r="J389" i="298"/>
  <c r="Z389" i="298" s="1"/>
  <c r="J494" i="298"/>
  <c r="J437" i="298"/>
  <c r="N437" i="298" s="1"/>
  <c r="J380" i="298"/>
  <c r="N380" i="298" s="1"/>
  <c r="J313" i="298"/>
  <c r="T313" i="298" s="1"/>
  <c r="J251" i="298"/>
  <c r="T251" i="298" s="1"/>
  <c r="J187" i="298"/>
  <c r="J123" i="298"/>
  <c r="T123" i="298" s="1"/>
  <c r="J59" i="298"/>
  <c r="N59" i="298" s="1"/>
  <c r="J479" i="298"/>
  <c r="N479" i="298" s="1"/>
  <c r="J408" i="298"/>
  <c r="N408" i="298" s="1"/>
  <c r="J334" i="298"/>
  <c r="N334" i="298" s="1"/>
  <c r="J274" i="298"/>
  <c r="N274" i="298" s="1"/>
  <c r="J210" i="298"/>
  <c r="N210" i="298" s="1"/>
  <c r="J146" i="298"/>
  <c r="N146" i="298" s="1"/>
  <c r="J82" i="298"/>
  <c r="N82" i="298" s="1"/>
  <c r="J506" i="298"/>
  <c r="Z506" i="298" s="1"/>
  <c r="J450" i="298"/>
  <c r="Z450" i="298" s="1"/>
  <c r="J393" i="298"/>
  <c r="N393" i="298" s="1"/>
  <c r="J333" i="298"/>
  <c r="Z333" i="298" s="1"/>
  <c r="J273" i="298"/>
  <c r="T273" i="298" s="1"/>
  <c r="J209" i="298"/>
  <c r="J145" i="298"/>
  <c r="N145" i="298" s="1"/>
  <c r="J81" i="298"/>
  <c r="N81" i="298" s="1"/>
  <c r="J491" i="298"/>
  <c r="N491" i="298" s="1"/>
  <c r="J413" i="298"/>
  <c r="N413" i="298" s="1"/>
  <c r="J347" i="298"/>
  <c r="N347" i="298" s="1"/>
  <c r="J280" i="298"/>
  <c r="N280" i="298" s="1"/>
  <c r="J216" i="298"/>
  <c r="N216" i="298" s="1"/>
  <c r="J152" i="298"/>
  <c r="J88" i="298"/>
  <c r="N88" i="298" s="1"/>
  <c r="J505" i="298"/>
  <c r="N505" i="298" s="1"/>
  <c r="J448" i="298"/>
  <c r="N448" i="298" s="1"/>
  <c r="J391" i="298"/>
  <c r="N391" i="298" s="1"/>
  <c r="J331" i="298"/>
  <c r="J263" i="298"/>
  <c r="Z263" i="298" s="1"/>
  <c r="J199" i="298"/>
  <c r="J135" i="298"/>
  <c r="N135" i="298" s="1"/>
  <c r="J71" i="298"/>
  <c r="N71" i="298" s="1"/>
  <c r="J134" i="298"/>
  <c r="J322" i="298"/>
  <c r="J33" i="298"/>
  <c r="J204" i="298"/>
  <c r="N204" i="298" s="1"/>
  <c r="J376" i="298"/>
  <c r="T376" i="298" s="1"/>
  <c r="J77" i="298"/>
  <c r="N77" i="298" s="1"/>
  <c r="J246" i="298"/>
  <c r="Z246" i="298" s="1"/>
  <c r="J445" i="298"/>
  <c r="N445" i="298" s="1"/>
  <c r="J101" i="298"/>
  <c r="N101" i="298" s="1"/>
  <c r="J270" i="298"/>
  <c r="J432" i="298"/>
  <c r="T432" i="298" s="1"/>
  <c r="J150" i="298"/>
  <c r="N150" i="298" s="1"/>
  <c r="J301" i="298"/>
  <c r="Z301" i="298" s="1"/>
  <c r="J345" i="298"/>
  <c r="J84" i="298"/>
  <c r="Z84" i="298" s="1"/>
  <c r="J172" i="298"/>
  <c r="N172" i="298" s="1"/>
  <c r="J173" i="298"/>
  <c r="T173" i="298" s="1"/>
  <c r="J189" i="298"/>
  <c r="T189" i="298" s="1"/>
  <c r="J196" i="298"/>
  <c r="J503" i="298"/>
  <c r="Z503" i="298" s="1"/>
  <c r="H201" i="298"/>
  <c r="R201" i="298" s="1"/>
  <c r="H57" i="298"/>
  <c r="R57" i="298" s="1"/>
  <c r="H309" i="298"/>
  <c r="R309" i="298" s="1"/>
  <c r="H197" i="298"/>
  <c r="H410" i="298"/>
  <c r="R410" i="298" s="1"/>
  <c r="H108" i="298"/>
  <c r="H472" i="298"/>
  <c r="R472" i="298" s="1"/>
  <c r="H344" i="298"/>
  <c r="R344" i="298" s="1"/>
  <c r="H232" i="298"/>
  <c r="R232" i="298" s="1"/>
  <c r="H168" i="298"/>
  <c r="R168" i="298" s="1"/>
  <c r="H501" i="298"/>
  <c r="R501" i="298" s="1"/>
  <c r="H437" i="298"/>
  <c r="L437" i="298" s="1"/>
  <c r="H75" i="298"/>
  <c r="R75" i="298" s="1"/>
  <c r="H282" i="298"/>
  <c r="R282" i="298" s="1"/>
  <c r="H188" i="298"/>
  <c r="L188" i="298" s="1"/>
  <c r="H170" i="298"/>
  <c r="R170" i="298" s="1"/>
  <c r="H83" i="298"/>
  <c r="R83" i="298" s="1"/>
  <c r="H106" i="298"/>
  <c r="H484" i="298"/>
  <c r="L484" i="298" s="1"/>
  <c r="H447" i="298"/>
  <c r="R447" i="298" s="1"/>
  <c r="H171" i="298"/>
  <c r="R171" i="298" s="1"/>
  <c r="H383" i="298"/>
  <c r="R383" i="298" s="1"/>
  <c r="H486" i="298"/>
  <c r="R486" i="298" s="1"/>
  <c r="H239" i="298"/>
  <c r="L239" i="298" s="1"/>
  <c r="H102" i="298"/>
  <c r="R102" i="298" s="1"/>
  <c r="H87" i="298"/>
  <c r="L87" i="298" s="1"/>
  <c r="H398" i="298"/>
  <c r="R398" i="298" s="1"/>
  <c r="H390" i="298"/>
  <c r="L390" i="298" s="1"/>
  <c r="H254" i="298"/>
  <c r="R254" i="298" s="1"/>
  <c r="H246" i="298"/>
  <c r="R246" i="298" s="1"/>
  <c r="H460" i="298"/>
  <c r="R460" i="298" s="1"/>
  <c r="H291" i="298"/>
  <c r="H236" i="298"/>
  <c r="X236" i="298" s="1"/>
  <c r="H313" i="298"/>
  <c r="L313" i="298" s="1"/>
  <c r="H424" i="298"/>
  <c r="L424" i="298" s="1"/>
  <c r="H453" i="298"/>
  <c r="R453" i="298" s="1"/>
  <c r="H53" i="298"/>
  <c r="R53" i="298" s="1"/>
  <c r="H154" i="298"/>
  <c r="R154" i="298" s="1"/>
  <c r="H151" i="298"/>
  <c r="H443" i="298"/>
  <c r="L443" i="298" s="1"/>
  <c r="H459" i="298"/>
  <c r="R459" i="298" s="1"/>
  <c r="H350" i="298"/>
  <c r="R350" i="298" s="1"/>
  <c r="H249" i="298"/>
  <c r="R249" i="298" s="1"/>
  <c r="H280" i="298"/>
  <c r="R280" i="298" s="1"/>
  <c r="H389" i="298"/>
  <c r="L389" i="298" s="1"/>
  <c r="H426" i="298"/>
  <c r="R426" i="298" s="1"/>
  <c r="H511" i="298"/>
  <c r="X511" i="298" s="1"/>
  <c r="H63" i="298"/>
  <c r="H299" i="298"/>
  <c r="L299" i="298" s="1"/>
  <c r="H270" i="298"/>
  <c r="H84" i="298"/>
  <c r="R84" i="298" s="1"/>
  <c r="H121" i="298"/>
  <c r="R121" i="298" s="1"/>
  <c r="H216" i="298"/>
  <c r="X216" i="298" s="1"/>
  <c r="H245" i="298"/>
  <c r="R245" i="298" s="1"/>
  <c r="H362" i="298"/>
  <c r="H399" i="298"/>
  <c r="R399" i="298" s="1"/>
  <c r="H190" i="298"/>
  <c r="R190" i="298" s="1"/>
  <c r="H244" i="298"/>
  <c r="H110" i="298"/>
  <c r="R110" i="298" s="1"/>
  <c r="H374" i="298"/>
  <c r="H457" i="298"/>
  <c r="R457" i="298" s="1"/>
  <c r="H488" i="298"/>
  <c r="H88" i="298"/>
  <c r="R88" i="298" s="1"/>
  <c r="H181" i="298"/>
  <c r="R181" i="298" s="1"/>
  <c r="H218" i="298"/>
  <c r="R218" i="298" s="1"/>
  <c r="H335" i="298"/>
  <c r="R335" i="298" s="1"/>
  <c r="H62" i="298"/>
  <c r="R62" i="298" s="1"/>
  <c r="H476" i="298"/>
  <c r="L476" i="298" s="1"/>
  <c r="H260" i="298"/>
  <c r="R260" i="298" s="1"/>
  <c r="H51" i="298"/>
  <c r="L51" i="298" s="1"/>
  <c r="H441" i="298"/>
  <c r="R441" i="298" s="1"/>
  <c r="H185" i="298"/>
  <c r="R185" i="298" s="1"/>
  <c r="H408" i="298"/>
  <c r="R408" i="298" s="1"/>
  <c r="H152" i="298"/>
  <c r="R152" i="298" s="1"/>
  <c r="H373" i="298"/>
  <c r="L373" i="298" s="1"/>
  <c r="H117" i="298"/>
  <c r="H346" i="298"/>
  <c r="R346" i="298" s="1"/>
  <c r="H90" i="298"/>
  <c r="R90" i="298" s="1"/>
  <c r="H319" i="298"/>
  <c r="X319" i="298" s="1"/>
  <c r="H507" i="298"/>
  <c r="L507" i="298" s="1"/>
  <c r="H131" i="298"/>
  <c r="R131" i="298" s="1"/>
  <c r="H494" i="298"/>
  <c r="R494" i="298" s="1"/>
  <c r="H348" i="298"/>
  <c r="H132" i="298"/>
  <c r="R132" i="298" s="1"/>
  <c r="H411" i="298"/>
  <c r="R411" i="298" s="1"/>
  <c r="H393" i="298"/>
  <c r="R393" i="298" s="1"/>
  <c r="H137" i="298"/>
  <c r="R137" i="298" s="1"/>
  <c r="H360" i="298"/>
  <c r="H104" i="298"/>
  <c r="H325" i="298"/>
  <c r="R325" i="298" s="1"/>
  <c r="H69" i="298"/>
  <c r="R69" i="298" s="1"/>
  <c r="H298" i="298"/>
  <c r="R298" i="298" s="1"/>
  <c r="H42" i="298"/>
  <c r="L42" i="298" s="1"/>
  <c r="H255" i="298"/>
  <c r="R255" i="298" s="1"/>
  <c r="H70" i="298"/>
  <c r="R70" i="298" s="1"/>
  <c r="H444" i="298"/>
  <c r="L444" i="298" s="1"/>
  <c r="H356" i="298"/>
  <c r="L356" i="298" s="1"/>
  <c r="H163" i="298"/>
  <c r="R163" i="298" s="1"/>
  <c r="H435" i="298"/>
  <c r="R435" i="298" s="1"/>
  <c r="H222" i="298"/>
  <c r="R222" i="298" s="1"/>
  <c r="H329" i="298"/>
  <c r="L329" i="298" s="1"/>
  <c r="H73" i="298"/>
  <c r="H296" i="298"/>
  <c r="R296" i="298" s="1"/>
  <c r="H40" i="298"/>
  <c r="H261" i="298"/>
  <c r="R261" i="298" s="1"/>
  <c r="H490" i="298"/>
  <c r="R490" i="298" s="1"/>
  <c r="H234" i="298"/>
  <c r="R234" i="298" s="1"/>
  <c r="H463" i="298"/>
  <c r="R463" i="298" s="1"/>
  <c r="H175" i="298"/>
  <c r="L175" i="298" s="1"/>
  <c r="H134" i="298"/>
  <c r="X134" i="298" s="1"/>
  <c r="H198" i="298"/>
  <c r="H86" i="298"/>
  <c r="H59" i="298"/>
  <c r="R59" i="298" s="1"/>
  <c r="H446" i="298"/>
  <c r="R446" i="298" s="1"/>
  <c r="H491" i="298"/>
  <c r="L491" i="298" s="1"/>
  <c r="H302" i="298"/>
  <c r="R302" i="298" s="1"/>
  <c r="H164" i="298"/>
  <c r="R164" i="298" s="1"/>
  <c r="H483" i="298"/>
  <c r="R483" i="298" s="1"/>
  <c r="H294" i="298"/>
  <c r="R294" i="298" s="1"/>
  <c r="H156" i="298"/>
  <c r="R156" i="298" s="1"/>
  <c r="H452" i="298"/>
  <c r="R452" i="298" s="1"/>
  <c r="H267" i="298"/>
  <c r="R267" i="298" s="1"/>
  <c r="H78" i="298"/>
  <c r="R78" i="298" s="1"/>
  <c r="H428" i="298"/>
  <c r="R428" i="298" s="1"/>
  <c r="H243" i="298"/>
  <c r="R243" i="298" s="1"/>
  <c r="H54" i="298"/>
  <c r="R54" i="298" s="1"/>
  <c r="H404" i="298"/>
  <c r="R404" i="298" s="1"/>
  <c r="H219" i="298"/>
  <c r="R219" i="298" s="1"/>
  <c r="H513" i="298"/>
  <c r="H449" i="298"/>
  <c r="R449" i="298" s="1"/>
  <c r="H385" i="298"/>
  <c r="R385" i="298" s="1"/>
  <c r="H321" i="298"/>
  <c r="R321" i="298" s="1"/>
  <c r="H257" i="298"/>
  <c r="R257" i="298" s="1"/>
  <c r="H193" i="298"/>
  <c r="R193" i="298" s="1"/>
  <c r="H129" i="298"/>
  <c r="L129" i="298" s="1"/>
  <c r="H65" i="298"/>
  <c r="R65" i="298" s="1"/>
  <c r="H480" i="298"/>
  <c r="X480" i="298" s="1"/>
  <c r="H416" i="298"/>
  <c r="R416" i="298" s="1"/>
  <c r="H352" i="298"/>
  <c r="X352" i="298" s="1"/>
  <c r="H288" i="298"/>
  <c r="L288" i="298" s="1"/>
  <c r="H224" i="298"/>
  <c r="R224" i="298" s="1"/>
  <c r="H160" i="298"/>
  <c r="R160" i="298" s="1"/>
  <c r="H96" i="298"/>
  <c r="R96" i="298" s="1"/>
  <c r="H509" i="298"/>
  <c r="R509" i="298" s="1"/>
  <c r="H445" i="298"/>
  <c r="R445" i="298" s="1"/>
  <c r="H381" i="298"/>
  <c r="R381" i="298" s="1"/>
  <c r="H317" i="298"/>
  <c r="L317" i="298" s="1"/>
  <c r="H253" i="298"/>
  <c r="R253" i="298" s="1"/>
  <c r="H189" i="298"/>
  <c r="R189" i="298" s="1"/>
  <c r="H125" i="298"/>
  <c r="X125" i="298" s="1"/>
  <c r="H61" i="298"/>
  <c r="R61" i="298" s="1"/>
  <c r="H482" i="298"/>
  <c r="R482" i="298" s="1"/>
  <c r="H418" i="298"/>
  <c r="R418" i="298" s="1"/>
  <c r="H354" i="298"/>
  <c r="R354" i="298" s="1"/>
  <c r="H290" i="298"/>
  <c r="R290" i="298" s="1"/>
  <c r="H226" i="298"/>
  <c r="L226" i="298" s="1"/>
  <c r="H162" i="298"/>
  <c r="X162" i="298" s="1"/>
  <c r="H98" i="298"/>
  <c r="X98" i="298" s="1"/>
  <c r="H34" i="298"/>
  <c r="H455" i="298"/>
  <c r="L455" i="298" s="1"/>
  <c r="H391" i="298"/>
  <c r="R391" i="298" s="1"/>
  <c r="H327" i="298"/>
  <c r="L327" i="298" s="1"/>
  <c r="H247" i="298"/>
  <c r="R247" i="298" s="1"/>
  <c r="H167" i="298"/>
  <c r="R167" i="298" s="1"/>
  <c r="H79" i="298"/>
  <c r="R79" i="298" s="1"/>
  <c r="H436" i="298"/>
  <c r="L436" i="298" s="1"/>
  <c r="H116" i="298"/>
  <c r="H180" i="298"/>
  <c r="R180" i="298" s="1"/>
  <c r="H315" i="298"/>
  <c r="R315" i="298" s="1"/>
  <c r="H195" i="298"/>
  <c r="R195" i="298" s="1"/>
  <c r="H150" i="298"/>
  <c r="R150" i="298" s="1"/>
  <c r="H211" i="298"/>
  <c r="R211" i="298" s="1"/>
  <c r="H430" i="298"/>
  <c r="R430" i="298" s="1"/>
  <c r="H292" i="298"/>
  <c r="R292" i="298" s="1"/>
  <c r="H107" i="298"/>
  <c r="R107" i="298" s="1"/>
  <c r="H422" i="298"/>
  <c r="R422" i="298" s="1"/>
  <c r="H284" i="298"/>
  <c r="R284" i="298" s="1"/>
  <c r="H99" i="298"/>
  <c r="R99" i="298" s="1"/>
  <c r="H395" i="298"/>
  <c r="R395" i="298" s="1"/>
  <c r="H206" i="298"/>
  <c r="R206" i="298" s="1"/>
  <c r="H68" i="298"/>
  <c r="R68" i="298" s="1"/>
  <c r="H371" i="298"/>
  <c r="R371" i="298" s="1"/>
  <c r="H182" i="298"/>
  <c r="R182" i="298" s="1"/>
  <c r="H44" i="298"/>
  <c r="R44" i="298" s="1"/>
  <c r="H347" i="298"/>
  <c r="R347" i="298" s="1"/>
  <c r="H158" i="298"/>
  <c r="R158" i="298" s="1"/>
  <c r="H497" i="298"/>
  <c r="R497" i="298" s="1"/>
  <c r="H433" i="298"/>
  <c r="H369" i="298"/>
  <c r="R369" i="298" s="1"/>
  <c r="H305" i="298"/>
  <c r="R305" i="298" s="1"/>
  <c r="H241" i="298"/>
  <c r="R241" i="298" s="1"/>
  <c r="H177" i="298"/>
  <c r="R177" i="298" s="1"/>
  <c r="H113" i="298"/>
  <c r="H49" i="298"/>
  <c r="R49" i="298" s="1"/>
  <c r="H464" i="298"/>
  <c r="R464" i="298" s="1"/>
  <c r="H400" i="298"/>
  <c r="H336" i="298"/>
  <c r="R336" i="298" s="1"/>
  <c r="H272" i="298"/>
  <c r="R272" i="298" s="1"/>
  <c r="H208" i="298"/>
  <c r="R208" i="298" s="1"/>
  <c r="H144" i="298"/>
  <c r="R144" i="298" s="1"/>
  <c r="H80" i="298"/>
  <c r="R80" i="298" s="1"/>
  <c r="H493" i="298"/>
  <c r="R493" i="298" s="1"/>
  <c r="H429" i="298"/>
  <c r="R429" i="298" s="1"/>
  <c r="H365" i="298"/>
  <c r="R365" i="298" s="1"/>
  <c r="H301" i="298"/>
  <c r="R301" i="298" s="1"/>
  <c r="H237" i="298"/>
  <c r="R237" i="298" s="1"/>
  <c r="H173" i="298"/>
  <c r="R173" i="298" s="1"/>
  <c r="H109" i="298"/>
  <c r="R109" i="298" s="1"/>
  <c r="H45" i="298"/>
  <c r="R45" i="298" s="1"/>
  <c r="H466" i="298"/>
  <c r="R466" i="298" s="1"/>
  <c r="H402" i="298"/>
  <c r="L402" i="298" s="1"/>
  <c r="H338" i="298"/>
  <c r="L338" i="298" s="1"/>
  <c r="H274" i="298"/>
  <c r="R274" i="298" s="1"/>
  <c r="H210" i="298"/>
  <c r="R210" i="298" s="1"/>
  <c r="H146" i="298"/>
  <c r="R146" i="298" s="1"/>
  <c r="H82" i="298"/>
  <c r="R82" i="298" s="1"/>
  <c r="H503" i="298"/>
  <c r="R503" i="298" s="1"/>
  <c r="H439" i="298"/>
  <c r="L439" i="298" s="1"/>
  <c r="H375" i="298"/>
  <c r="R375" i="298" s="1"/>
  <c r="H311" i="298"/>
  <c r="R311" i="298" s="1"/>
  <c r="H231" i="298"/>
  <c r="L231" i="298" s="1"/>
  <c r="H143" i="298"/>
  <c r="R143" i="298" s="1"/>
  <c r="H55" i="298"/>
  <c r="H510" i="298"/>
  <c r="R510" i="298" s="1"/>
  <c r="H268" i="298"/>
  <c r="R268" i="298" s="1"/>
  <c r="H332" i="298"/>
  <c r="R332" i="298" s="1"/>
  <c r="H318" i="298"/>
  <c r="R318" i="298" s="1"/>
  <c r="H262" i="298"/>
  <c r="R262" i="298" s="1"/>
  <c r="H252" i="298"/>
  <c r="R252" i="298" s="1"/>
  <c r="H380" i="298"/>
  <c r="R380" i="298" s="1"/>
  <c r="H427" i="298"/>
  <c r="R427" i="298" s="1"/>
  <c r="H238" i="298"/>
  <c r="R238" i="298" s="1"/>
  <c r="H100" i="298"/>
  <c r="L100" i="298" s="1"/>
  <c r="H419" i="298"/>
  <c r="R419" i="298" s="1"/>
  <c r="H230" i="298"/>
  <c r="L230" i="298" s="1"/>
  <c r="H92" i="298"/>
  <c r="L92" i="298" s="1"/>
  <c r="H388" i="298"/>
  <c r="L388" i="298" s="1"/>
  <c r="H203" i="298"/>
  <c r="R203" i="298" s="1"/>
  <c r="H502" i="298"/>
  <c r="R502" i="298" s="1"/>
  <c r="H364" i="298"/>
  <c r="R364" i="298" s="1"/>
  <c r="H179" i="298"/>
  <c r="R179" i="298" s="1"/>
  <c r="H478" i="298"/>
  <c r="H340" i="298"/>
  <c r="L340" i="298" s="1"/>
  <c r="H155" i="298"/>
  <c r="H489" i="298"/>
  <c r="R489" i="298" s="1"/>
  <c r="H425" i="298"/>
  <c r="L425" i="298" s="1"/>
  <c r="H361" i="298"/>
  <c r="R361" i="298" s="1"/>
  <c r="H297" i="298"/>
  <c r="R297" i="298" s="1"/>
  <c r="H233" i="298"/>
  <c r="L233" i="298" s="1"/>
  <c r="H169" i="298"/>
  <c r="R169" i="298" s="1"/>
  <c r="H105" i="298"/>
  <c r="R105" i="298" s="1"/>
  <c r="H41" i="298"/>
  <c r="R41" i="298" s="1"/>
  <c r="H456" i="298"/>
  <c r="L456" i="298" s="1"/>
  <c r="H392" i="298"/>
  <c r="H328" i="298"/>
  <c r="L328" i="298" s="1"/>
  <c r="H264" i="298"/>
  <c r="H200" i="298"/>
  <c r="R200" i="298" s="1"/>
  <c r="H136" i="298"/>
  <c r="R136" i="298" s="1"/>
  <c r="H72" i="298"/>
  <c r="R72" i="298" s="1"/>
  <c r="H485" i="298"/>
  <c r="R485" i="298" s="1"/>
  <c r="H421" i="298"/>
  <c r="L421" i="298" s="1"/>
  <c r="H357" i="298"/>
  <c r="R357" i="298" s="1"/>
  <c r="H293" i="298"/>
  <c r="R293" i="298" s="1"/>
  <c r="H229" i="298"/>
  <c r="R229" i="298" s="1"/>
  <c r="H165" i="298"/>
  <c r="R165" i="298" s="1"/>
  <c r="H101" i="298"/>
  <c r="R101" i="298" s="1"/>
  <c r="H37" i="298"/>
  <c r="R37" i="298" s="1"/>
  <c r="H458" i="298"/>
  <c r="R458" i="298" s="1"/>
  <c r="H394" i="298"/>
  <c r="R394" i="298" s="1"/>
  <c r="H330" i="298"/>
  <c r="L330" i="298" s="1"/>
  <c r="H266" i="298"/>
  <c r="R266" i="298" s="1"/>
  <c r="H202" i="298"/>
  <c r="R202" i="298" s="1"/>
  <c r="H138" i="298"/>
  <c r="L138" i="298" s="1"/>
  <c r="H74" i="298"/>
  <c r="R74" i="298" s="1"/>
  <c r="H495" i="298"/>
  <c r="R495" i="298" s="1"/>
  <c r="H431" i="298"/>
  <c r="L431" i="298" s="1"/>
  <c r="H367" i="298"/>
  <c r="R367" i="298" s="1"/>
  <c r="H303" i="298"/>
  <c r="L303" i="298" s="1"/>
  <c r="H215" i="298"/>
  <c r="X215" i="298" s="1"/>
  <c r="H127" i="298"/>
  <c r="H47" i="298"/>
  <c r="L47" i="298" s="1"/>
  <c r="H278" i="298"/>
  <c r="R278" i="298" s="1"/>
  <c r="H406" i="298"/>
  <c r="R406" i="298" s="1"/>
  <c r="H403" i="298"/>
  <c r="R403" i="298" s="1"/>
  <c r="H396" i="298"/>
  <c r="H308" i="298"/>
  <c r="R308" i="298" s="1"/>
  <c r="H259" i="298"/>
  <c r="R259" i="298" s="1"/>
  <c r="H454" i="298"/>
  <c r="L454" i="298" s="1"/>
  <c r="H420" i="298"/>
  <c r="L420" i="298" s="1"/>
  <c r="H235" i="298"/>
  <c r="R235" i="298" s="1"/>
  <c r="H46" i="298"/>
  <c r="R46" i="298" s="1"/>
  <c r="H412" i="298"/>
  <c r="L412" i="298" s="1"/>
  <c r="H227" i="298"/>
  <c r="L227" i="298" s="1"/>
  <c r="H38" i="298"/>
  <c r="R38" i="298" s="1"/>
  <c r="H334" i="298"/>
  <c r="L334" i="298" s="1"/>
  <c r="H196" i="298"/>
  <c r="R196" i="298" s="1"/>
  <c r="H499" i="298"/>
  <c r="H310" i="298"/>
  <c r="R310" i="298" s="1"/>
  <c r="H172" i="298"/>
  <c r="L172" i="298" s="1"/>
  <c r="H475" i="298"/>
  <c r="H286" i="298"/>
  <c r="R286" i="298" s="1"/>
  <c r="H148" i="298"/>
  <c r="L148" i="298" s="1"/>
  <c r="H481" i="298"/>
  <c r="R481" i="298" s="1"/>
  <c r="H417" i="298"/>
  <c r="R417" i="298" s="1"/>
  <c r="H353" i="298"/>
  <c r="X353" i="298" s="1"/>
  <c r="H289" i="298"/>
  <c r="R289" i="298" s="1"/>
  <c r="H225" i="298"/>
  <c r="H161" i="298"/>
  <c r="R161" i="298" s="1"/>
  <c r="H97" i="298"/>
  <c r="R97" i="298" s="1"/>
  <c r="H512" i="298"/>
  <c r="X512" i="298" s="1"/>
  <c r="H448" i="298"/>
  <c r="R448" i="298" s="1"/>
  <c r="H384" i="298"/>
  <c r="R384" i="298" s="1"/>
  <c r="H320" i="298"/>
  <c r="R320" i="298" s="1"/>
  <c r="H256" i="298"/>
  <c r="R256" i="298" s="1"/>
  <c r="H192" i="298"/>
  <c r="R192" i="298" s="1"/>
  <c r="H128" i="298"/>
  <c r="R128" i="298" s="1"/>
  <c r="H64" i="298"/>
  <c r="R64" i="298" s="1"/>
  <c r="H477" i="298"/>
  <c r="R477" i="298" s="1"/>
  <c r="H413" i="298"/>
  <c r="R413" i="298" s="1"/>
  <c r="H349" i="298"/>
  <c r="R349" i="298" s="1"/>
  <c r="H285" i="298"/>
  <c r="L285" i="298" s="1"/>
  <c r="H221" i="298"/>
  <c r="R221" i="298" s="1"/>
  <c r="H157" i="298"/>
  <c r="R157" i="298" s="1"/>
  <c r="H93" i="298"/>
  <c r="R93" i="298" s="1"/>
  <c r="H514" i="298"/>
  <c r="R514" i="298" s="1"/>
  <c r="H450" i="298"/>
  <c r="R450" i="298" s="1"/>
  <c r="H386" i="298"/>
  <c r="L386" i="298" s="1"/>
  <c r="H322" i="298"/>
  <c r="L322" i="298" s="1"/>
  <c r="H258" i="298"/>
  <c r="R258" i="298" s="1"/>
  <c r="H194" i="298"/>
  <c r="X194" i="298" s="1"/>
  <c r="H130" i="298"/>
  <c r="R130" i="298" s="1"/>
  <c r="H66" i="298"/>
  <c r="L66" i="298" s="1"/>
  <c r="H487" i="298"/>
  <c r="H423" i="298"/>
  <c r="H359" i="298"/>
  <c r="X359" i="298" s="1"/>
  <c r="H295" i="298"/>
  <c r="H207" i="298"/>
  <c r="R207" i="298" s="1"/>
  <c r="H119" i="298"/>
  <c r="X119" i="298" s="1"/>
  <c r="H39" i="298"/>
  <c r="H387" i="298"/>
  <c r="H508" i="298"/>
  <c r="H470" i="298"/>
  <c r="H467" i="298"/>
  <c r="R467" i="298" s="1"/>
  <c r="H379" i="298"/>
  <c r="L379" i="298" s="1"/>
  <c r="H326" i="298"/>
  <c r="L326" i="298" s="1"/>
  <c r="H500" i="298"/>
  <c r="L500" i="298" s="1"/>
  <c r="H366" i="298"/>
  <c r="L366" i="298" s="1"/>
  <c r="H228" i="298"/>
  <c r="L228" i="298" s="1"/>
  <c r="H43" i="298"/>
  <c r="R43" i="298" s="1"/>
  <c r="H358" i="298"/>
  <c r="L358" i="298" s="1"/>
  <c r="H220" i="298"/>
  <c r="R220" i="298" s="1"/>
  <c r="H35" i="298"/>
  <c r="R35" i="298" s="1"/>
  <c r="H331" i="298"/>
  <c r="R331" i="298" s="1"/>
  <c r="H142" i="298"/>
  <c r="L142" i="298" s="1"/>
  <c r="H492" i="298"/>
  <c r="L492" i="298" s="1"/>
  <c r="H307" i="298"/>
  <c r="L307" i="298" s="1"/>
  <c r="H118" i="298"/>
  <c r="R118" i="298" s="1"/>
  <c r="H468" i="298"/>
  <c r="L468" i="298" s="1"/>
  <c r="H283" i="298"/>
  <c r="R283" i="298" s="1"/>
  <c r="H94" i="298"/>
  <c r="R94" i="298" s="1"/>
  <c r="H473" i="298"/>
  <c r="R473" i="298" s="1"/>
  <c r="H409" i="298"/>
  <c r="L409" i="298" s="1"/>
  <c r="H345" i="298"/>
  <c r="H281" i="298"/>
  <c r="L281" i="298" s="1"/>
  <c r="H217" i="298"/>
  <c r="R217" i="298" s="1"/>
  <c r="H153" i="298"/>
  <c r="L153" i="298" s="1"/>
  <c r="H89" i="298"/>
  <c r="H504" i="298"/>
  <c r="L504" i="298" s="1"/>
  <c r="H440" i="298"/>
  <c r="R440" i="298" s="1"/>
  <c r="H376" i="298"/>
  <c r="R376" i="298" s="1"/>
  <c r="H312" i="298"/>
  <c r="R312" i="298" s="1"/>
  <c r="H248" i="298"/>
  <c r="R248" i="298" s="1"/>
  <c r="H184" i="298"/>
  <c r="R184" i="298" s="1"/>
  <c r="H120" i="298"/>
  <c r="R120" i="298" s="1"/>
  <c r="H56" i="298"/>
  <c r="R56" i="298" s="1"/>
  <c r="H469" i="298"/>
  <c r="R469" i="298" s="1"/>
  <c r="H405" i="298"/>
  <c r="R405" i="298" s="1"/>
  <c r="H341" i="298"/>
  <c r="R341" i="298" s="1"/>
  <c r="H277" i="298"/>
  <c r="R277" i="298" s="1"/>
  <c r="H213" i="298"/>
  <c r="R213" i="298" s="1"/>
  <c r="H149" i="298"/>
  <c r="R149" i="298" s="1"/>
  <c r="H85" i="298"/>
  <c r="R85" i="298" s="1"/>
  <c r="H506" i="298"/>
  <c r="R506" i="298" s="1"/>
  <c r="H442" i="298"/>
  <c r="R442" i="298" s="1"/>
  <c r="H378" i="298"/>
  <c r="L378" i="298" s="1"/>
  <c r="H314" i="298"/>
  <c r="L314" i="298" s="1"/>
  <c r="H250" i="298"/>
  <c r="R250" i="298" s="1"/>
  <c r="H186" i="298"/>
  <c r="R186" i="298" s="1"/>
  <c r="H122" i="298"/>
  <c r="L122" i="298" s="1"/>
  <c r="H58" i="298"/>
  <c r="R58" i="298" s="1"/>
  <c r="H479" i="298"/>
  <c r="X479" i="298" s="1"/>
  <c r="H415" i="298"/>
  <c r="H351" i="298"/>
  <c r="R351" i="298" s="1"/>
  <c r="H279" i="298"/>
  <c r="L279" i="298" s="1"/>
  <c r="H191" i="298"/>
  <c r="R191" i="298" s="1"/>
  <c r="H111" i="298"/>
  <c r="H214" i="298"/>
  <c r="R214" i="298" s="1"/>
  <c r="H275" i="298"/>
  <c r="R275" i="298" s="1"/>
  <c r="H515" i="298"/>
  <c r="L515" i="298" s="1"/>
  <c r="H451" i="298"/>
  <c r="X451" i="298" s="1"/>
  <c r="L76" i="298"/>
  <c r="H124" i="298"/>
  <c r="L124" i="298" s="1"/>
  <c r="H52" i="298"/>
  <c r="L52" i="298" s="1"/>
  <c r="H382" i="298"/>
  <c r="L382" i="298" s="1"/>
  <c r="H372" i="298"/>
  <c r="R372" i="298" s="1"/>
  <c r="H204" i="298"/>
  <c r="L204" i="298" s="1"/>
  <c r="H363" i="298"/>
  <c r="R363" i="298" s="1"/>
  <c r="H174" i="298"/>
  <c r="R174" i="298" s="1"/>
  <c r="H36" i="298"/>
  <c r="X36" i="298" s="1"/>
  <c r="H355" i="298"/>
  <c r="L355" i="298" s="1"/>
  <c r="H166" i="298"/>
  <c r="L166" i="298" s="1"/>
  <c r="H462" i="298"/>
  <c r="H324" i="298"/>
  <c r="L324" i="298" s="1"/>
  <c r="H139" i="298"/>
  <c r="R139" i="298" s="1"/>
  <c r="H438" i="298"/>
  <c r="L438" i="298" s="1"/>
  <c r="H300" i="298"/>
  <c r="L300" i="298" s="1"/>
  <c r="H115" i="298"/>
  <c r="X115" i="298" s="1"/>
  <c r="H414" i="298"/>
  <c r="L414" i="298" s="1"/>
  <c r="H276" i="298"/>
  <c r="H91" i="298"/>
  <c r="R91" i="298" s="1"/>
  <c r="H465" i="298"/>
  <c r="R465" i="298" s="1"/>
  <c r="H401" i="298"/>
  <c r="R401" i="298" s="1"/>
  <c r="H337" i="298"/>
  <c r="R337" i="298" s="1"/>
  <c r="H273" i="298"/>
  <c r="L273" i="298" s="1"/>
  <c r="H209" i="298"/>
  <c r="X209" i="298" s="1"/>
  <c r="H145" i="298"/>
  <c r="H81" i="298"/>
  <c r="R81" i="298" s="1"/>
  <c r="H496" i="298"/>
  <c r="L496" i="298" s="1"/>
  <c r="H432" i="298"/>
  <c r="L432" i="298" s="1"/>
  <c r="H368" i="298"/>
  <c r="R368" i="298" s="1"/>
  <c r="H304" i="298"/>
  <c r="R304" i="298" s="1"/>
  <c r="H240" i="298"/>
  <c r="R240" i="298" s="1"/>
  <c r="H176" i="298"/>
  <c r="R176" i="298" s="1"/>
  <c r="H112" i="298"/>
  <c r="R112" i="298" s="1"/>
  <c r="H48" i="298"/>
  <c r="R48" i="298" s="1"/>
  <c r="H461" i="298"/>
  <c r="R461" i="298" s="1"/>
  <c r="H397" i="298"/>
  <c r="R397" i="298" s="1"/>
  <c r="H333" i="298"/>
  <c r="R333" i="298" s="1"/>
  <c r="H269" i="298"/>
  <c r="X269" i="298" s="1"/>
  <c r="H205" i="298"/>
  <c r="H141" i="298"/>
  <c r="X141" i="298" s="1"/>
  <c r="H77" i="298"/>
  <c r="R77" i="298" s="1"/>
  <c r="H498" i="298"/>
  <c r="R498" i="298" s="1"/>
  <c r="H434" i="298"/>
  <c r="R434" i="298" s="1"/>
  <c r="H370" i="298"/>
  <c r="L370" i="298" s="1"/>
  <c r="H306" i="298"/>
  <c r="R306" i="298" s="1"/>
  <c r="H242" i="298"/>
  <c r="H178" i="298"/>
  <c r="R178" i="298" s="1"/>
  <c r="H114" i="298"/>
  <c r="R114" i="298" s="1"/>
  <c r="H50" i="298"/>
  <c r="R50" i="298" s="1"/>
  <c r="H471" i="298"/>
  <c r="H407" i="298"/>
  <c r="R407" i="298" s="1"/>
  <c r="H343" i="298"/>
  <c r="R343" i="298" s="1"/>
  <c r="H271" i="298"/>
  <c r="R271" i="298" s="1"/>
  <c r="H183" i="298"/>
  <c r="R183" i="298" s="1"/>
  <c r="H103" i="298"/>
  <c r="R103" i="298" s="1"/>
  <c r="H316" i="298"/>
  <c r="R316" i="298" s="1"/>
  <c r="H342" i="298"/>
  <c r="L342" i="298" s="1"/>
  <c r="H60" i="298"/>
  <c r="R60" i="298" s="1"/>
  <c r="N466" i="298"/>
  <c r="N409" i="298"/>
  <c r="I319" i="298"/>
  <c r="M319" i="298" s="1"/>
  <c r="I311" i="298"/>
  <c r="S311" i="298" s="1"/>
  <c r="I62" i="298"/>
  <c r="M62" i="298" s="1"/>
  <c r="I386" i="298"/>
  <c r="M386" i="298" s="1"/>
  <c r="I477" i="298"/>
  <c r="M477" i="298" s="1"/>
  <c r="I346" i="298"/>
  <c r="M346" i="298" s="1"/>
  <c r="I441" i="298"/>
  <c r="I359" i="298"/>
  <c r="I512" i="298"/>
  <c r="M512" i="298" s="1"/>
  <c r="I472" i="298"/>
  <c r="Y472" i="298" s="1"/>
  <c r="I428" i="298"/>
  <c r="Y428" i="298" s="1"/>
  <c r="I384" i="298"/>
  <c r="I371" i="298"/>
  <c r="M371" i="298" s="1"/>
  <c r="I511" i="298"/>
  <c r="M511" i="298" s="1"/>
  <c r="I467" i="298"/>
  <c r="M467" i="298" s="1"/>
  <c r="I427" i="298"/>
  <c r="I383" i="298"/>
  <c r="M383" i="298" s="1"/>
  <c r="I356" i="298"/>
  <c r="M356" i="298" s="1"/>
  <c r="I284" i="298"/>
  <c r="M284" i="298" s="1"/>
  <c r="I240" i="298"/>
  <c r="M240" i="298" s="1"/>
  <c r="I196" i="298"/>
  <c r="M196" i="298" s="1"/>
  <c r="I156" i="298"/>
  <c r="M156" i="298" s="1"/>
  <c r="I112" i="298"/>
  <c r="M112" i="298" s="1"/>
  <c r="I68" i="298"/>
  <c r="I299" i="298"/>
  <c r="I255" i="298"/>
  <c r="M255" i="298" s="1"/>
  <c r="I211" i="298"/>
  <c r="I171" i="298"/>
  <c r="S171" i="298" s="1"/>
  <c r="I127" i="298"/>
  <c r="M127" i="298" s="1"/>
  <c r="I83" i="298"/>
  <c r="M83" i="298" s="1"/>
  <c r="I43" i="298"/>
  <c r="M43" i="298" s="1"/>
  <c r="I222" i="298"/>
  <c r="I178" i="298"/>
  <c r="M178" i="298" s="1"/>
  <c r="I138" i="298"/>
  <c r="M138" i="298" s="1"/>
  <c r="I94" i="298"/>
  <c r="M94" i="298" s="1"/>
  <c r="I50" i="298"/>
  <c r="M50" i="298" s="1"/>
  <c r="I353" i="298"/>
  <c r="M353" i="298" s="1"/>
  <c r="I309" i="298"/>
  <c r="M309" i="298" s="1"/>
  <c r="I265" i="298"/>
  <c r="M265" i="298" s="1"/>
  <c r="I225" i="298"/>
  <c r="I181" i="298"/>
  <c r="M181" i="298" s="1"/>
  <c r="I137" i="298"/>
  <c r="I97" i="298"/>
  <c r="M97" i="298" s="1"/>
  <c r="I53" i="298"/>
  <c r="M53" i="298" s="1"/>
  <c r="I401" i="298"/>
  <c r="M401" i="298" s="1"/>
  <c r="I481" i="298"/>
  <c r="M481" i="298" s="1"/>
  <c r="I450" i="298"/>
  <c r="S450" i="298" s="1"/>
  <c r="I480" i="298"/>
  <c r="I479" i="298"/>
  <c r="M479" i="298" s="1"/>
  <c r="I252" i="298"/>
  <c r="I267" i="298"/>
  <c r="M267" i="298" s="1"/>
  <c r="I51" i="298"/>
  <c r="Y51" i="298" s="1"/>
  <c r="I106" i="298"/>
  <c r="M106" i="298" s="1"/>
  <c r="I233" i="298"/>
  <c r="M233" i="298" s="1"/>
  <c r="I65" i="298"/>
  <c r="I397" i="298"/>
  <c r="I482" i="298"/>
  <c r="M482" i="298" s="1"/>
  <c r="I364" i="298"/>
  <c r="M364" i="298" s="1"/>
  <c r="I446" i="298"/>
  <c r="M446" i="298" s="1"/>
  <c r="I33" i="298"/>
  <c r="M33" i="298" s="1"/>
  <c r="I508" i="298"/>
  <c r="M508" i="298" s="1"/>
  <c r="I468" i="298"/>
  <c r="M468" i="298" s="1"/>
  <c r="I424" i="298"/>
  <c r="I380" i="298"/>
  <c r="I362" i="298"/>
  <c r="M362" i="298" s="1"/>
  <c r="I507" i="298"/>
  <c r="S507" i="298" s="1"/>
  <c r="I463" i="298"/>
  <c r="M463" i="298" s="1"/>
  <c r="I423" i="298"/>
  <c r="I379" i="298"/>
  <c r="M379" i="298" s="1"/>
  <c r="I347" i="298"/>
  <c r="M347" i="298" s="1"/>
  <c r="I280" i="298"/>
  <c r="M280" i="298" s="1"/>
  <c r="I236" i="298"/>
  <c r="I192" i="298"/>
  <c r="M192" i="298" s="1"/>
  <c r="I152" i="298"/>
  <c r="M152" i="298" s="1"/>
  <c r="I108" i="298"/>
  <c r="M108" i="298" s="1"/>
  <c r="I64" i="298"/>
  <c r="M64" i="298" s="1"/>
  <c r="I295" i="298"/>
  <c r="M295" i="298" s="1"/>
  <c r="I251" i="298"/>
  <c r="M251" i="298" s="1"/>
  <c r="I207" i="298"/>
  <c r="M207" i="298" s="1"/>
  <c r="I167" i="298"/>
  <c r="I123" i="298"/>
  <c r="I79" i="298"/>
  <c r="Y79" i="298" s="1"/>
  <c r="I39" i="298"/>
  <c r="S39" i="298" s="1"/>
  <c r="I218" i="298"/>
  <c r="M218" i="298" s="1"/>
  <c r="I174" i="298"/>
  <c r="M174" i="298" s="1"/>
  <c r="I134" i="298"/>
  <c r="I90" i="298"/>
  <c r="M90" i="298" s="1"/>
  <c r="I46" i="298"/>
  <c r="I349" i="298"/>
  <c r="M349" i="298" s="1"/>
  <c r="I305" i="298"/>
  <c r="M305" i="298" s="1"/>
  <c r="I261" i="298"/>
  <c r="I221" i="298"/>
  <c r="Y221" i="298" s="1"/>
  <c r="I177" i="298"/>
  <c r="M177" i="298" s="1"/>
  <c r="I133" i="298"/>
  <c r="M133" i="298" s="1"/>
  <c r="I93" i="298"/>
  <c r="M93" i="298" s="1"/>
  <c r="I49" i="298"/>
  <c r="I406" i="298"/>
  <c r="Y406" i="298" s="1"/>
  <c r="I486" i="298"/>
  <c r="I332" i="298"/>
  <c r="Y332" i="298" s="1"/>
  <c r="I505" i="298"/>
  <c r="M505" i="298" s="1"/>
  <c r="I440" i="298"/>
  <c r="M440" i="298" s="1"/>
  <c r="I312" i="298"/>
  <c r="Y312" i="298" s="1"/>
  <c r="I435" i="298"/>
  <c r="M435" i="298" s="1"/>
  <c r="I208" i="298"/>
  <c r="I36" i="298"/>
  <c r="M36" i="298" s="1"/>
  <c r="I179" i="298"/>
  <c r="I234" i="298"/>
  <c r="M234" i="298" s="1"/>
  <c r="I361" i="298"/>
  <c r="M361" i="298" s="1"/>
  <c r="I193" i="298"/>
  <c r="S193" i="298" s="1"/>
  <c r="I465" i="298"/>
  <c r="I413" i="298"/>
  <c r="M413" i="298" s="1"/>
  <c r="I498" i="298"/>
  <c r="I377" i="298"/>
  <c r="M377" i="298" s="1"/>
  <c r="I462" i="298"/>
  <c r="Y462" i="298" s="1"/>
  <c r="I363" i="298"/>
  <c r="M363" i="298" s="1"/>
  <c r="I504" i="298"/>
  <c r="M504" i="298" s="1"/>
  <c r="I460" i="298"/>
  <c r="M460" i="298" s="1"/>
  <c r="I416" i="298"/>
  <c r="M416" i="298" s="1"/>
  <c r="I376" i="298"/>
  <c r="M376" i="298" s="1"/>
  <c r="I339" i="298"/>
  <c r="I499" i="298"/>
  <c r="M499" i="298" s="1"/>
  <c r="I459" i="298"/>
  <c r="Y459" i="298" s="1"/>
  <c r="I415" i="298"/>
  <c r="M415" i="298" s="1"/>
  <c r="I366" i="298"/>
  <c r="I338" i="298"/>
  <c r="M338" i="298" s="1"/>
  <c r="I272" i="298"/>
  <c r="M272" i="298" s="1"/>
  <c r="I228" i="298"/>
  <c r="M228" i="298" s="1"/>
  <c r="I188" i="298"/>
  <c r="I144" i="298"/>
  <c r="M144" i="298" s="1"/>
  <c r="I100" i="298"/>
  <c r="M100" i="298" s="1"/>
  <c r="I60" i="298"/>
  <c r="M60" i="298" s="1"/>
  <c r="I287" i="298"/>
  <c r="S287" i="298" s="1"/>
  <c r="I243" i="298"/>
  <c r="M243" i="298" s="1"/>
  <c r="I203" i="298"/>
  <c r="M203" i="298" s="1"/>
  <c r="I159" i="298"/>
  <c r="M159" i="298" s="1"/>
  <c r="I115" i="298"/>
  <c r="I75" i="298"/>
  <c r="M75" i="298" s="1"/>
  <c r="I254" i="298"/>
  <c r="M254" i="298" s="1"/>
  <c r="I210" i="298"/>
  <c r="M210" i="298" s="1"/>
  <c r="I170" i="298"/>
  <c r="Y170" i="298" s="1"/>
  <c r="I126" i="298"/>
  <c r="M126" i="298" s="1"/>
  <c r="I82" i="298"/>
  <c r="M82" i="298" s="1"/>
  <c r="I42" i="298"/>
  <c r="M42" i="298" s="1"/>
  <c r="I341" i="298"/>
  <c r="I297" i="298"/>
  <c r="M297" i="298" s="1"/>
  <c r="I257" i="298"/>
  <c r="M257" i="298" s="1"/>
  <c r="I213" i="298"/>
  <c r="I169" i="298"/>
  <c r="M169" i="298" s="1"/>
  <c r="I129" i="298"/>
  <c r="M129" i="298" s="1"/>
  <c r="I85" i="298"/>
  <c r="M85" i="298" s="1"/>
  <c r="I41" i="298"/>
  <c r="M41" i="298" s="1"/>
  <c r="I417" i="298"/>
  <c r="I502" i="298"/>
  <c r="M502" i="298" s="1"/>
  <c r="I164" i="298"/>
  <c r="M164" i="298" s="1"/>
  <c r="I418" i="298"/>
  <c r="M418" i="298" s="1"/>
  <c r="I509" i="298"/>
  <c r="S509" i="298" s="1"/>
  <c r="I382" i="298"/>
  <c r="M382" i="298" s="1"/>
  <c r="I473" i="298"/>
  <c r="M473" i="298" s="1"/>
  <c r="I354" i="298"/>
  <c r="S354" i="298" s="1"/>
  <c r="I500" i="298"/>
  <c r="I456" i="298"/>
  <c r="M456" i="298" s="1"/>
  <c r="I412" i="298"/>
  <c r="M412" i="298" s="1"/>
  <c r="I367" i="298"/>
  <c r="M367" i="298" s="1"/>
  <c r="I330" i="298"/>
  <c r="Y330" i="298" s="1"/>
  <c r="I495" i="298"/>
  <c r="M495" i="298" s="1"/>
  <c r="I455" i="298"/>
  <c r="M455" i="298" s="1"/>
  <c r="I411" i="298"/>
  <c r="M411" i="298" s="1"/>
  <c r="I352" i="298"/>
  <c r="I324" i="298"/>
  <c r="M324" i="298" s="1"/>
  <c r="I268" i="298"/>
  <c r="M268" i="298" s="1"/>
  <c r="I224" i="298"/>
  <c r="M224" i="298" s="1"/>
  <c r="I184" i="298"/>
  <c r="M184" i="298" s="1"/>
  <c r="I140" i="298"/>
  <c r="M140" i="298" s="1"/>
  <c r="I96" i="298"/>
  <c r="M96" i="298" s="1"/>
  <c r="I56" i="298"/>
  <c r="I283" i="298"/>
  <c r="I239" i="298"/>
  <c r="M239" i="298" s="1"/>
  <c r="I199" i="298"/>
  <c r="I155" i="298"/>
  <c r="M155" i="298" s="1"/>
  <c r="I111" i="298"/>
  <c r="Y111" i="298" s="1"/>
  <c r="I71" i="298"/>
  <c r="M71" i="298" s="1"/>
  <c r="I250" i="298"/>
  <c r="I206" i="298"/>
  <c r="M206" i="298" s="1"/>
  <c r="I166" i="298"/>
  <c r="I122" i="298"/>
  <c r="M122" i="298" s="1"/>
  <c r="I78" i="298"/>
  <c r="M78" i="298" s="1"/>
  <c r="I38" i="298"/>
  <c r="M38" i="298" s="1"/>
  <c r="I337" i="298"/>
  <c r="M337" i="298" s="1"/>
  <c r="I293" i="298"/>
  <c r="I253" i="298"/>
  <c r="M253" i="298" s="1"/>
  <c r="I209" i="298"/>
  <c r="M209" i="298" s="1"/>
  <c r="I165" i="298"/>
  <c r="I125" i="298"/>
  <c r="I81" i="298"/>
  <c r="M81" i="298" s="1"/>
  <c r="I37" i="298"/>
  <c r="M37" i="298" s="1"/>
  <c r="I422" i="298"/>
  <c r="I513" i="298"/>
  <c r="M513" i="298" s="1"/>
  <c r="I292" i="298"/>
  <c r="M292" i="298" s="1"/>
  <c r="I80" i="298"/>
  <c r="S80" i="298" s="1"/>
  <c r="I139" i="298"/>
  <c r="I146" i="298"/>
  <c r="M146" i="298" s="1"/>
  <c r="I277" i="298"/>
  <c r="M277" i="298" s="1"/>
  <c r="I105" i="298"/>
  <c r="I434" i="298"/>
  <c r="M434" i="298" s="1"/>
  <c r="I514" i="298"/>
  <c r="M514" i="298" s="1"/>
  <c r="I398" i="298"/>
  <c r="M398" i="298" s="1"/>
  <c r="I489" i="298"/>
  <c r="M489" i="298" s="1"/>
  <c r="I340" i="298"/>
  <c r="I492" i="298"/>
  <c r="M492" i="298" s="1"/>
  <c r="I448" i="298"/>
  <c r="I408" i="298"/>
  <c r="M408" i="298" s="1"/>
  <c r="I344" i="298"/>
  <c r="M344" i="298" s="1"/>
  <c r="I307" i="298"/>
  <c r="M307" i="298" s="1"/>
  <c r="I491" i="298"/>
  <c r="M491" i="298" s="1"/>
  <c r="I447" i="298"/>
  <c r="S447" i="298" s="1"/>
  <c r="I403" i="298"/>
  <c r="I343" i="298"/>
  <c r="M343" i="298" s="1"/>
  <c r="I306" i="298"/>
  <c r="M306" i="298" s="1"/>
  <c r="I260" i="298"/>
  <c r="M260" i="298" s="1"/>
  <c r="I220" i="298"/>
  <c r="I176" i="298"/>
  <c r="M176" i="298" s="1"/>
  <c r="I132" i="298"/>
  <c r="M132" i="298" s="1"/>
  <c r="I92" i="298"/>
  <c r="I48" i="298"/>
  <c r="I275" i="298"/>
  <c r="M275" i="298" s="1"/>
  <c r="I235" i="298"/>
  <c r="I191" i="298"/>
  <c r="M191" i="298" s="1"/>
  <c r="I147" i="298"/>
  <c r="Y147" i="298" s="1"/>
  <c r="I107" i="298"/>
  <c r="M107" i="298" s="1"/>
  <c r="I63" i="298"/>
  <c r="M63" i="298" s="1"/>
  <c r="I242" i="298"/>
  <c r="I202" i="298"/>
  <c r="I158" i="298"/>
  <c r="M158" i="298" s="1"/>
  <c r="I114" i="298"/>
  <c r="I74" i="298"/>
  <c r="M74" i="298" s="1"/>
  <c r="I373" i="298"/>
  <c r="M373" i="298" s="1"/>
  <c r="I329" i="298"/>
  <c r="M329" i="298" s="1"/>
  <c r="I289" i="298"/>
  <c r="M289" i="298" s="1"/>
  <c r="I245" i="298"/>
  <c r="M245" i="298" s="1"/>
  <c r="I201" i="298"/>
  <c r="I161" i="298"/>
  <c r="M161" i="298" s="1"/>
  <c r="I117" i="298"/>
  <c r="M117" i="298" s="1"/>
  <c r="I73" i="298"/>
  <c r="M73" i="298" s="1"/>
  <c r="I318" i="298"/>
  <c r="M318" i="298" s="1"/>
  <c r="I438" i="298"/>
  <c r="M438" i="298" s="1"/>
  <c r="I368" i="298"/>
  <c r="M368" i="298" s="1"/>
  <c r="H33" i="298"/>
  <c r="R33" i="298" s="1"/>
  <c r="I286" i="298"/>
  <c r="I445" i="298"/>
  <c r="M445" i="298" s="1"/>
  <c r="I294" i="298"/>
  <c r="M294" i="298" s="1"/>
  <c r="I409" i="298"/>
  <c r="M409" i="298" s="1"/>
  <c r="I494" i="298"/>
  <c r="M494" i="298" s="1"/>
  <c r="I331" i="298"/>
  <c r="M331" i="298" s="1"/>
  <c r="I488" i="298"/>
  <c r="I444" i="298"/>
  <c r="M444" i="298" s="1"/>
  <c r="I404" i="298"/>
  <c r="I335" i="298"/>
  <c r="M335" i="298" s="1"/>
  <c r="I302" i="298"/>
  <c r="M302" i="298" s="1"/>
  <c r="I487" i="298"/>
  <c r="I443" i="298"/>
  <c r="M443" i="298" s="1"/>
  <c r="I399" i="298"/>
  <c r="M399" i="298" s="1"/>
  <c r="I334" i="298"/>
  <c r="M334" i="298" s="1"/>
  <c r="I282" i="298"/>
  <c r="M282" i="298" s="1"/>
  <c r="I256" i="298"/>
  <c r="I216" i="298"/>
  <c r="M216" i="298" s="1"/>
  <c r="I172" i="298"/>
  <c r="M172" i="298" s="1"/>
  <c r="I128" i="298"/>
  <c r="M128" i="298" s="1"/>
  <c r="I88" i="298"/>
  <c r="M88" i="298" s="1"/>
  <c r="I44" i="298"/>
  <c r="M44" i="298" s="1"/>
  <c r="I271" i="298"/>
  <c r="M271" i="298" s="1"/>
  <c r="I231" i="298"/>
  <c r="M231" i="298" s="1"/>
  <c r="I187" i="298"/>
  <c r="I143" i="298"/>
  <c r="I103" i="298"/>
  <c r="Y103" i="298" s="1"/>
  <c r="I59" i="298"/>
  <c r="S59" i="298" s="1"/>
  <c r="I238" i="298"/>
  <c r="Y238" i="298" s="1"/>
  <c r="I198" i="298"/>
  <c r="M198" i="298" s="1"/>
  <c r="I154" i="298"/>
  <c r="M154" i="298" s="1"/>
  <c r="I110" i="298"/>
  <c r="S110" i="298" s="1"/>
  <c r="I70" i="298"/>
  <c r="I369" i="298"/>
  <c r="M369" i="298" s="1"/>
  <c r="I325" i="298"/>
  <c r="M325" i="298" s="1"/>
  <c r="I285" i="298"/>
  <c r="M285" i="298" s="1"/>
  <c r="I241" i="298"/>
  <c r="M241" i="298" s="1"/>
  <c r="I197" i="298"/>
  <c r="M197" i="298" s="1"/>
  <c r="I157" i="298"/>
  <c r="M157" i="298" s="1"/>
  <c r="I113" i="298"/>
  <c r="I69" i="298"/>
  <c r="I336" i="298"/>
  <c r="M336" i="298" s="1"/>
  <c r="I449" i="298"/>
  <c r="M449" i="298" s="1"/>
  <c r="I425" i="298"/>
  <c r="M425" i="298" s="1"/>
  <c r="I308" i="298"/>
  <c r="M308" i="298" s="1"/>
  <c r="I396" i="298"/>
  <c r="M396" i="298" s="1"/>
  <c r="I290" i="298"/>
  <c r="I395" i="298"/>
  <c r="M395" i="298" s="1"/>
  <c r="I124" i="298"/>
  <c r="I223" i="298"/>
  <c r="M223" i="298" s="1"/>
  <c r="I95" i="298"/>
  <c r="M95" i="298" s="1"/>
  <c r="I190" i="298"/>
  <c r="M190" i="298" s="1"/>
  <c r="I321" i="298"/>
  <c r="I149" i="298"/>
  <c r="Y149" i="298" s="1"/>
  <c r="I374" i="298"/>
  <c r="M374" i="298" s="1"/>
  <c r="I381" i="298"/>
  <c r="Y381" i="298" s="1"/>
  <c r="I461" i="298"/>
  <c r="I351" i="298"/>
  <c r="M351" i="298" s="1"/>
  <c r="I430" i="298"/>
  <c r="Y430" i="298" s="1"/>
  <c r="I510" i="298"/>
  <c r="Y510" i="298" s="1"/>
  <c r="I298" i="298"/>
  <c r="M298" i="298" s="1"/>
  <c r="I476" i="298"/>
  <c r="M476" i="298" s="1"/>
  <c r="I436" i="298"/>
  <c r="M436" i="298" s="1"/>
  <c r="I392" i="298"/>
  <c r="M392" i="298" s="1"/>
  <c r="I278" i="298"/>
  <c r="I258" i="298"/>
  <c r="M258" i="298" s="1"/>
  <c r="I475" i="298"/>
  <c r="M475" i="298" s="1"/>
  <c r="I431" i="298"/>
  <c r="I391" i="298"/>
  <c r="M391" i="298" s="1"/>
  <c r="I270" i="298"/>
  <c r="M270" i="298" s="1"/>
  <c r="I288" i="298"/>
  <c r="I248" i="298"/>
  <c r="M248" i="298" s="1"/>
  <c r="I204" i="298"/>
  <c r="I160" i="298"/>
  <c r="M160" i="298" s="1"/>
  <c r="I120" i="298"/>
  <c r="I76" i="298"/>
  <c r="M76" i="298" s="1"/>
  <c r="I303" i="298"/>
  <c r="Y303" i="298" s="1"/>
  <c r="I263" i="298"/>
  <c r="M263" i="298" s="1"/>
  <c r="I219" i="298"/>
  <c r="M219" i="298" s="1"/>
  <c r="I175" i="298"/>
  <c r="M175" i="298" s="1"/>
  <c r="I135" i="298"/>
  <c r="I91" i="298"/>
  <c r="M91" i="298" s="1"/>
  <c r="I47" i="298"/>
  <c r="I230" i="298"/>
  <c r="M230" i="298" s="1"/>
  <c r="I186" i="298"/>
  <c r="S186" i="298" s="1"/>
  <c r="I142" i="298"/>
  <c r="M142" i="298" s="1"/>
  <c r="I102" i="298"/>
  <c r="Y102" i="298" s="1"/>
  <c r="I58" i="298"/>
  <c r="M58" i="298" s="1"/>
  <c r="I357" i="298"/>
  <c r="I317" i="298"/>
  <c r="M317" i="298" s="1"/>
  <c r="I273" i="298"/>
  <c r="M273" i="298" s="1"/>
  <c r="I229" i="298"/>
  <c r="M229" i="298" s="1"/>
  <c r="I189" i="298"/>
  <c r="M189" i="298" s="1"/>
  <c r="I145" i="298"/>
  <c r="M145" i="298" s="1"/>
  <c r="I101" i="298"/>
  <c r="M101" i="298" s="1"/>
  <c r="I61" i="298"/>
  <c r="I385" i="298"/>
  <c r="I470" i="298"/>
  <c r="M470" i="298" s="1"/>
  <c r="N220" i="298"/>
  <c r="N501" i="298"/>
  <c r="N259" i="298"/>
  <c r="N282" i="298"/>
  <c r="N341" i="298"/>
  <c r="N427" i="298"/>
  <c r="N116" i="298"/>
  <c r="N54" i="298"/>
  <c r="N78" i="298"/>
  <c r="N454" i="298"/>
  <c r="N358" i="298"/>
  <c r="N99" i="298"/>
  <c r="N379" i="298"/>
  <c r="N397" i="298"/>
  <c r="N315" i="298"/>
  <c r="M80" i="298"/>
  <c r="M51" i="298"/>
  <c r="N263" i="298"/>
  <c r="N134" i="298"/>
  <c r="N322" i="298"/>
  <c r="N33" i="298"/>
  <c r="N376" i="298"/>
  <c r="N301" i="298"/>
  <c r="N424" i="298"/>
  <c r="N373" i="298"/>
  <c r="N179" i="298"/>
  <c r="N115" i="298"/>
  <c r="N401" i="298"/>
  <c r="N138" i="298"/>
  <c r="N442" i="298"/>
  <c r="N265" i="298"/>
  <c r="N201" i="298"/>
  <c r="N73" i="298"/>
  <c r="N477" i="298"/>
  <c r="N272" i="298"/>
  <c r="N208" i="298"/>
  <c r="N80" i="298"/>
  <c r="N498" i="298"/>
  <c r="N441" i="298"/>
  <c r="N384" i="298"/>
  <c r="N324" i="298"/>
  <c r="N255" i="298"/>
  <c r="N127" i="298"/>
  <c r="N157" i="298"/>
  <c r="N337" i="298"/>
  <c r="N124" i="298"/>
  <c r="N190" i="298"/>
  <c r="N468" i="298"/>
  <c r="M389" i="298"/>
  <c r="H287" i="298"/>
  <c r="L287" i="298" s="1"/>
  <c r="H223" i="298"/>
  <c r="R223" i="298" s="1"/>
  <c r="H159" i="298"/>
  <c r="X159" i="298" s="1"/>
  <c r="H95" i="298"/>
  <c r="H147" i="298"/>
  <c r="H140" i="298"/>
  <c r="H187" i="298"/>
  <c r="H67" i="298"/>
  <c r="R67" i="298" s="1"/>
  <c r="H123" i="298"/>
  <c r="I402" i="298"/>
  <c r="S402" i="298" s="1"/>
  <c r="I466" i="298"/>
  <c r="I314" i="298"/>
  <c r="I393" i="298"/>
  <c r="I457" i="298"/>
  <c r="I274" i="298"/>
  <c r="I322" i="298"/>
  <c r="M322" i="298" s="1"/>
  <c r="I496" i="298"/>
  <c r="M496" i="298" s="1"/>
  <c r="I464" i="298"/>
  <c r="M464" i="298" s="1"/>
  <c r="I432" i="298"/>
  <c r="I400" i="298"/>
  <c r="I358" i="298"/>
  <c r="I348" i="298"/>
  <c r="Y348" i="298" s="1"/>
  <c r="I515" i="298"/>
  <c r="I483" i="298"/>
  <c r="M483" i="298" s="1"/>
  <c r="I451" i="298"/>
  <c r="M451" i="298" s="1"/>
  <c r="I419" i="298"/>
  <c r="M419" i="298" s="1"/>
  <c r="I387" i="298"/>
  <c r="I320" i="298"/>
  <c r="I315" i="298"/>
  <c r="I276" i="298"/>
  <c r="I244" i="298"/>
  <c r="I212" i="298"/>
  <c r="S212" i="298" s="1"/>
  <c r="I180" i="298"/>
  <c r="I148" i="298"/>
  <c r="S148" i="298" s="1"/>
  <c r="I116" i="298"/>
  <c r="S116" i="298" s="1"/>
  <c r="I84" i="298"/>
  <c r="I52" i="298"/>
  <c r="I291" i="298"/>
  <c r="S291" i="298" s="1"/>
  <c r="I259" i="298"/>
  <c r="I227" i="298"/>
  <c r="M227" i="298" s="1"/>
  <c r="I195" i="298"/>
  <c r="S195" i="298" s="1"/>
  <c r="I163" i="298"/>
  <c r="I131" i="298"/>
  <c r="Y131" i="298" s="1"/>
  <c r="I99" i="298"/>
  <c r="Y99" i="298" s="1"/>
  <c r="I67" i="298"/>
  <c r="I35" i="298"/>
  <c r="I226" i="298"/>
  <c r="I194" i="298"/>
  <c r="Y194" i="298" s="1"/>
  <c r="I162" i="298"/>
  <c r="Y162" i="298" s="1"/>
  <c r="I130" i="298"/>
  <c r="S130" i="298" s="1"/>
  <c r="I98" i="298"/>
  <c r="S98" i="298" s="1"/>
  <c r="I66" i="298"/>
  <c r="I34" i="298"/>
  <c r="I345" i="298"/>
  <c r="Y345" i="298" s="1"/>
  <c r="I313" i="298"/>
  <c r="I281" i="298"/>
  <c r="M281" i="298" s="1"/>
  <c r="I249" i="298"/>
  <c r="M249" i="298" s="1"/>
  <c r="I217" i="298"/>
  <c r="M217" i="298" s="1"/>
  <c r="I185" i="298"/>
  <c r="Y185" i="298" s="1"/>
  <c r="I153" i="298"/>
  <c r="I121" i="298"/>
  <c r="I89" i="298"/>
  <c r="I57" i="298"/>
  <c r="I355" i="298"/>
  <c r="M355" i="298" s="1"/>
  <c r="I433" i="298"/>
  <c r="S433" i="298" s="1"/>
  <c r="I497" i="298"/>
  <c r="M497" i="298" s="1"/>
  <c r="N480" i="298"/>
  <c r="N423" i="298"/>
  <c r="H263" i="298"/>
  <c r="L263" i="298" s="1"/>
  <c r="H199" i="298"/>
  <c r="H135" i="298"/>
  <c r="H71" i="298"/>
  <c r="H323" i="298"/>
  <c r="H126" i="298"/>
  <c r="R126" i="298" s="1"/>
  <c r="H339" i="298"/>
  <c r="R339" i="298" s="1"/>
  <c r="H251" i="298"/>
  <c r="I300" i="298"/>
  <c r="M300" i="298" s="1"/>
  <c r="I429" i="298"/>
  <c r="S429" i="298" s="1"/>
  <c r="I493" i="298"/>
  <c r="I327" i="298"/>
  <c r="I414" i="298"/>
  <c r="I478" i="298"/>
  <c r="I372" i="298"/>
  <c r="M372" i="298" s="1"/>
  <c r="I266" i="298"/>
  <c r="I484" i="298"/>
  <c r="M484" i="298" s="1"/>
  <c r="I452" i="298"/>
  <c r="I420" i="298"/>
  <c r="I388" i="298"/>
  <c r="I326" i="298"/>
  <c r="I316" i="298"/>
  <c r="I503" i="298"/>
  <c r="M503" i="298" s="1"/>
  <c r="I471" i="298"/>
  <c r="M471" i="298" s="1"/>
  <c r="I439" i="298"/>
  <c r="M439" i="298" s="1"/>
  <c r="I407" i="298"/>
  <c r="S407" i="298" s="1"/>
  <c r="I375" i="298"/>
  <c r="I370" i="298"/>
  <c r="I296" i="298"/>
  <c r="I264" i="298"/>
  <c r="I232" i="298"/>
  <c r="M232" i="298" s="1"/>
  <c r="I200" i="298"/>
  <c r="M200" i="298" s="1"/>
  <c r="I168" i="298"/>
  <c r="M168" i="298" s="1"/>
  <c r="I136" i="298"/>
  <c r="Y136" i="298" s="1"/>
  <c r="I104" i="298"/>
  <c r="I72" i="298"/>
  <c r="Y72" i="298" s="1"/>
  <c r="I40" i="298"/>
  <c r="I279" i="298"/>
  <c r="I247" i="298"/>
  <c r="I215" i="298"/>
  <c r="I183" i="298"/>
  <c r="M183" i="298" s="1"/>
  <c r="I151" i="298"/>
  <c r="S151" i="298" s="1"/>
  <c r="I119" i="298"/>
  <c r="I87" i="298"/>
  <c r="I55" i="298"/>
  <c r="I246" i="298"/>
  <c r="I214" i="298"/>
  <c r="M214" i="298" s="1"/>
  <c r="I182" i="298"/>
  <c r="M182" i="298" s="1"/>
  <c r="I150" i="298"/>
  <c r="I118" i="298"/>
  <c r="I86" i="298"/>
  <c r="I54" i="298"/>
  <c r="I365" i="298"/>
  <c r="Y365" i="298" s="1"/>
  <c r="I333" i="298"/>
  <c r="I301" i="298"/>
  <c r="M301" i="298" s="1"/>
  <c r="I269" i="298"/>
  <c r="M269" i="298" s="1"/>
  <c r="I237" i="298"/>
  <c r="M237" i="298" s="1"/>
  <c r="I205" i="298"/>
  <c r="I173" i="298"/>
  <c r="S173" i="298" s="1"/>
  <c r="I141" i="298"/>
  <c r="I109" i="298"/>
  <c r="S109" i="298" s="1"/>
  <c r="I77" i="298"/>
  <c r="I45" i="298"/>
  <c r="S45" i="298" s="1"/>
  <c r="I390" i="298"/>
  <c r="M390" i="298" s="1"/>
  <c r="I454" i="298"/>
  <c r="M454" i="298" s="1"/>
  <c r="I350" i="298"/>
  <c r="N336" i="298"/>
  <c r="N504" i="298"/>
  <c r="N83" i="298"/>
  <c r="N507" i="298"/>
  <c r="I426" i="298"/>
  <c r="N399" i="298"/>
  <c r="L151" i="298"/>
  <c r="L451" i="298"/>
  <c r="N122" i="298"/>
  <c r="N428" i="298"/>
  <c r="N463" i="298"/>
  <c r="N484" i="298"/>
  <c r="N132" i="298"/>
  <c r="I405" i="298"/>
  <c r="M405" i="298" s="1"/>
  <c r="L133" i="298"/>
  <c r="N385" i="298"/>
  <c r="N248" i="298"/>
  <c r="N184" i="298"/>
  <c r="N166" i="298"/>
  <c r="I437" i="298"/>
  <c r="N297" i="298"/>
  <c r="N370" i="298"/>
  <c r="N112" i="298"/>
  <c r="N407" i="298"/>
  <c r="N411" i="298"/>
  <c r="N60" i="298"/>
  <c r="N44" i="298"/>
  <c r="N277" i="298"/>
  <c r="N366" i="298"/>
  <c r="I394" i="298"/>
  <c r="N45" i="298"/>
  <c r="N329" i="298"/>
  <c r="I328" i="298"/>
  <c r="Y328" i="298" s="1"/>
  <c r="I323" i="298"/>
  <c r="I342" i="298"/>
  <c r="I506" i="298"/>
  <c r="N70" i="298"/>
  <c r="N509" i="298"/>
  <c r="N182" i="298"/>
  <c r="N206" i="298"/>
  <c r="N381" i="298"/>
  <c r="I310" i="298"/>
  <c r="M310" i="298" s="1"/>
  <c r="I474" i="298"/>
  <c r="M474" i="298" s="1"/>
  <c r="I442" i="298"/>
  <c r="I360" i="298"/>
  <c r="M360" i="298" s="1"/>
  <c r="I378" i="298"/>
  <c r="I421" i="298"/>
  <c r="I501" i="298"/>
  <c r="I304" i="298"/>
  <c r="I485" i="298"/>
  <c r="Y485" i="298" s="1"/>
  <c r="I410" i="298"/>
  <c r="I490" i="298"/>
  <c r="I453" i="298"/>
  <c r="M453" i="298" s="1"/>
  <c r="I262" i="298"/>
  <c r="M262" i="298" s="1"/>
  <c r="I469" i="298"/>
  <c r="I458" i="298"/>
  <c r="R421" i="298"/>
  <c r="N488" i="298"/>
  <c r="N419" i="298"/>
  <c r="R133" i="298"/>
  <c r="R151" i="298"/>
  <c r="R420" i="298"/>
  <c r="R100" i="298"/>
  <c r="X42" i="298"/>
  <c r="X133" i="298"/>
  <c r="X173" i="298"/>
  <c r="X189" i="298"/>
  <c r="X107" i="298"/>
  <c r="X78" i="298"/>
  <c r="X100" i="298"/>
  <c r="X290" i="298"/>
  <c r="X298" i="298"/>
  <c r="X293" i="298"/>
  <c r="X301" i="298"/>
  <c r="X317" i="298"/>
  <c r="X60" i="298"/>
  <c r="X336" i="298"/>
  <c r="X212" i="298"/>
  <c r="X286" i="298"/>
  <c r="X265" i="298"/>
  <c r="X377" i="298"/>
  <c r="X284" i="298"/>
  <c r="X316" i="298"/>
  <c r="X485" i="298"/>
  <c r="X501" i="298"/>
  <c r="X467" i="298"/>
  <c r="X76" i="298"/>
  <c r="X420" i="298"/>
  <c r="X503" i="298"/>
  <c r="X474" i="298"/>
  <c r="X489" i="298"/>
  <c r="X505" i="298"/>
  <c r="X434" i="298"/>
  <c r="X444" i="298"/>
  <c r="X151" i="298"/>
  <c r="X465" i="298"/>
  <c r="X452" i="298"/>
  <c r="R317" i="298"/>
  <c r="R233" i="298"/>
  <c r="Z52" i="298"/>
  <c r="Z100" i="298"/>
  <c r="Z116" i="298"/>
  <c r="Z124" i="298"/>
  <c r="Z132" i="298"/>
  <c r="Z156" i="298"/>
  <c r="Z220" i="298"/>
  <c r="Z95" i="298"/>
  <c r="Z127" i="298"/>
  <c r="Z255" i="298"/>
  <c r="Z42" i="298"/>
  <c r="Z58" i="298"/>
  <c r="Z138" i="298"/>
  <c r="Z186" i="298"/>
  <c r="Z202" i="298"/>
  <c r="Z210" i="298"/>
  <c r="Z226" i="298"/>
  <c r="Z181" i="298"/>
  <c r="Z80" i="298"/>
  <c r="Z136" i="298"/>
  <c r="Z208" i="298"/>
  <c r="Z248" i="298"/>
  <c r="Z99" i="298"/>
  <c r="Z115" i="298"/>
  <c r="Z163" i="298"/>
  <c r="Z179" i="298"/>
  <c r="Z78" i="298"/>
  <c r="Z206" i="298"/>
  <c r="Z237" i="298"/>
  <c r="Z324" i="298"/>
  <c r="Z364" i="298"/>
  <c r="Z396" i="298"/>
  <c r="Z121" i="298"/>
  <c r="Z327" i="298"/>
  <c r="Z343" i="298"/>
  <c r="Z38" i="298"/>
  <c r="Z134" i="298"/>
  <c r="Z166" i="298"/>
  <c r="Z282" i="298"/>
  <c r="Z322" i="298"/>
  <c r="Z354" i="298"/>
  <c r="Z49" i="298"/>
  <c r="Z177" i="298"/>
  <c r="Z261" i="298"/>
  <c r="Z341" i="298"/>
  <c r="Z373" i="298"/>
  <c r="Z381" i="298"/>
  <c r="Z397" i="298"/>
  <c r="Z190" i="298"/>
  <c r="Z272" i="298"/>
  <c r="Z384" i="298"/>
  <c r="Z408" i="298"/>
  <c r="Z424" i="298"/>
  <c r="Z73" i="298"/>
  <c r="Z169" i="298"/>
  <c r="Z201" i="298"/>
  <c r="Z259" i="298"/>
  <c r="Z315" i="298"/>
  <c r="Z355" i="298"/>
  <c r="Z379" i="298"/>
  <c r="Z411" i="298"/>
  <c r="Z419" i="298"/>
  <c r="Z214" i="298"/>
  <c r="Z294" i="298"/>
  <c r="Z463" i="298"/>
  <c r="Z337" i="298"/>
  <c r="Z401" i="298"/>
  <c r="Z426" i="298"/>
  <c r="Z442" i="298"/>
  <c r="Z466" i="298"/>
  <c r="Z498" i="298"/>
  <c r="Z54" i="298"/>
  <c r="Z182" i="298"/>
  <c r="Z382" i="298"/>
  <c r="Z477" i="298"/>
  <c r="Z97" i="298"/>
  <c r="Z265" i="298"/>
  <c r="Z297" i="298"/>
  <c r="Z456" i="298"/>
  <c r="Z504" i="298"/>
  <c r="Z334" i="298"/>
  <c r="Z366" i="298"/>
  <c r="Z433" i="298"/>
  <c r="Z449" i="298"/>
  <c r="Z161" i="298"/>
  <c r="Z254" i="298"/>
  <c r="Z289" i="298"/>
  <c r="Z454" i="298"/>
  <c r="Z468" i="298"/>
  <c r="Z409" i="298"/>
  <c r="Z484" i="298"/>
  <c r="Z417" i="298"/>
  <c r="Z428" i="298"/>
  <c r="Z430" i="298"/>
  <c r="Z33" i="298"/>
  <c r="R366" i="298"/>
  <c r="Y207" i="298"/>
  <c r="Y192" i="298"/>
  <c r="Y62" i="298"/>
  <c r="Y389" i="298"/>
  <c r="Y392" i="298"/>
  <c r="Y169" i="298"/>
  <c r="Y363" i="298"/>
  <c r="Y435" i="298"/>
  <c r="Y444" i="298"/>
  <c r="T36" i="298"/>
  <c r="T52" i="298"/>
  <c r="T60" i="298"/>
  <c r="T100" i="298"/>
  <c r="T95" i="298"/>
  <c r="T34" i="298"/>
  <c r="T42" i="298"/>
  <c r="T106" i="298"/>
  <c r="T37" i="298"/>
  <c r="T46" i="298"/>
  <c r="T54" i="298"/>
  <c r="T70" i="298"/>
  <c r="T78" i="298"/>
  <c r="T97" i="298"/>
  <c r="T117" i="298"/>
  <c r="T149" i="298"/>
  <c r="T157" i="298"/>
  <c r="T229" i="298"/>
  <c r="T253" i="298"/>
  <c r="T373" i="298"/>
  <c r="T381" i="298"/>
  <c r="T397" i="298"/>
  <c r="T453" i="298"/>
  <c r="T477" i="298"/>
  <c r="T112" i="298"/>
  <c r="T136" i="298"/>
  <c r="T184" i="298"/>
  <c r="T192" i="298"/>
  <c r="T200" i="298"/>
  <c r="T208" i="298"/>
  <c r="T216" i="298"/>
  <c r="T248" i="298"/>
  <c r="T264" i="298"/>
  <c r="T272" i="298"/>
  <c r="T336" i="298"/>
  <c r="T416" i="298"/>
  <c r="T424" i="298"/>
  <c r="T456" i="298"/>
  <c r="T472" i="298"/>
  <c r="T480" i="298"/>
  <c r="T35" i="298"/>
  <c r="T115" i="298"/>
  <c r="T179" i="298"/>
  <c r="T259" i="298"/>
  <c r="T355" i="298"/>
  <c r="T379" i="298"/>
  <c r="T411" i="298"/>
  <c r="T419" i="298"/>
  <c r="T435" i="298"/>
  <c r="T57" i="298"/>
  <c r="T72" i="298"/>
  <c r="T134" i="298"/>
  <c r="T182" i="298"/>
  <c r="T190" i="298"/>
  <c r="T214" i="298"/>
  <c r="T222" i="298"/>
  <c r="T358" i="298"/>
  <c r="T366" i="298"/>
  <c r="T382" i="298"/>
  <c r="T80" i="298"/>
  <c r="T169" i="298"/>
  <c r="T185" i="298"/>
  <c r="T201" i="298"/>
  <c r="T265" i="298"/>
  <c r="T289" i="298"/>
  <c r="T297" i="298"/>
  <c r="T329" i="298"/>
  <c r="T337" i="298"/>
  <c r="T401" i="298"/>
  <c r="T441" i="298"/>
  <c r="T449" i="298"/>
  <c r="T473" i="298"/>
  <c r="T127" i="298"/>
  <c r="T207" i="298"/>
  <c r="T215" i="298"/>
  <c r="T239" i="298"/>
  <c r="T247" i="298"/>
  <c r="T255" i="298"/>
  <c r="T263" i="298"/>
  <c r="T271" i="298"/>
  <c r="T359" i="298"/>
  <c r="T367" i="298"/>
  <c r="T463" i="298"/>
  <c r="T116" i="298"/>
  <c r="T138" i="298"/>
  <c r="T489" i="298"/>
  <c r="T513" i="298"/>
  <c r="T33" i="298"/>
  <c r="T501" i="298"/>
  <c r="T73" i="298"/>
  <c r="T204" i="298"/>
  <c r="T364" i="298"/>
  <c r="T396" i="298"/>
  <c r="T428" i="298"/>
  <c r="T484" i="298"/>
  <c r="T500" i="298"/>
  <c r="T322" i="298"/>
  <c r="T354" i="298"/>
  <c r="T450" i="298"/>
  <c r="T132" i="298"/>
  <c r="T498" i="298"/>
  <c r="T122" i="298"/>
  <c r="T282" i="298"/>
  <c r="T442" i="298"/>
  <c r="T474" i="298"/>
  <c r="T124" i="298"/>
  <c r="T284" i="298"/>
  <c r="T316" i="298"/>
  <c r="T348" i="298"/>
  <c r="T488" i="298"/>
  <c r="T504" i="298"/>
  <c r="T210" i="298"/>
  <c r="T274" i="298"/>
  <c r="T306" i="298"/>
  <c r="T370" i="298"/>
  <c r="T434" i="298"/>
  <c r="T507" i="298"/>
  <c r="R432" i="298"/>
  <c r="R230" i="298"/>
  <c r="S42" i="298"/>
  <c r="S50" i="298"/>
  <c r="S219" i="298"/>
  <c r="S435" i="298"/>
  <c r="S190" i="298"/>
  <c r="S238" i="298"/>
  <c r="S318" i="298"/>
  <c r="S446" i="298"/>
  <c r="S108" i="298"/>
  <c r="S180" i="298"/>
  <c r="S284" i="298"/>
  <c r="S444" i="298"/>
  <c r="S434" i="298"/>
  <c r="S191" i="298"/>
  <c r="S415" i="298"/>
  <c r="S181" i="298"/>
  <c r="S389" i="298"/>
  <c r="S231" i="298"/>
  <c r="S263" i="298"/>
  <c r="S295" i="298"/>
  <c r="L265" i="298"/>
  <c r="L232" i="298"/>
  <c r="L168" i="298"/>
  <c r="L453" i="298"/>
  <c r="L261" i="298"/>
  <c r="L69" i="298"/>
  <c r="L298" i="298"/>
  <c r="L268" i="298"/>
  <c r="L350" i="298"/>
  <c r="L505" i="298"/>
  <c r="L377" i="298"/>
  <c r="L181" i="298"/>
  <c r="L53" i="298"/>
  <c r="L154" i="298"/>
  <c r="L284" i="298"/>
  <c r="L395" i="298"/>
  <c r="L260" i="298"/>
  <c r="L75" i="298"/>
  <c r="L212" i="298"/>
  <c r="L474" i="298"/>
  <c r="L109" i="298"/>
  <c r="L62" i="298"/>
  <c r="L452" i="298"/>
  <c r="L78" i="298"/>
  <c r="L428" i="298"/>
  <c r="L253" i="298"/>
  <c r="L61" i="298"/>
  <c r="L259" i="298"/>
  <c r="L489" i="298"/>
  <c r="L293" i="298"/>
  <c r="L229" i="298"/>
  <c r="L165" i="298"/>
  <c r="L70" i="298"/>
  <c r="L192" i="298"/>
  <c r="L413" i="298"/>
  <c r="L93" i="298"/>
  <c r="L184" i="298"/>
  <c r="L469" i="298"/>
  <c r="L304" i="298"/>
  <c r="L176" i="298"/>
  <c r="Y161" i="298" l="1"/>
  <c r="Y91" i="298"/>
  <c r="X515" i="298"/>
  <c r="X52" i="298"/>
  <c r="S456" i="298"/>
  <c r="S161" i="298"/>
  <c r="S91" i="298"/>
  <c r="X304" i="298"/>
  <c r="N316" i="298"/>
  <c r="Y479" i="298"/>
  <c r="Y263" i="298"/>
  <c r="X56" i="298"/>
  <c r="L240" i="298"/>
  <c r="X469" i="298"/>
  <c r="S182" i="298"/>
  <c r="Y271" i="298"/>
  <c r="Y443" i="298"/>
  <c r="R451" i="298"/>
  <c r="X253" i="298"/>
  <c r="Y355" i="298"/>
  <c r="T245" i="298"/>
  <c r="Z459" i="298"/>
  <c r="N356" i="298"/>
  <c r="N281" i="298"/>
  <c r="Y483" i="298"/>
  <c r="Z319" i="298"/>
  <c r="T165" i="298"/>
  <c r="Z280" i="298"/>
  <c r="Z412" i="298"/>
  <c r="N117" i="298"/>
  <c r="X473" i="298"/>
  <c r="N390" i="298"/>
  <c r="S362" i="298"/>
  <c r="T130" i="298"/>
  <c r="Z486" i="298"/>
  <c r="N307" i="298"/>
  <c r="Z233" i="298"/>
  <c r="Z178" i="298"/>
  <c r="X239" i="298"/>
  <c r="N425" i="298"/>
  <c r="T402" i="298"/>
  <c r="T360" i="298"/>
  <c r="T125" i="298"/>
  <c r="Z380" i="298"/>
  <c r="N103" i="298"/>
  <c r="N191" i="298"/>
  <c r="S94" i="298"/>
  <c r="R507" i="298"/>
  <c r="T140" i="298"/>
  <c r="X201" i="298"/>
  <c r="Z180" i="298"/>
  <c r="S221" i="298"/>
  <c r="L177" i="298"/>
  <c r="N102" i="298"/>
  <c r="T323" i="298"/>
  <c r="Z306" i="298"/>
  <c r="Z83" i="298"/>
  <c r="Z140" i="298"/>
  <c r="N58" i="298"/>
  <c r="N252" i="298"/>
  <c r="Z103" i="298"/>
  <c r="N320" i="298"/>
  <c r="L375" i="298"/>
  <c r="X118" i="298"/>
  <c r="Y184" i="298"/>
  <c r="Z148" i="298"/>
  <c r="N262" i="298"/>
  <c r="Z487" i="298"/>
  <c r="S302" i="298"/>
  <c r="S270" i="298"/>
  <c r="Z139" i="298"/>
  <c r="N475" i="298"/>
  <c r="T160" i="298"/>
  <c r="X417" i="298"/>
  <c r="N462" i="298"/>
  <c r="N74" i="298"/>
  <c r="N431" i="298"/>
  <c r="Z505" i="298"/>
  <c r="Z262" i="298"/>
  <c r="S285" i="298"/>
  <c r="N443" i="298"/>
  <c r="S43" i="298"/>
  <c r="Z215" i="298"/>
  <c r="T427" i="298"/>
  <c r="X233" i="298"/>
  <c r="Z410" i="298"/>
  <c r="Z131" i="298"/>
  <c r="N137" i="298"/>
  <c r="S189" i="298"/>
  <c r="Y80" i="298"/>
  <c r="S363" i="298"/>
  <c r="T275" i="298"/>
  <c r="Z347" i="298"/>
  <c r="L121" i="298"/>
  <c r="T486" i="298"/>
  <c r="Y50" i="298"/>
  <c r="L56" i="298"/>
  <c r="T227" i="298"/>
  <c r="T44" i="298"/>
  <c r="Y191" i="298"/>
  <c r="Z448" i="298"/>
  <c r="Z102" i="298"/>
  <c r="Z160" i="298"/>
  <c r="X369" i="298"/>
  <c r="X181" i="298"/>
  <c r="T459" i="298"/>
  <c r="Z191" i="298"/>
  <c r="N75" i="298"/>
  <c r="T412" i="298"/>
  <c r="Z81" i="298"/>
  <c r="Z473" i="298"/>
  <c r="X254" i="298"/>
  <c r="T469" i="298"/>
  <c r="Z75" i="298"/>
  <c r="N176" i="298"/>
  <c r="N173" i="298"/>
  <c r="T172" i="298"/>
  <c r="Y158" i="298"/>
  <c r="T425" i="298"/>
  <c r="N227" i="298"/>
  <c r="T505" i="298"/>
  <c r="T250" i="298"/>
  <c r="T445" i="298"/>
  <c r="T514" i="298"/>
  <c r="Z92" i="298"/>
  <c r="L102" i="298"/>
  <c r="T506" i="298"/>
  <c r="L103" i="298"/>
  <c r="N512" i="298"/>
  <c r="N421" i="298"/>
  <c r="Z142" i="298"/>
  <c r="N290" i="298"/>
  <c r="T380" i="298"/>
  <c r="N165" i="298"/>
  <c r="L315" i="298"/>
  <c r="Y43" i="298"/>
  <c r="T395" i="298"/>
  <c r="Z402" i="298"/>
  <c r="N219" i="298"/>
  <c r="L44" i="298"/>
  <c r="T234" i="298"/>
  <c r="T47" i="298"/>
  <c r="S499" i="298"/>
  <c r="T257" i="298"/>
  <c r="Y90" i="298"/>
  <c r="L341" i="298"/>
  <c r="S483" i="298"/>
  <c r="T233" i="298"/>
  <c r="T340" i="298"/>
  <c r="T235" i="298"/>
  <c r="S62" i="298"/>
  <c r="N455" i="298"/>
  <c r="L248" i="298"/>
  <c r="S229" i="298"/>
  <c r="T455" i="298"/>
  <c r="R353" i="298"/>
  <c r="Z423" i="298"/>
  <c r="X228" i="298"/>
  <c r="N368" i="298"/>
  <c r="N240" i="298"/>
  <c r="L94" i="298"/>
  <c r="L173" i="298"/>
  <c r="T415" i="298"/>
  <c r="T462" i="298"/>
  <c r="Y439" i="298"/>
  <c r="R437" i="298"/>
  <c r="Z249" i="298"/>
  <c r="Z399" i="298"/>
  <c r="Z72" i="298"/>
  <c r="X366" i="298"/>
  <c r="X186" i="298"/>
  <c r="L167" i="298"/>
  <c r="L60" i="298"/>
  <c r="L301" i="298"/>
  <c r="S484" i="298"/>
  <c r="S90" i="298"/>
  <c r="T228" i="298"/>
  <c r="T398" i="298"/>
  <c r="T49" i="298"/>
  <c r="T301" i="298"/>
  <c r="Y446" i="298"/>
  <c r="R456" i="298"/>
  <c r="Z222" i="298"/>
  <c r="Z416" i="298"/>
  <c r="Z359" i="298"/>
  <c r="Z48" i="298"/>
  <c r="R443" i="298"/>
  <c r="X326" i="298"/>
  <c r="X66" i="298"/>
  <c r="N41" i="298"/>
  <c r="T287" i="298"/>
  <c r="T53" i="298"/>
  <c r="Y395" i="298"/>
  <c r="Z404" i="298"/>
  <c r="Z176" i="298"/>
  <c r="N286" i="298"/>
  <c r="N63" i="298"/>
  <c r="N195" i="298"/>
  <c r="T499" i="298"/>
  <c r="T218" i="298"/>
  <c r="Z137" i="298"/>
  <c r="Z388" i="298"/>
  <c r="Z144" i="298"/>
  <c r="N388" i="298"/>
  <c r="L37" i="298"/>
  <c r="T154" i="298"/>
  <c r="T451" i="298"/>
  <c r="T440" i="298"/>
  <c r="T389" i="298"/>
  <c r="T74" i="298"/>
  <c r="Y248" i="298"/>
  <c r="Z457" i="298"/>
  <c r="Z434" i="298"/>
  <c r="Z239" i="298"/>
  <c r="X68" i="298"/>
  <c r="N246" i="298"/>
  <c r="N417" i="298"/>
  <c r="N444" i="298"/>
  <c r="Z369" i="298"/>
  <c r="T352" i="298"/>
  <c r="T325" i="298"/>
  <c r="T63" i="298"/>
  <c r="Y386" i="298"/>
  <c r="Z398" i="298"/>
  <c r="Z495" i="298"/>
  <c r="Z217" i="298"/>
  <c r="Z174" i="298"/>
  <c r="X382" i="298"/>
  <c r="R388" i="298"/>
  <c r="N244" i="298"/>
  <c r="N319" i="298"/>
  <c r="X102" i="298"/>
  <c r="N435" i="298"/>
  <c r="N181" i="298"/>
  <c r="S214" i="298"/>
  <c r="N503" i="298"/>
  <c r="N93" i="298"/>
  <c r="N374" i="298"/>
  <c r="T392" i="298"/>
  <c r="T349" i="298"/>
  <c r="Z64" i="298"/>
  <c r="Z143" i="298"/>
  <c r="N87" i="298"/>
  <c r="Y418" i="298"/>
  <c r="Z392" i="298"/>
  <c r="Z266" i="298"/>
  <c r="X150" i="298"/>
  <c r="N151" i="298"/>
  <c r="N257" i="298"/>
  <c r="S514" i="298"/>
  <c r="S158" i="298"/>
  <c r="T490" i="298"/>
  <c r="T175" i="298"/>
  <c r="T51" i="298"/>
  <c r="L482" i="298"/>
  <c r="T151" i="298"/>
  <c r="T478" i="298"/>
  <c r="Z376" i="298"/>
  <c r="Z173" i="298"/>
  <c r="L397" i="298"/>
  <c r="T114" i="298"/>
  <c r="T356" i="298"/>
  <c r="T330" i="298"/>
  <c r="T143" i="298"/>
  <c r="T371" i="298"/>
  <c r="T304" i="298"/>
  <c r="T277" i="298"/>
  <c r="Y217" i="298"/>
  <c r="Z492" i="298"/>
  <c r="Z352" i="298"/>
  <c r="X476" i="298"/>
  <c r="N513" i="298"/>
  <c r="N492" i="298"/>
  <c r="N313" i="298"/>
  <c r="L112" i="298"/>
  <c r="L189" i="298"/>
  <c r="L472" i="298"/>
  <c r="S245" i="298"/>
  <c r="S419" i="298"/>
  <c r="T266" i="298"/>
  <c r="T135" i="298"/>
  <c r="T363" i="298"/>
  <c r="T288" i="298"/>
  <c r="T269" i="298"/>
  <c r="T92" i="298"/>
  <c r="Y383" i="298"/>
  <c r="Z500" i="298"/>
  <c r="Z302" i="298"/>
  <c r="Z447" i="298"/>
  <c r="Z243" i="298"/>
  <c r="Z47" i="298"/>
  <c r="X294" i="298"/>
  <c r="N159" i="298"/>
  <c r="N348" i="298"/>
  <c r="N236" i="298"/>
  <c r="N66" i="298"/>
  <c r="N340" i="298"/>
  <c r="Z195" i="298"/>
  <c r="Z149" i="298"/>
  <c r="Z252" i="298"/>
  <c r="N287" i="298"/>
  <c r="N403" i="298"/>
  <c r="T446" i="298"/>
  <c r="N389" i="298"/>
  <c r="L243" i="298"/>
  <c r="S489" i="298"/>
  <c r="S227" i="298"/>
  <c r="T444" i="298"/>
  <c r="T164" i="298"/>
  <c r="T67" i="298"/>
  <c r="T414" i="298"/>
  <c r="Z451" i="298"/>
  <c r="Z53" i="298"/>
  <c r="Z244" i="298"/>
  <c r="X367" i="298"/>
  <c r="X220" i="298"/>
  <c r="X224" i="298"/>
  <c r="N48" i="298"/>
  <c r="N108" i="298"/>
  <c r="N238" i="298"/>
  <c r="L398" i="298"/>
  <c r="T503" i="298"/>
  <c r="Z86" i="298"/>
  <c r="Z391" i="298"/>
  <c r="Z218" i="298"/>
  <c r="N298" i="298"/>
  <c r="L405" i="298"/>
  <c r="S248" i="298"/>
  <c r="T495" i="298"/>
  <c r="T212" i="298"/>
  <c r="T457" i="298"/>
  <c r="T374" i="298"/>
  <c r="T243" i="298"/>
  <c r="Z62" i="298"/>
  <c r="Z383" i="298"/>
  <c r="X388" i="298"/>
  <c r="X315" i="298"/>
  <c r="X48" i="298"/>
  <c r="N288" i="298"/>
  <c r="T481" i="298"/>
  <c r="T342" i="298"/>
  <c r="N64" i="298"/>
  <c r="L473" i="298"/>
  <c r="S53" i="298"/>
  <c r="T162" i="298"/>
  <c r="Y186" i="298"/>
  <c r="Z311" i="298"/>
  <c r="Z51" i="298"/>
  <c r="X443" i="298"/>
  <c r="X92" i="298"/>
  <c r="X165" i="298"/>
  <c r="N142" i="298"/>
  <c r="N325" i="298"/>
  <c r="N383" i="298"/>
  <c r="N327" i="298"/>
  <c r="T211" i="298"/>
  <c r="N342" i="298"/>
  <c r="T431" i="298"/>
  <c r="X188" i="298"/>
  <c r="N192" i="298"/>
  <c r="T509" i="298"/>
  <c r="T369" i="298"/>
  <c r="T163" i="298"/>
  <c r="T144" i="298"/>
  <c r="Z460" i="298"/>
  <c r="Z414" i="298"/>
  <c r="Z323" i="298"/>
  <c r="Z108" i="298"/>
  <c r="X404" i="298"/>
  <c r="N106" i="298"/>
  <c r="N174" i="298"/>
  <c r="N446" i="298"/>
  <c r="N35" i="298"/>
  <c r="N514" i="298"/>
  <c r="T226" i="298"/>
  <c r="X459" i="298"/>
  <c r="L363" i="298"/>
  <c r="L206" i="298"/>
  <c r="T391" i="298"/>
  <c r="Z185" i="298"/>
  <c r="Z240" i="298"/>
  <c r="Z114" i="298"/>
  <c r="X372" i="298"/>
  <c r="X109" i="298"/>
  <c r="L290" i="298"/>
  <c r="N90" i="298"/>
  <c r="N426" i="298"/>
  <c r="Z371" i="298"/>
  <c r="L254" i="298"/>
  <c r="S74" i="298"/>
  <c r="Y74" i="298"/>
  <c r="Z350" i="298"/>
  <c r="Z299" i="298"/>
  <c r="Z269" i="298"/>
  <c r="Z224" i="298"/>
  <c r="X101" i="298"/>
  <c r="N57" i="298"/>
  <c r="N460" i="298"/>
  <c r="N154" i="298"/>
  <c r="S372" i="298"/>
  <c r="S332" i="298"/>
  <c r="L510" i="298"/>
  <c r="L459" i="298"/>
  <c r="S361" i="298"/>
  <c r="T410" i="298"/>
  <c r="T56" i="298"/>
  <c r="Y496" i="298"/>
  <c r="Z313" i="298"/>
  <c r="Z291" i="298"/>
  <c r="Z89" i="298"/>
  <c r="Z90" i="298"/>
  <c r="X263" i="298"/>
  <c r="N404" i="298"/>
  <c r="N330" i="298"/>
  <c r="N249" i="298"/>
  <c r="T302" i="298"/>
  <c r="S353" i="298"/>
  <c r="T378" i="298"/>
  <c r="Y514" i="298"/>
  <c r="Z467" i="298"/>
  <c r="Z275" i="298"/>
  <c r="X285" i="298"/>
  <c r="X82" i="298"/>
  <c r="N86" i="298"/>
  <c r="N433" i="298"/>
  <c r="N311" i="298"/>
  <c r="N291" i="298"/>
  <c r="S93" i="298"/>
  <c r="Z365" i="298"/>
  <c r="L349" i="298"/>
  <c r="L441" i="298"/>
  <c r="T314" i="298"/>
  <c r="T281" i="298"/>
  <c r="T93" i="298"/>
  <c r="Y270" i="298"/>
  <c r="Z66" i="298"/>
  <c r="R92" i="298"/>
  <c r="X418" i="298"/>
  <c r="N415" i="298"/>
  <c r="L234" i="298"/>
  <c r="S492" i="298"/>
  <c r="T236" i="298"/>
  <c r="T230" i="298"/>
  <c r="T368" i="298"/>
  <c r="Y419" i="298"/>
  <c r="Z193" i="298"/>
  <c r="Z326" i="298"/>
  <c r="Z285" i="298"/>
  <c r="Z308" i="298"/>
  <c r="R379" i="298"/>
  <c r="X183" i="298"/>
  <c r="N254" i="298"/>
  <c r="N485" i="298"/>
  <c r="N458" i="298"/>
  <c r="N339" i="298"/>
  <c r="N406" i="298"/>
  <c r="T96" i="298"/>
  <c r="T153" i="298"/>
  <c r="Z400" i="298"/>
  <c r="Z230" i="298"/>
  <c r="R438" i="298"/>
  <c r="N237" i="298"/>
  <c r="N321" i="298"/>
  <c r="T133" i="298"/>
  <c r="Z221" i="298"/>
  <c r="Z79" i="298"/>
  <c r="N471" i="298"/>
  <c r="T121" i="298"/>
  <c r="T312" i="298"/>
  <c r="T429" i="298"/>
  <c r="T84" i="298"/>
  <c r="Y331" i="298"/>
  <c r="Z194" i="298"/>
  <c r="Z71" i="298"/>
  <c r="N278" i="298"/>
  <c r="N213" i="298"/>
  <c r="N96" i="298"/>
  <c r="X185" i="298"/>
  <c r="N326" i="298"/>
  <c r="Z474" i="298"/>
  <c r="N223" i="298"/>
  <c r="N46" i="298"/>
  <c r="T346" i="298"/>
  <c r="L247" i="298"/>
  <c r="T203" i="298"/>
  <c r="Z278" i="298"/>
  <c r="X84" i="298"/>
  <c r="N170" i="298"/>
  <c r="N332" i="298"/>
  <c r="N224" i="298"/>
  <c r="Z499" i="298"/>
  <c r="Z170" i="298"/>
  <c r="L283" i="298"/>
  <c r="T511" i="298"/>
  <c r="Z395" i="298"/>
  <c r="Z303" i="298"/>
  <c r="N386" i="298"/>
  <c r="L429" i="298"/>
  <c r="S95" i="298"/>
  <c r="T256" i="298"/>
  <c r="T110" i="298"/>
  <c r="Z312" i="298"/>
  <c r="X456" i="298"/>
  <c r="X283" i="298"/>
  <c r="X69" i="298"/>
  <c r="N333" i="298"/>
  <c r="M147" i="298"/>
  <c r="L372" i="298"/>
  <c r="L156" i="298"/>
  <c r="L68" i="298"/>
  <c r="S174" i="298"/>
  <c r="T458" i="298"/>
  <c r="T475" i="298"/>
  <c r="T147" i="298"/>
  <c r="T365" i="298"/>
  <c r="Y108" i="298"/>
  <c r="Y349" i="298"/>
  <c r="Y42" i="298"/>
  <c r="Z304" i="298"/>
  <c r="Z378" i="298"/>
  <c r="Z271" i="298"/>
  <c r="Z235" i="298"/>
  <c r="Z130" i="298"/>
  <c r="Z228" i="298"/>
  <c r="X428" i="298"/>
  <c r="X391" i="298"/>
  <c r="X103" i="298"/>
  <c r="X206" i="298"/>
  <c r="X53" i="298"/>
  <c r="N253" i="298"/>
  <c r="N303" i="298"/>
  <c r="S145" i="298"/>
  <c r="T413" i="298"/>
  <c r="Y241" i="298"/>
  <c r="Z110" i="298"/>
  <c r="N293" i="298"/>
  <c r="Z403" i="298"/>
  <c r="S386" i="298"/>
  <c r="X472" i="298"/>
  <c r="Z386" i="298"/>
  <c r="Z128" i="298"/>
  <c r="X238" i="298"/>
  <c r="L294" i="298"/>
  <c r="S317" i="298"/>
  <c r="S322" i="298"/>
  <c r="R319" i="298"/>
  <c r="T88" i="298"/>
  <c r="T487" i="298"/>
  <c r="T430" i="298"/>
  <c r="T467" i="298"/>
  <c r="T131" i="298"/>
  <c r="T357" i="298"/>
  <c r="Y497" i="298"/>
  <c r="Y285" i="298"/>
  <c r="Y231" i="298"/>
  <c r="Z512" i="298"/>
  <c r="Z238" i="298"/>
  <c r="X498" i="298"/>
  <c r="X344" i="298"/>
  <c r="X190" i="298"/>
  <c r="X234" i="298"/>
  <c r="N483" i="298"/>
  <c r="N133" i="298"/>
  <c r="N89" i="298"/>
  <c r="Y145" i="298"/>
  <c r="Z321" i="298"/>
  <c r="Z211" i="298"/>
  <c r="X174" i="298"/>
  <c r="N469" i="298"/>
  <c r="N251" i="298"/>
  <c r="N153" i="298"/>
  <c r="S258" i="298"/>
  <c r="L130" i="298"/>
  <c r="T485" i="298"/>
  <c r="T298" i="298"/>
  <c r="T406" i="298"/>
  <c r="Z483" i="298"/>
  <c r="Z472" i="298"/>
  <c r="Z339" i="298"/>
  <c r="Z346" i="298"/>
  <c r="X312" i="298"/>
  <c r="X166" i="298"/>
  <c r="N202" i="298"/>
  <c r="N217" i="298"/>
  <c r="L146" i="298"/>
  <c r="N128" i="298"/>
  <c r="L309" i="298"/>
  <c r="T293" i="298"/>
  <c r="Y492" i="298"/>
  <c r="Z307" i="298"/>
  <c r="Z158" i="298"/>
  <c r="Z147" i="298"/>
  <c r="Z213" i="298"/>
  <c r="X453" i="298"/>
  <c r="L495" i="298"/>
  <c r="N400" i="298"/>
  <c r="Y508" i="298"/>
  <c r="X375" i="298"/>
  <c r="S300" i="298"/>
  <c r="S331" i="298"/>
  <c r="L128" i="298"/>
  <c r="L365" i="298"/>
  <c r="L344" i="298"/>
  <c r="T194" i="298"/>
  <c r="T305" i="298"/>
  <c r="T285" i="298"/>
  <c r="Z305" i="298"/>
  <c r="Z197" i="298"/>
  <c r="X429" i="298"/>
  <c r="X156" i="298"/>
  <c r="L319" i="298"/>
  <c r="N221" i="298"/>
  <c r="N256" i="298"/>
  <c r="N234" i="298"/>
  <c r="S147" i="298"/>
  <c r="T223" i="298"/>
  <c r="T261" i="298"/>
  <c r="Y174" i="298"/>
  <c r="X495" i="298"/>
  <c r="X365" i="298"/>
  <c r="N429" i="298"/>
  <c r="N91" i="298"/>
  <c r="L498" i="298"/>
  <c r="X208" i="298"/>
  <c r="S140" i="298"/>
  <c r="Z471" i="298"/>
  <c r="L238" i="298"/>
  <c r="S440" i="298"/>
  <c r="T308" i="298"/>
  <c r="Y140" i="298"/>
  <c r="Z76" i="298"/>
  <c r="R454" i="298"/>
  <c r="N511" i="298"/>
  <c r="N283" i="298"/>
  <c r="L427" i="298"/>
  <c r="L107" i="298"/>
  <c r="S463" i="298"/>
  <c r="S369" i="298"/>
  <c r="S408" i="298"/>
  <c r="T242" i="298"/>
  <c r="T186" i="298"/>
  <c r="T294" i="298"/>
  <c r="T408" i="298"/>
  <c r="T120" i="298"/>
  <c r="Y504" i="298"/>
  <c r="Y38" i="298"/>
  <c r="Z229" i="298"/>
  <c r="Z349" i="298"/>
  <c r="Z67" i="298"/>
  <c r="Z207" i="298"/>
  <c r="X356" i="298"/>
  <c r="X297" i="298"/>
  <c r="X192" i="298"/>
  <c r="R300" i="298"/>
  <c r="N335" i="298"/>
  <c r="Z105" i="298"/>
  <c r="N79" i="298"/>
  <c r="L422" i="298"/>
  <c r="L81" i="298"/>
  <c r="S335" i="298"/>
  <c r="Z310" i="298"/>
  <c r="L465" i="298"/>
  <c r="L72" i="298"/>
  <c r="L316" i="298"/>
  <c r="S224" i="298"/>
  <c r="T180" i="298"/>
  <c r="T159" i="298"/>
  <c r="T105" i="298"/>
  <c r="Y44" i="298"/>
  <c r="Y155" i="298"/>
  <c r="Z37" i="298"/>
  <c r="X454" i="298"/>
  <c r="X261" i="298"/>
  <c r="X88" i="298"/>
  <c r="N178" i="298"/>
  <c r="N250" i="298"/>
  <c r="L485" i="298"/>
  <c r="Y219" i="298"/>
  <c r="L250" i="298"/>
  <c r="Z461" i="298"/>
  <c r="Z421" i="298"/>
  <c r="Z41" i="298"/>
  <c r="Z332" i="298"/>
  <c r="Z36" i="298"/>
  <c r="X438" i="298"/>
  <c r="X422" i="298"/>
  <c r="X231" i="298"/>
  <c r="X72" i="298"/>
  <c r="Z413" i="298"/>
  <c r="S504" i="298"/>
  <c r="T310" i="298"/>
  <c r="X128" i="298"/>
  <c r="N76" i="298"/>
  <c r="L297" i="298"/>
  <c r="L88" i="298"/>
  <c r="L79" i="298"/>
  <c r="S265" i="298"/>
  <c r="S112" i="298"/>
  <c r="T246" i="298"/>
  <c r="L277" i="298"/>
  <c r="L361" i="298"/>
  <c r="L280" i="298"/>
  <c r="L207" i="298"/>
  <c r="S508" i="298"/>
  <c r="S241" i="298"/>
  <c r="T193" i="298"/>
  <c r="T71" i="298"/>
  <c r="Y107" i="298"/>
  <c r="Z385" i="298"/>
  <c r="Z407" i="298"/>
  <c r="Z135" i="298"/>
  <c r="X175" i="298"/>
  <c r="R231" i="298"/>
  <c r="R470" i="298"/>
  <c r="X470" i="298"/>
  <c r="R488" i="298"/>
  <c r="X488" i="298"/>
  <c r="R108" i="298"/>
  <c r="L108" i="298"/>
  <c r="X108" i="298"/>
  <c r="N199" i="298"/>
  <c r="T199" i="298"/>
  <c r="Z59" i="298"/>
  <c r="T59" i="298"/>
  <c r="T205" i="298"/>
  <c r="Z205" i="298"/>
  <c r="N205" i="298"/>
  <c r="N344" i="298"/>
  <c r="T344" i="298"/>
  <c r="Z344" i="298"/>
  <c r="N113" i="298"/>
  <c r="Z113" i="298"/>
  <c r="T113" i="298"/>
  <c r="T328" i="298"/>
  <c r="Z328" i="298"/>
  <c r="N418" i="298"/>
  <c r="Z418" i="298"/>
  <c r="Z470" i="298"/>
  <c r="N470" i="298"/>
  <c r="T470" i="298"/>
  <c r="M162" i="298"/>
  <c r="S162" i="298"/>
  <c r="M120" i="298"/>
  <c r="Y120" i="298"/>
  <c r="M290" i="298"/>
  <c r="Y290" i="298"/>
  <c r="M448" i="298"/>
  <c r="Y448" i="298"/>
  <c r="M250" i="298"/>
  <c r="S250" i="298"/>
  <c r="M486" i="298"/>
  <c r="Y486" i="298"/>
  <c r="M137" i="298"/>
  <c r="S137" i="298"/>
  <c r="T292" i="298"/>
  <c r="N292" i="298"/>
  <c r="Z292" i="298"/>
  <c r="R374" i="298"/>
  <c r="L374" i="298"/>
  <c r="M366" i="298"/>
  <c r="Y366" i="298"/>
  <c r="M423" i="298"/>
  <c r="S423" i="298"/>
  <c r="Y423" i="298"/>
  <c r="M384" i="298"/>
  <c r="S384" i="298"/>
  <c r="Y384" i="298"/>
  <c r="L242" i="298"/>
  <c r="R242" i="298"/>
  <c r="X242" i="298"/>
  <c r="R276" i="298"/>
  <c r="L276" i="298"/>
  <c r="X276" i="298"/>
  <c r="R345" i="298"/>
  <c r="L345" i="298"/>
  <c r="X345" i="298"/>
  <c r="L359" i="298"/>
  <c r="R359" i="298"/>
  <c r="R225" i="298"/>
  <c r="L225" i="298"/>
  <c r="X225" i="298"/>
  <c r="R55" i="298"/>
  <c r="X55" i="298"/>
  <c r="L55" i="298"/>
  <c r="L116" i="298"/>
  <c r="R116" i="298"/>
  <c r="X116" i="298"/>
  <c r="R352" i="298"/>
  <c r="L352" i="298"/>
  <c r="R198" i="298"/>
  <c r="L198" i="298"/>
  <c r="R348" i="298"/>
  <c r="X348" i="298"/>
  <c r="L348" i="298"/>
  <c r="L362" i="298"/>
  <c r="X362" i="298"/>
  <c r="R362" i="298"/>
  <c r="T196" i="298"/>
  <c r="Z196" i="298"/>
  <c r="Z152" i="298"/>
  <c r="N152" i="298"/>
  <c r="T152" i="298"/>
  <c r="T494" i="298"/>
  <c r="N494" i="298"/>
  <c r="Z494" i="298"/>
  <c r="T422" i="298"/>
  <c r="Z422" i="298"/>
  <c r="Z50" i="298"/>
  <c r="N50" i="298"/>
  <c r="T50" i="298"/>
  <c r="Z482" i="298"/>
  <c r="T482" i="298"/>
  <c r="N482" i="298"/>
  <c r="T436" i="298"/>
  <c r="Z436" i="298"/>
  <c r="Z515" i="298"/>
  <c r="Y61" i="298"/>
  <c r="S61" i="298"/>
  <c r="M61" i="298"/>
  <c r="M431" i="298"/>
  <c r="S431" i="298"/>
  <c r="Y431" i="298"/>
  <c r="M113" i="298"/>
  <c r="S113" i="298"/>
  <c r="Y113" i="298"/>
  <c r="M487" i="298"/>
  <c r="S487" i="298"/>
  <c r="Y487" i="298"/>
  <c r="M242" i="298"/>
  <c r="Y242" i="298"/>
  <c r="S242" i="298"/>
  <c r="M105" i="298"/>
  <c r="Y105" i="298"/>
  <c r="S105" i="298"/>
  <c r="M56" i="298"/>
  <c r="Y56" i="298"/>
  <c r="S56" i="298"/>
  <c r="M213" i="298"/>
  <c r="Y213" i="298"/>
  <c r="S213" i="298"/>
  <c r="M261" i="298"/>
  <c r="Y261" i="298"/>
  <c r="M424" i="298"/>
  <c r="S424" i="298"/>
  <c r="M441" i="298"/>
  <c r="Y441" i="298"/>
  <c r="S441" i="298"/>
  <c r="T418" i="298"/>
  <c r="T394" i="298"/>
  <c r="Z465" i="298"/>
  <c r="Z199" i="298"/>
  <c r="N196" i="298"/>
  <c r="N464" i="298"/>
  <c r="Y376" i="298"/>
  <c r="R291" i="298"/>
  <c r="X291" i="298"/>
  <c r="R205" i="298"/>
  <c r="L205" i="298"/>
  <c r="R475" i="298"/>
  <c r="X475" i="298"/>
  <c r="R155" i="298"/>
  <c r="L155" i="298"/>
  <c r="R433" i="298"/>
  <c r="X433" i="298"/>
  <c r="R40" i="298"/>
  <c r="X40" i="298"/>
  <c r="R117" i="298"/>
  <c r="L117" i="298"/>
  <c r="R63" i="298"/>
  <c r="L63" i="298"/>
  <c r="N387" i="298"/>
  <c r="T387" i="298"/>
  <c r="Z209" i="298"/>
  <c r="T209" i="298"/>
  <c r="N438" i="298"/>
  <c r="T438" i="298"/>
  <c r="Z438" i="298"/>
  <c r="Z104" i="298"/>
  <c r="N104" i="298"/>
  <c r="T231" i="298"/>
  <c r="Z231" i="298"/>
  <c r="N231" i="298"/>
  <c r="N119" i="298"/>
  <c r="T119" i="298"/>
  <c r="Z119" i="298"/>
  <c r="N109" i="298"/>
  <c r="Z109" i="298"/>
  <c r="T109" i="298"/>
  <c r="M79" i="298"/>
  <c r="S79" i="298"/>
  <c r="R360" i="298"/>
  <c r="X360" i="298"/>
  <c r="L360" i="298"/>
  <c r="Z98" i="298"/>
  <c r="T98" i="298"/>
  <c r="Z39" i="298"/>
  <c r="T39" i="298"/>
  <c r="N39" i="298"/>
  <c r="R478" i="298"/>
  <c r="L478" i="298"/>
  <c r="Z168" i="298"/>
  <c r="N168" i="298"/>
  <c r="T168" i="298"/>
  <c r="Z387" i="298"/>
  <c r="Z87" i="298"/>
  <c r="N267" i="298"/>
  <c r="Z141" i="298"/>
  <c r="N141" i="298"/>
  <c r="T141" i="298"/>
  <c r="Z268" i="298"/>
  <c r="T268" i="298"/>
  <c r="R106" i="298"/>
  <c r="X106" i="298"/>
  <c r="T508" i="298"/>
  <c r="Z508" i="298"/>
  <c r="N328" i="298"/>
  <c r="S376" i="298"/>
  <c r="T464" i="298"/>
  <c r="X302" i="298"/>
  <c r="T258" i="298"/>
  <c r="Z258" i="298"/>
  <c r="N258" i="298"/>
  <c r="L111" i="298"/>
  <c r="R111" i="298"/>
  <c r="X111" i="298"/>
  <c r="R264" i="298"/>
  <c r="L264" i="298"/>
  <c r="N187" i="298"/>
  <c r="T187" i="298"/>
  <c r="M235" i="298"/>
  <c r="Y235" i="298"/>
  <c r="L462" i="298"/>
  <c r="R462" i="298"/>
  <c r="N40" i="298"/>
  <c r="T40" i="298"/>
  <c r="Z40" i="298"/>
  <c r="R73" i="298"/>
  <c r="L73" i="298"/>
  <c r="N183" i="298"/>
  <c r="T183" i="298"/>
  <c r="M194" i="298"/>
  <c r="S194" i="298"/>
  <c r="R387" i="298"/>
  <c r="L387" i="298"/>
  <c r="Z338" i="298"/>
  <c r="T338" i="298"/>
  <c r="N345" i="298"/>
  <c r="Z345" i="298"/>
  <c r="T345" i="298"/>
  <c r="T126" i="298"/>
  <c r="N126" i="298"/>
  <c r="Y134" i="298"/>
  <c r="M134" i="298"/>
  <c r="M92" i="298"/>
  <c r="S92" i="298"/>
  <c r="T43" i="298"/>
  <c r="Z43" i="298"/>
  <c r="N331" i="298"/>
  <c r="T331" i="298"/>
  <c r="T295" i="298"/>
  <c r="Z295" i="298"/>
  <c r="N295" i="298"/>
  <c r="R197" i="298"/>
  <c r="X197" i="298"/>
  <c r="N260" i="298"/>
  <c r="T260" i="298"/>
  <c r="X464" i="298"/>
  <c r="Z372" i="298"/>
  <c r="T372" i="298"/>
  <c r="M488" i="298"/>
  <c r="S488" i="298"/>
  <c r="N422" i="298"/>
  <c r="M65" i="298"/>
  <c r="Y65" i="298"/>
  <c r="N270" i="298"/>
  <c r="T270" i="298"/>
  <c r="Z270" i="298"/>
  <c r="N375" i="298"/>
  <c r="Z375" i="298"/>
  <c r="S273" i="298"/>
  <c r="Z394" i="298"/>
  <c r="L197" i="298"/>
  <c r="L325" i="298"/>
  <c r="Y94" i="298"/>
  <c r="Z187" i="298"/>
  <c r="N351" i="298"/>
  <c r="T351" i="298"/>
  <c r="Z351" i="298"/>
  <c r="M462" i="298"/>
  <c r="S462" i="298"/>
  <c r="Y325" i="298"/>
  <c r="Z273" i="298"/>
  <c r="N273" i="298"/>
  <c r="Z155" i="298"/>
  <c r="T155" i="298"/>
  <c r="M266" i="298"/>
  <c r="Y266" i="298"/>
  <c r="S373" i="298"/>
  <c r="T167" i="298"/>
  <c r="Y424" i="298"/>
  <c r="Z126" i="298"/>
  <c r="Z440" i="298"/>
  <c r="N447" i="298"/>
  <c r="T493" i="298"/>
  <c r="Z363" i="298"/>
  <c r="T448" i="298"/>
  <c r="N343" i="298"/>
  <c r="T333" i="298"/>
  <c r="X57" i="298"/>
  <c r="N502" i="298"/>
  <c r="L171" i="298"/>
  <c r="L97" i="298"/>
  <c r="S319" i="298"/>
  <c r="S425" i="298"/>
  <c r="T158" i="298"/>
  <c r="T317" i="298"/>
  <c r="Y377" i="298"/>
  <c r="Z489" i="298"/>
  <c r="X413" i="298"/>
  <c r="N361" i="298"/>
  <c r="N65" i="298"/>
  <c r="L83" i="298"/>
  <c r="L274" i="298"/>
  <c r="S391" i="298"/>
  <c r="S377" i="298"/>
  <c r="S451" i="298"/>
  <c r="T146" i="298"/>
  <c r="T290" i="298"/>
  <c r="T309" i="298"/>
  <c r="Y227" i="298"/>
  <c r="Z493" i="298"/>
  <c r="Z146" i="298"/>
  <c r="Z111" i="298"/>
  <c r="X318" i="298"/>
  <c r="X405" i="298"/>
  <c r="X230" i="298"/>
  <c r="R444" i="298"/>
  <c r="N420" i="298"/>
  <c r="N125" i="298"/>
  <c r="T118" i="298"/>
  <c r="Z189" i="298"/>
  <c r="N189" i="298"/>
  <c r="T101" i="298"/>
  <c r="Z232" i="298"/>
  <c r="N309" i="298"/>
  <c r="T81" i="298"/>
  <c r="T443" i="298"/>
  <c r="T171" i="298"/>
  <c r="Y284" i="298"/>
  <c r="Z286" i="298"/>
  <c r="Z216" i="298"/>
  <c r="R412" i="298"/>
  <c r="X411" i="298"/>
  <c r="X171" i="298"/>
  <c r="N481" i="298"/>
  <c r="N232" i="298"/>
  <c r="N107" i="298"/>
  <c r="L217" i="298"/>
  <c r="L410" i="298"/>
  <c r="S207" i="298"/>
  <c r="S464" i="298"/>
  <c r="R281" i="298"/>
  <c r="L201" i="298"/>
  <c r="S175" i="298"/>
  <c r="S234" i="298"/>
  <c r="S129" i="298"/>
  <c r="R409" i="298"/>
  <c r="T510" i="298"/>
  <c r="T335" i="298"/>
  <c r="Y300" i="298"/>
  <c r="R476" i="298"/>
  <c r="X437" i="298"/>
  <c r="X395" i="298"/>
  <c r="X47" i="298"/>
  <c r="X131" i="298"/>
  <c r="N296" i="298"/>
  <c r="N171" i="298"/>
  <c r="Y282" i="298"/>
  <c r="Z510" i="298"/>
  <c r="Z219" i="298"/>
  <c r="Z204" i="298"/>
  <c r="X378" i="298"/>
  <c r="X75" i="298"/>
  <c r="X138" i="298"/>
  <c r="N161" i="298"/>
  <c r="S237" i="298"/>
  <c r="Y513" i="298"/>
  <c r="Y322" i="298"/>
  <c r="Z34" i="298"/>
  <c r="X299" i="298"/>
  <c r="L346" i="298"/>
  <c r="L393" i="298"/>
  <c r="S470" i="298"/>
  <c r="R138" i="298"/>
  <c r="T280" i="298"/>
  <c r="Y463" i="298"/>
  <c r="Z478" i="298"/>
  <c r="X351" i="298"/>
  <c r="N245" i="298"/>
  <c r="L46" i="298"/>
  <c r="S471" i="298"/>
  <c r="T300" i="298"/>
  <c r="L57" i="298"/>
  <c r="S343" i="298"/>
  <c r="S412" i="298"/>
  <c r="S392" i="298"/>
  <c r="T156" i="298"/>
  <c r="Y318" i="298"/>
  <c r="Z317" i="298"/>
  <c r="X370" i="298"/>
  <c r="X59" i="298"/>
  <c r="X130" i="298"/>
  <c r="N377" i="298"/>
  <c r="N118" i="298"/>
  <c r="S51" i="298"/>
  <c r="Y369" i="298"/>
  <c r="Z101" i="298"/>
  <c r="X412" i="298"/>
  <c r="X402" i="298"/>
  <c r="S416" i="298"/>
  <c r="T437" i="298"/>
  <c r="Y129" i="298"/>
  <c r="Y189" i="298"/>
  <c r="Z212" i="298"/>
  <c r="R122" i="298"/>
  <c r="X394" i="298"/>
  <c r="X83" i="298"/>
  <c r="L118" i="298"/>
  <c r="L411" i="298"/>
  <c r="T188" i="298"/>
  <c r="T82" i="298"/>
  <c r="Y324" i="298"/>
  <c r="Y181" i="298"/>
  <c r="L190" i="298"/>
  <c r="L331" i="298"/>
  <c r="L35" i="298"/>
  <c r="L418" i="298"/>
  <c r="L501" i="298"/>
  <c r="L435" i="298"/>
  <c r="S396" i="298"/>
  <c r="S390" i="298"/>
  <c r="T279" i="298"/>
  <c r="Y353" i="298"/>
  <c r="Y302" i="298"/>
  <c r="Y224" i="298"/>
  <c r="Z188" i="298"/>
  <c r="X243" i="298"/>
  <c r="X240" i="298"/>
  <c r="N490" i="298"/>
  <c r="L149" i="298"/>
  <c r="S209" i="298"/>
  <c r="S192" i="298"/>
  <c r="Y503" i="298"/>
  <c r="Y297" i="298"/>
  <c r="Y240" i="298"/>
  <c r="Y335" i="298"/>
  <c r="Y64" i="298"/>
  <c r="X514" i="298"/>
  <c r="X447" i="298"/>
  <c r="X331" i="298"/>
  <c r="X117" i="298"/>
  <c r="N338" i="298"/>
  <c r="N98" i="298"/>
  <c r="N496" i="298"/>
  <c r="N465" i="298"/>
  <c r="L213" i="298"/>
  <c r="L64" i="298"/>
  <c r="L45" i="298"/>
  <c r="L211" i="298"/>
  <c r="S303" i="298"/>
  <c r="S383" i="298"/>
  <c r="S324" i="298"/>
  <c r="S169" i="298"/>
  <c r="S443" i="298"/>
  <c r="S184" i="298"/>
  <c r="T476" i="298"/>
  <c r="T479" i="298"/>
  <c r="T150" i="298"/>
  <c r="T461" i="298"/>
  <c r="T38" i="298"/>
  <c r="T55" i="298"/>
  <c r="Y489" i="298"/>
  <c r="Y97" i="298"/>
  <c r="Y60" i="298"/>
  <c r="Y319" i="298"/>
  <c r="R455" i="298"/>
  <c r="Z452" i="298"/>
  <c r="Z318" i="298"/>
  <c r="Z479" i="298"/>
  <c r="Z320" i="298"/>
  <c r="Z314" i="298"/>
  <c r="X481" i="298"/>
  <c r="X431" i="298"/>
  <c r="X361" i="298"/>
  <c r="X309" i="298"/>
  <c r="R42" i="298"/>
  <c r="N162" i="298"/>
  <c r="N43" i="298"/>
  <c r="N209" i="298"/>
  <c r="N203" i="298"/>
  <c r="Y454" i="298"/>
  <c r="S76" i="298"/>
  <c r="T104" i="298"/>
  <c r="T350" i="298"/>
  <c r="T299" i="298"/>
  <c r="Y425" i="298"/>
  <c r="X177" i="298"/>
  <c r="N353" i="298"/>
  <c r="N177" i="298"/>
  <c r="N450" i="298"/>
  <c r="L509" i="298"/>
  <c r="L262" i="298"/>
  <c r="L486" i="298"/>
  <c r="S159" i="298"/>
  <c r="R504" i="298"/>
  <c r="T393" i="298"/>
  <c r="T85" i="298"/>
  <c r="Y450" i="298"/>
  <c r="Y317" i="298"/>
  <c r="Y198" i="298"/>
  <c r="R129" i="298"/>
  <c r="Z150" i="298"/>
  <c r="Z283" i="298"/>
  <c r="Z123" i="298"/>
  <c r="Z85" i="298"/>
  <c r="X324" i="298"/>
  <c r="X249" i="298"/>
  <c r="X247" i="298"/>
  <c r="X277" i="298"/>
  <c r="X129" i="298"/>
  <c r="X37" i="298"/>
  <c r="R338" i="298"/>
  <c r="N360" i="298"/>
  <c r="N241" i="298"/>
  <c r="N94" i="298"/>
  <c r="N84" i="298"/>
  <c r="N506" i="298"/>
  <c r="N508" i="298"/>
  <c r="L384" i="298"/>
  <c r="S260" i="298"/>
  <c r="S395" i="298"/>
  <c r="T362" i="298"/>
  <c r="Y206" i="298"/>
  <c r="Z353" i="298"/>
  <c r="Z296" i="298"/>
  <c r="Z300" i="298"/>
  <c r="N497" i="298"/>
  <c r="N268" i="298"/>
  <c r="N452" i="298"/>
  <c r="L241" i="298"/>
  <c r="S301" i="298"/>
  <c r="L65" i="298"/>
  <c r="L369" i="298"/>
  <c r="L302" i="298"/>
  <c r="S269" i="298"/>
  <c r="S127" i="298"/>
  <c r="S196" i="298"/>
  <c r="S355" i="298"/>
  <c r="R424" i="298"/>
  <c r="T439" i="298"/>
  <c r="T334" i="298"/>
  <c r="T107" i="298"/>
  <c r="T197" i="298"/>
  <c r="T77" i="298"/>
  <c r="Y434" i="298"/>
  <c r="Y301" i="298"/>
  <c r="Y190" i="298"/>
  <c r="Y93" i="298"/>
  <c r="Z491" i="298"/>
  <c r="Z432" i="298"/>
  <c r="Z439" i="298"/>
  <c r="Z274" i="298"/>
  <c r="Z279" i="298"/>
  <c r="Z284" i="298"/>
  <c r="Z120" i="298"/>
  <c r="Z77" i="298"/>
  <c r="Z82" i="298"/>
  <c r="X458" i="298"/>
  <c r="X260" i="298"/>
  <c r="X432" i="298"/>
  <c r="X219" i="298"/>
  <c r="X121" i="298"/>
  <c r="X43" i="298"/>
  <c r="R188" i="298"/>
  <c r="N55" i="298"/>
  <c r="L417" i="298"/>
  <c r="L321" i="298"/>
  <c r="L255" i="298"/>
  <c r="L497" i="298"/>
  <c r="L335" i="298"/>
  <c r="S97" i="298"/>
  <c r="T515" i="298"/>
  <c r="T420" i="298"/>
  <c r="T377" i="298"/>
  <c r="T69" i="298"/>
  <c r="Y228" i="298"/>
  <c r="Z476" i="298"/>
  <c r="Z393" i="298"/>
  <c r="Z267" i="298"/>
  <c r="Z276" i="298"/>
  <c r="Z69" i="298"/>
  <c r="X63" i="298"/>
  <c r="X167" i="298"/>
  <c r="X81" i="298"/>
  <c r="X35" i="298"/>
  <c r="R273" i="298"/>
  <c r="L481" i="298"/>
  <c r="L385" i="298"/>
  <c r="L447" i="298"/>
  <c r="L347" i="298"/>
  <c r="L463" i="298"/>
  <c r="S477" i="298"/>
  <c r="S33" i="298"/>
  <c r="S418" i="298"/>
  <c r="S172" i="298"/>
  <c r="S267" i="298"/>
  <c r="S73" i="298"/>
  <c r="T145" i="298"/>
  <c r="T318" i="298"/>
  <c r="T405" i="298"/>
  <c r="T61" i="298"/>
  <c r="Y269" i="298"/>
  <c r="Y258" i="298"/>
  <c r="Z497" i="298"/>
  <c r="Z361" i="298"/>
  <c r="Z264" i="298"/>
  <c r="Z61" i="298"/>
  <c r="Z68" i="298"/>
  <c r="X364" i="298"/>
  <c r="X486" i="298"/>
  <c r="X257" i="298"/>
  <c r="X73" i="298"/>
  <c r="X226" i="298"/>
  <c r="R239" i="298"/>
  <c r="N200" i="298"/>
  <c r="N432" i="298"/>
  <c r="N242" i="298"/>
  <c r="N198" i="298"/>
  <c r="L407" i="298"/>
  <c r="L312" i="298"/>
  <c r="L475" i="298"/>
  <c r="L219" i="298"/>
  <c r="L218" i="298"/>
  <c r="L182" i="298"/>
  <c r="L106" i="298"/>
  <c r="S349" i="298"/>
  <c r="S503" i="298"/>
  <c r="S164" i="298"/>
  <c r="S243" i="298"/>
  <c r="S41" i="298"/>
  <c r="T68" i="298"/>
  <c r="Y76" i="298"/>
  <c r="Y382" i="298"/>
  <c r="Z390" i="298"/>
  <c r="Z241" i="298"/>
  <c r="Z225" i="298"/>
  <c r="Z251" i="298"/>
  <c r="Z260" i="298"/>
  <c r="Z91" i="298"/>
  <c r="X442" i="298"/>
  <c r="X424" i="298"/>
  <c r="X65" i="298"/>
  <c r="X232" i="298"/>
  <c r="X218" i="298"/>
  <c r="R431" i="298"/>
  <c r="N247" i="298"/>
  <c r="N164" i="298"/>
  <c r="N111" i="298"/>
  <c r="L434" i="298"/>
  <c r="L404" i="298"/>
  <c r="L170" i="298"/>
  <c r="S454" i="298"/>
  <c r="S88" i="298"/>
  <c r="T491" i="298"/>
  <c r="T129" i="298"/>
  <c r="T45" i="298"/>
  <c r="Y33" i="298"/>
  <c r="Y209" i="298"/>
  <c r="Y234" i="298"/>
  <c r="Z198" i="298"/>
  <c r="Z88" i="298"/>
  <c r="X462" i="298"/>
  <c r="X509" i="298"/>
  <c r="X374" i="298"/>
  <c r="X384" i="298"/>
  <c r="X202" i="298"/>
  <c r="R285" i="298"/>
  <c r="N405" i="298"/>
  <c r="N175" i="298"/>
  <c r="N372" i="298"/>
  <c r="S438" i="298"/>
  <c r="Y243" i="298"/>
  <c r="Z145" i="298"/>
  <c r="X484" i="298"/>
  <c r="X334" i="298"/>
  <c r="X170" i="298"/>
  <c r="N123" i="298"/>
  <c r="L461" i="298"/>
  <c r="S282" i="298"/>
  <c r="S44" i="298"/>
  <c r="S382" i="298"/>
  <c r="T502" i="298"/>
  <c r="T65" i="298"/>
  <c r="Y122" i="298"/>
  <c r="Z94" i="298"/>
  <c r="Z56" i="298"/>
  <c r="X407" i="298"/>
  <c r="X461" i="298"/>
  <c r="X410" i="298"/>
  <c r="X222" i="298"/>
  <c r="X154" i="298"/>
  <c r="N367" i="298"/>
  <c r="N129" i="298"/>
  <c r="Y438" i="298"/>
  <c r="Y467" i="298"/>
  <c r="X441" i="298"/>
  <c r="X264" i="298"/>
  <c r="X182" i="298"/>
  <c r="R334" i="298"/>
  <c r="N453" i="298"/>
  <c r="N362" i="298"/>
  <c r="N167" i="298"/>
  <c r="L185" i="298"/>
  <c r="S122" i="298"/>
  <c r="Y505" i="298"/>
  <c r="Y159" i="298"/>
  <c r="N276" i="298"/>
  <c r="N225" i="298"/>
  <c r="L258" i="298"/>
  <c r="L364" i="298"/>
  <c r="S513" i="298"/>
  <c r="S60" i="298"/>
  <c r="S289" i="298"/>
  <c r="S344" i="298"/>
  <c r="R299" i="298"/>
  <c r="Y408" i="298"/>
  <c r="Y415" i="298"/>
  <c r="Y176" i="298"/>
  <c r="Y127" i="298"/>
  <c r="Z445" i="298"/>
  <c r="Z357" i="298"/>
  <c r="Z172" i="298"/>
  <c r="X435" i="298"/>
  <c r="X172" i="298"/>
  <c r="X421" i="298"/>
  <c r="X274" i="298"/>
  <c r="X94" i="298"/>
  <c r="R402" i="298"/>
  <c r="N148" i="298"/>
  <c r="M221" i="298"/>
  <c r="S117" i="298"/>
  <c r="S337" i="298"/>
  <c r="R226" i="298"/>
  <c r="X282" i="298"/>
  <c r="L186" i="298"/>
  <c r="L514" i="298"/>
  <c r="L502" i="298"/>
  <c r="L144" i="298"/>
  <c r="L183" i="298"/>
  <c r="S505" i="298"/>
  <c r="S107" i="298"/>
  <c r="S280" i="298"/>
  <c r="R166" i="298"/>
  <c r="T139" i="298"/>
  <c r="Y456" i="298"/>
  <c r="Y391" i="298"/>
  <c r="Y128" i="298"/>
  <c r="Z437" i="298"/>
  <c r="R378" i="298"/>
  <c r="X311" i="298"/>
  <c r="X427" i="298"/>
  <c r="X44" i="298"/>
  <c r="X403" i="298"/>
  <c r="X196" i="298"/>
  <c r="R356" i="298"/>
  <c r="L442" i="298"/>
  <c r="L157" i="298"/>
  <c r="L433" i="298"/>
  <c r="L311" i="298"/>
  <c r="S479" i="298"/>
  <c r="S78" i="298"/>
  <c r="S240" i="298"/>
  <c r="T347" i="298"/>
  <c r="T62" i="298"/>
  <c r="Y440" i="298"/>
  <c r="Y367" i="298"/>
  <c r="Y112" i="298"/>
  <c r="Z496" i="298"/>
  <c r="X385" i="298"/>
  <c r="X387" i="298"/>
  <c r="X397" i="298"/>
  <c r="X163" i="298"/>
  <c r="X157" i="298"/>
  <c r="L506" i="298"/>
  <c r="L467" i="298"/>
  <c r="L158" i="298"/>
  <c r="L82" i="298"/>
  <c r="L291" i="298"/>
  <c r="L84" i="298"/>
  <c r="S367" i="298"/>
  <c r="S217" i="298"/>
  <c r="Y361" i="298"/>
  <c r="Y344" i="298"/>
  <c r="Y343" i="298"/>
  <c r="Z331" i="298"/>
  <c r="X335" i="298"/>
  <c r="X455" i="298"/>
  <c r="X340" i="298"/>
  <c r="X347" i="298"/>
  <c r="X241" i="298"/>
  <c r="X155" i="298"/>
  <c r="R215" i="298"/>
  <c r="X496" i="298"/>
  <c r="X273" i="298"/>
  <c r="X379" i="298"/>
  <c r="L202" i="298"/>
  <c r="X307" i="298"/>
  <c r="X229" i="298"/>
  <c r="Y255" i="298"/>
  <c r="Y95" i="298"/>
  <c r="L125" i="298"/>
  <c r="Y117" i="298"/>
  <c r="M303" i="298"/>
  <c r="Y100" i="298"/>
  <c r="M311" i="298"/>
  <c r="S486" i="298"/>
  <c r="S325" i="298"/>
  <c r="S257" i="298"/>
  <c r="S120" i="298"/>
  <c r="Y268" i="298"/>
  <c r="S277" i="298"/>
  <c r="S306" i="298"/>
  <c r="S138" i="298"/>
  <c r="S364" i="298"/>
  <c r="S100" i="298"/>
  <c r="S235" i="298"/>
  <c r="Y364" i="298"/>
  <c r="Y311" i="298"/>
  <c r="Y168" i="298"/>
  <c r="Y237" i="298"/>
  <c r="R263" i="298"/>
  <c r="X184" i="298"/>
  <c r="X245" i="298"/>
  <c r="L367" i="298"/>
  <c r="R496" i="298"/>
  <c r="S268" i="298"/>
  <c r="Y475" i="298"/>
  <c r="Y277" i="298"/>
  <c r="S448" i="298"/>
  <c r="Y273" i="298"/>
  <c r="Y137" i="298"/>
  <c r="L58" i="298"/>
  <c r="S356" i="298"/>
  <c r="Y356" i="298"/>
  <c r="Y484" i="298"/>
  <c r="Y451" i="298"/>
  <c r="Y464" i="298"/>
  <c r="Y172" i="298"/>
  <c r="Y390" i="298"/>
  <c r="Y257" i="298"/>
  <c r="Y306" i="298"/>
  <c r="Y78" i="298"/>
  <c r="Y152" i="298"/>
  <c r="Y229" i="298"/>
  <c r="X248" i="298"/>
  <c r="R382" i="298"/>
  <c r="R515" i="298"/>
  <c r="R66" i="298"/>
  <c r="M186" i="298"/>
  <c r="M332" i="298"/>
  <c r="X176" i="298"/>
  <c r="X258" i="298"/>
  <c r="L339" i="298"/>
  <c r="L353" i="298"/>
  <c r="L286" i="298"/>
  <c r="X217" i="298"/>
  <c r="X64" i="298"/>
  <c r="X122" i="298"/>
  <c r="L224" i="298"/>
  <c r="L257" i="298"/>
  <c r="X114" i="298"/>
  <c r="R141" i="298"/>
  <c r="R324" i="298"/>
  <c r="L308" i="298"/>
  <c r="L210" i="298"/>
  <c r="S512" i="298"/>
  <c r="S460" i="298"/>
  <c r="Y36" i="298"/>
  <c r="Y223" i="298"/>
  <c r="Y470" i="298"/>
  <c r="S482" i="298"/>
  <c r="S36" i="298"/>
  <c r="R204" i="298"/>
  <c r="Y482" i="298"/>
  <c r="Y160" i="298"/>
  <c r="Y197" i="298"/>
  <c r="Y178" i="298"/>
  <c r="M450" i="298"/>
  <c r="Y399" i="298"/>
  <c r="Y144" i="298"/>
  <c r="Y146" i="298"/>
  <c r="L383" i="298"/>
  <c r="S401" i="298"/>
  <c r="S178" i="298"/>
  <c r="S177" i="298"/>
  <c r="Y401" i="298"/>
  <c r="Y379" i="298"/>
  <c r="Y182" i="298"/>
  <c r="X255" i="298"/>
  <c r="S197" i="298"/>
  <c r="L310" i="298"/>
  <c r="S146" i="298"/>
  <c r="S126" i="298"/>
  <c r="X426" i="298"/>
  <c r="X383" i="298"/>
  <c r="Y126" i="298"/>
  <c r="X310" i="298"/>
  <c r="X168" i="298"/>
  <c r="L426" i="298"/>
  <c r="S502" i="298"/>
  <c r="S399" i="298"/>
  <c r="S307" i="298"/>
  <c r="S275" i="298"/>
  <c r="Y476" i="298"/>
  <c r="Y307" i="298"/>
  <c r="L223" i="298"/>
  <c r="S223" i="298"/>
  <c r="S144" i="298"/>
  <c r="Y460" i="298"/>
  <c r="Y275" i="298"/>
  <c r="Y177" i="298"/>
  <c r="S445" i="298"/>
  <c r="Y512" i="298"/>
  <c r="Y196" i="298"/>
  <c r="Y239" i="298"/>
  <c r="S239" i="298"/>
  <c r="S476" i="298"/>
  <c r="Y351" i="298"/>
  <c r="Y396" i="298"/>
  <c r="Y338" i="298"/>
  <c r="Y230" i="298"/>
  <c r="L511" i="298"/>
  <c r="L145" i="298"/>
  <c r="R145" i="298"/>
  <c r="R313" i="298"/>
  <c r="X313" i="298"/>
  <c r="R508" i="298"/>
  <c r="L508" i="298"/>
  <c r="Y494" i="298"/>
  <c r="Y298" i="298"/>
  <c r="Y210" i="298"/>
  <c r="M125" i="298"/>
  <c r="S125" i="298"/>
  <c r="M123" i="298"/>
  <c r="S123" i="298"/>
  <c r="M299" i="298"/>
  <c r="S299" i="298"/>
  <c r="R392" i="298"/>
  <c r="X392" i="298"/>
  <c r="R244" i="298"/>
  <c r="X244" i="298"/>
  <c r="L214" i="298"/>
  <c r="L41" i="298"/>
  <c r="S338" i="298"/>
  <c r="S81" i="298"/>
  <c r="Y92" i="298"/>
  <c r="Y71" i="298"/>
  <c r="R511" i="298"/>
  <c r="X393" i="298"/>
  <c r="M381" i="298"/>
  <c r="S220" i="298"/>
  <c r="Y220" i="298"/>
  <c r="M330" i="298"/>
  <c r="S330" i="298"/>
  <c r="R396" i="298"/>
  <c r="L396" i="298"/>
  <c r="L39" i="298"/>
  <c r="X39" i="298"/>
  <c r="Y329" i="298"/>
  <c r="Y254" i="298"/>
  <c r="R340" i="298"/>
  <c r="X320" i="298"/>
  <c r="X96" i="298"/>
  <c r="R484" i="298"/>
  <c r="M130" i="298"/>
  <c r="Y130" i="298"/>
  <c r="M149" i="298"/>
  <c r="S149" i="298"/>
  <c r="M143" i="298"/>
  <c r="S143" i="298"/>
  <c r="M293" i="298"/>
  <c r="S293" i="298"/>
  <c r="Y293" i="298"/>
  <c r="L423" i="298"/>
  <c r="R423" i="298"/>
  <c r="R134" i="298"/>
  <c r="L134" i="298"/>
  <c r="R87" i="298"/>
  <c r="X87" i="298"/>
  <c r="Y321" i="298"/>
  <c r="S321" i="298"/>
  <c r="M287" i="298"/>
  <c r="Y287" i="298"/>
  <c r="L115" i="298"/>
  <c r="R115" i="298"/>
  <c r="L487" i="298"/>
  <c r="R487" i="298"/>
  <c r="X487" i="298"/>
  <c r="R113" i="298"/>
  <c r="L113" i="298"/>
  <c r="X113" i="298"/>
  <c r="L480" i="298"/>
  <c r="R480" i="298"/>
  <c r="R216" i="298"/>
  <c r="L216" i="298"/>
  <c r="M422" i="298"/>
  <c r="S422" i="298"/>
  <c r="S409" i="298"/>
  <c r="R471" i="298"/>
  <c r="X471" i="298"/>
  <c r="Y294" i="298"/>
  <c r="X110" i="298"/>
  <c r="R415" i="298"/>
  <c r="L415" i="298"/>
  <c r="L295" i="298"/>
  <c r="X295" i="298"/>
  <c r="R127" i="298"/>
  <c r="L127" i="298"/>
  <c r="R400" i="298"/>
  <c r="X400" i="298"/>
  <c r="R86" i="298"/>
  <c r="L86" i="298"/>
  <c r="L343" i="298"/>
  <c r="S413" i="298"/>
  <c r="S65" i="298"/>
  <c r="Y193" i="298"/>
  <c r="Y413" i="298"/>
  <c r="Y142" i="298"/>
  <c r="X510" i="298"/>
  <c r="X328" i="298"/>
  <c r="R39" i="298"/>
  <c r="M47" i="298"/>
  <c r="Y47" i="298"/>
  <c r="M103" i="298"/>
  <c r="S103" i="298"/>
  <c r="M179" i="298"/>
  <c r="Y179" i="298"/>
  <c r="M252" i="298"/>
  <c r="Y252" i="298"/>
  <c r="S252" i="298"/>
  <c r="L80" i="298"/>
  <c r="L296" i="298"/>
  <c r="S381" i="298"/>
  <c r="S298" i="298"/>
  <c r="S411" i="298"/>
  <c r="L471" i="298"/>
  <c r="L208" i="298"/>
  <c r="Y110" i="298"/>
  <c r="X180" i="298"/>
  <c r="X86" i="298"/>
  <c r="L178" i="298"/>
  <c r="L110" i="298"/>
  <c r="L245" i="298"/>
  <c r="S266" i="298"/>
  <c r="S308" i="298"/>
  <c r="S329" i="298"/>
  <c r="S374" i="298"/>
  <c r="S379" i="298"/>
  <c r="Y449" i="298"/>
  <c r="Y265" i="298"/>
  <c r="Y411" i="298"/>
  <c r="Y373" i="298"/>
  <c r="Y88" i="298"/>
  <c r="R327" i="298"/>
  <c r="X448" i="298"/>
  <c r="X79" i="298"/>
  <c r="X80" i="298"/>
  <c r="R390" i="298"/>
  <c r="R295" i="298"/>
  <c r="M110" i="298"/>
  <c r="M447" i="298"/>
  <c r="Y447" i="298"/>
  <c r="M354" i="298"/>
  <c r="Y354" i="298"/>
  <c r="L179" i="298"/>
  <c r="L137" i="298"/>
  <c r="S497" i="298"/>
  <c r="S366" i="298"/>
  <c r="S371" i="298"/>
  <c r="S360" i="298"/>
  <c r="S64" i="298"/>
  <c r="R288" i="298"/>
  <c r="Y249" i="298"/>
  <c r="X440" i="298"/>
  <c r="X296" i="298"/>
  <c r="X161" i="298"/>
  <c r="X179" i="298"/>
  <c r="M238" i="298"/>
  <c r="L320" i="298"/>
  <c r="S281" i="298"/>
  <c r="Y409" i="298"/>
  <c r="Y106" i="298"/>
  <c r="X497" i="298"/>
  <c r="X288" i="298"/>
  <c r="X137" i="298"/>
  <c r="X178" i="298"/>
  <c r="R172" i="298"/>
  <c r="M150" i="298"/>
  <c r="Y150" i="298"/>
  <c r="M59" i="298"/>
  <c r="R270" i="298"/>
  <c r="X270" i="298"/>
  <c r="L244" i="298"/>
  <c r="R314" i="298"/>
  <c r="Y445" i="298"/>
  <c r="Y371" i="298"/>
  <c r="X396" i="298"/>
  <c r="X430" i="298"/>
  <c r="X281" i="298"/>
  <c r="M509" i="298"/>
  <c r="Y509" i="298"/>
  <c r="R89" i="298"/>
  <c r="X89" i="298"/>
  <c r="L448" i="298"/>
  <c r="L180" i="298"/>
  <c r="S294" i="298"/>
  <c r="Y281" i="298"/>
  <c r="Y412" i="298"/>
  <c r="X279" i="298"/>
  <c r="X399" i="298"/>
  <c r="X415" i="298"/>
  <c r="X252" i="298"/>
  <c r="R287" i="298"/>
  <c r="X200" i="298"/>
  <c r="R269" i="298"/>
  <c r="L269" i="298"/>
  <c r="R34" i="298"/>
  <c r="L34" i="298"/>
  <c r="L457" i="298"/>
  <c r="S254" i="298"/>
  <c r="X146" i="298"/>
  <c r="S406" i="298"/>
  <c r="M406" i="298"/>
  <c r="S455" i="298"/>
  <c r="S351" i="298"/>
  <c r="S37" i="298"/>
  <c r="M195" i="298"/>
  <c r="Y195" i="298"/>
  <c r="M321" i="298"/>
  <c r="M220" i="298"/>
  <c r="M111" i="298"/>
  <c r="S111" i="298"/>
  <c r="R36" i="298"/>
  <c r="L36" i="298"/>
  <c r="R499" i="298"/>
  <c r="X499" i="298"/>
  <c r="R162" i="298"/>
  <c r="L162" i="298"/>
  <c r="R513" i="298"/>
  <c r="X513" i="298"/>
  <c r="L513" i="298"/>
  <c r="R329" i="298"/>
  <c r="X329" i="298"/>
  <c r="L408" i="298"/>
  <c r="X408" i="298"/>
  <c r="R389" i="298"/>
  <c r="X389" i="298"/>
  <c r="L200" i="298"/>
  <c r="L460" i="298"/>
  <c r="S232" i="298"/>
  <c r="X33" i="298"/>
  <c r="X386" i="298"/>
  <c r="R492" i="298"/>
  <c r="M163" i="298"/>
  <c r="Y163" i="298"/>
  <c r="M193" i="298"/>
  <c r="L252" i="298"/>
  <c r="S495" i="298"/>
  <c r="S230" i="298"/>
  <c r="S216" i="298"/>
  <c r="S106" i="298"/>
  <c r="Y299" i="298"/>
  <c r="X191" i="298"/>
  <c r="X91" i="298"/>
  <c r="L488" i="298"/>
  <c r="M428" i="298"/>
  <c r="S428" i="298"/>
  <c r="R104" i="298"/>
  <c r="X104" i="298"/>
  <c r="L104" i="298"/>
  <c r="M39" i="298"/>
  <c r="Y39" i="298"/>
  <c r="S494" i="298"/>
  <c r="Y218" i="298"/>
  <c r="X508" i="298"/>
  <c r="X41" i="298"/>
  <c r="M288" i="298"/>
  <c r="Y288" i="298"/>
  <c r="M199" i="298"/>
  <c r="Y199" i="298"/>
  <c r="M472" i="298"/>
  <c r="S472" i="298"/>
  <c r="L406" i="298"/>
  <c r="Y232" i="298"/>
  <c r="Y123" i="298"/>
  <c r="R328" i="298"/>
  <c r="M402" i="298"/>
  <c r="Y402" i="298"/>
  <c r="R51" i="298"/>
  <c r="X51" i="298"/>
  <c r="L399" i="298"/>
  <c r="S439" i="298"/>
  <c r="S58" i="298"/>
  <c r="Y125" i="298"/>
  <c r="X246" i="298"/>
  <c r="R175" i="298"/>
  <c r="M215" i="298"/>
  <c r="S215" i="298"/>
  <c r="M433" i="298"/>
  <c r="Y433" i="298"/>
  <c r="R123" i="298"/>
  <c r="L123" i="298"/>
  <c r="R373" i="298"/>
  <c r="X373" i="298"/>
  <c r="S249" i="298"/>
  <c r="X445" i="298"/>
  <c r="X406" i="298"/>
  <c r="X90" i="298"/>
  <c r="M469" i="298"/>
  <c r="Y469" i="298"/>
  <c r="M247" i="298"/>
  <c r="S247" i="298"/>
  <c r="L337" i="298"/>
  <c r="X337" i="298"/>
  <c r="S200" i="298"/>
  <c r="L90" i="298"/>
  <c r="Y372" i="298"/>
  <c r="Y337" i="298"/>
  <c r="Y59" i="298"/>
  <c r="Y85" i="298"/>
  <c r="Y183" i="298"/>
  <c r="X506" i="298"/>
  <c r="X266" i="298"/>
  <c r="M148" i="298"/>
  <c r="Y148" i="298"/>
  <c r="L236" i="298"/>
  <c r="R236" i="298"/>
  <c r="M211" i="298"/>
  <c r="Y211" i="298"/>
  <c r="Y465" i="298"/>
  <c r="S465" i="298"/>
  <c r="S218" i="298"/>
  <c r="X343" i="298"/>
  <c r="L161" i="298"/>
  <c r="X127" i="298"/>
  <c r="L91" i="298"/>
  <c r="L132" i="298"/>
  <c r="S176" i="298"/>
  <c r="X492" i="298"/>
  <c r="M510" i="298"/>
  <c r="S510" i="298"/>
  <c r="M430" i="298"/>
  <c r="S430" i="298"/>
  <c r="L440" i="298"/>
  <c r="X460" i="298"/>
  <c r="Y114" i="298"/>
  <c r="M114" i="298"/>
  <c r="M507" i="298"/>
  <c r="Y507" i="298"/>
  <c r="L191" i="298"/>
  <c r="L266" i="298"/>
  <c r="L445" i="298"/>
  <c r="L270" i="298"/>
  <c r="S199" i="298"/>
  <c r="S168" i="298"/>
  <c r="Y75" i="298"/>
  <c r="X390" i="298"/>
  <c r="L139" i="298"/>
  <c r="L394" i="298"/>
  <c r="L430" i="298"/>
  <c r="S183" i="298"/>
  <c r="S38" i="298"/>
  <c r="S114" i="298"/>
  <c r="S179" i="298"/>
  <c r="S160" i="298"/>
  <c r="L33" i="298"/>
  <c r="L96" i="298"/>
  <c r="L150" i="298"/>
  <c r="L282" i="298"/>
  <c r="S496" i="298"/>
  <c r="S150" i="298"/>
  <c r="Y495" i="298"/>
  <c r="Y308" i="298"/>
  <c r="Y73" i="298"/>
  <c r="Y81" i="298"/>
  <c r="Y175" i="298"/>
  <c r="X341" i="298"/>
  <c r="X214" i="298"/>
  <c r="X149" i="298"/>
  <c r="R370" i="298"/>
  <c r="R251" i="298"/>
  <c r="L251" i="298"/>
  <c r="M180" i="298"/>
  <c r="Y180" i="298"/>
  <c r="S75" i="298"/>
  <c r="S142" i="298"/>
  <c r="S163" i="298"/>
  <c r="S71" i="298"/>
  <c r="Y502" i="298"/>
  <c r="Y41" i="298"/>
  <c r="Y216" i="298"/>
  <c r="Y53" i="298"/>
  <c r="X457" i="298"/>
  <c r="X164" i="298"/>
  <c r="X34" i="298"/>
  <c r="M45" i="298"/>
  <c r="Y45" i="298"/>
  <c r="M212" i="298"/>
  <c r="Y212" i="298"/>
  <c r="M170" i="298"/>
  <c r="S170" i="298"/>
  <c r="M171" i="298"/>
  <c r="Y171" i="298"/>
  <c r="L209" i="298"/>
  <c r="R209" i="298"/>
  <c r="R491" i="298"/>
  <c r="X491" i="298"/>
  <c r="Y58" i="298"/>
  <c r="L89" i="298"/>
  <c r="S210" i="298"/>
  <c r="L318" i="298"/>
  <c r="M459" i="298"/>
  <c r="S459" i="298"/>
  <c r="L400" i="298"/>
  <c r="L246" i="298"/>
  <c r="S198" i="298"/>
  <c r="S211" i="298"/>
  <c r="L131" i="298"/>
  <c r="L193" i="298"/>
  <c r="L164" i="298"/>
  <c r="S449" i="298"/>
  <c r="S155" i="298"/>
  <c r="S47" i="298"/>
  <c r="Y471" i="298"/>
  <c r="Y422" i="298"/>
  <c r="Y200" i="298"/>
  <c r="Y37" i="298"/>
  <c r="Y143" i="298"/>
  <c r="X350" i="298"/>
  <c r="X132" i="298"/>
  <c r="L48" i="298"/>
  <c r="L105" i="298"/>
  <c r="L222" i="298"/>
  <c r="S206" i="298"/>
  <c r="S336" i="298"/>
  <c r="Y260" i="298"/>
  <c r="Y305" i="298"/>
  <c r="Y267" i="298"/>
  <c r="Y164" i="298"/>
  <c r="X482" i="298"/>
  <c r="X502" i="298"/>
  <c r="X504" i="298"/>
  <c r="X398" i="298"/>
  <c r="X363" i="298"/>
  <c r="X280" i="298"/>
  <c r="X207" i="298"/>
  <c r="X198" i="298"/>
  <c r="X213" i="298"/>
  <c r="R322" i="298"/>
  <c r="L458" i="298"/>
  <c r="L215" i="298"/>
  <c r="Y336" i="298"/>
  <c r="Y245" i="298"/>
  <c r="Y138" i="298"/>
  <c r="X300" i="298"/>
  <c r="X346" i="298"/>
  <c r="X105" i="298"/>
  <c r="X70" i="298"/>
  <c r="L391" i="298"/>
  <c r="L114" i="298"/>
  <c r="X268" i="298"/>
  <c r="X507" i="298"/>
  <c r="X262" i="298"/>
  <c r="X338" i="298"/>
  <c r="X97" i="298"/>
  <c r="X62" i="298"/>
  <c r="X144" i="298"/>
  <c r="X61" i="298"/>
  <c r="R98" i="298"/>
  <c r="X93" i="298"/>
  <c r="L220" i="298"/>
  <c r="L196" i="298"/>
  <c r="L336" i="298"/>
  <c r="L249" i="298"/>
  <c r="L59" i="298"/>
  <c r="S255" i="298"/>
  <c r="S475" i="298"/>
  <c r="S152" i="298"/>
  <c r="L43" i="298"/>
  <c r="L464" i="298"/>
  <c r="L40" i="298"/>
  <c r="S228" i="298"/>
  <c r="S305" i="298"/>
  <c r="S467" i="298"/>
  <c r="Y477" i="298"/>
  <c r="L67" i="298"/>
  <c r="L174" i="298"/>
  <c r="L403" i="298"/>
  <c r="L503" i="298"/>
  <c r="S261" i="298"/>
  <c r="S297" i="298"/>
  <c r="S128" i="298"/>
  <c r="Y499" i="298"/>
  <c r="Y280" i="298"/>
  <c r="Y362" i="298"/>
  <c r="Y295" i="298"/>
  <c r="R307" i="298"/>
  <c r="X321" i="298"/>
  <c r="X259" i="298"/>
  <c r="X357" i="298"/>
  <c r="X330" i="298"/>
  <c r="X46" i="298"/>
  <c r="L141" i="298"/>
  <c r="X463" i="298"/>
  <c r="X227" i="298"/>
  <c r="X349" i="298"/>
  <c r="X322" i="298"/>
  <c r="X211" i="298"/>
  <c r="X45" i="298"/>
  <c r="Y360" i="298"/>
  <c r="X223" i="298"/>
  <c r="X250" i="298"/>
  <c r="R47" i="298"/>
  <c r="R386" i="298"/>
  <c r="R227" i="298"/>
  <c r="X287" i="298"/>
  <c r="X205" i="298"/>
  <c r="R228" i="298"/>
  <c r="R326" i="298"/>
  <c r="R52" i="298"/>
  <c r="L499" i="298"/>
  <c r="L278" i="298"/>
  <c r="L101" i="298"/>
  <c r="L163" i="298"/>
  <c r="X494" i="298"/>
  <c r="X289" i="298"/>
  <c r="X325" i="298"/>
  <c r="X354" i="298"/>
  <c r="X49" i="298"/>
  <c r="X142" i="298"/>
  <c r="X152" i="298"/>
  <c r="R119" i="298"/>
  <c r="L119" i="298"/>
  <c r="L381" i="298"/>
  <c r="L267" i="298"/>
  <c r="L493" i="298"/>
  <c r="L332" i="298"/>
  <c r="X500" i="298"/>
  <c r="X376" i="298"/>
  <c r="X221" i="298"/>
  <c r="X77" i="298"/>
  <c r="R439" i="298"/>
  <c r="L194" i="298"/>
  <c r="L136" i="298"/>
  <c r="L494" i="298"/>
  <c r="L169" i="298"/>
  <c r="L99" i="298"/>
  <c r="R194" i="298"/>
  <c r="X490" i="298"/>
  <c r="X478" i="298"/>
  <c r="X124" i="298"/>
  <c r="X381" i="298"/>
  <c r="X169" i="298"/>
  <c r="X136" i="298"/>
  <c r="R414" i="298"/>
  <c r="L354" i="298"/>
  <c r="L449" i="298"/>
  <c r="L289" i="298"/>
  <c r="L419" i="298"/>
  <c r="L195" i="298"/>
  <c r="L490" i="298"/>
  <c r="X466" i="298"/>
  <c r="X327" i="298"/>
  <c r="X493" i="298"/>
  <c r="X409" i="298"/>
  <c r="X414" i="298"/>
  <c r="X342" i="298"/>
  <c r="X278" i="298"/>
  <c r="R355" i="298"/>
  <c r="L256" i="298"/>
  <c r="L74" i="298"/>
  <c r="L49" i="298"/>
  <c r="X416" i="298"/>
  <c r="X145" i="298"/>
  <c r="X195" i="298"/>
  <c r="X99" i="298"/>
  <c r="X256" i="298"/>
  <c r="X112" i="298"/>
  <c r="X74" i="298"/>
  <c r="R279" i="298"/>
  <c r="R342" i="298"/>
  <c r="R142" i="298"/>
  <c r="L77" i="298"/>
  <c r="L235" i="298"/>
  <c r="L416" i="298"/>
  <c r="X332" i="298"/>
  <c r="X449" i="298"/>
  <c r="X439" i="298"/>
  <c r="X235" i="298"/>
  <c r="X355" i="298"/>
  <c r="X267" i="298"/>
  <c r="X314" i="298"/>
  <c r="R124" i="298"/>
  <c r="R500" i="298"/>
  <c r="L50" i="298"/>
  <c r="L376" i="298"/>
  <c r="L221" i="298"/>
  <c r="L466" i="298"/>
  <c r="L152" i="298"/>
  <c r="L446" i="298"/>
  <c r="X446" i="298"/>
  <c r="X419" i="298"/>
  <c r="X158" i="298"/>
  <c r="X50" i="298"/>
  <c r="S132" i="298"/>
  <c r="S312" i="298"/>
  <c r="Y511" i="298"/>
  <c r="Y334" i="298"/>
  <c r="Y253" i="298"/>
  <c r="X204" i="298"/>
  <c r="X483" i="298"/>
  <c r="X423" i="298"/>
  <c r="X148" i="298"/>
  <c r="X143" i="298"/>
  <c r="X251" i="298"/>
  <c r="R436" i="298"/>
  <c r="R303" i="298"/>
  <c r="M465" i="298"/>
  <c r="L351" i="298"/>
  <c r="L292" i="298"/>
  <c r="S157" i="298"/>
  <c r="S511" i="298"/>
  <c r="S154" i="298"/>
  <c r="S292" i="298"/>
  <c r="S334" i="298"/>
  <c r="S203" i="298"/>
  <c r="S288" i="298"/>
  <c r="Y473" i="298"/>
  <c r="Y347" i="298"/>
  <c r="Y346" i="298"/>
  <c r="Y203" i="298"/>
  <c r="Y157" i="298"/>
  <c r="R425" i="298"/>
  <c r="X303" i="298"/>
  <c r="X468" i="298"/>
  <c r="X425" i="298"/>
  <c r="X120" i="298"/>
  <c r="X85" i="298"/>
  <c r="X58" i="298"/>
  <c r="L160" i="298"/>
  <c r="M102" i="298"/>
  <c r="M312" i="298"/>
  <c r="L54" i="298"/>
  <c r="L333" i="298"/>
  <c r="L368" i="298"/>
  <c r="L470" i="298"/>
  <c r="L275" i="298"/>
  <c r="L305" i="298"/>
  <c r="S134" i="298"/>
  <c r="S101" i="298"/>
  <c r="X450" i="298"/>
  <c r="X436" i="298"/>
  <c r="X305" i="298"/>
  <c r="X371" i="298"/>
  <c r="X368" i="298"/>
  <c r="X333" i="298"/>
  <c r="X306" i="298"/>
  <c r="X54" i="298"/>
  <c r="L392" i="298"/>
  <c r="L357" i="298"/>
  <c r="L203" i="298"/>
  <c r="L237" i="298"/>
  <c r="L143" i="298"/>
  <c r="L401" i="298"/>
  <c r="S290" i="298"/>
  <c r="S468" i="298"/>
  <c r="S251" i="298"/>
  <c r="S272" i="298"/>
  <c r="S82" i="298"/>
  <c r="R358" i="298"/>
  <c r="Y455" i="298"/>
  <c r="Y289" i="298"/>
  <c r="Y468" i="298"/>
  <c r="Y233" i="298"/>
  <c r="Y251" i="298"/>
  <c r="Y83" i="298"/>
  <c r="Y96" i="298"/>
  <c r="Y133" i="298"/>
  <c r="R148" i="298"/>
  <c r="R512" i="298"/>
  <c r="M485" i="298"/>
  <c r="X153" i="298"/>
  <c r="L98" i="298"/>
  <c r="L512" i="298"/>
  <c r="L85" i="298"/>
  <c r="L120" i="298"/>
  <c r="L380" i="298"/>
  <c r="L271" i="298"/>
  <c r="S398" i="298"/>
  <c r="S368" i="298"/>
  <c r="S85" i="298"/>
  <c r="R153" i="298"/>
  <c r="Y156" i="298"/>
  <c r="Y63" i="298"/>
  <c r="R125" i="298"/>
  <c r="X271" i="298"/>
  <c r="X308" i="298"/>
  <c r="X275" i="298"/>
  <c r="X38" i="298"/>
  <c r="X139" i="298"/>
  <c r="X160" i="298"/>
  <c r="R330" i="298"/>
  <c r="L306" i="298"/>
  <c r="L477" i="298"/>
  <c r="S491" i="298"/>
  <c r="S133" i="298"/>
  <c r="S481" i="298"/>
  <c r="S102" i="298"/>
  <c r="S309" i="298"/>
  <c r="S346" i="298"/>
  <c r="S156" i="298"/>
  <c r="S347" i="298"/>
  <c r="S96" i="298"/>
  <c r="S63" i="298"/>
  <c r="R468" i="298"/>
  <c r="X292" i="298"/>
  <c r="X477" i="298"/>
  <c r="X380" i="298"/>
  <c r="L483" i="298"/>
  <c r="L450" i="298"/>
  <c r="L38" i="298"/>
  <c r="L272" i="298"/>
  <c r="L371" i="298"/>
  <c r="S253" i="298"/>
  <c r="S83" i="298"/>
  <c r="S271" i="298"/>
  <c r="S436" i="298"/>
  <c r="S473" i="298"/>
  <c r="S233" i="298"/>
  <c r="Y292" i="298"/>
  <c r="Y481" i="298"/>
  <c r="Y436" i="298"/>
  <c r="Y491" i="298"/>
  <c r="Y374" i="298"/>
  <c r="Y416" i="298"/>
  <c r="Y309" i="298"/>
  <c r="Y132" i="298"/>
  <c r="Y154" i="298"/>
  <c r="Y82" i="298"/>
  <c r="X401" i="298"/>
  <c r="X358" i="298"/>
  <c r="X272" i="298"/>
  <c r="X193" i="298"/>
  <c r="X203" i="298"/>
  <c r="X237" i="298"/>
  <c r="X210" i="298"/>
  <c r="R479" i="298"/>
  <c r="L479" i="298"/>
  <c r="Y488" i="298"/>
  <c r="Y398" i="298"/>
  <c r="Y368" i="298"/>
  <c r="Y272" i="298"/>
  <c r="Y101" i="298"/>
  <c r="Y250" i="298"/>
  <c r="Y247" i="298"/>
  <c r="Y214" i="298"/>
  <c r="Y215" i="298"/>
  <c r="X123" i="298"/>
  <c r="Y310" i="298"/>
  <c r="S262" i="298"/>
  <c r="Y262" i="298"/>
  <c r="S310" i="298"/>
  <c r="M501" i="298"/>
  <c r="S501" i="298"/>
  <c r="Y501" i="298"/>
  <c r="M506" i="298"/>
  <c r="Y506" i="298"/>
  <c r="S506" i="298"/>
  <c r="Y394" i="298"/>
  <c r="S394" i="298"/>
  <c r="M394" i="298"/>
  <c r="M490" i="298"/>
  <c r="S490" i="298"/>
  <c r="Y490" i="298"/>
  <c r="M437" i="298"/>
  <c r="S437" i="298"/>
  <c r="Y437" i="298"/>
  <c r="M77" i="298"/>
  <c r="S77" i="298"/>
  <c r="Y77" i="298"/>
  <c r="M333" i="298"/>
  <c r="Y333" i="298"/>
  <c r="S333" i="298"/>
  <c r="M246" i="298"/>
  <c r="Y246" i="298"/>
  <c r="S246" i="298"/>
  <c r="M279" i="298"/>
  <c r="S279" i="298"/>
  <c r="Y279" i="298"/>
  <c r="M264" i="298"/>
  <c r="S264" i="298"/>
  <c r="M316" i="298"/>
  <c r="Y316" i="298"/>
  <c r="S316" i="298"/>
  <c r="M478" i="298"/>
  <c r="S478" i="298"/>
  <c r="Y478" i="298"/>
  <c r="M57" i="298"/>
  <c r="S57" i="298"/>
  <c r="Y57" i="298"/>
  <c r="M313" i="298"/>
  <c r="S313" i="298"/>
  <c r="M226" i="298"/>
  <c r="Y226" i="298"/>
  <c r="S226" i="298"/>
  <c r="M259" i="298"/>
  <c r="S259" i="298"/>
  <c r="Y259" i="298"/>
  <c r="M244" i="298"/>
  <c r="Y244" i="298"/>
  <c r="S244" i="298"/>
  <c r="M515" i="298"/>
  <c r="S515" i="298"/>
  <c r="Y515" i="298"/>
  <c r="M274" i="298"/>
  <c r="S274" i="298"/>
  <c r="Y274" i="298"/>
  <c r="R187" i="298"/>
  <c r="X187" i="298"/>
  <c r="L187" i="298"/>
  <c r="M342" i="298"/>
  <c r="Y342" i="298"/>
  <c r="S342" i="298"/>
  <c r="M104" i="298"/>
  <c r="Y104" i="298"/>
  <c r="S104" i="298"/>
  <c r="R135" i="298"/>
  <c r="X135" i="298"/>
  <c r="L135" i="298"/>
  <c r="M66" i="298"/>
  <c r="Y66" i="298"/>
  <c r="S66" i="298"/>
  <c r="M320" i="298"/>
  <c r="S320" i="298"/>
  <c r="Y320" i="298"/>
  <c r="L126" i="298"/>
  <c r="M119" i="298"/>
  <c r="S119" i="298"/>
  <c r="Y119" i="298"/>
  <c r="M493" i="298"/>
  <c r="S493" i="298"/>
  <c r="Y493" i="298"/>
  <c r="M153" i="298"/>
  <c r="S153" i="298"/>
  <c r="Y153" i="298"/>
  <c r="M400" i="298"/>
  <c r="S400" i="298"/>
  <c r="Y400" i="298"/>
  <c r="Y264" i="298"/>
  <c r="M426" i="298"/>
  <c r="S426" i="298"/>
  <c r="Y426" i="298"/>
  <c r="M86" i="298"/>
  <c r="Y86" i="298"/>
  <c r="S86" i="298"/>
  <c r="M420" i="298"/>
  <c r="S420" i="298"/>
  <c r="Y420" i="298"/>
  <c r="M84" i="298"/>
  <c r="Y84" i="298"/>
  <c r="S84" i="298"/>
  <c r="M314" i="298"/>
  <c r="Y314" i="298"/>
  <c r="S314" i="298"/>
  <c r="Y313" i="298"/>
  <c r="M421" i="298"/>
  <c r="Y421" i="298"/>
  <c r="S421" i="298"/>
  <c r="M173" i="298"/>
  <c r="Y173" i="298"/>
  <c r="M375" i="298"/>
  <c r="Y375" i="298"/>
  <c r="S375" i="298"/>
  <c r="M99" i="298"/>
  <c r="S99" i="298"/>
  <c r="L95" i="298"/>
  <c r="X95" i="298"/>
  <c r="R95" i="298"/>
  <c r="M109" i="298"/>
  <c r="Y109" i="298"/>
  <c r="M365" i="298"/>
  <c r="S365" i="298"/>
  <c r="M40" i="298"/>
  <c r="Y40" i="298"/>
  <c r="M296" i="298"/>
  <c r="Y296" i="298"/>
  <c r="M414" i="298"/>
  <c r="S414" i="298"/>
  <c r="M345" i="298"/>
  <c r="S345" i="298"/>
  <c r="M291" i="298"/>
  <c r="Y291" i="298"/>
  <c r="M276" i="298"/>
  <c r="Y276" i="298"/>
  <c r="S276" i="298"/>
  <c r="M348" i="298"/>
  <c r="S348" i="298"/>
  <c r="M457" i="298"/>
  <c r="Y457" i="298"/>
  <c r="L140" i="298"/>
  <c r="X140" i="298"/>
  <c r="R140" i="298"/>
  <c r="M466" i="298"/>
  <c r="Y466" i="298"/>
  <c r="S296" i="298"/>
  <c r="Y414" i="298"/>
  <c r="Y326" i="298"/>
  <c r="S466" i="298"/>
  <c r="S457" i="298"/>
  <c r="S40" i="298"/>
  <c r="S55" i="298"/>
  <c r="M87" i="298"/>
  <c r="S87" i="298"/>
  <c r="Y87" i="298"/>
  <c r="M388" i="298"/>
  <c r="S388" i="298"/>
  <c r="Y388" i="298"/>
  <c r="L71" i="298"/>
  <c r="R71" i="298"/>
  <c r="M34" i="298"/>
  <c r="Y34" i="298"/>
  <c r="S34" i="298"/>
  <c r="M72" i="298"/>
  <c r="S72" i="298"/>
  <c r="M315" i="298"/>
  <c r="Y315" i="298"/>
  <c r="S315" i="298"/>
  <c r="M54" i="298"/>
  <c r="Y54" i="298"/>
  <c r="S54" i="298"/>
  <c r="M393" i="298"/>
  <c r="S393" i="298"/>
  <c r="Y393" i="298"/>
  <c r="M410" i="298"/>
  <c r="Y410" i="298"/>
  <c r="S410" i="298"/>
  <c r="M323" i="298"/>
  <c r="Y323" i="298"/>
  <c r="S323" i="298"/>
  <c r="M141" i="298"/>
  <c r="Y141" i="298"/>
  <c r="S141" i="298"/>
  <c r="M370" i="298"/>
  <c r="S370" i="298"/>
  <c r="Y370" i="298"/>
  <c r="M327" i="298"/>
  <c r="Y327" i="298"/>
  <c r="S327" i="298"/>
  <c r="M121" i="298"/>
  <c r="Y121" i="298"/>
  <c r="S121" i="298"/>
  <c r="M358" i="298"/>
  <c r="S358" i="298"/>
  <c r="Y358" i="298"/>
  <c r="M378" i="298"/>
  <c r="S378" i="298"/>
  <c r="Y378" i="298"/>
  <c r="R147" i="298"/>
  <c r="L147" i="298"/>
  <c r="M67" i="298"/>
  <c r="S67" i="298"/>
  <c r="Y67" i="298"/>
  <c r="M52" i="298"/>
  <c r="Y52" i="298"/>
  <c r="S52" i="298"/>
  <c r="M458" i="298"/>
  <c r="S458" i="298"/>
  <c r="Y458" i="298"/>
  <c r="M304" i="298"/>
  <c r="Y304" i="298"/>
  <c r="S304" i="298"/>
  <c r="M442" i="298"/>
  <c r="S442" i="298"/>
  <c r="Y442" i="298"/>
  <c r="M328" i="298"/>
  <c r="S328" i="298"/>
  <c r="M350" i="298"/>
  <c r="S350" i="298"/>
  <c r="Y350" i="298"/>
  <c r="M205" i="298"/>
  <c r="S205" i="298"/>
  <c r="Y205" i="298"/>
  <c r="M118" i="298"/>
  <c r="Y118" i="298"/>
  <c r="S118" i="298"/>
  <c r="M151" i="298"/>
  <c r="Y151" i="298"/>
  <c r="M136" i="298"/>
  <c r="S136" i="298"/>
  <c r="M407" i="298"/>
  <c r="Y407" i="298"/>
  <c r="M452" i="298"/>
  <c r="S452" i="298"/>
  <c r="Y452" i="298"/>
  <c r="M429" i="298"/>
  <c r="Y429" i="298"/>
  <c r="R199" i="298"/>
  <c r="L199" i="298"/>
  <c r="X199" i="298"/>
  <c r="M185" i="298"/>
  <c r="S185" i="298"/>
  <c r="M98" i="298"/>
  <c r="Y98" i="298"/>
  <c r="M131" i="298"/>
  <c r="S131" i="298"/>
  <c r="M116" i="298"/>
  <c r="Y116" i="298"/>
  <c r="M387" i="298"/>
  <c r="Y387" i="298"/>
  <c r="S387" i="298"/>
  <c r="M432" i="298"/>
  <c r="Y432" i="298"/>
  <c r="S432" i="298"/>
  <c r="R159" i="298"/>
  <c r="L159" i="298"/>
  <c r="X67" i="298"/>
  <c r="X339" i="298"/>
  <c r="X126" i="298"/>
  <c r="X147" i="298"/>
  <c r="X71" i="298"/>
  <c r="S453" i="298"/>
  <c r="Y453" i="298"/>
  <c r="S469" i="298"/>
  <c r="S474" i="298"/>
  <c r="Y474" i="298"/>
  <c r="S405" i="298"/>
  <c r="Y405" i="298"/>
  <c r="S485" i="298"/>
  <c r="Y385" i="298" l="1"/>
  <c r="S385" i="298"/>
  <c r="M385" i="298"/>
  <c r="Y357" i="298"/>
  <c r="S357" i="298"/>
  <c r="M357" i="298"/>
  <c r="Y135" i="298"/>
  <c r="M135" i="298"/>
  <c r="S135" i="298"/>
  <c r="M204" i="298"/>
  <c r="Y204" i="298"/>
  <c r="S204" i="298"/>
  <c r="M278" i="298"/>
  <c r="Y278" i="298"/>
  <c r="S278" i="298"/>
  <c r="M461" i="298"/>
  <c r="S461" i="298"/>
  <c r="Y461" i="298"/>
  <c r="M124" i="298"/>
  <c r="Y124" i="298"/>
  <c r="S124" i="298"/>
  <c r="S69" i="298"/>
  <c r="M69" i="298"/>
  <c r="Y69" i="298"/>
  <c r="Y70" i="298"/>
  <c r="S70" i="298"/>
  <c r="M70" i="298"/>
  <c r="S187" i="298"/>
  <c r="Y187" i="298"/>
  <c r="M187" i="298"/>
  <c r="S256" i="298"/>
  <c r="Y256" i="298"/>
  <c r="M256" i="298"/>
  <c r="M404" i="298"/>
  <c r="S404" i="298"/>
  <c r="Y404" i="298"/>
  <c r="M286" i="298"/>
  <c r="Y286" i="298"/>
  <c r="S286" i="298"/>
  <c r="M201" i="298"/>
  <c r="Y201" i="298"/>
  <c r="S201" i="298"/>
  <c r="S202" i="298"/>
  <c r="Y202" i="298"/>
  <c r="M202" i="298"/>
  <c r="Y48" i="298"/>
  <c r="M48" i="298"/>
  <c r="S48" i="298"/>
  <c r="M403" i="298"/>
  <c r="Y403" i="298"/>
  <c r="S403" i="298"/>
  <c r="S340" i="298"/>
  <c r="M340" i="298"/>
  <c r="Y340" i="298"/>
  <c r="M139" i="298"/>
  <c r="S139" i="298"/>
  <c r="Y139" i="298"/>
  <c r="M165" i="298"/>
  <c r="Y165" i="298"/>
  <c r="S165" i="298"/>
  <c r="M166" i="298"/>
  <c r="Y166" i="298"/>
  <c r="S166" i="298"/>
  <c r="M283" i="298"/>
  <c r="Y283" i="298"/>
  <c r="S283" i="298"/>
  <c r="M352" i="298"/>
  <c r="Y352" i="298"/>
  <c r="S352" i="298"/>
  <c r="M500" i="298"/>
  <c r="Y500" i="298"/>
  <c r="S500" i="298"/>
  <c r="M417" i="298"/>
  <c r="Y417" i="298"/>
  <c r="S417" i="298"/>
  <c r="M341" i="298"/>
  <c r="Y341" i="298"/>
  <c r="S341" i="298"/>
  <c r="M115" i="298"/>
  <c r="S115" i="298"/>
  <c r="Y115" i="298"/>
  <c r="M188" i="298"/>
  <c r="S188" i="298"/>
  <c r="Y188" i="298"/>
  <c r="M339" i="298"/>
  <c r="S339" i="298"/>
  <c r="Y339" i="298"/>
  <c r="M498" i="298"/>
  <c r="Y498" i="298"/>
  <c r="S498" i="298"/>
  <c r="M208" i="298"/>
  <c r="S208" i="298"/>
  <c r="Y208" i="298"/>
  <c r="M49" i="298"/>
  <c r="S49" i="298"/>
  <c r="Y49" i="298"/>
  <c r="M46" i="298"/>
  <c r="S46" i="298"/>
  <c r="Y46" i="298"/>
  <c r="S167" i="298"/>
  <c r="M167" i="298"/>
  <c r="Y167" i="298"/>
  <c r="M236" i="298"/>
  <c r="S236" i="298"/>
  <c r="Y236" i="298"/>
  <c r="M380" i="298"/>
  <c r="Y380" i="298"/>
  <c r="S380" i="298"/>
  <c r="M359" i="298"/>
  <c r="Y359" i="298"/>
  <c r="S359" i="298"/>
  <c r="M222" i="298"/>
  <c r="Y222" i="298"/>
  <c r="S222" i="298"/>
  <c r="M427" i="298"/>
  <c r="Y427" i="298"/>
  <c r="S427" i="298"/>
  <c r="M68" i="298"/>
  <c r="Y68" i="298"/>
  <c r="S68" i="298"/>
  <c r="M480" i="298"/>
  <c r="S480" i="298"/>
  <c r="Y480" i="298"/>
  <c r="M225" i="298"/>
  <c r="S225" i="298"/>
  <c r="Y225" i="298"/>
  <c r="M397" i="298"/>
  <c r="S397" i="298"/>
  <c r="Y397" i="298"/>
  <c r="M55" i="298"/>
  <c r="Y55" i="298"/>
  <c r="M326" i="298"/>
  <c r="S326" i="298"/>
  <c r="X323" i="298"/>
  <c r="L323" i="298"/>
  <c r="R323" i="298"/>
  <c r="M89" i="298"/>
  <c r="S89" i="298"/>
  <c r="Y89" i="298"/>
  <c r="M35" i="298"/>
  <c r="Y35" i="298"/>
  <c r="S35" i="298"/>
  <c r="L3" i="236" l="1"/>
  <c r="K51" i="278" l="1"/>
  <c r="K50" i="278"/>
  <c r="K51" i="277"/>
  <c r="K50" i="277"/>
  <c r="K54" i="277" l="1"/>
  <c r="K53" i="278"/>
  <c r="K54" i="278"/>
  <c r="K52" i="278"/>
  <c r="K53" i="277"/>
  <c r="K52" i="277"/>
  <c r="L7" i="276" l="1"/>
  <c r="L6" i="276"/>
  <c r="L8" i="276" l="1"/>
  <c r="L9" i="276"/>
  <c r="L10" i="276"/>
  <c r="G20" i="276" l="1"/>
  <c r="F20" i="276"/>
  <c r="W61" i="180" a="1"/>
  <c r="U61" i="180" a="1"/>
  <c r="U61" i="180" l="1"/>
  <c r="P63" i="293" s="1" a="1"/>
  <c r="P63" i="293" s="1"/>
  <c r="W61" i="180"/>
  <c r="Q63" i="293" s="1" a="1"/>
  <c r="Q63" i="293" s="1"/>
  <c r="H500" i="252"/>
  <c r="H499" i="252"/>
  <c r="H498" i="252"/>
  <c r="H497" i="252"/>
  <c r="H496" i="252"/>
  <c r="H495" i="252"/>
  <c r="H494" i="252"/>
  <c r="H493" i="252"/>
  <c r="H492" i="252"/>
  <c r="H491" i="252"/>
  <c r="H490" i="252"/>
  <c r="H489" i="252"/>
  <c r="H488" i="252"/>
  <c r="H487" i="252"/>
  <c r="H486" i="252"/>
  <c r="H485" i="252"/>
  <c r="H484" i="252"/>
  <c r="H483" i="252"/>
  <c r="H482" i="252"/>
  <c r="H481" i="252"/>
  <c r="H480" i="252"/>
  <c r="H479" i="252"/>
  <c r="H478" i="252"/>
  <c r="H477" i="252"/>
  <c r="H476" i="252"/>
  <c r="H475" i="252"/>
  <c r="H474" i="252"/>
  <c r="H473" i="252"/>
  <c r="H472" i="252"/>
  <c r="H471" i="252"/>
  <c r="H470" i="252"/>
  <c r="H469" i="252"/>
  <c r="H468" i="252"/>
  <c r="H467" i="252"/>
  <c r="H466" i="252"/>
  <c r="H465" i="252"/>
  <c r="H464" i="252"/>
  <c r="H463" i="252"/>
  <c r="H462" i="252"/>
  <c r="H461" i="252"/>
  <c r="H460" i="252"/>
  <c r="H459" i="252"/>
  <c r="H458" i="252"/>
  <c r="H457" i="252"/>
  <c r="H456" i="252"/>
  <c r="H455" i="252"/>
  <c r="H454" i="252"/>
  <c r="H453" i="252"/>
  <c r="H452" i="252"/>
  <c r="H451" i="252"/>
  <c r="H450" i="252"/>
  <c r="H449" i="252"/>
  <c r="H448" i="252"/>
  <c r="H447" i="252"/>
  <c r="H446" i="252"/>
  <c r="H445" i="252"/>
  <c r="H444" i="252"/>
  <c r="H443" i="252"/>
  <c r="H442" i="252"/>
  <c r="H441" i="252"/>
  <c r="H440" i="252"/>
  <c r="H439" i="252"/>
  <c r="H438" i="252"/>
  <c r="H437" i="252"/>
  <c r="H436" i="252"/>
  <c r="H435" i="252"/>
  <c r="H434" i="252"/>
  <c r="H433" i="252"/>
  <c r="H432" i="252"/>
  <c r="H431" i="252"/>
  <c r="H430" i="252"/>
  <c r="H429" i="252"/>
  <c r="H428" i="252"/>
  <c r="H427" i="252"/>
  <c r="H426" i="252"/>
  <c r="H425" i="252"/>
  <c r="H424" i="252"/>
  <c r="H423" i="252"/>
  <c r="H422" i="252"/>
  <c r="H421" i="252"/>
  <c r="H420" i="252"/>
  <c r="H419" i="252"/>
  <c r="H418" i="252"/>
  <c r="H417" i="252"/>
  <c r="H416" i="252"/>
  <c r="H415" i="252"/>
  <c r="H414" i="252"/>
  <c r="H413" i="252"/>
  <c r="H412" i="252"/>
  <c r="H411" i="252"/>
  <c r="H410" i="252"/>
  <c r="H409" i="252"/>
  <c r="H408" i="252"/>
  <c r="H407" i="252"/>
  <c r="H406" i="252"/>
  <c r="H405" i="252"/>
  <c r="H404" i="252"/>
  <c r="H403" i="252"/>
  <c r="H402" i="252"/>
  <c r="H401" i="252"/>
  <c r="H400" i="252"/>
  <c r="H399" i="252"/>
  <c r="H398" i="252"/>
  <c r="H397" i="252"/>
  <c r="H396" i="252"/>
  <c r="H395" i="252"/>
  <c r="H394" i="252"/>
  <c r="H393" i="252"/>
  <c r="H392" i="252"/>
  <c r="H391" i="252"/>
  <c r="H390" i="252"/>
  <c r="H389" i="252"/>
  <c r="H388" i="252"/>
  <c r="H387" i="252"/>
  <c r="H386" i="252"/>
  <c r="H385" i="252"/>
  <c r="H384" i="252"/>
  <c r="H383" i="252"/>
  <c r="H382" i="252"/>
  <c r="H381" i="252"/>
  <c r="H380" i="252"/>
  <c r="H379" i="252"/>
  <c r="H378" i="252"/>
  <c r="H377" i="252"/>
  <c r="H376" i="252"/>
  <c r="H375" i="252"/>
  <c r="H374" i="252"/>
  <c r="H373" i="252"/>
  <c r="H372" i="252"/>
  <c r="H371" i="252"/>
  <c r="H370" i="252"/>
  <c r="H369" i="252"/>
  <c r="H368" i="252"/>
  <c r="H367" i="252"/>
  <c r="H366" i="252"/>
  <c r="H365" i="252"/>
  <c r="H364" i="252"/>
  <c r="H363" i="252"/>
  <c r="H362" i="252"/>
  <c r="H361" i="252"/>
  <c r="H360" i="252"/>
  <c r="H359" i="252"/>
  <c r="H358" i="252"/>
  <c r="H357" i="252"/>
  <c r="H356" i="252"/>
  <c r="H355" i="252"/>
  <c r="H354" i="252"/>
  <c r="H353" i="252"/>
  <c r="H352" i="252"/>
  <c r="H351" i="252"/>
  <c r="H350" i="252"/>
  <c r="H349" i="252"/>
  <c r="H348" i="252"/>
  <c r="H347" i="252"/>
  <c r="H346" i="252"/>
  <c r="H345" i="252"/>
  <c r="H344" i="252"/>
  <c r="H343" i="252"/>
  <c r="H342" i="252"/>
  <c r="H341" i="252"/>
  <c r="H340" i="252"/>
  <c r="H339" i="252"/>
  <c r="H338" i="252"/>
  <c r="H337" i="252"/>
  <c r="H336" i="252"/>
  <c r="H335" i="252"/>
  <c r="H334" i="252"/>
  <c r="H333" i="252"/>
  <c r="H332" i="252"/>
  <c r="H331" i="252"/>
  <c r="H330" i="252"/>
  <c r="H329" i="252"/>
  <c r="H328" i="252"/>
  <c r="H327" i="252"/>
  <c r="H326" i="252"/>
  <c r="H325" i="252"/>
  <c r="H324" i="252"/>
  <c r="H323" i="252"/>
  <c r="H322" i="252"/>
  <c r="H321" i="252"/>
  <c r="H320" i="252"/>
  <c r="H319" i="252"/>
  <c r="H318" i="252"/>
  <c r="H317" i="252"/>
  <c r="H316" i="252"/>
  <c r="H315" i="252"/>
  <c r="H314" i="252"/>
  <c r="H313" i="252"/>
  <c r="H312" i="252"/>
  <c r="H311" i="252"/>
  <c r="H310" i="252"/>
  <c r="H309" i="252"/>
  <c r="H308" i="252"/>
  <c r="H307" i="252"/>
  <c r="H306" i="252"/>
  <c r="H305" i="252"/>
  <c r="H304" i="252"/>
  <c r="H303" i="252"/>
  <c r="H302" i="252"/>
  <c r="H301" i="252"/>
  <c r="H300" i="252"/>
  <c r="H299" i="252"/>
  <c r="H298" i="252"/>
  <c r="H297" i="252"/>
  <c r="H296" i="252"/>
  <c r="H295" i="252"/>
  <c r="H294" i="252"/>
  <c r="H293" i="252"/>
  <c r="H292" i="252"/>
  <c r="H291" i="252"/>
  <c r="H290" i="252"/>
  <c r="H289" i="252"/>
  <c r="H288" i="252"/>
  <c r="H287" i="252"/>
  <c r="H286" i="252"/>
  <c r="H285" i="252"/>
  <c r="H284" i="252"/>
  <c r="H283" i="252"/>
  <c r="H282" i="252"/>
  <c r="H281" i="252"/>
  <c r="H280" i="252"/>
  <c r="H279" i="252"/>
  <c r="H278" i="252"/>
  <c r="H277" i="252"/>
  <c r="H276" i="252"/>
  <c r="H275" i="252"/>
  <c r="H274" i="252"/>
  <c r="H273" i="252"/>
  <c r="H272" i="252"/>
  <c r="H271" i="252"/>
  <c r="H270" i="252"/>
  <c r="H269" i="252"/>
  <c r="H268" i="252"/>
  <c r="H267" i="252"/>
  <c r="H266" i="252"/>
  <c r="H265" i="252"/>
  <c r="H264" i="252"/>
  <c r="H263" i="252"/>
  <c r="H262" i="252"/>
  <c r="H261" i="252"/>
  <c r="H260" i="252"/>
  <c r="H259" i="252"/>
  <c r="H258" i="252"/>
  <c r="H257" i="252"/>
  <c r="H256" i="252"/>
  <c r="H255" i="252"/>
  <c r="H254" i="252"/>
  <c r="H253" i="252"/>
  <c r="H252" i="252"/>
  <c r="H251" i="252"/>
  <c r="H250" i="252"/>
  <c r="H249" i="252"/>
  <c r="H248" i="252"/>
  <c r="H247" i="252"/>
  <c r="H246" i="252"/>
  <c r="H245" i="252"/>
  <c r="H244" i="252"/>
  <c r="H243" i="252"/>
  <c r="H242" i="252"/>
  <c r="H241" i="252"/>
  <c r="H240" i="252"/>
  <c r="H239" i="252"/>
  <c r="H238" i="252"/>
  <c r="H237" i="252"/>
  <c r="H236" i="252"/>
  <c r="H235" i="252"/>
  <c r="H234" i="252"/>
  <c r="H233" i="252"/>
  <c r="H232" i="252"/>
  <c r="H231" i="252"/>
  <c r="H230" i="252"/>
  <c r="H229" i="252"/>
  <c r="H228" i="252"/>
  <c r="H227" i="252"/>
  <c r="H226" i="252"/>
  <c r="H225" i="252"/>
  <c r="H224" i="252"/>
  <c r="H223" i="252"/>
  <c r="H222" i="252"/>
  <c r="H221" i="252"/>
  <c r="H220" i="252"/>
  <c r="H219" i="252"/>
  <c r="H218" i="252"/>
  <c r="H217" i="252"/>
  <c r="H216" i="252"/>
  <c r="H215" i="252"/>
  <c r="H214" i="252"/>
  <c r="H213" i="252"/>
  <c r="H212" i="252"/>
  <c r="H211" i="252"/>
  <c r="H210" i="252"/>
  <c r="H209" i="252"/>
  <c r="H208" i="252"/>
  <c r="H207" i="252"/>
  <c r="H206" i="252"/>
  <c r="H205" i="252"/>
  <c r="H204" i="252"/>
  <c r="H203" i="252"/>
  <c r="H202" i="252"/>
  <c r="H201" i="252"/>
  <c r="H200" i="252"/>
  <c r="H199" i="252"/>
  <c r="H198" i="252"/>
  <c r="H197" i="252"/>
  <c r="H196" i="252"/>
  <c r="H195" i="252"/>
  <c r="H194" i="252"/>
  <c r="H193" i="252"/>
  <c r="H192" i="252"/>
  <c r="H191" i="252"/>
  <c r="H190" i="252"/>
  <c r="H189" i="252"/>
  <c r="H188" i="252"/>
  <c r="H187" i="252"/>
  <c r="H186" i="252"/>
  <c r="H185" i="252"/>
  <c r="H184" i="252"/>
  <c r="H183" i="252"/>
  <c r="H182" i="252"/>
  <c r="H181" i="252"/>
  <c r="H180" i="252"/>
  <c r="H179" i="252"/>
  <c r="H178" i="252"/>
  <c r="H177" i="252"/>
  <c r="H176" i="252"/>
  <c r="H175" i="252"/>
  <c r="H174" i="252"/>
  <c r="H173" i="252"/>
  <c r="H172" i="252"/>
  <c r="H171" i="252"/>
  <c r="H170" i="252"/>
  <c r="H169" i="252"/>
  <c r="H168" i="252"/>
  <c r="H167" i="252"/>
  <c r="H166" i="252"/>
  <c r="H165" i="252"/>
  <c r="H164" i="252"/>
  <c r="H163" i="252"/>
  <c r="H162" i="252"/>
  <c r="H161" i="252"/>
  <c r="H160" i="252"/>
  <c r="H159" i="252"/>
  <c r="H158" i="252"/>
  <c r="H157" i="252"/>
  <c r="H156" i="252"/>
  <c r="H155" i="252"/>
  <c r="H154" i="252"/>
  <c r="H153" i="252"/>
  <c r="H152" i="252"/>
  <c r="H151" i="252"/>
  <c r="H150" i="252"/>
  <c r="H149" i="252"/>
  <c r="H148" i="252"/>
  <c r="H147" i="252"/>
  <c r="H146" i="252"/>
  <c r="H145" i="252"/>
  <c r="H144" i="252"/>
  <c r="H143" i="252"/>
  <c r="H142" i="252"/>
  <c r="H141" i="252"/>
  <c r="H140" i="252"/>
  <c r="H139" i="252"/>
  <c r="H138" i="252"/>
  <c r="H137" i="252"/>
  <c r="H136" i="252"/>
  <c r="H135" i="252"/>
  <c r="H134" i="252"/>
  <c r="H133" i="252"/>
  <c r="H132" i="252"/>
  <c r="H131" i="252"/>
  <c r="H130" i="252"/>
  <c r="H129" i="252"/>
  <c r="H128" i="252"/>
  <c r="H127" i="252"/>
  <c r="H126" i="252"/>
  <c r="H125" i="252"/>
  <c r="H124" i="252"/>
  <c r="H123" i="252"/>
  <c r="H122" i="252"/>
  <c r="H121" i="252"/>
  <c r="H120" i="252"/>
  <c r="H119" i="252"/>
  <c r="H118" i="252"/>
  <c r="H117" i="252"/>
  <c r="H116" i="252"/>
  <c r="H115" i="252"/>
  <c r="H114" i="252"/>
  <c r="H113" i="252"/>
  <c r="H112" i="252"/>
  <c r="H111" i="252"/>
  <c r="H110" i="252"/>
  <c r="H109" i="252"/>
  <c r="H108" i="252"/>
  <c r="H107" i="252"/>
  <c r="H106" i="252"/>
  <c r="H105" i="252"/>
  <c r="H104" i="252"/>
  <c r="H103" i="252"/>
  <c r="H102" i="252"/>
  <c r="H101" i="252"/>
  <c r="H100" i="252"/>
  <c r="H99" i="252"/>
  <c r="H98" i="252"/>
  <c r="H97" i="252"/>
  <c r="H96" i="252"/>
  <c r="H95" i="252"/>
  <c r="H94" i="252"/>
  <c r="H93" i="252"/>
  <c r="H92" i="252"/>
  <c r="H91" i="252"/>
  <c r="H90" i="252"/>
  <c r="H89" i="252"/>
  <c r="H88" i="252"/>
  <c r="H87" i="252"/>
  <c r="H86" i="252"/>
  <c r="H85" i="252"/>
  <c r="H84" i="252"/>
  <c r="H83" i="252"/>
  <c r="H82" i="252"/>
  <c r="H81" i="252"/>
  <c r="H80" i="252"/>
  <c r="H79" i="252"/>
  <c r="H78" i="252"/>
  <c r="H77" i="252"/>
  <c r="H76" i="252"/>
  <c r="H75" i="252"/>
  <c r="H74" i="252"/>
  <c r="H73" i="252"/>
  <c r="H72" i="252"/>
  <c r="H71" i="252"/>
  <c r="H70" i="252"/>
  <c r="H69" i="252"/>
  <c r="H68" i="252"/>
  <c r="H67" i="252"/>
  <c r="H66" i="252"/>
  <c r="H65" i="252"/>
  <c r="H64" i="252"/>
  <c r="H63" i="252"/>
  <c r="H62" i="252"/>
  <c r="H61" i="252"/>
  <c r="H22" i="252"/>
  <c r="H21" i="252"/>
  <c r="P44" i="278" l="1"/>
  <c r="O44" i="278"/>
  <c r="P43" i="278"/>
  <c r="O43" i="278"/>
  <c r="P40" i="278"/>
  <c r="O40" i="278"/>
  <c r="P39" i="278"/>
  <c r="O39" i="278"/>
  <c r="P36" i="278"/>
  <c r="O36" i="278"/>
  <c r="P35" i="278"/>
  <c r="O35" i="278"/>
  <c r="P32" i="278"/>
  <c r="O32" i="278"/>
  <c r="P31" i="278"/>
  <c r="O31" i="278"/>
  <c r="P28" i="278"/>
  <c r="O28" i="278"/>
  <c r="P27" i="278"/>
  <c r="O27" i="278"/>
  <c r="P24" i="278"/>
  <c r="O24" i="278"/>
  <c r="P23" i="278"/>
  <c r="O23" i="278"/>
  <c r="P20" i="278"/>
  <c r="O20" i="278"/>
  <c r="P19" i="278"/>
  <c r="O19" i="278"/>
  <c r="P16" i="278"/>
  <c r="O16" i="278"/>
  <c r="P15" i="278"/>
  <c r="O15" i="278"/>
  <c r="P11" i="278"/>
  <c r="O11" i="278"/>
  <c r="P10" i="278"/>
  <c r="O10" i="278"/>
  <c r="O44" i="277"/>
  <c r="P44" i="277"/>
  <c r="P43" i="277"/>
  <c r="O43" i="277"/>
  <c r="O40" i="277"/>
  <c r="P40" i="277"/>
  <c r="P39" i="277"/>
  <c r="O39" i="277"/>
  <c r="O36" i="277"/>
  <c r="P36" i="277"/>
  <c r="P35" i="277"/>
  <c r="O35" i="277"/>
  <c r="O32" i="277"/>
  <c r="P32" i="277"/>
  <c r="P31" i="277"/>
  <c r="O31" i="277"/>
  <c r="O28" i="277"/>
  <c r="P28" i="277"/>
  <c r="P27" i="277"/>
  <c r="O27" i="277"/>
  <c r="P23" i="277"/>
  <c r="O24" i="277"/>
  <c r="P24" i="277"/>
  <c r="O23" i="277"/>
  <c r="O20" i="277"/>
  <c r="P20" i="277"/>
  <c r="P19" i="277"/>
  <c r="O19" i="277"/>
  <c r="O16" i="277"/>
  <c r="P16" i="277"/>
  <c r="P15" i="277"/>
  <c r="O15" i="277"/>
  <c r="O11" i="277"/>
  <c r="P11" i="277"/>
  <c r="P10" i="277"/>
  <c r="O10" i="277"/>
  <c r="L6" i="278" l="1"/>
  <c r="L7" i="278"/>
  <c r="L7" i="277"/>
  <c r="L6" i="277"/>
  <c r="H44" i="264" l="1"/>
  <c r="H43" i="264"/>
  <c r="H42" i="264"/>
  <c r="H41" i="264"/>
  <c r="H40" i="264"/>
  <c r="H39" i="264"/>
  <c r="H38" i="264"/>
  <c r="H44" i="263"/>
  <c r="H43" i="263"/>
  <c r="H42" i="263"/>
  <c r="H41" i="263"/>
  <c r="H40" i="263"/>
  <c r="H39" i="263"/>
  <c r="H38" i="263"/>
  <c r="P12" i="260"/>
  <c r="M10" i="260" s="1"/>
  <c r="M11" i="260" s="1"/>
  <c r="P12" i="259"/>
  <c r="M10" i="259" s="1"/>
  <c r="M11" i="259" s="1"/>
  <c r="P12" i="258"/>
  <c r="M10" i="258" s="1"/>
  <c r="M11" i="258" s="1"/>
  <c r="P12" i="256"/>
  <c r="M10" i="256" s="1"/>
  <c r="M11" i="256" s="1"/>
  <c r="P12" i="253"/>
  <c r="M10" i="253" s="1"/>
  <c r="M11" i="253" s="1"/>
  <c r="P12" i="255"/>
  <c r="M10" i="255" s="1"/>
  <c r="M11" i="255" s="1"/>
  <c r="B23" i="233" l="1" a="1"/>
  <c r="B23" i="233" s="1"/>
  <c r="H36" i="264" l="1"/>
  <c r="H28" i="264"/>
  <c r="H35" i="264"/>
  <c r="H34" i="264"/>
  <c r="H33" i="264"/>
  <c r="H31" i="264"/>
  <c r="H32" i="264"/>
  <c r="H30" i="264"/>
  <c r="H37" i="264"/>
  <c r="H29" i="264"/>
  <c r="H44" i="262"/>
  <c r="H36" i="262"/>
  <c r="H28" i="262"/>
  <c r="H43" i="262"/>
  <c r="H35" i="262"/>
  <c r="H27" i="262"/>
  <c r="H42" i="262"/>
  <c r="H34" i="262"/>
  <c r="H41" i="262"/>
  <c r="H33" i="262"/>
  <c r="H31" i="262"/>
  <c r="H40" i="262"/>
  <c r="H32" i="262"/>
  <c r="H39" i="262"/>
  <c r="H38" i="262"/>
  <c r="H30" i="262"/>
  <c r="H37" i="262"/>
  <c r="H29" i="262"/>
  <c r="L6" i="235"/>
  <c r="N4" i="235" s="1"/>
  <c r="B23" i="304" a="1"/>
  <c r="B23" i="304" s="1"/>
  <c r="B23" i="303" l="1" a="1"/>
  <c r="B23" i="303" s="1"/>
  <c r="B23" i="302" a="1"/>
  <c r="B23" i="302" s="1"/>
  <c r="B23" i="301" a="1"/>
  <c r="B23" i="301" s="1"/>
  <c r="L6" i="236"/>
  <c r="N3" i="236" s="1"/>
  <c r="O4" i="236"/>
  <c r="O3" i="236"/>
  <c r="N5" i="235"/>
  <c r="N4" i="236" l="1"/>
  <c r="N5" i="236"/>
  <c r="B23" i="251" l="1" a="1"/>
  <c r="B23" i="251" s="1"/>
  <c r="AF1535" i="2" l="1" a="1"/>
  <c r="AF1535" i="2" s="1"/>
  <c r="AF1536" i="2" a="1"/>
  <c r="AF1536" i="2" s="1"/>
  <c r="AF1539" i="2" a="1"/>
  <c r="AF1539" i="2" s="1"/>
  <c r="AF1537" i="2" a="1"/>
  <c r="AF1537" i="2" s="1"/>
  <c r="AF1538" i="2" a="1"/>
  <c r="AF1538" i="2" s="1"/>
  <c r="B23" i="286" l="1" a="1"/>
  <c r="B23" i="286" s="1"/>
  <c r="B23" i="285" a="1"/>
  <c r="B23" i="285" s="1"/>
  <c r="B23" i="287" a="1"/>
  <c r="B23" i="287" s="1"/>
  <c r="B23" i="284" a="1"/>
  <c r="B23" i="284" s="1"/>
  <c r="B23" i="283" a="1"/>
  <c r="B23" i="283" s="1"/>
  <c r="B23" i="282" a="1"/>
  <c r="B23" i="282" s="1"/>
  <c r="B23" i="281" a="1"/>
  <c r="B23" i="281" s="1"/>
  <c r="B23" i="279" a="1"/>
  <c r="B23" i="279" s="1"/>
  <c r="B23" i="273" a="1"/>
  <c r="B23" i="273" s="1"/>
  <c r="B23" i="272" a="1"/>
  <c r="B23" i="272" s="1"/>
  <c r="B23" i="269" a="1"/>
  <c r="B23" i="269" s="1"/>
  <c r="B23" i="268" a="1"/>
  <c r="B23" i="268" s="1"/>
  <c r="B23" i="267" a="1"/>
  <c r="B23" i="267" s="1"/>
  <c r="B23" i="266" a="1"/>
  <c r="B23" i="266" s="1"/>
  <c r="B23" i="265" a="1"/>
  <c r="B23" i="265" s="1"/>
  <c r="B23" i="250" a="1"/>
  <c r="B23" i="250" s="1"/>
  <c r="B23" i="248" a="1"/>
  <c r="B23" i="248" s="1"/>
  <c r="B23" i="230" a="1"/>
  <c r="B23" i="230" s="1"/>
  <c r="B23" i="245" a="1"/>
  <c r="B23" i="245" s="1"/>
  <c r="B23" i="246" a="1"/>
  <c r="B23" i="246" s="1"/>
  <c r="B23" i="244" a="1"/>
  <c r="B23" i="244" s="1"/>
  <c r="B23" i="231" a="1"/>
  <c r="B23" i="231" s="1"/>
  <c r="B23" i="276" l="1" a="1"/>
  <c r="B23" i="276" s="1"/>
  <c r="P20" i="276" s="1"/>
  <c r="B23" i="278" a="1"/>
  <c r="B23" i="278" s="1"/>
  <c r="B23" i="277" a="1"/>
  <c r="B23" i="277" s="1"/>
  <c r="P18" i="276" l="1"/>
  <c r="O64" i="277"/>
  <c r="O62" i="277"/>
  <c r="O64" i="278"/>
  <c r="O62" i="278"/>
  <c r="B23" i="309" l="1" a="1"/>
  <c r="B23" i="309" s="1"/>
  <c r="B23" i="264" a="1"/>
  <c r="B23" i="264" s="1"/>
  <c r="AF1500" i="2" l="1" a="1"/>
  <c r="AF1500" i="2" s="1"/>
  <c r="AF1501" i="2" a="1"/>
  <c r="AF1501" i="2" s="1"/>
  <c r="B23" i="234" a="1"/>
  <c r="B23" i="234" s="1"/>
  <c r="B23" i="263" a="1"/>
  <c r="B23" i="263" s="1"/>
  <c r="B23" i="271" a="1"/>
  <c r="B23" i="271" s="1"/>
  <c r="B23" i="243" l="1" a="1"/>
  <c r="B23" i="243" s="1"/>
  <c r="B23" i="241" a="1"/>
  <c r="B23" i="241" s="1"/>
  <c r="B23" i="247" l="1" a="1"/>
  <c r="B23" i="247" s="1"/>
  <c r="B23" i="252" a="1"/>
  <c r="B23" i="252" s="1"/>
  <c r="B23" i="232" a="1"/>
  <c r="B23" i="232" s="1"/>
  <c r="B23" i="262" l="1" a="1"/>
  <c r="B23" i="262" s="1"/>
  <c r="B23" i="260" a="1"/>
  <c r="B23" i="260" s="1"/>
  <c r="B23" i="255" l="1" a="1"/>
  <c r="B23" i="255" s="1"/>
  <c r="B23" i="253" a="1"/>
  <c r="B23" i="253" s="1"/>
  <c r="B23" i="236" l="1" a="1"/>
  <c r="B23" i="236" s="1"/>
  <c r="B22" i="237" l="1" a="1"/>
  <c r="B22" i="237" s="1"/>
  <c r="B23" i="256" l="1" a="1"/>
  <c r="B23" i="256" s="1"/>
  <c r="B23" i="258" a="1"/>
  <c r="B23" i="258" s="1"/>
  <c r="B23" i="261" a="1"/>
  <c r="B23" i="261" s="1"/>
  <c r="B23" i="227" a="1"/>
  <c r="B23" i="227" s="1"/>
  <c r="B23" i="220" a="1"/>
  <c r="B23" i="220" s="1"/>
  <c r="B23" i="249" l="1" a="1"/>
  <c r="B23" i="249" s="1"/>
  <c r="B23" i="225" a="1"/>
  <c r="B23" i="225" s="1"/>
  <c r="B23" i="222" a="1"/>
  <c r="B23" i="222" s="1"/>
  <c r="B23" i="259" a="1"/>
  <c r="B23" i="259" s="1"/>
  <c r="B23" i="224" a="1"/>
  <c r="B23" i="224" s="1"/>
  <c r="B23" i="223" a="1"/>
  <c r="B23" i="223" s="1"/>
  <c r="B23" i="254" a="1"/>
  <c r="B23" i="254" s="1"/>
  <c r="B23" i="196" a="1"/>
  <c r="B23" i="196" s="1"/>
  <c r="B23" i="226" a="1"/>
  <c r="B23" i="226" s="1"/>
  <c r="E23" i="309" l="1" a="1"/>
  <c r="E23" i="309" s="1"/>
  <c r="F23" i="309" a="1"/>
  <c r="F23" i="309" s="1"/>
  <c r="C23" i="309" a="1"/>
  <c r="C23" i="309" s="1"/>
  <c r="G23" i="309" a="1"/>
  <c r="G23" i="309" s="1"/>
  <c r="D23" i="309" a="1"/>
  <c r="D23" i="309" s="1"/>
  <c r="E23" i="251" a="1"/>
  <c r="E23" i="251" s="1"/>
  <c r="E19" i="251" s="1"/>
  <c r="F23" i="233" a="1"/>
  <c r="F23" i="233" s="1"/>
  <c r="F23" i="251" a="1"/>
  <c r="F23" i="251" s="1"/>
  <c r="D23" i="233" a="1"/>
  <c r="D23" i="233" s="1"/>
  <c r="C23" i="251" a="1"/>
  <c r="C23" i="251" s="1"/>
  <c r="C23" i="233" a="1"/>
  <c r="C23" i="233" s="1"/>
  <c r="E23" i="233" a="1"/>
  <c r="E23" i="233" s="1"/>
  <c r="D23" i="251" a="1"/>
  <c r="G23" i="233" a="1"/>
  <c r="G23" i="233" s="1"/>
  <c r="G23" i="251" a="1"/>
  <c r="G23" i="251" s="1"/>
  <c r="D23" i="232" a="1"/>
  <c r="D23" i="232" s="1"/>
  <c r="B23" i="221" a="1"/>
  <c r="B23" i="221" s="1"/>
  <c r="C23" i="249" a="1"/>
  <c r="C23" i="249" s="1"/>
  <c r="E23" i="232" a="1"/>
  <c r="E23" i="232" s="1"/>
  <c r="G23" i="232" a="1"/>
  <c r="G23" i="232" s="1"/>
  <c r="C23" i="232" a="1"/>
  <c r="C23" i="232" s="1"/>
  <c r="F23" i="232" a="1"/>
  <c r="F23" i="232" s="1"/>
  <c r="G23" i="249" a="1"/>
  <c r="G23" i="249" s="1"/>
  <c r="F23" i="249" a="1"/>
  <c r="F23" i="249" s="1"/>
  <c r="D23" i="249" a="1"/>
  <c r="D23" i="249" s="1"/>
  <c r="E23" i="249" a="1"/>
  <c r="E23" i="249" s="1"/>
  <c r="F17" i="309" l="1" a="1"/>
  <c r="F17" i="309" s="1"/>
  <c r="D17" i="309" a="1"/>
  <c r="D17" i="309" s="1"/>
  <c r="G20" i="309"/>
  <c r="G19" i="309"/>
  <c r="G18" i="309"/>
  <c r="F19" i="309"/>
  <c r="F18" i="309"/>
  <c r="F20" i="309"/>
  <c r="E18" i="309"/>
  <c r="E20" i="309"/>
  <c r="E19" i="309"/>
  <c r="D20" i="309"/>
  <c r="D19" i="309"/>
  <c r="D18" i="309"/>
  <c r="E18" i="251"/>
  <c r="E20" i="251"/>
  <c r="D17" i="233" a="1"/>
  <c r="D17" i="233" s="1"/>
  <c r="F17" i="233" a="1"/>
  <c r="F17" i="233" s="1"/>
  <c r="F18" i="251"/>
  <c r="F19" i="251"/>
  <c r="F20" i="251"/>
  <c r="F20" i="233"/>
  <c r="F18" i="233"/>
  <c r="F19" i="233"/>
  <c r="G19" i="233"/>
  <c r="G18" i="233"/>
  <c r="G20" i="233"/>
  <c r="F17" i="251" a="1"/>
  <c r="F17" i="251" s="1"/>
  <c r="D17" i="251" a="1"/>
  <c r="D17" i="251" s="1"/>
  <c r="G18" i="251"/>
  <c r="G19" i="251"/>
  <c r="G20" i="251"/>
  <c r="D19" i="233"/>
  <c r="D18" i="233"/>
  <c r="D20" i="233"/>
  <c r="E20" i="233"/>
  <c r="E18" i="233"/>
  <c r="E19" i="233"/>
  <c r="H72" i="251"/>
  <c r="H43" i="251"/>
  <c r="H55" i="251"/>
  <c r="H47" i="251"/>
  <c r="H26" i="251"/>
  <c r="H70" i="251"/>
  <c r="H60" i="251"/>
  <c r="H36" i="251"/>
  <c r="H44" i="251"/>
  <c r="H29" i="251"/>
  <c r="H66" i="251"/>
  <c r="H52" i="251"/>
  <c r="H39" i="251"/>
  <c r="H56" i="251"/>
  <c r="H50" i="251"/>
  <c r="H32" i="251"/>
  <c r="H38" i="251"/>
  <c r="H58" i="251"/>
  <c r="H62" i="251"/>
  <c r="H46" i="251"/>
  <c r="H63" i="251"/>
  <c r="H27" i="251"/>
  <c r="H68" i="251"/>
  <c r="H31" i="251"/>
  <c r="H28" i="251"/>
  <c r="H71" i="251"/>
  <c r="H41" i="251"/>
  <c r="H74" i="251"/>
  <c r="D23" i="251"/>
  <c r="H45" i="251"/>
  <c r="H54" i="251"/>
  <c r="H53" i="251"/>
  <c r="H42" i="251"/>
  <c r="H57" i="251"/>
  <c r="H51" i="251"/>
  <c r="H24" i="251"/>
  <c r="H64" i="251"/>
  <c r="H61" i="251"/>
  <c r="H65" i="251"/>
  <c r="H49" i="251"/>
  <c r="H35" i="251"/>
  <c r="H34" i="251"/>
  <c r="H67" i="251"/>
  <c r="H37" i="251"/>
  <c r="H48" i="251"/>
  <c r="H69" i="251"/>
  <c r="H30" i="251"/>
  <c r="H40" i="251"/>
  <c r="H59" i="251"/>
  <c r="H73" i="251"/>
  <c r="H25" i="251"/>
  <c r="H33" i="251"/>
  <c r="C23" i="221" a="1"/>
  <c r="C23" i="221" s="1"/>
  <c r="G23" i="221" a="1"/>
  <c r="G23" i="221" s="1"/>
  <c r="F23" i="221" a="1"/>
  <c r="F23" i="221" s="1"/>
  <c r="D23" i="221" a="1"/>
  <c r="D23" i="221" s="1"/>
  <c r="D20" i="221" s="1"/>
  <c r="E23" i="221" a="1"/>
  <c r="E23" i="221" s="1"/>
  <c r="D18" i="232"/>
  <c r="D20" i="232"/>
  <c r="D19" i="232"/>
  <c r="F18" i="232"/>
  <c r="F20" i="232"/>
  <c r="F19" i="232"/>
  <c r="F20" i="249"/>
  <c r="F18" i="249"/>
  <c r="F19" i="249"/>
  <c r="E18" i="249"/>
  <c r="E19" i="249"/>
  <c r="E20" i="249"/>
  <c r="E19" i="232"/>
  <c r="E18" i="232"/>
  <c r="E20" i="232"/>
  <c r="D20" i="249"/>
  <c r="D18" i="249"/>
  <c r="D19" i="249"/>
  <c r="G18" i="232"/>
  <c r="G20" i="232"/>
  <c r="G19" i="232"/>
  <c r="G19" i="249"/>
  <c r="G18" i="249"/>
  <c r="G20" i="249"/>
  <c r="D17" i="232" a="1"/>
  <c r="D17" i="232" s="1"/>
  <c r="F17" i="232" a="1"/>
  <c r="F17" i="232" s="1"/>
  <c r="D17" i="249" a="1"/>
  <c r="D17" i="249" s="1"/>
  <c r="F17" i="249" a="1"/>
  <c r="F17" i="249" s="1"/>
  <c r="T44" i="180" a="1"/>
  <c r="T40" i="180" a="1"/>
  <c r="K40" i="180" a="1"/>
  <c r="F40" i="180" a="1"/>
  <c r="O44" i="180" a="1"/>
  <c r="F19" i="180" a="1"/>
  <c r="W44" i="180" a="1"/>
  <c r="V76" i="180" a="1"/>
  <c r="O52" i="180" a="1"/>
  <c r="J76" i="180" a="1"/>
  <c r="F52" i="180" a="1"/>
  <c r="T20" i="180" a="1"/>
  <c r="T19" i="180" a="1"/>
  <c r="J69" i="180" a="1"/>
  <c r="K44" i="180" a="1"/>
  <c r="U47" i="180" a="1"/>
  <c r="T52" i="180" a="1"/>
  <c r="N44" i="180" a="1"/>
  <c r="F74" i="180" a="1"/>
  <c r="I40" i="180" a="1"/>
  <c r="O69" i="180" a="1"/>
  <c r="O74" i="180" a="1"/>
  <c r="I19" i="180" a="1"/>
  <c r="F47" i="180" a="1"/>
  <c r="K76" i="180" a="1"/>
  <c r="P44" i="180" a="1"/>
  <c r="U20" i="180" a="1"/>
  <c r="W20" i="180" a="1"/>
  <c r="T76" i="180" a="1"/>
  <c r="W76" i="180" a="1"/>
  <c r="V74" i="180" a="1"/>
  <c r="V44" i="180" a="1"/>
  <c r="I44" i="180" a="1"/>
  <c r="U44" i="180" a="1"/>
  <c r="J20" i="180" a="1"/>
  <c r="V40" i="180" a="1"/>
  <c r="U52" i="180" a="1"/>
  <c r="F20" i="180" a="1"/>
  <c r="F69" i="180" a="1"/>
  <c r="I20" i="180" a="1"/>
  <c r="V69" i="180" a="1"/>
  <c r="F44" i="180" a="1"/>
  <c r="V52" i="180" a="1"/>
  <c r="U74" i="180" a="1"/>
  <c r="K9" i="180" a="1"/>
  <c r="V20" i="180" a="1"/>
  <c r="K47" i="180" a="1"/>
  <c r="I69" i="180" a="1"/>
  <c r="N20" i="180" a="1"/>
  <c r="K69" i="180" a="1"/>
  <c r="U69" i="180" a="1"/>
  <c r="I47" i="180" a="1"/>
  <c r="T69" i="180" a="1"/>
  <c r="O20" i="180" a="1"/>
  <c r="W69" i="180" a="1"/>
  <c r="W74" i="180" a="1"/>
  <c r="V19" i="180" a="1"/>
  <c r="W47" i="180" a="1"/>
  <c r="J40" i="180" a="1"/>
  <c r="P69" i="180" a="1"/>
  <c r="U19" i="180" a="1"/>
  <c r="J44" i="180" a="1"/>
  <c r="K19" i="180" a="1"/>
  <c r="W40" i="180" a="1"/>
  <c r="T47" i="180" a="1"/>
  <c r="J47" i="180" a="1"/>
  <c r="W19" i="180" a="1"/>
  <c r="N69" i="180" a="1"/>
  <c r="W52" i="180" a="1"/>
  <c r="K20" i="180" a="1"/>
  <c r="J19" i="180" a="1"/>
  <c r="I76" i="180" a="1"/>
  <c r="F76" i="180" a="1"/>
  <c r="V47" i="180" a="1"/>
  <c r="U40" i="180" a="1"/>
  <c r="P20" i="180" a="1"/>
  <c r="T74" i="180" a="1"/>
  <c r="U76" i="180" a="1"/>
  <c r="I20" i="180" l="1"/>
  <c r="O20" i="180"/>
  <c r="N23" i="293" s="1" a="1"/>
  <c r="N23" i="293" s="1"/>
  <c r="N20" i="180"/>
  <c r="F20" i="180"/>
  <c r="K20" i="180"/>
  <c r="J20" i="180"/>
  <c r="J23" i="293" s="1" a="1"/>
  <c r="J23" i="293" s="1"/>
  <c r="P20" i="180"/>
  <c r="T20" i="180"/>
  <c r="U20" i="180"/>
  <c r="P23" i="293" s="1" a="1"/>
  <c r="P23" i="293" s="1"/>
  <c r="V20" i="180"/>
  <c r="W20" i="180"/>
  <c r="Q23" i="293" s="1" a="1"/>
  <c r="Q23" i="293" s="1"/>
  <c r="O69" i="180"/>
  <c r="N71" i="293" s="1" a="1"/>
  <c r="N71" i="293" s="1"/>
  <c r="N69" i="180"/>
  <c r="M71" i="293" s="1" a="1"/>
  <c r="M71" i="293" s="1"/>
  <c r="P44" i="180"/>
  <c r="O46" i="293" s="1" a="1"/>
  <c r="O46" i="293" s="1"/>
  <c r="O44" i="180"/>
  <c r="N46" i="293" s="1" a="1"/>
  <c r="N46" i="293" s="1"/>
  <c r="N44" i="180"/>
  <c r="M46" i="293" s="1" a="1"/>
  <c r="M46" i="293" s="1"/>
  <c r="P69" i="180"/>
  <c r="O71" i="293" s="1" a="1"/>
  <c r="O71" i="293" s="1"/>
  <c r="O74" i="180"/>
  <c r="N76" i="293" s="1" a="1"/>
  <c r="N76" i="293" s="1"/>
  <c r="O52" i="180"/>
  <c r="N54" i="293" s="1" a="1"/>
  <c r="N54" i="293" s="1"/>
  <c r="I69" i="180"/>
  <c r="I71" i="293" s="1" a="1"/>
  <c r="I71" i="293" s="1"/>
  <c r="V69" i="180"/>
  <c r="J69" i="180"/>
  <c r="J71" i="293" s="1" a="1"/>
  <c r="J71" i="293" s="1"/>
  <c r="F69" i="180"/>
  <c r="E71" i="293" s="1"/>
  <c r="F74" i="180"/>
  <c r="E76" i="293" s="1"/>
  <c r="F52" i="180"/>
  <c r="E54" i="293" s="1"/>
  <c r="W52" i="180"/>
  <c r="Q54" i="293" s="1" a="1"/>
  <c r="Q54" i="293" s="1"/>
  <c r="W74" i="180"/>
  <c r="Q76" i="293" s="1" a="1"/>
  <c r="Q76" i="293" s="1"/>
  <c r="T69" i="180"/>
  <c r="V52" i="180"/>
  <c r="V74" i="180"/>
  <c r="U69" i="180"/>
  <c r="P71" i="293" s="1" a="1"/>
  <c r="P71" i="293" s="1"/>
  <c r="U74" i="180"/>
  <c r="P76" i="293" s="1" a="1"/>
  <c r="P76" i="293" s="1"/>
  <c r="U52" i="180"/>
  <c r="P54" i="293" s="1" a="1"/>
  <c r="P54" i="293" s="1"/>
  <c r="K69" i="180"/>
  <c r="K71" i="293" s="1" a="1"/>
  <c r="K71" i="293" s="1"/>
  <c r="W69" i="180"/>
  <c r="Q71" i="293" s="1" a="1"/>
  <c r="Q71" i="293" s="1"/>
  <c r="T74" i="180"/>
  <c r="T52" i="180"/>
  <c r="H16" i="251"/>
  <c r="H17" i="251"/>
  <c r="D19" i="251"/>
  <c r="H23" i="251"/>
  <c r="D20" i="251"/>
  <c r="D18" i="251"/>
  <c r="F19" i="180"/>
  <c r="E22" i="293" s="1"/>
  <c r="F40" i="180"/>
  <c r="E42" i="293" s="1"/>
  <c r="F47" i="180"/>
  <c r="E49" i="293" s="1"/>
  <c r="F76" i="180"/>
  <c r="E78" i="293" s="1"/>
  <c r="W19" i="180"/>
  <c r="Q22" i="293" s="1" a="1"/>
  <c r="Q22" i="293" s="1"/>
  <c r="W40" i="180"/>
  <c r="Q42" i="293" s="1" a="1"/>
  <c r="Q42" i="293" s="1"/>
  <c r="W47" i="180"/>
  <c r="Q49" i="293" s="1" a="1"/>
  <c r="Q49" i="293" s="1"/>
  <c r="W76" i="180"/>
  <c r="Q78" i="293" s="1" a="1"/>
  <c r="Q78" i="293" s="1"/>
  <c r="V19" i="180"/>
  <c r="V40" i="180"/>
  <c r="V47" i="180"/>
  <c r="V76" i="180"/>
  <c r="U19" i="180"/>
  <c r="P22" i="293" s="1" a="1"/>
  <c r="P22" i="293" s="1"/>
  <c r="U40" i="180"/>
  <c r="P42" i="293" s="1" a="1"/>
  <c r="P42" i="293" s="1"/>
  <c r="U47" i="180"/>
  <c r="P49" i="293" s="1" a="1"/>
  <c r="P49" i="293" s="1"/>
  <c r="U76" i="180"/>
  <c r="P78" i="293" s="1" a="1"/>
  <c r="P78" i="293" s="1"/>
  <c r="T19" i="180"/>
  <c r="T40" i="180"/>
  <c r="T47" i="180"/>
  <c r="T76" i="180"/>
  <c r="J19" i="180"/>
  <c r="J22" i="293" s="1" a="1"/>
  <c r="J22" i="293" s="1"/>
  <c r="J40" i="180"/>
  <c r="J42" i="293" s="1" a="1"/>
  <c r="J42" i="293" s="1"/>
  <c r="J47" i="180"/>
  <c r="J49" i="293" s="1" a="1"/>
  <c r="J49" i="293" s="1"/>
  <c r="J76" i="180"/>
  <c r="J78" i="293" s="1" a="1"/>
  <c r="J78" i="293" s="1"/>
  <c r="K19" i="180"/>
  <c r="K22" i="293" s="1" a="1"/>
  <c r="K22" i="293" s="1"/>
  <c r="K40" i="180"/>
  <c r="K42" i="293" s="1" a="1"/>
  <c r="K42" i="293" s="1"/>
  <c r="K47" i="180"/>
  <c r="K49" i="293" s="1" a="1"/>
  <c r="K49" i="293" s="1"/>
  <c r="K76" i="180"/>
  <c r="K78" i="293" s="1" a="1"/>
  <c r="K78" i="293" s="1"/>
  <c r="I19" i="180"/>
  <c r="I22" i="293" s="1" a="1"/>
  <c r="I22" i="293" s="1"/>
  <c r="I40" i="180"/>
  <c r="I42" i="293" s="1" a="1"/>
  <c r="I42" i="293" s="1"/>
  <c r="I47" i="180"/>
  <c r="I49" i="293" s="1" a="1"/>
  <c r="I49" i="293" s="1"/>
  <c r="I76" i="180"/>
  <c r="I78" i="293" s="1" a="1"/>
  <c r="I78" i="293" s="1"/>
  <c r="W44" i="180"/>
  <c r="Q46" i="293" s="1" a="1"/>
  <c r="Q46" i="293" s="1"/>
  <c r="J44" i="180"/>
  <c r="J46" i="293" s="1" a="1"/>
  <c r="J46" i="293" s="1"/>
  <c r="V44" i="180"/>
  <c r="I44" i="180"/>
  <c r="I46" i="293" s="1" a="1"/>
  <c r="I46" i="293" s="1"/>
  <c r="K44" i="180"/>
  <c r="K46" i="293" s="1" a="1"/>
  <c r="K46" i="293" s="1"/>
  <c r="F44" i="180"/>
  <c r="E46" i="293" s="1"/>
  <c r="T44" i="180"/>
  <c r="U44" i="180"/>
  <c r="P46" i="293" s="1" a="1"/>
  <c r="P46" i="293" s="1"/>
  <c r="K9" i="180"/>
  <c r="K12" i="293" s="1" a="1"/>
  <c r="K12" i="293" s="1"/>
  <c r="G23" i="304" a="1"/>
  <c r="G23" i="304" s="1"/>
  <c r="C23" i="304" a="1"/>
  <c r="C23" i="304" s="1"/>
  <c r="F23" i="304" a="1"/>
  <c r="F23" i="304" s="1"/>
  <c r="D23" i="304" a="1"/>
  <c r="D23" i="304" s="1"/>
  <c r="E23" i="304" a="1"/>
  <c r="E23" i="304" s="1"/>
  <c r="D23" i="303" a="1"/>
  <c r="D23" i="303" s="1"/>
  <c r="D23" i="302" a="1"/>
  <c r="D23" i="302" s="1"/>
  <c r="G23" i="303" a="1"/>
  <c r="G23" i="303" s="1"/>
  <c r="C23" i="303" a="1"/>
  <c r="C23" i="303" s="1"/>
  <c r="G23" i="302" a="1"/>
  <c r="G23" i="302" s="1"/>
  <c r="E23" i="302" a="1"/>
  <c r="E23" i="302" s="1"/>
  <c r="F23" i="303" a="1"/>
  <c r="F23" i="303" s="1"/>
  <c r="C23" i="302" a="1"/>
  <c r="C23" i="302" s="1"/>
  <c r="E23" i="303" a="1"/>
  <c r="E23" i="303" s="1"/>
  <c r="F23" i="302" a="1"/>
  <c r="F23" i="302" s="1"/>
  <c r="C23" i="301" a="1"/>
  <c r="C23" i="301" s="1"/>
  <c r="F23" i="301" a="1"/>
  <c r="F23" i="301" s="1"/>
  <c r="E23" i="301" a="1"/>
  <c r="E23" i="301" s="1"/>
  <c r="D23" i="301" a="1"/>
  <c r="D23" i="301" s="1"/>
  <c r="G23" i="301" a="1"/>
  <c r="G23" i="301" s="1"/>
  <c r="G23" i="227" a="1"/>
  <c r="G23" i="227" s="1"/>
  <c r="C23" i="227" a="1"/>
  <c r="C23" i="227" s="1"/>
  <c r="F23" i="227" a="1"/>
  <c r="F23" i="227" s="1"/>
  <c r="E23" i="227" a="1"/>
  <c r="E23" i="227" s="1"/>
  <c r="E18" i="227" s="1"/>
  <c r="D23" i="227" a="1"/>
  <c r="D23" i="227" s="1"/>
  <c r="D18" i="227" s="1"/>
  <c r="E23" i="220" a="1"/>
  <c r="E23" i="220" s="1"/>
  <c r="G23" i="225" a="1"/>
  <c r="G23" i="225" s="1"/>
  <c r="C23" i="222" a="1"/>
  <c r="C23" i="222" s="1"/>
  <c r="E23" i="196" a="1"/>
  <c r="E23" i="196" s="1"/>
  <c r="E19" i="196" s="1"/>
  <c r="D23" i="222" a="1"/>
  <c r="D23" i="222" s="1"/>
  <c r="D23" i="196" a="1"/>
  <c r="D23" i="196" s="1"/>
  <c r="D19" i="196" s="1"/>
  <c r="E23" i="225" a="1"/>
  <c r="E23" i="225" s="1"/>
  <c r="C23" i="220" a="1"/>
  <c r="C23" i="220" s="1"/>
  <c r="D17" i="220" s="1" a="1"/>
  <c r="D17" i="220" s="1"/>
  <c r="F23" i="224" a="1"/>
  <c r="F23" i="224" s="1"/>
  <c r="C23" i="223" a="1"/>
  <c r="C23" i="223" s="1"/>
  <c r="F23" i="220" a="1"/>
  <c r="F23" i="220" s="1"/>
  <c r="G23" i="220" a="1"/>
  <c r="G23" i="220" s="1"/>
  <c r="D23" i="220" a="1"/>
  <c r="D23" i="220" s="1"/>
  <c r="G23" i="224" a="1"/>
  <c r="G23" i="224" s="1"/>
  <c r="E23" i="226" a="1"/>
  <c r="E23" i="226" s="1"/>
  <c r="E18" i="226" s="1"/>
  <c r="F23" i="226" a="1"/>
  <c r="F23" i="226" s="1"/>
  <c r="F23" i="223" a="1"/>
  <c r="F23" i="223" s="1"/>
  <c r="F23" i="225" a="1"/>
  <c r="F23" i="225" s="1"/>
  <c r="F23" i="222" a="1"/>
  <c r="F23" i="222" s="1"/>
  <c r="C23" i="225" a="1"/>
  <c r="C23" i="225" s="1"/>
  <c r="E23" i="224" a="1"/>
  <c r="E23" i="224" s="1"/>
  <c r="F23" i="196" a="1"/>
  <c r="F23" i="196" s="1"/>
  <c r="D23" i="224" a="1"/>
  <c r="D23" i="224" s="1"/>
  <c r="C23" i="224" a="1"/>
  <c r="C23" i="224" s="1"/>
  <c r="G23" i="223" a="1"/>
  <c r="G23" i="223" s="1"/>
  <c r="C23" i="226" a="1"/>
  <c r="C23" i="226" s="1"/>
  <c r="G23" i="226" a="1"/>
  <c r="G23" i="226" s="1"/>
  <c r="G23" i="222" a="1"/>
  <c r="G23" i="222" s="1"/>
  <c r="D23" i="225" a="1"/>
  <c r="D23" i="225" s="1"/>
  <c r="G23" i="196" a="1"/>
  <c r="G23" i="196" s="1"/>
  <c r="E23" i="222" a="1"/>
  <c r="E23" i="222" s="1"/>
  <c r="D23" i="223" a="1"/>
  <c r="D23" i="223" s="1"/>
  <c r="D23" i="226" a="1"/>
  <c r="D23" i="226" s="1"/>
  <c r="D18" i="226" s="1"/>
  <c r="E23" i="223" a="1"/>
  <c r="E23" i="223" s="1"/>
  <c r="E23" i="278" a="1"/>
  <c r="E23" i="278" s="1"/>
  <c r="E23" i="277" a="1"/>
  <c r="E23" i="277" s="1"/>
  <c r="D23" i="277" a="1"/>
  <c r="D23" i="277" s="1"/>
  <c r="D23" i="278" a="1"/>
  <c r="D23" i="278" s="1"/>
  <c r="G23" i="276" a="1"/>
  <c r="G23" i="276" s="1"/>
  <c r="E23" i="287" a="1"/>
  <c r="E23" i="287" s="1"/>
  <c r="F23" i="287" a="1"/>
  <c r="F23" i="287" s="1"/>
  <c r="D23" i="282" a="1"/>
  <c r="D23" i="282" s="1"/>
  <c r="G23" i="285" a="1"/>
  <c r="G23" i="285" s="1"/>
  <c r="G23" i="272" a="1"/>
  <c r="G23" i="272" s="1"/>
  <c r="C23" i="283" a="1"/>
  <c r="C23" i="283" s="1"/>
  <c r="D23" i="271" a="1"/>
  <c r="D23" i="271" s="1"/>
  <c r="F23" i="269" a="1"/>
  <c r="F23" i="269" s="1"/>
  <c r="G23" i="287" a="1"/>
  <c r="G23" i="287" s="1"/>
  <c r="D23" i="273" a="1"/>
  <c r="D23" i="273" s="1"/>
  <c r="F23" i="272" a="1"/>
  <c r="F23" i="272" s="1"/>
  <c r="D23" i="285" a="1"/>
  <c r="D23" i="285" s="1"/>
  <c r="D23" i="276" a="1"/>
  <c r="E23" i="267" a="1"/>
  <c r="E23" i="267" s="1"/>
  <c r="E23" i="286" a="1"/>
  <c r="E23" i="286" s="1"/>
  <c r="E23" i="281" a="1"/>
  <c r="E23" i="281" s="1"/>
  <c r="D23" i="279" a="1"/>
  <c r="D23" i="279" s="1"/>
  <c r="E23" i="284" a="1"/>
  <c r="E23" i="284" s="1"/>
  <c r="E23" i="283" a="1"/>
  <c r="E23" i="283" s="1"/>
  <c r="C23" i="281" a="1"/>
  <c r="C23" i="281" s="1"/>
  <c r="C23" i="271" a="1"/>
  <c r="C23" i="271" s="1"/>
  <c r="G23" i="278" a="1"/>
  <c r="G23" i="278" s="1"/>
  <c r="G21" i="278" s="1"/>
  <c r="D23" i="283" a="1"/>
  <c r="D23" i="283" s="1"/>
  <c r="G23" i="282" a="1"/>
  <c r="G23" i="282" s="1"/>
  <c r="D23" i="286" a="1"/>
  <c r="D23" i="286" s="1"/>
  <c r="F23" i="267" a="1"/>
  <c r="F23" i="267" s="1"/>
  <c r="G23" i="277" a="1"/>
  <c r="G23" i="277" s="1"/>
  <c r="G21" i="277" s="1"/>
  <c r="D23" i="272" a="1"/>
  <c r="D23" i="272" s="1"/>
  <c r="F23" i="282" a="1"/>
  <c r="F23" i="282" s="1"/>
  <c r="F23" i="277" a="1"/>
  <c r="F23" i="277" s="1"/>
  <c r="F21" i="277" s="1"/>
  <c r="G23" i="268" a="1"/>
  <c r="G23" i="268" s="1"/>
  <c r="E23" i="279" a="1"/>
  <c r="E23" i="279" s="1"/>
  <c r="C23" i="276" a="1"/>
  <c r="C23" i="276" s="1"/>
  <c r="F23" i="278" a="1"/>
  <c r="F23" i="278" s="1"/>
  <c r="F21" i="278" s="1"/>
  <c r="C23" i="269" a="1"/>
  <c r="C23" i="269" s="1"/>
  <c r="C23" i="287" a="1"/>
  <c r="C23" i="287" s="1"/>
  <c r="C23" i="278" a="1"/>
  <c r="C23" i="278" s="1"/>
  <c r="C23" i="273" a="1"/>
  <c r="C23" i="273" s="1"/>
  <c r="C23" i="272" a="1"/>
  <c r="C23" i="272" s="1"/>
  <c r="D23" i="287" a="1"/>
  <c r="D23" i="287" s="1"/>
  <c r="C23" i="284" a="1"/>
  <c r="C23" i="284" s="1"/>
  <c r="F23" i="281" a="1"/>
  <c r="F23" i="281" s="1"/>
  <c r="D23" i="284" a="1"/>
  <c r="D23" i="284" s="1"/>
  <c r="G23" i="286" a="1"/>
  <c r="G23" i="286" s="1"/>
  <c r="E23" i="268" a="1"/>
  <c r="E23" i="268" s="1"/>
  <c r="E23" i="272" a="1"/>
  <c r="E23" i="272" s="1"/>
  <c r="E23" i="273" a="1"/>
  <c r="E23" i="273" s="1"/>
  <c r="F23" i="276" a="1"/>
  <c r="F23" i="276" s="1"/>
  <c r="D23" i="269" a="1"/>
  <c r="D23" i="269" s="1"/>
  <c r="F23" i="271" a="1"/>
  <c r="F23" i="271" s="1"/>
  <c r="C23" i="279" a="1"/>
  <c r="C23" i="279" s="1"/>
  <c r="C23" i="277" a="1"/>
  <c r="C23" i="277" s="1"/>
  <c r="G23" i="283" a="1"/>
  <c r="G23" i="283" s="1"/>
  <c r="D23" i="281" a="1"/>
  <c r="D23" i="281" s="1"/>
  <c r="G23" i="273" a="1"/>
  <c r="G23" i="273" s="1"/>
  <c r="G23" i="284" a="1"/>
  <c r="G23" i="284" s="1"/>
  <c r="E23" i="271" a="1"/>
  <c r="E23" i="271" s="1"/>
  <c r="G23" i="281" a="1"/>
  <c r="G23" i="281" s="1"/>
  <c r="G23" i="279" a="1"/>
  <c r="G23" i="279" s="1"/>
  <c r="E23" i="282" a="1"/>
  <c r="E23" i="282" s="1"/>
  <c r="E23" i="269" a="1"/>
  <c r="E23" i="269" s="1"/>
  <c r="F23" i="285" a="1"/>
  <c r="F23" i="285" s="1"/>
  <c r="C23" i="285" a="1"/>
  <c r="C23" i="285" s="1"/>
  <c r="F23" i="284" a="1"/>
  <c r="F23" i="284" s="1"/>
  <c r="G23" i="271" a="1"/>
  <c r="G23" i="271" s="1"/>
  <c r="E23" i="276" a="1"/>
  <c r="F23" i="279" a="1"/>
  <c r="F23" i="279" s="1"/>
  <c r="F23" i="283" a="1"/>
  <c r="F23" i="283" s="1"/>
  <c r="C23" i="282" a="1"/>
  <c r="C23" i="282" s="1"/>
  <c r="C23" i="268" a="1"/>
  <c r="C23" i="268" s="1"/>
  <c r="F23" i="286" a="1"/>
  <c r="F23" i="286" s="1"/>
  <c r="E23" i="285" a="1"/>
  <c r="E23" i="285" s="1"/>
  <c r="G23" i="269" a="1"/>
  <c r="G23" i="269" s="1"/>
  <c r="G23" i="267" a="1"/>
  <c r="G23" i="267" s="1"/>
  <c r="F23" i="268" a="1"/>
  <c r="F23" i="268" s="1"/>
  <c r="D23" i="268" a="1"/>
  <c r="D23" i="268" s="1"/>
  <c r="F23" i="273" a="1"/>
  <c r="F23" i="273" s="1"/>
  <c r="C23" i="267" a="1"/>
  <c r="C23" i="267" s="1"/>
  <c r="C23" i="286" a="1"/>
  <c r="C23" i="286" s="1"/>
  <c r="D23" i="267" a="1"/>
  <c r="D23" i="267" s="1"/>
  <c r="C23" i="261" a="1"/>
  <c r="G23" i="262" a="1"/>
  <c r="G23" i="262" s="1"/>
  <c r="D23" i="255" a="1"/>
  <c r="D23" i="255" s="1"/>
  <c r="D23" i="252" a="1"/>
  <c r="C23" i="260" a="1"/>
  <c r="C23" i="260" s="1"/>
  <c r="E23" i="262" a="1"/>
  <c r="E23" i="262" s="1"/>
  <c r="C23" i="264" a="1"/>
  <c r="F23" i="255" a="1"/>
  <c r="F23" i="255" s="1"/>
  <c r="D23" i="253" a="1"/>
  <c r="D23" i="253" s="1"/>
  <c r="C23" i="266" a="1"/>
  <c r="C23" i="266" s="1"/>
  <c r="E23" i="253" a="1"/>
  <c r="E23" i="253" s="1"/>
  <c r="D23" i="262" a="1"/>
  <c r="D23" i="262" s="1"/>
  <c r="C23" i="255" a="1"/>
  <c r="C23" i="255" s="1"/>
  <c r="E23" i="252" a="1"/>
  <c r="E23" i="252" s="1"/>
  <c r="E23" i="264" a="1"/>
  <c r="E23" i="264" s="1"/>
  <c r="F23" i="263" a="1"/>
  <c r="F23" i="263" s="1"/>
  <c r="G23" i="252" a="1"/>
  <c r="G23" i="252" s="1"/>
  <c r="E23" i="263" a="1"/>
  <c r="E23" i="263" s="1"/>
  <c r="F23" i="265" a="1"/>
  <c r="F23" i="265" s="1"/>
  <c r="F18" i="265" s="1"/>
  <c r="G23" i="255" a="1"/>
  <c r="G23" i="255" s="1"/>
  <c r="E23" i="255" a="1"/>
  <c r="E23" i="255" s="1"/>
  <c r="G23" i="253" a="1"/>
  <c r="G23" i="253" s="1"/>
  <c r="V10" i="253" s="1"/>
  <c r="G23" i="265" a="1"/>
  <c r="G23" i="265" s="1"/>
  <c r="G18" i="265" s="1"/>
  <c r="C23" i="265" a="1"/>
  <c r="C23" i="265" s="1"/>
  <c r="E23" i="265" a="1"/>
  <c r="E23" i="265" s="1"/>
  <c r="E23" i="266" a="1"/>
  <c r="E23" i="266" s="1"/>
  <c r="D23" i="264" a="1"/>
  <c r="D23" i="264" s="1"/>
  <c r="G23" i="264" a="1"/>
  <c r="G23" i="264" s="1"/>
  <c r="C23" i="263" a="1"/>
  <c r="D23" i="263" a="1"/>
  <c r="D23" i="263" s="1"/>
  <c r="F23" i="256" a="1"/>
  <c r="F23" i="256" s="1"/>
  <c r="G23" i="263" a="1"/>
  <c r="G23" i="263" s="1"/>
  <c r="C23" i="258" a="1"/>
  <c r="C23" i="258" s="1"/>
  <c r="G23" i="258" a="1"/>
  <c r="G23" i="258" s="1"/>
  <c r="F23" i="258" a="1"/>
  <c r="F23" i="258" s="1"/>
  <c r="G23" i="266" a="1"/>
  <c r="G23" i="266" s="1"/>
  <c r="G18" i="266" s="1"/>
  <c r="D23" i="265" a="1"/>
  <c r="D23" i="265" s="1"/>
  <c r="F23" i="266" a="1"/>
  <c r="F23" i="266" s="1"/>
  <c r="F18" i="266" s="1"/>
  <c r="F23" i="259" a="1"/>
  <c r="F23" i="259" s="1"/>
  <c r="F23" i="264" a="1"/>
  <c r="F23" i="264" s="1"/>
  <c r="E23" i="259" a="1"/>
  <c r="E23" i="259" s="1"/>
  <c r="T10" i="259" s="1"/>
  <c r="E23" i="256" a="1"/>
  <c r="E23" i="256" s="1"/>
  <c r="G23" i="256" a="1"/>
  <c r="G23" i="256" s="1"/>
  <c r="D23" i="258" a="1"/>
  <c r="D23" i="258" s="1"/>
  <c r="E23" i="258" a="1"/>
  <c r="E23" i="258" s="1"/>
  <c r="C23" i="256" a="1"/>
  <c r="C23" i="256" s="1"/>
  <c r="D23" i="256" a="1"/>
  <c r="D23" i="256" s="1"/>
  <c r="F23" i="254" a="1"/>
  <c r="F23" i="254" s="1"/>
  <c r="C23" i="252" a="1"/>
  <c r="C23" i="252" s="1"/>
  <c r="C23" i="254" a="1"/>
  <c r="C23" i="254" s="1"/>
  <c r="E23" i="254" a="1"/>
  <c r="E23" i="254" s="1"/>
  <c r="D23" i="254" a="1"/>
  <c r="D23" i="254" s="1"/>
  <c r="G23" i="254" a="1"/>
  <c r="G23" i="254" s="1"/>
  <c r="C23" i="253" a="1"/>
  <c r="C23" i="253" s="1"/>
  <c r="D23" i="266" a="1"/>
  <c r="D23" i="266" s="1"/>
  <c r="C23" i="262" a="1"/>
  <c r="F23" i="252" a="1"/>
  <c r="F23" i="252" s="1"/>
  <c r="G23" i="259" a="1"/>
  <c r="G23" i="259" s="1"/>
  <c r="D23" i="259" a="1"/>
  <c r="D23" i="259" s="1"/>
  <c r="C23" i="259" a="1"/>
  <c r="C23" i="259" s="1"/>
  <c r="F23" i="262" a="1"/>
  <c r="F23" i="262" s="1"/>
  <c r="F23" i="253" a="1"/>
  <c r="F23" i="253" s="1"/>
  <c r="B23" i="235" a="1"/>
  <c r="B23" i="235" s="1"/>
  <c r="D23" i="235" s="1" a="1"/>
  <c r="D23" i="235" s="1"/>
  <c r="G23" i="244" a="1"/>
  <c r="G23" i="244" s="1"/>
  <c r="C23" i="244" a="1"/>
  <c r="C23" i="244" s="1"/>
  <c r="C23" i="234" a="1"/>
  <c r="C23" i="234" s="1"/>
  <c r="C23" i="247" a="1"/>
  <c r="C23" i="247" s="1"/>
  <c r="D22" i="237" a="1"/>
  <c r="C23" i="246" a="1"/>
  <c r="C23" i="246" s="1"/>
  <c r="C23" i="243" a="1"/>
  <c r="C23" i="243" s="1"/>
  <c r="E23" i="243" a="1"/>
  <c r="E23" i="243" s="1"/>
  <c r="F23" i="230" a="1"/>
  <c r="F23" i="230" s="1"/>
  <c r="F23" i="234" a="1"/>
  <c r="F23" i="234" s="1"/>
  <c r="C23" i="248" a="1"/>
  <c r="C23" i="248" s="1"/>
  <c r="E23" i="246" a="1"/>
  <c r="E23" i="246" s="1"/>
  <c r="D23" i="247" a="1"/>
  <c r="D23" i="247" s="1"/>
  <c r="D23" i="245" a="1"/>
  <c r="D23" i="245" s="1"/>
  <c r="D23" i="236" a="1"/>
  <c r="C23" i="231" a="1"/>
  <c r="C23" i="231" s="1"/>
  <c r="F23" i="246" a="1"/>
  <c r="F23" i="246" s="1"/>
  <c r="G23" i="245" a="1"/>
  <c r="G23" i="245" s="1"/>
  <c r="E23" i="244" a="1"/>
  <c r="E23" i="244" s="1"/>
  <c r="D23" i="244" a="1"/>
  <c r="D23" i="244" s="1"/>
  <c r="D23" i="248" a="1"/>
  <c r="D23" i="248" s="1"/>
  <c r="F22" i="237" a="1"/>
  <c r="E22" i="237" a="1"/>
  <c r="E23" i="247" a="1"/>
  <c r="E23" i="247" s="1"/>
  <c r="C23" i="245" a="1"/>
  <c r="C23" i="245" s="1"/>
  <c r="G23" i="246" a="1"/>
  <c r="G23" i="246" s="1"/>
  <c r="F23" i="243" a="1"/>
  <c r="F23" i="243" s="1"/>
  <c r="D23" i="241" a="1"/>
  <c r="D23" i="241" s="1"/>
  <c r="D23" i="250" a="1"/>
  <c r="D23" i="250" s="1"/>
  <c r="F23" i="245" a="1"/>
  <c r="F23" i="245" s="1"/>
  <c r="E23" i="248" a="1"/>
  <c r="E23" i="248" s="1"/>
  <c r="G23" i="248" a="1"/>
  <c r="G23" i="248" s="1"/>
  <c r="C23" i="236" a="1"/>
  <c r="C23" i="236" s="1"/>
  <c r="D23" i="231" a="1"/>
  <c r="D23" i="231" s="1"/>
  <c r="E23" i="231" a="1"/>
  <c r="E23" i="231" s="1"/>
  <c r="G23" i="243" a="1"/>
  <c r="G23" i="243" s="1"/>
  <c r="G23" i="231" a="1"/>
  <c r="G23" i="231" s="1"/>
  <c r="G23" i="247" a="1"/>
  <c r="G23" i="247" s="1"/>
  <c r="E23" i="250" a="1"/>
  <c r="E23" i="250" s="1"/>
  <c r="G23" i="236" a="1"/>
  <c r="D23" i="246" a="1"/>
  <c r="D23" i="246" s="1"/>
  <c r="C23" i="250" a="1"/>
  <c r="C23" i="250" s="1"/>
  <c r="E23" i="245" a="1"/>
  <c r="E23" i="245" s="1"/>
  <c r="G23" i="241" a="1"/>
  <c r="G23" i="241" s="1"/>
  <c r="F23" i="231" a="1"/>
  <c r="F23" i="231" s="1"/>
  <c r="C23" i="241" a="1"/>
  <c r="C23" i="241" s="1"/>
  <c r="D23" i="243" a="1"/>
  <c r="D23" i="243" s="1"/>
  <c r="F23" i="250" a="1"/>
  <c r="F23" i="250" s="1"/>
  <c r="C22" i="237" a="1"/>
  <c r="C22" i="237" s="1"/>
  <c r="C23" i="230" a="1"/>
  <c r="C23" i="230" s="1"/>
  <c r="G23" i="230" a="1"/>
  <c r="G23" i="230" s="1"/>
  <c r="G23" i="250" a="1"/>
  <c r="G23" i="250" s="1"/>
  <c r="G23" i="234" a="1"/>
  <c r="G23" i="234" s="1"/>
  <c r="E23" i="236" a="1"/>
  <c r="E23" i="241" a="1"/>
  <c r="E23" i="241" s="1"/>
  <c r="F23" i="236" a="1"/>
  <c r="D23" i="234" a="1"/>
  <c r="D23" i="234" s="1"/>
  <c r="F23" i="241" a="1"/>
  <c r="F23" i="241" s="1"/>
  <c r="F23" i="244" a="1"/>
  <c r="F23" i="244" s="1"/>
  <c r="E23" i="234" a="1"/>
  <c r="E23" i="234" s="1"/>
  <c r="F23" i="248" a="1"/>
  <c r="F23" i="248" s="1"/>
  <c r="F23" i="247" a="1"/>
  <c r="F23" i="247" s="1"/>
  <c r="G22" i="237" a="1"/>
  <c r="E18" i="221"/>
  <c r="E20" i="221"/>
  <c r="E19" i="221"/>
  <c r="D18" i="221"/>
  <c r="D19" i="221"/>
  <c r="F19" i="221"/>
  <c r="F18" i="221"/>
  <c r="F20" i="221"/>
  <c r="G20" i="221"/>
  <c r="G19" i="221"/>
  <c r="G18" i="221"/>
  <c r="F17" i="221" a="1"/>
  <c r="F17" i="221" s="1"/>
  <c r="D17" i="221" a="1"/>
  <c r="D17" i="221" s="1"/>
  <c r="T120" i="180" a="1"/>
  <c r="K74" i="180" a="1"/>
  <c r="V119" i="180" a="1"/>
  <c r="J9" i="180" a="1"/>
  <c r="O76" i="180" a="1"/>
  <c r="F9" i="180" a="1"/>
  <c r="O8" i="180" a="1"/>
  <c r="O40" i="180" a="1"/>
  <c r="T119" i="180" a="1"/>
  <c r="N74" i="180" a="1"/>
  <c r="O47" i="180" a="1"/>
  <c r="O19" i="180" a="1"/>
  <c r="P47" i="180" a="1"/>
  <c r="I74" i="180" a="1"/>
  <c r="N47" i="180" a="1"/>
  <c r="N40" i="180" a="1"/>
  <c r="P76" i="180" a="1"/>
  <c r="V120" i="180" a="1"/>
  <c r="I52" i="180" a="1"/>
  <c r="N52" i="180" a="1"/>
  <c r="I14" i="180" a="1"/>
  <c r="K52" i="180" a="1"/>
  <c r="J74" i="180" a="1"/>
  <c r="P9" i="180" a="1"/>
  <c r="U9" i="180" a="1"/>
  <c r="J8" i="180" a="1"/>
  <c r="N76" i="180" a="1"/>
  <c r="J52" i="180" a="1"/>
  <c r="W9" i="180" a="1"/>
  <c r="P52" i="180" a="1"/>
  <c r="I15" i="180" a="1"/>
  <c r="N19" i="180" a="1"/>
  <c r="T9" i="180" a="1"/>
  <c r="P19" i="180" a="1"/>
  <c r="V9" i="180" a="1"/>
  <c r="O9" i="180" a="1"/>
  <c r="N9" i="180" a="1"/>
  <c r="I9" i="180" a="1"/>
  <c r="P40" i="180" a="1"/>
  <c r="P74" i="180" a="1"/>
  <c r="N14" i="180" a="1"/>
  <c r="N15" i="180" a="1"/>
  <c r="O23" i="293" l="1" a="1"/>
  <c r="O23" i="293" s="1"/>
  <c r="Q20" i="180"/>
  <c r="K23" i="293" a="1"/>
  <c r="K23" i="293" s="1"/>
  <c r="L20" i="180"/>
  <c r="Y20" i="180"/>
  <c r="R23" i="293" s="1" a="1"/>
  <c r="R23" i="293" s="1"/>
  <c r="E23" i="293"/>
  <c r="Z20" i="180"/>
  <c r="S23" i="293" s="1"/>
  <c r="M23" i="293" a="1"/>
  <c r="M23" i="293" s="1"/>
  <c r="R20" i="180"/>
  <c r="L23" i="293" s="1" a="1"/>
  <c r="L23" i="293" s="1"/>
  <c r="I23" i="293" a="1"/>
  <c r="I23" i="293" s="1"/>
  <c r="M20" i="180"/>
  <c r="H23" i="293" s="1" a="1"/>
  <c r="H23" i="293" s="1"/>
  <c r="L9" i="180"/>
  <c r="Z44" i="180"/>
  <c r="S46" i="293" s="1"/>
  <c r="L44" i="180"/>
  <c r="M44" i="180"/>
  <c r="H46" i="293" s="1" a="1"/>
  <c r="H46" i="293" s="1"/>
  <c r="M76" i="180"/>
  <c r="H78" i="293" s="1" a="1"/>
  <c r="H78" i="293" s="1"/>
  <c r="M47" i="180"/>
  <c r="H49" i="293" s="1" a="1"/>
  <c r="H49" i="293" s="1"/>
  <c r="M40" i="180"/>
  <c r="H42" i="293" s="1" a="1"/>
  <c r="H42" i="293" s="1"/>
  <c r="M19" i="180"/>
  <c r="H22" i="293" s="1" a="1"/>
  <c r="H22" i="293" s="1"/>
  <c r="L76" i="180"/>
  <c r="L47" i="180"/>
  <c r="L40" i="180"/>
  <c r="L19" i="180"/>
  <c r="Z76" i="180"/>
  <c r="S78" i="293" s="1"/>
  <c r="Z47" i="180"/>
  <c r="S49" i="293" s="1"/>
  <c r="Z40" i="180"/>
  <c r="S42" i="293" s="1"/>
  <c r="Z19" i="180"/>
  <c r="S22" i="293" s="1"/>
  <c r="L69" i="180"/>
  <c r="M69" i="180"/>
  <c r="H71" i="293" s="1" a="1"/>
  <c r="H71" i="293" s="1"/>
  <c r="Q69" i="180"/>
  <c r="R44" i="180"/>
  <c r="L46" i="293" s="1" a="1"/>
  <c r="L46" i="293" s="1"/>
  <c r="Q44" i="180"/>
  <c r="R69" i="180"/>
  <c r="L71" i="293" s="1" a="1"/>
  <c r="L71" i="293" s="1"/>
  <c r="N74" i="180"/>
  <c r="M76" i="293" s="1" a="1"/>
  <c r="M76" i="293" s="1"/>
  <c r="O40" i="180"/>
  <c r="N42" i="293" s="1" a="1"/>
  <c r="N42" i="293" s="1"/>
  <c r="P76" i="180"/>
  <c r="O78" i="293" s="1" a="1"/>
  <c r="O78" i="293" s="1"/>
  <c r="O9" i="180"/>
  <c r="N12" i="293" s="1" a="1"/>
  <c r="N12" i="293" s="1"/>
  <c r="N15" i="180"/>
  <c r="M18" i="293" s="1" a="1"/>
  <c r="M18" i="293" s="1"/>
  <c r="N52" i="180"/>
  <c r="M54" i="293" s="1" a="1"/>
  <c r="M54" i="293" s="1"/>
  <c r="O19" i="180"/>
  <c r="N22" i="293" s="1" a="1"/>
  <c r="N22" i="293" s="1"/>
  <c r="P47" i="180"/>
  <c r="O49" i="293" s="1" a="1"/>
  <c r="O49" i="293" s="1"/>
  <c r="P74" i="180"/>
  <c r="O76" i="293" s="1" a="1"/>
  <c r="O76" i="293" s="1"/>
  <c r="N76" i="180"/>
  <c r="M78" i="293" s="1" a="1"/>
  <c r="M78" i="293" s="1"/>
  <c r="P40" i="180"/>
  <c r="O42" i="293" s="1" a="1"/>
  <c r="O42" i="293" s="1"/>
  <c r="O8" i="180"/>
  <c r="N11" i="293" s="1" a="1"/>
  <c r="N11" i="293" s="1"/>
  <c r="P52" i="180"/>
  <c r="O54" i="293" s="1" a="1"/>
  <c r="O54" i="293" s="1"/>
  <c r="N47" i="180"/>
  <c r="M49" i="293" s="1" a="1"/>
  <c r="M49" i="293" s="1"/>
  <c r="P19" i="180"/>
  <c r="O22" i="293" s="1" a="1"/>
  <c r="O22" i="293" s="1"/>
  <c r="P9" i="180"/>
  <c r="O12" i="293" s="1" a="1"/>
  <c r="O12" i="293" s="1"/>
  <c r="N14" i="180"/>
  <c r="M17" i="293" s="1" a="1"/>
  <c r="M17" i="293" s="1"/>
  <c r="O76" i="180"/>
  <c r="N78" i="293" s="1" a="1"/>
  <c r="N78" i="293" s="1"/>
  <c r="N40" i="180"/>
  <c r="M42" i="293" s="1" a="1"/>
  <c r="M42" i="293" s="1"/>
  <c r="N9" i="180"/>
  <c r="M12" i="293" s="1" a="1"/>
  <c r="M12" i="293" s="1"/>
  <c r="O47" i="180"/>
  <c r="N49" i="293" s="1" a="1"/>
  <c r="N49" i="293" s="1"/>
  <c r="N19" i="180"/>
  <c r="M22" i="293" s="1" a="1"/>
  <c r="M22" i="293" s="1"/>
  <c r="J52" i="180"/>
  <c r="J54" i="293" s="1" a="1"/>
  <c r="J54" i="293" s="1"/>
  <c r="J74" i="180"/>
  <c r="J76" i="293" s="1" a="1"/>
  <c r="J76" i="293" s="1"/>
  <c r="I52" i="180"/>
  <c r="I54" i="293" s="1" a="1"/>
  <c r="I54" i="293" s="1"/>
  <c r="I74" i="180"/>
  <c r="I76" i="293" s="1" a="1"/>
  <c r="I76" i="293" s="1"/>
  <c r="K52" i="180"/>
  <c r="K54" i="293" s="1" a="1"/>
  <c r="K54" i="293" s="1"/>
  <c r="K74" i="180"/>
  <c r="K76" i="293" s="1" a="1"/>
  <c r="K76" i="293" s="1"/>
  <c r="H19" i="251"/>
  <c r="Z52" i="180"/>
  <c r="S54" i="293" s="1"/>
  <c r="Z74" i="180"/>
  <c r="S76" i="293" s="1"/>
  <c r="Z69" i="180"/>
  <c r="S71" i="293" s="1"/>
  <c r="H18" i="251"/>
  <c r="H20" i="251"/>
  <c r="Y69" i="180"/>
  <c r="R71" i="293" s="1" a="1"/>
  <c r="R71" i="293" s="1"/>
  <c r="Y44" i="180"/>
  <c r="R46" i="293" s="1" a="1"/>
  <c r="R46" i="293" s="1"/>
  <c r="T119" i="180"/>
  <c r="I9" i="180"/>
  <c r="I12" i="293" s="1" a="1"/>
  <c r="I12" i="293" s="1"/>
  <c r="T120" i="180"/>
  <c r="I14" i="180"/>
  <c r="I17" i="293" s="1" a="1"/>
  <c r="I17" i="293" s="1"/>
  <c r="I15" i="180"/>
  <c r="I18" i="293" s="1" a="1"/>
  <c r="I18" i="293" s="1"/>
  <c r="V119" i="180"/>
  <c r="U9" i="180"/>
  <c r="P12" i="293" s="1" a="1"/>
  <c r="P12" i="293" s="1"/>
  <c r="V120" i="180"/>
  <c r="V9" i="180"/>
  <c r="J9" i="180"/>
  <c r="J12" i="293" s="1" a="1"/>
  <c r="J12" i="293" s="1"/>
  <c r="W9" i="180"/>
  <c r="Q12" i="293" s="1" a="1"/>
  <c r="Q12" i="293" s="1"/>
  <c r="F9" i="180"/>
  <c r="E12" i="293" s="1"/>
  <c r="T9" i="180"/>
  <c r="J8" i="180"/>
  <c r="J11" i="293" s="1" a="1"/>
  <c r="J11" i="293" s="1"/>
  <c r="H50" i="252"/>
  <c r="H57" i="252"/>
  <c r="H49" i="252"/>
  <c r="H56" i="252"/>
  <c r="H48" i="252"/>
  <c r="H54" i="252"/>
  <c r="H53" i="252"/>
  <c r="H60" i="252"/>
  <c r="H52" i="252"/>
  <c r="H59" i="252"/>
  <c r="H51" i="252"/>
  <c r="H58" i="252"/>
  <c r="H55" i="252"/>
  <c r="E19" i="304"/>
  <c r="E20" i="304"/>
  <c r="E18" i="304"/>
  <c r="D18" i="304"/>
  <c r="D19" i="304"/>
  <c r="D20" i="304"/>
  <c r="F18" i="304"/>
  <c r="F20" i="304"/>
  <c r="F19" i="304"/>
  <c r="D17" i="304" a="1"/>
  <c r="D17" i="304" s="1"/>
  <c r="F17" i="304" a="1"/>
  <c r="F17" i="304" s="1"/>
  <c r="G19" i="304"/>
  <c r="G20" i="304"/>
  <c r="G18" i="304"/>
  <c r="E18" i="302"/>
  <c r="E20" i="302"/>
  <c r="E19" i="302"/>
  <c r="G19" i="302"/>
  <c r="G20" i="302"/>
  <c r="G18" i="302"/>
  <c r="D17" i="303" a="1"/>
  <c r="D17" i="303" s="1"/>
  <c r="F17" i="303" a="1"/>
  <c r="F17" i="303" s="1"/>
  <c r="F20" i="302"/>
  <c r="F18" i="302"/>
  <c r="F19" i="302"/>
  <c r="G19" i="303"/>
  <c r="G20" i="303"/>
  <c r="G18" i="303"/>
  <c r="E19" i="303"/>
  <c r="E18" i="303"/>
  <c r="E20" i="303"/>
  <c r="D20" i="302"/>
  <c r="D18" i="302"/>
  <c r="D19" i="302"/>
  <c r="D17" i="302" a="1"/>
  <c r="D17" i="302" s="1"/>
  <c r="F17" i="302" a="1"/>
  <c r="F17" i="302" s="1"/>
  <c r="D19" i="303"/>
  <c r="D20" i="303"/>
  <c r="D18" i="303"/>
  <c r="F18" i="303"/>
  <c r="F19" i="303"/>
  <c r="F20" i="303"/>
  <c r="G19" i="301"/>
  <c r="G20" i="301"/>
  <c r="G18" i="301"/>
  <c r="D19" i="301"/>
  <c r="D20" i="301"/>
  <c r="D18" i="301"/>
  <c r="E18" i="301"/>
  <c r="E20" i="301"/>
  <c r="E19" i="301"/>
  <c r="F19" i="301"/>
  <c r="F18" i="301"/>
  <c r="F20" i="301"/>
  <c r="F17" i="301" a="1"/>
  <c r="F17" i="301" s="1"/>
  <c r="D17" i="301" a="1"/>
  <c r="D17" i="301" s="1"/>
  <c r="D20" i="227"/>
  <c r="D19" i="227"/>
  <c r="E19" i="227"/>
  <c r="E20" i="227"/>
  <c r="F19" i="227"/>
  <c r="F18" i="227"/>
  <c r="F20" i="227"/>
  <c r="F17" i="227" a="1"/>
  <c r="F17" i="227" s="1"/>
  <c r="D17" i="227" a="1"/>
  <c r="D17" i="227" s="1"/>
  <c r="G20" i="227"/>
  <c r="G19" i="227"/>
  <c r="G18" i="227"/>
  <c r="H25" i="262"/>
  <c r="H26" i="262"/>
  <c r="G19" i="223"/>
  <c r="G18" i="223"/>
  <c r="G20" i="223"/>
  <c r="D19" i="223"/>
  <c r="D20" i="223"/>
  <c r="D18" i="223"/>
  <c r="D17" i="224" a="1"/>
  <c r="D17" i="224" s="1"/>
  <c r="F17" i="224" a="1"/>
  <c r="F17" i="224" s="1"/>
  <c r="F20" i="226"/>
  <c r="F19" i="226"/>
  <c r="F18" i="226"/>
  <c r="F17" i="220" a="1"/>
  <c r="F17" i="220" s="1"/>
  <c r="E19" i="222"/>
  <c r="E20" i="222"/>
  <c r="E18" i="222"/>
  <c r="D18" i="224"/>
  <c r="D19" i="224"/>
  <c r="D20" i="224"/>
  <c r="E20" i="226"/>
  <c r="E19" i="226"/>
  <c r="E19" i="225"/>
  <c r="E20" i="225"/>
  <c r="G18" i="196"/>
  <c r="G19" i="196"/>
  <c r="G20" i="196"/>
  <c r="F19" i="196"/>
  <c r="F18" i="196"/>
  <c r="F20" i="196"/>
  <c r="G18" i="224"/>
  <c r="G20" i="224"/>
  <c r="G19" i="224"/>
  <c r="D19" i="225"/>
  <c r="D20" i="225"/>
  <c r="E20" i="224"/>
  <c r="E18" i="224"/>
  <c r="E19" i="224"/>
  <c r="D20" i="220"/>
  <c r="D18" i="220"/>
  <c r="D19" i="220"/>
  <c r="D19" i="222"/>
  <c r="D20" i="222"/>
  <c r="D18" i="222"/>
  <c r="G18" i="222"/>
  <c r="G19" i="222"/>
  <c r="G20" i="222"/>
  <c r="D17" i="225" a="1"/>
  <c r="D17" i="225" s="1"/>
  <c r="F17" i="225" a="1"/>
  <c r="F17" i="225" s="1"/>
  <c r="G19" i="220"/>
  <c r="G20" i="220"/>
  <c r="G18" i="220"/>
  <c r="E20" i="196"/>
  <c r="E18" i="196"/>
  <c r="D17" i="222" a="1"/>
  <c r="D17" i="222" s="1"/>
  <c r="F17" i="222" a="1"/>
  <c r="F17" i="222" s="1"/>
  <c r="G18" i="226"/>
  <c r="G20" i="226"/>
  <c r="G19" i="226"/>
  <c r="F19" i="222"/>
  <c r="F18" i="222"/>
  <c r="F20" i="222"/>
  <c r="F20" i="220"/>
  <c r="F18" i="220"/>
  <c r="F19" i="220"/>
  <c r="E19" i="223"/>
  <c r="E20" i="223"/>
  <c r="E18" i="223"/>
  <c r="F17" i="226" a="1"/>
  <c r="F17" i="226" s="1"/>
  <c r="D17" i="226" a="1"/>
  <c r="D17" i="226" s="1"/>
  <c r="F19" i="225"/>
  <c r="F20" i="225"/>
  <c r="F18" i="225"/>
  <c r="F17" i="223" a="1"/>
  <c r="F17" i="223" s="1"/>
  <c r="D17" i="223" a="1"/>
  <c r="D17" i="223" s="1"/>
  <c r="G19" i="225"/>
  <c r="G20" i="225"/>
  <c r="G18" i="225"/>
  <c r="D20" i="226"/>
  <c r="D19" i="226"/>
  <c r="F20" i="223"/>
  <c r="F18" i="223"/>
  <c r="F19" i="223"/>
  <c r="F20" i="224"/>
  <c r="F18" i="224"/>
  <c r="F19" i="224"/>
  <c r="E20" i="220"/>
  <c r="E19" i="220"/>
  <c r="E18" i="220"/>
  <c r="D21" i="278"/>
  <c r="M62" i="278"/>
  <c r="K57" i="278" s="1"/>
  <c r="M64" i="278"/>
  <c r="K59" i="278" s="1"/>
  <c r="D21" i="277"/>
  <c r="M64" i="277"/>
  <c r="K59" i="277" s="1"/>
  <c r="M62" i="277"/>
  <c r="K57" i="277" s="1"/>
  <c r="E21" i="277"/>
  <c r="O63" i="277"/>
  <c r="N64" i="277"/>
  <c r="L59" i="277" s="1"/>
  <c r="N62" i="277"/>
  <c r="N62" i="278"/>
  <c r="L57" i="278" s="1"/>
  <c r="N64" i="278"/>
  <c r="L59" i="278" s="1"/>
  <c r="E21" i="278"/>
  <c r="O63" i="278"/>
  <c r="E23" i="276"/>
  <c r="F21" i="276"/>
  <c r="D23" i="276"/>
  <c r="D18" i="276" s="1"/>
  <c r="G21" i="276"/>
  <c r="F19" i="268"/>
  <c r="F18" i="268"/>
  <c r="F20" i="268"/>
  <c r="D20" i="284"/>
  <c r="D19" i="284"/>
  <c r="D18" i="284"/>
  <c r="G19" i="278"/>
  <c r="G18" i="278"/>
  <c r="G20" i="278"/>
  <c r="E20" i="286"/>
  <c r="E19" i="286"/>
  <c r="E18" i="286"/>
  <c r="G20" i="285"/>
  <c r="G18" i="285"/>
  <c r="G19" i="285"/>
  <c r="F17" i="282" a="1"/>
  <c r="F17" i="282" s="1"/>
  <c r="D17" i="282" a="1"/>
  <c r="D17" i="282" s="1"/>
  <c r="F20" i="285"/>
  <c r="F18" i="285"/>
  <c r="F19" i="285"/>
  <c r="G18" i="273"/>
  <c r="G20" i="273"/>
  <c r="G19" i="273"/>
  <c r="F18" i="271"/>
  <c r="F20" i="271"/>
  <c r="F19" i="271"/>
  <c r="E19" i="268"/>
  <c r="E18" i="268"/>
  <c r="E20" i="268"/>
  <c r="F17" i="273" a="1"/>
  <c r="F17" i="273" s="1"/>
  <c r="D17" i="273" a="1"/>
  <c r="D17" i="273" s="1"/>
  <c r="F18" i="277"/>
  <c r="F19" i="277"/>
  <c r="G20" i="282"/>
  <c r="G18" i="282"/>
  <c r="G19" i="282"/>
  <c r="D20" i="279"/>
  <c r="D19" i="279"/>
  <c r="D18" i="279"/>
  <c r="F19" i="272"/>
  <c r="F20" i="272"/>
  <c r="F18" i="272"/>
  <c r="F17" i="283" a="1"/>
  <c r="F17" i="283" s="1"/>
  <c r="D17" i="283" a="1"/>
  <c r="D17" i="283" s="1"/>
  <c r="D18" i="268"/>
  <c r="D20" i="268"/>
  <c r="D19" i="268"/>
  <c r="F19" i="283"/>
  <c r="F20" i="283"/>
  <c r="F18" i="283"/>
  <c r="E19" i="269"/>
  <c r="E18" i="269"/>
  <c r="E20" i="269"/>
  <c r="G20" i="286"/>
  <c r="G18" i="286"/>
  <c r="G19" i="286"/>
  <c r="D17" i="278" a="1"/>
  <c r="D17" i="278" s="1"/>
  <c r="F17" i="278" a="1"/>
  <c r="F17" i="278" s="1"/>
  <c r="F19" i="282"/>
  <c r="F20" i="282"/>
  <c r="F18" i="282"/>
  <c r="D20" i="283"/>
  <c r="D19" i="283"/>
  <c r="D18" i="283"/>
  <c r="E19" i="281"/>
  <c r="E20" i="281"/>
  <c r="E18" i="281"/>
  <c r="D18" i="273"/>
  <c r="D19" i="273"/>
  <c r="D20" i="273"/>
  <c r="G20" i="272"/>
  <c r="G18" i="272"/>
  <c r="G19" i="272"/>
  <c r="G19" i="267"/>
  <c r="G20" i="267"/>
  <c r="G18" i="267"/>
  <c r="G20" i="279"/>
  <c r="G19" i="279"/>
  <c r="G18" i="279"/>
  <c r="F19" i="276"/>
  <c r="F18" i="276"/>
  <c r="F17" i="269" a="1"/>
  <c r="F17" i="269" s="1"/>
  <c r="D17" i="269" a="1"/>
  <c r="D17" i="269" s="1"/>
  <c r="G19" i="277"/>
  <c r="G18" i="277"/>
  <c r="F17" i="271" a="1"/>
  <c r="F17" i="271" s="1"/>
  <c r="D17" i="271" a="1"/>
  <c r="D17" i="271" s="1"/>
  <c r="E18" i="267"/>
  <c r="E20" i="267"/>
  <c r="E19" i="267"/>
  <c r="D20" i="282"/>
  <c r="D18" i="282"/>
  <c r="D19" i="282"/>
  <c r="E20" i="282"/>
  <c r="E18" i="282"/>
  <c r="E19" i="282"/>
  <c r="D19" i="281"/>
  <c r="D20" i="281"/>
  <c r="D18" i="281"/>
  <c r="D19" i="272"/>
  <c r="D20" i="272"/>
  <c r="D18" i="272"/>
  <c r="D20" i="267"/>
  <c r="D19" i="267"/>
  <c r="D18" i="267"/>
  <c r="G18" i="269"/>
  <c r="G19" i="269"/>
  <c r="G20" i="269"/>
  <c r="G18" i="271"/>
  <c r="G20" i="271"/>
  <c r="G19" i="271"/>
  <c r="G20" i="281"/>
  <c r="G18" i="281"/>
  <c r="G19" i="281"/>
  <c r="G19" i="283"/>
  <c r="G20" i="283"/>
  <c r="G18" i="283"/>
  <c r="F18" i="281"/>
  <c r="F19" i="281"/>
  <c r="F20" i="281"/>
  <c r="F18" i="278"/>
  <c r="F20" i="278"/>
  <c r="F19" i="278"/>
  <c r="F20" i="267"/>
  <c r="F18" i="267"/>
  <c r="F19" i="267"/>
  <c r="E19" i="277"/>
  <c r="E18" i="277"/>
  <c r="F19" i="269"/>
  <c r="F20" i="269"/>
  <c r="F18" i="269"/>
  <c r="F17" i="286" a="1"/>
  <c r="F17" i="286" s="1"/>
  <c r="D17" i="286" a="1"/>
  <c r="D17" i="286" s="1"/>
  <c r="E20" i="285"/>
  <c r="E18" i="285"/>
  <c r="E19" i="285"/>
  <c r="F18" i="284"/>
  <c r="F20" i="284"/>
  <c r="F19" i="284"/>
  <c r="E19" i="278"/>
  <c r="E18" i="278"/>
  <c r="D17" i="277" a="1"/>
  <c r="D17" i="277" s="1"/>
  <c r="F17" i="277" a="1"/>
  <c r="F17" i="277" s="1"/>
  <c r="D17" i="284" a="1"/>
  <c r="D17" i="284" s="1"/>
  <c r="F17" i="284" a="1"/>
  <c r="F17" i="284" s="1"/>
  <c r="D17" i="276" a="1"/>
  <c r="D17" i="276" s="1"/>
  <c r="F17" i="276" a="1"/>
  <c r="F17" i="276" s="1"/>
  <c r="D18" i="286"/>
  <c r="D20" i="286"/>
  <c r="D19" i="286"/>
  <c r="D17" i="281" a="1"/>
  <c r="D17" i="281" s="1"/>
  <c r="F17" i="281" a="1"/>
  <c r="F17" i="281" s="1"/>
  <c r="D18" i="271"/>
  <c r="D19" i="271"/>
  <c r="D20" i="271"/>
  <c r="F20" i="287"/>
  <c r="F19" i="287"/>
  <c r="F18" i="287"/>
  <c r="D17" i="267" a="1"/>
  <c r="D17" i="267" s="1"/>
  <c r="F17" i="267" a="1"/>
  <c r="F17" i="267" s="1"/>
  <c r="F20" i="286"/>
  <c r="F18" i="286"/>
  <c r="F19" i="286"/>
  <c r="F17" i="285" a="1"/>
  <c r="F17" i="285" s="1"/>
  <c r="D17" i="285" a="1"/>
  <c r="D17" i="285" s="1"/>
  <c r="E19" i="271"/>
  <c r="E20" i="271"/>
  <c r="E18" i="271"/>
  <c r="F17" i="279" a="1"/>
  <c r="F17" i="279" s="1"/>
  <c r="D17" i="279" a="1"/>
  <c r="D17" i="279" s="1"/>
  <c r="E19" i="273"/>
  <c r="E20" i="273"/>
  <c r="E18" i="273"/>
  <c r="D18" i="287"/>
  <c r="D19" i="287"/>
  <c r="D20" i="287"/>
  <c r="E20" i="279"/>
  <c r="E19" i="279"/>
  <c r="E18" i="279"/>
  <c r="E18" i="283"/>
  <c r="E19" i="283"/>
  <c r="E20" i="283"/>
  <c r="D19" i="277"/>
  <c r="D18" i="277"/>
  <c r="E19" i="287"/>
  <c r="E18" i="287"/>
  <c r="E20" i="287"/>
  <c r="F20" i="279"/>
  <c r="F18" i="279"/>
  <c r="F19" i="279"/>
  <c r="D19" i="269"/>
  <c r="D20" i="269"/>
  <c r="D18" i="269"/>
  <c r="F17" i="287" a="1"/>
  <c r="F17" i="287" s="1"/>
  <c r="D17" i="287" a="1"/>
  <c r="D17" i="287" s="1"/>
  <c r="G20" i="287"/>
  <c r="G19" i="287"/>
  <c r="G18" i="287"/>
  <c r="F18" i="273"/>
  <c r="F19" i="273"/>
  <c r="F20" i="273"/>
  <c r="F17" i="268" a="1"/>
  <c r="F17" i="268" s="1"/>
  <c r="D17" i="268" a="1"/>
  <c r="D17" i="268" s="1"/>
  <c r="G20" i="284"/>
  <c r="G18" i="284"/>
  <c r="G19" i="284"/>
  <c r="D19" i="278"/>
  <c r="D18" i="278"/>
  <c r="E18" i="272"/>
  <c r="E19" i="272"/>
  <c r="E20" i="272"/>
  <c r="D17" i="272" a="1"/>
  <c r="D17" i="272" s="1"/>
  <c r="F17" i="272" a="1"/>
  <c r="F17" i="272" s="1"/>
  <c r="G18" i="268"/>
  <c r="G19" i="268"/>
  <c r="G20" i="268"/>
  <c r="E19" i="284"/>
  <c r="E18" i="284"/>
  <c r="E20" i="284"/>
  <c r="D19" i="285"/>
  <c r="D18" i="285"/>
  <c r="D20" i="285"/>
  <c r="G18" i="276"/>
  <c r="G19" i="276"/>
  <c r="D23" i="252"/>
  <c r="H23" i="252" s="1"/>
  <c r="H44" i="252"/>
  <c r="H36" i="252"/>
  <c r="H28" i="252"/>
  <c r="H43" i="252"/>
  <c r="H35" i="252"/>
  <c r="H27" i="252"/>
  <c r="H42" i="252"/>
  <c r="H34" i="252"/>
  <c r="H26" i="252"/>
  <c r="H41" i="252"/>
  <c r="H33" i="252"/>
  <c r="H25" i="252"/>
  <c r="H37" i="252"/>
  <c r="H40" i="252"/>
  <c r="H32" i="252"/>
  <c r="H24" i="252"/>
  <c r="H47" i="252"/>
  <c r="H39" i="252"/>
  <c r="H31" i="252"/>
  <c r="H29" i="252"/>
  <c r="H46" i="252"/>
  <c r="H38" i="252"/>
  <c r="H30" i="252"/>
  <c r="H45" i="252"/>
  <c r="G20" i="265"/>
  <c r="G19" i="265"/>
  <c r="D20" i="265"/>
  <c r="D19" i="265"/>
  <c r="D18" i="265"/>
  <c r="F17" i="265" a="1"/>
  <c r="F17" i="265" s="1"/>
  <c r="D17" i="265" a="1"/>
  <c r="D17" i="265" s="1"/>
  <c r="F19" i="265"/>
  <c r="F20" i="265"/>
  <c r="E20" i="265"/>
  <c r="E18" i="265"/>
  <c r="E19" i="265"/>
  <c r="H24" i="262"/>
  <c r="C23" i="262"/>
  <c r="F20" i="254"/>
  <c r="F19" i="254"/>
  <c r="F20" i="264"/>
  <c r="F19" i="264"/>
  <c r="G20" i="263"/>
  <c r="G19" i="263"/>
  <c r="F20" i="263"/>
  <c r="F19" i="263"/>
  <c r="U10" i="255"/>
  <c r="U11" i="255"/>
  <c r="F19" i="255"/>
  <c r="F21" i="255"/>
  <c r="D20" i="266"/>
  <c r="D19" i="266"/>
  <c r="D18" i="266"/>
  <c r="S10" i="256"/>
  <c r="S11" i="256"/>
  <c r="D18" i="256"/>
  <c r="D19" i="256"/>
  <c r="D21" i="256"/>
  <c r="U10" i="259"/>
  <c r="U11" i="259"/>
  <c r="F21" i="259"/>
  <c r="F19" i="259"/>
  <c r="U11" i="256"/>
  <c r="U10" i="256"/>
  <c r="F19" i="256"/>
  <c r="F21" i="256"/>
  <c r="E20" i="264"/>
  <c r="E18" i="264"/>
  <c r="E19" i="264"/>
  <c r="H24" i="264"/>
  <c r="H27" i="264"/>
  <c r="H26" i="264"/>
  <c r="C23" i="264"/>
  <c r="H25" i="264"/>
  <c r="F21" i="253"/>
  <c r="U10" i="253"/>
  <c r="U11" i="253"/>
  <c r="F19" i="253"/>
  <c r="H23" i="253" a="1"/>
  <c r="H23" i="253" s="1"/>
  <c r="D17" i="253" a="1"/>
  <c r="D17" i="253" s="1"/>
  <c r="F17" i="253" a="1"/>
  <c r="F17" i="253" s="1"/>
  <c r="H23" i="256" a="1"/>
  <c r="H23" i="256" s="1"/>
  <c r="F17" i="256" a="1"/>
  <c r="F17" i="256" s="1"/>
  <c r="D17" i="256" a="1"/>
  <c r="D17" i="256" s="1"/>
  <c r="F20" i="266"/>
  <c r="F19" i="266"/>
  <c r="D18" i="263"/>
  <c r="D20" i="263"/>
  <c r="D19" i="263"/>
  <c r="G21" i="253"/>
  <c r="V11" i="253"/>
  <c r="G19" i="253"/>
  <c r="E18" i="252"/>
  <c r="E20" i="252"/>
  <c r="E19" i="252"/>
  <c r="E20" i="262"/>
  <c r="E21" i="262"/>
  <c r="E19" i="262"/>
  <c r="E18" i="262"/>
  <c r="F20" i="262"/>
  <c r="F21" i="262"/>
  <c r="F19" i="262"/>
  <c r="G19" i="254"/>
  <c r="G20" i="254"/>
  <c r="T11" i="258"/>
  <c r="T10" i="258"/>
  <c r="E18" i="258"/>
  <c r="E21" i="258"/>
  <c r="E19" i="258"/>
  <c r="H33" i="263"/>
  <c r="H28" i="263"/>
  <c r="H29" i="263"/>
  <c r="H30" i="263"/>
  <c r="C23" i="263"/>
  <c r="H27" i="263"/>
  <c r="H25" i="263"/>
  <c r="H35" i="263"/>
  <c r="H32" i="263"/>
  <c r="H37" i="263"/>
  <c r="H36" i="263"/>
  <c r="H26" i="263"/>
  <c r="H24" i="263"/>
  <c r="H31" i="263"/>
  <c r="H34" i="263"/>
  <c r="E21" i="255"/>
  <c r="T11" i="255"/>
  <c r="T10" i="255"/>
  <c r="E18" i="255"/>
  <c r="E19" i="255"/>
  <c r="H23" i="255" a="1"/>
  <c r="H23" i="255" s="1"/>
  <c r="D17" i="255" a="1"/>
  <c r="D17" i="255" s="1"/>
  <c r="F17" i="255" a="1"/>
  <c r="F17" i="255" s="1"/>
  <c r="H23" i="260" a="1"/>
  <c r="H23" i="260" s="1"/>
  <c r="F17" i="260" a="1"/>
  <c r="F17" i="260" s="1"/>
  <c r="D17" i="260" a="1"/>
  <c r="D17" i="260" s="1"/>
  <c r="H23" i="259" a="1"/>
  <c r="H23" i="259" s="1"/>
  <c r="D17" i="259" a="1"/>
  <c r="D17" i="259" s="1"/>
  <c r="F17" i="259" a="1"/>
  <c r="F17" i="259" s="1"/>
  <c r="D20" i="254"/>
  <c r="D18" i="254"/>
  <c r="D19" i="254"/>
  <c r="S11" i="258"/>
  <c r="S10" i="258"/>
  <c r="D18" i="258"/>
  <c r="D21" i="258"/>
  <c r="D19" i="258"/>
  <c r="G19" i="266"/>
  <c r="G20" i="266"/>
  <c r="G20" i="264"/>
  <c r="G19" i="264"/>
  <c r="V11" i="255"/>
  <c r="V10" i="255"/>
  <c r="G19" i="255"/>
  <c r="G21" i="255"/>
  <c r="D18" i="262"/>
  <c r="D21" i="262"/>
  <c r="D20" i="262"/>
  <c r="D19" i="262"/>
  <c r="S10" i="259"/>
  <c r="S11" i="259"/>
  <c r="D18" i="259"/>
  <c r="D19" i="259"/>
  <c r="D21" i="259"/>
  <c r="E18" i="254"/>
  <c r="E20" i="254"/>
  <c r="E19" i="254"/>
  <c r="V10" i="256"/>
  <c r="V11" i="256"/>
  <c r="G21" i="256"/>
  <c r="G19" i="256"/>
  <c r="U11" i="258"/>
  <c r="U10" i="258"/>
  <c r="F21" i="258"/>
  <c r="F19" i="258"/>
  <c r="D19" i="264"/>
  <c r="D20" i="264"/>
  <c r="D18" i="264"/>
  <c r="E19" i="253"/>
  <c r="T10" i="253"/>
  <c r="T11" i="253"/>
  <c r="E21" i="253"/>
  <c r="E18" i="253"/>
  <c r="S11" i="255"/>
  <c r="S10" i="255"/>
  <c r="D21" i="255"/>
  <c r="D19" i="255"/>
  <c r="D18" i="255"/>
  <c r="V11" i="259"/>
  <c r="V10" i="259"/>
  <c r="G21" i="259"/>
  <c r="G19" i="259"/>
  <c r="H23" i="254" a="1"/>
  <c r="H23" i="254" s="1"/>
  <c r="F17" i="254" a="1"/>
  <c r="F17" i="254" s="1"/>
  <c r="D17" i="254" a="1"/>
  <c r="D17" i="254" s="1"/>
  <c r="T11" i="256"/>
  <c r="T10" i="256"/>
  <c r="E19" i="256"/>
  <c r="E18" i="256"/>
  <c r="E21" i="256"/>
  <c r="V10" i="258"/>
  <c r="V11" i="258"/>
  <c r="G21" i="258"/>
  <c r="G19" i="258"/>
  <c r="E19" i="266"/>
  <c r="E18" i="266"/>
  <c r="E20" i="266"/>
  <c r="E18" i="263"/>
  <c r="E19" i="263"/>
  <c r="E20" i="263"/>
  <c r="F17" i="266" a="1"/>
  <c r="F17" i="266" s="1"/>
  <c r="D17" i="266" a="1"/>
  <c r="D17" i="266" s="1"/>
  <c r="G19" i="262"/>
  <c r="G21" i="262"/>
  <c r="G20" i="262"/>
  <c r="F20" i="252"/>
  <c r="F18" i="252"/>
  <c r="F19" i="252"/>
  <c r="D17" i="252" a="1"/>
  <c r="D17" i="252" s="1"/>
  <c r="F17" i="252" a="1"/>
  <c r="F17" i="252" s="1"/>
  <c r="T11" i="259"/>
  <c r="E19" i="259"/>
  <c r="E18" i="259"/>
  <c r="E21" i="259"/>
  <c r="D17" i="258" a="1"/>
  <c r="D17" i="258" s="1"/>
  <c r="H23" i="258" a="1"/>
  <c r="H23" i="258" s="1"/>
  <c r="F17" i="258" a="1"/>
  <c r="F17" i="258" s="1"/>
  <c r="G18" i="252"/>
  <c r="G19" i="252"/>
  <c r="G20" i="252"/>
  <c r="D18" i="253"/>
  <c r="D19" i="253"/>
  <c r="D21" i="253"/>
  <c r="S11" i="253"/>
  <c r="S10" i="253"/>
  <c r="H26" i="261"/>
  <c r="H25" i="261"/>
  <c r="H29" i="261"/>
  <c r="H37" i="261"/>
  <c r="H41" i="261"/>
  <c r="H43" i="261"/>
  <c r="H24" i="261"/>
  <c r="H35" i="261"/>
  <c r="H32" i="261"/>
  <c r="H40" i="261"/>
  <c r="H28" i="261"/>
  <c r="C23" i="261"/>
  <c r="H36" i="261"/>
  <c r="H27" i="261"/>
  <c r="H44" i="261"/>
  <c r="H30" i="261"/>
  <c r="H38" i="261"/>
  <c r="H39" i="261"/>
  <c r="H42" i="261"/>
  <c r="H33" i="261"/>
  <c r="H31" i="261"/>
  <c r="H34" i="261"/>
  <c r="E18" i="234"/>
  <c r="E19" i="234"/>
  <c r="E20" i="234"/>
  <c r="E19" i="241"/>
  <c r="E18" i="241"/>
  <c r="E20" i="241"/>
  <c r="F17" i="230" a="1"/>
  <c r="F17" i="230" s="1"/>
  <c r="D17" i="230" a="1"/>
  <c r="D17" i="230" s="1"/>
  <c r="E19" i="245"/>
  <c r="E20" i="245"/>
  <c r="E18" i="245"/>
  <c r="E19" i="248"/>
  <c r="E18" i="248"/>
  <c r="E20" i="248"/>
  <c r="E22" i="237"/>
  <c r="F18" i="246"/>
  <c r="F20" i="246"/>
  <c r="F19" i="246"/>
  <c r="E20" i="246"/>
  <c r="E19" i="246"/>
  <c r="E18" i="246"/>
  <c r="F17" i="246" a="1"/>
  <c r="F17" i="246" s="1"/>
  <c r="D17" i="246" a="1"/>
  <c r="D17" i="246" s="1"/>
  <c r="F17" i="244" a="1"/>
  <c r="F17" i="244" s="1"/>
  <c r="D17" i="244" a="1"/>
  <c r="D17" i="244" s="1"/>
  <c r="F17" i="237" a="1"/>
  <c r="F17" i="237" s="1"/>
  <c r="D17" i="237" a="1"/>
  <c r="D17" i="237" s="1"/>
  <c r="F17" i="250" a="1"/>
  <c r="F17" i="250" s="1"/>
  <c r="D17" i="250" a="1"/>
  <c r="D17" i="250" s="1"/>
  <c r="F19" i="245"/>
  <c r="F20" i="245"/>
  <c r="F18" i="245"/>
  <c r="F22" i="237"/>
  <c r="F17" i="248" a="1"/>
  <c r="F17" i="248" s="1"/>
  <c r="D17" i="248" a="1"/>
  <c r="D17" i="248" s="1"/>
  <c r="F19" i="244"/>
  <c r="F18" i="244"/>
  <c r="F20" i="244"/>
  <c r="E23" i="236"/>
  <c r="F19" i="250"/>
  <c r="F20" i="250"/>
  <c r="F18" i="250"/>
  <c r="D19" i="246"/>
  <c r="D18" i="246"/>
  <c r="D20" i="246"/>
  <c r="G20" i="231"/>
  <c r="G18" i="231"/>
  <c r="G19" i="231"/>
  <c r="F20" i="243"/>
  <c r="F18" i="243"/>
  <c r="F19" i="243"/>
  <c r="D18" i="248"/>
  <c r="D20" i="248"/>
  <c r="D19" i="248"/>
  <c r="F17" i="231" a="1"/>
  <c r="F17" i="231" s="1"/>
  <c r="D17" i="231" a="1"/>
  <c r="D17" i="231" s="1"/>
  <c r="F18" i="234"/>
  <c r="F20" i="234"/>
  <c r="F19" i="234"/>
  <c r="D22" i="237"/>
  <c r="F20" i="241"/>
  <c r="F19" i="241"/>
  <c r="F18" i="241"/>
  <c r="G18" i="234"/>
  <c r="G19" i="234"/>
  <c r="G20" i="234"/>
  <c r="D19" i="243"/>
  <c r="D20" i="243"/>
  <c r="D18" i="243"/>
  <c r="G23" i="236"/>
  <c r="G19" i="243"/>
  <c r="G20" i="243"/>
  <c r="G18" i="243"/>
  <c r="G18" i="246"/>
  <c r="G20" i="246"/>
  <c r="G19" i="246"/>
  <c r="D18" i="244"/>
  <c r="D19" i="244"/>
  <c r="D20" i="244"/>
  <c r="D23" i="236"/>
  <c r="F19" i="230"/>
  <c r="F18" i="230"/>
  <c r="F20" i="230"/>
  <c r="F17" i="247" a="1"/>
  <c r="F17" i="247" s="1"/>
  <c r="D17" i="247" a="1"/>
  <c r="D17" i="247" s="1"/>
  <c r="G20" i="244"/>
  <c r="G19" i="244"/>
  <c r="G18" i="244"/>
  <c r="F17" i="241" a="1"/>
  <c r="F17" i="241" s="1"/>
  <c r="D17" i="241" a="1"/>
  <c r="D17" i="241" s="1"/>
  <c r="E20" i="250"/>
  <c r="E19" i="250"/>
  <c r="E18" i="250"/>
  <c r="E18" i="231"/>
  <c r="E19" i="231"/>
  <c r="E20" i="231"/>
  <c r="D20" i="250"/>
  <c r="D18" i="250"/>
  <c r="D19" i="250"/>
  <c r="D17" i="245" a="1"/>
  <c r="D17" i="245" s="1"/>
  <c r="F17" i="245" a="1"/>
  <c r="F17" i="245" s="1"/>
  <c r="D19" i="245"/>
  <c r="D20" i="245"/>
  <c r="D18" i="245"/>
  <c r="E19" i="243"/>
  <c r="E20" i="243"/>
  <c r="E18" i="243"/>
  <c r="F23" i="235" a="1"/>
  <c r="F23" i="235" s="1"/>
  <c r="N9" i="235" s="1"/>
  <c r="C23" i="235" a="1"/>
  <c r="C23" i="235" s="1"/>
  <c r="G23" i="235" a="1"/>
  <c r="G23" i="235" s="1"/>
  <c r="O8" i="235" s="1"/>
  <c r="L8" i="235"/>
  <c r="E23" i="235" a="1"/>
  <c r="E23" i="235" s="1"/>
  <c r="M9" i="235" s="1"/>
  <c r="G22" i="237"/>
  <c r="D20" i="234"/>
  <c r="D18" i="234"/>
  <c r="D19" i="234"/>
  <c r="G20" i="250"/>
  <c r="G19" i="250"/>
  <c r="G18" i="250"/>
  <c r="G19" i="247"/>
  <c r="G20" i="247"/>
  <c r="G18" i="247"/>
  <c r="D20" i="231"/>
  <c r="D19" i="231"/>
  <c r="D18" i="231"/>
  <c r="D20" i="241"/>
  <c r="D19" i="241"/>
  <c r="D18" i="241"/>
  <c r="E20" i="244"/>
  <c r="E19" i="244"/>
  <c r="E18" i="244"/>
  <c r="F18" i="247"/>
  <c r="F19" i="247"/>
  <c r="F20" i="247"/>
  <c r="F23" i="236"/>
  <c r="G18" i="230"/>
  <c r="G20" i="230"/>
  <c r="G19" i="230"/>
  <c r="F18" i="231"/>
  <c r="F20" i="231"/>
  <c r="F19" i="231"/>
  <c r="D17" i="236" a="1"/>
  <c r="D17" i="236" s="1"/>
  <c r="F17" i="236" a="1"/>
  <c r="F17" i="236" s="1"/>
  <c r="E19" i="247"/>
  <c r="E18" i="247"/>
  <c r="E20" i="247"/>
  <c r="G20" i="245"/>
  <c r="G18" i="245"/>
  <c r="G19" i="245"/>
  <c r="D17" i="243" a="1"/>
  <c r="D17" i="243" s="1"/>
  <c r="F17" i="243" a="1"/>
  <c r="F17" i="243" s="1"/>
  <c r="F18" i="248"/>
  <c r="F20" i="248"/>
  <c r="F19" i="248"/>
  <c r="G20" i="241"/>
  <c r="G19" i="241"/>
  <c r="G18" i="241"/>
  <c r="G18" i="248"/>
  <c r="G20" i="248"/>
  <c r="G19" i="248"/>
  <c r="D18" i="247"/>
  <c r="D20" i="247"/>
  <c r="D19" i="247"/>
  <c r="F17" i="234" a="1"/>
  <c r="F17" i="234" s="1"/>
  <c r="D17" i="234" a="1"/>
  <c r="D17" i="234" s="1"/>
  <c r="C23" i="196" a="1"/>
  <c r="C23" i="196" s="1"/>
  <c r="P88" i="180" a="1"/>
  <c r="P35" i="180" a="1"/>
  <c r="P8" i="180" a="1"/>
  <c r="N12" i="180" a="1"/>
  <c r="O82" i="180" a="1"/>
  <c r="O58" i="180" a="1"/>
  <c r="F7" i="180" a="1"/>
  <c r="O37" i="180" a="1"/>
  <c r="O87" i="180" a="1"/>
  <c r="O46" i="180" a="1"/>
  <c r="P43" i="180" a="1"/>
  <c r="O48" i="180" a="1"/>
  <c r="P48" i="180" a="1"/>
  <c r="P81" i="180" a="1"/>
  <c r="N121" i="180" a="1"/>
  <c r="O88" i="180" a="1"/>
  <c r="O14" i="180" a="1"/>
  <c r="O121" i="180" a="1"/>
  <c r="N84" i="180" a="1"/>
  <c r="N79" i="180" a="1"/>
  <c r="N49" i="180" a="1"/>
  <c r="P13" i="180" a="1"/>
  <c r="N72" i="180" a="1"/>
  <c r="O71" i="180" a="1"/>
  <c r="N28" i="180" a="1"/>
  <c r="O7" i="180" a="1"/>
  <c r="O28" i="180" a="1"/>
  <c r="N118" i="180" a="1"/>
  <c r="N81" i="180" a="1"/>
  <c r="N80" i="180" a="1"/>
  <c r="P36" i="180" a="1"/>
  <c r="N82" i="180" a="1"/>
  <c r="P54" i="180" a="1"/>
  <c r="P59" i="180" a="1"/>
  <c r="N54" i="180" a="1"/>
  <c r="N11" i="180" a="1"/>
  <c r="N50" i="180" a="1"/>
  <c r="O45" i="180" a="1"/>
  <c r="O63" i="180" a="1"/>
  <c r="P120" i="180" a="1"/>
  <c r="P71" i="180" a="1"/>
  <c r="N42" i="180" a="1"/>
  <c r="N58" i="180" a="1"/>
  <c r="P14" i="180" a="1"/>
  <c r="N86" i="180" a="1"/>
  <c r="N7" i="180" a="1"/>
  <c r="O54" i="180" a="1"/>
  <c r="P7" i="180" a="1"/>
  <c r="N55" i="180" a="1"/>
  <c r="O118" i="180" a="1"/>
  <c r="N51" i="180" a="1"/>
  <c r="N8" i="180" a="1"/>
  <c r="P49" i="180" a="1"/>
  <c r="O36" i="180" a="1"/>
  <c r="O85" i="180" a="1"/>
  <c r="P51" i="180" a="1"/>
  <c r="P119" i="180" a="1"/>
  <c r="P87" i="180" a="1"/>
  <c r="N59" i="180" a="1"/>
  <c r="O50" i="180" a="1"/>
  <c r="N88" i="180" a="1"/>
  <c r="N71" i="180" a="1"/>
  <c r="O81" i="180" a="1"/>
  <c r="N37" i="180" a="1"/>
  <c r="O39" i="180" a="1"/>
  <c r="N63" i="180" a="1"/>
  <c r="P50" i="180" a="1"/>
  <c r="O49" i="180" a="1"/>
  <c r="P15" i="180" a="1"/>
  <c r="O120" i="180" a="1"/>
  <c r="O77" i="180" a="1"/>
  <c r="N77" i="180" a="1"/>
  <c r="O55" i="180" a="1"/>
  <c r="O12" i="180" a="1"/>
  <c r="O59" i="180" a="1"/>
  <c r="O15" i="180" a="1"/>
  <c r="P118" i="180" a="1"/>
  <c r="O84" i="180" a="1"/>
  <c r="N45" i="180" a="1"/>
  <c r="O86" i="180" a="1"/>
  <c r="N43" i="180" a="1"/>
  <c r="O119" i="180" a="1"/>
  <c r="N35" i="180" a="1"/>
  <c r="P121" i="180" a="1"/>
  <c r="N46" i="180" a="1"/>
  <c r="P28" i="180" a="1"/>
  <c r="N36" i="180" a="1"/>
  <c r="P37" i="180" a="1"/>
  <c r="P82" i="180" a="1"/>
  <c r="P42" i="180" a="1"/>
  <c r="P39" i="180" a="1"/>
  <c r="P58" i="180" a="1"/>
  <c r="P80" i="180" a="1"/>
  <c r="N39" i="180" a="1"/>
  <c r="N120" i="180" a="1"/>
  <c r="N48" i="180" a="1"/>
  <c r="P86" i="180" a="1"/>
  <c r="O35" i="180" a="1"/>
  <c r="P11" i="180" a="1"/>
  <c r="O13" i="180" a="1"/>
  <c r="O43" i="180" a="1"/>
  <c r="P85" i="180" a="1"/>
  <c r="O72" i="180" a="1"/>
  <c r="P12" i="180" a="1"/>
  <c r="O11" i="180" a="1"/>
  <c r="O51" i="180" a="1"/>
  <c r="N87" i="180" a="1"/>
  <c r="O42" i="180" a="1"/>
  <c r="P79" i="180" a="1"/>
  <c r="P46" i="180" a="1"/>
  <c r="N119" i="180" a="1"/>
  <c r="O80" i="180" a="1"/>
  <c r="P45" i="180" a="1"/>
  <c r="O79" i="180" a="1"/>
  <c r="P77" i="180" a="1"/>
  <c r="P84" i="180" a="1"/>
  <c r="N85" i="180" a="1"/>
  <c r="Z9" i="180" l="1"/>
  <c r="S12" i="293" s="1"/>
  <c r="M15" i="180"/>
  <c r="H18" i="293" s="1" a="1"/>
  <c r="H18" i="293" s="1"/>
  <c r="M14" i="180"/>
  <c r="H17" i="293" s="1" a="1"/>
  <c r="H17" i="293" s="1"/>
  <c r="L74" i="180"/>
  <c r="L52" i="180"/>
  <c r="M74" i="180"/>
  <c r="H76" i="293" s="1" a="1"/>
  <c r="H76" i="293" s="1"/>
  <c r="M52" i="180"/>
  <c r="H54" i="293" s="1" a="1"/>
  <c r="H54" i="293" s="1"/>
  <c r="R19" i="180"/>
  <c r="L22" i="293" s="1" a="1"/>
  <c r="L22" i="293" s="1"/>
  <c r="R9" i="180"/>
  <c r="L12" i="293" s="1" a="1"/>
  <c r="L12" i="293" s="1"/>
  <c r="R40" i="180"/>
  <c r="L42" i="293" s="1" a="1"/>
  <c r="L42" i="293" s="1"/>
  <c r="R14" i="180"/>
  <c r="L17" i="293" s="1" a="1"/>
  <c r="L17" i="293" s="1"/>
  <c r="Q9" i="180"/>
  <c r="Q19" i="180"/>
  <c r="R47" i="180"/>
  <c r="L49" i="293" s="1" a="1"/>
  <c r="L49" i="293" s="1"/>
  <c r="Q52" i="180"/>
  <c r="Q40" i="180"/>
  <c r="R76" i="180"/>
  <c r="L78" i="293" s="1" a="1"/>
  <c r="L78" i="293" s="1"/>
  <c r="Q74" i="180"/>
  <c r="Q47" i="180"/>
  <c r="R52" i="180"/>
  <c r="L54" i="293" s="1" a="1"/>
  <c r="L54" i="293" s="1"/>
  <c r="R15" i="180"/>
  <c r="L18" i="293" s="1" a="1"/>
  <c r="L18" i="293" s="1"/>
  <c r="Q76" i="180"/>
  <c r="R74" i="180"/>
  <c r="L76" i="293" s="1" a="1"/>
  <c r="L76" i="293" s="1"/>
  <c r="Y40" i="180"/>
  <c r="R42" i="293" s="1" a="1"/>
  <c r="R42" i="293" s="1"/>
  <c r="Y19" i="180"/>
  <c r="R22" i="293" s="1" a="1"/>
  <c r="R22" i="293" s="1"/>
  <c r="F7" i="180"/>
  <c r="E10" i="293" s="1"/>
  <c r="Y47" i="180"/>
  <c r="R49" i="293" s="1" a="1"/>
  <c r="R49" i="293" s="1"/>
  <c r="Y76" i="180"/>
  <c r="R78" i="293" s="1" a="1"/>
  <c r="R78" i="293" s="1"/>
  <c r="N58" i="180"/>
  <c r="M60" i="293" s="1" a="1"/>
  <c r="M60" i="293" s="1"/>
  <c r="P120" i="180"/>
  <c r="O122" i="293" s="1" a="1"/>
  <c r="O122" i="293" s="1"/>
  <c r="P81" i="180"/>
  <c r="O83" i="293" s="1" a="1"/>
  <c r="O83" i="293" s="1"/>
  <c r="P118" i="180"/>
  <c r="O120" i="293" s="1" a="1"/>
  <c r="O120" i="293" s="1"/>
  <c r="N46" i="180"/>
  <c r="M48" i="293" s="1" a="1"/>
  <c r="M48" i="293" s="1"/>
  <c r="N121" i="180"/>
  <c r="M123" i="293" s="1" a="1"/>
  <c r="M123" i="293" s="1"/>
  <c r="O11" i="180"/>
  <c r="N14" i="293" s="1" a="1"/>
  <c r="N14" i="293" s="1"/>
  <c r="N8" i="180"/>
  <c r="M11" i="293" s="1" a="1"/>
  <c r="M11" i="293" s="1"/>
  <c r="P12" i="180"/>
  <c r="O15" i="293" s="1" a="1"/>
  <c r="O15" i="293" s="1"/>
  <c r="P13" i="180"/>
  <c r="O16" i="293" s="1" a="1"/>
  <c r="O16" i="293" s="1"/>
  <c r="N71" i="180"/>
  <c r="M73" i="293" s="1" a="1"/>
  <c r="M73" i="293" s="1"/>
  <c r="P54" i="180"/>
  <c r="O56" i="293" s="1" a="1"/>
  <c r="O56" i="293" s="1"/>
  <c r="O87" i="180"/>
  <c r="N89" i="293" s="1" a="1"/>
  <c r="N89" i="293" s="1"/>
  <c r="P45" i="180"/>
  <c r="O47" i="293" s="1" a="1"/>
  <c r="O47" i="293" s="1"/>
  <c r="O59" i="180"/>
  <c r="N61" i="293" s="1" a="1"/>
  <c r="N61" i="293" s="1"/>
  <c r="P48" i="180"/>
  <c r="O50" i="293" s="1" a="1"/>
  <c r="O50" i="293" s="1"/>
  <c r="O36" i="180"/>
  <c r="N39" i="293" s="1" a="1"/>
  <c r="N39" i="293" s="1"/>
  <c r="N50" i="180"/>
  <c r="M52" i="293" s="1" a="1"/>
  <c r="M52" i="293" s="1"/>
  <c r="N49" i="180"/>
  <c r="M51" i="293" s="1" a="1"/>
  <c r="M51" i="293" s="1"/>
  <c r="O45" i="180"/>
  <c r="N47" i="293" s="1" a="1"/>
  <c r="N47" i="293" s="1"/>
  <c r="N42" i="180"/>
  <c r="M44" i="293" s="1" a="1"/>
  <c r="M44" i="293" s="1"/>
  <c r="N48" i="180"/>
  <c r="M50" i="293" s="1" a="1"/>
  <c r="M50" i="293" s="1"/>
  <c r="N36" i="180"/>
  <c r="M39" i="293" s="1" a="1"/>
  <c r="M39" i="293" s="1"/>
  <c r="O55" i="180"/>
  <c r="N57" i="293" s="1" a="1"/>
  <c r="N57" i="293" s="1"/>
  <c r="N35" i="180"/>
  <c r="M38" i="293" s="1" a="1"/>
  <c r="M38" i="293" s="1"/>
  <c r="O37" i="180"/>
  <c r="N40" i="293" s="1" a="1"/>
  <c r="N40" i="293" s="1"/>
  <c r="N81" i="180"/>
  <c r="M83" i="293" s="1" a="1"/>
  <c r="M83" i="293" s="1"/>
  <c r="P85" i="180"/>
  <c r="O87" i="293" s="1" a="1"/>
  <c r="O87" i="293" s="1"/>
  <c r="O82" i="180"/>
  <c r="N84" i="293" s="1" a="1"/>
  <c r="N84" i="293" s="1"/>
  <c r="N118" i="180"/>
  <c r="M120" i="293" s="1" a="1"/>
  <c r="M120" i="293" s="1"/>
  <c r="O46" i="180"/>
  <c r="N48" i="293" s="1" a="1"/>
  <c r="N48" i="293" s="1"/>
  <c r="O121" i="180"/>
  <c r="N123" i="293" s="1" a="1"/>
  <c r="N123" i="293" s="1"/>
  <c r="N84" i="180"/>
  <c r="M86" i="293" s="1" a="1"/>
  <c r="M86" i="293" s="1"/>
  <c r="N7" i="180"/>
  <c r="M10" i="293" s="1" a="1"/>
  <c r="M10" i="293" s="1"/>
  <c r="P8" i="180"/>
  <c r="O11" i="293" s="1" a="1"/>
  <c r="O11" i="293" s="1"/>
  <c r="O13" i="180"/>
  <c r="N16" i="293" s="1" a="1"/>
  <c r="N16" i="293" s="1"/>
  <c r="P15" i="180"/>
  <c r="O18" i="293" s="1" a="1"/>
  <c r="O18" i="293" s="1"/>
  <c r="N54" i="180"/>
  <c r="M56" i="293" s="1" a="1"/>
  <c r="M56" i="293" s="1"/>
  <c r="P58" i="180"/>
  <c r="O60" i="293" s="1" a="1"/>
  <c r="O60" i="293" s="1"/>
  <c r="O72" i="180"/>
  <c r="N74" i="293" s="1" a="1"/>
  <c r="N74" i="293" s="1"/>
  <c r="P36" i="180"/>
  <c r="O39" i="293" s="1" a="1"/>
  <c r="O39" i="293" s="1"/>
  <c r="O58" i="180"/>
  <c r="N60" i="293" s="1" a="1"/>
  <c r="N60" i="293" s="1"/>
  <c r="P49" i="180"/>
  <c r="O51" i="293" s="1" a="1"/>
  <c r="O51" i="293" s="1"/>
  <c r="N45" i="180"/>
  <c r="M47" i="293" s="1" a="1"/>
  <c r="M47" i="293" s="1"/>
  <c r="P42" i="180"/>
  <c r="O44" i="293" s="1" a="1"/>
  <c r="O44" i="293" s="1"/>
  <c r="O48" i="180"/>
  <c r="N50" i="293" s="1" a="1"/>
  <c r="N50" i="293" s="1"/>
  <c r="P119" i="180"/>
  <c r="O121" i="293" s="1" a="1"/>
  <c r="O121" i="293" s="1"/>
  <c r="N55" i="180"/>
  <c r="M57" i="293" s="1" a="1"/>
  <c r="M57" i="293" s="1"/>
  <c r="O35" i="180"/>
  <c r="N38" i="293" s="1" a="1"/>
  <c r="N38" i="293" s="1"/>
  <c r="N37" i="180"/>
  <c r="M40" i="293" s="1" a="1"/>
  <c r="M40" i="293" s="1"/>
  <c r="O81" i="180"/>
  <c r="N83" i="293" s="1" a="1"/>
  <c r="N83" i="293" s="1"/>
  <c r="N85" i="180"/>
  <c r="M87" i="293" s="1" a="1"/>
  <c r="M87" i="293" s="1"/>
  <c r="N77" i="180"/>
  <c r="M79" i="293" s="1" a="1"/>
  <c r="M79" i="293" s="1"/>
  <c r="N63" i="180"/>
  <c r="M65" i="293" s="1" a="1"/>
  <c r="M65" i="293" s="1"/>
  <c r="N82" i="180"/>
  <c r="M84" i="293" s="1" a="1"/>
  <c r="M84" i="293" s="1"/>
  <c r="O79" i="180"/>
  <c r="N81" i="293" s="1" a="1"/>
  <c r="N81" i="293" s="1"/>
  <c r="O84" i="180"/>
  <c r="N86" i="293" s="1" a="1"/>
  <c r="N86" i="293" s="1"/>
  <c r="O7" i="180"/>
  <c r="N10" i="293" s="1" a="1"/>
  <c r="N10" i="293" s="1"/>
  <c r="O14" i="180"/>
  <c r="N17" i="293" s="1" a="1"/>
  <c r="N17" i="293" s="1"/>
  <c r="O15" i="180"/>
  <c r="N18" i="293" s="1" a="1"/>
  <c r="N18" i="293" s="1"/>
  <c r="O54" i="180"/>
  <c r="N56" i="293" s="1" a="1"/>
  <c r="N56" i="293" s="1"/>
  <c r="O86" i="180"/>
  <c r="N88" i="293" s="1" a="1"/>
  <c r="N88" i="293" s="1"/>
  <c r="O50" i="180"/>
  <c r="N52" i="293" s="1" a="1"/>
  <c r="N52" i="293" s="1"/>
  <c r="P50" i="180"/>
  <c r="O52" i="293" s="1" a="1"/>
  <c r="O52" i="293" s="1"/>
  <c r="O49" i="180"/>
  <c r="N51" i="293" s="1" a="1"/>
  <c r="N51" i="293" s="1"/>
  <c r="N39" i="180"/>
  <c r="M41" i="293" s="1" a="1"/>
  <c r="M41" i="293" s="1"/>
  <c r="N43" i="180"/>
  <c r="M45" i="293" s="1" a="1"/>
  <c r="M45" i="293" s="1"/>
  <c r="O42" i="180"/>
  <c r="N44" i="293" s="1" a="1"/>
  <c r="N44" i="293" s="1"/>
  <c r="P28" i="180"/>
  <c r="O31" i="293" s="1" a="1"/>
  <c r="O31" i="293" s="1"/>
  <c r="N119" i="180"/>
  <c r="M121" i="293" s="1" a="1"/>
  <c r="M121" i="293" s="1"/>
  <c r="P37" i="180"/>
  <c r="O40" i="293" s="1" a="1"/>
  <c r="O40" i="293" s="1"/>
  <c r="O85" i="180"/>
  <c r="N87" i="293" s="1" a="1"/>
  <c r="N87" i="293" s="1"/>
  <c r="P80" i="180"/>
  <c r="O82" i="293" s="1" a="1"/>
  <c r="O82" i="293" s="1"/>
  <c r="N51" i="180"/>
  <c r="M53" i="293" s="1" a="1"/>
  <c r="M53" i="293" s="1"/>
  <c r="P77" i="180"/>
  <c r="O79" i="293" s="1" a="1"/>
  <c r="O79" i="293" s="1"/>
  <c r="O63" i="180"/>
  <c r="N65" i="293" s="1" a="1"/>
  <c r="N65" i="293" s="1"/>
  <c r="P82" i="180"/>
  <c r="O84" i="293" s="1" a="1"/>
  <c r="O84" i="293" s="1"/>
  <c r="N79" i="180"/>
  <c r="M81" i="293" s="1" a="1"/>
  <c r="M81" i="293" s="1"/>
  <c r="N88" i="180"/>
  <c r="M90" i="293" s="1" a="1"/>
  <c r="M90" i="293" s="1"/>
  <c r="P84" i="180"/>
  <c r="O86" i="293" s="1" a="1"/>
  <c r="O86" i="293" s="1"/>
  <c r="P7" i="180"/>
  <c r="O10" i="293" s="1" a="1"/>
  <c r="O10" i="293" s="1"/>
  <c r="P14" i="180"/>
  <c r="O17" i="293" s="1" a="1"/>
  <c r="O17" i="293" s="1"/>
  <c r="P86" i="180"/>
  <c r="O88" i="293" s="1" a="1"/>
  <c r="O88" i="293" s="1"/>
  <c r="O39" i="180"/>
  <c r="N41" i="293" s="1" a="1"/>
  <c r="N41" i="293" s="1"/>
  <c r="O43" i="180"/>
  <c r="N45" i="293" s="1" a="1"/>
  <c r="N45" i="293" s="1"/>
  <c r="P59" i="180"/>
  <c r="O61" i="293" s="1" a="1"/>
  <c r="O61" i="293" s="1"/>
  <c r="O28" i="180"/>
  <c r="N31" i="293" s="1" a="1"/>
  <c r="N31" i="293" s="1"/>
  <c r="N72" i="180"/>
  <c r="M74" i="293" s="1" a="1"/>
  <c r="M74" i="293" s="1"/>
  <c r="O119" i="180"/>
  <c r="N121" i="293" s="1" a="1"/>
  <c r="N121" i="293" s="1"/>
  <c r="P35" i="180"/>
  <c r="O38" i="293" s="1" a="1"/>
  <c r="O38" i="293" s="1"/>
  <c r="O120" i="180"/>
  <c r="N122" i="293" s="1" a="1"/>
  <c r="N122" i="293" s="1"/>
  <c r="O80" i="180"/>
  <c r="N82" i="293" s="1" a="1"/>
  <c r="N82" i="293" s="1"/>
  <c r="O51" i="180"/>
  <c r="N53" i="293" s="1" a="1"/>
  <c r="N53" i="293" s="1"/>
  <c r="O77" i="180"/>
  <c r="N79" i="293" s="1" a="1"/>
  <c r="N79" i="293" s="1"/>
  <c r="P79" i="180"/>
  <c r="O81" i="293" s="1" a="1"/>
  <c r="O81" i="293" s="1"/>
  <c r="P88" i="180"/>
  <c r="O90" i="293" s="1" a="1"/>
  <c r="O90" i="293" s="1"/>
  <c r="N11" i="180"/>
  <c r="M14" i="293" s="1" a="1"/>
  <c r="M14" i="293" s="1"/>
  <c r="O12" i="180"/>
  <c r="N15" i="293" s="1" a="1"/>
  <c r="N15" i="293" s="1"/>
  <c r="O71" i="180"/>
  <c r="N73" i="293" s="1" a="1"/>
  <c r="N73" i="293" s="1"/>
  <c r="N86" i="180"/>
  <c r="M88" i="293" s="1" a="1"/>
  <c r="M88" i="293" s="1"/>
  <c r="N87" i="180"/>
  <c r="M89" i="293" s="1" a="1"/>
  <c r="M89" i="293" s="1"/>
  <c r="P39" i="180"/>
  <c r="O41" i="293" s="1" a="1"/>
  <c r="O41" i="293" s="1"/>
  <c r="P43" i="180"/>
  <c r="O45" i="293" s="1" a="1"/>
  <c r="O45" i="293" s="1"/>
  <c r="N59" i="180"/>
  <c r="M61" i="293" s="1" a="1"/>
  <c r="M61" i="293" s="1"/>
  <c r="N28" i="180"/>
  <c r="M31" i="293" s="1" a="1"/>
  <c r="M31" i="293" s="1"/>
  <c r="N120" i="180"/>
  <c r="M122" i="293" s="1" a="1"/>
  <c r="M122" i="293" s="1"/>
  <c r="N80" i="180"/>
  <c r="M82" i="293" s="1" a="1"/>
  <c r="M82" i="293" s="1"/>
  <c r="P51" i="180"/>
  <c r="O53" i="293" s="1" a="1"/>
  <c r="O53" i="293" s="1"/>
  <c r="O118" i="180"/>
  <c r="N120" i="293" s="1" a="1"/>
  <c r="N120" i="293" s="1"/>
  <c r="O88" i="180"/>
  <c r="N90" i="293" s="1" a="1"/>
  <c r="N90" i="293" s="1"/>
  <c r="P46" i="180"/>
  <c r="O48" i="293" s="1" a="1"/>
  <c r="O48" i="293" s="1"/>
  <c r="P121" i="180"/>
  <c r="O123" i="293" s="1" a="1"/>
  <c r="O123" i="293" s="1"/>
  <c r="P11" i="180"/>
  <c r="O14" i="293" s="1" a="1"/>
  <c r="O14" i="293" s="1"/>
  <c r="N12" i="180"/>
  <c r="M15" i="293" s="1" a="1"/>
  <c r="M15" i="293" s="1"/>
  <c r="P71" i="180"/>
  <c r="O73" i="293" s="1" a="1"/>
  <c r="O73" i="293" s="1"/>
  <c r="P87" i="180"/>
  <c r="O89" i="293" s="1" a="1"/>
  <c r="O89" i="293" s="1"/>
  <c r="M9" i="180"/>
  <c r="H12" i="293" s="1" a="1"/>
  <c r="H12" i="293" s="1"/>
  <c r="Y74" i="180"/>
  <c r="R76" i="293" s="1" a="1"/>
  <c r="R76" i="293" s="1"/>
  <c r="Y52" i="180"/>
  <c r="R54" i="293" s="1" a="1"/>
  <c r="R54" i="293" s="1"/>
  <c r="Y9" i="180"/>
  <c r="R12" i="293" s="1" a="1"/>
  <c r="R12" i="293" s="1"/>
  <c r="D18" i="225"/>
  <c r="L9" i="235"/>
  <c r="L10" i="235" s="1"/>
  <c r="D20" i="235" s="1"/>
  <c r="H19" i="253"/>
  <c r="J19" i="253" s="1"/>
  <c r="K19" i="253" s="1"/>
  <c r="I19" i="253"/>
  <c r="N8" i="236"/>
  <c r="N9" i="236"/>
  <c r="N10" i="236"/>
  <c r="O10" i="236"/>
  <c r="O8" i="236"/>
  <c r="O9" i="236"/>
  <c r="E21" i="236"/>
  <c r="M10" i="236"/>
  <c r="M8" i="236"/>
  <c r="M9" i="236"/>
  <c r="L10" i="236"/>
  <c r="L8" i="236"/>
  <c r="L9" i="236"/>
  <c r="E18" i="225"/>
  <c r="D19" i="276"/>
  <c r="M63" i="277"/>
  <c r="K58" i="277" s="1"/>
  <c r="D20" i="277" s="1"/>
  <c r="N63" i="278"/>
  <c r="L58" i="278" s="1"/>
  <c r="E20" i="278" s="1"/>
  <c r="N63" i="277"/>
  <c r="L58" i="277" s="1"/>
  <c r="L57" i="277"/>
  <c r="M63" i="278"/>
  <c r="K58" i="278" s="1"/>
  <c r="D20" i="278" s="1"/>
  <c r="H16" i="259"/>
  <c r="P19" i="276"/>
  <c r="N20" i="276"/>
  <c r="N18" i="276"/>
  <c r="L13" i="276" s="1"/>
  <c r="E19" i="276"/>
  <c r="O18" i="276"/>
  <c r="O20" i="276"/>
  <c r="M15" i="276" s="1"/>
  <c r="E18" i="276"/>
  <c r="D21" i="276"/>
  <c r="E21" i="276"/>
  <c r="H21" i="256"/>
  <c r="H19" i="256"/>
  <c r="S12" i="253"/>
  <c r="D20" i="253" s="1"/>
  <c r="D19" i="252"/>
  <c r="D18" i="252"/>
  <c r="D20" i="252"/>
  <c r="H17" i="252"/>
  <c r="H16" i="252"/>
  <c r="H18" i="259"/>
  <c r="V12" i="258"/>
  <c r="G20" i="258" s="1"/>
  <c r="H19" i="263"/>
  <c r="T12" i="259"/>
  <c r="E20" i="259" s="1"/>
  <c r="T12" i="256"/>
  <c r="E20" i="256" s="1"/>
  <c r="T12" i="253"/>
  <c r="E20" i="253" s="1"/>
  <c r="H20" i="263"/>
  <c r="H18" i="256"/>
  <c r="H21" i="259"/>
  <c r="V12" i="256"/>
  <c r="G20" i="256" s="1"/>
  <c r="S12" i="259"/>
  <c r="D20" i="259" s="1"/>
  <c r="H19" i="255"/>
  <c r="H21" i="262"/>
  <c r="H21" i="253"/>
  <c r="J21" i="253" s="1"/>
  <c r="K21" i="253" s="1"/>
  <c r="V12" i="255"/>
  <c r="G20" i="255" s="1"/>
  <c r="U12" i="259"/>
  <c r="F20" i="259" s="1"/>
  <c r="U12" i="258"/>
  <c r="F20" i="258" s="1"/>
  <c r="S12" i="258"/>
  <c r="D20" i="258" s="1"/>
  <c r="T12" i="255"/>
  <c r="E20" i="255" s="1"/>
  <c r="U12" i="256"/>
  <c r="F20" i="256" s="1"/>
  <c r="F18" i="256"/>
  <c r="G18" i="256"/>
  <c r="F18" i="255"/>
  <c r="G18" i="255"/>
  <c r="G18" i="263"/>
  <c r="F18" i="263"/>
  <c r="U12" i="255"/>
  <c r="F20" i="255" s="1"/>
  <c r="H19" i="259"/>
  <c r="H19" i="254"/>
  <c r="H21" i="255"/>
  <c r="H19" i="258"/>
  <c r="S12" i="256"/>
  <c r="D20" i="256" s="1"/>
  <c r="D17" i="262" a="1"/>
  <c r="D17" i="262" s="1"/>
  <c r="H23" i="262"/>
  <c r="F17" i="262" a="1"/>
  <c r="F17" i="262" s="1"/>
  <c r="G18" i="264"/>
  <c r="F18" i="264"/>
  <c r="G18" i="259"/>
  <c r="F18" i="259"/>
  <c r="H18" i="254"/>
  <c r="G18" i="254"/>
  <c r="F18" i="254"/>
  <c r="H21" i="258"/>
  <c r="H19" i="264"/>
  <c r="S12" i="255"/>
  <c r="D20" i="255" s="1"/>
  <c r="F18" i="262"/>
  <c r="G18" i="262"/>
  <c r="H20" i="254"/>
  <c r="H18" i="262"/>
  <c r="U12" i="253"/>
  <c r="F20" i="253" s="1"/>
  <c r="H18" i="264"/>
  <c r="F17" i="261" a="1"/>
  <c r="F17" i="261" s="1"/>
  <c r="D17" i="261" a="1"/>
  <c r="D17" i="261" s="1"/>
  <c r="H23" i="261"/>
  <c r="F18" i="253"/>
  <c r="G18" i="253"/>
  <c r="H18" i="263"/>
  <c r="D17" i="263" a="1"/>
  <c r="D17" i="263" s="1"/>
  <c r="F17" i="263" a="1"/>
  <c r="F17" i="263" s="1"/>
  <c r="H23" i="263"/>
  <c r="T12" i="258"/>
  <c r="E20" i="258" s="1"/>
  <c r="H19" i="262"/>
  <c r="V12" i="253"/>
  <c r="G20" i="253" s="1"/>
  <c r="H20" i="264"/>
  <c r="H18" i="253"/>
  <c r="J18" i="253" s="1"/>
  <c r="K18" i="253" s="1"/>
  <c r="V12" i="259"/>
  <c r="G20" i="259" s="1"/>
  <c r="F18" i="258"/>
  <c r="H18" i="258"/>
  <c r="G18" i="258"/>
  <c r="H18" i="255"/>
  <c r="H20" i="262"/>
  <c r="F17" i="264" a="1"/>
  <c r="F17" i="264" s="1"/>
  <c r="D17" i="264" a="1"/>
  <c r="D17" i="264" s="1"/>
  <c r="H23" i="264"/>
  <c r="E19" i="236"/>
  <c r="E18" i="236"/>
  <c r="E19" i="237"/>
  <c r="E20" i="237"/>
  <c r="E18" i="237"/>
  <c r="M8" i="235"/>
  <c r="M10" i="235" s="1"/>
  <c r="E20" i="235" s="1"/>
  <c r="G21" i="235"/>
  <c r="G18" i="235"/>
  <c r="G19" i="235"/>
  <c r="F20" i="237"/>
  <c r="F18" i="237"/>
  <c r="F19" i="237"/>
  <c r="N8" i="235"/>
  <c r="N10" i="235" s="1"/>
  <c r="F20" i="235" s="1"/>
  <c r="E21" i="235"/>
  <c r="E18" i="235"/>
  <c r="E19" i="235"/>
  <c r="G19" i="236"/>
  <c r="G21" i="236"/>
  <c r="G18" i="236"/>
  <c r="F19" i="236"/>
  <c r="F21" i="236"/>
  <c r="F18" i="236"/>
  <c r="D17" i="235" a="1"/>
  <c r="D17" i="235" s="1"/>
  <c r="F17" i="235" a="1"/>
  <c r="F17" i="235" s="1"/>
  <c r="D18" i="236"/>
  <c r="D21" i="236"/>
  <c r="D19" i="236"/>
  <c r="F21" i="235"/>
  <c r="F19" i="235"/>
  <c r="F18" i="235"/>
  <c r="G20" i="237"/>
  <c r="G19" i="237"/>
  <c r="G18" i="237"/>
  <c r="D21" i="235"/>
  <c r="D18" i="235"/>
  <c r="D19" i="235"/>
  <c r="O9" i="235"/>
  <c r="O10" i="235" s="1"/>
  <c r="G20" i="235" s="1"/>
  <c r="D19" i="237"/>
  <c r="D18" i="237"/>
  <c r="D20" i="237"/>
  <c r="D17" i="196" a="1"/>
  <c r="D17" i="196" s="1"/>
  <c r="F17" i="196" a="1"/>
  <c r="F17" i="196" s="1"/>
  <c r="D20" i="196"/>
  <c r="D18" i="196"/>
  <c r="Q87" i="180" l="1"/>
  <c r="Q71" i="180"/>
  <c r="R12" i="180"/>
  <c r="L15" i="293" s="1" a="1"/>
  <c r="L15" i="293" s="1"/>
  <c r="Q11" i="180"/>
  <c r="Q121" i="180"/>
  <c r="Q46" i="180"/>
  <c r="Q51" i="180"/>
  <c r="R80" i="180"/>
  <c r="L82" i="293" s="1" a="1"/>
  <c r="L82" i="293" s="1"/>
  <c r="R120" i="180"/>
  <c r="L122" i="293" s="1" a="1"/>
  <c r="L122" i="293" s="1"/>
  <c r="R28" i="180"/>
  <c r="L31" i="293" s="1" a="1"/>
  <c r="L31" i="293" s="1"/>
  <c r="R59" i="180"/>
  <c r="L61" i="293" s="1" a="1"/>
  <c r="L61" i="293" s="1"/>
  <c r="Q43" i="180"/>
  <c r="Q39" i="180"/>
  <c r="R87" i="180"/>
  <c r="L89" i="293" s="1" a="1"/>
  <c r="L89" i="293" s="1"/>
  <c r="R86" i="180"/>
  <c r="L88" i="293" s="1" a="1"/>
  <c r="L88" i="293" s="1"/>
  <c r="R11" i="180"/>
  <c r="L14" i="293" s="1" a="1"/>
  <c r="L14" i="293" s="1"/>
  <c r="Q88" i="180"/>
  <c r="Q79" i="180"/>
  <c r="Q35" i="180"/>
  <c r="R72" i="180"/>
  <c r="L74" i="293" s="1" a="1"/>
  <c r="L74" i="293" s="1"/>
  <c r="Q59" i="180"/>
  <c r="Q86" i="180"/>
  <c r="Q14" i="180"/>
  <c r="Q7" i="180"/>
  <c r="Q84" i="180"/>
  <c r="R88" i="180"/>
  <c r="L90" i="293" s="1" a="1"/>
  <c r="L90" i="293" s="1"/>
  <c r="R79" i="180"/>
  <c r="L81" i="293" s="1" a="1"/>
  <c r="L81" i="293" s="1"/>
  <c r="Q82" i="180"/>
  <c r="Q77" i="180"/>
  <c r="R51" i="180"/>
  <c r="L53" i="293" s="1" a="1"/>
  <c r="L53" i="293" s="1"/>
  <c r="Q80" i="180"/>
  <c r="Q37" i="180"/>
  <c r="R119" i="180"/>
  <c r="L121" i="293" s="1" a="1"/>
  <c r="L121" i="293" s="1"/>
  <c r="Q28" i="180"/>
  <c r="R43" i="180"/>
  <c r="L45" i="293" s="1" a="1"/>
  <c r="L45" i="293" s="1"/>
  <c r="R39" i="180"/>
  <c r="L41" i="293" s="1" a="1"/>
  <c r="L41" i="293" s="1"/>
  <c r="Q50" i="180"/>
  <c r="R82" i="180"/>
  <c r="L84" i="293" s="1" a="1"/>
  <c r="L84" i="293" s="1"/>
  <c r="R63" i="180"/>
  <c r="L65" i="293" s="1" a="1"/>
  <c r="L65" i="293" s="1"/>
  <c r="R77" i="180"/>
  <c r="L79" i="293" s="1" a="1"/>
  <c r="L79" i="293" s="1"/>
  <c r="R85" i="180"/>
  <c r="L87" i="293" s="1" a="1"/>
  <c r="L87" i="293" s="1"/>
  <c r="R37" i="180"/>
  <c r="L40" i="293" s="1" a="1"/>
  <c r="L40" i="293" s="1"/>
  <c r="R55" i="180"/>
  <c r="L57" i="293" s="1" a="1"/>
  <c r="L57" i="293" s="1"/>
  <c r="Q119" i="180"/>
  <c r="Q42" i="180"/>
  <c r="R45" i="180"/>
  <c r="L47" i="293" s="1" a="1"/>
  <c r="L47" i="293" s="1"/>
  <c r="Q49" i="180"/>
  <c r="Q36" i="180"/>
  <c r="Q58" i="180"/>
  <c r="R54" i="180"/>
  <c r="L56" i="293" s="1" a="1"/>
  <c r="L56" i="293" s="1"/>
  <c r="Q15" i="180"/>
  <c r="Q8" i="180"/>
  <c r="R7" i="180"/>
  <c r="L10" i="293" s="1" a="1"/>
  <c r="L10" i="293" s="1"/>
  <c r="R84" i="180"/>
  <c r="L86" i="293" s="1" a="1"/>
  <c r="L86" i="293" s="1"/>
  <c r="R118" i="180"/>
  <c r="L120" i="293" s="1" a="1"/>
  <c r="L120" i="293" s="1"/>
  <c r="Q85" i="180"/>
  <c r="R81" i="180"/>
  <c r="L83" i="293" s="1" a="1"/>
  <c r="L83" i="293" s="1"/>
  <c r="R35" i="180"/>
  <c r="L38" i="293" s="1" a="1"/>
  <c r="L38" i="293" s="1"/>
  <c r="R36" i="180"/>
  <c r="L39" i="293" s="1" a="1"/>
  <c r="L39" i="293" s="1"/>
  <c r="R48" i="180"/>
  <c r="L50" i="293" s="1" a="1"/>
  <c r="L50" i="293" s="1"/>
  <c r="R42" i="180"/>
  <c r="L44" i="293" s="1" a="1"/>
  <c r="L44" i="293" s="1"/>
  <c r="R49" i="180"/>
  <c r="L51" i="293" s="1" a="1"/>
  <c r="L51" i="293" s="1"/>
  <c r="R50" i="180"/>
  <c r="L52" i="293" s="1" a="1"/>
  <c r="L52" i="293" s="1"/>
  <c r="Q48" i="180"/>
  <c r="Q45" i="180"/>
  <c r="Q54" i="180"/>
  <c r="R71" i="180"/>
  <c r="L73" i="293" s="1" a="1"/>
  <c r="L73" i="293" s="1"/>
  <c r="Q13" i="180"/>
  <c r="Q12" i="180"/>
  <c r="R8" i="180"/>
  <c r="L11" i="293" s="1" a="1"/>
  <c r="L11" i="293" s="1"/>
  <c r="R121" i="180"/>
  <c r="L123" i="293" s="1" a="1"/>
  <c r="L123" i="293" s="1"/>
  <c r="R46" i="180"/>
  <c r="L48" i="293" s="1" a="1"/>
  <c r="L48" i="293" s="1"/>
  <c r="Q118" i="180"/>
  <c r="Q81" i="180"/>
  <c r="Q120" i="180"/>
  <c r="R58" i="180"/>
  <c r="L60" i="293" s="1" a="1"/>
  <c r="L60" i="293" s="1"/>
  <c r="H20" i="253"/>
  <c r="J20" i="253" s="1"/>
  <c r="K20" i="253" s="1"/>
  <c r="I20" i="253"/>
  <c r="I18" i="253"/>
  <c r="H20" i="252"/>
  <c r="O11" i="236"/>
  <c r="G20" i="236" s="1"/>
  <c r="N11" i="236"/>
  <c r="F20" i="236" s="1"/>
  <c r="M11" i="236"/>
  <c r="E20" i="236" s="1"/>
  <c r="L11" i="236"/>
  <c r="D20" i="236" s="1"/>
  <c r="E20" i="277"/>
  <c r="O19" i="276"/>
  <c r="M14" i="276" s="1"/>
  <c r="M13" i="276"/>
  <c r="N19" i="276"/>
  <c r="L14" i="276" s="1"/>
  <c r="L15" i="276"/>
  <c r="H19" i="252"/>
  <c r="H18" i="252"/>
  <c r="H20" i="259"/>
  <c r="H20" i="256"/>
  <c r="H20" i="255"/>
  <c r="H20" i="258"/>
  <c r="Z7" i="180" l="1"/>
  <c r="S10" i="293" s="1"/>
  <c r="D20" i="276"/>
  <c r="E20" i="276"/>
  <c r="D23" i="230" l="1" a="1"/>
  <c r="D23" i="230" s="1"/>
  <c r="E23" i="230" l="1" a="1"/>
  <c r="E23" i="230" s="1"/>
  <c r="E19" i="230" s="1"/>
  <c r="D19" i="230"/>
  <c r="D20" i="230"/>
  <c r="D18" i="230"/>
  <c r="E18" i="230" l="1"/>
  <c r="E20" i="230"/>
  <c r="F23" i="260" l="1" a="1"/>
  <c r="F23" i="260" s="1"/>
  <c r="F23" i="261" a="1"/>
  <c r="F23" i="261" s="1"/>
  <c r="S11" i="261" l="1"/>
  <c r="S10" i="261"/>
  <c r="G23" i="261" a="1"/>
  <c r="G23" i="261" s="1"/>
  <c r="G23" i="260" a="1"/>
  <c r="G23" i="260" s="1"/>
  <c r="E23" i="260" a="1"/>
  <c r="E23" i="260" s="1"/>
  <c r="E23" i="261" a="1"/>
  <c r="E23" i="261" s="1"/>
  <c r="D23" i="261" a="1"/>
  <c r="D23" i="261" s="1"/>
  <c r="D23" i="260" a="1"/>
  <c r="D23" i="260" s="1"/>
  <c r="F19" i="261"/>
  <c r="F21" i="261"/>
  <c r="U11" i="260"/>
  <c r="U10" i="260"/>
  <c r="F19" i="260"/>
  <c r="F21" i="260"/>
  <c r="K51" i="180" a="1"/>
  <c r="J42" i="180" a="1"/>
  <c r="W10" i="180" a="1"/>
  <c r="T41" i="180" a="1"/>
  <c r="N30" i="180" a="1"/>
  <c r="W67" i="180" a="1"/>
  <c r="V83" i="180" a="1"/>
  <c r="K30" i="180" a="1"/>
  <c r="W121" i="180" a="1"/>
  <c r="W24" i="180" a="1"/>
  <c r="V33" i="180" a="1"/>
  <c r="V15" i="180" a="1"/>
  <c r="J65" i="180" a="1"/>
  <c r="K65" i="180" a="1"/>
  <c r="U68" i="180" a="1"/>
  <c r="I51" i="180" a="1"/>
  <c r="T80" i="180" a="1"/>
  <c r="O70" i="180" a="1"/>
  <c r="U67" i="180" a="1"/>
  <c r="U48" i="180" a="1"/>
  <c r="I11" i="180" a="1"/>
  <c r="V35" i="180" a="1"/>
  <c r="K36" i="180" a="1"/>
  <c r="W59" i="180" a="1"/>
  <c r="I59" i="180" a="1"/>
  <c r="F39" i="180" a="1"/>
  <c r="W11" i="180" a="1"/>
  <c r="I84" i="180" a="1"/>
  <c r="T60" i="180" a="1"/>
  <c r="U36" i="180" a="1"/>
  <c r="K11" i="180" a="1"/>
  <c r="O53" i="180" a="1"/>
  <c r="T7" i="180" a="1"/>
  <c r="N83" i="180" a="1"/>
  <c r="W78" i="180" a="1"/>
  <c r="K66" i="180" a="1"/>
  <c r="P18" i="180" a="1"/>
  <c r="F18" i="180" a="1"/>
  <c r="I43" i="180" a="1"/>
  <c r="F23" i="180" a="1"/>
  <c r="K87" i="180" a="1"/>
  <c r="K68" i="180" a="1"/>
  <c r="F84" i="180" a="1"/>
  <c r="I21" i="180" a="1"/>
  <c r="W21" i="180" a="1"/>
  <c r="U43" i="180" a="1"/>
  <c r="W49" i="180" a="1"/>
  <c r="T13" i="180" a="1"/>
  <c r="W31" i="180" a="1"/>
  <c r="F22" i="180" a="1"/>
  <c r="N78" i="180" a="1"/>
  <c r="V12" i="180" a="1"/>
  <c r="I68" i="180" a="1"/>
  <c r="K121" i="180" a="1"/>
  <c r="V30" i="180" a="1"/>
  <c r="P33" i="180" a="1"/>
  <c r="U78" i="180" a="1"/>
  <c r="I41" i="180" a="1"/>
  <c r="T57" i="180" a="1"/>
  <c r="F38" i="180" a="1"/>
  <c r="O29" i="180" a="1"/>
  <c r="J72" i="180" a="1"/>
  <c r="F30" i="180" a="1"/>
  <c r="K23" i="180" a="1"/>
  <c r="F34" i="180" a="1"/>
  <c r="F28" i="180" a="1"/>
  <c r="V56" i="180" a="1"/>
  <c r="U22" i="180" a="1"/>
  <c r="V64" i="180" a="1"/>
  <c r="V54" i="180" a="1"/>
  <c r="V79" i="180" a="1"/>
  <c r="N75" i="180" a="1"/>
  <c r="W75" i="180" a="1"/>
  <c r="V49" i="180" a="1"/>
  <c r="J71" i="180" a="1"/>
  <c r="P10" i="180" a="1"/>
  <c r="F85" i="180" a="1"/>
  <c r="V71" i="180" a="1"/>
  <c r="F31" i="180" a="1"/>
  <c r="J28" i="180" a="1"/>
  <c r="J85" i="180" a="1"/>
  <c r="I120" i="180" a="1"/>
  <c r="U49" i="180" a="1"/>
  <c r="U30" i="180" a="1"/>
  <c r="T87" i="180" a="1"/>
  <c r="K67" i="180" a="1"/>
  <c r="W14" i="180" a="1"/>
  <c r="T46" i="180" a="1"/>
  <c r="W82" i="180" a="1"/>
  <c r="T71" i="180" a="1"/>
  <c r="F25" i="180" a="1"/>
  <c r="V67" i="180" a="1"/>
  <c r="U41" i="180" a="1"/>
  <c r="W54" i="180" a="1"/>
  <c r="F71" i="180" a="1"/>
  <c r="T54" i="180" a="1"/>
  <c r="K15" i="180" a="1"/>
  <c r="J31" i="180" a="1"/>
  <c r="F70" i="180" a="1"/>
  <c r="T49" i="180" a="1"/>
  <c r="T10" i="180" a="1"/>
  <c r="J62" i="180" a="1"/>
  <c r="P16" i="180" a="1"/>
  <c r="F11" i="180" a="1"/>
  <c r="J13" i="180" a="1"/>
  <c r="K58" i="180" a="1"/>
  <c r="T48" i="180" a="1"/>
  <c r="N62" i="180" a="1"/>
  <c r="V68" i="180" a="1"/>
  <c r="I10" i="180" a="1"/>
  <c r="T58" i="180" a="1"/>
  <c r="U59" i="180" a="1"/>
  <c r="P22" i="180" a="1"/>
  <c r="T72" i="180" a="1"/>
  <c r="K77" i="180" a="1"/>
  <c r="P25" i="180" a="1"/>
  <c r="F35" i="180" a="1"/>
  <c r="V78" i="180" a="1"/>
  <c r="K86" i="180" a="1"/>
  <c r="F65" i="180" a="1"/>
  <c r="F88" i="180" a="1"/>
  <c r="U120" i="180" a="1"/>
  <c r="N67" i="180" a="1"/>
  <c r="T35" i="180" a="1"/>
  <c r="K83" i="180" a="1"/>
  <c r="K33" i="180" a="1"/>
  <c r="K60" i="180" a="1"/>
  <c r="V85" i="180" a="1"/>
  <c r="U35" i="180" a="1"/>
  <c r="J14" i="180" a="1"/>
  <c r="F10" i="180" a="1"/>
  <c r="J66" i="180" a="1"/>
  <c r="P31" i="180" a="1"/>
  <c r="O56" i="180" a="1"/>
  <c r="V75" i="180" a="1"/>
  <c r="J18" i="180" a="1"/>
  <c r="I65" i="180" a="1"/>
  <c r="F15" i="180" a="1"/>
  <c r="K82" i="180" a="1"/>
  <c r="U18" i="180" a="1"/>
  <c r="K32" i="180" a="1"/>
  <c r="N56" i="180" a="1"/>
  <c r="F46" i="180" a="1"/>
  <c r="J10" i="180" a="1"/>
  <c r="T55" i="180" a="1"/>
  <c r="I54" i="180" a="1"/>
  <c r="F51" i="180" a="1"/>
  <c r="K13" i="180" a="1"/>
  <c r="I81" i="180" a="1"/>
  <c r="I87" i="180" a="1"/>
  <c r="K50" i="180" a="1"/>
  <c r="F29" i="180" a="1"/>
  <c r="V22" i="180" a="1"/>
  <c r="T63" i="180" a="1"/>
  <c r="J54" i="180" a="1"/>
  <c r="O16" i="180" a="1"/>
  <c r="J80" i="180" a="1"/>
  <c r="W85" i="180" a="1"/>
  <c r="P60" i="180" a="1"/>
  <c r="I49" i="180" a="1"/>
  <c r="J86" i="180" a="1"/>
  <c r="I83" i="180" a="1"/>
  <c r="U63" i="180" a="1"/>
  <c r="N60" i="180" a="1"/>
  <c r="P62" i="180" a="1"/>
  <c r="J120" i="180" a="1"/>
  <c r="U55" i="180" a="1"/>
  <c r="U11" i="180" a="1"/>
  <c r="O18" i="180" a="1"/>
  <c r="W13" i="180" a="1"/>
  <c r="V55" i="180" a="1"/>
  <c r="N41" i="180" a="1"/>
  <c r="J46" i="180" a="1"/>
  <c r="J56" i="180" a="1"/>
  <c r="F48" i="180" a="1"/>
  <c r="K49" i="180" a="1"/>
  <c r="I72" i="180" a="1"/>
  <c r="W87" i="180" a="1"/>
  <c r="U39" i="180" a="1"/>
  <c r="T25" i="180" a="1"/>
  <c r="J70" i="180" a="1"/>
  <c r="W50" i="180" a="1"/>
  <c r="J48" i="180" a="1"/>
  <c r="U12" i="180" a="1"/>
  <c r="T85" i="180" a="1"/>
  <c r="W45" i="180" a="1"/>
  <c r="U46" i="180" a="1"/>
  <c r="T33" i="180" a="1"/>
  <c r="I32" i="180" a="1"/>
  <c r="T8" i="180" a="1"/>
  <c r="K88" i="180" a="1"/>
  <c r="I29" i="180" a="1"/>
  <c r="U53" i="180" a="1"/>
  <c r="O68" i="180" a="1"/>
  <c r="J63" i="180" a="1"/>
  <c r="P57" i="180" a="1"/>
  <c r="T59" i="180" a="1"/>
  <c r="I12" i="180" a="1"/>
  <c r="F121" i="180" a="1"/>
  <c r="J39" i="180" a="1"/>
  <c r="I55" i="180" a="1"/>
  <c r="F61" i="180" a="1"/>
  <c r="J23" i="180" a="1"/>
  <c r="T31" i="180" a="1"/>
  <c r="T16" i="180" a="1"/>
  <c r="K41" i="180" a="1"/>
  <c r="P30" i="180" a="1"/>
  <c r="J37" i="180" a="1"/>
  <c r="K22" i="180" a="1"/>
  <c r="K31" i="180" a="1"/>
  <c r="W55" i="180" a="1"/>
  <c r="U28" i="180" a="1"/>
  <c r="I23" i="180" a="1"/>
  <c r="J82" i="180" a="1"/>
  <c r="T22" i="180" a="1"/>
  <c r="V42" i="180" a="1"/>
  <c r="I31" i="180" a="1"/>
  <c r="I56" i="180" a="1"/>
  <c r="N57" i="180" a="1"/>
  <c r="T82" i="180" a="1"/>
  <c r="I61" i="180" a="1"/>
  <c r="V61" i="180" a="1"/>
  <c r="U8" i="180" a="1"/>
  <c r="K21" i="180" a="1"/>
  <c r="V36" i="180" a="1"/>
  <c r="J33" i="180" a="1"/>
  <c r="O31" i="180" a="1"/>
  <c r="J7" i="180" a="1"/>
  <c r="I35" i="180" a="1"/>
  <c r="U32" i="180" a="1"/>
  <c r="K64" i="180" a="1"/>
  <c r="T28" i="180" a="1"/>
  <c r="P75" i="180" a="1"/>
  <c r="W58" i="180" a="1"/>
  <c r="W70" i="180" a="1"/>
  <c r="F72" i="180" a="1"/>
  <c r="V24" i="180" a="1"/>
  <c r="W16" i="180" a="1"/>
  <c r="F80" i="180" a="1"/>
  <c r="V8" i="180" a="1"/>
  <c r="F55" i="180" a="1"/>
  <c r="W25" i="180" a="1"/>
  <c r="O64" i="180" a="1"/>
  <c r="W42" i="180" a="1"/>
  <c r="U70" i="180" a="1"/>
  <c r="W28" i="180" a="1"/>
  <c r="K63" i="180" a="1"/>
  <c r="V66" i="180" a="1"/>
  <c r="T62" i="180" a="1"/>
  <c r="I78" i="180" a="1"/>
  <c r="T37" i="180" a="1"/>
  <c r="F12" i="180" a="1"/>
  <c r="I13" i="180" a="1"/>
  <c r="P61" i="180" a="1"/>
  <c r="P21" i="180" a="1"/>
  <c r="O33" i="180" a="1"/>
  <c r="W68" i="180" a="1"/>
  <c r="U79" i="180" a="1"/>
  <c r="K57" i="180" a="1"/>
  <c r="W72" i="180" a="1"/>
  <c r="V16" i="180" a="1"/>
  <c r="P72" i="180" a="1"/>
  <c r="U77" i="180" a="1"/>
  <c r="F63" i="180" a="1"/>
  <c r="J35" i="180" a="1"/>
  <c r="T39" i="180" a="1"/>
  <c r="I79" i="180" a="1"/>
  <c r="T21" i="180" a="1"/>
  <c r="I118" i="180" a="1"/>
  <c r="U33" i="180" a="1"/>
  <c r="J77" i="180" a="1"/>
  <c r="O67" i="180" a="1"/>
  <c r="T121" i="180" a="1"/>
  <c r="O60" i="180" a="1"/>
  <c r="J119" i="180" a="1"/>
  <c r="K43" i="180" a="1"/>
  <c r="W80" i="180" a="1"/>
  <c r="K55" i="180" a="1"/>
  <c r="U51" i="180" a="1"/>
  <c r="W15" i="180" a="1"/>
  <c r="P63" i="180" a="1"/>
  <c r="O66" i="180" a="1"/>
  <c r="K24" i="180" a="1"/>
  <c r="N22" i="180" a="1"/>
  <c r="I53" i="180" a="1"/>
  <c r="I8" i="180" a="1"/>
  <c r="P67" i="180" a="1"/>
  <c r="P64" i="180" a="1"/>
  <c r="F120" i="180" a="1"/>
  <c r="I64" i="180" a="1"/>
  <c r="V81" i="180" a="1"/>
  <c r="I36" i="180" a="1"/>
  <c r="N16" i="180" a="1"/>
  <c r="I60" i="180" a="1"/>
  <c r="J68" i="180" a="1"/>
  <c r="V88" i="180" a="1"/>
  <c r="O65" i="180" a="1"/>
  <c r="K14" i="180" a="1"/>
  <c r="U24" i="180" a="1"/>
  <c r="K29" i="180" a="1"/>
  <c r="U118" i="180" a="1"/>
  <c r="I25" i="180" a="1"/>
  <c r="F49" i="180" a="1"/>
  <c r="V43" i="180" a="1"/>
  <c r="K70" i="180" a="1"/>
  <c r="F77" i="180" a="1"/>
  <c r="U88" i="180" a="1"/>
  <c r="W53" i="180" a="1"/>
  <c r="V11" i="180" a="1"/>
  <c r="P53" i="180" a="1"/>
  <c r="O25" i="180" a="1"/>
  <c r="W8" i="180" a="1"/>
  <c r="U21" i="180" a="1"/>
  <c r="F75" i="180" a="1"/>
  <c r="N61" i="180" a="1"/>
  <c r="V37" i="180" a="1"/>
  <c r="W30" i="180" a="1"/>
  <c r="V14" i="180" a="1"/>
  <c r="P24" i="180" a="1"/>
  <c r="W79" i="180" a="1"/>
  <c r="J41" i="180" a="1"/>
  <c r="W12" i="180" a="1"/>
  <c r="J21" i="180" a="1"/>
  <c r="J25" i="180" a="1"/>
  <c r="T42" i="180" a="1"/>
  <c r="J30" i="180" a="1"/>
  <c r="F24" i="180" a="1"/>
  <c r="O83" i="180" a="1"/>
  <c r="O78" i="180" a="1"/>
  <c r="V58" i="180" a="1"/>
  <c r="V48" i="180" a="1"/>
  <c r="W60" i="180" a="1"/>
  <c r="F64" i="180" a="1"/>
  <c r="P66" i="180" a="1"/>
  <c r="U83" i="180" a="1"/>
  <c r="O62" i="180" a="1"/>
  <c r="U81" i="180" a="1"/>
  <c r="I16" i="180" a="1"/>
  <c r="I62" i="180" a="1"/>
  <c r="P23" i="180" a="1"/>
  <c r="J60" i="180" a="1"/>
  <c r="U87" i="180" a="1"/>
  <c r="I7" i="180" a="1"/>
  <c r="N70" i="180" a="1"/>
  <c r="K62" i="180" a="1"/>
  <c r="T70" i="180" a="1"/>
  <c r="N53" i="180" a="1"/>
  <c r="J84" i="180" a="1"/>
  <c r="T83" i="180" a="1"/>
  <c r="K54" i="180" a="1"/>
  <c r="K10" i="180" a="1"/>
  <c r="V70" i="180" a="1"/>
  <c r="K45" i="180" a="1"/>
  <c r="K71" i="180" a="1"/>
  <c r="J45" i="180" a="1"/>
  <c r="V45" i="180" a="1"/>
  <c r="T66" i="180" a="1"/>
  <c r="F54" i="180" a="1"/>
  <c r="J83" i="180" a="1"/>
  <c r="K84" i="180" a="1"/>
  <c r="O75" i="180" a="1"/>
  <c r="I33" i="180" a="1"/>
  <c r="O23" i="180" a="1"/>
  <c r="K42" i="180" a="1"/>
  <c r="V39" i="180" a="1"/>
  <c r="U85" i="180" a="1"/>
  <c r="T32" i="180" a="1"/>
  <c r="I39" i="180" a="1"/>
  <c r="J24" i="180" a="1"/>
  <c r="K39" i="180" a="1"/>
  <c r="N18" i="180" a="1"/>
  <c r="V51" i="180" a="1"/>
  <c r="V50" i="180" a="1"/>
  <c r="U31" i="180" a="1"/>
  <c r="W63" i="180" a="1"/>
  <c r="J12" i="180" a="1"/>
  <c r="K8" i="180" a="1"/>
  <c r="F78" i="180" a="1"/>
  <c r="J57" i="180" a="1"/>
  <c r="I24" i="180" a="1"/>
  <c r="W81" i="180" a="1"/>
  <c r="T78" i="180" a="1"/>
  <c r="T36" i="180" a="1"/>
  <c r="T79" i="180" a="1"/>
  <c r="K61" i="180" a="1"/>
  <c r="I46" i="180" a="1"/>
  <c r="J22" i="180" a="1"/>
  <c r="K7" i="180" a="1"/>
  <c r="U58" i="180" a="1"/>
  <c r="V13" i="180" a="1"/>
  <c r="P65" i="180" a="1"/>
  <c r="W120" i="180" a="1"/>
  <c r="F50" i="180" a="1"/>
  <c r="K119" i="180" a="1"/>
  <c r="J58" i="180" a="1"/>
  <c r="I77" i="180" a="1"/>
  <c r="W83" i="180" a="1"/>
  <c r="J81" i="180" a="1"/>
  <c r="K35" i="180" a="1"/>
  <c r="U15" i="180" a="1"/>
  <c r="N33" i="180" a="1"/>
  <c r="F41" i="180" a="1"/>
  <c r="I50" i="180" a="1"/>
  <c r="V121" i="180" a="1"/>
  <c r="F82" i="180" a="1"/>
  <c r="T118" i="180" a="1"/>
  <c r="T53" i="180" a="1"/>
  <c r="O10" i="180" a="1"/>
  <c r="W71" i="180" a="1"/>
  <c r="W48" i="180" a="1"/>
  <c r="J64" i="180" a="1"/>
  <c r="V63" i="180" a="1"/>
  <c r="J88" i="180" a="1"/>
  <c r="U45" i="180" a="1"/>
  <c r="F66" i="180" a="1"/>
  <c r="T29" i="180" a="1"/>
  <c r="I28" i="180" a="1"/>
  <c r="I30" i="180" a="1"/>
  <c r="K59" i="180" a="1"/>
  <c r="T45" i="180" a="1"/>
  <c r="I22" i="180" a="1"/>
  <c r="U50" i="180" a="1"/>
  <c r="W23" i="180" a="1"/>
  <c r="I70" i="180" a="1"/>
  <c r="F37" i="180" a="1"/>
  <c r="T81" i="180" a="1"/>
  <c r="F62" i="180" a="1"/>
  <c r="U14" i="180" a="1"/>
  <c r="T50" i="180" a="1"/>
  <c r="F45" i="180" a="1"/>
  <c r="U7" i="180" a="1"/>
  <c r="N65" i="180" a="1"/>
  <c r="N66" i="180" a="1"/>
  <c r="V41" i="180" a="1"/>
  <c r="T67" i="180" a="1"/>
  <c r="U60" i="180" a="1"/>
  <c r="F8" i="180" a="1"/>
  <c r="V7" i="180" a="1"/>
  <c r="J29" i="180" a="1"/>
  <c r="N25" i="180" a="1"/>
  <c r="J32" i="180" a="1"/>
  <c r="J51" i="180" a="1"/>
  <c r="T43" i="180" a="1"/>
  <c r="V31" i="180" a="1"/>
  <c r="J50" i="180" a="1"/>
  <c r="V32" i="180" a="1"/>
  <c r="I63" i="180" a="1"/>
  <c r="V87" i="180" a="1"/>
  <c r="P29" i="180" a="1"/>
  <c r="P70" i="180" a="1"/>
  <c r="I42" i="180" a="1"/>
  <c r="U29" i="180" a="1"/>
  <c r="K75" i="180" a="1"/>
  <c r="F14" i="180" a="1"/>
  <c r="N23" i="180" a="1"/>
  <c r="I66" i="180" a="1"/>
  <c r="U57" i="180" a="1"/>
  <c r="W118" i="180" a="1"/>
  <c r="K16" i="180" a="1"/>
  <c r="J15" i="180" a="1"/>
  <c r="I57" i="180" a="1"/>
  <c r="T65" i="180" a="1"/>
  <c r="O21" i="180" a="1"/>
  <c r="I80" i="180" a="1"/>
  <c r="W77" i="180" a="1"/>
  <c r="V21" i="180" a="1"/>
  <c r="U80" i="180" a="1"/>
  <c r="V59" i="180" a="1"/>
  <c r="F56" i="180" a="1"/>
  <c r="F60" i="180" a="1"/>
  <c r="O41" i="180" a="1"/>
  <c r="U119" i="180" a="1"/>
  <c r="V84" i="180" a="1"/>
  <c r="K56" i="180" a="1"/>
  <c r="F81" i="180" a="1"/>
  <c r="O57" i="180" a="1"/>
  <c r="F87" i="180" a="1"/>
  <c r="W7" i="180" a="1"/>
  <c r="F57" i="180" a="1"/>
  <c r="U71" i="180" a="1"/>
  <c r="F58" i="180" a="1"/>
  <c r="J43" i="180" a="1"/>
  <c r="F13" i="180" a="1"/>
  <c r="T64" i="180" a="1"/>
  <c r="N64" i="180" a="1"/>
  <c r="N29" i="180" a="1"/>
  <c r="T30" i="180" a="1"/>
  <c r="W39" i="180" a="1"/>
  <c r="K118" i="180" a="1"/>
  <c r="V77" i="180" a="1"/>
  <c r="V62" i="180" a="1"/>
  <c r="F73" i="180" a="1"/>
  <c r="V10" i="180" a="1"/>
  <c r="J49" i="180" a="1"/>
  <c r="W37" i="180" a="1"/>
  <c r="J67" i="180" a="1"/>
  <c r="I58" i="180" a="1"/>
  <c r="P32" i="180" a="1"/>
  <c r="O24" i="180" a="1"/>
  <c r="F33" i="180" a="1"/>
  <c r="W18" i="180" a="1"/>
  <c r="F119" i="180" a="1"/>
  <c r="U25" i="180" a="1"/>
  <c r="N31" i="180" a="1"/>
  <c r="W32" i="180" a="1"/>
  <c r="W29" i="180" a="1"/>
  <c r="T18" i="180" a="1"/>
  <c r="V60" i="180" a="1"/>
  <c r="V80" i="180" a="1"/>
  <c r="U37" i="180" a="1"/>
  <c r="J61" i="180" a="1"/>
  <c r="U13" i="180" a="1"/>
  <c r="W35" i="180" a="1"/>
  <c r="J75" i="180" a="1"/>
  <c r="N68" i="180" a="1"/>
  <c r="I86" i="180" a="1"/>
  <c r="T15" i="180" a="1"/>
  <c r="O30" i="180" a="1"/>
  <c r="W33" i="180" a="1"/>
  <c r="T61" i="180" a="1"/>
  <c r="K72" i="180" a="1"/>
  <c r="W88" i="180" a="1"/>
  <c r="T11" i="180" a="1"/>
  <c r="K25" i="180" a="1"/>
  <c r="W46" i="180" a="1"/>
  <c r="P68" i="180" a="1"/>
  <c r="W51" i="180" a="1"/>
  <c r="J118" i="180" a="1"/>
  <c r="N21" i="180" a="1"/>
  <c r="P41" i="180" a="1"/>
  <c r="F32" i="180" a="1"/>
  <c r="T68" i="180" a="1"/>
  <c r="V29" i="180" a="1"/>
  <c r="I18" i="180" a="1"/>
  <c r="J59" i="180" a="1"/>
  <c r="T23" i="180" a="1"/>
  <c r="U121" i="180" a="1"/>
  <c r="J87" i="180" a="1"/>
  <c r="U82" i="180" a="1"/>
  <c r="K28" i="180" a="1"/>
  <c r="W43" i="180" a="1"/>
  <c r="W41" i="180" a="1"/>
  <c r="F67" i="180" a="1"/>
  <c r="T51" i="180" a="1"/>
  <c r="V82" i="180" a="1"/>
  <c r="N10" i="180" a="1"/>
  <c r="F83" i="180" a="1"/>
  <c r="I48" i="180" a="1"/>
  <c r="F118" i="180" a="1"/>
  <c r="J55" i="180" a="1"/>
  <c r="I45" i="180" a="1"/>
  <c r="U10" i="180" a="1"/>
  <c r="I121" i="180" a="1"/>
  <c r="I71" i="180" a="1"/>
  <c r="J11" i="180" a="1"/>
  <c r="F21" i="180" a="1"/>
  <c r="T88" i="180" a="1"/>
  <c r="K46" i="180" a="1"/>
  <c r="V25" i="180" a="1"/>
  <c r="P78" i="180" a="1"/>
  <c r="W119" i="180" a="1"/>
  <c r="K18" i="180" a="1"/>
  <c r="W36" i="180" a="1"/>
  <c r="U42" i="180" a="1"/>
  <c r="V53" i="180" a="1"/>
  <c r="T12" i="180" a="1"/>
  <c r="F42" i="180" a="1"/>
  <c r="O22" i="180" a="1"/>
  <c r="U84" i="180" a="1"/>
  <c r="I37" i="180" a="1"/>
  <c r="U54" i="180" a="1"/>
  <c r="K81" i="180" a="1"/>
  <c r="T77" i="180" a="1"/>
  <c r="J79" i="180" a="1"/>
  <c r="J36" i="180" a="1"/>
  <c r="F86" i="180" a="1"/>
  <c r="V65" i="180" a="1"/>
  <c r="I75" i="180" a="1"/>
  <c r="F79" i="180" a="1"/>
  <c r="W57" i="180" a="1"/>
  <c r="N24" i="180" a="1"/>
  <c r="I82" i="180" a="1"/>
  <c r="O61" i="180" a="1"/>
  <c r="J121" i="180" a="1"/>
  <c r="T24" i="180" a="1"/>
  <c r="U66" i="180" a="1"/>
  <c r="J53" i="180" a="1"/>
  <c r="T84" i="180" a="1"/>
  <c r="U56" i="180" a="1"/>
  <c r="N32" i="180" a="1"/>
  <c r="W66" i="180" a="1"/>
  <c r="V18" i="180" a="1"/>
  <c r="F68" i="180" a="1"/>
  <c r="K120" i="180" a="1"/>
  <c r="U75" i="180" a="1"/>
  <c r="F16" i="180" a="1"/>
  <c r="K78" i="180" a="1"/>
  <c r="U23" i="180" a="1"/>
  <c r="O32" i="180" a="1"/>
  <c r="I85" i="180" a="1"/>
  <c r="K53" i="180" a="1"/>
  <c r="W22" i="180" a="1"/>
  <c r="T75" i="180" a="1"/>
  <c r="U72" i="180" a="1"/>
  <c r="V23" i="180" a="1"/>
  <c r="F36" i="180" a="1"/>
  <c r="P83" i="180" a="1"/>
  <c r="U16" i="180" a="1"/>
  <c r="V57" i="180" a="1"/>
  <c r="K48" i="180" a="1"/>
  <c r="W84" i="180" a="1"/>
  <c r="V46" i="180" a="1"/>
  <c r="I119" i="180" a="1"/>
  <c r="N13" i="180" a="1"/>
  <c r="K80" i="180" a="1"/>
  <c r="V72" i="180" a="1"/>
  <c r="K37" i="180" a="1"/>
  <c r="I88" i="180" a="1"/>
  <c r="T56" i="180" a="1"/>
  <c r="T14" i="180" a="1"/>
  <c r="K79" i="180" a="1"/>
  <c r="I67" i="180" a="1"/>
  <c r="F59" i="180" a="1"/>
  <c r="J16" i="180" a="1"/>
  <c r="J78" i="180" a="1"/>
  <c r="F43" i="180" a="1"/>
  <c r="V118" i="180" a="1"/>
  <c r="V28" i="180" a="1"/>
  <c r="F53" i="180" a="1"/>
  <c r="W56" i="180" a="1"/>
  <c r="K85" i="180" a="1"/>
  <c r="K12" i="180" a="1"/>
  <c r="P56" i="180" a="1"/>
  <c r="P55" i="180" a="1"/>
  <c r="P68" i="180" l="1"/>
  <c r="K16" i="180"/>
  <c r="I22" i="180"/>
  <c r="J64" i="180"/>
  <c r="J66" i="293" s="1" a="1"/>
  <c r="J66" i="293" s="1"/>
  <c r="V62" i="180"/>
  <c r="U21" i="180"/>
  <c r="P24" i="293" s="1" a="1"/>
  <c r="P24" i="293" s="1"/>
  <c r="F54" i="180"/>
  <c r="E56" i="293" s="1"/>
  <c r="K36" i="180"/>
  <c r="Y36" i="180" s="1"/>
  <c r="R39" i="293" s="1" a="1"/>
  <c r="R39" i="293" s="1"/>
  <c r="U72" i="180"/>
  <c r="P74" i="293" s="1" a="1"/>
  <c r="P74" i="293" s="1"/>
  <c r="U48" i="180"/>
  <c r="P50" i="293" s="1" a="1"/>
  <c r="P50" i="293" s="1"/>
  <c r="W13" i="180"/>
  <c r="Q16" i="293" s="1" a="1"/>
  <c r="Q16" i="293" s="1"/>
  <c r="K83" i="180"/>
  <c r="K49" i="180"/>
  <c r="K56" i="180"/>
  <c r="V22" i="180"/>
  <c r="F77" i="180"/>
  <c r="E79" i="293" s="1"/>
  <c r="J46" i="180"/>
  <c r="J48" i="293" s="1" a="1"/>
  <c r="J48" i="293" s="1"/>
  <c r="V71" i="180"/>
  <c r="K78" i="180"/>
  <c r="F88" i="180"/>
  <c r="E90" i="293" s="1"/>
  <c r="K24" i="180"/>
  <c r="K81" i="180"/>
  <c r="J62" i="180"/>
  <c r="J64" i="293" s="1" a="1"/>
  <c r="J64" i="293" s="1"/>
  <c r="T8" i="180"/>
  <c r="F21" i="180"/>
  <c r="Z21" i="180" s="1"/>
  <c r="S24" i="293" s="1"/>
  <c r="T54" i="180"/>
  <c r="I71" i="180"/>
  <c r="I73" i="293" s="1" a="1"/>
  <c r="I73" i="293" s="1"/>
  <c r="P33" i="180"/>
  <c r="O36" i="293" s="1" a="1"/>
  <c r="O36" i="293" s="1"/>
  <c r="T32" i="180"/>
  <c r="I32" i="180"/>
  <c r="K118" i="180"/>
  <c r="Y118" i="180" s="1"/>
  <c r="R120" i="293" s="1" a="1"/>
  <c r="R120" i="293" s="1"/>
  <c r="I12" i="180"/>
  <c r="M12" i="180" s="1"/>
  <c r="H15" i="293" s="1" a="1"/>
  <c r="H15" i="293" s="1"/>
  <c r="U16" i="180"/>
  <c r="P19" i="293" s="1" a="1"/>
  <c r="P19" i="293" s="1"/>
  <c r="O66" i="180"/>
  <c r="N68" i="293" s="1" a="1"/>
  <c r="N68" i="293" s="1"/>
  <c r="T14" i="180"/>
  <c r="F14" i="180"/>
  <c r="E17" i="293" s="1"/>
  <c r="K13" i="180"/>
  <c r="Y13" i="180" s="1"/>
  <c r="R16" i="293" s="1" a="1"/>
  <c r="R16" i="293" s="1"/>
  <c r="F65" i="180"/>
  <c r="E67" i="293" s="1"/>
  <c r="I82" i="180"/>
  <c r="M82" i="180" s="1"/>
  <c r="H84" i="293" s="1" a="1"/>
  <c r="H84" i="293" s="1"/>
  <c r="T15" i="180"/>
  <c r="K119" i="180"/>
  <c r="Y119" i="180" s="1"/>
  <c r="R121" i="293" s="1" a="1"/>
  <c r="R121" i="293" s="1"/>
  <c r="P18" i="180"/>
  <c r="Q18" i="180" s="1"/>
  <c r="I23" i="180"/>
  <c r="J121" i="180"/>
  <c r="J123" i="293" s="1" a="1"/>
  <c r="J123" i="293" s="1"/>
  <c r="V57" i="180"/>
  <c r="W7" i="180"/>
  <c r="Q10" i="293" s="1" a="1"/>
  <c r="Q10" i="293" s="1"/>
  <c r="O32" i="180"/>
  <c r="N35" i="293" s="1" a="1"/>
  <c r="N35" i="293" s="1"/>
  <c r="F85" i="180"/>
  <c r="I31" i="180"/>
  <c r="M31" i="180" s="1"/>
  <c r="H34" i="293" s="1" a="1"/>
  <c r="H34" i="293" s="1"/>
  <c r="V55" i="180"/>
  <c r="K14" i="180"/>
  <c r="K17" i="293" s="1" a="1"/>
  <c r="K17" i="293" s="1"/>
  <c r="T11" i="180"/>
  <c r="J84" i="180"/>
  <c r="J86" i="293" s="1" a="1"/>
  <c r="J86" i="293" s="1"/>
  <c r="I36" i="180"/>
  <c r="V14" i="180"/>
  <c r="P32" i="180"/>
  <c r="Q32" i="180" s="1"/>
  <c r="V77" i="180"/>
  <c r="I51" i="180"/>
  <c r="K121" i="180"/>
  <c r="V121" i="180"/>
  <c r="K84" i="180"/>
  <c r="L84" i="180" s="1"/>
  <c r="V13" i="180"/>
  <c r="U54" i="180"/>
  <c r="P56" i="293" s="1" a="1"/>
  <c r="P56" i="293" s="1"/>
  <c r="U12" i="180"/>
  <c r="P15" i="293" s="1" a="1"/>
  <c r="P15" i="293" s="1"/>
  <c r="U63" i="180"/>
  <c r="P65" i="293" s="1" a="1"/>
  <c r="P65" i="293" s="1"/>
  <c r="U53" i="180"/>
  <c r="P55" i="293" s="1" a="1"/>
  <c r="P55" i="293" s="1"/>
  <c r="F31" i="180"/>
  <c r="Z31" i="180" s="1"/>
  <c r="S34" i="293" s="1"/>
  <c r="J87" i="180"/>
  <c r="J89" i="293" s="1" a="1"/>
  <c r="J89" i="293" s="1"/>
  <c r="U66" i="180"/>
  <c r="P68" i="293" s="1" a="1"/>
  <c r="P68" i="293" s="1"/>
  <c r="K75" i="180"/>
  <c r="T65" i="180"/>
  <c r="U59" i="180"/>
  <c r="P61" i="293" s="1" a="1"/>
  <c r="P61" i="293" s="1"/>
  <c r="W87" i="180"/>
  <c r="Q89" i="293" s="1" a="1"/>
  <c r="Q89" i="293" s="1"/>
  <c r="F84" i="180"/>
  <c r="E86" i="293" s="1"/>
  <c r="J25" i="180"/>
  <c r="J28" i="293" s="1" a="1"/>
  <c r="J28" i="293" s="1"/>
  <c r="U18" i="180"/>
  <c r="P21" i="293" s="1" a="1"/>
  <c r="P21" i="293" s="1"/>
  <c r="T61" i="180"/>
  <c r="U13" i="180"/>
  <c r="P16" i="293" s="1" a="1"/>
  <c r="P16" i="293" s="1"/>
  <c r="J70" i="180"/>
  <c r="J72" i="293" s="1" a="1"/>
  <c r="J72" i="293" s="1"/>
  <c r="K120" i="180"/>
  <c r="L120" i="180" s="1"/>
  <c r="U77" i="180"/>
  <c r="P79" i="293" s="1" a="1"/>
  <c r="P79" i="293" s="1"/>
  <c r="V50" i="180"/>
  <c r="J65" i="180"/>
  <c r="J67" i="293" s="1" a="1"/>
  <c r="J67" i="293" s="1"/>
  <c r="T84" i="180"/>
  <c r="J45" i="180"/>
  <c r="J47" i="293" s="1" a="1"/>
  <c r="J47" i="293" s="1"/>
  <c r="J33" i="180"/>
  <c r="J36" i="293" s="1" a="1"/>
  <c r="J36" i="293" s="1"/>
  <c r="I79" i="180"/>
  <c r="J32" i="180"/>
  <c r="J35" i="293" s="1" a="1"/>
  <c r="J35" i="293" s="1"/>
  <c r="F57" i="180"/>
  <c r="E59" i="293" s="1"/>
  <c r="I61" i="180"/>
  <c r="I63" i="293" s="1" a="1"/>
  <c r="I63" i="293" s="1"/>
  <c r="J23" i="180"/>
  <c r="J26" i="293" s="1" a="1"/>
  <c r="J26" i="293" s="1"/>
  <c r="U58" i="180"/>
  <c r="P60" i="293" s="1" a="1"/>
  <c r="P60" i="293" s="1"/>
  <c r="I7" i="180"/>
  <c r="V43" i="180"/>
  <c r="N56" i="180"/>
  <c r="R56" i="180" s="1"/>
  <c r="L58" i="293" s="1" a="1"/>
  <c r="L58" i="293" s="1"/>
  <c r="F61" i="180"/>
  <c r="Z61" i="180" s="1"/>
  <c r="S63" i="293" s="1"/>
  <c r="N53" i="180"/>
  <c r="M55" i="293" s="1" a="1"/>
  <c r="M55" i="293" s="1"/>
  <c r="J55" i="180"/>
  <c r="J57" i="293" s="1" a="1"/>
  <c r="J57" i="293" s="1"/>
  <c r="I29" i="180"/>
  <c r="I32" i="293" s="1" a="1"/>
  <c r="I32" i="293" s="1"/>
  <c r="V18" i="180"/>
  <c r="I58" i="180"/>
  <c r="I60" i="293" s="1" a="1"/>
  <c r="I60" i="293" s="1"/>
  <c r="J22" i="180"/>
  <c r="J25" i="293" s="1" a="1"/>
  <c r="J25" i="293" s="1"/>
  <c r="V118" i="180"/>
  <c r="P83" i="180"/>
  <c r="Q83" i="180" s="1"/>
  <c r="I65" i="180"/>
  <c r="I67" i="293" s="1" a="1"/>
  <c r="I67" i="293" s="1"/>
  <c r="I59" i="180"/>
  <c r="I61" i="293" s="1" a="1"/>
  <c r="I61" i="293" s="1"/>
  <c r="J15" i="180"/>
  <c r="J18" i="293" s="1" a="1"/>
  <c r="J18" i="293" s="1"/>
  <c r="K41" i="180"/>
  <c r="K43" i="293" s="1" a="1"/>
  <c r="K43" i="293" s="1"/>
  <c r="O31" i="180"/>
  <c r="N34" i="293" s="1" a="1"/>
  <c r="N34" i="293" s="1"/>
  <c r="N18" i="180"/>
  <c r="M21" i="293" s="1" a="1"/>
  <c r="M21" i="293" s="1"/>
  <c r="J51" i="180"/>
  <c r="J53" i="293" s="1" a="1"/>
  <c r="J53" i="293" s="1"/>
  <c r="U55" i="180"/>
  <c r="P57" i="293" s="1" a="1"/>
  <c r="P57" i="293" s="1"/>
  <c r="I85" i="180"/>
  <c r="J24" i="180"/>
  <c r="J27" i="293" s="1" a="1"/>
  <c r="J27" i="293" s="1"/>
  <c r="T53" i="180"/>
  <c r="K51" i="180"/>
  <c r="L51" i="180" s="1"/>
  <c r="K68" i="180"/>
  <c r="L68" i="180" s="1"/>
  <c r="I56" i="180"/>
  <c r="M56" i="180" s="1"/>
  <c r="H58" i="293" s="1" a="1"/>
  <c r="H58" i="293" s="1"/>
  <c r="T118" i="180"/>
  <c r="U121" i="180"/>
  <c r="P123" i="293" s="1" a="1"/>
  <c r="P123" i="293" s="1"/>
  <c r="O60" i="180"/>
  <c r="N62" i="293" s="1" a="1"/>
  <c r="N62" i="293" s="1"/>
  <c r="N61" i="180"/>
  <c r="M63" i="293" s="1" a="1"/>
  <c r="M63" i="293" s="1"/>
  <c r="O65" i="180"/>
  <c r="N67" i="293" s="1" a="1"/>
  <c r="N67" i="293" s="1"/>
  <c r="N10" i="180"/>
  <c r="R10" i="180" s="1"/>
  <c r="L13" i="293" s="1" a="1"/>
  <c r="L13" i="293" s="1"/>
  <c r="N75" i="180"/>
  <c r="M77" i="293" s="1" a="1"/>
  <c r="M77" i="293" s="1"/>
  <c r="T23" i="180"/>
  <c r="V33" i="180"/>
  <c r="V63" i="180"/>
  <c r="I60" i="180"/>
  <c r="T49" i="180"/>
  <c r="K25" i="180"/>
  <c r="L25" i="180" s="1"/>
  <c r="V64" i="180"/>
  <c r="J78" i="180"/>
  <c r="J80" i="293" s="1" a="1"/>
  <c r="J80" i="293" s="1"/>
  <c r="P57" i="180"/>
  <c r="Q57" i="180" s="1"/>
  <c r="K77" i="180"/>
  <c r="W14" i="180"/>
  <c r="Q17" i="293" s="1" a="1"/>
  <c r="Q17" i="293" s="1"/>
  <c r="J57" i="180"/>
  <c r="J59" i="293" s="1" a="1"/>
  <c r="J59" i="293" s="1"/>
  <c r="F16" i="180"/>
  <c r="E19" i="293" s="1"/>
  <c r="I16" i="180"/>
  <c r="U70" i="180"/>
  <c r="P72" i="293" s="1" a="1"/>
  <c r="P72" i="293" s="1"/>
  <c r="J75" i="180"/>
  <c r="J77" i="293" s="1" a="1"/>
  <c r="J77" i="293" s="1"/>
  <c r="V51" i="180"/>
  <c r="V82" i="180"/>
  <c r="P22" i="180"/>
  <c r="U46" i="180"/>
  <c r="P48" i="293" s="1" a="1"/>
  <c r="P48" i="293" s="1"/>
  <c r="U80" i="180"/>
  <c r="P82" i="293" s="1" a="1"/>
  <c r="P82" i="293" s="1"/>
  <c r="F67" i="180"/>
  <c r="Z67" i="180" s="1"/>
  <c r="S69" i="293" s="1"/>
  <c r="P64" i="180"/>
  <c r="Q64" i="180" s="1"/>
  <c r="T87" i="180"/>
  <c r="P55" i="180"/>
  <c r="O57" i="293" s="1" a="1"/>
  <c r="O57" i="293" s="1"/>
  <c r="W119" i="180"/>
  <c r="Q121" i="293" s="1" a="1"/>
  <c r="Q121" i="293" s="1"/>
  <c r="U37" i="180"/>
  <c r="P40" i="293" s="1" a="1"/>
  <c r="P40" i="293" s="1"/>
  <c r="J119" i="180"/>
  <c r="J121" i="293" s="1" a="1"/>
  <c r="J121" i="293" s="1"/>
  <c r="W51" i="180"/>
  <c r="Q53" i="293" s="1" a="1"/>
  <c r="Q53" i="293" s="1"/>
  <c r="I35" i="180"/>
  <c r="I38" i="293" s="1" a="1"/>
  <c r="I38" i="293" s="1"/>
  <c r="I55" i="180"/>
  <c r="I57" i="293" s="1" a="1"/>
  <c r="I57" i="293" s="1"/>
  <c r="J48" i="180"/>
  <c r="J50" i="293" s="1" a="1"/>
  <c r="J50" i="293" s="1"/>
  <c r="U28" i="180"/>
  <c r="P31" i="293" s="1" a="1"/>
  <c r="P31" i="293" s="1"/>
  <c r="U87" i="180"/>
  <c r="P89" i="293" s="1" a="1"/>
  <c r="P89" i="293" s="1"/>
  <c r="K87" i="180"/>
  <c r="K89" i="293" s="1" a="1"/>
  <c r="K89" i="293" s="1"/>
  <c r="K65" i="180"/>
  <c r="L65" i="180" s="1"/>
  <c r="J79" i="180"/>
  <c r="J81" i="293" s="1" a="1"/>
  <c r="J81" i="293" s="1"/>
  <c r="P70" i="180"/>
  <c r="O72" i="293" s="1" a="1"/>
  <c r="O72" i="293" s="1"/>
  <c r="V12" i="180"/>
  <c r="I67" i="180"/>
  <c r="I69" i="293" s="1" a="1"/>
  <c r="I69" i="293" s="1"/>
  <c r="J21" i="180"/>
  <c r="J24" i="293" s="1" a="1"/>
  <c r="J24" i="293" s="1"/>
  <c r="O61" i="180"/>
  <c r="K15" i="180"/>
  <c r="Y15" i="180" s="1"/>
  <c r="R18" i="293" s="1" a="1"/>
  <c r="R18" i="293" s="1"/>
  <c r="J118" i="180"/>
  <c r="J120" i="293" s="1" a="1"/>
  <c r="J120" i="293" s="1"/>
  <c r="I41" i="180"/>
  <c r="N67" i="180"/>
  <c r="R67" i="180" s="1"/>
  <c r="L69" i="293" s="1" a="1"/>
  <c r="L69" i="293" s="1"/>
  <c r="F11" i="180"/>
  <c r="Z11" i="180" s="1"/>
  <c r="S14" i="293" s="1"/>
  <c r="W28" i="180"/>
  <c r="Q31" i="293" s="1" a="1"/>
  <c r="Q31" i="293" s="1"/>
  <c r="J85" i="180"/>
  <c r="J87" i="293" s="1" a="1"/>
  <c r="J87" i="293" s="1"/>
  <c r="W67" i="180"/>
  <c r="Q69" i="293" s="1" a="1"/>
  <c r="Q69" i="293" s="1"/>
  <c r="V56" i="180"/>
  <c r="U84" i="180"/>
  <c r="P86" i="293" s="1" a="1"/>
  <c r="P86" i="293" s="1"/>
  <c r="U32" i="180"/>
  <c r="P35" i="293" s="1" a="1"/>
  <c r="P35" i="293" s="1"/>
  <c r="J16" i="180"/>
  <c r="J19" i="293" s="1" a="1"/>
  <c r="J19" i="293" s="1"/>
  <c r="T45" i="180"/>
  <c r="V39" i="180"/>
  <c r="W46" i="180"/>
  <c r="Q48" i="293" s="1" a="1"/>
  <c r="Q48" i="293" s="1"/>
  <c r="K48" i="180"/>
  <c r="L48" i="180" s="1"/>
  <c r="F82" i="180"/>
  <c r="E84" i="293" s="1"/>
  <c r="J59" i="180"/>
  <c r="J61" i="293" s="1" a="1"/>
  <c r="J61" i="293" s="1"/>
  <c r="I57" i="180"/>
  <c r="I59" i="293" s="1" a="1"/>
  <c r="I59" i="293" s="1"/>
  <c r="F39" i="180"/>
  <c r="E41" i="293" s="1"/>
  <c r="F59" i="180"/>
  <c r="Z59" i="180" s="1"/>
  <c r="S61" i="293" s="1"/>
  <c r="V67" i="180"/>
  <c r="J83" i="180"/>
  <c r="J85" i="293" s="1" a="1"/>
  <c r="J85" i="293" s="1"/>
  <c r="K79" i="180"/>
  <c r="Y79" i="180" s="1"/>
  <c r="R81" i="293" s="1" a="1"/>
  <c r="R81" i="293" s="1"/>
  <c r="W8" i="180"/>
  <c r="Q11" i="293" s="1" a="1"/>
  <c r="Q11" i="293" s="1"/>
  <c r="I11" i="180"/>
  <c r="F121" i="180"/>
  <c r="E123" i="293" s="1"/>
  <c r="I121" i="180"/>
  <c r="I123" i="293" s="1" a="1"/>
  <c r="I123" i="293" s="1"/>
  <c r="W18" i="180"/>
  <c r="Q21" i="293" s="1" a="1"/>
  <c r="Q21" i="293" s="1"/>
  <c r="P66" i="180"/>
  <c r="T55" i="180"/>
  <c r="T25" i="180"/>
  <c r="F13" i="180"/>
  <c r="W43" i="180"/>
  <c r="Q45" i="293" s="1" a="1"/>
  <c r="Q45" i="293" s="1"/>
  <c r="W16" i="180"/>
  <c r="Q19" i="293" s="1" a="1"/>
  <c r="Q19" i="293" s="1"/>
  <c r="J36" i="180"/>
  <c r="J39" i="293" s="1" a="1"/>
  <c r="J39" i="293" s="1"/>
  <c r="V42" i="180"/>
  <c r="V24" i="180"/>
  <c r="V30" i="180"/>
  <c r="F41" i="180"/>
  <c r="E43" i="293" s="1"/>
  <c r="W29" i="180"/>
  <c r="Q32" i="293" s="1" a="1"/>
  <c r="Q32" i="293" s="1"/>
  <c r="I37" i="180"/>
  <c r="I40" i="293" s="1" a="1"/>
  <c r="I40" i="293" s="1"/>
  <c r="I8" i="180"/>
  <c r="I11" i="293" s="1" a="1"/>
  <c r="I11" i="293" s="1"/>
  <c r="W63" i="180"/>
  <c r="Q65" i="293" s="1" a="1"/>
  <c r="Q65" i="293" s="1"/>
  <c r="O64" i="180"/>
  <c r="N66" i="293" s="1" a="1"/>
  <c r="N66" i="293" s="1"/>
  <c r="K39" i="180"/>
  <c r="Y39" i="180" s="1"/>
  <c r="R41" i="293" s="1" a="1"/>
  <c r="R41" i="293" s="1"/>
  <c r="K88" i="180"/>
  <c r="K90" i="293" s="1" a="1"/>
  <c r="K90" i="293" s="1"/>
  <c r="J53" i="180"/>
  <c r="J55" i="293" s="1" a="1"/>
  <c r="J55" i="293" s="1"/>
  <c r="F73" i="180"/>
  <c r="I33" i="180"/>
  <c r="V85" i="180"/>
  <c r="K22" i="180"/>
  <c r="K25" i="293" s="1" a="1"/>
  <c r="K25" i="293" s="1"/>
  <c r="J77" i="180"/>
  <c r="J79" i="293" s="1" a="1"/>
  <c r="J79" i="293" s="1"/>
  <c r="T51" i="180"/>
  <c r="W48" i="180"/>
  <c r="Q50" i="293" s="1" a="1"/>
  <c r="Q50" i="293" s="1"/>
  <c r="V75" i="180"/>
  <c r="T70" i="180"/>
  <c r="U33" i="180"/>
  <c r="P36" i="293" s="1" a="1"/>
  <c r="P36" i="293" s="1"/>
  <c r="U81" i="180"/>
  <c r="P83" i="293" s="1" a="1"/>
  <c r="P83" i="293" s="1"/>
  <c r="F34" i="180"/>
  <c r="F86" i="180"/>
  <c r="Z86" i="180" s="1"/>
  <c r="S88" i="293" s="1"/>
  <c r="V66" i="180"/>
  <c r="W58" i="180"/>
  <c r="Q60" i="293" s="1" a="1"/>
  <c r="Q60" i="293" s="1"/>
  <c r="P60" i="180"/>
  <c r="V28" i="180"/>
  <c r="I13" i="180"/>
  <c r="I16" i="293" s="1" a="1"/>
  <c r="I16" i="293" s="1"/>
  <c r="K67" i="180"/>
  <c r="K69" i="293" s="1" a="1"/>
  <c r="K69" i="293" s="1"/>
  <c r="W31" i="180"/>
  <c r="Q34" i="293" s="1" a="1"/>
  <c r="Q34" i="293" s="1"/>
  <c r="F30" i="180"/>
  <c r="E33" i="293" s="1"/>
  <c r="P61" i="180"/>
  <c r="V70" i="180"/>
  <c r="O29" i="180"/>
  <c r="N32" i="293" s="1" a="1"/>
  <c r="N32" i="293" s="1"/>
  <c r="T41" i="180"/>
  <c r="K59" i="180"/>
  <c r="L59" i="180" s="1"/>
  <c r="U60" i="180"/>
  <c r="P62" i="293" s="1" a="1"/>
  <c r="P62" i="293" s="1"/>
  <c r="F118" i="180"/>
  <c r="I10" i="180"/>
  <c r="M10" i="180" s="1"/>
  <c r="H13" i="293" s="1" a="1"/>
  <c r="H13" i="293" s="1"/>
  <c r="U43" i="180"/>
  <c r="P45" i="293" s="1" a="1"/>
  <c r="P45" i="293" s="1"/>
  <c r="K29" i="180"/>
  <c r="K32" i="293" s="1" a="1"/>
  <c r="K32" i="293" s="1"/>
  <c r="T16" i="180"/>
  <c r="F75" i="180"/>
  <c r="Z75" i="180" s="1"/>
  <c r="S77" i="293" s="1"/>
  <c r="N32" i="180"/>
  <c r="T33" i="180"/>
  <c r="W70" i="180"/>
  <c r="Q72" i="293" s="1" a="1"/>
  <c r="Q72" i="293" s="1"/>
  <c r="J30" i="180"/>
  <c r="J33" i="293" s="1" a="1"/>
  <c r="J33" i="293" s="1"/>
  <c r="T85" i="180"/>
  <c r="I120" i="180"/>
  <c r="J43" i="180"/>
  <c r="J45" i="293" s="1" a="1"/>
  <c r="J45" i="293" s="1"/>
  <c r="K82" i="180"/>
  <c r="K84" i="293" s="1" a="1"/>
  <c r="K84" i="293" s="1"/>
  <c r="U78" i="180"/>
  <c r="P80" i="293" s="1" a="1"/>
  <c r="P80" i="293" s="1"/>
  <c r="W84" i="180"/>
  <c r="Q86" i="293" s="1" a="1"/>
  <c r="Q86" i="293" s="1"/>
  <c r="W39" i="180"/>
  <c r="Q41" i="293" s="1" a="1"/>
  <c r="Q41" i="293" s="1"/>
  <c r="P67" i="180"/>
  <c r="O69" i="293" s="1" a="1"/>
  <c r="O69" i="293" s="1"/>
  <c r="N41" i="180"/>
  <c r="R41" i="180" s="1"/>
  <c r="L43" i="293" s="1" a="1"/>
  <c r="L43" i="293" s="1"/>
  <c r="J88" i="180"/>
  <c r="J90" i="293" s="1" a="1"/>
  <c r="J90" i="293" s="1"/>
  <c r="J58" i="180"/>
  <c r="J60" i="293" s="1" a="1"/>
  <c r="J60" i="293" s="1"/>
  <c r="K71" i="180"/>
  <c r="L71" i="180" s="1"/>
  <c r="V15" i="180"/>
  <c r="W35" i="180"/>
  <c r="Q38" i="293" s="1" a="1"/>
  <c r="Q38" i="293" s="1"/>
  <c r="W54" i="180"/>
  <c r="Q56" i="293" s="1" a="1"/>
  <c r="Q56" i="293" s="1"/>
  <c r="P65" i="180"/>
  <c r="I53" i="180"/>
  <c r="M53" i="180" s="1"/>
  <c r="H55" i="293" s="1" a="1"/>
  <c r="H55" i="293" s="1"/>
  <c r="J7" i="180"/>
  <c r="J10" i="293" s="1" a="1"/>
  <c r="J10" i="293" s="1"/>
  <c r="P25" i="180"/>
  <c r="F46" i="180"/>
  <c r="Z46" i="180" s="1"/>
  <c r="S48" i="293" s="1"/>
  <c r="F29" i="180"/>
  <c r="Z29" i="180" s="1"/>
  <c r="S32" i="293" s="1"/>
  <c r="T64" i="180"/>
  <c r="N31" i="180"/>
  <c r="F53" i="180"/>
  <c r="Z53" i="180" s="1"/>
  <c r="S55" i="293" s="1"/>
  <c r="V29" i="180"/>
  <c r="N70" i="180"/>
  <c r="R70" i="180" s="1"/>
  <c r="L72" i="293" s="1" a="1"/>
  <c r="L72" i="293" s="1"/>
  <c r="T71" i="180"/>
  <c r="T36" i="180"/>
  <c r="V53" i="180"/>
  <c r="W32" i="180"/>
  <c r="Q35" i="293" s="1" a="1"/>
  <c r="Q35" i="293" s="1"/>
  <c r="W33" i="180"/>
  <c r="Q36" i="293" s="1" a="1"/>
  <c r="Q36" i="293" s="1"/>
  <c r="J11" i="180"/>
  <c r="J14" i="293" s="1" a="1"/>
  <c r="J14" i="293" s="1"/>
  <c r="P63" i="180"/>
  <c r="O65" i="293" s="1" a="1"/>
  <c r="O65" i="293" s="1"/>
  <c r="I24" i="180"/>
  <c r="N24" i="180"/>
  <c r="R24" i="180" s="1"/>
  <c r="L27" i="293" s="1" a="1"/>
  <c r="L27" i="293" s="1"/>
  <c r="W77" i="180"/>
  <c r="Q79" i="293" s="1" a="1"/>
  <c r="Q79" i="293" s="1"/>
  <c r="J28" i="180"/>
  <c r="J31" i="293" s="1" a="1"/>
  <c r="J31" i="293" s="1"/>
  <c r="J12" i="180"/>
  <c r="J15" i="293" s="1" a="1"/>
  <c r="J15" i="293" s="1"/>
  <c r="P72" i="180"/>
  <c r="O74" i="293" s="1" a="1"/>
  <c r="O74" i="293" s="1"/>
  <c r="N30" i="180"/>
  <c r="M33" i="293" s="1" a="1"/>
  <c r="M33" i="293" s="1"/>
  <c r="P53" i="180"/>
  <c r="V48" i="180"/>
  <c r="P23" i="180"/>
  <c r="Q23" i="180" s="1"/>
  <c r="W85" i="180"/>
  <c r="Q87" i="293" s="1" a="1"/>
  <c r="Q87" i="293" s="1"/>
  <c r="K10" i="180"/>
  <c r="K13" i="293" s="1" a="1"/>
  <c r="K13" i="293" s="1"/>
  <c r="V81" i="180"/>
  <c r="U8" i="180"/>
  <c r="P11" i="293" s="1" a="1"/>
  <c r="P11" i="293" s="1"/>
  <c r="T88" i="180"/>
  <c r="T18" i="180"/>
  <c r="J81" i="180"/>
  <c r="J83" i="293" s="1" a="1"/>
  <c r="J83" i="293" s="1"/>
  <c r="U75" i="180"/>
  <c r="P77" i="293" s="1" a="1"/>
  <c r="P77" i="293" s="1"/>
  <c r="U83" i="180"/>
  <c r="P85" i="293" s="1" a="1"/>
  <c r="P85" i="293" s="1"/>
  <c r="T60" i="180"/>
  <c r="I49" i="180"/>
  <c r="I51" i="293" s="1" a="1"/>
  <c r="I51" i="293" s="1"/>
  <c r="F37" i="180"/>
  <c r="I63" i="180"/>
  <c r="N66" i="180"/>
  <c r="M68" i="293" s="1" a="1"/>
  <c r="M68" i="293" s="1"/>
  <c r="J120" i="180"/>
  <c r="J122" i="293" s="1" a="1"/>
  <c r="J122" i="293" s="1"/>
  <c r="P30" i="180"/>
  <c r="P24" i="180"/>
  <c r="O27" i="293" s="1" a="1"/>
  <c r="O27" i="293" s="1"/>
  <c r="T66" i="180"/>
  <c r="N21" i="180"/>
  <c r="M24" i="293" s="1" a="1"/>
  <c r="M24" i="293" s="1"/>
  <c r="W82" i="180"/>
  <c r="Q84" i="293" s="1" a="1"/>
  <c r="Q84" i="293" s="1"/>
  <c r="K45" i="180"/>
  <c r="K47" i="293" s="1" a="1"/>
  <c r="K47" i="293" s="1"/>
  <c r="I70" i="180"/>
  <c r="I72" i="293" s="1" a="1"/>
  <c r="I72" i="293" s="1"/>
  <c r="T31" i="180"/>
  <c r="V60" i="180"/>
  <c r="V72" i="180"/>
  <c r="T81" i="180"/>
  <c r="T35" i="180"/>
  <c r="J18" i="180"/>
  <c r="J21" i="293" s="1" a="1"/>
  <c r="J21" i="293" s="1"/>
  <c r="N29" i="180"/>
  <c r="R29" i="180" s="1"/>
  <c r="L32" i="293" s="1" a="1"/>
  <c r="L32" i="293" s="1"/>
  <c r="K80" i="180"/>
  <c r="K82" i="293" s="1" a="1"/>
  <c r="K82" i="293" s="1"/>
  <c r="U31" i="180"/>
  <c r="P34" i="293" s="1" a="1"/>
  <c r="P34" i="293" s="1"/>
  <c r="P41" i="180"/>
  <c r="J41" i="180"/>
  <c r="J43" i="293" s="1" a="1"/>
  <c r="J43" i="293" s="1"/>
  <c r="O41" i="180"/>
  <c r="N43" i="293" s="1" a="1"/>
  <c r="N43" i="293" s="1"/>
  <c r="I50" i="180"/>
  <c r="U10" i="180"/>
  <c r="P13" i="293" s="1" a="1"/>
  <c r="P13" i="293" s="1"/>
  <c r="T80" i="180"/>
  <c r="I77" i="180"/>
  <c r="T57" i="180"/>
  <c r="U15" i="180"/>
  <c r="P18" i="293" s="1" a="1"/>
  <c r="P18" i="293" s="1"/>
  <c r="J71" i="180"/>
  <c r="J73" i="293" s="1" a="1"/>
  <c r="J73" i="293" s="1"/>
  <c r="T62" i="180"/>
  <c r="I25" i="180"/>
  <c r="K63" i="180"/>
  <c r="L63" i="180" s="1"/>
  <c r="W120" i="180"/>
  <c r="Q122" i="293" s="1" a="1"/>
  <c r="Q122" i="293" s="1"/>
  <c r="K37" i="180"/>
  <c r="Y37" i="180" s="1"/>
  <c r="R40" i="293" s="1" a="1"/>
  <c r="R40" i="293" s="1"/>
  <c r="I81" i="180"/>
  <c r="P78" i="180"/>
  <c r="Q78" i="180" s="1"/>
  <c r="J63" i="180"/>
  <c r="J65" i="293" s="1" a="1"/>
  <c r="J65" i="293" s="1"/>
  <c r="V11" i="180"/>
  <c r="J72" i="180"/>
  <c r="J74" i="293" s="1" a="1"/>
  <c r="J74" i="293" s="1"/>
  <c r="I84" i="180"/>
  <c r="M84" i="180" s="1"/>
  <c r="H86" i="293" s="1" a="1"/>
  <c r="H86" i="293" s="1"/>
  <c r="F43" i="180"/>
  <c r="Z43" i="180" s="1"/>
  <c r="S45" i="293" s="1"/>
  <c r="J49" i="180"/>
  <c r="J51" i="293" s="1" a="1"/>
  <c r="J51" i="293" s="1"/>
  <c r="F45" i="180"/>
  <c r="Z45" i="180" s="1"/>
  <c r="S47" i="293" s="1"/>
  <c r="W12" i="180"/>
  <c r="Q15" i="293" s="1" a="1"/>
  <c r="Q15" i="293" s="1"/>
  <c r="F79" i="180"/>
  <c r="V58" i="180"/>
  <c r="F38" i="180"/>
  <c r="Z38" i="180" s="1"/>
  <c r="W66" i="180"/>
  <c r="Q68" i="293" s="1" a="1"/>
  <c r="Q68" i="293" s="1"/>
  <c r="F50" i="180"/>
  <c r="Z50" i="180" s="1"/>
  <c r="S52" i="293" s="1"/>
  <c r="K57" i="180"/>
  <c r="K59" i="293" s="1" a="1"/>
  <c r="K59" i="293" s="1"/>
  <c r="F32" i="180"/>
  <c r="E35" i="293" s="1"/>
  <c r="P75" i="180"/>
  <c r="Q75" i="180" s="1"/>
  <c r="U68" i="180"/>
  <c r="P70" i="293" s="1" a="1"/>
  <c r="P70" i="293" s="1"/>
  <c r="W121" i="180"/>
  <c r="Q123" i="293" s="1" a="1"/>
  <c r="Q123" i="293" s="1"/>
  <c r="N57" i="180"/>
  <c r="F24" i="180"/>
  <c r="W15" i="180"/>
  <c r="Q18" i="293" s="1" a="1"/>
  <c r="Q18" i="293" s="1"/>
  <c r="K35" i="180"/>
  <c r="N16" i="180"/>
  <c r="M19" i="293" s="1" a="1"/>
  <c r="M19" i="293" s="1"/>
  <c r="T42" i="180"/>
  <c r="J86" i="180"/>
  <c r="J88" i="293" s="1" a="1"/>
  <c r="J88" i="293" s="1"/>
  <c r="W36" i="180"/>
  <c r="Q39" i="293" s="1" a="1"/>
  <c r="Q39" i="293" s="1"/>
  <c r="K62" i="180"/>
  <c r="L62" i="180" s="1"/>
  <c r="W42" i="180"/>
  <c r="Q44" i="293" s="1" a="1"/>
  <c r="Q44" i="293" s="1"/>
  <c r="W71" i="180"/>
  <c r="Q73" i="293" s="1" a="1"/>
  <c r="Q73" i="293" s="1"/>
  <c r="U24" i="180"/>
  <c r="P27" i="293" s="1" a="1"/>
  <c r="P27" i="293" s="1"/>
  <c r="I119" i="180"/>
  <c r="M119" i="180" s="1"/>
  <c r="H121" i="293" s="1" a="1"/>
  <c r="H121" i="293" s="1"/>
  <c r="F72" i="180"/>
  <c r="Z72" i="180" s="1"/>
  <c r="S74" i="293" s="1"/>
  <c r="F64" i="180"/>
  <c r="E66" i="293" s="1"/>
  <c r="W88" i="180"/>
  <c r="Q90" i="293" s="1" a="1"/>
  <c r="Q90" i="293" s="1"/>
  <c r="T21" i="180"/>
  <c r="O18" i="180"/>
  <c r="N21" i="293" s="1" a="1"/>
  <c r="N21" i="293" s="1"/>
  <c r="T46" i="180"/>
  <c r="F10" i="180"/>
  <c r="Z10" i="180" s="1"/>
  <c r="S13" i="293" s="1"/>
  <c r="I54" i="180"/>
  <c r="I56" i="293" s="1" a="1"/>
  <c r="I56" i="293" s="1"/>
  <c r="T56" i="180"/>
  <c r="N68" i="180"/>
  <c r="M70" i="293" s="1" a="1"/>
  <c r="M70" i="293" s="1"/>
  <c r="W80" i="180"/>
  <c r="Q82" i="293" s="1" a="1"/>
  <c r="Q82" i="293" s="1"/>
  <c r="O83" i="180"/>
  <c r="N85" i="293" s="1" a="1"/>
  <c r="N85" i="293" s="1"/>
  <c r="N22" i="180"/>
  <c r="M25" i="293" s="1" a="1"/>
  <c r="M25" i="293" s="1"/>
  <c r="F22" i="180"/>
  <c r="K30" i="180"/>
  <c r="O33" i="180"/>
  <c r="N36" i="293" s="1" a="1"/>
  <c r="N36" i="293" s="1"/>
  <c r="V32" i="180"/>
  <c r="F48" i="180"/>
  <c r="U35" i="180"/>
  <c r="P38" i="293" s="1" a="1"/>
  <c r="P38" i="293" s="1"/>
  <c r="F66" i="180"/>
  <c r="Z66" i="180" s="1"/>
  <c r="S68" i="293" s="1"/>
  <c r="W24" i="180"/>
  <c r="Q27" i="293" s="1" a="1"/>
  <c r="Q27" i="293" s="1"/>
  <c r="U22" i="180"/>
  <c r="P25" i="293" s="1" a="1"/>
  <c r="P25" i="293" s="1"/>
  <c r="W30" i="180"/>
  <c r="Q33" i="293" s="1" a="1"/>
  <c r="Q33" i="293" s="1"/>
  <c r="U57" i="180"/>
  <c r="P59" i="293" s="1" a="1"/>
  <c r="P59" i="293" s="1"/>
  <c r="F33" i="180"/>
  <c r="E36" i="293" s="1"/>
  <c r="J66" i="180"/>
  <c r="J68" i="293" s="1" a="1"/>
  <c r="J68" i="293" s="1"/>
  <c r="F56" i="180"/>
  <c r="Z56" i="180" s="1"/>
  <c r="S58" i="293" s="1"/>
  <c r="F51" i="180"/>
  <c r="Z51" i="180" s="1"/>
  <c r="S53" i="293" s="1"/>
  <c r="V49" i="180"/>
  <c r="K58" i="180"/>
  <c r="Y58" i="180" s="1"/>
  <c r="R60" i="293" s="1" a="1"/>
  <c r="R60" i="293" s="1"/>
  <c r="T22" i="180"/>
  <c r="T75" i="180"/>
  <c r="J37" i="180"/>
  <c r="J40" i="293" s="1" a="1"/>
  <c r="J40" i="293" s="1"/>
  <c r="K46" i="180"/>
  <c r="T50" i="180"/>
  <c r="I62" i="180"/>
  <c r="I64" i="293" s="1" a="1"/>
  <c r="I64" i="293" s="1"/>
  <c r="J39" i="180"/>
  <c r="J41" i="293" s="1" a="1"/>
  <c r="J41" i="293" s="1"/>
  <c r="V54" i="180"/>
  <c r="V21" i="180"/>
  <c r="T59" i="180"/>
  <c r="V65" i="180"/>
  <c r="J61" i="180"/>
  <c r="J63" i="293" s="1" a="1"/>
  <c r="J63" i="293" s="1"/>
  <c r="F58" i="180"/>
  <c r="Z58" i="180" s="1"/>
  <c r="S60" i="293" s="1"/>
  <c r="P10" i="180"/>
  <c r="O13" i="293" s="1" a="1"/>
  <c r="O13" i="293" s="1"/>
  <c r="W37" i="180"/>
  <c r="Q40" i="293" s="1" a="1"/>
  <c r="Q40" i="293" s="1"/>
  <c r="F87" i="180"/>
  <c r="Z87" i="180" s="1"/>
  <c r="S89" i="293" s="1"/>
  <c r="F36" i="180"/>
  <c r="W21" i="180"/>
  <c r="Q24" i="293" s="1" a="1"/>
  <c r="Q24" i="293" s="1"/>
  <c r="N13" i="180"/>
  <c r="O75" i="180"/>
  <c r="N77" i="293" s="1" a="1"/>
  <c r="N77" i="293" s="1"/>
  <c r="T67" i="180"/>
  <c r="P31" i="180"/>
  <c r="P21" i="180"/>
  <c r="O24" i="293" s="1" a="1"/>
  <c r="O24" i="293" s="1"/>
  <c r="W60" i="180"/>
  <c r="Q62" i="293" s="1" a="1"/>
  <c r="Q62" i="293" s="1"/>
  <c r="K12" i="180"/>
  <c r="L12" i="180" s="1"/>
  <c r="I72" i="180"/>
  <c r="V78" i="180"/>
  <c r="I45" i="180"/>
  <c r="I47" i="293" s="1" a="1"/>
  <c r="I47" i="293" s="1"/>
  <c r="I80" i="180"/>
  <c r="I82" i="293" s="1" a="1"/>
  <c r="I82" i="293" s="1"/>
  <c r="V61" i="180"/>
  <c r="V88" i="180"/>
  <c r="W41" i="180"/>
  <c r="Q43" i="293" s="1" a="1"/>
  <c r="Q43" i="293" s="1"/>
  <c r="T78" i="180"/>
  <c r="U49" i="180"/>
  <c r="P51" i="293" s="1" a="1"/>
  <c r="P51" i="293" s="1"/>
  <c r="V46" i="180"/>
  <c r="O23" i="180"/>
  <c r="N26" i="293" s="1" a="1"/>
  <c r="N26" i="293" s="1"/>
  <c r="P32" i="297" s="1"/>
  <c r="P314" i="297" s="1"/>
  <c r="R314" i="297" s="1"/>
  <c r="P62" i="180"/>
  <c r="O64" i="293" s="1" a="1"/>
  <c r="O64" i="293" s="1"/>
  <c r="O53" i="180"/>
  <c r="K54" i="180"/>
  <c r="Y54" i="180" s="1"/>
  <c r="R56" i="293" s="1" a="1"/>
  <c r="R56" i="293" s="1"/>
  <c r="N60" i="180"/>
  <c r="F28" i="180"/>
  <c r="Z28" i="180" s="1"/>
  <c r="S31" i="293" s="1"/>
  <c r="V80" i="180"/>
  <c r="K23" i="180"/>
  <c r="F23" i="180"/>
  <c r="K70" i="180"/>
  <c r="U79" i="180"/>
  <c r="P81" i="293" s="1" a="1"/>
  <c r="P81" i="293" s="1"/>
  <c r="K50" i="180"/>
  <c r="K52" i="293" s="1" a="1"/>
  <c r="K52" i="293" s="1"/>
  <c r="F60" i="180"/>
  <c r="I118" i="180"/>
  <c r="M118" i="180" s="1"/>
  <c r="H120" i="293" s="1" a="1"/>
  <c r="H120" i="293" s="1"/>
  <c r="J56" i="180"/>
  <c r="J58" i="293" s="1" a="1"/>
  <c r="J58" i="293" s="1"/>
  <c r="I83" i="180"/>
  <c r="M83" i="180" s="1"/>
  <c r="H85" i="293" s="1" a="1"/>
  <c r="H85" i="293" s="1"/>
  <c r="T28" i="180"/>
  <c r="K7" i="180"/>
  <c r="Y7" i="180" s="1"/>
  <c r="R10" i="293" s="1" a="1"/>
  <c r="R10" i="293" s="1"/>
  <c r="J60" i="180"/>
  <c r="J62" i="293" s="1" a="1"/>
  <c r="J62" i="293" s="1"/>
  <c r="U45" i="180"/>
  <c r="P47" i="293" s="1" a="1"/>
  <c r="P47" i="293" s="1"/>
  <c r="T30" i="180"/>
  <c r="O68" i="180"/>
  <c r="N70" i="293" s="1" a="1"/>
  <c r="N70" i="293" s="1"/>
  <c r="T121" i="180"/>
  <c r="T29" i="180"/>
  <c r="O24" i="180"/>
  <c r="N27" i="293" s="1" a="1"/>
  <c r="N27" i="293" s="1"/>
  <c r="W22" i="180"/>
  <c r="Q25" i="293" s="1" a="1"/>
  <c r="Q25" i="293" s="1"/>
  <c r="N33" i="180"/>
  <c r="R33" i="180" s="1"/>
  <c r="L36" i="293" s="1" a="1"/>
  <c r="L36" i="293" s="1"/>
  <c r="T43" i="180"/>
  <c r="U119" i="180"/>
  <c r="P121" i="293" s="1" a="1"/>
  <c r="P121" i="293" s="1"/>
  <c r="U51" i="180"/>
  <c r="P53" i="293" s="1" a="1"/>
  <c r="P53" i="293" s="1"/>
  <c r="O30" i="180"/>
  <c r="N33" i="293" s="1" a="1"/>
  <c r="N33" i="293" s="1"/>
  <c r="O10" i="180"/>
  <c r="N13" i="293" s="1" a="1"/>
  <c r="N13" i="293" s="1"/>
  <c r="K33" i="180"/>
  <c r="K36" i="293" s="1" a="1"/>
  <c r="K36" i="293" s="1"/>
  <c r="J54" i="180"/>
  <c r="J56" i="293" s="1" a="1"/>
  <c r="J56" i="293" s="1"/>
  <c r="F15" i="180"/>
  <c r="Z15" i="180" s="1"/>
  <c r="S18" i="293" s="1"/>
  <c r="J42" i="180"/>
  <c r="J44" i="293" s="1" a="1"/>
  <c r="J44" i="293" s="1"/>
  <c r="I66" i="180"/>
  <c r="I68" i="293" s="1" a="1"/>
  <c r="I68" i="293" s="1"/>
  <c r="T82" i="180"/>
  <c r="W59" i="180"/>
  <c r="Q61" i="293" s="1" a="1"/>
  <c r="Q61" i="293" s="1"/>
  <c r="I39" i="180"/>
  <c r="T7" i="180"/>
  <c r="I28" i="180"/>
  <c r="M28" i="180" s="1"/>
  <c r="H31" i="293" s="1" a="1"/>
  <c r="H31" i="293" s="1"/>
  <c r="U42" i="180"/>
  <c r="P44" i="293" s="1" a="1"/>
  <c r="P44" i="293" s="1"/>
  <c r="W75" i="180"/>
  <c r="Q77" i="293" s="1" a="1"/>
  <c r="Q77" i="293" s="1"/>
  <c r="F8" i="180"/>
  <c r="E11" i="293" s="1"/>
  <c r="N78" i="180"/>
  <c r="M80" i="293" s="1" a="1"/>
  <c r="M80" i="293" s="1"/>
  <c r="V83" i="180"/>
  <c r="V87" i="180"/>
  <c r="N65" i="180"/>
  <c r="R65" i="180" s="1"/>
  <c r="L67" i="293" s="1" a="1"/>
  <c r="L67" i="293" s="1"/>
  <c r="J50" i="180"/>
  <c r="J52" i="293" s="1" a="1"/>
  <c r="J52" i="293" s="1"/>
  <c r="O22" i="180"/>
  <c r="N25" i="293" s="1" a="1"/>
  <c r="N25" i="293" s="1"/>
  <c r="T13" i="180"/>
  <c r="J10" i="180"/>
  <c r="J13" i="293" s="1" a="1"/>
  <c r="J13" i="293" s="1"/>
  <c r="W23" i="180"/>
  <c r="Q26" i="293" s="1" a="1"/>
  <c r="Q26" i="293" s="1"/>
  <c r="U11" i="180"/>
  <c r="P14" i="293" s="1" a="1"/>
  <c r="P14" i="293" s="1"/>
  <c r="W10" i="180"/>
  <c r="Q13" i="293" s="1" a="1"/>
  <c r="Q13" i="293" s="1"/>
  <c r="W78" i="180"/>
  <c r="Q80" i="293" s="1" a="1"/>
  <c r="Q80" i="293" s="1"/>
  <c r="O56" i="180"/>
  <c r="N58" i="293" s="1" a="1"/>
  <c r="N58" i="293" s="1"/>
  <c r="I48" i="180"/>
  <c r="M48" i="180" s="1"/>
  <c r="H50" i="293" s="1" a="1"/>
  <c r="H50" i="293" s="1"/>
  <c r="O78" i="180"/>
  <c r="N80" i="293" s="1" a="1"/>
  <c r="N80" i="293" s="1"/>
  <c r="F55" i="180"/>
  <c r="Z55" i="180" s="1"/>
  <c r="S57" i="293" s="1"/>
  <c r="I86" i="180"/>
  <c r="M86" i="180" s="1"/>
  <c r="H88" i="293" s="1" a="1"/>
  <c r="H88" i="293" s="1"/>
  <c r="K86" i="180"/>
  <c r="Y86" i="180" s="1"/>
  <c r="R88" i="293" s="1" a="1"/>
  <c r="R88" i="293" s="1"/>
  <c r="K85" i="180"/>
  <c r="Y85" i="180" s="1"/>
  <c r="R87" i="293" s="1" a="1"/>
  <c r="R87" i="293" s="1"/>
  <c r="U50" i="180"/>
  <c r="P52" i="293" s="1" a="1"/>
  <c r="P52" i="293" s="1"/>
  <c r="W81" i="180"/>
  <c r="Q83" i="293" s="1" a="1"/>
  <c r="Q83" i="293" s="1"/>
  <c r="F83" i="180"/>
  <c r="E85" i="293" s="1"/>
  <c r="T24" i="180"/>
  <c r="P29" i="180"/>
  <c r="F120" i="180"/>
  <c r="Z120" i="180" s="1"/>
  <c r="S122" i="293" s="1"/>
  <c r="U118" i="180"/>
  <c r="P120" i="293" s="1" a="1"/>
  <c r="P120" i="293" s="1"/>
  <c r="V37" i="180"/>
  <c r="I21" i="180"/>
  <c r="M21" i="180" s="1"/>
  <c r="H24" i="293" s="1" a="1"/>
  <c r="H24" i="293" s="1"/>
  <c r="T10" i="180"/>
  <c r="U30" i="180"/>
  <c r="P33" i="293" s="1" a="1"/>
  <c r="P33" i="293" s="1"/>
  <c r="O57" i="180"/>
  <c r="N59" i="293" s="1" a="1"/>
  <c r="N59" i="293" s="1"/>
  <c r="W57" i="180"/>
  <c r="Q59" i="293" s="1" a="1"/>
  <c r="Q59" i="293" s="1"/>
  <c r="K64" i="180"/>
  <c r="F12" i="180"/>
  <c r="E15" i="293" s="1"/>
  <c r="V16" i="180"/>
  <c r="V79" i="180"/>
  <c r="O67" i="180"/>
  <c r="N69" i="293" s="1" a="1"/>
  <c r="N69" i="293" s="1"/>
  <c r="F49" i="180"/>
  <c r="Z49" i="180" s="1"/>
  <c r="S51" i="293" s="1"/>
  <c r="V36" i="180"/>
  <c r="I42" i="180"/>
  <c r="I44" i="293" s="1" a="1"/>
  <c r="I44" i="293" s="1"/>
  <c r="U25" i="180"/>
  <c r="P28" i="293" s="1" a="1"/>
  <c r="P28" i="293" s="1"/>
  <c r="N83" i="180"/>
  <c r="M85" i="293" s="1" a="1"/>
  <c r="M85" i="293" s="1"/>
  <c r="W50" i="180"/>
  <c r="Q52" i="293" s="1" a="1"/>
  <c r="Q52" i="293" s="1"/>
  <c r="F62" i="180"/>
  <c r="E64" i="293" s="1"/>
  <c r="J35" i="180"/>
  <c r="J38" i="293" s="1" a="1"/>
  <c r="J38" i="293" s="1"/>
  <c r="V59" i="180"/>
  <c r="V41" i="180"/>
  <c r="V7" i="180"/>
  <c r="I46" i="180"/>
  <c r="M46" i="180" s="1"/>
  <c r="H48" i="293" s="1" a="1"/>
  <c r="H48" i="293" s="1"/>
  <c r="T72" i="180"/>
  <c r="F25" i="180"/>
  <c r="V8" i="180"/>
  <c r="K55" i="180"/>
  <c r="K57" i="293" s="1" a="1"/>
  <c r="K57" i="293" s="1"/>
  <c r="J31" i="180"/>
  <c r="J34" i="293" s="1" a="1"/>
  <c r="J34" i="293" s="1"/>
  <c r="U85" i="180"/>
  <c r="P87" i="293" s="1" a="1"/>
  <c r="P87" i="293" s="1"/>
  <c r="U7" i="180"/>
  <c r="P10" i="293" s="1" a="1"/>
  <c r="P10" i="293" s="1"/>
  <c r="F63" i="180"/>
  <c r="W68" i="180"/>
  <c r="Q70" i="293" s="1" a="1"/>
  <c r="Q70" i="293" s="1"/>
  <c r="K21" i="180"/>
  <c r="K24" i="293" s="1" a="1"/>
  <c r="K24" i="293" s="1"/>
  <c r="I88" i="180"/>
  <c r="I90" i="293" s="1" a="1"/>
  <c r="I90" i="293" s="1"/>
  <c r="O16" i="180"/>
  <c r="N19" i="293" s="1" a="1"/>
  <c r="N19" i="293" s="1"/>
  <c r="V31" i="180"/>
  <c r="W11" i="180"/>
  <c r="Q14" i="293" s="1" a="1"/>
  <c r="Q14" i="293" s="1"/>
  <c r="K42" i="180"/>
  <c r="F42" i="180"/>
  <c r="Z42" i="180" s="1"/>
  <c r="S44" i="293" s="1"/>
  <c r="J68" i="180"/>
  <c r="J70" i="293" s="1" a="1"/>
  <c r="J70" i="293" s="1"/>
  <c r="J13" i="180"/>
  <c r="J16" i="293" s="1" a="1"/>
  <c r="J16" i="293" s="1"/>
  <c r="W25" i="180"/>
  <c r="Q28" i="293" s="1" a="1"/>
  <c r="Q28" i="293" s="1"/>
  <c r="T83" i="180"/>
  <c r="K28" i="180"/>
  <c r="L28" i="180" s="1"/>
  <c r="U14" i="180"/>
  <c r="P17" i="293" s="1" a="1"/>
  <c r="P17" i="293" s="1"/>
  <c r="T12" i="180"/>
  <c r="V45" i="180"/>
  <c r="U41" i="180"/>
  <c r="P43" i="293" s="1" a="1"/>
  <c r="P43" i="293" s="1"/>
  <c r="J67" i="180"/>
  <c r="J69" i="293" s="1" a="1"/>
  <c r="J69" i="293" s="1"/>
  <c r="U82" i="180"/>
  <c r="P84" i="293" s="1" a="1"/>
  <c r="P84" i="293" s="1"/>
  <c r="F70" i="180"/>
  <c r="I64" i="180"/>
  <c r="I66" i="293" s="1" a="1"/>
  <c r="I66" i="293" s="1"/>
  <c r="F80" i="180"/>
  <c r="E82" i="293" s="1"/>
  <c r="T68" i="180"/>
  <c r="T77" i="180"/>
  <c r="I68" i="180"/>
  <c r="I70" i="293" s="1" a="1"/>
  <c r="I70" i="293" s="1"/>
  <c r="F81" i="180"/>
  <c r="Z81" i="180" s="1"/>
  <c r="S83" i="293" s="1"/>
  <c r="F78" i="180"/>
  <c r="E80" i="293" s="1"/>
  <c r="J82" i="180"/>
  <c r="J84" i="293" s="1" a="1"/>
  <c r="J84" i="293" s="1"/>
  <c r="T48" i="180"/>
  <c r="I43" i="180"/>
  <c r="M43" i="180" s="1"/>
  <c r="H45" i="293" s="1" a="1"/>
  <c r="H45" i="293" s="1"/>
  <c r="K32" i="180"/>
  <c r="L32" i="180" s="1"/>
  <c r="K8" i="180"/>
  <c r="Y8" i="180" s="1"/>
  <c r="R11" i="293" s="1" a="1"/>
  <c r="R11" i="293" s="1"/>
  <c r="W53" i="180"/>
  <c r="Q55" i="293" s="1" a="1"/>
  <c r="Q55" i="293" s="1"/>
  <c r="W83" i="180"/>
  <c r="Q85" i="293" s="1" a="1"/>
  <c r="Q85" i="293" s="1"/>
  <c r="V84" i="180"/>
  <c r="T37" i="180"/>
  <c r="K72" i="180"/>
  <c r="K74" i="293" s="1" a="1"/>
  <c r="K74" i="293" s="1"/>
  <c r="N64" i="180"/>
  <c r="I18" i="180"/>
  <c r="J80" i="180"/>
  <c r="J82" i="293" s="1" a="1"/>
  <c r="J82" i="293" s="1"/>
  <c r="W55" i="180"/>
  <c r="Q57" i="293" s="1" a="1"/>
  <c r="Q57" i="293" s="1"/>
  <c r="P16" i="180"/>
  <c r="Y16" i="180" s="1"/>
  <c r="R19" i="293" s="1" a="1"/>
  <c r="R19" i="293" s="1"/>
  <c r="I78" i="180"/>
  <c r="I80" i="293" s="1" a="1"/>
  <c r="I80" i="293" s="1"/>
  <c r="W79" i="180"/>
  <c r="Q81" i="293" s="1" a="1"/>
  <c r="Q81" i="293" s="1"/>
  <c r="T79" i="180"/>
  <c r="K11" i="180"/>
  <c r="Y11" i="180" s="1"/>
  <c r="R14" i="293" s="1" a="1"/>
  <c r="R14" i="293" s="1"/>
  <c r="W56" i="180"/>
  <c r="Q58" i="293" s="1" a="1"/>
  <c r="Q58" i="293" s="1"/>
  <c r="K43" i="180"/>
  <c r="Y43" i="180" s="1"/>
  <c r="R45" i="293" s="1" a="1"/>
  <c r="R45" i="293" s="1"/>
  <c r="P56" i="180"/>
  <c r="O58" i="293" s="1" a="1"/>
  <c r="O58" i="293" s="1"/>
  <c r="J29" i="180"/>
  <c r="J32" i="293" s="1" a="1"/>
  <c r="J32" i="293" s="1"/>
  <c r="T58" i="180"/>
  <c r="U39" i="180"/>
  <c r="P41" i="293" s="1" a="1"/>
  <c r="P41" i="293" s="1"/>
  <c r="T39" i="180"/>
  <c r="O25" i="180"/>
  <c r="N28" i="293" s="1" a="1"/>
  <c r="N28" i="293" s="1"/>
  <c r="I87" i="180"/>
  <c r="I89" i="293" s="1" a="1"/>
  <c r="I89" i="293" s="1"/>
  <c r="O21" i="180"/>
  <c r="N24" i="293" s="1" a="1"/>
  <c r="N24" i="293" s="1"/>
  <c r="U67" i="180"/>
  <c r="P69" i="293" s="1" a="1"/>
  <c r="P69" i="293" s="1"/>
  <c r="F68" i="180"/>
  <c r="E70" i="293" s="1"/>
  <c r="V23" i="180"/>
  <c r="U71" i="180"/>
  <c r="P73" i="293" s="1" a="1"/>
  <c r="P73" i="293" s="1"/>
  <c r="U23" i="180"/>
  <c r="P26" i="293" s="1" a="1"/>
  <c r="P26" i="293" s="1"/>
  <c r="F35" i="180"/>
  <c r="Z35" i="180" s="1"/>
  <c r="S38" i="293" s="1"/>
  <c r="K66" i="180"/>
  <c r="L66" i="180" s="1"/>
  <c r="O70" i="180"/>
  <c r="N72" i="293" s="1" a="1"/>
  <c r="N72" i="293" s="1"/>
  <c r="W49" i="180"/>
  <c r="Q51" i="293" s="1" a="1"/>
  <c r="Q51" i="293" s="1"/>
  <c r="I75" i="180"/>
  <c r="I77" i="293" s="1" a="1"/>
  <c r="I77" i="293" s="1"/>
  <c r="V68" i="180"/>
  <c r="U120" i="180"/>
  <c r="P122" i="293" s="1" a="1"/>
  <c r="P122" i="293" s="1"/>
  <c r="V35" i="180"/>
  <c r="K53" i="180"/>
  <c r="J14" i="180"/>
  <c r="J17" i="293" s="1" a="1"/>
  <c r="J17" i="293" s="1"/>
  <c r="W118" i="180"/>
  <c r="Q120" i="293" s="1" a="1"/>
  <c r="Q120" i="293" s="1"/>
  <c r="N62" i="180"/>
  <c r="M64" i="293" s="1" a="1"/>
  <c r="M64" i="293" s="1"/>
  <c r="K18" i="180"/>
  <c r="O62" i="180"/>
  <c r="N64" i="293" s="1" a="1"/>
  <c r="N64" i="293" s="1"/>
  <c r="K31" i="180"/>
  <c r="L31" i="180" s="1"/>
  <c r="U56" i="180"/>
  <c r="P58" i="293" s="1" a="1"/>
  <c r="P58" i="293" s="1"/>
  <c r="F119" i="180"/>
  <c r="E121" i="293" s="1"/>
  <c r="I30" i="180"/>
  <c r="M30" i="180" s="1"/>
  <c r="H33" i="293" s="1" a="1"/>
  <c r="H33" i="293" s="1"/>
  <c r="W45" i="180"/>
  <c r="Q47" i="293" s="1" a="1"/>
  <c r="Q47" i="293" s="1"/>
  <c r="K60" i="180"/>
  <c r="F18" i="180"/>
  <c r="E21" i="293" s="1"/>
  <c r="N25" i="180"/>
  <c r="R25" i="180" s="1"/>
  <c r="U36" i="180"/>
  <c r="P39" i="293" s="1" a="1"/>
  <c r="P39" i="293" s="1"/>
  <c r="T63" i="180"/>
  <c r="N23" i="180"/>
  <c r="M26" i="293" s="1" a="1"/>
  <c r="M26" i="293" s="1"/>
  <c r="J32" i="297" s="1"/>
  <c r="V25" i="180"/>
  <c r="F71" i="180"/>
  <c r="V10" i="180"/>
  <c r="K61" i="180"/>
  <c r="Y61" i="180" s="1"/>
  <c r="R63" i="293" s="1" a="1"/>
  <c r="R63" i="293" s="1"/>
  <c r="U29" i="180"/>
  <c r="P32" i="293" s="1" a="1"/>
  <c r="P32" i="293" s="1"/>
  <c r="U88" i="180"/>
  <c r="P90" i="293" s="1" a="1"/>
  <c r="P90" i="293" s="1"/>
  <c r="W72" i="180"/>
  <c r="Q74" i="293" s="1" a="1"/>
  <c r="Q74" i="293" s="1"/>
  <c r="E69" i="293"/>
  <c r="O25" i="293" a="1"/>
  <c r="O25" i="293" s="1"/>
  <c r="Q22" i="180"/>
  <c r="K28" i="293" a="1"/>
  <c r="K28" i="293" s="1"/>
  <c r="Y25" i="180"/>
  <c r="R28" i="293" s="1" a="1"/>
  <c r="R28" i="293" s="1"/>
  <c r="M60" i="180"/>
  <c r="H62" i="293" s="1" a="1"/>
  <c r="H62" i="293" s="1"/>
  <c r="I62" i="293" a="1"/>
  <c r="I62" i="293" s="1"/>
  <c r="I48" i="293" a="1"/>
  <c r="I48" i="293" s="1"/>
  <c r="R66" i="180"/>
  <c r="L68" i="293" s="1" a="1"/>
  <c r="L68" i="293" s="1"/>
  <c r="I87" i="293" a="1"/>
  <c r="I87" i="293" s="1"/>
  <c r="M85" i="180"/>
  <c r="H87" i="293" s="1" a="1"/>
  <c r="H87" i="293" s="1"/>
  <c r="R13" i="180"/>
  <c r="L16" i="293" s="1" a="1"/>
  <c r="L16" i="293" s="1"/>
  <c r="M16" i="293" a="1"/>
  <c r="M16" i="293" s="1"/>
  <c r="Q29" i="180"/>
  <c r="O32" i="293" a="1"/>
  <c r="O32" i="293" s="1"/>
  <c r="Z36" i="180"/>
  <c r="S39" i="293" s="1"/>
  <c r="E39" i="293"/>
  <c r="M22" i="180"/>
  <c r="H25" i="293" s="1" a="1"/>
  <c r="H25" i="293" s="1"/>
  <c r="I25" i="293" a="1"/>
  <c r="I25" i="293" s="1"/>
  <c r="L118" i="180"/>
  <c r="I15" i="293" a="1"/>
  <c r="I15" i="293" s="1"/>
  <c r="Z14" i="180"/>
  <c r="S17" i="293" s="1"/>
  <c r="I53" i="293" a="1"/>
  <c r="I53" i="293" s="1"/>
  <c r="M51" i="180"/>
  <c r="H53" i="293" s="1" a="1"/>
  <c r="H53" i="293" s="1"/>
  <c r="Y84" i="180"/>
  <c r="R86" i="293" s="1" a="1"/>
  <c r="R86" i="293" s="1"/>
  <c r="K86" i="293" a="1"/>
  <c r="K86" i="293" s="1"/>
  <c r="K39" i="293" a="1"/>
  <c r="K39" i="293" s="1"/>
  <c r="L121" i="180"/>
  <c r="Y121" i="180"/>
  <c r="R123" i="293" s="1" a="1"/>
  <c r="R123" i="293" s="1"/>
  <c r="K123" i="293" a="1"/>
  <c r="K123" i="293" s="1"/>
  <c r="O70" i="293" a="1"/>
  <c r="O70" i="293" s="1"/>
  <c r="Q68" i="180"/>
  <c r="I81" i="293" a="1"/>
  <c r="I81" i="293" s="1"/>
  <c r="M79" i="180"/>
  <c r="H81" i="293" s="1" a="1"/>
  <c r="H81" i="293" s="1"/>
  <c r="K34" i="293" a="1"/>
  <c r="K34" i="293" s="1"/>
  <c r="L16" i="180"/>
  <c r="K19" i="293" a="1"/>
  <c r="K19" i="293" s="1"/>
  <c r="K45" i="293" a="1"/>
  <c r="K45" i="293" s="1"/>
  <c r="L43" i="180"/>
  <c r="I35" i="293" a="1"/>
  <c r="I35" i="293" s="1"/>
  <c r="M32" i="180"/>
  <c r="H35" i="293" s="1" a="1"/>
  <c r="H35" i="293" s="1"/>
  <c r="Z83" i="180"/>
  <c r="S85" i="293" s="1"/>
  <c r="M68" i="180"/>
  <c r="H70" i="293" s="1" a="1"/>
  <c r="H70" i="293" s="1"/>
  <c r="Z70" i="180"/>
  <c r="S72" i="293" s="1"/>
  <c r="E72" i="293"/>
  <c r="I41" i="293" a="1"/>
  <c r="I41" i="293" s="1"/>
  <c r="M39" i="180"/>
  <c r="H41" i="293" s="1" a="1"/>
  <c r="H41" i="293" s="1"/>
  <c r="E68" i="293"/>
  <c r="R16" i="180"/>
  <c r="L19" i="293" s="1" a="1"/>
  <c r="L19" i="293" s="1"/>
  <c r="Y35" i="180"/>
  <c r="R38" i="293" s="1" a="1"/>
  <c r="R38" i="293" s="1"/>
  <c r="K38" i="293" a="1"/>
  <c r="K38" i="293" s="1"/>
  <c r="L35" i="180"/>
  <c r="I83" i="293" a="1"/>
  <c r="I83" i="293" s="1"/>
  <c r="M81" i="180"/>
  <c r="H83" i="293" s="1" a="1"/>
  <c r="H83" i="293" s="1"/>
  <c r="M25" i="180"/>
  <c r="H28" i="293" s="1" a="1"/>
  <c r="H28" i="293" s="1"/>
  <c r="I28" i="293" a="1"/>
  <c r="I28" i="293" s="1"/>
  <c r="L45" i="180"/>
  <c r="Q30" i="180"/>
  <c r="O33" i="293" a="1"/>
  <c r="O33" i="293" s="1"/>
  <c r="E28" i="293"/>
  <c r="Z25" i="180"/>
  <c r="S28" i="293" s="1"/>
  <c r="I27" i="293" a="1"/>
  <c r="I27" i="293" s="1"/>
  <c r="M24" i="180"/>
  <c r="H27" i="293" s="1" a="1"/>
  <c r="H27" i="293" s="1"/>
  <c r="E62" i="293"/>
  <c r="Z60" i="180"/>
  <c r="S62" i="293" s="1"/>
  <c r="K72" i="293" a="1"/>
  <c r="K72" i="293" s="1"/>
  <c r="L70" i="180"/>
  <c r="I122" i="293" a="1"/>
  <c r="I122" i="293" s="1"/>
  <c r="M120" i="180"/>
  <c r="H122" i="293" s="1" a="1"/>
  <c r="H122" i="293" s="1"/>
  <c r="O62" i="293" a="1"/>
  <c r="O62" i="293" s="1"/>
  <c r="Q60" i="180"/>
  <c r="E88" i="293"/>
  <c r="E37" i="293"/>
  <c r="Z34" i="180"/>
  <c r="S37" i="293" s="1"/>
  <c r="Z13" i="180"/>
  <c r="S16" i="293" s="1"/>
  <c r="E16" i="293"/>
  <c r="Q66" i="180"/>
  <c r="O68" i="293" a="1"/>
  <c r="O68" i="293" s="1"/>
  <c r="M69" i="293" a="1"/>
  <c r="M69" i="293" s="1"/>
  <c r="I43" i="293" a="1"/>
  <c r="I43" i="293" s="1"/>
  <c r="M41" i="180"/>
  <c r="H43" i="293" s="1" a="1"/>
  <c r="H43" i="293" s="1"/>
  <c r="S12" i="261"/>
  <c r="F20" i="261" s="1"/>
  <c r="U12" i="260"/>
  <c r="F20" i="260" s="1"/>
  <c r="Q11" i="261"/>
  <c r="Q10" i="261"/>
  <c r="R11" i="261"/>
  <c r="R10" i="261"/>
  <c r="T10" i="261"/>
  <c r="T11" i="261"/>
  <c r="S10" i="260"/>
  <c r="S11" i="260"/>
  <c r="D19" i="260"/>
  <c r="D18" i="260"/>
  <c r="D21" i="260"/>
  <c r="D21" i="261"/>
  <c r="D19" i="261"/>
  <c r="D18" i="261"/>
  <c r="E19" i="261"/>
  <c r="E18" i="261"/>
  <c r="E21" i="261"/>
  <c r="T11" i="260"/>
  <c r="E18" i="260"/>
  <c r="E21" i="260"/>
  <c r="E19" i="260"/>
  <c r="T10" i="260"/>
  <c r="V11" i="260"/>
  <c r="V10" i="260"/>
  <c r="G21" i="260"/>
  <c r="G19" i="260"/>
  <c r="G21" i="261"/>
  <c r="G19" i="261"/>
  <c r="U34" i="180" a="1"/>
  <c r="O34" i="180" a="1"/>
  <c r="J73" i="180" a="1"/>
  <c r="J38" i="180" a="1"/>
  <c r="I34" i="180" a="1"/>
  <c r="U38" i="180" a="1"/>
  <c r="N34" i="180" a="1"/>
  <c r="I38" i="180" a="1"/>
  <c r="J34" i="180" a="1"/>
  <c r="I73" i="180" a="1"/>
  <c r="U73" i="180" a="1"/>
  <c r="Y50" i="180" l="1"/>
  <c r="R52" i="293" s="1" a="1"/>
  <c r="R52" i="293" s="1"/>
  <c r="Z80" i="180"/>
  <c r="S82" i="293" s="1"/>
  <c r="Q56" i="180"/>
  <c r="K65" i="293" a="1"/>
  <c r="K65" i="293" s="1"/>
  <c r="L50" i="180"/>
  <c r="E83" i="293"/>
  <c r="Y31" i="180"/>
  <c r="R34" i="293" s="1" a="1"/>
  <c r="R34" i="293" s="1"/>
  <c r="K64" i="293" a="1"/>
  <c r="K64" i="293" s="1"/>
  <c r="O80" i="293" a="1"/>
  <c r="O80" i="293" s="1"/>
  <c r="M27" i="293" a="1"/>
  <c r="M27" i="293" s="1"/>
  <c r="I120" i="293" a="1"/>
  <c r="I120" i="293" s="1"/>
  <c r="M64" i="180"/>
  <c r="H66" i="293" s="1" a="1"/>
  <c r="H66" i="293" s="1"/>
  <c r="L36" i="180"/>
  <c r="Q63" i="180"/>
  <c r="Z78" i="180"/>
  <c r="S80" i="293" s="1"/>
  <c r="Y56" i="180"/>
  <c r="R58" i="293" s="1" a="1"/>
  <c r="R58" i="293" s="1"/>
  <c r="I24" i="293" a="1"/>
  <c r="I24" i="293" s="1"/>
  <c r="O34" i="293" a="1"/>
  <c r="O34" i="293" s="1"/>
  <c r="Q31" i="180"/>
  <c r="Q72" i="180"/>
  <c r="M87" i="180"/>
  <c r="H89" i="293" s="1" a="1"/>
  <c r="H89" i="293" s="1"/>
  <c r="P271" i="297"/>
  <c r="R271" i="297" s="1"/>
  <c r="P480" i="297"/>
  <c r="R480" i="297" s="1"/>
  <c r="P51" i="297"/>
  <c r="R51" i="297" s="1"/>
  <c r="P180" i="297"/>
  <c r="R180" i="297" s="1"/>
  <c r="P448" i="297"/>
  <c r="R448" i="297" s="1"/>
  <c r="P348" i="297"/>
  <c r="R348" i="297" s="1"/>
  <c r="E74" i="293"/>
  <c r="E32" i="293"/>
  <c r="I31" i="293" a="1"/>
  <c r="I31" i="293" s="1"/>
  <c r="Z119" i="180"/>
  <c r="S121" i="293" s="1"/>
  <c r="E52" i="293"/>
  <c r="Y67" i="180"/>
  <c r="R69" i="293" s="1" a="1"/>
  <c r="R69" i="293" s="1"/>
  <c r="Y60" i="180"/>
  <c r="R62" i="293" s="1" a="1"/>
  <c r="R62" i="293" s="1"/>
  <c r="Q21" i="180"/>
  <c r="Z8" i="180"/>
  <c r="S11" i="293" s="1"/>
  <c r="L60" i="180"/>
  <c r="D20" i="310" a="1"/>
  <c r="D20" i="310" s="1"/>
  <c r="Z54" i="180"/>
  <c r="S56" i="293" s="1"/>
  <c r="P203" i="297"/>
  <c r="R203" i="297" s="1"/>
  <c r="R21" i="180"/>
  <c r="L24" i="293" s="1" a="1"/>
  <c r="L24" i="293" s="1"/>
  <c r="P298" i="297"/>
  <c r="R298" i="297" s="1"/>
  <c r="P328" i="297"/>
  <c r="R328" i="297" s="1"/>
  <c r="Y45" i="180"/>
  <c r="R47" i="293" s="1" a="1"/>
  <c r="R47" i="293" s="1"/>
  <c r="P442" i="297"/>
  <c r="R442" i="297" s="1"/>
  <c r="Y59" i="180"/>
  <c r="R61" i="293" s="1" a="1"/>
  <c r="R61" i="293" s="1"/>
  <c r="P133" i="297"/>
  <c r="R133" i="297" s="1"/>
  <c r="K61" i="293" a="1"/>
  <c r="K61" i="293" s="1"/>
  <c r="P469" i="297"/>
  <c r="R469" i="297" s="1"/>
  <c r="P358" i="297"/>
  <c r="R358" i="297" s="1"/>
  <c r="P412" i="297"/>
  <c r="R412" i="297" s="1"/>
  <c r="P470" i="297"/>
  <c r="R470" i="297" s="1"/>
  <c r="P210" i="297"/>
  <c r="R210" i="297" s="1"/>
  <c r="P242" i="297"/>
  <c r="R242" i="297" s="1"/>
  <c r="M29" i="180"/>
  <c r="H32" i="293" s="1" a="1"/>
  <c r="H32" i="293" s="1"/>
  <c r="P155" i="297"/>
  <c r="R155" i="297" s="1"/>
  <c r="P376" i="297"/>
  <c r="R376" i="297" s="1"/>
  <c r="K67" i="293" a="1"/>
  <c r="K67" i="293" s="1"/>
  <c r="P406" i="297"/>
  <c r="R406" i="297" s="1"/>
  <c r="P276" i="297"/>
  <c r="R276" i="297" s="1"/>
  <c r="P430" i="297"/>
  <c r="R430" i="297" s="1"/>
  <c r="P231" i="297"/>
  <c r="R231" i="297" s="1"/>
  <c r="P37" i="297"/>
  <c r="R37" i="297" s="1"/>
  <c r="P237" i="297"/>
  <c r="R237" i="297" s="1"/>
  <c r="P198" i="297"/>
  <c r="R198" i="297" s="1"/>
  <c r="P285" i="297"/>
  <c r="R285" i="297" s="1"/>
  <c r="P343" i="297"/>
  <c r="R343" i="297" s="1"/>
  <c r="P232" i="297"/>
  <c r="R232" i="297" s="1"/>
  <c r="P59" i="297"/>
  <c r="R59" i="297" s="1"/>
  <c r="P309" i="297"/>
  <c r="R309" i="297" s="1"/>
  <c r="P225" i="297"/>
  <c r="R225" i="297" s="1"/>
  <c r="Y51" i="180"/>
  <c r="R53" i="293" s="1" a="1"/>
  <c r="R53" i="293" s="1"/>
  <c r="E14" i="293"/>
  <c r="P141" i="297"/>
  <c r="R141" i="297" s="1"/>
  <c r="Y82" i="180"/>
  <c r="R84" i="293" s="1" a="1"/>
  <c r="R84" i="293" s="1"/>
  <c r="K53" i="293" a="1"/>
  <c r="K53" i="293" s="1"/>
  <c r="P43" i="297"/>
  <c r="R43" i="297" s="1"/>
  <c r="P149" i="297"/>
  <c r="R149" i="297" s="1"/>
  <c r="P457" i="297"/>
  <c r="R457" i="297" s="1"/>
  <c r="P327" i="297"/>
  <c r="R327" i="297" s="1"/>
  <c r="P238" i="297"/>
  <c r="R238" i="297" s="1"/>
  <c r="P456" i="297"/>
  <c r="R456" i="297" s="1"/>
  <c r="Z88" i="180"/>
  <c r="S90" i="293" s="1"/>
  <c r="P206" i="297"/>
  <c r="R206" i="297" s="1"/>
  <c r="E51" i="293"/>
  <c r="P106" i="297"/>
  <c r="R106" i="297" s="1"/>
  <c r="P354" i="297"/>
  <c r="R354" i="297" s="1"/>
  <c r="P154" i="297"/>
  <c r="R154" i="297" s="1"/>
  <c r="F20" i="308" a="1"/>
  <c r="F20" i="308" s="1"/>
  <c r="P322" i="297"/>
  <c r="R322" i="297" s="1"/>
  <c r="M58" i="180"/>
  <c r="H60" i="293" s="1" a="1"/>
  <c r="H60" i="293" s="1"/>
  <c r="P79" i="297"/>
  <c r="R79" i="297" s="1"/>
  <c r="P392" i="297"/>
  <c r="R392" i="297" s="1"/>
  <c r="P100" i="297"/>
  <c r="R100" i="297" s="1"/>
  <c r="P467" i="297"/>
  <c r="R467" i="297" s="1"/>
  <c r="P144" i="297"/>
  <c r="R144" i="297" s="1"/>
  <c r="P201" i="297"/>
  <c r="R201" i="297" s="1"/>
  <c r="Y62" i="180"/>
  <c r="R64" i="293" s="1" a="1"/>
  <c r="R64" i="293" s="1"/>
  <c r="P83" i="297"/>
  <c r="R83" i="297" s="1"/>
  <c r="M37" i="180"/>
  <c r="H40" i="293" s="1" a="1"/>
  <c r="H40" i="293" s="1"/>
  <c r="L10" i="180"/>
  <c r="P377" i="297"/>
  <c r="R377" i="297" s="1"/>
  <c r="Y64" i="180"/>
  <c r="R66" i="293" s="1" a="1"/>
  <c r="R66" i="293" s="1"/>
  <c r="P413" i="297"/>
  <c r="R413" i="297" s="1"/>
  <c r="P171" i="297"/>
  <c r="R171" i="297" s="1"/>
  <c r="M8" i="180"/>
  <c r="H11" i="293" s="1" a="1"/>
  <c r="H11" i="293" s="1"/>
  <c r="P484" i="297"/>
  <c r="R484" i="297" s="1"/>
  <c r="K56" i="293" a="1"/>
  <c r="K56" i="293" s="1"/>
  <c r="K41" i="293" a="1"/>
  <c r="K41" i="293" s="1"/>
  <c r="P145" i="297"/>
  <c r="R145" i="297" s="1"/>
  <c r="P441" i="297"/>
  <c r="R441" i="297" s="1"/>
  <c r="P89" i="297"/>
  <c r="R89" i="297" s="1"/>
  <c r="M62" i="180"/>
  <c r="H64" i="293" s="1" a="1"/>
  <c r="H64" i="293" s="1"/>
  <c r="L39" i="180"/>
  <c r="P278" i="297"/>
  <c r="R278" i="297" s="1"/>
  <c r="P319" i="297"/>
  <c r="R319" i="297" s="1"/>
  <c r="P85" i="297"/>
  <c r="R85" i="297" s="1"/>
  <c r="P481" i="297"/>
  <c r="R481" i="297" s="1"/>
  <c r="Q24" i="180"/>
  <c r="D60" i="307" a="1"/>
  <c r="D60" i="307" s="1"/>
  <c r="P455" i="297"/>
  <c r="R455" i="297" s="1"/>
  <c r="P109" i="297"/>
  <c r="R109" i="297" s="1"/>
  <c r="P244" i="297"/>
  <c r="R244" i="297" s="1"/>
  <c r="P75" i="297"/>
  <c r="R75" i="297" s="1"/>
  <c r="P297" i="297"/>
  <c r="R297" i="297" s="1"/>
  <c r="P304" i="297"/>
  <c r="R304" i="297" s="1"/>
  <c r="P94" i="297"/>
  <c r="R94" i="297" s="1"/>
  <c r="P86" i="297"/>
  <c r="R86" i="297" s="1"/>
  <c r="M36" i="293" a="1"/>
  <c r="M36" i="293" s="1"/>
  <c r="P134" i="297"/>
  <c r="R134" i="297" s="1"/>
  <c r="P450" i="297"/>
  <c r="R450" i="297" s="1"/>
  <c r="P128" i="297"/>
  <c r="R128" i="297" s="1"/>
  <c r="P221" i="297"/>
  <c r="R221" i="297" s="1"/>
  <c r="P78" i="297"/>
  <c r="R78" i="297" s="1"/>
  <c r="P510" i="297"/>
  <c r="R510" i="297" s="1"/>
  <c r="P436" i="297"/>
  <c r="R436" i="297" s="1"/>
  <c r="P396" i="297"/>
  <c r="R396" i="297" s="1"/>
  <c r="K58" i="293" a="1"/>
  <c r="K58" i="293" s="1"/>
  <c r="P260" i="297"/>
  <c r="R260" i="297" s="1"/>
  <c r="P373" i="297"/>
  <c r="R373" i="297" s="1"/>
  <c r="P182" i="297"/>
  <c r="R182" i="297" s="1"/>
  <c r="P459" i="297"/>
  <c r="R459" i="297" s="1"/>
  <c r="P417" i="297"/>
  <c r="R417" i="297" s="1"/>
  <c r="P501" i="297"/>
  <c r="R501" i="297" s="1"/>
  <c r="P494" i="297"/>
  <c r="R494" i="297" s="1"/>
  <c r="P360" i="297"/>
  <c r="R360" i="297" s="1"/>
  <c r="P167" i="297"/>
  <c r="R167" i="297" s="1"/>
  <c r="P463" i="297"/>
  <c r="R463" i="297" s="1"/>
  <c r="O85" i="293" a="1"/>
  <c r="O85" i="293" s="1"/>
  <c r="P150" i="297"/>
  <c r="R150" i="297" s="1"/>
  <c r="I55" i="293" a="1"/>
  <c r="I55" i="293" s="1"/>
  <c r="P240" i="297"/>
  <c r="R240" i="297" s="1"/>
  <c r="P200" i="297"/>
  <c r="R200" i="297" s="1"/>
  <c r="P387" i="297"/>
  <c r="R387" i="297" s="1"/>
  <c r="E44" i="293"/>
  <c r="P451" i="297"/>
  <c r="R451" i="297" s="1"/>
  <c r="P267" i="297"/>
  <c r="R267" i="297" s="1"/>
  <c r="P295" i="297"/>
  <c r="R295" i="297" s="1"/>
  <c r="P253" i="297"/>
  <c r="R253" i="297" s="1"/>
  <c r="P311" i="297"/>
  <c r="R311" i="297" s="1"/>
  <c r="W30" i="298"/>
  <c r="W204" i="298" s="1"/>
  <c r="AA204" i="298" s="1"/>
  <c r="AB204" i="298" s="1"/>
  <c r="P254" i="297"/>
  <c r="R254" i="297" s="1"/>
  <c r="L82" i="180"/>
  <c r="R78" i="180"/>
  <c r="L80" i="293" s="1" a="1"/>
  <c r="L80" i="293" s="1"/>
  <c r="K62" i="293" a="1"/>
  <c r="K62" i="293" s="1"/>
  <c r="K120" i="293" a="1"/>
  <c r="K120" i="293" s="1"/>
  <c r="Y68" i="180"/>
  <c r="R70" i="293" s="1" a="1"/>
  <c r="R70" i="293" s="1"/>
  <c r="P389" i="297"/>
  <c r="R389" i="297" s="1"/>
  <c r="P236" i="297"/>
  <c r="R236" i="297" s="1"/>
  <c r="P308" i="297"/>
  <c r="R308" i="297" s="1"/>
  <c r="P123" i="297"/>
  <c r="R123" i="297" s="1"/>
  <c r="P170" i="297"/>
  <c r="R170" i="297" s="1"/>
  <c r="Y65" i="180"/>
  <c r="R67" i="293" s="1" a="1"/>
  <c r="R67" i="293" s="1"/>
  <c r="P272" i="297"/>
  <c r="R272" i="297" s="1"/>
  <c r="P449" i="297"/>
  <c r="R449" i="297" s="1"/>
  <c r="F30" i="307" a="1"/>
  <c r="F30" i="307" s="1"/>
  <c r="Y83" i="180"/>
  <c r="R85" i="293" s="1" a="1"/>
  <c r="R85" i="293" s="1"/>
  <c r="P303" i="297"/>
  <c r="R303" i="297" s="1"/>
  <c r="P418" i="297"/>
  <c r="R418" i="297" s="1"/>
  <c r="P310" i="297"/>
  <c r="R310" i="297" s="1"/>
  <c r="P316" i="297"/>
  <c r="R316" i="297" s="1"/>
  <c r="P357" i="297"/>
  <c r="R357" i="297" s="1"/>
  <c r="P280" i="297"/>
  <c r="R280" i="297" s="1"/>
  <c r="P209" i="297"/>
  <c r="R209" i="297" s="1"/>
  <c r="P347" i="297"/>
  <c r="R347" i="297" s="1"/>
  <c r="P398" i="297"/>
  <c r="R398" i="297" s="1"/>
  <c r="I84" i="293" a="1"/>
  <c r="I84" i="293" s="1"/>
  <c r="P90" i="297"/>
  <c r="R90" i="297" s="1"/>
  <c r="M42" i="180"/>
  <c r="H44" i="293" s="1" a="1"/>
  <c r="H44" i="293" s="1"/>
  <c r="P153" i="297"/>
  <c r="R153" i="297" s="1"/>
  <c r="K10" i="293" a="1"/>
  <c r="K10" i="293" s="1"/>
  <c r="I33" i="293" a="1"/>
  <c r="I33" i="293" s="1"/>
  <c r="K70" i="293" a="1"/>
  <c r="K70" i="293" s="1"/>
  <c r="M13" i="180"/>
  <c r="H16" i="293" s="1" a="1"/>
  <c r="H16" i="293" s="1"/>
  <c r="P125" i="297"/>
  <c r="R125" i="297" s="1"/>
  <c r="P227" i="297"/>
  <c r="R227" i="297" s="1"/>
  <c r="P211" i="297"/>
  <c r="R211" i="297" s="1"/>
  <c r="P220" i="297"/>
  <c r="R220" i="297" s="1"/>
  <c r="Y88" i="180"/>
  <c r="R90" i="293" s="1" a="1"/>
  <c r="R90" i="293" s="1"/>
  <c r="L88" i="180"/>
  <c r="O66" i="293" a="1"/>
  <c r="O66" i="293" s="1"/>
  <c r="I121" i="293" a="1"/>
  <c r="I121" i="293" s="1"/>
  <c r="M58" i="293" a="1"/>
  <c r="M58" i="293" s="1"/>
  <c r="K63" i="293" a="1"/>
  <c r="K63" i="293" s="1"/>
  <c r="M13" i="293" a="1"/>
  <c r="M13" i="293" s="1"/>
  <c r="L61" i="180"/>
  <c r="E13" i="293"/>
  <c r="F50" i="307" a="1"/>
  <c r="F50" i="307" s="1"/>
  <c r="G50" i="307" s="1"/>
  <c r="M54" i="180"/>
  <c r="H56" i="293" s="1" a="1"/>
  <c r="H56" i="293" s="1"/>
  <c r="P245" i="297"/>
  <c r="R245" i="297" s="1"/>
  <c r="Z33" i="180"/>
  <c r="S36" i="293" s="1"/>
  <c r="M61" i="180"/>
  <c r="H63" i="293" s="1" a="1"/>
  <c r="H63" i="293" s="1"/>
  <c r="Z84" i="180"/>
  <c r="S86" i="293" s="1"/>
  <c r="L72" i="180"/>
  <c r="M59" i="180"/>
  <c r="H61" i="293" s="1" a="1"/>
  <c r="H61" i="293" s="1"/>
  <c r="I34" i="293" a="1"/>
  <c r="I34" i="293" s="1"/>
  <c r="I58" i="293" a="1"/>
  <c r="I58" i="293" s="1"/>
  <c r="D43" i="307" a="1"/>
  <c r="D43" i="307" s="1"/>
  <c r="Y78" i="180"/>
  <c r="R80" i="293" s="1" a="1"/>
  <c r="R80" i="293" s="1"/>
  <c r="M57" i="180"/>
  <c r="H59" i="293" s="1" a="1"/>
  <c r="H59" i="293" s="1"/>
  <c r="P68" i="297"/>
  <c r="R68" i="297" s="1"/>
  <c r="P239" i="297"/>
  <c r="R239" i="297" s="1"/>
  <c r="P186" i="297"/>
  <c r="R186" i="297" s="1"/>
  <c r="P73" i="297"/>
  <c r="R73" i="297" s="1"/>
  <c r="M80" i="180"/>
  <c r="H82" i="293" s="1" a="1"/>
  <c r="H82" i="293" s="1"/>
  <c r="P475" i="297"/>
  <c r="R475" i="297" s="1"/>
  <c r="P156" i="297"/>
  <c r="R156" i="297" s="1"/>
  <c r="P197" i="297"/>
  <c r="R197" i="297" s="1"/>
  <c r="P202" i="297"/>
  <c r="R202" i="297" s="1"/>
  <c r="P67" i="297"/>
  <c r="R67" i="297" s="1"/>
  <c r="P169" i="297"/>
  <c r="R169" i="297" s="1"/>
  <c r="L37" i="180"/>
  <c r="L55" i="180"/>
  <c r="Y72" i="180"/>
  <c r="R74" i="293" s="1" a="1"/>
  <c r="R74" i="293" s="1"/>
  <c r="Y80" i="180"/>
  <c r="R82" i="293" s="1" a="1"/>
  <c r="R82" i="293" s="1"/>
  <c r="L80" i="180"/>
  <c r="K16" i="293" a="1"/>
  <c r="K16" i="293" s="1"/>
  <c r="L13" i="180"/>
  <c r="P108" i="297"/>
  <c r="R108" i="297" s="1"/>
  <c r="P208" i="297"/>
  <c r="R208" i="297" s="1"/>
  <c r="P368" i="297"/>
  <c r="R368" i="297" s="1"/>
  <c r="P148" i="297"/>
  <c r="R148" i="297" s="1"/>
  <c r="P500" i="297"/>
  <c r="R500" i="297" s="1"/>
  <c r="P113" i="297"/>
  <c r="R113" i="297" s="1"/>
  <c r="P190" i="297"/>
  <c r="R190" i="297" s="1"/>
  <c r="Y63" i="180"/>
  <c r="R65" i="293" s="1" a="1"/>
  <c r="R65" i="293" s="1"/>
  <c r="P181" i="297"/>
  <c r="R181" i="297" s="1"/>
  <c r="P409" i="297"/>
  <c r="R409" i="297" s="1"/>
  <c r="P383" i="297"/>
  <c r="R383" i="297" s="1"/>
  <c r="P434" i="297"/>
  <c r="R434" i="297" s="1"/>
  <c r="P482" i="297"/>
  <c r="R482" i="297" s="1"/>
  <c r="P353" i="297"/>
  <c r="R353" i="297" s="1"/>
  <c r="K40" i="293" a="1"/>
  <c r="K40" i="293" s="1"/>
  <c r="Q33" i="180"/>
  <c r="L67" i="180"/>
  <c r="K88" i="293" a="1"/>
  <c r="K88" i="293" s="1"/>
  <c r="D23" i="307" a="1"/>
  <c r="D23" i="307" s="1"/>
  <c r="E23" i="307" s="1"/>
  <c r="R83" i="180"/>
  <c r="L85" i="293" s="1" a="1"/>
  <c r="L85" i="293" s="1"/>
  <c r="Z64" i="180"/>
  <c r="S66" i="293" s="1"/>
  <c r="L86" i="180"/>
  <c r="M49" i="180"/>
  <c r="H51" i="293" s="1" a="1"/>
  <c r="H51" i="293" s="1"/>
  <c r="Z30" i="180"/>
  <c r="S33" i="293" s="1"/>
  <c r="Z18" i="180"/>
  <c r="S21" i="293" s="1"/>
  <c r="E63" i="293"/>
  <c r="D40" i="308" a="1"/>
  <c r="D40" i="308" s="1"/>
  <c r="E40" i="308" s="1"/>
  <c r="P281" i="297"/>
  <c r="R281" i="297" s="1"/>
  <c r="P165" i="297"/>
  <c r="R165" i="297" s="1"/>
  <c r="P247" i="297"/>
  <c r="R247" i="297" s="1"/>
  <c r="P173" i="297"/>
  <c r="R173" i="297" s="1"/>
  <c r="K73" i="293" a="1"/>
  <c r="K73" i="293" s="1"/>
  <c r="P159" i="297"/>
  <c r="R159" i="297" s="1"/>
  <c r="P71" i="297"/>
  <c r="R71" i="297" s="1"/>
  <c r="P158" i="297"/>
  <c r="R158" i="297" s="1"/>
  <c r="P346" i="297"/>
  <c r="R346" i="297" s="1"/>
  <c r="P502" i="297"/>
  <c r="R502" i="297" s="1"/>
  <c r="P261" i="297"/>
  <c r="R261" i="297" s="1"/>
  <c r="P507" i="297"/>
  <c r="R507" i="297" s="1"/>
  <c r="P104" i="297"/>
  <c r="R104" i="297" s="1"/>
  <c r="L7" i="180"/>
  <c r="I85" i="293" a="1"/>
  <c r="I85" i="293" s="1"/>
  <c r="M28" i="293" a="1"/>
  <c r="M28" i="293" s="1"/>
  <c r="I86" i="293" a="1"/>
  <c r="I86" i="293" s="1"/>
  <c r="L79" i="180"/>
  <c r="M121" i="180"/>
  <c r="H123" i="293" s="1" a="1"/>
  <c r="H123" i="293" s="1"/>
  <c r="E53" i="293"/>
  <c r="P321" i="297"/>
  <c r="R321" i="297" s="1"/>
  <c r="P129" i="297"/>
  <c r="R129" i="297" s="1"/>
  <c r="P74" i="297"/>
  <c r="R74" i="297" s="1"/>
  <c r="P429" i="297"/>
  <c r="R429" i="297" s="1"/>
  <c r="Y71" i="180"/>
  <c r="R73" i="293" s="1" a="1"/>
  <c r="R73" i="293" s="1"/>
  <c r="P204" i="297"/>
  <c r="R204" i="297" s="1"/>
  <c r="P512" i="297"/>
  <c r="R512" i="297" s="1"/>
  <c r="P196" i="297"/>
  <c r="R196" i="297" s="1"/>
  <c r="P175" i="297"/>
  <c r="R175" i="297" s="1"/>
  <c r="P138" i="297"/>
  <c r="R138" i="297" s="1"/>
  <c r="P82" i="297"/>
  <c r="R82" i="297" s="1"/>
  <c r="P452" i="297"/>
  <c r="R452" i="297" s="1"/>
  <c r="P323" i="297"/>
  <c r="R323" i="297" s="1"/>
  <c r="E45" i="293"/>
  <c r="M45" i="180"/>
  <c r="H47" i="293" s="1" a="1"/>
  <c r="H47" i="293" s="1"/>
  <c r="Z62" i="180"/>
  <c r="S64" i="293" s="1"/>
  <c r="Z41" i="180"/>
  <c r="S43" i="293" s="1"/>
  <c r="E38" i="293"/>
  <c r="K85" i="293" a="1"/>
  <c r="K85" i="293" s="1"/>
  <c r="F34" i="308" a="1"/>
  <c r="F34" i="308" s="1"/>
  <c r="R18" i="180"/>
  <c r="L21" i="293" s="1" a="1"/>
  <c r="L21" i="293" s="1"/>
  <c r="Y75" i="180"/>
  <c r="R77" i="293" s="1" a="1"/>
  <c r="R77" i="293" s="1"/>
  <c r="L29" i="180"/>
  <c r="P335" i="297"/>
  <c r="R335" i="297" s="1"/>
  <c r="P70" i="297"/>
  <c r="R70" i="297" s="1"/>
  <c r="P476" i="297"/>
  <c r="R476" i="297" s="1"/>
  <c r="P504" i="297"/>
  <c r="R504" i="297" s="1"/>
  <c r="P135" i="297"/>
  <c r="R135" i="297" s="1"/>
  <c r="P505" i="297"/>
  <c r="R505" i="297" s="1"/>
  <c r="P393" i="297"/>
  <c r="R393" i="297" s="1"/>
  <c r="P334" i="297"/>
  <c r="R334" i="297" s="1"/>
  <c r="R68" i="180"/>
  <c r="L70" i="293" s="1" a="1"/>
  <c r="L70" i="293" s="1"/>
  <c r="L83" i="180"/>
  <c r="D36" i="307" a="1"/>
  <c r="D36" i="307" s="1"/>
  <c r="D48" i="308" a="1"/>
  <c r="D48" i="308" s="1"/>
  <c r="E48" i="308" s="1"/>
  <c r="D55" i="307" a="1"/>
  <c r="D55" i="307" s="1"/>
  <c r="E55" i="307" s="1"/>
  <c r="I45" i="293" a="1"/>
  <c r="I45" i="293" s="1"/>
  <c r="P207" i="297"/>
  <c r="R207" i="297" s="1"/>
  <c r="P49" i="297"/>
  <c r="R49" i="297" s="1"/>
  <c r="P439" i="297"/>
  <c r="R439" i="297" s="1"/>
  <c r="L58" i="180"/>
  <c r="D56" i="307" a="1"/>
  <c r="D56" i="307" s="1"/>
  <c r="E18" i="293"/>
  <c r="M66" i="180"/>
  <c r="H68" i="293" s="1" a="1"/>
  <c r="H68" i="293" s="1"/>
  <c r="Z57" i="180"/>
  <c r="S59" i="293" s="1"/>
  <c r="K18" i="293" a="1"/>
  <c r="K18" i="293" s="1"/>
  <c r="P403" i="297"/>
  <c r="R403" i="297" s="1"/>
  <c r="P96" i="297"/>
  <c r="R96" i="297" s="1"/>
  <c r="P56" i="297"/>
  <c r="R56" i="297" s="1"/>
  <c r="P91" i="297"/>
  <c r="R91" i="297" s="1"/>
  <c r="P402" i="297"/>
  <c r="R402" i="297" s="1"/>
  <c r="P487" i="297"/>
  <c r="R487" i="297" s="1"/>
  <c r="P443" i="297"/>
  <c r="R443" i="297" s="1"/>
  <c r="P461" i="297"/>
  <c r="R461" i="297" s="1"/>
  <c r="P62" i="297"/>
  <c r="R62" i="297" s="1"/>
  <c r="E48" i="293"/>
  <c r="M67" i="293" a="1"/>
  <c r="M67" i="293" s="1"/>
  <c r="L21" i="180"/>
  <c r="M75" i="180"/>
  <c r="H77" i="293" s="1" a="1"/>
  <c r="H77" i="293" s="1"/>
  <c r="E122" i="293"/>
  <c r="R30" i="180"/>
  <c r="L33" i="293" s="1" a="1"/>
  <c r="L33" i="293" s="1"/>
  <c r="F18" i="310" a="1"/>
  <c r="F18" i="310" s="1"/>
  <c r="G18" i="310" s="1"/>
  <c r="D40" i="307" a="1"/>
  <c r="D40" i="307" s="1"/>
  <c r="E40" i="307" s="1"/>
  <c r="K35" i="293" a="1"/>
  <c r="K35" i="293" s="1"/>
  <c r="D32" i="307" a="1"/>
  <c r="D32" i="307" s="1"/>
  <c r="Y10" i="180"/>
  <c r="R13" i="293" s="1" a="1"/>
  <c r="R13" i="293" s="1"/>
  <c r="Z68" i="180"/>
  <c r="S70" i="293" s="1"/>
  <c r="E34" i="293"/>
  <c r="P47" i="297"/>
  <c r="R47" i="297" s="1"/>
  <c r="P399" i="297"/>
  <c r="R399" i="297" s="1"/>
  <c r="P126" i="297"/>
  <c r="R126" i="297" s="1"/>
  <c r="P424" i="297"/>
  <c r="R424" i="297" s="1"/>
  <c r="P284" i="297"/>
  <c r="R284" i="297" s="1"/>
  <c r="P230" i="297"/>
  <c r="R230" i="297" s="1"/>
  <c r="P258" i="297"/>
  <c r="R258" i="297" s="1"/>
  <c r="P332" i="297"/>
  <c r="R332" i="297" s="1"/>
  <c r="P64" i="297"/>
  <c r="R64" i="297" s="1"/>
  <c r="K60" i="293" a="1"/>
  <c r="K60" i="293" s="1"/>
  <c r="M67" i="180"/>
  <c r="H69" i="293" s="1" a="1"/>
  <c r="H69" i="293" s="1"/>
  <c r="P292" i="297"/>
  <c r="R292" i="297" s="1"/>
  <c r="P421" i="297"/>
  <c r="R421" i="297" s="1"/>
  <c r="I13" i="293" a="1"/>
  <c r="I13" i="293" s="1"/>
  <c r="L15" i="180"/>
  <c r="P228" i="297"/>
  <c r="R228" i="297" s="1"/>
  <c r="P39" i="297"/>
  <c r="R39" i="297" s="1"/>
  <c r="P229" i="297"/>
  <c r="R229" i="297" s="1"/>
  <c r="P499" i="297"/>
  <c r="R499" i="297" s="1"/>
  <c r="P268" i="297"/>
  <c r="R268" i="297" s="1"/>
  <c r="P199" i="297"/>
  <c r="R199" i="297" s="1"/>
  <c r="P411" i="297"/>
  <c r="R411" i="297" s="1"/>
  <c r="P509" i="297"/>
  <c r="R509" i="297" s="1"/>
  <c r="Y21" i="180"/>
  <c r="R24" i="293" s="1" a="1"/>
  <c r="R24" i="293" s="1"/>
  <c r="R23" i="180"/>
  <c r="L26" i="293" s="1" a="1"/>
  <c r="L26" i="293" s="1"/>
  <c r="R62" i="180"/>
  <c r="L64" i="293" s="1" a="1"/>
  <c r="L64" i="293" s="1"/>
  <c r="D19" i="310" a="1"/>
  <c r="D19" i="310" s="1"/>
  <c r="E19" i="310" s="1"/>
  <c r="P147" i="297"/>
  <c r="R147" i="297" s="1"/>
  <c r="P256" i="297"/>
  <c r="R256" i="297" s="1"/>
  <c r="P454" i="297"/>
  <c r="R454" i="297" s="1"/>
  <c r="P275" i="297"/>
  <c r="R275" i="297" s="1"/>
  <c r="P191" i="297"/>
  <c r="R191" i="297" s="1"/>
  <c r="P95" i="297"/>
  <c r="R95" i="297" s="1"/>
  <c r="Y22" i="180"/>
  <c r="R25" i="293" s="1" a="1"/>
  <c r="R25" i="293" s="1"/>
  <c r="P92" i="297"/>
  <c r="R92" i="297" s="1"/>
  <c r="P122" i="297"/>
  <c r="R122" i="297" s="1"/>
  <c r="P288" i="297"/>
  <c r="R288" i="297" s="1"/>
  <c r="P400" i="297"/>
  <c r="R400" i="297" s="1"/>
  <c r="P116" i="297"/>
  <c r="R116" i="297" s="1"/>
  <c r="P164" i="297"/>
  <c r="R164" i="297" s="1"/>
  <c r="P163" i="297"/>
  <c r="R163" i="297" s="1"/>
  <c r="P212" i="297"/>
  <c r="R212" i="297" s="1"/>
  <c r="P302" i="297"/>
  <c r="R302" i="297" s="1"/>
  <c r="P277" i="297"/>
  <c r="R277" i="297" s="1"/>
  <c r="P176" i="297"/>
  <c r="R176" i="297" s="1"/>
  <c r="P415" i="297"/>
  <c r="R415" i="297" s="1"/>
  <c r="P178" i="297"/>
  <c r="R178" i="297" s="1"/>
  <c r="P516" i="297"/>
  <c r="R516" i="297" s="1"/>
  <c r="Z23" i="180"/>
  <c r="S26" i="293" s="1"/>
  <c r="E26" i="293"/>
  <c r="E50" i="293"/>
  <c r="Z48" i="180"/>
  <c r="S50" i="293" s="1"/>
  <c r="K81" i="293" a="1"/>
  <c r="K81" i="293" s="1"/>
  <c r="K68" i="293" a="1"/>
  <c r="K68" i="293" s="1"/>
  <c r="Z24" i="180"/>
  <c r="S27" i="293" s="1"/>
  <c r="E27" i="293"/>
  <c r="I65" i="293" a="1"/>
  <c r="I65" i="293" s="1"/>
  <c r="M63" i="180"/>
  <c r="H65" i="293" s="1" a="1"/>
  <c r="H65" i="293" s="1"/>
  <c r="L22" i="180"/>
  <c r="L54" i="180"/>
  <c r="K21" i="293" a="1"/>
  <c r="K21" i="293" s="1"/>
  <c r="L18" i="180"/>
  <c r="K26" i="293" a="1"/>
  <c r="K26" i="293" s="1"/>
  <c r="L23" i="180"/>
  <c r="Y23" i="180"/>
  <c r="R26" i="293" s="1" a="1"/>
  <c r="R26" i="293" s="1"/>
  <c r="E40" i="293"/>
  <c r="Z37" i="180"/>
  <c r="S40" i="293" s="1"/>
  <c r="N63" i="293" a="1"/>
  <c r="N63" i="293" s="1"/>
  <c r="D35" i="308" a="1"/>
  <c r="D35" i="308" s="1"/>
  <c r="E35" i="308" s="1"/>
  <c r="D51" i="308" a="1"/>
  <c r="D51" i="308" s="1"/>
  <c r="E51" i="308" s="1"/>
  <c r="D27" i="308" a="1"/>
  <c r="D27" i="308" s="1"/>
  <c r="D23" i="308" a="1"/>
  <c r="D23" i="308" s="1"/>
  <c r="D43" i="308" a="1"/>
  <c r="D43" i="308" s="1"/>
  <c r="E43" i="308" s="1"/>
  <c r="D31" i="308" a="1"/>
  <c r="D31" i="308" s="1"/>
  <c r="E31" i="308" s="1"/>
  <c r="I19" i="293" a="1"/>
  <c r="I19" i="293" s="1"/>
  <c r="M16" i="180"/>
  <c r="H19" i="293" s="1" a="1"/>
  <c r="H19" i="293" s="1"/>
  <c r="Q70" i="180"/>
  <c r="M59" i="293" a="1"/>
  <c r="M59" i="293" s="1"/>
  <c r="R57" i="180"/>
  <c r="L59" i="293" s="1" a="1"/>
  <c r="L59" i="293" s="1"/>
  <c r="I39" i="293" a="1"/>
  <c r="I39" i="293" s="1"/>
  <c r="M36" i="180"/>
  <c r="H39" i="293" s="1" a="1"/>
  <c r="H39" i="293" s="1"/>
  <c r="L30" i="180"/>
  <c r="K33" i="293" a="1"/>
  <c r="K33" i="293" s="1"/>
  <c r="Y30" i="180"/>
  <c r="R33" i="293" s="1" a="1"/>
  <c r="R33" i="293" s="1"/>
  <c r="M77" i="180"/>
  <c r="H79" i="293" s="1" a="1"/>
  <c r="H79" i="293" s="1"/>
  <c r="I79" i="293" a="1"/>
  <c r="I79" i="293" s="1"/>
  <c r="F42" i="307" a="1"/>
  <c r="F42" i="307" s="1"/>
  <c r="G42" i="307" s="1"/>
  <c r="F46" i="307" a="1"/>
  <c r="F46" i="307" s="1"/>
  <c r="G46" i="307" s="1"/>
  <c r="M35" i="293" a="1"/>
  <c r="M35" i="293" s="1"/>
  <c r="R32" i="180"/>
  <c r="L35" i="293" s="1" a="1"/>
  <c r="L35" i="293" s="1"/>
  <c r="M11" i="180"/>
  <c r="H14" i="293" s="1" a="1"/>
  <c r="H14" i="293" s="1"/>
  <c r="I14" i="293" a="1"/>
  <c r="I14" i="293" s="1"/>
  <c r="L14" i="180"/>
  <c r="Y14" i="180"/>
  <c r="R17" i="293" s="1" a="1"/>
  <c r="R17" i="293" s="1"/>
  <c r="K83" i="293" a="1"/>
  <c r="K83" i="293" s="1"/>
  <c r="L81" i="180"/>
  <c r="Y81" i="180"/>
  <c r="R83" i="293" s="1" a="1"/>
  <c r="R83" i="293" s="1"/>
  <c r="F22" i="307" a="1"/>
  <c r="F22" i="307" s="1"/>
  <c r="G22" i="307" s="1"/>
  <c r="E77" i="293"/>
  <c r="M33" i="180"/>
  <c r="H36" i="293" s="1" a="1"/>
  <c r="H36" i="293" s="1"/>
  <c r="I36" i="293" a="1"/>
  <c r="I36" i="293" s="1"/>
  <c r="L24" i="180"/>
  <c r="Y24" i="180"/>
  <c r="R27" i="293" s="1" a="1"/>
  <c r="R27" i="293" s="1"/>
  <c r="D39" i="308" a="1"/>
  <c r="D39" i="308" s="1"/>
  <c r="E39" i="308" s="1"/>
  <c r="Y66" i="180"/>
  <c r="R68" i="293" s="1" a="1"/>
  <c r="R68" i="293" s="1"/>
  <c r="F38" i="307" a="1"/>
  <c r="F38" i="307" s="1"/>
  <c r="G38" i="307" s="1"/>
  <c r="I21" i="293" a="1"/>
  <c r="I21" i="293" s="1"/>
  <c r="M18" i="180"/>
  <c r="H21" i="293" s="1" a="1"/>
  <c r="H21" i="293" s="1"/>
  <c r="F28" i="307" a="1"/>
  <c r="F28" i="307" s="1"/>
  <c r="G28" i="307" s="1"/>
  <c r="F60" i="307" a="1"/>
  <c r="F60" i="307" s="1"/>
  <c r="P340" i="297"/>
  <c r="R340" i="297" s="1"/>
  <c r="P291" i="297"/>
  <c r="R291" i="297" s="1"/>
  <c r="P50" i="297"/>
  <c r="R50" i="297" s="1"/>
  <c r="P460" i="297"/>
  <c r="R460" i="297" s="1"/>
  <c r="P363" i="297"/>
  <c r="R363" i="297" s="1"/>
  <c r="P390" i="297"/>
  <c r="R390" i="297" s="1"/>
  <c r="P364" i="297"/>
  <c r="R364" i="297" s="1"/>
  <c r="P42" i="297"/>
  <c r="R42" i="297" s="1"/>
  <c r="P151" i="297"/>
  <c r="R151" i="297" s="1"/>
  <c r="P472" i="297"/>
  <c r="R472" i="297" s="1"/>
  <c r="P99" i="297"/>
  <c r="R99" i="297" s="1"/>
  <c r="P262" i="297"/>
  <c r="R262" i="297" s="1"/>
  <c r="P324" i="297"/>
  <c r="R324" i="297" s="1"/>
  <c r="P503" i="297"/>
  <c r="R503" i="297" s="1"/>
  <c r="P119" i="297"/>
  <c r="R119" i="297" s="1"/>
  <c r="P492" i="297"/>
  <c r="R492" i="297" s="1"/>
  <c r="P446" i="297"/>
  <c r="R446" i="297" s="1"/>
  <c r="P97" i="297"/>
  <c r="R97" i="297" s="1"/>
  <c r="P36" i="297"/>
  <c r="R36" i="297" s="1"/>
  <c r="P325" i="297"/>
  <c r="R325" i="297" s="1"/>
  <c r="P53" i="297"/>
  <c r="R53" i="297" s="1"/>
  <c r="P143" i="297"/>
  <c r="R143" i="297" s="1"/>
  <c r="P333" i="297"/>
  <c r="R333" i="297" s="1"/>
  <c r="P157" i="297"/>
  <c r="R157" i="297" s="1"/>
  <c r="P87" i="297"/>
  <c r="R87" i="297" s="1"/>
  <c r="P428" i="297"/>
  <c r="R428" i="297" s="1"/>
  <c r="P301" i="297"/>
  <c r="R301" i="297" s="1"/>
  <c r="P395" i="297"/>
  <c r="R395" i="297" s="1"/>
  <c r="P246" i="297"/>
  <c r="R246" i="297" s="1"/>
  <c r="P63" i="297"/>
  <c r="R63" i="297" s="1"/>
  <c r="P318" i="297"/>
  <c r="R318" i="297" s="1"/>
  <c r="P189" i="297"/>
  <c r="R189" i="297" s="1"/>
  <c r="P350" i="297"/>
  <c r="R350" i="297" s="1"/>
  <c r="P416" i="297"/>
  <c r="R416" i="297" s="1"/>
  <c r="P140" i="297"/>
  <c r="R140" i="297" s="1"/>
  <c r="P356" i="297"/>
  <c r="R356" i="297" s="1"/>
  <c r="P290" i="297"/>
  <c r="R290" i="297" s="1"/>
  <c r="P54" i="297"/>
  <c r="R54" i="297" s="1"/>
  <c r="P287" i="297"/>
  <c r="R287" i="297" s="1"/>
  <c r="P219" i="297"/>
  <c r="R219" i="297" s="1"/>
  <c r="P372" i="297"/>
  <c r="R372" i="297" s="1"/>
  <c r="P374" i="297"/>
  <c r="R374" i="297" s="1"/>
  <c r="P279" i="297"/>
  <c r="R279" i="297" s="1"/>
  <c r="P124" i="297"/>
  <c r="R124" i="297" s="1"/>
  <c r="P336" i="297"/>
  <c r="R336" i="297" s="1"/>
  <c r="P397" i="297"/>
  <c r="R397" i="297" s="1"/>
  <c r="P342" i="297"/>
  <c r="R342" i="297" s="1"/>
  <c r="P48" i="297"/>
  <c r="R48" i="297" s="1"/>
  <c r="P40" i="297"/>
  <c r="R40" i="297" s="1"/>
  <c r="P384" i="297"/>
  <c r="R384" i="297" s="1"/>
  <c r="P423" i="297"/>
  <c r="R423" i="297" s="1"/>
  <c r="P473" i="297"/>
  <c r="R473" i="297" s="1"/>
  <c r="P264" i="297"/>
  <c r="R264" i="297" s="1"/>
  <c r="P243" i="297"/>
  <c r="R243" i="297" s="1"/>
  <c r="P46" i="297"/>
  <c r="R46" i="297" s="1"/>
  <c r="P329" i="297"/>
  <c r="R329" i="297" s="1"/>
  <c r="P483" i="297"/>
  <c r="R483" i="297" s="1"/>
  <c r="P474" i="297"/>
  <c r="R474" i="297" s="1"/>
  <c r="P130" i="297"/>
  <c r="R130" i="297" s="1"/>
  <c r="P35" i="297"/>
  <c r="R35" i="297" s="1"/>
  <c r="P72" i="297"/>
  <c r="R72" i="297" s="1"/>
  <c r="P440" i="297"/>
  <c r="R440" i="297" s="1"/>
  <c r="P433" i="297"/>
  <c r="R433" i="297" s="1"/>
  <c r="P445" i="297"/>
  <c r="R445" i="297" s="1"/>
  <c r="P425" i="297"/>
  <c r="R425" i="297" s="1"/>
  <c r="P349" i="297"/>
  <c r="R349" i="297" s="1"/>
  <c r="P515" i="297"/>
  <c r="R515" i="297" s="1"/>
  <c r="P195" i="297"/>
  <c r="R195" i="297" s="1"/>
  <c r="P269" i="297"/>
  <c r="R269" i="297" s="1"/>
  <c r="P34" i="297"/>
  <c r="R34" i="297" s="1"/>
  <c r="P514" i="297"/>
  <c r="R514" i="297" s="1"/>
  <c r="P114" i="297"/>
  <c r="R114" i="297" s="1"/>
  <c r="P330" i="297"/>
  <c r="R330" i="297" s="1"/>
  <c r="P252" i="297"/>
  <c r="R252" i="297" s="1"/>
  <c r="P44" i="297"/>
  <c r="R44" i="297" s="1"/>
  <c r="P293" i="297"/>
  <c r="R293" i="297" s="1"/>
  <c r="P382" i="297"/>
  <c r="R382" i="297" s="1"/>
  <c r="P41" i="297"/>
  <c r="R41" i="297" s="1"/>
  <c r="P432" i="297"/>
  <c r="R432" i="297" s="1"/>
  <c r="P317" i="297"/>
  <c r="R317" i="297" s="1"/>
  <c r="P274" i="297"/>
  <c r="R274" i="297" s="1"/>
  <c r="P263" i="297"/>
  <c r="R263" i="297" s="1"/>
  <c r="P127" i="297"/>
  <c r="R127" i="297" s="1"/>
  <c r="P422" i="297"/>
  <c r="R422" i="297" s="1"/>
  <c r="P146" i="297"/>
  <c r="R146" i="297" s="1"/>
  <c r="P233" i="297"/>
  <c r="R233" i="297" s="1"/>
  <c r="P464" i="297"/>
  <c r="R464" i="297" s="1"/>
  <c r="P361" i="297"/>
  <c r="R361" i="297" s="1"/>
  <c r="P365" i="297"/>
  <c r="R365" i="297" s="1"/>
  <c r="P265" i="297"/>
  <c r="R265" i="297" s="1"/>
  <c r="P183" i="297"/>
  <c r="R183" i="297" s="1"/>
  <c r="P77" i="297"/>
  <c r="R77" i="297" s="1"/>
  <c r="P326" i="297"/>
  <c r="R326" i="297" s="1"/>
  <c r="P132" i="297"/>
  <c r="R132" i="297" s="1"/>
  <c r="P401" i="297"/>
  <c r="R401" i="297" s="1"/>
  <c r="P101" i="297"/>
  <c r="R101" i="297" s="1"/>
  <c r="P152" i="297"/>
  <c r="R152" i="297" s="1"/>
  <c r="P312" i="297"/>
  <c r="R312" i="297" s="1"/>
  <c r="P107" i="297"/>
  <c r="R107" i="297" s="1"/>
  <c r="P172" i="297"/>
  <c r="R172" i="297" s="1"/>
  <c r="P192" i="297"/>
  <c r="R192" i="297" s="1"/>
  <c r="P273" i="297"/>
  <c r="R273" i="297" s="1"/>
  <c r="P407" i="297"/>
  <c r="R407" i="297" s="1"/>
  <c r="P84" i="297"/>
  <c r="R84" i="297" s="1"/>
  <c r="P489" i="297"/>
  <c r="R489" i="297" s="1"/>
  <c r="P488" i="297"/>
  <c r="R488" i="297" s="1"/>
  <c r="P194" i="297"/>
  <c r="R194" i="297" s="1"/>
  <c r="P185" i="297"/>
  <c r="R185" i="297" s="1"/>
  <c r="P117" i="297"/>
  <c r="R117" i="297" s="1"/>
  <c r="P477" i="297"/>
  <c r="R477" i="297" s="1"/>
  <c r="P103" i="297"/>
  <c r="R103" i="297" s="1"/>
  <c r="P478" i="297"/>
  <c r="R478" i="297" s="1"/>
  <c r="P102" i="297"/>
  <c r="R102" i="297" s="1"/>
  <c r="P216" i="297"/>
  <c r="R216" i="297" s="1"/>
  <c r="P391" i="297"/>
  <c r="R391" i="297" s="1"/>
  <c r="P341" i="297"/>
  <c r="R341" i="297" s="1"/>
  <c r="P370" i="297"/>
  <c r="R370" i="297" s="1"/>
  <c r="P306" i="297"/>
  <c r="R306" i="297" s="1"/>
  <c r="P444" i="297"/>
  <c r="R444" i="297" s="1"/>
  <c r="P52" i="297"/>
  <c r="R52" i="297" s="1"/>
  <c r="P88" i="297"/>
  <c r="R88" i="297" s="1"/>
  <c r="P187" i="297"/>
  <c r="R187" i="297" s="1"/>
  <c r="P462" i="297"/>
  <c r="R462" i="297" s="1"/>
  <c r="P453" i="297"/>
  <c r="R453" i="297" s="1"/>
  <c r="P160" i="297"/>
  <c r="R160" i="297" s="1"/>
  <c r="P217" i="297"/>
  <c r="R217" i="297" s="1"/>
  <c r="P378" i="297"/>
  <c r="R378" i="297" s="1"/>
  <c r="P369" i="297"/>
  <c r="R369" i="297" s="1"/>
  <c r="P315" i="297"/>
  <c r="R315" i="297" s="1"/>
  <c r="P299" i="297"/>
  <c r="R299" i="297" s="1"/>
  <c r="P248" i="297"/>
  <c r="R248" i="297" s="1"/>
  <c r="P471" i="297"/>
  <c r="R471" i="297" s="1"/>
  <c r="P344" i="297"/>
  <c r="R344" i="297" s="1"/>
  <c r="P491" i="297"/>
  <c r="R491" i="297" s="1"/>
  <c r="P508" i="297"/>
  <c r="R508" i="297" s="1"/>
  <c r="P426" i="297"/>
  <c r="R426" i="297" s="1"/>
  <c r="P249" i="297"/>
  <c r="R249" i="297" s="1"/>
  <c r="P498" i="297"/>
  <c r="R498" i="297" s="1"/>
  <c r="P213" i="297"/>
  <c r="R213" i="297" s="1"/>
  <c r="P371" i="297"/>
  <c r="R371" i="297" s="1"/>
  <c r="P57" i="297"/>
  <c r="R57" i="297" s="1"/>
  <c r="P381" i="297"/>
  <c r="R381" i="297" s="1"/>
  <c r="P468" i="297"/>
  <c r="R468" i="297" s="1"/>
  <c r="P142" i="297"/>
  <c r="R142" i="297" s="1"/>
  <c r="P513" i="297"/>
  <c r="R513" i="297" s="1"/>
  <c r="P205" i="297"/>
  <c r="R205" i="297" s="1"/>
  <c r="P168" i="297"/>
  <c r="R168" i="297" s="1"/>
  <c r="P490" i="297"/>
  <c r="R490" i="297" s="1"/>
  <c r="P362" i="297"/>
  <c r="R362" i="297" s="1"/>
  <c r="P351" i="297"/>
  <c r="R351" i="297" s="1"/>
  <c r="P307" i="297"/>
  <c r="R307" i="297" s="1"/>
  <c r="P257" i="297"/>
  <c r="R257" i="297" s="1"/>
  <c r="P388" i="297"/>
  <c r="R388" i="297" s="1"/>
  <c r="P218" i="297"/>
  <c r="R218" i="297" s="1"/>
  <c r="P55" i="297"/>
  <c r="R55" i="297" s="1"/>
  <c r="P226" i="297"/>
  <c r="R226" i="297" s="1"/>
  <c r="P313" i="297"/>
  <c r="R313" i="297" s="1"/>
  <c r="P110" i="297"/>
  <c r="R110" i="297" s="1"/>
  <c r="P511" i="297"/>
  <c r="R511" i="297" s="1"/>
  <c r="P438" i="297"/>
  <c r="R438" i="297" s="1"/>
  <c r="P111" i="297"/>
  <c r="R111" i="297" s="1"/>
  <c r="P410" i="297"/>
  <c r="R410" i="297" s="1"/>
  <c r="P131" i="297"/>
  <c r="R131" i="297" s="1"/>
  <c r="P485" i="297"/>
  <c r="R485" i="297" s="1"/>
  <c r="P38" i="297"/>
  <c r="R38" i="297" s="1"/>
  <c r="P105" i="297"/>
  <c r="R105" i="297" s="1"/>
  <c r="P479" i="297"/>
  <c r="R479" i="297" s="1"/>
  <c r="E75" i="293"/>
  <c r="Z73" i="180"/>
  <c r="S75" i="293" s="1"/>
  <c r="E87" i="293"/>
  <c r="Z85" i="180"/>
  <c r="S87" i="293" s="1"/>
  <c r="D19" i="308" a="1"/>
  <c r="D19" i="308" s="1"/>
  <c r="E19" i="308" s="1"/>
  <c r="I50" i="293" a="1"/>
  <c r="I50" i="293" s="1"/>
  <c r="F54" i="307" a="1"/>
  <c r="F54" i="307" s="1"/>
  <c r="G54" i="307" s="1"/>
  <c r="L41" i="180"/>
  <c r="M66" i="293" a="1"/>
  <c r="M66" i="293" s="1"/>
  <c r="R64" i="180"/>
  <c r="L66" i="293" s="1" a="1"/>
  <c r="L66" i="293" s="1"/>
  <c r="O43" i="293" a="1"/>
  <c r="O43" i="293" s="1"/>
  <c r="Q41" i="180"/>
  <c r="D20" i="307" a="1"/>
  <c r="D20" i="307" s="1"/>
  <c r="E20" i="307" s="1"/>
  <c r="O28" i="293" a="1"/>
  <c r="O28" i="293" s="1"/>
  <c r="Z118" i="180"/>
  <c r="S120" i="293" s="1"/>
  <c r="E120" i="293"/>
  <c r="K80" i="293" a="1"/>
  <c r="K80" i="293" s="1"/>
  <c r="L78" i="180"/>
  <c r="Z22" i="180"/>
  <c r="S25" i="293" s="1"/>
  <c r="E25" i="293"/>
  <c r="R31" i="180"/>
  <c r="L34" i="293" s="1" a="1"/>
  <c r="L34" i="293" s="1"/>
  <c r="M34" i="293" a="1"/>
  <c r="M34" i="293" s="1"/>
  <c r="F58" i="307" a="1"/>
  <c r="F58" i="307" s="1"/>
  <c r="G58" i="307" s="1"/>
  <c r="Y41" i="180"/>
  <c r="R43" i="293" s="1" a="1"/>
  <c r="R43" i="293" s="1"/>
  <c r="M50" i="180"/>
  <c r="H52" i="293" s="1" a="1"/>
  <c r="H52" i="293" s="1"/>
  <c r="I52" i="293" a="1"/>
  <c r="I52" i="293" s="1"/>
  <c r="D47" i="308" a="1"/>
  <c r="D47" i="308" s="1"/>
  <c r="E47" i="308" s="1"/>
  <c r="Y70" i="180"/>
  <c r="R72" i="293" s="1" a="1"/>
  <c r="R72" i="293" s="1"/>
  <c r="O26" i="293" a="1"/>
  <c r="O26" i="293" s="1"/>
  <c r="M32" i="297" s="1"/>
  <c r="M404" i="297" s="1"/>
  <c r="O404" i="297" s="1"/>
  <c r="K27" i="293" a="1"/>
  <c r="K27" i="293" s="1"/>
  <c r="L53" i="180"/>
  <c r="K55" i="293" a="1"/>
  <c r="K55" i="293" s="1"/>
  <c r="Y77" i="180"/>
  <c r="R79" i="293" s="1" a="1"/>
  <c r="R79" i="293" s="1"/>
  <c r="L77" i="180"/>
  <c r="Z12" i="180"/>
  <c r="S15" i="293" s="1"/>
  <c r="L119" i="180"/>
  <c r="K121" i="293" a="1"/>
  <c r="K121" i="293" s="1"/>
  <c r="L49" i="180"/>
  <c r="K51" i="293" a="1"/>
  <c r="K51" i="293" s="1"/>
  <c r="Y49" i="180"/>
  <c r="R51" i="293" s="1" a="1"/>
  <c r="R51" i="293" s="1"/>
  <c r="F34" i="307" a="1"/>
  <c r="F34" i="307" s="1"/>
  <c r="G34" i="307" s="1"/>
  <c r="F26" i="307" a="1"/>
  <c r="F26" i="307" s="1"/>
  <c r="G26" i="307" s="1"/>
  <c r="Z77" i="180"/>
  <c r="S79" i="293" s="1"/>
  <c r="F32" i="307" a="1"/>
  <c r="F32" i="307" s="1"/>
  <c r="G32" i="307" s="1"/>
  <c r="K11" i="293" a="1"/>
  <c r="K11" i="293" s="1"/>
  <c r="K87" i="293" a="1"/>
  <c r="K87" i="293" s="1"/>
  <c r="L75" i="180"/>
  <c r="L56" i="180"/>
  <c r="M65" i="180"/>
  <c r="H67" i="293" s="1" a="1"/>
  <c r="H67" i="293" s="1"/>
  <c r="N55" i="293" a="1"/>
  <c r="N55" i="293" s="1"/>
  <c r="D35" i="307" a="1"/>
  <c r="D35" i="307" s="1"/>
  <c r="E35" i="307" s="1"/>
  <c r="D47" i="307" a="1"/>
  <c r="D47" i="307" s="1"/>
  <c r="E47" i="307" s="1"/>
  <c r="D39" i="307" a="1"/>
  <c r="D39" i="307" s="1"/>
  <c r="E39" i="307" s="1"/>
  <c r="D19" i="307" a="1"/>
  <c r="D19" i="307" s="1"/>
  <c r="E19" i="307" s="1"/>
  <c r="D31" i="307" a="1"/>
  <c r="D31" i="307" s="1"/>
  <c r="E31" i="307" s="1"/>
  <c r="D59" i="307" a="1"/>
  <c r="D59" i="307" s="1"/>
  <c r="D27" i="307" a="1"/>
  <c r="D27" i="307" s="1"/>
  <c r="E27" i="307" s="1"/>
  <c r="F52" i="308" a="1"/>
  <c r="F52" i="308" s="1"/>
  <c r="G52" i="308" s="1"/>
  <c r="F48" i="308" a="1"/>
  <c r="F48" i="308" s="1"/>
  <c r="G48" i="308" s="1"/>
  <c r="F28" i="308" a="1"/>
  <c r="F28" i="308" s="1"/>
  <c r="G28" i="308" s="1"/>
  <c r="F40" i="308" a="1"/>
  <c r="F40" i="308" s="1"/>
  <c r="G40" i="308" s="1"/>
  <c r="K77" i="293" a="1"/>
  <c r="K77" i="293" s="1"/>
  <c r="F36" i="307" a="1"/>
  <c r="F36" i="307" s="1"/>
  <c r="D52" i="308" a="1"/>
  <c r="D52" i="308" s="1"/>
  <c r="E52" i="308" s="1"/>
  <c r="E31" i="293"/>
  <c r="E55" i="293"/>
  <c r="K50" i="293" a="1"/>
  <c r="K50" i="293" s="1"/>
  <c r="Z82" i="180"/>
  <c r="S84" i="293" s="1"/>
  <c r="E89" i="293"/>
  <c r="I10" i="293" a="1"/>
  <c r="I10" i="293" s="1"/>
  <c r="M7" i="180"/>
  <c r="H10" i="293" s="1" a="1"/>
  <c r="H10" i="293" s="1"/>
  <c r="Y42" i="180"/>
  <c r="R44" i="293" s="1" a="1"/>
  <c r="R44" i="293" s="1"/>
  <c r="L42" i="180"/>
  <c r="K44" i="293" a="1"/>
  <c r="K44" i="293" s="1"/>
  <c r="P286" i="297"/>
  <c r="R286" i="297" s="1"/>
  <c r="P81" i="297"/>
  <c r="R81" i="297" s="1"/>
  <c r="P355" i="297"/>
  <c r="R355" i="297" s="1"/>
  <c r="P305" i="297"/>
  <c r="R305" i="297" s="1"/>
  <c r="P179" i="297"/>
  <c r="R179" i="297" s="1"/>
  <c r="P359" i="297"/>
  <c r="R359" i="297" s="1"/>
  <c r="P66" i="297"/>
  <c r="R66" i="297" s="1"/>
  <c r="P486" i="297"/>
  <c r="R486" i="297" s="1"/>
  <c r="P331" i="297"/>
  <c r="R331" i="297" s="1"/>
  <c r="P115" i="297"/>
  <c r="R115" i="297" s="1"/>
  <c r="P139" i="297"/>
  <c r="R139" i="297" s="1"/>
  <c r="F20" i="310" a="1"/>
  <c r="F20" i="310" s="1"/>
  <c r="G20" i="310" s="1"/>
  <c r="Z32" i="180"/>
  <c r="S35" i="293" s="1"/>
  <c r="E58" i="293"/>
  <c r="F48" i="307" a="1"/>
  <c r="F48" i="307" s="1"/>
  <c r="G48" i="307" s="1"/>
  <c r="K14" i="293" a="1"/>
  <c r="K14" i="293" s="1"/>
  <c r="O21" i="293" a="1"/>
  <c r="O21" i="293" s="1"/>
  <c r="M62" i="293" a="1"/>
  <c r="M62" i="293" s="1"/>
  <c r="R60" i="180"/>
  <c r="L62" i="293" s="1" a="1"/>
  <c r="L62" i="293" s="1"/>
  <c r="E57" i="293"/>
  <c r="E60" i="293"/>
  <c r="R22" i="180"/>
  <c r="L25" i="293" s="1" a="1"/>
  <c r="L25" i="293" s="1"/>
  <c r="Y32" i="180"/>
  <c r="R35" i="293" s="1" a="1"/>
  <c r="R35" i="293" s="1"/>
  <c r="F44" i="308" a="1"/>
  <c r="F44" i="308" s="1"/>
  <c r="F20" i="307" a="1"/>
  <c r="F20" i="307" s="1"/>
  <c r="L8" i="180"/>
  <c r="Y18" i="180"/>
  <c r="R21" i="293" s="1" a="1"/>
  <c r="R21" i="293" s="1"/>
  <c r="F36" i="308" a="1"/>
  <c r="F36" i="308" s="1"/>
  <c r="E47" i="293"/>
  <c r="F24" i="308" a="1"/>
  <c r="F24" i="308" s="1"/>
  <c r="P458" i="297"/>
  <c r="R458" i="297" s="1"/>
  <c r="F56" i="307" a="1"/>
  <c r="F56" i="307" s="1"/>
  <c r="G56" i="307" s="1"/>
  <c r="Y120" i="180"/>
  <c r="R122" i="293" s="1" a="1"/>
  <c r="R122" i="293" s="1"/>
  <c r="D51" i="307" a="1"/>
  <c r="D51" i="307" s="1"/>
  <c r="E51" i="307" s="1"/>
  <c r="Y53" i="180"/>
  <c r="R55" i="293" s="1" a="1"/>
  <c r="R55" i="293" s="1"/>
  <c r="K48" i="293" a="1"/>
  <c r="K48" i="293" s="1"/>
  <c r="L46" i="180"/>
  <c r="Y46" i="180"/>
  <c r="R48" i="293" s="1" a="1"/>
  <c r="R48" i="293" s="1"/>
  <c r="I26" i="293" a="1"/>
  <c r="I26" i="293" s="1"/>
  <c r="M23" i="180"/>
  <c r="H26" i="293" s="1" a="1"/>
  <c r="H26" i="293" s="1"/>
  <c r="F42" i="308" a="1"/>
  <c r="F42" i="308" s="1"/>
  <c r="F18" i="308" a="1"/>
  <c r="F18" i="308" s="1"/>
  <c r="G18" i="308" s="1"/>
  <c r="F40" i="307" a="1"/>
  <c r="F40" i="307" s="1"/>
  <c r="G40" i="307" s="1"/>
  <c r="L85" i="180"/>
  <c r="M35" i="180"/>
  <c r="H38" i="293" s="1" a="1"/>
  <c r="H38" i="293" s="1"/>
  <c r="M55" i="180"/>
  <c r="H57" i="293" s="1" a="1"/>
  <c r="H57" i="293" s="1"/>
  <c r="Z39" i="180"/>
  <c r="S41" i="293" s="1"/>
  <c r="Q10" i="180"/>
  <c r="P174" i="297"/>
  <c r="R174" i="297" s="1"/>
  <c r="P259" i="297"/>
  <c r="R259" i="297" s="1"/>
  <c r="P161" i="297"/>
  <c r="R161" i="297" s="1"/>
  <c r="P300" i="297"/>
  <c r="R300" i="297" s="1"/>
  <c r="P337" i="297"/>
  <c r="R337" i="297" s="1"/>
  <c r="P339" i="297"/>
  <c r="R339" i="297" s="1"/>
  <c r="P496" i="297"/>
  <c r="R496" i="297" s="1"/>
  <c r="P177" i="297"/>
  <c r="R177" i="297" s="1"/>
  <c r="P352" i="297"/>
  <c r="R352" i="297" s="1"/>
  <c r="P222" i="297"/>
  <c r="R222" i="297" s="1"/>
  <c r="P61" i="297"/>
  <c r="R61" i="297" s="1"/>
  <c r="D24" i="307" a="1"/>
  <c r="D24" i="307" s="1"/>
  <c r="E24" i="307" s="1"/>
  <c r="M72" i="293" a="1"/>
  <c r="M72" i="293" s="1"/>
  <c r="L33" i="180"/>
  <c r="F44" i="307" a="1"/>
  <c r="F44" i="307" s="1"/>
  <c r="G44" i="307" s="1"/>
  <c r="L11" i="180"/>
  <c r="K122" i="293" a="1"/>
  <c r="K122" i="293" s="1"/>
  <c r="O35" i="293" a="1"/>
  <c r="O35" i="293" s="1"/>
  <c r="F22" i="308" a="1"/>
  <c r="F22" i="308" s="1"/>
  <c r="G22" i="308" s="1"/>
  <c r="R61" i="180"/>
  <c r="I88" i="293" a="1"/>
  <c r="I88" i="293" s="1"/>
  <c r="Z63" i="180"/>
  <c r="S65" i="293" s="1"/>
  <c r="E65" i="293"/>
  <c r="P345" i="297"/>
  <c r="R345" i="297" s="1"/>
  <c r="P223" i="297"/>
  <c r="R223" i="297" s="1"/>
  <c r="P420" i="297"/>
  <c r="R420" i="297" s="1"/>
  <c r="P214" i="297"/>
  <c r="R214" i="297" s="1"/>
  <c r="P385" i="297"/>
  <c r="R385" i="297" s="1"/>
  <c r="P193" i="297"/>
  <c r="R193" i="297" s="1"/>
  <c r="P76" i="297"/>
  <c r="R76" i="297" s="1"/>
  <c r="P408" i="297"/>
  <c r="R408" i="297" s="1"/>
  <c r="P215" i="297"/>
  <c r="R215" i="297" s="1"/>
  <c r="P386" i="297"/>
  <c r="R386" i="297" s="1"/>
  <c r="P419" i="297"/>
  <c r="R419" i="297" s="1"/>
  <c r="P69" i="297"/>
  <c r="R69" i="297" s="1"/>
  <c r="Q62" i="180"/>
  <c r="D52" i="307" a="1"/>
  <c r="D52" i="307" s="1"/>
  <c r="Y33" i="180"/>
  <c r="R36" i="293" s="1" a="1"/>
  <c r="R36" i="293" s="1"/>
  <c r="F24" i="307" a="1"/>
  <c r="F24" i="307" s="1"/>
  <c r="G24" i="307" s="1"/>
  <c r="O19" i="293" a="1"/>
  <c r="O19" i="293" s="1"/>
  <c r="F50" i="308" a="1"/>
  <c r="F50" i="308" s="1"/>
  <c r="G50" i="308" s="1"/>
  <c r="R75" i="180"/>
  <c r="L77" i="293" s="1" a="1"/>
  <c r="L77" i="293" s="1"/>
  <c r="Z16" i="180"/>
  <c r="S19" i="293" s="1"/>
  <c r="D44" i="308" a="1"/>
  <c r="D44" i="308" s="1"/>
  <c r="E44" i="308" s="1"/>
  <c r="F52" i="307" a="1"/>
  <c r="F52" i="307" s="1"/>
  <c r="G52" i="307" s="1"/>
  <c r="K31" i="293" a="1"/>
  <c r="K31" i="293" s="1"/>
  <c r="Q16" i="180"/>
  <c r="F26" i="308" a="1"/>
  <c r="F26" i="308" s="1"/>
  <c r="G26" i="308" s="1"/>
  <c r="R53" i="180"/>
  <c r="L55" i="293" s="1" a="1"/>
  <c r="L55" i="293" s="1"/>
  <c r="E81" i="293"/>
  <c r="Z79" i="180"/>
  <c r="S81" i="293" s="1"/>
  <c r="Q65" i="180"/>
  <c r="O67" i="293" a="1"/>
  <c r="O67" i="293" s="1"/>
  <c r="D28" i="308" a="1"/>
  <c r="D28" i="308" s="1"/>
  <c r="E28" i="308" s="1"/>
  <c r="D24" i="308" a="1"/>
  <c r="D24" i="308" s="1"/>
  <c r="E24" i="308" s="1"/>
  <c r="D32" i="308" a="1"/>
  <c r="D32" i="308" s="1"/>
  <c r="E32" i="308" s="1"/>
  <c r="D20" i="308" a="1"/>
  <c r="D20" i="308" s="1"/>
  <c r="E20" i="308" s="1"/>
  <c r="O63" i="293" a="1"/>
  <c r="O63" i="293" s="1"/>
  <c r="Q61" i="180"/>
  <c r="D36" i="308" a="1"/>
  <c r="D36" i="308" s="1"/>
  <c r="E36" i="308" s="1"/>
  <c r="P188" i="297"/>
  <c r="R188" i="297" s="1"/>
  <c r="P250" i="297"/>
  <c r="R250" i="297" s="1"/>
  <c r="P112" i="297"/>
  <c r="R112" i="297" s="1"/>
  <c r="P80" i="297"/>
  <c r="R80" i="297" s="1"/>
  <c r="P427" i="297"/>
  <c r="R427" i="297" s="1"/>
  <c r="P394" i="297"/>
  <c r="R394" i="297" s="1"/>
  <c r="P162" i="297"/>
  <c r="R162" i="297" s="1"/>
  <c r="P137" i="297"/>
  <c r="R137" i="297" s="1"/>
  <c r="P270" i="297"/>
  <c r="R270" i="297" s="1"/>
  <c r="P338" i="297"/>
  <c r="R338" i="297" s="1"/>
  <c r="P255" i="297"/>
  <c r="R255" i="297" s="1"/>
  <c r="Y87" i="180"/>
  <c r="R89" i="293" s="1" a="1"/>
  <c r="R89" i="293" s="1"/>
  <c r="E61" i="293"/>
  <c r="M43" i="293" a="1"/>
  <c r="M43" i="293" s="1"/>
  <c r="P65" i="297"/>
  <c r="R65" i="297" s="1"/>
  <c r="P405" i="297"/>
  <c r="R405" i="297" s="1"/>
  <c r="P289" i="297"/>
  <c r="R289" i="297" s="1"/>
  <c r="P437" i="297"/>
  <c r="R437" i="297" s="1"/>
  <c r="P320" i="297"/>
  <c r="R320" i="297" s="1"/>
  <c r="P241" i="297"/>
  <c r="R241" i="297" s="1"/>
  <c r="P45" i="297"/>
  <c r="R45" i="297" s="1"/>
  <c r="P224" i="297"/>
  <c r="R224" i="297" s="1"/>
  <c r="P497" i="297"/>
  <c r="R497" i="297" s="1"/>
  <c r="P375" i="297"/>
  <c r="R375" i="297" s="1"/>
  <c r="P431" i="297"/>
  <c r="R431" i="297" s="1"/>
  <c r="K15" i="293" a="1"/>
  <c r="K15" i="293" s="1"/>
  <c r="Q25" i="180"/>
  <c r="M70" i="180"/>
  <c r="H72" i="293" s="1" a="1"/>
  <c r="H72" i="293" s="1"/>
  <c r="Y55" i="180"/>
  <c r="R57" i="293" s="1" a="1"/>
  <c r="R57" i="293" s="1"/>
  <c r="Y28" i="180"/>
  <c r="R31" i="293" s="1" a="1"/>
  <c r="R31" i="293" s="1"/>
  <c r="M78" i="180"/>
  <c r="H80" i="293" s="1" a="1"/>
  <c r="H80" i="293" s="1"/>
  <c r="F38" i="308" a="1"/>
  <c r="F38" i="308" s="1"/>
  <c r="O59" i="293" a="1"/>
  <c r="O59" i="293" s="1"/>
  <c r="L64" i="180"/>
  <c r="K66" i="293" a="1"/>
  <c r="K66" i="293" s="1"/>
  <c r="O55" i="293" a="1"/>
  <c r="O55" i="293" s="1"/>
  <c r="Q53" i="180"/>
  <c r="Y48" i="180"/>
  <c r="R50" i="293" s="1" a="1"/>
  <c r="R50" i="293" s="1"/>
  <c r="Y57" i="180"/>
  <c r="R59" i="293" s="1" a="1"/>
  <c r="R59" i="293" s="1"/>
  <c r="M72" i="180"/>
  <c r="H74" i="293" s="1" a="1"/>
  <c r="H74" i="293" s="1"/>
  <c r="I74" i="293" a="1"/>
  <c r="I74" i="293" s="1"/>
  <c r="Q55" i="180"/>
  <c r="L87" i="180"/>
  <c r="P435" i="297"/>
  <c r="R435" i="297" s="1"/>
  <c r="P166" i="297"/>
  <c r="R166" i="297" s="1"/>
  <c r="P404" i="297"/>
  <c r="R404" i="297" s="1"/>
  <c r="P380" i="297"/>
  <c r="R380" i="297" s="1"/>
  <c r="P495" i="297"/>
  <c r="R495" i="297" s="1"/>
  <c r="P266" i="297"/>
  <c r="R266" i="297" s="1"/>
  <c r="P120" i="297"/>
  <c r="R120" i="297" s="1"/>
  <c r="P58" i="297"/>
  <c r="R58" i="297" s="1"/>
  <c r="P251" i="297"/>
  <c r="R251" i="297" s="1"/>
  <c r="P294" i="297"/>
  <c r="R294" i="297" s="1"/>
  <c r="P235" i="297"/>
  <c r="R235" i="297" s="1"/>
  <c r="Y12" i="180"/>
  <c r="R15" i="293" s="1" a="1"/>
  <c r="R15" i="293" s="1"/>
  <c r="D28" i="307" a="1"/>
  <c r="D28" i="307" s="1"/>
  <c r="E28" i="307" s="1"/>
  <c r="Z65" i="180"/>
  <c r="S67" i="293" s="1"/>
  <c r="F46" i="308" a="1"/>
  <c r="F46" i="308" s="1"/>
  <c r="Z71" i="180"/>
  <c r="S73" i="293" s="1"/>
  <c r="E73" i="293"/>
  <c r="E24" i="293"/>
  <c r="F32" i="308" a="1"/>
  <c r="F32" i="308" s="1"/>
  <c r="G32" i="308" s="1"/>
  <c r="L57" i="180"/>
  <c r="P60" i="297"/>
  <c r="R60" i="297" s="1"/>
  <c r="P136" i="297"/>
  <c r="R136" i="297" s="1"/>
  <c r="P121" i="297"/>
  <c r="R121" i="297" s="1"/>
  <c r="P93" i="297"/>
  <c r="R93" i="297" s="1"/>
  <c r="P414" i="297"/>
  <c r="R414" i="297" s="1"/>
  <c r="P296" i="297"/>
  <c r="R296" i="297" s="1"/>
  <c r="P234" i="297"/>
  <c r="R234" i="297" s="1"/>
  <c r="P118" i="297"/>
  <c r="R118" i="297" s="1"/>
  <c r="P98" i="297"/>
  <c r="R98" i="297" s="1"/>
  <c r="O77" i="293" a="1"/>
  <c r="O77" i="293" s="1"/>
  <c r="D48" i="307" a="1"/>
  <c r="D48" i="307" s="1"/>
  <c r="E48" i="307" s="1"/>
  <c r="Y29" i="180"/>
  <c r="R32" i="293" s="1" a="1"/>
  <c r="R32" i="293" s="1"/>
  <c r="P447" i="297"/>
  <c r="R447" i="297" s="1"/>
  <c r="P367" i="297"/>
  <c r="R367" i="297" s="1"/>
  <c r="P466" i="297"/>
  <c r="R466" i="297" s="1"/>
  <c r="P366" i="297"/>
  <c r="R366" i="297" s="1"/>
  <c r="P184" i="297"/>
  <c r="R184" i="297" s="1"/>
  <c r="P283" i="297"/>
  <c r="R283" i="297" s="1"/>
  <c r="P379" i="297"/>
  <c r="R379" i="297" s="1"/>
  <c r="P506" i="297"/>
  <c r="R506" i="297" s="1"/>
  <c r="P493" i="297"/>
  <c r="R493" i="297" s="1"/>
  <c r="P282" i="297"/>
  <c r="R282" i="297" s="1"/>
  <c r="P465" i="297"/>
  <c r="R465" i="297" s="1"/>
  <c r="D44" i="307" a="1"/>
  <c r="D44" i="307" s="1"/>
  <c r="M32" i="293" a="1"/>
  <c r="M32" i="293" s="1"/>
  <c r="M71" i="180"/>
  <c r="H73" i="293" s="1" a="1"/>
  <c r="H73" i="293" s="1"/>
  <c r="F30" i="308" a="1"/>
  <c r="F30" i="308" s="1"/>
  <c r="K79" i="293" a="1"/>
  <c r="K79" i="293" s="1"/>
  <c r="F18" i="307" a="1"/>
  <c r="F18" i="307" s="1"/>
  <c r="G18" i="307" s="1"/>
  <c r="M88" i="180"/>
  <c r="H90" i="293" s="1" a="1"/>
  <c r="H90" i="293" s="1"/>
  <c r="Q67" i="180"/>
  <c r="L28" i="293" a="1"/>
  <c r="L28" i="293" s="1"/>
  <c r="E23" i="308"/>
  <c r="E20" i="310"/>
  <c r="J355" i="297"/>
  <c r="L355" i="297" s="1"/>
  <c r="J471" i="297"/>
  <c r="L471" i="297" s="1"/>
  <c r="J187" i="297"/>
  <c r="L187" i="297" s="1"/>
  <c r="J74" i="297"/>
  <c r="L74" i="297" s="1"/>
  <c r="J279" i="297"/>
  <c r="L279" i="297" s="1"/>
  <c r="J261" i="297"/>
  <c r="L261" i="297" s="1"/>
  <c r="J308" i="297"/>
  <c r="L308" i="297" s="1"/>
  <c r="J177" i="297"/>
  <c r="L177" i="297" s="1"/>
  <c r="J332" i="297"/>
  <c r="L332" i="297" s="1"/>
  <c r="J385" i="297"/>
  <c r="L385" i="297" s="1"/>
  <c r="J359" i="297"/>
  <c r="L359" i="297" s="1"/>
  <c r="J274" i="297"/>
  <c r="L274" i="297" s="1"/>
  <c r="J465" i="297"/>
  <c r="L465" i="297" s="1"/>
  <c r="J499" i="297"/>
  <c r="L499" i="297" s="1"/>
  <c r="J364" i="297"/>
  <c r="L364" i="297" s="1"/>
  <c r="J211" i="297"/>
  <c r="L211" i="297" s="1"/>
  <c r="J509" i="297"/>
  <c r="L509" i="297" s="1"/>
  <c r="J434" i="297"/>
  <c r="L434" i="297" s="1"/>
  <c r="J501" i="297"/>
  <c r="L501" i="297" s="1"/>
  <c r="J64" i="297"/>
  <c r="L64" i="297" s="1"/>
  <c r="J141" i="297"/>
  <c r="L141" i="297" s="1"/>
  <c r="J68" i="297"/>
  <c r="L68" i="297" s="1"/>
  <c r="J152" i="297"/>
  <c r="L152" i="297" s="1"/>
  <c r="J321" i="297"/>
  <c r="L321" i="297" s="1"/>
  <c r="J309" i="297"/>
  <c r="L309" i="297" s="1"/>
  <c r="J489" i="297"/>
  <c r="L489" i="297" s="1"/>
  <c r="J34" i="297"/>
  <c r="L34" i="297" s="1"/>
  <c r="J289" i="297"/>
  <c r="L289" i="297" s="1"/>
  <c r="J498" i="297"/>
  <c r="L498" i="297" s="1"/>
  <c r="J271" i="297"/>
  <c r="L271" i="297" s="1"/>
  <c r="J247" i="297"/>
  <c r="L247" i="297" s="1"/>
  <c r="J80" i="297"/>
  <c r="L80" i="297" s="1"/>
  <c r="J435" i="297"/>
  <c r="L435" i="297" s="1"/>
  <c r="J96" i="297"/>
  <c r="L96" i="297" s="1"/>
  <c r="J120" i="297"/>
  <c r="L120" i="297" s="1"/>
  <c r="J133" i="297"/>
  <c r="L133" i="297" s="1"/>
  <c r="J351" i="297"/>
  <c r="L351" i="297" s="1"/>
  <c r="J424" i="297"/>
  <c r="L424" i="297" s="1"/>
  <c r="J85" i="297"/>
  <c r="L85" i="297" s="1"/>
  <c r="J303" i="297"/>
  <c r="L303" i="297" s="1"/>
  <c r="J269" i="297"/>
  <c r="L269" i="297" s="1"/>
  <c r="J475" i="297"/>
  <c r="L475" i="297" s="1"/>
  <c r="J290" i="297"/>
  <c r="L290" i="297" s="1"/>
  <c r="J411" i="297"/>
  <c r="L411" i="297" s="1"/>
  <c r="J150" i="297"/>
  <c r="L150" i="297" s="1"/>
  <c r="J134" i="297"/>
  <c r="L134" i="297" s="1"/>
  <c r="J340" i="297"/>
  <c r="L340" i="297" s="1"/>
  <c r="J240" i="297"/>
  <c r="L240" i="297" s="1"/>
  <c r="J204" i="297"/>
  <c r="L204" i="297" s="1"/>
  <c r="J266" i="297"/>
  <c r="L266" i="297" s="1"/>
  <c r="J131" i="297"/>
  <c r="L131" i="297" s="1"/>
  <c r="J41" i="297"/>
  <c r="L41" i="297" s="1"/>
  <c r="J404" i="297"/>
  <c r="L404" i="297" s="1"/>
  <c r="J331" i="297"/>
  <c r="L331" i="297" s="1"/>
  <c r="J175" i="297"/>
  <c r="L175" i="297" s="1"/>
  <c r="J353" i="297"/>
  <c r="L353" i="297" s="1"/>
  <c r="J136" i="297"/>
  <c r="L136" i="297" s="1"/>
  <c r="J176" i="297"/>
  <c r="L176" i="297" s="1"/>
  <c r="J232" i="297"/>
  <c r="L232" i="297" s="1"/>
  <c r="J149" i="297"/>
  <c r="L149" i="297" s="1"/>
  <c r="J334" i="297"/>
  <c r="L334" i="297" s="1"/>
  <c r="J497" i="297"/>
  <c r="L497" i="297" s="1"/>
  <c r="J512" i="297"/>
  <c r="L512" i="297" s="1"/>
  <c r="J44" i="297"/>
  <c r="L44" i="297" s="1"/>
  <c r="J345" i="297"/>
  <c r="L345" i="297" s="1"/>
  <c r="J61" i="297"/>
  <c r="L61" i="297" s="1"/>
  <c r="J122" i="297"/>
  <c r="L122" i="297" s="1"/>
  <c r="J392" i="297"/>
  <c r="L392" i="297" s="1"/>
  <c r="J394" i="297"/>
  <c r="L394" i="297" s="1"/>
  <c r="J265" i="297"/>
  <c r="L265" i="297" s="1"/>
  <c r="J156" i="297"/>
  <c r="L156" i="297" s="1"/>
  <c r="J407" i="297"/>
  <c r="L407" i="297" s="1"/>
  <c r="J460" i="297"/>
  <c r="L460" i="297" s="1"/>
  <c r="J478" i="297"/>
  <c r="L478" i="297" s="1"/>
  <c r="J249" i="297"/>
  <c r="L249" i="297" s="1"/>
  <c r="J318" i="297"/>
  <c r="L318" i="297" s="1"/>
  <c r="J508" i="297"/>
  <c r="L508" i="297" s="1"/>
  <c r="J425" i="297"/>
  <c r="L425" i="297" s="1"/>
  <c r="J374" i="297"/>
  <c r="L374" i="297" s="1"/>
  <c r="J313" i="297"/>
  <c r="L313" i="297" s="1"/>
  <c r="J511" i="297"/>
  <c r="L511" i="297" s="1"/>
  <c r="J371" i="297"/>
  <c r="L371" i="297" s="1"/>
  <c r="J283" i="297"/>
  <c r="L283" i="297" s="1"/>
  <c r="J57" i="297"/>
  <c r="L57" i="297" s="1"/>
  <c r="J155" i="297"/>
  <c r="L155" i="297" s="1"/>
  <c r="J225" i="297"/>
  <c r="L225" i="297" s="1"/>
  <c r="J480" i="297"/>
  <c r="L480" i="297" s="1"/>
  <c r="J358" i="297"/>
  <c r="L358" i="297" s="1"/>
  <c r="J419" i="297"/>
  <c r="L419" i="297" s="1"/>
  <c r="J246" i="297"/>
  <c r="L246" i="297" s="1"/>
  <c r="J127" i="297"/>
  <c r="L127" i="297" s="1"/>
  <c r="J502" i="297"/>
  <c r="L502" i="297" s="1"/>
  <c r="J107" i="297"/>
  <c r="L107" i="297" s="1"/>
  <c r="J368" i="297"/>
  <c r="L368" i="297" s="1"/>
  <c r="J159" i="297"/>
  <c r="L159" i="297" s="1"/>
  <c r="J51" i="297"/>
  <c r="L51" i="297" s="1"/>
  <c r="J161" i="297"/>
  <c r="L161" i="297" s="1"/>
  <c r="J474" i="297"/>
  <c r="L474" i="297" s="1"/>
  <c r="J412" i="297"/>
  <c r="L412" i="297" s="1"/>
  <c r="J37" i="297"/>
  <c r="L37" i="297" s="1"/>
  <c r="J91" i="297"/>
  <c r="L91" i="297" s="1"/>
  <c r="J320" i="297"/>
  <c r="L320" i="297" s="1"/>
  <c r="J62" i="297"/>
  <c r="L62" i="297" s="1"/>
  <c r="J441" i="297"/>
  <c r="L441" i="297" s="1"/>
  <c r="J233" i="297"/>
  <c r="L233" i="297" s="1"/>
  <c r="J307" i="297"/>
  <c r="L307" i="297" s="1"/>
  <c r="J488" i="297"/>
  <c r="L488" i="297" s="1"/>
  <c r="J452" i="297"/>
  <c r="L452" i="297" s="1"/>
  <c r="J510" i="297"/>
  <c r="L510" i="297" s="1"/>
  <c r="J315" i="297"/>
  <c r="L315" i="297" s="1"/>
  <c r="J154" i="297"/>
  <c r="L154" i="297" s="1"/>
  <c r="J456" i="297"/>
  <c r="L456" i="297" s="1"/>
  <c r="J45" i="297"/>
  <c r="L45" i="297" s="1"/>
  <c r="J52" i="297"/>
  <c r="L52" i="297" s="1"/>
  <c r="J449" i="297"/>
  <c r="L449" i="297" s="1"/>
  <c r="J317" i="297"/>
  <c r="L317" i="297" s="1"/>
  <c r="J445" i="297"/>
  <c r="L445" i="297" s="1"/>
  <c r="J236" i="297"/>
  <c r="L236" i="297" s="1"/>
  <c r="J258" i="297"/>
  <c r="L258" i="297" s="1"/>
  <c r="J254" i="297"/>
  <c r="L254" i="297" s="1"/>
  <c r="J73" i="297"/>
  <c r="L73" i="297" s="1"/>
  <c r="J56" i="297"/>
  <c r="L56" i="297" s="1"/>
  <c r="J170" i="297"/>
  <c r="L170" i="297" s="1"/>
  <c r="J142" i="297"/>
  <c r="L142" i="297" s="1"/>
  <c r="J139" i="297"/>
  <c r="L139" i="297" s="1"/>
  <c r="J168" i="297"/>
  <c r="L168" i="297" s="1"/>
  <c r="J143" i="297"/>
  <c r="L143" i="297" s="1"/>
  <c r="J272" i="297"/>
  <c r="L272" i="297" s="1"/>
  <c r="J343" i="297"/>
  <c r="L343" i="297" s="1"/>
  <c r="J292" i="297"/>
  <c r="L292" i="297" s="1"/>
  <c r="J337" i="297"/>
  <c r="L337" i="297" s="1"/>
  <c r="J513" i="297"/>
  <c r="L513" i="297" s="1"/>
  <c r="J135" i="297"/>
  <c r="L135" i="297" s="1"/>
  <c r="J186" i="297"/>
  <c r="L186" i="297" s="1"/>
  <c r="J237" i="297"/>
  <c r="L237" i="297" s="1"/>
  <c r="J196" i="297"/>
  <c r="L196" i="297" s="1"/>
  <c r="J409" i="297"/>
  <c r="L409" i="297" s="1"/>
  <c r="J338" i="297"/>
  <c r="L338" i="297" s="1"/>
  <c r="J389" i="297"/>
  <c r="L389" i="297" s="1"/>
  <c r="J437" i="297"/>
  <c r="L437" i="297" s="1"/>
  <c r="J121" i="297"/>
  <c r="L121" i="297" s="1"/>
  <c r="J387" i="297"/>
  <c r="L387" i="297" s="1"/>
  <c r="J267" i="297"/>
  <c r="L267" i="297" s="1"/>
  <c r="J391" i="297"/>
  <c r="L391" i="297" s="1"/>
  <c r="J383" i="297"/>
  <c r="L383" i="297" s="1"/>
  <c r="J470" i="297"/>
  <c r="L470" i="297" s="1"/>
  <c r="J507" i="297"/>
  <c r="L507" i="297" s="1"/>
  <c r="J66" i="297"/>
  <c r="L66" i="297" s="1"/>
  <c r="J260" i="297"/>
  <c r="L260" i="297" s="1"/>
  <c r="J379" i="297"/>
  <c r="L379" i="297" s="1"/>
  <c r="J144" i="297"/>
  <c r="L144" i="297" s="1"/>
  <c r="J344" i="297"/>
  <c r="L344" i="297" s="1"/>
  <c r="J99" i="297"/>
  <c r="L99" i="297" s="1"/>
  <c r="J81" i="297"/>
  <c r="L81" i="297" s="1"/>
  <c r="J235" i="297"/>
  <c r="L235" i="297" s="1"/>
  <c r="J386" i="297"/>
  <c r="L386" i="297" s="1"/>
  <c r="J328" i="297"/>
  <c r="L328" i="297" s="1"/>
  <c r="J373" i="297"/>
  <c r="L373" i="297" s="1"/>
  <c r="J252" i="297"/>
  <c r="L252" i="297" s="1"/>
  <c r="J164" i="297"/>
  <c r="L164" i="297" s="1"/>
  <c r="J53" i="297"/>
  <c r="L53" i="297" s="1"/>
  <c r="J36" i="297"/>
  <c r="L36" i="297" s="1"/>
  <c r="J198" i="297"/>
  <c r="L198" i="297" s="1"/>
  <c r="J326" i="297"/>
  <c r="L326" i="297" s="1"/>
  <c r="J356" i="297"/>
  <c r="L356" i="297" s="1"/>
  <c r="J255" i="297"/>
  <c r="L255" i="297" s="1"/>
  <c r="J49" i="297"/>
  <c r="L49" i="297" s="1"/>
  <c r="J263" i="297"/>
  <c r="L263" i="297" s="1"/>
  <c r="J39" i="297"/>
  <c r="L39" i="297" s="1"/>
  <c r="J299" i="297"/>
  <c r="L299" i="297" s="1"/>
  <c r="J132" i="297"/>
  <c r="L132" i="297" s="1"/>
  <c r="J399" i="297"/>
  <c r="L399" i="297" s="1"/>
  <c r="J491" i="297"/>
  <c r="L491" i="297" s="1"/>
  <c r="J401" i="297"/>
  <c r="L401" i="297" s="1"/>
  <c r="J70" i="297"/>
  <c r="L70" i="297" s="1"/>
  <c r="J405" i="297"/>
  <c r="L405" i="297" s="1"/>
  <c r="J195" i="297"/>
  <c r="L195" i="297" s="1"/>
  <c r="J218" i="297"/>
  <c r="L218" i="297" s="1"/>
  <c r="J378" i="297"/>
  <c r="L378" i="297" s="1"/>
  <c r="J365" i="297"/>
  <c r="L365" i="297" s="1"/>
  <c r="J370" i="297"/>
  <c r="L370" i="297" s="1"/>
  <c r="J335" i="297"/>
  <c r="L335" i="297" s="1"/>
  <c r="J388" i="297"/>
  <c r="L388" i="297" s="1"/>
  <c r="J439" i="297"/>
  <c r="L439" i="297" s="1"/>
  <c r="J245" i="297"/>
  <c r="L245" i="297" s="1"/>
  <c r="J442" i="297"/>
  <c r="L442" i="297" s="1"/>
  <c r="J483" i="297"/>
  <c r="L483" i="297" s="1"/>
  <c r="J366" i="297"/>
  <c r="L366" i="297" s="1"/>
  <c r="J406" i="297"/>
  <c r="L406" i="297" s="1"/>
  <c r="J83" i="297"/>
  <c r="L83" i="297" s="1"/>
  <c r="J106" i="297"/>
  <c r="L106" i="297" s="1"/>
  <c r="J250" i="297"/>
  <c r="L250" i="297" s="1"/>
  <c r="J226" i="297"/>
  <c r="L226" i="297" s="1"/>
  <c r="J40" i="297"/>
  <c r="L40" i="297" s="1"/>
  <c r="J100" i="297"/>
  <c r="L100" i="297" s="1"/>
  <c r="J125" i="297"/>
  <c r="L125" i="297" s="1"/>
  <c r="J450" i="297"/>
  <c r="L450" i="297" s="1"/>
  <c r="J482" i="297"/>
  <c r="L482" i="297" s="1"/>
  <c r="J165" i="297"/>
  <c r="L165" i="297" s="1"/>
  <c r="J55" i="297"/>
  <c r="L55" i="297" s="1"/>
  <c r="J77" i="297"/>
  <c r="L77" i="297" s="1"/>
  <c r="J126" i="297"/>
  <c r="L126" i="297" s="1"/>
  <c r="J286" i="297"/>
  <c r="L286" i="297" s="1"/>
  <c r="J182" i="297"/>
  <c r="L182" i="297" s="1"/>
  <c r="J329" i="297"/>
  <c r="L329" i="297" s="1"/>
  <c r="J312" i="297"/>
  <c r="L312" i="297" s="1"/>
  <c r="J278" i="297"/>
  <c r="L278" i="297" s="1"/>
  <c r="J367" i="297"/>
  <c r="L367" i="297" s="1"/>
  <c r="J323" i="297"/>
  <c r="L323" i="297" s="1"/>
  <c r="J242" i="297"/>
  <c r="L242" i="297" s="1"/>
  <c r="J192" i="297"/>
  <c r="L192" i="297" s="1"/>
  <c r="J113" i="297"/>
  <c r="L113" i="297" s="1"/>
  <c r="J185" i="297"/>
  <c r="L185" i="297" s="1"/>
  <c r="J224" i="297"/>
  <c r="L224" i="297" s="1"/>
  <c r="J414" i="297"/>
  <c r="L414" i="297" s="1"/>
  <c r="J400" i="297"/>
  <c r="L400" i="297" s="1"/>
  <c r="J183" i="297"/>
  <c r="L183" i="297" s="1"/>
  <c r="J422" i="297"/>
  <c r="L422" i="297" s="1"/>
  <c r="J486" i="297"/>
  <c r="L486" i="297" s="1"/>
  <c r="J506" i="297"/>
  <c r="L506" i="297" s="1"/>
  <c r="J216" i="297"/>
  <c r="L216" i="297" s="1"/>
  <c r="J282" i="297"/>
  <c r="L282" i="297" s="1"/>
  <c r="J38" i="297"/>
  <c r="L38" i="297" s="1"/>
  <c r="J462" i="297"/>
  <c r="L462" i="297" s="1"/>
  <c r="J395" i="297"/>
  <c r="L395" i="297" s="1"/>
  <c r="J213" i="297"/>
  <c r="L213" i="297" s="1"/>
  <c r="J108" i="297"/>
  <c r="L108" i="297" s="1"/>
  <c r="J396" i="297"/>
  <c r="L396" i="297" s="1"/>
  <c r="J137" i="297"/>
  <c r="L137" i="297" s="1"/>
  <c r="J381" i="297"/>
  <c r="L381" i="297" s="1"/>
  <c r="J97" i="297"/>
  <c r="L97" i="297" s="1"/>
  <c r="J311" i="297"/>
  <c r="L311" i="297" s="1"/>
  <c r="J438" i="297"/>
  <c r="L438" i="297" s="1"/>
  <c r="J148" i="297"/>
  <c r="L148" i="297" s="1"/>
  <c r="J162" i="297"/>
  <c r="L162" i="297" s="1"/>
  <c r="J221" i="297"/>
  <c r="L221" i="297" s="1"/>
  <c r="J205" i="297"/>
  <c r="L205" i="297" s="1"/>
  <c r="J223" i="297"/>
  <c r="L223" i="297" s="1"/>
  <c r="J67" i="297"/>
  <c r="L67" i="297" s="1"/>
  <c r="J169" i="297"/>
  <c r="L169" i="297" s="1"/>
  <c r="J158" i="297"/>
  <c r="L158" i="297" s="1"/>
  <c r="J477" i="297"/>
  <c r="L477" i="297" s="1"/>
  <c r="J487" i="297"/>
  <c r="L487" i="297" s="1"/>
  <c r="J294" i="297"/>
  <c r="L294" i="297" s="1"/>
  <c r="J115" i="297"/>
  <c r="L115" i="297" s="1"/>
  <c r="J200" i="297"/>
  <c r="L200" i="297" s="1"/>
  <c r="J427" i="297"/>
  <c r="L427" i="297" s="1"/>
  <c r="J151" i="297"/>
  <c r="L151" i="297" s="1"/>
  <c r="J193" i="297"/>
  <c r="L193" i="297" s="1"/>
  <c r="J92" i="297"/>
  <c r="L92" i="297" s="1"/>
  <c r="J58" i="297"/>
  <c r="L58" i="297" s="1"/>
  <c r="J86" i="297"/>
  <c r="L86" i="297" s="1"/>
  <c r="J306" i="297"/>
  <c r="L306" i="297" s="1"/>
  <c r="J403" i="297"/>
  <c r="L403" i="297" s="1"/>
  <c r="J463" i="297"/>
  <c r="L463" i="297" s="1"/>
  <c r="J259" i="297"/>
  <c r="L259" i="297" s="1"/>
  <c r="J285" i="297"/>
  <c r="L285" i="297" s="1"/>
  <c r="J402" i="297"/>
  <c r="L402" i="297" s="1"/>
  <c r="J117" i="297"/>
  <c r="L117" i="297" s="1"/>
  <c r="J472" i="297"/>
  <c r="L472" i="297" s="1"/>
  <c r="J189" i="297"/>
  <c r="L189" i="297" s="1"/>
  <c r="J212" i="297"/>
  <c r="L212" i="297" s="1"/>
  <c r="J98" i="297"/>
  <c r="L98" i="297" s="1"/>
  <c r="J296" i="297"/>
  <c r="L296" i="297" s="1"/>
  <c r="J380" i="297"/>
  <c r="L380" i="297" s="1"/>
  <c r="J490" i="297"/>
  <c r="L490" i="297" s="1"/>
  <c r="J191" i="297"/>
  <c r="L191" i="297" s="1"/>
  <c r="J248" i="297"/>
  <c r="L248" i="297" s="1"/>
  <c r="J350" i="297"/>
  <c r="L350" i="297" s="1"/>
  <c r="K30" i="298"/>
  <c r="J426" i="297"/>
  <c r="L426" i="297" s="1"/>
  <c r="J390" i="297"/>
  <c r="L390" i="297" s="1"/>
  <c r="J444" i="297"/>
  <c r="L444" i="297" s="1"/>
  <c r="J276" i="297"/>
  <c r="L276" i="297" s="1"/>
  <c r="J116" i="297"/>
  <c r="L116" i="297" s="1"/>
  <c r="J128" i="297"/>
  <c r="L128" i="297" s="1"/>
  <c r="J173" i="297"/>
  <c r="L173" i="297" s="1"/>
  <c r="J54" i="297"/>
  <c r="L54" i="297" s="1"/>
  <c r="J288" i="297"/>
  <c r="L288" i="297" s="1"/>
  <c r="J473" i="297"/>
  <c r="L473" i="297" s="1"/>
  <c r="J398" i="297"/>
  <c r="L398" i="297" s="1"/>
  <c r="J476" i="297"/>
  <c r="L476" i="297" s="1"/>
  <c r="J119" i="297"/>
  <c r="L119" i="297" s="1"/>
  <c r="J153" i="297"/>
  <c r="L153" i="297" s="1"/>
  <c r="J295" i="297"/>
  <c r="L295" i="297" s="1"/>
  <c r="J82" i="297"/>
  <c r="L82" i="297" s="1"/>
  <c r="J464" i="297"/>
  <c r="L464" i="297" s="1"/>
  <c r="J454" i="297"/>
  <c r="L454" i="297" s="1"/>
  <c r="J354" i="297"/>
  <c r="L354" i="297" s="1"/>
  <c r="J112" i="297"/>
  <c r="L112" i="297" s="1"/>
  <c r="J428" i="297"/>
  <c r="L428" i="297" s="1"/>
  <c r="J316" i="297"/>
  <c r="L316" i="297" s="1"/>
  <c r="J314" i="297"/>
  <c r="L314" i="297" s="1"/>
  <c r="J253" i="297"/>
  <c r="L253" i="297" s="1"/>
  <c r="J114" i="297"/>
  <c r="L114" i="297" s="1"/>
  <c r="J103" i="297"/>
  <c r="L103" i="297" s="1"/>
  <c r="J281" i="297"/>
  <c r="L281" i="297" s="1"/>
  <c r="J369" i="297"/>
  <c r="L369" i="297" s="1"/>
  <c r="J461" i="297"/>
  <c r="L461" i="297" s="1"/>
  <c r="J124" i="297"/>
  <c r="L124" i="297" s="1"/>
  <c r="J384" i="297"/>
  <c r="L384" i="297" s="1"/>
  <c r="J433" i="297"/>
  <c r="L433" i="297" s="1"/>
  <c r="J203" i="297"/>
  <c r="L203" i="297" s="1"/>
  <c r="J319" i="297"/>
  <c r="L319" i="297" s="1"/>
  <c r="J76" i="297"/>
  <c r="L76" i="297" s="1"/>
  <c r="J310" i="297"/>
  <c r="L310" i="297" s="1"/>
  <c r="J514" i="297"/>
  <c r="L514" i="297" s="1"/>
  <c r="J87" i="297"/>
  <c r="L87" i="297" s="1"/>
  <c r="J60" i="297"/>
  <c r="L60" i="297" s="1"/>
  <c r="J342" i="297"/>
  <c r="L342" i="297" s="1"/>
  <c r="J377" i="297"/>
  <c r="L377" i="297" s="1"/>
  <c r="J416" i="297"/>
  <c r="L416" i="297" s="1"/>
  <c r="J227" i="297"/>
  <c r="L227" i="297" s="1"/>
  <c r="J347" i="297"/>
  <c r="L347" i="297" s="1"/>
  <c r="J352" i="297"/>
  <c r="L352" i="297" s="1"/>
  <c r="J284" i="297"/>
  <c r="L284" i="297" s="1"/>
  <c r="J420" i="297"/>
  <c r="L420" i="297" s="1"/>
  <c r="J500" i="297"/>
  <c r="L500" i="297" s="1"/>
  <c r="J219" i="297"/>
  <c r="L219" i="297" s="1"/>
  <c r="J110" i="297"/>
  <c r="L110" i="297" s="1"/>
  <c r="J440" i="297"/>
  <c r="L440" i="297" s="1"/>
  <c r="J244" i="297"/>
  <c r="L244" i="297" s="1"/>
  <c r="J167" i="297"/>
  <c r="L167" i="297" s="1"/>
  <c r="J410" i="297"/>
  <c r="L410" i="297" s="1"/>
  <c r="J418" i="297"/>
  <c r="L418" i="297" s="1"/>
  <c r="J95" i="297"/>
  <c r="L95" i="297" s="1"/>
  <c r="J457" i="297"/>
  <c r="L457" i="297" s="1"/>
  <c r="J35" i="297"/>
  <c r="L35" i="297" s="1"/>
  <c r="J78" i="297"/>
  <c r="L78" i="297" s="1"/>
  <c r="J238" i="297"/>
  <c r="L238" i="297" s="1"/>
  <c r="J297" i="297"/>
  <c r="L297" i="297" s="1"/>
  <c r="J241" i="297"/>
  <c r="L241" i="297" s="1"/>
  <c r="J163" i="297"/>
  <c r="L163" i="297" s="1"/>
  <c r="J298" i="297"/>
  <c r="L298" i="297" s="1"/>
  <c r="J105" i="297"/>
  <c r="L105" i="297" s="1"/>
  <c r="J48" i="297"/>
  <c r="L48" i="297" s="1"/>
  <c r="J65" i="297"/>
  <c r="L65" i="297" s="1"/>
  <c r="J503" i="297"/>
  <c r="L503" i="297" s="1"/>
  <c r="J330" i="297"/>
  <c r="L330" i="297" s="1"/>
  <c r="J302" i="297"/>
  <c r="L302" i="297" s="1"/>
  <c r="J256" i="297"/>
  <c r="L256" i="297" s="1"/>
  <c r="J417" i="297"/>
  <c r="L417" i="297" s="1"/>
  <c r="J217" i="297"/>
  <c r="L217" i="297" s="1"/>
  <c r="J145" i="297"/>
  <c r="L145" i="297" s="1"/>
  <c r="J291" i="297"/>
  <c r="L291" i="297" s="1"/>
  <c r="J275" i="297"/>
  <c r="L275" i="297" s="1"/>
  <c r="J372" i="297"/>
  <c r="L372" i="297" s="1"/>
  <c r="J280" i="297"/>
  <c r="L280" i="297" s="1"/>
  <c r="J157" i="297"/>
  <c r="L157" i="297" s="1"/>
  <c r="J447" i="297"/>
  <c r="L447" i="297" s="1"/>
  <c r="J357" i="297"/>
  <c r="L357" i="297" s="1"/>
  <c r="J277" i="297"/>
  <c r="L277" i="297" s="1"/>
  <c r="J172" i="297"/>
  <c r="L172" i="297" s="1"/>
  <c r="J430" i="297"/>
  <c r="L430" i="297" s="1"/>
  <c r="J147" i="297"/>
  <c r="L147" i="297" s="1"/>
  <c r="J251" i="297"/>
  <c r="L251" i="297" s="1"/>
  <c r="J494" i="297"/>
  <c r="L494" i="297" s="1"/>
  <c r="J84" i="297"/>
  <c r="L84" i="297" s="1"/>
  <c r="J327" i="297"/>
  <c r="L327" i="297" s="1"/>
  <c r="J59" i="297"/>
  <c r="L59" i="297" s="1"/>
  <c r="J458" i="297"/>
  <c r="L458" i="297" s="1"/>
  <c r="J71" i="297"/>
  <c r="L71" i="297" s="1"/>
  <c r="J466" i="297"/>
  <c r="L466" i="297" s="1"/>
  <c r="J339" i="297"/>
  <c r="L339" i="297" s="1"/>
  <c r="J293" i="297"/>
  <c r="L293" i="297" s="1"/>
  <c r="J184" i="297"/>
  <c r="L184" i="297" s="1"/>
  <c r="J348" i="297"/>
  <c r="L348" i="297" s="1"/>
  <c r="J89" i="297"/>
  <c r="L89" i="297" s="1"/>
  <c r="J415" i="297"/>
  <c r="L415" i="297" s="1"/>
  <c r="J346" i="297"/>
  <c r="L346" i="297" s="1"/>
  <c r="J188" i="297"/>
  <c r="L188" i="297" s="1"/>
  <c r="J429" i="297"/>
  <c r="L429" i="297" s="1"/>
  <c r="J479" i="297"/>
  <c r="L479" i="297" s="1"/>
  <c r="J363" i="297"/>
  <c r="L363" i="297" s="1"/>
  <c r="J496" i="297"/>
  <c r="L496" i="297" s="1"/>
  <c r="J459" i="297"/>
  <c r="L459" i="297" s="1"/>
  <c r="J43" i="297"/>
  <c r="L43" i="297" s="1"/>
  <c r="J243" i="297"/>
  <c r="L243" i="297" s="1"/>
  <c r="J140" i="297"/>
  <c r="L140" i="297" s="1"/>
  <c r="J361" i="297"/>
  <c r="L361" i="297" s="1"/>
  <c r="J504" i="297"/>
  <c r="L504" i="297" s="1"/>
  <c r="J75" i="297"/>
  <c r="L75" i="297" s="1"/>
  <c r="J234" i="297"/>
  <c r="L234" i="297" s="1"/>
  <c r="J493" i="297"/>
  <c r="L493" i="297" s="1"/>
  <c r="J305" i="297"/>
  <c r="L305" i="297" s="1"/>
  <c r="J382" i="297"/>
  <c r="L382" i="297" s="1"/>
  <c r="J421" i="297"/>
  <c r="L421" i="297" s="1"/>
  <c r="J229" i="297"/>
  <c r="L229" i="297" s="1"/>
  <c r="J202" i="297"/>
  <c r="L202" i="297" s="1"/>
  <c r="J210" i="297"/>
  <c r="L210" i="297" s="1"/>
  <c r="J287" i="297"/>
  <c r="L287" i="297" s="1"/>
  <c r="J505" i="297"/>
  <c r="L505" i="297" s="1"/>
  <c r="J423" i="297"/>
  <c r="L423" i="297" s="1"/>
  <c r="J376" i="297"/>
  <c r="L376" i="297" s="1"/>
  <c r="J257" i="297"/>
  <c r="L257" i="297" s="1"/>
  <c r="J90" i="297"/>
  <c r="L90" i="297" s="1"/>
  <c r="J93" i="297"/>
  <c r="L93" i="297" s="1"/>
  <c r="J111" i="297"/>
  <c r="L111" i="297" s="1"/>
  <c r="J179" i="297"/>
  <c r="L179" i="297" s="1"/>
  <c r="J360" i="297"/>
  <c r="L360" i="297" s="1"/>
  <c r="J214" i="297"/>
  <c r="L214" i="297" s="1"/>
  <c r="J47" i="297"/>
  <c r="L47" i="297" s="1"/>
  <c r="J516" i="297"/>
  <c r="L516" i="297" s="1"/>
  <c r="J222" i="297"/>
  <c r="L222" i="297" s="1"/>
  <c r="J436" i="297"/>
  <c r="L436" i="297" s="1"/>
  <c r="J94" i="297"/>
  <c r="L94" i="297" s="1"/>
  <c r="J341" i="297"/>
  <c r="L341" i="297" s="1"/>
  <c r="J190" i="297"/>
  <c r="L190" i="297" s="1"/>
  <c r="J304" i="297"/>
  <c r="L304" i="297" s="1"/>
  <c r="J432" i="297"/>
  <c r="L432" i="297" s="1"/>
  <c r="J42" i="297"/>
  <c r="L42" i="297" s="1"/>
  <c r="J443" i="297"/>
  <c r="L443" i="297" s="1"/>
  <c r="J123" i="297"/>
  <c r="L123" i="297" s="1"/>
  <c r="J215" i="297"/>
  <c r="L215" i="297" s="1"/>
  <c r="J467" i="297"/>
  <c r="L467" i="297" s="1"/>
  <c r="J393" i="297"/>
  <c r="L393" i="297" s="1"/>
  <c r="J413" i="297"/>
  <c r="L413" i="297" s="1"/>
  <c r="J485" i="297"/>
  <c r="L485" i="297" s="1"/>
  <c r="J174" i="297"/>
  <c r="L174" i="297" s="1"/>
  <c r="J79" i="297"/>
  <c r="L79" i="297" s="1"/>
  <c r="J273" i="297"/>
  <c r="L273" i="297" s="1"/>
  <c r="J166" i="297"/>
  <c r="L166" i="297" s="1"/>
  <c r="J220" i="297"/>
  <c r="L220" i="297" s="1"/>
  <c r="J324" i="297"/>
  <c r="L324" i="297" s="1"/>
  <c r="J469" i="297"/>
  <c r="L469" i="297" s="1"/>
  <c r="J72" i="297"/>
  <c r="L72" i="297" s="1"/>
  <c r="J481" i="297"/>
  <c r="L481" i="297" s="1"/>
  <c r="J180" i="297"/>
  <c r="L180" i="297" s="1"/>
  <c r="J270" i="297"/>
  <c r="L270" i="297" s="1"/>
  <c r="J181" i="297"/>
  <c r="L181" i="297" s="1"/>
  <c r="J208" i="297"/>
  <c r="L208" i="297" s="1"/>
  <c r="J455" i="297"/>
  <c r="L455" i="297" s="1"/>
  <c r="J262" i="297"/>
  <c r="L262" i="297" s="1"/>
  <c r="J201" i="297"/>
  <c r="L201" i="297" s="1"/>
  <c r="J88" i="297"/>
  <c r="L88" i="297" s="1"/>
  <c r="J515" i="297"/>
  <c r="L515" i="297" s="1"/>
  <c r="J197" i="297"/>
  <c r="L197" i="297" s="1"/>
  <c r="J50" i="297"/>
  <c r="L50" i="297" s="1"/>
  <c r="J206" i="297"/>
  <c r="L206" i="297" s="1"/>
  <c r="J397" i="297"/>
  <c r="L397" i="297" s="1"/>
  <c r="J322" i="297"/>
  <c r="L322" i="297" s="1"/>
  <c r="J146" i="297"/>
  <c r="L146" i="297" s="1"/>
  <c r="J268" i="297"/>
  <c r="L268" i="297" s="1"/>
  <c r="J194" i="297"/>
  <c r="L194" i="297" s="1"/>
  <c r="J118" i="297"/>
  <c r="L118" i="297" s="1"/>
  <c r="J231" i="297"/>
  <c r="L231" i="297" s="1"/>
  <c r="J207" i="297"/>
  <c r="L207" i="297" s="1"/>
  <c r="J408" i="297"/>
  <c r="L408" i="297" s="1"/>
  <c r="J209" i="297"/>
  <c r="L209" i="297" s="1"/>
  <c r="J468" i="297"/>
  <c r="L468" i="297" s="1"/>
  <c r="J130" i="297"/>
  <c r="L130" i="297" s="1"/>
  <c r="J160" i="297"/>
  <c r="L160" i="297" s="1"/>
  <c r="J301" i="297"/>
  <c r="L301" i="297" s="1"/>
  <c r="J446" i="297"/>
  <c r="L446" i="297" s="1"/>
  <c r="J69" i="297"/>
  <c r="L69" i="297" s="1"/>
  <c r="J336" i="297"/>
  <c r="L336" i="297" s="1"/>
  <c r="J46" i="297"/>
  <c r="L46" i="297" s="1"/>
  <c r="J448" i="297"/>
  <c r="L448" i="297" s="1"/>
  <c r="J104" i="297"/>
  <c r="L104" i="297" s="1"/>
  <c r="J333" i="297"/>
  <c r="L333" i="297" s="1"/>
  <c r="J484" i="297"/>
  <c r="L484" i="297" s="1"/>
  <c r="J264" i="297"/>
  <c r="L264" i="297" s="1"/>
  <c r="J325" i="297"/>
  <c r="L325" i="297" s="1"/>
  <c r="J239" i="297"/>
  <c r="L239" i="297" s="1"/>
  <c r="J228" i="297"/>
  <c r="L228" i="297" s="1"/>
  <c r="J178" i="297"/>
  <c r="L178" i="297" s="1"/>
  <c r="J492" i="297"/>
  <c r="L492" i="297" s="1"/>
  <c r="J362" i="297"/>
  <c r="L362" i="297" s="1"/>
  <c r="J375" i="297"/>
  <c r="L375" i="297" s="1"/>
  <c r="J451" i="297"/>
  <c r="L451" i="297" s="1"/>
  <c r="J300" i="297"/>
  <c r="L300" i="297" s="1"/>
  <c r="J349" i="297"/>
  <c r="L349" i="297" s="1"/>
  <c r="J453" i="297"/>
  <c r="L453" i="297" s="1"/>
  <c r="J102" i="297"/>
  <c r="L102" i="297" s="1"/>
  <c r="J63" i="297"/>
  <c r="L63" i="297" s="1"/>
  <c r="J109" i="297"/>
  <c r="L109" i="297" s="1"/>
  <c r="J495" i="297"/>
  <c r="L495" i="297" s="1"/>
  <c r="J129" i="297"/>
  <c r="L129" i="297" s="1"/>
  <c r="J171" i="297"/>
  <c r="L171" i="297" s="1"/>
  <c r="J101" i="297"/>
  <c r="L101" i="297" s="1"/>
  <c r="J230" i="297"/>
  <c r="L230" i="297" s="1"/>
  <c r="J431" i="297"/>
  <c r="L431" i="297" s="1"/>
  <c r="J138" i="297"/>
  <c r="L138" i="297" s="1"/>
  <c r="J199" i="297"/>
  <c r="L199" i="297" s="1"/>
  <c r="W94" i="298"/>
  <c r="AA94" i="298" s="1"/>
  <c r="AB94" i="298" s="1"/>
  <c r="W354" i="298"/>
  <c r="AA354" i="298" s="1"/>
  <c r="AB354" i="298" s="1"/>
  <c r="W260" i="298"/>
  <c r="AA260" i="298" s="1"/>
  <c r="AB260" i="298" s="1"/>
  <c r="W422" i="298"/>
  <c r="AA422" i="298" s="1"/>
  <c r="AB422" i="298" s="1"/>
  <c r="W74" i="298"/>
  <c r="AA74" i="298" s="1"/>
  <c r="AB74" i="298" s="1"/>
  <c r="W35" i="298"/>
  <c r="AA35" i="298" s="1"/>
  <c r="AB35" i="298" s="1"/>
  <c r="W441" i="298"/>
  <c r="AA441" i="298" s="1"/>
  <c r="AB441" i="298" s="1"/>
  <c r="W267" i="298"/>
  <c r="AA267" i="298" s="1"/>
  <c r="AB267" i="298" s="1"/>
  <c r="W434" i="298"/>
  <c r="AA434" i="298" s="1"/>
  <c r="AB434" i="298" s="1"/>
  <c r="W277" i="298"/>
  <c r="AA277" i="298" s="1"/>
  <c r="AB277" i="298" s="1"/>
  <c r="W404" i="298"/>
  <c r="AA404" i="298" s="1"/>
  <c r="AB404" i="298" s="1"/>
  <c r="W202" i="298"/>
  <c r="AA202" i="298" s="1"/>
  <c r="AB202" i="298" s="1"/>
  <c r="W176" i="298"/>
  <c r="AA176" i="298" s="1"/>
  <c r="AB176" i="298" s="1"/>
  <c r="W374" i="298"/>
  <c r="AA374" i="298" s="1"/>
  <c r="AB374" i="298" s="1"/>
  <c r="W515" i="298"/>
  <c r="AA515" i="298" s="1"/>
  <c r="AB515" i="298" s="1"/>
  <c r="W240" i="298"/>
  <c r="AA240" i="298" s="1"/>
  <c r="AB240" i="298" s="1"/>
  <c r="W369" i="298"/>
  <c r="AA369" i="298" s="1"/>
  <c r="AB369" i="298" s="1"/>
  <c r="W341" i="298"/>
  <c r="AA341" i="298" s="1"/>
  <c r="AB341" i="298" s="1"/>
  <c r="W343" i="298"/>
  <c r="AA343" i="298" s="1"/>
  <c r="AB343" i="298" s="1"/>
  <c r="W500" i="298"/>
  <c r="AA500" i="298" s="1"/>
  <c r="AB500" i="298" s="1"/>
  <c r="W477" i="298"/>
  <c r="AA477" i="298" s="1"/>
  <c r="AB477" i="298" s="1"/>
  <c r="W72" i="298"/>
  <c r="AA72" i="298" s="1"/>
  <c r="AB72" i="298" s="1"/>
  <c r="W166" i="298"/>
  <c r="AA166" i="298" s="1"/>
  <c r="AB166" i="298" s="1"/>
  <c r="W464" i="298"/>
  <c r="AA464" i="298" s="1"/>
  <c r="AB464" i="298" s="1"/>
  <c r="W43" i="298"/>
  <c r="AA43" i="298" s="1"/>
  <c r="AB43" i="298" s="1"/>
  <c r="W436" i="298"/>
  <c r="AA436" i="298" s="1"/>
  <c r="AB436" i="298" s="1"/>
  <c r="W150" i="298"/>
  <c r="AA150" i="298" s="1"/>
  <c r="AB150" i="298" s="1"/>
  <c r="W211" i="298"/>
  <c r="AA211" i="298" s="1"/>
  <c r="AB211" i="298" s="1"/>
  <c r="W360" i="298"/>
  <c r="AA360" i="298" s="1"/>
  <c r="AB360" i="298" s="1"/>
  <c r="W92" i="298"/>
  <c r="AA92" i="298" s="1"/>
  <c r="AB92" i="298" s="1"/>
  <c r="W297" i="298"/>
  <c r="AA297" i="298" s="1"/>
  <c r="AB297" i="298" s="1"/>
  <c r="W312" i="298"/>
  <c r="AA312" i="298" s="1"/>
  <c r="AB312" i="298" s="1"/>
  <c r="W466" i="298"/>
  <c r="AA466" i="298" s="1"/>
  <c r="AB466" i="298" s="1"/>
  <c r="W371" i="298"/>
  <c r="AA371" i="298" s="1"/>
  <c r="AB371" i="298" s="1"/>
  <c r="W78" i="298"/>
  <c r="AA78" i="298" s="1"/>
  <c r="AB78" i="298" s="1"/>
  <c r="W375" i="298"/>
  <c r="AA375" i="298" s="1"/>
  <c r="AB375" i="298" s="1"/>
  <c r="W329" i="298"/>
  <c r="AA329" i="298" s="1"/>
  <c r="AB329" i="298" s="1"/>
  <c r="W118" i="298"/>
  <c r="AA118" i="298" s="1"/>
  <c r="AB118" i="298" s="1"/>
  <c r="W510" i="298"/>
  <c r="AA510" i="298" s="1"/>
  <c r="AB510" i="298" s="1"/>
  <c r="W165" i="298"/>
  <c r="AA165" i="298" s="1"/>
  <c r="AB165" i="298" s="1"/>
  <c r="W105" i="298"/>
  <c r="AA105" i="298" s="1"/>
  <c r="AB105" i="298" s="1"/>
  <c r="W445" i="298"/>
  <c r="AA445" i="298" s="1"/>
  <c r="AB445" i="298" s="1"/>
  <c r="W319" i="298"/>
  <c r="AA319" i="298" s="1"/>
  <c r="AB319" i="298" s="1"/>
  <c r="W117" i="298"/>
  <c r="AA117" i="298" s="1"/>
  <c r="AB117" i="298" s="1"/>
  <c r="W272" i="298"/>
  <c r="AA272" i="298" s="1"/>
  <c r="AB272" i="298" s="1"/>
  <c r="W503" i="298"/>
  <c r="AA503" i="298" s="1"/>
  <c r="AB503" i="298" s="1"/>
  <c r="W250" i="298"/>
  <c r="AA250" i="298" s="1"/>
  <c r="AB250" i="298" s="1"/>
  <c r="W451" i="298"/>
  <c r="AA451" i="298" s="1"/>
  <c r="AB451" i="298" s="1"/>
  <c r="W221" i="298"/>
  <c r="AA221" i="298" s="1"/>
  <c r="AB221" i="298" s="1"/>
  <c r="W247" i="298"/>
  <c r="AA247" i="298" s="1"/>
  <c r="AB247" i="298" s="1"/>
  <c r="W373" i="298"/>
  <c r="AA373" i="298" s="1"/>
  <c r="AB373" i="298" s="1"/>
  <c r="W93" i="298"/>
  <c r="AA93" i="298" s="1"/>
  <c r="AB93" i="298" s="1"/>
  <c r="W254" i="298"/>
  <c r="AA254" i="298" s="1"/>
  <c r="AB254" i="298" s="1"/>
  <c r="W135" i="298"/>
  <c r="AA135" i="298" s="1"/>
  <c r="AB135" i="298" s="1"/>
  <c r="W86" i="298"/>
  <c r="AA86" i="298" s="1"/>
  <c r="AB86" i="298" s="1"/>
  <c r="W406" i="298"/>
  <c r="AA406" i="298" s="1"/>
  <c r="AB406" i="298" s="1"/>
  <c r="W185" i="298"/>
  <c r="AA185" i="298" s="1"/>
  <c r="AB185" i="298" s="1"/>
  <c r="W188" i="298"/>
  <c r="AA188" i="298" s="1"/>
  <c r="AB188" i="298" s="1"/>
  <c r="W353" i="298"/>
  <c r="AA353" i="298" s="1"/>
  <c r="AB353" i="298" s="1"/>
  <c r="W180" i="298"/>
  <c r="AA180" i="298" s="1"/>
  <c r="AB180" i="298" s="1"/>
  <c r="W36" i="298"/>
  <c r="AA36" i="298" s="1"/>
  <c r="AB36" i="298" s="1"/>
  <c r="W144" i="298"/>
  <c r="AA144" i="298" s="1"/>
  <c r="AB144" i="298" s="1"/>
  <c r="W310" i="298"/>
  <c r="AA310" i="298" s="1"/>
  <c r="AB310" i="298" s="1"/>
  <c r="W506" i="298"/>
  <c r="AA506" i="298" s="1"/>
  <c r="AB506" i="298" s="1"/>
  <c r="W171" i="298"/>
  <c r="AA171" i="298" s="1"/>
  <c r="AB171" i="298" s="1"/>
  <c r="W209" i="298"/>
  <c r="AA209" i="298" s="1"/>
  <c r="AB209" i="298" s="1"/>
  <c r="W207" i="298"/>
  <c r="AA207" i="298" s="1"/>
  <c r="AB207" i="298" s="1"/>
  <c r="W498" i="298"/>
  <c r="AA498" i="298" s="1"/>
  <c r="AB498" i="298" s="1"/>
  <c r="W214" i="298"/>
  <c r="AA214" i="298" s="1"/>
  <c r="AB214" i="298" s="1"/>
  <c r="W38" i="298"/>
  <c r="AA38" i="298" s="1"/>
  <c r="AB38" i="298" s="1"/>
  <c r="W37" i="298"/>
  <c r="AA37" i="298" s="1"/>
  <c r="AB37" i="298" s="1"/>
  <c r="W190" i="298"/>
  <c r="AA190" i="298" s="1"/>
  <c r="AB190" i="298" s="1"/>
  <c r="W76" i="298"/>
  <c r="AA76" i="298" s="1"/>
  <c r="AB76" i="298" s="1"/>
  <c r="W392" i="298"/>
  <c r="AA392" i="298" s="1"/>
  <c r="AB392" i="298" s="1"/>
  <c r="W301" i="298"/>
  <c r="AA301" i="298" s="1"/>
  <c r="AB301" i="298" s="1"/>
  <c r="W326" i="298"/>
  <c r="AA326" i="298" s="1"/>
  <c r="AB326" i="298" s="1"/>
  <c r="W492" i="298"/>
  <c r="AA492" i="298" s="1"/>
  <c r="AB492" i="298" s="1"/>
  <c r="W298" i="298"/>
  <c r="AA298" i="298" s="1"/>
  <c r="AB298" i="298" s="1"/>
  <c r="W364" i="298"/>
  <c r="AA364" i="298" s="1"/>
  <c r="AB364" i="298" s="1"/>
  <c r="W96" i="298"/>
  <c r="AA96" i="298" s="1"/>
  <c r="AB96" i="298" s="1"/>
  <c r="W293" i="298"/>
  <c r="AA293" i="298" s="1"/>
  <c r="AB293" i="298" s="1"/>
  <c r="W234" i="298"/>
  <c r="AA234" i="298" s="1"/>
  <c r="AB234" i="298" s="1"/>
  <c r="W285" i="298"/>
  <c r="AA285" i="298" s="1"/>
  <c r="AB285" i="298" s="1"/>
  <c r="W61" i="298"/>
  <c r="AA61" i="298" s="1"/>
  <c r="AB61" i="298" s="1"/>
  <c r="W378" i="298"/>
  <c r="AA378" i="298" s="1"/>
  <c r="AB378" i="298" s="1"/>
  <c r="W64" i="298"/>
  <c r="AA64" i="298" s="1"/>
  <c r="AB64" i="298" s="1"/>
  <c r="W412" i="298"/>
  <c r="AA412" i="298" s="1"/>
  <c r="AB412" i="298" s="1"/>
  <c r="W238" i="298"/>
  <c r="AA238" i="298" s="1"/>
  <c r="AB238" i="298" s="1"/>
  <c r="W336" i="298"/>
  <c r="AA336" i="298" s="1"/>
  <c r="AB336" i="298" s="1"/>
  <c r="W200" i="298"/>
  <c r="AA200" i="298" s="1"/>
  <c r="AB200" i="298" s="1"/>
  <c r="W59" i="298"/>
  <c r="AA59" i="298" s="1"/>
  <c r="AB59" i="298" s="1"/>
  <c r="W186" i="298"/>
  <c r="AA186" i="298" s="1"/>
  <c r="AB186" i="298" s="1"/>
  <c r="W47" i="298"/>
  <c r="AA47" i="298" s="1"/>
  <c r="AB47" i="298" s="1"/>
  <c r="W439" i="298"/>
  <c r="AA439" i="298" s="1"/>
  <c r="AB439" i="298" s="1"/>
  <c r="W292" i="298"/>
  <c r="AA292" i="298" s="1"/>
  <c r="AB292" i="298" s="1"/>
  <c r="W474" i="298"/>
  <c r="AA474" i="298" s="1"/>
  <c r="AB474" i="298" s="1"/>
  <c r="W143" i="298"/>
  <c r="AA143" i="298" s="1"/>
  <c r="AB143" i="298" s="1"/>
  <c r="W237" i="298"/>
  <c r="AA237" i="298" s="1"/>
  <c r="AB237" i="298" s="1"/>
  <c r="W379" i="298"/>
  <c r="AA379" i="298" s="1"/>
  <c r="AB379" i="298" s="1"/>
  <c r="W409" i="298"/>
  <c r="AA409" i="298" s="1"/>
  <c r="AB409" i="298" s="1"/>
  <c r="W158" i="298"/>
  <c r="AA158" i="298" s="1"/>
  <c r="AB158" i="298" s="1"/>
  <c r="W201" i="298"/>
  <c r="AA201" i="298" s="1"/>
  <c r="AB201" i="298" s="1"/>
  <c r="W339" i="298"/>
  <c r="AA339" i="298" s="1"/>
  <c r="AB339" i="298" s="1"/>
  <c r="W153" i="298"/>
  <c r="AA153" i="298" s="1"/>
  <c r="AB153" i="298" s="1"/>
  <c r="W449" i="298"/>
  <c r="AA449" i="298" s="1"/>
  <c r="AB449" i="298" s="1"/>
  <c r="W90" i="298"/>
  <c r="AA90" i="298" s="1"/>
  <c r="AB90" i="298" s="1"/>
  <c r="W420" i="298"/>
  <c r="AA420" i="298" s="1"/>
  <c r="AB420" i="298" s="1"/>
  <c r="W128" i="298"/>
  <c r="AA128" i="298" s="1"/>
  <c r="AB128" i="298" s="1"/>
  <c r="W407" i="298"/>
  <c r="AA407" i="298" s="1"/>
  <c r="AB407" i="298" s="1"/>
  <c r="W377" i="298"/>
  <c r="AA377" i="298" s="1"/>
  <c r="AB377" i="298" s="1"/>
  <c r="W132" i="298"/>
  <c r="AA132" i="298" s="1"/>
  <c r="AB132" i="298" s="1"/>
  <c r="W258" i="298"/>
  <c r="AA258" i="298" s="1"/>
  <c r="AB258" i="298" s="1"/>
  <c r="W448" i="298"/>
  <c r="AA448" i="298" s="1"/>
  <c r="AB448" i="298" s="1"/>
  <c r="W163" i="298"/>
  <c r="AA163" i="298" s="1"/>
  <c r="AB163" i="298" s="1"/>
  <c r="W452" i="298"/>
  <c r="AA452" i="298" s="1"/>
  <c r="AB452" i="298" s="1"/>
  <c r="W386" i="298"/>
  <c r="AA386" i="298" s="1"/>
  <c r="AB386" i="298" s="1"/>
  <c r="W146" i="298"/>
  <c r="AA146" i="298" s="1"/>
  <c r="AB146" i="298" s="1"/>
  <c r="W203" i="298"/>
  <c r="AA203" i="298" s="1"/>
  <c r="AB203" i="298" s="1"/>
  <c r="W486" i="298"/>
  <c r="AA486" i="298" s="1"/>
  <c r="AB486" i="298" s="1"/>
  <c r="W54" i="298"/>
  <c r="AA54" i="298" s="1"/>
  <c r="AB54" i="298" s="1"/>
  <c r="W394" i="298"/>
  <c r="AA394" i="298" s="1"/>
  <c r="AB394" i="298" s="1"/>
  <c r="W255" i="298"/>
  <c r="AA255" i="298" s="1"/>
  <c r="AB255" i="298" s="1"/>
  <c r="W308" i="298"/>
  <c r="AA308" i="298" s="1"/>
  <c r="AB308" i="298" s="1"/>
  <c r="W48" i="298"/>
  <c r="AA48" i="298" s="1"/>
  <c r="AB48" i="298" s="1"/>
  <c r="W485" i="298"/>
  <c r="AA485" i="298" s="1"/>
  <c r="AB485" i="298" s="1"/>
  <c r="W327" i="298"/>
  <c r="AA327" i="298" s="1"/>
  <c r="AB327" i="298" s="1"/>
  <c r="W462" i="298"/>
  <c r="AA462" i="298" s="1"/>
  <c r="AB462" i="298" s="1"/>
  <c r="W266" i="298"/>
  <c r="AA266" i="298" s="1"/>
  <c r="AB266" i="298" s="1"/>
  <c r="W432" i="298"/>
  <c r="AA432" i="298" s="1"/>
  <c r="AB432" i="298" s="1"/>
  <c r="W262" i="298"/>
  <c r="AA262" i="298" s="1"/>
  <c r="AB262" i="298" s="1"/>
  <c r="W167" i="298"/>
  <c r="AA167" i="298" s="1"/>
  <c r="AB167" i="298" s="1"/>
  <c r="W142" i="298"/>
  <c r="AA142" i="298" s="1"/>
  <c r="AB142" i="298" s="1"/>
  <c r="W332" i="298"/>
  <c r="AA332" i="298" s="1"/>
  <c r="AB332" i="298" s="1"/>
  <c r="W311" i="298"/>
  <c r="AA311" i="298" s="1"/>
  <c r="AB311" i="298" s="1"/>
  <c r="W244" i="298"/>
  <c r="AA244" i="298" s="1"/>
  <c r="AB244" i="298" s="1"/>
  <c r="W382" i="298"/>
  <c r="AA382" i="298" s="1"/>
  <c r="AB382" i="298" s="1"/>
  <c r="W427" i="298"/>
  <c r="AA427" i="298" s="1"/>
  <c r="AB427" i="298" s="1"/>
  <c r="W114" i="298"/>
  <c r="AA114" i="298" s="1"/>
  <c r="AB114" i="298" s="1"/>
  <c r="W345" i="298"/>
  <c r="AA345" i="298" s="1"/>
  <c r="AB345" i="298" s="1"/>
  <c r="W431" i="298"/>
  <c r="AA431" i="298" s="1"/>
  <c r="AB431" i="298" s="1"/>
  <c r="W152" i="298"/>
  <c r="AA152" i="298" s="1"/>
  <c r="AB152" i="298" s="1"/>
  <c r="W413" i="298"/>
  <c r="AA413" i="298" s="1"/>
  <c r="AB413" i="298" s="1"/>
  <c r="W303" i="298"/>
  <c r="AA303" i="298" s="1"/>
  <c r="AB303" i="298" s="1"/>
  <c r="W101" i="298"/>
  <c r="AA101" i="298" s="1"/>
  <c r="AB101" i="298" s="1"/>
  <c r="W370" i="298"/>
  <c r="AA370" i="298" s="1"/>
  <c r="AB370" i="298" s="1"/>
  <c r="W147" i="298"/>
  <c r="AA147" i="298" s="1"/>
  <c r="AB147" i="298" s="1"/>
  <c r="W501" i="298"/>
  <c r="AA501" i="298" s="1"/>
  <c r="AB501" i="298" s="1"/>
  <c r="W62" i="298"/>
  <c r="AA62" i="298" s="1"/>
  <c r="AB62" i="298" s="1"/>
  <c r="W232" i="298"/>
  <c r="AA232" i="298" s="1"/>
  <c r="AB232" i="298" s="1"/>
  <c r="W446" i="298"/>
  <c r="AA446" i="298" s="1"/>
  <c r="AB446" i="298" s="1"/>
  <c r="W472" i="298"/>
  <c r="AA472" i="298" s="1"/>
  <c r="AB472" i="298" s="1"/>
  <c r="W307" i="298"/>
  <c r="AA307" i="298" s="1"/>
  <c r="AB307" i="298" s="1"/>
  <c r="W137" i="298"/>
  <c r="AA137" i="298" s="1"/>
  <c r="AB137" i="298" s="1"/>
  <c r="W417" i="298"/>
  <c r="AA417" i="298" s="1"/>
  <c r="AB417" i="298" s="1"/>
  <c r="W224" i="298"/>
  <c r="AA224" i="298" s="1"/>
  <c r="AB224" i="298" s="1"/>
  <c r="W484" i="298"/>
  <c r="AA484" i="298" s="1"/>
  <c r="AB484" i="298" s="1"/>
  <c r="W218" i="298"/>
  <c r="AA218" i="298" s="1"/>
  <c r="AB218" i="298" s="1"/>
  <c r="W196" i="298"/>
  <c r="AA196" i="298" s="1"/>
  <c r="AB196" i="298" s="1"/>
  <c r="W317" i="298"/>
  <c r="AA317" i="298" s="1"/>
  <c r="AB317" i="298" s="1"/>
  <c r="W216" i="298"/>
  <c r="AA216" i="298" s="1"/>
  <c r="AB216" i="298" s="1"/>
  <c r="W398" i="298"/>
  <c r="AA398" i="298" s="1"/>
  <c r="AB398" i="298" s="1"/>
  <c r="W65" i="298"/>
  <c r="AA65" i="298" s="1"/>
  <c r="AB65" i="298" s="1"/>
  <c r="W362" i="298"/>
  <c r="AA362" i="298" s="1"/>
  <c r="AB362" i="298" s="1"/>
  <c r="W411" i="298"/>
  <c r="AA411" i="298" s="1"/>
  <c r="AB411" i="298" s="1"/>
  <c r="W98" i="298"/>
  <c r="AA98" i="298" s="1"/>
  <c r="AB98" i="298" s="1"/>
  <c r="W300" i="298"/>
  <c r="AA300" i="298" s="1"/>
  <c r="AB300" i="298" s="1"/>
  <c r="W110" i="298"/>
  <c r="AA110" i="298" s="1"/>
  <c r="AB110" i="298" s="1"/>
  <c r="W429" i="298"/>
  <c r="AA429" i="298" s="1"/>
  <c r="AB429" i="298" s="1"/>
  <c r="W335" i="298"/>
  <c r="AA335" i="298" s="1"/>
  <c r="AB335" i="298" s="1"/>
  <c r="W56" i="298"/>
  <c r="AA56" i="298" s="1"/>
  <c r="AB56" i="298" s="1"/>
  <c r="W288" i="298"/>
  <c r="AA288" i="298" s="1"/>
  <c r="AB288" i="298" s="1"/>
  <c r="W284" i="298"/>
  <c r="AA284" i="298" s="1"/>
  <c r="AB284" i="298" s="1"/>
  <c r="W497" i="298"/>
  <c r="AA497" i="298" s="1"/>
  <c r="AB497" i="298" s="1"/>
  <c r="W294" i="298"/>
  <c r="AA294" i="298" s="1"/>
  <c r="AB294" i="298" s="1"/>
  <c r="W278" i="298"/>
  <c r="AA278" i="298" s="1"/>
  <c r="AB278" i="298" s="1"/>
  <c r="W160" i="298"/>
  <c r="AA160" i="298" s="1"/>
  <c r="AB160" i="298" s="1"/>
  <c r="W189" i="298"/>
  <c r="AA189" i="298" s="1"/>
  <c r="AB189" i="298" s="1"/>
  <c r="W328" i="298"/>
  <c r="AA328" i="298" s="1"/>
  <c r="AB328" i="298" s="1"/>
  <c r="W493" i="298"/>
  <c r="AA493" i="298" s="1"/>
  <c r="AB493" i="298" s="1"/>
  <c r="W159" i="298"/>
  <c r="AA159" i="298" s="1"/>
  <c r="AB159" i="298" s="1"/>
  <c r="W228" i="298"/>
  <c r="AA228" i="298" s="1"/>
  <c r="AB228" i="298" s="1"/>
  <c r="W453" i="298"/>
  <c r="AA453" i="298" s="1"/>
  <c r="AB453" i="298" s="1"/>
  <c r="W334" i="298"/>
  <c r="AA334" i="298" s="1"/>
  <c r="AB334" i="298" s="1"/>
  <c r="W125" i="298"/>
  <c r="AA125" i="298" s="1"/>
  <c r="AB125" i="298" s="1"/>
  <c r="W469" i="298"/>
  <c r="AA469" i="298" s="1"/>
  <c r="AB469" i="298" s="1"/>
  <c r="W161" i="298"/>
  <c r="AA161" i="298" s="1"/>
  <c r="AB161" i="298" s="1"/>
  <c r="W58" i="298"/>
  <c r="AA58" i="298" s="1"/>
  <c r="AB58" i="298" s="1"/>
  <c r="W330" i="298"/>
  <c r="AA330" i="298" s="1"/>
  <c r="AB330" i="298" s="1"/>
  <c r="W112" i="298"/>
  <c r="AA112" i="298" s="1"/>
  <c r="AB112" i="298" s="1"/>
  <c r="W80" i="298"/>
  <c r="AA80" i="298" s="1"/>
  <c r="AB80" i="298" s="1"/>
  <c r="W402" i="298"/>
  <c r="AA402" i="298" s="1"/>
  <c r="AB402" i="298" s="1"/>
  <c r="W69" i="298"/>
  <c r="AA69" i="298" s="1"/>
  <c r="AB69" i="298" s="1"/>
  <c r="W271" i="298"/>
  <c r="AA271" i="298" s="1"/>
  <c r="AB271" i="298" s="1"/>
  <c r="W397" i="298"/>
  <c r="AA397" i="298" s="1"/>
  <c r="AB397" i="298" s="1"/>
  <c r="W235" i="298"/>
  <c r="AA235" i="298" s="1"/>
  <c r="AB235" i="298" s="1"/>
  <c r="W95" i="298"/>
  <c r="AA95" i="298" s="1"/>
  <c r="AB95" i="298" s="1"/>
  <c r="W182" i="298"/>
  <c r="AA182" i="298" s="1"/>
  <c r="AB182" i="298" s="1"/>
  <c r="W89" i="298"/>
  <c r="AA89" i="298" s="1"/>
  <c r="AB89" i="298" s="1"/>
  <c r="W227" i="298"/>
  <c r="AA227" i="298" s="1"/>
  <c r="AB227" i="298" s="1"/>
  <c r="W495" i="298"/>
  <c r="AA495" i="298" s="1"/>
  <c r="AB495" i="298" s="1"/>
  <c r="W67" i="298"/>
  <c r="AA67" i="298" s="1"/>
  <c r="AB67" i="298" s="1"/>
  <c r="W457" i="298"/>
  <c r="AA457" i="298" s="1"/>
  <c r="AB457" i="298" s="1"/>
  <c r="W331" i="298"/>
  <c r="AA331" i="298" s="1"/>
  <c r="AB331" i="298" s="1"/>
  <c r="W450" i="298"/>
  <c r="AA450" i="298" s="1"/>
  <c r="AB450" i="298" s="1"/>
  <c r="W430" i="298"/>
  <c r="AA430" i="298" s="1"/>
  <c r="AB430" i="298" s="1"/>
  <c r="W79" i="298"/>
  <c r="AA79" i="298" s="1"/>
  <c r="AB79" i="298" s="1"/>
  <c r="W416" i="298"/>
  <c r="AA416" i="298" s="1"/>
  <c r="AB416" i="298" s="1"/>
  <c r="W400" i="298"/>
  <c r="AA400" i="298" s="1"/>
  <c r="AB400" i="298" s="1"/>
  <c r="W275" i="298"/>
  <c r="AA275" i="298" s="1"/>
  <c r="AB275" i="298" s="1"/>
  <c r="W424" i="298"/>
  <c r="AA424" i="298" s="1"/>
  <c r="AB424" i="298" s="1"/>
  <c r="W156" i="298"/>
  <c r="AA156" i="298" s="1"/>
  <c r="AB156" i="298" s="1"/>
  <c r="W282" i="298"/>
  <c r="AA282" i="298" s="1"/>
  <c r="AB282" i="298" s="1"/>
  <c r="W120" i="298"/>
  <c r="AA120" i="298" s="1"/>
  <c r="AB120" i="298" s="1"/>
  <c r="W273" i="298"/>
  <c r="AA273" i="298" s="1"/>
  <c r="AB273" i="298" s="1"/>
  <c r="W337" i="298"/>
  <c r="AA337" i="298" s="1"/>
  <c r="AB337" i="298" s="1"/>
  <c r="W454" i="298"/>
  <c r="AA454" i="298" s="1"/>
  <c r="AB454" i="298" s="1"/>
  <c r="W187" i="298"/>
  <c r="AA187" i="298" s="1"/>
  <c r="AB187" i="298" s="1"/>
  <c r="W408" i="298"/>
  <c r="AA408" i="298" s="1"/>
  <c r="AB408" i="298" s="1"/>
  <c r="W348" i="298"/>
  <c r="AA348" i="298" s="1"/>
  <c r="AB348" i="298" s="1"/>
  <c r="W363" i="298"/>
  <c r="AA363" i="298" s="1"/>
  <c r="AB363" i="298" s="1"/>
  <c r="W75" i="298"/>
  <c r="AA75" i="298" s="1"/>
  <c r="AB75" i="298" s="1"/>
  <c r="W133" i="298"/>
  <c r="AA133" i="298" s="1"/>
  <c r="AB133" i="298" s="1"/>
  <c r="W130" i="298"/>
  <c r="AA130" i="298" s="1"/>
  <c r="AB130" i="298" s="1"/>
  <c r="W121" i="298"/>
  <c r="AA121" i="298" s="1"/>
  <c r="AB121" i="298" s="1"/>
  <c r="W229" i="298"/>
  <c r="AA229" i="298" s="1"/>
  <c r="AB229" i="298" s="1"/>
  <c r="W248" i="298"/>
  <c r="AA248" i="298" s="1"/>
  <c r="AB248" i="298" s="1"/>
  <c r="W270" i="298"/>
  <c r="AA270" i="298" s="1"/>
  <c r="AB270" i="298" s="1"/>
  <c r="W41" i="298"/>
  <c r="AA41" i="298" s="1"/>
  <c r="AB41" i="298" s="1"/>
  <c r="W123" i="298"/>
  <c r="AA123" i="298" s="1"/>
  <c r="AB123" i="298" s="1"/>
  <c r="W463" i="298"/>
  <c r="AA463" i="298" s="1"/>
  <c r="AB463" i="298" s="1"/>
  <c r="W488" i="298"/>
  <c r="AA488" i="298" s="1"/>
  <c r="AB488" i="298" s="1"/>
  <c r="W289" i="298"/>
  <c r="AA289" i="298" s="1"/>
  <c r="AB289" i="298" s="1"/>
  <c r="W476" i="298"/>
  <c r="AA476" i="298" s="1"/>
  <c r="AB476" i="298" s="1"/>
  <c r="W217" i="298"/>
  <c r="AA217" i="298" s="1"/>
  <c r="AB217" i="298" s="1"/>
  <c r="W219" i="298"/>
  <c r="AA219" i="298" s="1"/>
  <c r="AB219" i="298" s="1"/>
  <c r="W423" i="298"/>
  <c r="AA423" i="298" s="1"/>
  <c r="AB423" i="298" s="1"/>
  <c r="W257" i="298"/>
  <c r="AA257" i="298" s="1"/>
  <c r="AB257" i="298" s="1"/>
  <c r="W351" i="298"/>
  <c r="AA351" i="298" s="1"/>
  <c r="AB351" i="298" s="1"/>
  <c r="W276" i="298"/>
  <c r="AA276" i="298" s="1"/>
  <c r="AB276" i="298" s="1"/>
  <c r="W491" i="298"/>
  <c r="AA491" i="298" s="1"/>
  <c r="AB491" i="298" s="1"/>
  <c r="W183" i="298"/>
  <c r="AA183" i="298" s="1"/>
  <c r="AB183" i="298" s="1"/>
  <c r="W206" i="298"/>
  <c r="AA206" i="298" s="1"/>
  <c r="AB206" i="298" s="1"/>
  <c r="W442" i="298"/>
  <c r="AA442" i="298" s="1"/>
  <c r="AB442" i="298" s="1"/>
  <c r="W109" i="298"/>
  <c r="AA109" i="298" s="1"/>
  <c r="AB109" i="298" s="1"/>
  <c r="W475" i="298"/>
  <c r="AA475" i="298" s="1"/>
  <c r="AB475" i="298" s="1"/>
  <c r="W444" i="298"/>
  <c r="AA444" i="298" s="1"/>
  <c r="AB444" i="298" s="1"/>
  <c r="W461" i="298"/>
  <c r="AA461" i="298" s="1"/>
  <c r="AB461" i="298" s="1"/>
  <c r="W115" i="298"/>
  <c r="AA115" i="298" s="1"/>
  <c r="AB115" i="298" s="1"/>
  <c r="W84" i="298"/>
  <c r="AA84" i="298" s="1"/>
  <c r="AB84" i="298" s="1"/>
  <c r="W367" i="298"/>
  <c r="AA367" i="298" s="1"/>
  <c r="AB367" i="298" s="1"/>
  <c r="W368" i="298"/>
  <c r="AA368" i="298" s="1"/>
  <c r="AB368" i="298" s="1"/>
  <c r="W259" i="298"/>
  <c r="AA259" i="298" s="1"/>
  <c r="AB259" i="298" s="1"/>
  <c r="W85" i="298"/>
  <c r="AA85" i="298" s="1"/>
  <c r="AB85" i="298" s="1"/>
  <c r="W124" i="298"/>
  <c r="AA124" i="298" s="1"/>
  <c r="AB124" i="298" s="1"/>
  <c r="W91" i="298"/>
  <c r="AA91" i="298" s="1"/>
  <c r="AB91" i="298" s="1"/>
  <c r="W129" i="298"/>
  <c r="AA129" i="298" s="1"/>
  <c r="AB129" i="298" s="1"/>
  <c r="W264" i="298"/>
  <c r="AA264" i="298" s="1"/>
  <c r="AB264" i="298" s="1"/>
  <c r="W401" i="298"/>
  <c r="AA401" i="298" s="1"/>
  <c r="AB401" i="298" s="1"/>
  <c r="W70" i="298"/>
  <c r="AA70" i="298" s="1"/>
  <c r="AB70" i="298" s="1"/>
  <c r="W426" i="298"/>
  <c r="AA426" i="298" s="1"/>
  <c r="AB426" i="298" s="1"/>
  <c r="W108" i="298"/>
  <c r="AA108" i="298" s="1"/>
  <c r="AB108" i="298" s="1"/>
  <c r="W116" i="298"/>
  <c r="AA116" i="298" s="1"/>
  <c r="AB116" i="298" s="1"/>
  <c r="W295" i="298"/>
  <c r="AA295" i="298" s="1"/>
  <c r="AB295" i="298" s="1"/>
  <c r="W241" i="298"/>
  <c r="AA241" i="298" s="1"/>
  <c r="AB241" i="298" s="1"/>
  <c r="W306" i="298"/>
  <c r="AA306" i="298" s="1"/>
  <c r="AB306" i="298" s="1"/>
  <c r="W437" i="298"/>
  <c r="AA437" i="298" s="1"/>
  <c r="AB437" i="298" s="1"/>
  <c r="W346" i="298"/>
  <c r="AA346" i="298" s="1"/>
  <c r="AB346" i="298" s="1"/>
  <c r="W199" i="298"/>
  <c r="AA199" i="298" s="1"/>
  <c r="AB199" i="298" s="1"/>
  <c r="W482" i="298"/>
  <c r="AA482" i="298" s="1"/>
  <c r="AB482" i="298" s="1"/>
  <c r="W507" i="298"/>
  <c r="AA507" i="298" s="1"/>
  <c r="AB507" i="298" s="1"/>
  <c r="W226" i="298"/>
  <c r="AA226" i="298" s="1"/>
  <c r="AB226" i="298" s="1"/>
  <c r="W111" i="298"/>
  <c r="AA111" i="298" s="1"/>
  <c r="AB111" i="298" s="1"/>
  <c r="W358" i="298"/>
  <c r="AA358" i="298" s="1"/>
  <c r="AB358" i="298" s="1"/>
  <c r="W340" i="298"/>
  <c r="AA340" i="298" s="1"/>
  <c r="AB340" i="298" s="1"/>
  <c r="W164" i="298"/>
  <c r="AA164" i="298" s="1"/>
  <c r="AB164" i="298" s="1"/>
  <c r="W233" i="298"/>
  <c r="AA233" i="298" s="1"/>
  <c r="AB233" i="298" s="1"/>
  <c r="W467" i="298"/>
  <c r="AA467" i="298" s="1"/>
  <c r="AB467" i="298" s="1"/>
  <c r="W179" i="298"/>
  <c r="AA179" i="298" s="1"/>
  <c r="AB179" i="298" s="1"/>
  <c r="W478" i="298"/>
  <c r="AA478" i="298" s="1"/>
  <c r="AB478" i="298" s="1"/>
  <c r="W355" i="298"/>
  <c r="AA355" i="298" s="1"/>
  <c r="AB355" i="298" s="1"/>
  <c r="W487" i="298"/>
  <c r="AA487" i="298" s="1"/>
  <c r="AB487" i="298" s="1"/>
  <c r="W471" i="298"/>
  <c r="AA471" i="298" s="1"/>
  <c r="AB471" i="298" s="1"/>
  <c r="W269" i="298"/>
  <c r="AA269" i="298" s="1"/>
  <c r="AB269" i="298" s="1"/>
  <c r="W239" i="298"/>
  <c r="AA239" i="298" s="1"/>
  <c r="AB239" i="298" s="1"/>
  <c r="W230" i="298"/>
  <c r="AA230" i="298" s="1"/>
  <c r="AB230" i="298" s="1"/>
  <c r="W366" i="298"/>
  <c r="AA366" i="298" s="1"/>
  <c r="AB366" i="298" s="1"/>
  <c r="W82" i="298"/>
  <c r="AA82" i="298" s="1"/>
  <c r="AB82" i="298" s="1"/>
  <c r="W356" i="298"/>
  <c r="AA356" i="298" s="1"/>
  <c r="AB356" i="298" s="1"/>
  <c r="W414" i="298"/>
  <c r="AA414" i="298" s="1"/>
  <c r="AB414" i="298" s="1"/>
  <c r="W138" i="298"/>
  <c r="AA138" i="298" s="1"/>
  <c r="AB138" i="298" s="1"/>
  <c r="W381" i="298"/>
  <c r="AA381" i="298" s="1"/>
  <c r="AB381" i="298" s="1"/>
  <c r="W222" i="298"/>
  <c r="AA222" i="298" s="1"/>
  <c r="AB222" i="298" s="1"/>
  <c r="W418" i="298"/>
  <c r="AA418" i="298" s="1"/>
  <c r="AB418" i="298" s="1"/>
  <c r="W197" i="298"/>
  <c r="AA197" i="298" s="1"/>
  <c r="AB197" i="298" s="1"/>
  <c r="W100" i="298"/>
  <c r="AA100" i="298" s="1"/>
  <c r="AB100" i="298" s="1"/>
  <c r="W131" i="298"/>
  <c r="AA131" i="298" s="1"/>
  <c r="AB131" i="298" s="1"/>
  <c r="W173" i="298"/>
  <c r="AA173" i="298" s="1"/>
  <c r="AB173" i="298" s="1"/>
  <c r="W509" i="298"/>
  <c r="AA509" i="298" s="1"/>
  <c r="AB509" i="298" s="1"/>
  <c r="W320" i="298"/>
  <c r="AA320" i="298" s="1"/>
  <c r="AB320" i="298" s="1"/>
  <c r="W170" i="298"/>
  <c r="AA170" i="298" s="1"/>
  <c r="AB170" i="298" s="1"/>
  <c r="W136" i="298"/>
  <c r="AA136" i="298" s="1"/>
  <c r="AB136" i="298" s="1"/>
  <c r="W458" i="298"/>
  <c r="AA458" i="298" s="1"/>
  <c r="AB458" i="298" s="1"/>
  <c r="W344" i="298"/>
  <c r="AA344" i="298" s="1"/>
  <c r="AB344" i="298" s="1"/>
  <c r="W42" i="298"/>
  <c r="AA42" i="298" s="1"/>
  <c r="AB42" i="298" s="1"/>
  <c r="W184" i="298"/>
  <c r="AA184" i="298" s="1"/>
  <c r="AB184" i="298" s="1"/>
  <c r="W428" i="298"/>
  <c r="AA428" i="298" s="1"/>
  <c r="AB428" i="298" s="1"/>
  <c r="W365" i="298"/>
  <c r="AA365" i="298" s="1"/>
  <c r="AB365" i="298" s="1"/>
  <c r="W113" i="298"/>
  <c r="AA113" i="298" s="1"/>
  <c r="AB113" i="298" s="1"/>
  <c r="W33" i="298"/>
  <c r="AA33" i="298" s="1"/>
  <c r="AB33" i="298" s="1"/>
  <c r="W39" i="298"/>
  <c r="AA39" i="298" s="1"/>
  <c r="AB39" i="298" s="1"/>
  <c r="W322" i="298"/>
  <c r="AA322" i="298" s="1"/>
  <c r="AB322" i="298" s="1"/>
  <c r="W347" i="298"/>
  <c r="AA347" i="298" s="1"/>
  <c r="AB347" i="298" s="1"/>
  <c r="W102" i="298"/>
  <c r="AA102" i="298" s="1"/>
  <c r="AB102" i="298" s="1"/>
  <c r="W149" i="298"/>
  <c r="AA149" i="298" s="1"/>
  <c r="AB149" i="298" s="1"/>
  <c r="W438" i="298"/>
  <c r="AA438" i="298" s="1"/>
  <c r="AB438" i="298" s="1"/>
  <c r="W252" i="298"/>
  <c r="AA252" i="298" s="1"/>
  <c r="AB252" i="298" s="1"/>
  <c r="W290" i="298"/>
  <c r="AA290" i="298" s="1"/>
  <c r="AB290" i="298" s="1"/>
  <c r="W243" i="298"/>
  <c r="AA243" i="298" s="1"/>
  <c r="AB243" i="298" s="1"/>
  <c r="W53" i="298"/>
  <c r="AA53" i="298" s="1"/>
  <c r="AB53" i="298" s="1"/>
  <c r="W195" i="298"/>
  <c r="AA195" i="298" s="1"/>
  <c r="AB195" i="298" s="1"/>
  <c r="W459" i="298"/>
  <c r="AA459" i="298" s="1"/>
  <c r="AB459" i="298" s="1"/>
  <c r="W178" i="298"/>
  <c r="AA178" i="298" s="1"/>
  <c r="AB178" i="298" s="1"/>
  <c r="W87" i="298"/>
  <c r="AA87" i="298" s="1"/>
  <c r="AB87" i="298" s="1"/>
  <c r="W324" i="298"/>
  <c r="AA324" i="298" s="1"/>
  <c r="AB324" i="298" s="1"/>
  <c r="W40" i="298"/>
  <c r="AA40" i="298" s="1"/>
  <c r="AB40" i="298" s="1"/>
  <c r="W141" i="298"/>
  <c r="AA141" i="298" s="1"/>
  <c r="AB141" i="298" s="1"/>
  <c r="W425" i="298"/>
  <c r="AA425" i="298" s="1"/>
  <c r="AB425" i="298" s="1"/>
  <c r="W279" i="298"/>
  <c r="AA279" i="298" s="1"/>
  <c r="AB279" i="298" s="1"/>
  <c r="W71" i="298"/>
  <c r="AA71" i="298" s="1"/>
  <c r="AB71" i="298" s="1"/>
  <c r="W83" i="298"/>
  <c r="AA83" i="298" s="1"/>
  <c r="AB83" i="298" s="1"/>
  <c r="W388" i="298"/>
  <c r="AA388" i="298" s="1"/>
  <c r="AB388" i="298" s="1"/>
  <c r="W433" i="298"/>
  <c r="AA433" i="298" s="1"/>
  <c r="AB433" i="298" s="1"/>
  <c r="W231" i="298"/>
  <c r="AA231" i="298" s="1"/>
  <c r="AB231" i="298" s="1"/>
  <c r="W52" i="298"/>
  <c r="AA52" i="298" s="1"/>
  <c r="AB52" i="298" s="1"/>
  <c r="W473" i="298"/>
  <c r="AA473" i="298" s="1"/>
  <c r="AB473" i="298" s="1"/>
  <c r="W376" i="298"/>
  <c r="AA376" i="298" s="1"/>
  <c r="AB376" i="298" s="1"/>
  <c r="W513" i="298"/>
  <c r="AA513" i="298" s="1"/>
  <c r="AB513" i="298" s="1"/>
  <c r="W349" i="298"/>
  <c r="AA349" i="298" s="1"/>
  <c r="AB349" i="298" s="1"/>
  <c r="W399" i="298"/>
  <c r="AA399" i="298" s="1"/>
  <c r="AB399" i="298" s="1"/>
  <c r="W318" i="298"/>
  <c r="AA318" i="298" s="1"/>
  <c r="AB318" i="298" s="1"/>
  <c r="W60" i="298"/>
  <c r="AA60" i="298" s="1"/>
  <c r="AB60" i="298" s="1"/>
  <c r="W220" i="298"/>
  <c r="AA220" i="298" s="1"/>
  <c r="AB220" i="298" s="1"/>
  <c r="W46" i="298"/>
  <c r="AA46" i="298" s="1"/>
  <c r="AB46" i="298" s="1"/>
  <c r="W405" i="298"/>
  <c r="AA405" i="298" s="1"/>
  <c r="AB405" i="298" s="1"/>
  <c r="W119" i="298"/>
  <c r="AA119" i="298" s="1"/>
  <c r="AB119" i="298" s="1"/>
  <c r="W325" i="298"/>
  <c r="AA325" i="298" s="1"/>
  <c r="AB325" i="298" s="1"/>
  <c r="W479" i="298"/>
  <c r="AA479" i="298" s="1"/>
  <c r="AB479" i="298" s="1"/>
  <c r="W383" i="298"/>
  <c r="AA383" i="298" s="1"/>
  <c r="AB383" i="298" s="1"/>
  <c r="W410" i="298"/>
  <c r="AA410" i="298" s="1"/>
  <c r="AB410" i="298" s="1"/>
  <c r="W305" i="298"/>
  <c r="AA305" i="298" s="1"/>
  <c r="AB305" i="298" s="1"/>
  <c r="W81" i="298"/>
  <c r="AA81" i="298" s="1"/>
  <c r="AB81" i="298" s="1"/>
  <c r="W323" i="298"/>
  <c r="AA323" i="298" s="1"/>
  <c r="AB323" i="298" s="1"/>
  <c r="W77" i="298"/>
  <c r="AA77" i="298" s="1"/>
  <c r="AB77" i="298" s="1"/>
  <c r="W385" i="298"/>
  <c r="AA385" i="298" s="1"/>
  <c r="AB385" i="298" s="1"/>
  <c r="W391" i="298"/>
  <c r="AA391" i="298" s="1"/>
  <c r="AB391" i="298" s="1"/>
  <c r="W350" i="298"/>
  <c r="AA350" i="298" s="1"/>
  <c r="AB350" i="298" s="1"/>
  <c r="W68" i="298"/>
  <c r="AA68" i="298" s="1"/>
  <c r="AB68" i="298" s="1"/>
  <c r="W66" i="298"/>
  <c r="AA66" i="298" s="1"/>
  <c r="AB66" i="298" s="1"/>
  <c r="W193" i="298"/>
  <c r="AA193" i="298" s="1"/>
  <c r="AB193" i="298" s="1"/>
  <c r="W387" i="298"/>
  <c r="AA387" i="298" s="1"/>
  <c r="AB387" i="298" s="1"/>
  <c r="W212" i="298"/>
  <c r="AA212" i="298" s="1"/>
  <c r="AB212" i="298" s="1"/>
  <c r="W256" i="298"/>
  <c r="AA256" i="298" s="1"/>
  <c r="AB256" i="298" s="1"/>
  <c r="W291" i="298"/>
  <c r="AA291" i="298" s="1"/>
  <c r="AB291" i="298" s="1"/>
  <c r="W191" i="298"/>
  <c r="AA191" i="298" s="1"/>
  <c r="AB191" i="298" s="1"/>
  <c r="W139" i="298"/>
  <c r="AA139" i="298" s="1"/>
  <c r="AB139" i="298" s="1"/>
  <c r="W315" i="298"/>
  <c r="AA315" i="298" s="1"/>
  <c r="AB315" i="298" s="1"/>
  <c r="W396" i="298"/>
  <c r="AA396" i="298" s="1"/>
  <c r="AB396" i="298" s="1"/>
  <c r="W419" i="298"/>
  <c r="AA419" i="298" s="1"/>
  <c r="AB419" i="298" s="1"/>
  <c r="W296" i="298"/>
  <c r="AA296" i="298" s="1"/>
  <c r="AB296" i="298" s="1"/>
  <c r="W97" i="298"/>
  <c r="AA97" i="298" s="1"/>
  <c r="AB97" i="298" s="1"/>
  <c r="W502" i="298"/>
  <c r="AA502" i="298" s="1"/>
  <c r="AB502" i="298" s="1"/>
  <c r="W213" i="298"/>
  <c r="AA213" i="298" s="1"/>
  <c r="AB213" i="298" s="1"/>
  <c r="W174" i="298"/>
  <c r="AA174" i="298" s="1"/>
  <c r="AB174" i="298" s="1"/>
  <c r="W384" i="298"/>
  <c r="AA384" i="298" s="1"/>
  <c r="AB384" i="298" s="1"/>
  <c r="W499" i="298"/>
  <c r="AA499" i="298" s="1"/>
  <c r="AB499" i="298" s="1"/>
  <c r="W274" i="298"/>
  <c r="AA274" i="298" s="1"/>
  <c r="AB274" i="298" s="1"/>
  <c r="W73" i="298"/>
  <c r="AA73" i="298" s="1"/>
  <c r="AB73" i="298" s="1"/>
  <c r="W49" i="298"/>
  <c r="AA49" i="298" s="1"/>
  <c r="AB49" i="298" s="1"/>
  <c r="W55" i="298"/>
  <c r="AA55" i="298" s="1"/>
  <c r="AB55" i="298" s="1"/>
  <c r="W148" i="298"/>
  <c r="AA148" i="298" s="1"/>
  <c r="AB148" i="298" s="1"/>
  <c r="W372" i="298"/>
  <c r="AA372" i="298" s="1"/>
  <c r="AB372" i="298" s="1"/>
  <c r="W489" i="298"/>
  <c r="AA489" i="298" s="1"/>
  <c r="AB489" i="298" s="1"/>
  <c r="W34" i="298"/>
  <c r="AA34" i="298" s="1"/>
  <c r="AB34" i="298" s="1"/>
  <c r="W352" i="298"/>
  <c r="AA352" i="298" s="1"/>
  <c r="AB352" i="298" s="1"/>
  <c r="W514" i="298"/>
  <c r="AA514" i="298" s="1"/>
  <c r="AB514" i="298" s="1"/>
  <c r="W208" i="298"/>
  <c r="AA208" i="298" s="1"/>
  <c r="AB208" i="298" s="1"/>
  <c r="W104" i="298"/>
  <c r="AA104" i="298" s="1"/>
  <c r="AB104" i="298" s="1"/>
  <c r="W154" i="298"/>
  <c r="AA154" i="298" s="1"/>
  <c r="AB154" i="298" s="1"/>
  <c r="W162" i="298"/>
  <c r="AA162" i="298" s="1"/>
  <c r="AB162" i="298" s="1"/>
  <c r="W140" i="298"/>
  <c r="AA140" i="298" s="1"/>
  <c r="AB140" i="298" s="1"/>
  <c r="W504" i="298"/>
  <c r="AA504" i="298" s="1"/>
  <c r="AB504" i="298" s="1"/>
  <c r="W287" i="298"/>
  <c r="AA287" i="298" s="1"/>
  <c r="AB287" i="298" s="1"/>
  <c r="W395" i="298"/>
  <c r="AA395" i="298" s="1"/>
  <c r="AB395" i="298" s="1"/>
  <c r="W481" i="298"/>
  <c r="AA481" i="298" s="1"/>
  <c r="AB481" i="298" s="1"/>
  <c r="W245" i="298"/>
  <c r="AA245" i="298" s="1"/>
  <c r="AB245" i="298" s="1"/>
  <c r="W440" i="298"/>
  <c r="AA440" i="298" s="1"/>
  <c r="AB440" i="298" s="1"/>
  <c r="W265" i="298"/>
  <c r="AA265" i="298" s="1"/>
  <c r="AB265" i="298" s="1"/>
  <c r="W192" i="298"/>
  <c r="AA192" i="298" s="1"/>
  <c r="AB192" i="298" s="1"/>
  <c r="W460" i="298"/>
  <c r="AA460" i="298" s="1"/>
  <c r="AB460" i="298" s="1"/>
  <c r="W390" i="298"/>
  <c r="AA390" i="298" s="1"/>
  <c r="AB390" i="298" s="1"/>
  <c r="W172" i="298"/>
  <c r="AA172" i="298" s="1"/>
  <c r="AB172" i="298" s="1"/>
  <c r="W316" i="298"/>
  <c r="AA316" i="298" s="1"/>
  <c r="AB316" i="298" s="1"/>
  <c r="W175" i="298"/>
  <c r="AA175" i="298" s="1"/>
  <c r="AB175" i="298" s="1"/>
  <c r="W393" i="298"/>
  <c r="AA393" i="298" s="1"/>
  <c r="AB393" i="298" s="1"/>
  <c r="W286" i="298"/>
  <c r="AA286" i="298" s="1"/>
  <c r="AB286" i="298" s="1"/>
  <c r="W223" i="298"/>
  <c r="AA223" i="298" s="1"/>
  <c r="AB223" i="298" s="1"/>
  <c r="W215" i="298"/>
  <c r="AA215" i="298" s="1"/>
  <c r="AB215" i="298" s="1"/>
  <c r="W338" i="298"/>
  <c r="AA338" i="298" s="1"/>
  <c r="AB338" i="298" s="1"/>
  <c r="W263" i="298"/>
  <c r="AA263" i="298" s="1"/>
  <c r="AB263" i="298" s="1"/>
  <c r="W145" i="298"/>
  <c r="AA145" i="298" s="1"/>
  <c r="AB145" i="298" s="1"/>
  <c r="W415" i="298"/>
  <c r="AA415" i="298" s="1"/>
  <c r="AB415" i="298" s="1"/>
  <c r="W169" i="298"/>
  <c r="AA169" i="298" s="1"/>
  <c r="AB169" i="298" s="1"/>
  <c r="W456" i="298"/>
  <c r="AA456" i="298" s="1"/>
  <c r="AB456" i="298" s="1"/>
  <c r="W361" i="298"/>
  <c r="AA361" i="298" s="1"/>
  <c r="AB361" i="298" s="1"/>
  <c r="W302" i="298"/>
  <c r="AA302" i="298" s="1"/>
  <c r="AB302" i="298" s="1"/>
  <c r="W246" i="298"/>
  <c r="AA246" i="298" s="1"/>
  <c r="AB246" i="298" s="1"/>
  <c r="W155" i="298"/>
  <c r="AA155" i="298" s="1"/>
  <c r="AB155" i="298" s="1"/>
  <c r="W88" i="298"/>
  <c r="AA88" i="298" s="1"/>
  <c r="AB88" i="298" s="1"/>
  <c r="W512" i="298"/>
  <c r="AA512" i="298" s="1"/>
  <c r="AB512" i="298" s="1"/>
  <c r="W261" i="298"/>
  <c r="AA261" i="298" s="1"/>
  <c r="AB261" i="298" s="1"/>
  <c r="W242" i="298"/>
  <c r="AA242" i="298" s="1"/>
  <c r="AB242" i="298" s="1"/>
  <c r="W511" i="298"/>
  <c r="AA511" i="298" s="1"/>
  <c r="AB511" i="298" s="1"/>
  <c r="W435" i="298"/>
  <c r="AA435" i="298" s="1"/>
  <c r="AB435" i="298" s="1"/>
  <c r="W313" i="298"/>
  <c r="AA313" i="298" s="1"/>
  <c r="AB313" i="298" s="1"/>
  <c r="W249" i="298"/>
  <c r="AA249" i="298" s="1"/>
  <c r="AB249" i="298" s="1"/>
  <c r="W380" i="298"/>
  <c r="AA380" i="298" s="1"/>
  <c r="AB380" i="298" s="1"/>
  <c r="W321" i="298"/>
  <c r="AA321" i="298" s="1"/>
  <c r="AB321" i="298" s="1"/>
  <c r="W280" i="298"/>
  <c r="AA280" i="298" s="1"/>
  <c r="AB280" i="298" s="1"/>
  <c r="W333" i="298"/>
  <c r="AA333" i="298" s="1"/>
  <c r="AB333" i="298" s="1"/>
  <c r="W304" i="298"/>
  <c r="AA304" i="298" s="1"/>
  <c r="AB304" i="298" s="1"/>
  <c r="W181" i="298"/>
  <c r="AA181" i="298" s="1"/>
  <c r="AB181" i="298" s="1"/>
  <c r="W299" i="298"/>
  <c r="AA299" i="298" s="1"/>
  <c r="AB299" i="298" s="1"/>
  <c r="W508" i="298"/>
  <c r="AA508" i="298" s="1"/>
  <c r="AB508" i="298" s="1"/>
  <c r="W51" i="298"/>
  <c r="AA51" i="298" s="1"/>
  <c r="AB51" i="298" s="1"/>
  <c r="W134" i="298"/>
  <c r="AA134" i="298" s="1"/>
  <c r="AB134" i="298" s="1"/>
  <c r="W210" i="298"/>
  <c r="AA210" i="298" s="1"/>
  <c r="AB210" i="298" s="1"/>
  <c r="W122" i="298"/>
  <c r="AA122" i="298" s="1"/>
  <c r="AB122" i="298" s="1"/>
  <c r="W127" i="298"/>
  <c r="AA127" i="298" s="1"/>
  <c r="AB127" i="298" s="1"/>
  <c r="W496" i="298"/>
  <c r="AA496" i="298" s="1"/>
  <c r="AB496" i="298" s="1"/>
  <c r="W44" i="298"/>
  <c r="AA44" i="298" s="1"/>
  <c r="AB44" i="298" s="1"/>
  <c r="W359" i="298"/>
  <c r="AA359" i="298" s="1"/>
  <c r="AB359" i="298" s="1"/>
  <c r="W57" i="298"/>
  <c r="AA57" i="298" s="1"/>
  <c r="AB57" i="298" s="1"/>
  <c r="W107" i="298"/>
  <c r="AA107" i="298" s="1"/>
  <c r="AB107" i="298" s="1"/>
  <c r="W281" i="298"/>
  <c r="AA281" i="298" s="1"/>
  <c r="AB281" i="298" s="1"/>
  <c r="W225" i="298"/>
  <c r="AA225" i="298" s="1"/>
  <c r="AB225" i="298" s="1"/>
  <c r="W455" i="298"/>
  <c r="AA455" i="298" s="1"/>
  <c r="AB455" i="298" s="1"/>
  <c r="W490" i="298"/>
  <c r="AA490" i="298" s="1"/>
  <c r="AB490" i="298" s="1"/>
  <c r="W45" i="298"/>
  <c r="AA45" i="298" s="1"/>
  <c r="AB45" i="298" s="1"/>
  <c r="W283" i="298"/>
  <c r="AA283" i="298" s="1"/>
  <c r="AB283" i="298" s="1"/>
  <c r="W99" i="298"/>
  <c r="AA99" i="298" s="1"/>
  <c r="AB99" i="298" s="1"/>
  <c r="W309" i="298"/>
  <c r="AA309" i="298" s="1"/>
  <c r="AB309" i="298" s="1"/>
  <c r="W253" i="298"/>
  <c r="AA253" i="298" s="1"/>
  <c r="AB253" i="298" s="1"/>
  <c r="W168" i="298"/>
  <c r="AA168" i="298" s="1"/>
  <c r="AB168" i="298" s="1"/>
  <c r="W421" i="298"/>
  <c r="AA421" i="298" s="1"/>
  <c r="AB421" i="298" s="1"/>
  <c r="W505" i="298"/>
  <c r="AA505" i="298" s="1"/>
  <c r="AB505" i="298" s="1"/>
  <c r="W470" i="298"/>
  <c r="AA470" i="298" s="1"/>
  <c r="AB470" i="298" s="1"/>
  <c r="W103" i="298"/>
  <c r="AA103" i="298" s="1"/>
  <c r="AB103" i="298" s="1"/>
  <c r="W198" i="298"/>
  <c r="AA198" i="298" s="1"/>
  <c r="AB198" i="298" s="1"/>
  <c r="W157" i="298"/>
  <c r="AA157" i="298" s="1"/>
  <c r="AB157" i="298" s="1"/>
  <c r="W314" i="298"/>
  <c r="AA314" i="298" s="1"/>
  <c r="AB314" i="298" s="1"/>
  <c r="W483" i="298"/>
  <c r="AA483" i="298" s="1"/>
  <c r="AB483" i="298" s="1"/>
  <c r="W403" i="298"/>
  <c r="AA403" i="298" s="1"/>
  <c r="AB403" i="298" s="1"/>
  <c r="W268" i="298"/>
  <c r="AA268" i="298" s="1"/>
  <c r="AB268" i="298" s="1"/>
  <c r="W468" i="298"/>
  <c r="AA468" i="298" s="1"/>
  <c r="AB468" i="298" s="1"/>
  <c r="W194" i="298"/>
  <c r="AA194" i="298" s="1"/>
  <c r="AB194" i="298" s="1"/>
  <c r="W443" i="298"/>
  <c r="AA443" i="298" s="1"/>
  <c r="AB443" i="298" s="1"/>
  <c r="W50" i="298"/>
  <c r="AA50" i="298" s="1"/>
  <c r="AB50" i="298" s="1"/>
  <c r="W389" i="298"/>
  <c r="AA389" i="298" s="1"/>
  <c r="AB389" i="298" s="1"/>
  <c r="W447" i="298"/>
  <c r="AA447" i="298" s="1"/>
  <c r="AB447" i="298" s="1"/>
  <c r="W106" i="298"/>
  <c r="AA106" i="298" s="1"/>
  <c r="AB106" i="298" s="1"/>
  <c r="W465" i="298"/>
  <c r="AA465" i="298" s="1"/>
  <c r="AB465" i="298" s="1"/>
  <c r="W205" i="298"/>
  <c r="AA205" i="298" s="1"/>
  <c r="AB205" i="298" s="1"/>
  <c r="W151" i="298"/>
  <c r="AA151" i="298" s="1"/>
  <c r="AB151" i="298" s="1"/>
  <c r="W494" i="298"/>
  <c r="AA494" i="298" s="1"/>
  <c r="AB494" i="298" s="1"/>
  <c r="W251" i="298"/>
  <c r="AA251" i="298" s="1"/>
  <c r="AB251" i="298" s="1"/>
  <c r="W357" i="298"/>
  <c r="AA357" i="298" s="1"/>
  <c r="AB357" i="298" s="1"/>
  <c r="W126" i="298"/>
  <c r="AA126" i="298" s="1"/>
  <c r="AB126" i="298" s="1"/>
  <c r="W480" i="298"/>
  <c r="AA480" i="298" s="1"/>
  <c r="AB480" i="298" s="1"/>
  <c r="W342" i="298"/>
  <c r="AA342" i="298" s="1"/>
  <c r="AB342" i="298" s="1"/>
  <c r="W236" i="298"/>
  <c r="AA236" i="298" s="1"/>
  <c r="AB236" i="298" s="1"/>
  <c r="W63" i="298"/>
  <c r="AA63" i="298" s="1"/>
  <c r="AB63" i="298" s="1"/>
  <c r="W177" i="298"/>
  <c r="AA177" i="298" s="1"/>
  <c r="AB177" i="298" s="1"/>
  <c r="M268" i="297"/>
  <c r="O268" i="297" s="1"/>
  <c r="M314" i="297"/>
  <c r="O314" i="297" s="1"/>
  <c r="M376" i="297"/>
  <c r="O376" i="297" s="1"/>
  <c r="M295" i="297"/>
  <c r="O295" i="297" s="1"/>
  <c r="M115" i="297"/>
  <c r="O115" i="297" s="1"/>
  <c r="M54" i="297"/>
  <c r="O54" i="297" s="1"/>
  <c r="M312" i="297"/>
  <c r="O312" i="297" s="1"/>
  <c r="M266" i="297"/>
  <c r="O266" i="297" s="1"/>
  <c r="M202" i="297"/>
  <c r="O202" i="297" s="1"/>
  <c r="M476" i="297"/>
  <c r="O476" i="297" s="1"/>
  <c r="M390" i="297"/>
  <c r="O390" i="297" s="1"/>
  <c r="M152" i="297"/>
  <c r="O152" i="297" s="1"/>
  <c r="M341" i="297"/>
  <c r="O341" i="297" s="1"/>
  <c r="M56" i="297"/>
  <c r="O56" i="297" s="1"/>
  <c r="M429" i="297"/>
  <c r="O429" i="297" s="1"/>
  <c r="M142" i="297"/>
  <c r="O142" i="297" s="1"/>
  <c r="M114" i="297"/>
  <c r="O114" i="297" s="1"/>
  <c r="M181" i="297"/>
  <c r="O181" i="297" s="1"/>
  <c r="M434" i="297"/>
  <c r="O434" i="297" s="1"/>
  <c r="M237" i="297"/>
  <c r="O237" i="297" s="1"/>
  <c r="M40" i="297"/>
  <c r="O40" i="297" s="1"/>
  <c r="M389" i="297"/>
  <c r="O389" i="297" s="1"/>
  <c r="M436" i="297"/>
  <c r="O436" i="297" s="1"/>
  <c r="M496" i="297"/>
  <c r="O496" i="297" s="1"/>
  <c r="M161" i="297"/>
  <c r="O161" i="297" s="1"/>
  <c r="M203" i="297"/>
  <c r="O203" i="297" s="1"/>
  <c r="M129" i="297"/>
  <c r="O129" i="297" s="1"/>
  <c r="M128" i="297"/>
  <c r="O128" i="297" s="1"/>
  <c r="M505" i="297"/>
  <c r="O505" i="297" s="1"/>
  <c r="M294" i="297"/>
  <c r="O294" i="297" s="1"/>
  <c r="M153" i="297"/>
  <c r="O153" i="297" s="1"/>
  <c r="M157" i="297"/>
  <c r="O157" i="297" s="1"/>
  <c r="M464" i="297"/>
  <c r="O464" i="297" s="1"/>
  <c r="M233" i="297"/>
  <c r="O233" i="297" s="1"/>
  <c r="E52" i="307"/>
  <c r="G42" i="308"/>
  <c r="E43" i="307"/>
  <c r="E60" i="307"/>
  <c r="E36" i="307"/>
  <c r="G34" i="308"/>
  <c r="E56" i="307"/>
  <c r="G60" i="307"/>
  <c r="G20" i="308"/>
  <c r="E32" i="307"/>
  <c r="G30" i="307"/>
  <c r="O34" i="180"/>
  <c r="N37" i="293" s="1" a="1"/>
  <c r="N37" i="293" s="1"/>
  <c r="N34" i="180"/>
  <c r="M37" i="293" s="1" a="1"/>
  <c r="M37" i="293" s="1"/>
  <c r="I38" i="180"/>
  <c r="M38" i="180" s="1"/>
  <c r="I73" i="180"/>
  <c r="I75" i="293" s="1" a="1"/>
  <c r="I75" i="293" s="1"/>
  <c r="J38" i="180"/>
  <c r="J73" i="180"/>
  <c r="J75" i="293" s="1" a="1"/>
  <c r="J75" i="293" s="1"/>
  <c r="U38" i="180"/>
  <c r="U73" i="180"/>
  <c r="P75" i="293" s="1" a="1"/>
  <c r="P75" i="293" s="1"/>
  <c r="I34" i="180"/>
  <c r="I37" i="293" s="1" a="1"/>
  <c r="I37" i="293" s="1"/>
  <c r="J34" i="180"/>
  <c r="J37" i="293" s="1" a="1"/>
  <c r="J37" i="293" s="1"/>
  <c r="U34" i="180"/>
  <c r="P37" i="293" s="1" a="1"/>
  <c r="P37" i="293" s="1"/>
  <c r="Q12" i="261"/>
  <c r="D20" i="261" s="1"/>
  <c r="T12" i="261"/>
  <c r="G20" i="261" s="1"/>
  <c r="R12" i="261"/>
  <c r="E20" i="261" s="1"/>
  <c r="V12" i="260"/>
  <c r="G20" i="260" s="1"/>
  <c r="H21" i="260"/>
  <c r="H19" i="261"/>
  <c r="S12" i="260"/>
  <c r="D20" i="260" s="1"/>
  <c r="H19" i="260"/>
  <c r="T12" i="260"/>
  <c r="E20" i="260" s="1"/>
  <c r="H21" i="261"/>
  <c r="G18" i="261"/>
  <c r="F18" i="261"/>
  <c r="H18" i="261"/>
  <c r="H18" i="260"/>
  <c r="G18" i="260"/>
  <c r="F18" i="260"/>
  <c r="O106" i="180" a="1"/>
  <c r="V101" i="180" a="1"/>
  <c r="V34" i="180" a="1"/>
  <c r="W108" i="180" a="1"/>
  <c r="O89" i="180" a="1"/>
  <c r="U101" i="180" a="1"/>
  <c r="O91" i="180" a="1"/>
  <c r="K90" i="180" a="1"/>
  <c r="P108" i="180" a="1"/>
  <c r="J105" i="180" a="1"/>
  <c r="W17" i="180" a="1"/>
  <c r="J98" i="180" a="1"/>
  <c r="O104" i="180" a="1"/>
  <c r="U90" i="180" a="1"/>
  <c r="V92" i="180" a="1"/>
  <c r="U104" i="180" a="1"/>
  <c r="T108" i="180" a="1"/>
  <c r="V103" i="180" a="1"/>
  <c r="J95" i="180" a="1"/>
  <c r="U89" i="180" a="1"/>
  <c r="V108" i="180" a="1"/>
  <c r="J108" i="180" a="1"/>
  <c r="O93" i="180" a="1"/>
  <c r="O103" i="180" a="1"/>
  <c r="T104" i="180" a="1"/>
  <c r="W38" i="180" a="1"/>
  <c r="U99" i="180" a="1"/>
  <c r="P34" i="180" a="1"/>
  <c r="K107" i="180" a="1"/>
  <c r="K108" i="180" a="1"/>
  <c r="P96" i="180" a="1"/>
  <c r="V38" i="180" a="1"/>
  <c r="U95" i="180" a="1"/>
  <c r="W104" i="180" a="1"/>
  <c r="O73" i="180" a="1"/>
  <c r="K95" i="180" a="1"/>
  <c r="T17" i="180" a="1"/>
  <c r="T102" i="180" a="1"/>
  <c r="J107" i="180" a="1"/>
  <c r="K17" i="180" a="1"/>
  <c r="W96" i="180" a="1"/>
  <c r="V17" i="180" a="1"/>
  <c r="U92" i="180" a="1"/>
  <c r="O96" i="180" a="1"/>
  <c r="J96" i="180" a="1"/>
  <c r="V105" i="180" a="1"/>
  <c r="P95" i="180" a="1"/>
  <c r="V97" i="180" a="1"/>
  <c r="W73" i="180" a="1"/>
  <c r="T107" i="180" a="1"/>
  <c r="J93" i="180" a="1"/>
  <c r="N38" i="180" a="1"/>
  <c r="V94" i="180" a="1"/>
  <c r="K96" i="180" a="1"/>
  <c r="P106" i="180" a="1"/>
  <c r="J100" i="180" a="1"/>
  <c r="T95" i="180" a="1"/>
  <c r="V107" i="180" a="1"/>
  <c r="P100" i="180" a="1"/>
  <c r="K99" i="180" a="1"/>
  <c r="P17" i="180" a="1"/>
  <c r="T99" i="180" a="1"/>
  <c r="O105" i="180" a="1"/>
  <c r="V104" i="180" a="1"/>
  <c r="U93" i="180" a="1"/>
  <c r="U96" i="180" a="1"/>
  <c r="J89" i="180" a="1"/>
  <c r="U100" i="180" a="1"/>
  <c r="K106" i="180" a="1"/>
  <c r="J99" i="180" a="1"/>
  <c r="U107" i="180" a="1"/>
  <c r="K73" i="180" a="1"/>
  <c r="P107" i="180" a="1"/>
  <c r="T97" i="180" a="1"/>
  <c r="U17" i="180" a="1"/>
  <c r="V99" i="180" a="1"/>
  <c r="T101" i="180" a="1"/>
  <c r="K104" i="180" a="1"/>
  <c r="P90" i="180" a="1"/>
  <c r="N73" i="180" a="1"/>
  <c r="T106" i="180" a="1"/>
  <c r="O90" i="180" a="1"/>
  <c r="P103" i="180" a="1"/>
  <c r="T92" i="180" a="1"/>
  <c r="J94" i="180" a="1"/>
  <c r="U108" i="180" a="1"/>
  <c r="T34" i="180" a="1"/>
  <c r="P93" i="180" a="1"/>
  <c r="K38" i="180" a="1"/>
  <c r="K102" i="180" a="1"/>
  <c r="U91" i="180" a="1"/>
  <c r="J17" i="180" a="1"/>
  <c r="W90" i="180" a="1"/>
  <c r="T96" i="180" a="1"/>
  <c r="P94" i="180" a="1"/>
  <c r="T89" i="180" a="1"/>
  <c r="K98" i="180" a="1"/>
  <c r="V100" i="180" a="1"/>
  <c r="K34" i="180" a="1"/>
  <c r="W89" i="180" a="1"/>
  <c r="J106" i="180" a="1"/>
  <c r="K100" i="180" a="1"/>
  <c r="T105" i="180" a="1"/>
  <c r="W105" i="180" a="1"/>
  <c r="W107" i="180" a="1"/>
  <c r="K105" i="180" a="1"/>
  <c r="V73" i="180" a="1"/>
  <c r="O107" i="180" a="1"/>
  <c r="U106" i="180" a="1"/>
  <c r="T91" i="180" a="1"/>
  <c r="P105" i="180" a="1"/>
  <c r="T94" i="180" a="1"/>
  <c r="O98" i="180" a="1"/>
  <c r="K92" i="180" a="1"/>
  <c r="V106" i="180" a="1"/>
  <c r="J92" i="180" a="1"/>
  <c r="U97" i="180" a="1"/>
  <c r="O94" i="180" a="1"/>
  <c r="J104" i="180" a="1"/>
  <c r="J101" i="180" a="1"/>
  <c r="V89" i="180" a="1"/>
  <c r="O100" i="180" a="1"/>
  <c r="O38" i="180" a="1"/>
  <c r="W97" i="180" a="1"/>
  <c r="P102" i="180" a="1"/>
  <c r="U103" i="180" a="1"/>
  <c r="J97" i="180" a="1"/>
  <c r="T38" i="180" a="1"/>
  <c r="W101" i="180" a="1"/>
  <c r="J103" i="180" a="1"/>
  <c r="K101" i="180" a="1"/>
  <c r="V98" i="180" a="1"/>
  <c r="K93" i="180" a="1"/>
  <c r="P98" i="180" a="1"/>
  <c r="T100" i="180" a="1"/>
  <c r="P91" i="180" a="1"/>
  <c r="T103" i="180" a="1"/>
  <c r="J102" i="180" a="1"/>
  <c r="P92" i="180" a="1"/>
  <c r="W92" i="180" a="1"/>
  <c r="W34" i="180" a="1"/>
  <c r="K89" i="180" a="1"/>
  <c r="O95" i="180" a="1"/>
  <c r="T90" i="180" a="1"/>
  <c r="K97" i="180" a="1"/>
  <c r="K91" i="180" a="1"/>
  <c r="O99" i="180" a="1"/>
  <c r="U105" i="180" a="1"/>
  <c r="W93" i="180" a="1"/>
  <c r="K103" i="180" a="1"/>
  <c r="J90" i="180" a="1"/>
  <c r="W98" i="180" a="1"/>
  <c r="V91" i="180" a="1"/>
  <c r="V102" i="180" a="1"/>
  <c r="O102" i="180" a="1"/>
  <c r="J91" i="180" a="1"/>
  <c r="T73" i="180" a="1"/>
  <c r="P101" i="180" a="1"/>
  <c r="U98" i="180" a="1"/>
  <c r="P97" i="180" a="1"/>
  <c r="T93" i="180" a="1"/>
  <c r="U94" i="180" a="1"/>
  <c r="W106" i="180" a="1"/>
  <c r="O101" i="180" a="1"/>
  <c r="P89" i="180" a="1"/>
  <c r="O97" i="180" a="1"/>
  <c r="U102" i="180" a="1"/>
  <c r="W103" i="180" a="1"/>
  <c r="V95" i="180" a="1"/>
  <c r="W100" i="180" a="1"/>
  <c r="K94" i="180" a="1"/>
  <c r="P99" i="180" a="1"/>
  <c r="T98" i="180" a="1"/>
  <c r="O17" i="180" a="1"/>
  <c r="M489" i="297" l="1"/>
  <c r="O489" i="297" s="1"/>
  <c r="M173" i="297"/>
  <c r="O173" i="297" s="1"/>
  <c r="M381" i="297"/>
  <c r="O381" i="297" s="1"/>
  <c r="M211" i="297"/>
  <c r="O211" i="297" s="1"/>
  <c r="M283" i="297"/>
  <c r="O283" i="297" s="1"/>
  <c r="M135" i="297"/>
  <c r="O135" i="297" s="1"/>
  <c r="M107" i="297"/>
  <c r="O107" i="297" s="1"/>
  <c r="M48" i="297"/>
  <c r="O48" i="297" s="1"/>
  <c r="M231" i="297"/>
  <c r="O231" i="297" s="1"/>
  <c r="M317" i="297"/>
  <c r="O317" i="297" s="1"/>
  <c r="M76" i="297"/>
  <c r="O76" i="297" s="1"/>
  <c r="M38" i="297"/>
  <c r="O38" i="297" s="1"/>
  <c r="M419" i="297"/>
  <c r="O419" i="297" s="1"/>
  <c r="M260" i="297"/>
  <c r="O260" i="297" s="1"/>
  <c r="M156" i="297"/>
  <c r="O156" i="297" s="1"/>
  <c r="M332" i="297"/>
  <c r="O332" i="297" s="1"/>
  <c r="M201" i="297"/>
  <c r="O201" i="297" s="1"/>
  <c r="D18" i="310" a="1"/>
  <c r="D18" i="310" s="1"/>
  <c r="M75" i="297"/>
  <c r="O75" i="297" s="1"/>
  <c r="M280" i="297"/>
  <c r="O280" i="297" s="1"/>
  <c r="M252" i="297"/>
  <c r="O252" i="297" s="1"/>
  <c r="M285" i="297"/>
  <c r="O285" i="297" s="1"/>
  <c r="M410" i="297"/>
  <c r="O410" i="297" s="1"/>
  <c r="M263" i="297"/>
  <c r="O263" i="297" s="1"/>
  <c r="M484" i="297"/>
  <c r="O484" i="297" s="1"/>
  <c r="M383" i="297"/>
  <c r="O383" i="297" s="1"/>
  <c r="M453" i="297"/>
  <c r="O453" i="297" s="1"/>
  <c r="M148" i="297"/>
  <c r="O148" i="297" s="1"/>
  <c r="M330" i="297"/>
  <c r="O330" i="297" s="1"/>
  <c r="M178" i="297"/>
  <c r="O178" i="297" s="1"/>
  <c r="M197" i="297"/>
  <c r="O197" i="297" s="1"/>
  <c r="M60" i="297"/>
  <c r="O60" i="297" s="1"/>
  <c r="M291" i="297"/>
  <c r="O291" i="297" s="1"/>
  <c r="M316" i="297"/>
  <c r="O316" i="297" s="1"/>
  <c r="K17" i="180"/>
  <c r="M326" i="297"/>
  <c r="O326" i="297" s="1"/>
  <c r="M358" i="297"/>
  <c r="O358" i="297" s="1"/>
  <c r="M448" i="297"/>
  <c r="O448" i="297" s="1"/>
  <c r="M191" i="297"/>
  <c r="O191" i="297" s="1"/>
  <c r="M184" i="297"/>
  <c r="O184" i="297" s="1"/>
  <c r="M103" i="297"/>
  <c r="O103" i="297" s="1"/>
  <c r="M480" i="297"/>
  <c r="O480" i="297" s="1"/>
  <c r="M425" i="297"/>
  <c r="O425" i="297" s="1"/>
  <c r="M222" i="297"/>
  <c r="O222" i="297" s="1"/>
  <c r="M132" i="297"/>
  <c r="O132" i="297" s="1"/>
  <c r="M462" i="297"/>
  <c r="O462" i="297" s="1"/>
  <c r="M130" i="297"/>
  <c r="O130" i="297" s="1"/>
  <c r="M324" i="297"/>
  <c r="O324" i="297" s="1"/>
  <c r="M182" i="297"/>
  <c r="O182" i="297" s="1"/>
  <c r="M259" i="297"/>
  <c r="O259" i="297" s="1"/>
  <c r="M503" i="297"/>
  <c r="O503" i="297" s="1"/>
  <c r="M226" i="297"/>
  <c r="O226" i="297" s="1"/>
  <c r="M270" i="297"/>
  <c r="O270" i="297" s="1"/>
  <c r="M297" i="297"/>
  <c r="O297" i="297" s="1"/>
  <c r="M255" i="297"/>
  <c r="O255" i="297" s="1"/>
  <c r="M94" i="297"/>
  <c r="O94" i="297" s="1"/>
  <c r="M350" i="297"/>
  <c r="O350" i="297" s="1"/>
  <c r="M225" i="297"/>
  <c r="O225" i="297" s="1"/>
  <c r="M92" i="297"/>
  <c r="O92" i="297" s="1"/>
  <c r="M478" i="297"/>
  <c r="O478" i="297" s="1"/>
  <c r="M319" i="297"/>
  <c r="O319" i="297" s="1"/>
  <c r="M230" i="297"/>
  <c r="O230" i="297" s="1"/>
  <c r="M354" i="297"/>
  <c r="O354" i="297" s="1"/>
  <c r="M509" i="297"/>
  <c r="O509" i="297" s="1"/>
  <c r="M512" i="297"/>
  <c r="O512" i="297" s="1"/>
  <c r="M95" i="297"/>
  <c r="O95" i="297" s="1"/>
  <c r="M471" i="297"/>
  <c r="O471" i="297" s="1"/>
  <c r="M457" i="297"/>
  <c r="O457" i="297" s="1"/>
  <c r="M172" i="297"/>
  <c r="O172" i="297" s="1"/>
  <c r="M483" i="297"/>
  <c r="O483" i="297" s="1"/>
  <c r="M109" i="297"/>
  <c r="O109" i="297" s="1"/>
  <c r="M507" i="297"/>
  <c r="O507" i="297" s="1"/>
  <c r="M456" i="297"/>
  <c r="O456" i="297" s="1"/>
  <c r="M102" i="297"/>
  <c r="O102" i="297" s="1"/>
  <c r="M426" i="297"/>
  <c r="O426" i="297" s="1"/>
  <c r="M409" i="297"/>
  <c r="O409" i="297" s="1"/>
  <c r="M66" i="297"/>
  <c r="O66" i="297" s="1"/>
  <c r="M466" i="297"/>
  <c r="O466" i="297" s="1"/>
  <c r="M515" i="297"/>
  <c r="O515" i="297" s="1"/>
  <c r="M65" i="297"/>
  <c r="O65" i="297" s="1"/>
  <c r="M275" i="297"/>
  <c r="O275" i="297" s="1"/>
  <c r="M329" i="297"/>
  <c r="O329" i="297" s="1"/>
  <c r="M144" i="297"/>
  <c r="O144" i="297" s="1"/>
  <c r="M398" i="297"/>
  <c r="O398" i="297" s="1"/>
  <c r="M315" i="297"/>
  <c r="O315" i="297" s="1"/>
  <c r="M461" i="297"/>
  <c r="O461" i="297" s="1"/>
  <c r="M236" i="297"/>
  <c r="O236" i="297" s="1"/>
  <c r="M219" i="297"/>
  <c r="O219" i="297" s="1"/>
  <c r="M159" i="297"/>
  <c r="O159" i="297" s="1"/>
  <c r="M412" i="297"/>
  <c r="O412" i="297" s="1"/>
  <c r="M171" i="297"/>
  <c r="O171" i="297" s="1"/>
  <c r="M346" i="297"/>
  <c r="O346" i="297" s="1"/>
  <c r="M282" i="297"/>
  <c r="O282" i="297" s="1"/>
  <c r="M269" i="297"/>
  <c r="O269" i="297" s="1"/>
  <c r="M460" i="297"/>
  <c r="O460" i="297" s="1"/>
  <c r="M477" i="297"/>
  <c r="O477" i="297" s="1"/>
  <c r="M133" i="297"/>
  <c r="O133" i="297" s="1"/>
  <c r="M396" i="297"/>
  <c r="O396" i="297" s="1"/>
  <c r="M121" i="297"/>
  <c r="O121" i="297" s="1"/>
  <c r="M264" i="297"/>
  <c r="O264" i="297" s="1"/>
  <c r="M139" i="297"/>
  <c r="O139" i="297" s="1"/>
  <c r="M61" i="297"/>
  <c r="O61" i="297" s="1"/>
  <c r="M221" i="297"/>
  <c r="O221" i="297" s="1"/>
  <c r="M504" i="297"/>
  <c r="O504" i="297" s="1"/>
  <c r="Q30" i="298"/>
  <c r="Q60" i="298" s="1"/>
  <c r="U60" i="298" s="1"/>
  <c r="V60" i="298" s="1"/>
  <c r="M392" i="297"/>
  <c r="O392" i="297" s="1"/>
  <c r="M198" i="297"/>
  <c r="O198" i="297" s="1"/>
  <c r="M442" i="297"/>
  <c r="O442" i="297" s="1"/>
  <c r="M352" i="297"/>
  <c r="O352" i="297" s="1"/>
  <c r="M63" i="297"/>
  <c r="O63" i="297" s="1"/>
  <c r="M44" i="297"/>
  <c r="O44" i="297" s="1"/>
  <c r="M325" i="297"/>
  <c r="O325" i="297" s="1"/>
  <c r="M248" i="297"/>
  <c r="O248" i="297" s="1"/>
  <c r="M77" i="297"/>
  <c r="O77" i="297" s="1"/>
  <c r="M284" i="297"/>
  <c r="O284" i="297" s="1"/>
  <c r="M334" i="297"/>
  <c r="O334" i="297" s="1"/>
  <c r="M360" i="297"/>
  <c r="O360" i="297" s="1"/>
  <c r="M313" i="297"/>
  <c r="O313" i="297" s="1"/>
  <c r="M449" i="297"/>
  <c r="O449" i="297" s="1"/>
  <c r="M344" i="297"/>
  <c r="O344" i="297" s="1"/>
  <c r="M185" i="297"/>
  <c r="O185" i="297" s="1"/>
  <c r="M413" i="297"/>
  <c r="O413" i="297" s="1"/>
  <c r="M166" i="297"/>
  <c r="O166" i="297" s="1"/>
  <c r="M359" i="297"/>
  <c r="O359" i="297" s="1"/>
  <c r="M444" i="297"/>
  <c r="O444" i="297" s="1"/>
  <c r="M224" i="297"/>
  <c r="O224" i="297" s="1"/>
  <c r="M402" i="297"/>
  <c r="O402" i="297" s="1"/>
  <c r="M73" i="297"/>
  <c r="O73" i="297" s="1"/>
  <c r="M195" i="297"/>
  <c r="O195" i="297" s="1"/>
  <c r="M491" i="297"/>
  <c r="O491" i="297" s="1"/>
  <c r="M337" i="297"/>
  <c r="O337" i="297" s="1"/>
  <c r="M361" i="297"/>
  <c r="O361" i="297" s="1"/>
  <c r="M473" i="297"/>
  <c r="O473" i="297" s="1"/>
  <c r="M250" i="297"/>
  <c r="O250" i="297" s="1"/>
  <c r="M495" i="297"/>
  <c r="O495" i="297" s="1"/>
  <c r="M58" i="297"/>
  <c r="O58" i="297" s="1"/>
  <c r="M310" i="297"/>
  <c r="O310" i="297" s="1"/>
  <c r="M162" i="297"/>
  <c r="O162" i="297" s="1"/>
  <c r="M51" i="297"/>
  <c r="O51" i="297" s="1"/>
  <c r="M439" i="297"/>
  <c r="O439" i="297" s="1"/>
  <c r="M479" i="297"/>
  <c r="O479" i="297" s="1"/>
  <c r="M379" i="297"/>
  <c r="O379" i="297" s="1"/>
  <c r="M110" i="297"/>
  <c r="O110" i="297" s="1"/>
  <c r="M150" i="297"/>
  <c r="O150" i="297" s="1"/>
  <c r="M446" i="297"/>
  <c r="O446" i="297" s="1"/>
  <c r="M468" i="297"/>
  <c r="O468" i="297" s="1"/>
  <c r="M306" i="297"/>
  <c r="O306" i="297" s="1"/>
  <c r="M238" i="297"/>
  <c r="O238" i="297" s="1"/>
  <c r="M366" i="297"/>
  <c r="O366" i="297" s="1"/>
  <c r="M372" i="297"/>
  <c r="O372" i="297" s="1"/>
  <c r="M279" i="297"/>
  <c r="O279" i="297" s="1"/>
  <c r="M343" i="297"/>
  <c r="O343" i="297" s="1"/>
  <c r="M97" i="297"/>
  <c r="O97" i="297" s="1"/>
  <c r="M497" i="297"/>
  <c r="O497" i="297" s="1"/>
  <c r="M251" i="297"/>
  <c r="O251" i="297" s="1"/>
  <c r="M206" i="297"/>
  <c r="O206" i="297" s="1"/>
  <c r="M305" i="297"/>
  <c r="O305" i="297" s="1"/>
  <c r="M117" i="297"/>
  <c r="O117" i="297" s="1"/>
  <c r="M387" i="297"/>
  <c r="O387" i="297" s="1"/>
  <c r="M408" i="297"/>
  <c r="O408" i="297" s="1"/>
  <c r="M348" i="297"/>
  <c r="O348" i="297" s="1"/>
  <c r="M122" i="297"/>
  <c r="O122" i="297" s="1"/>
  <c r="M179" i="297"/>
  <c r="O179" i="297" s="1"/>
  <c r="M274" i="297"/>
  <c r="O274" i="297" s="1"/>
  <c r="M289" i="297"/>
  <c r="O289" i="297" s="1"/>
  <c r="M307" i="297"/>
  <c r="O307" i="297" s="1"/>
  <c r="M309" i="297"/>
  <c r="O309" i="297" s="1"/>
  <c r="M120" i="297"/>
  <c r="O120" i="297" s="1"/>
  <c r="M459" i="297"/>
  <c r="O459" i="297" s="1"/>
  <c r="M470" i="297"/>
  <c r="O470" i="297" s="1"/>
  <c r="M245" i="297"/>
  <c r="O245" i="297" s="1"/>
  <c r="M488" i="297"/>
  <c r="O488" i="297" s="1"/>
  <c r="M244" i="297"/>
  <c r="O244" i="297" s="1"/>
  <c r="M347" i="297"/>
  <c r="O347" i="297" s="1"/>
  <c r="M167" i="297"/>
  <c r="O167" i="297" s="1"/>
  <c r="M220" i="297"/>
  <c r="O220" i="297" s="1"/>
  <c r="M99" i="297"/>
  <c r="O99" i="297" s="1"/>
  <c r="M374" i="297"/>
  <c r="O374" i="297" s="1"/>
  <c r="M143" i="297"/>
  <c r="O143" i="297" s="1"/>
  <c r="M154" i="297"/>
  <c r="O154" i="297" s="1"/>
  <c r="M160" i="297"/>
  <c r="O160" i="297" s="1"/>
  <c r="M34" i="297"/>
  <c r="O34" i="297" s="1"/>
  <c r="M339" i="297"/>
  <c r="O339" i="297" s="1"/>
  <c r="M386" i="297"/>
  <c r="O386" i="297" s="1"/>
  <c r="M323" i="297"/>
  <c r="O323" i="297" s="1"/>
  <c r="M62" i="297"/>
  <c r="O62" i="297" s="1"/>
  <c r="M364" i="297"/>
  <c r="O364" i="297" s="1"/>
  <c r="M301" i="297"/>
  <c r="O301" i="297" s="1"/>
  <c r="M140" i="297"/>
  <c r="O140" i="297" s="1"/>
  <c r="M240" i="297"/>
  <c r="O240" i="297" s="1"/>
  <c r="M277" i="297"/>
  <c r="O277" i="297" s="1"/>
  <c r="M342" i="297"/>
  <c r="O342" i="297" s="1"/>
  <c r="M493" i="297"/>
  <c r="O493" i="297" s="1"/>
  <c r="M463" i="297"/>
  <c r="O463" i="297" s="1"/>
  <c r="M125" i="297"/>
  <c r="O125" i="297" s="1"/>
  <c r="M432" i="297"/>
  <c r="O432" i="297" s="1"/>
  <c r="M164" i="297"/>
  <c r="O164" i="297" s="1"/>
  <c r="M371" i="297"/>
  <c r="O371" i="297" s="1"/>
  <c r="M437" i="297"/>
  <c r="O437" i="297" s="1"/>
  <c r="M351" i="297"/>
  <c r="O351" i="297" s="1"/>
  <c r="M169" i="297"/>
  <c r="O169" i="297" s="1"/>
  <c r="M64" i="297"/>
  <c r="O64" i="297" s="1"/>
  <c r="M422" i="297"/>
  <c r="O422" i="297" s="1"/>
  <c r="M116" i="297"/>
  <c r="O116" i="297" s="1"/>
  <c r="M147" i="297"/>
  <c r="O147" i="297" s="1"/>
  <c r="M475" i="297"/>
  <c r="O475" i="297" s="1"/>
  <c r="M415" i="297"/>
  <c r="O415" i="297" s="1"/>
  <c r="M490" i="297"/>
  <c r="O490" i="297" s="1"/>
  <c r="M192" i="297"/>
  <c r="O192" i="297" s="1"/>
  <c r="M246" i="297"/>
  <c r="O246" i="297" s="1"/>
  <c r="M458" i="297"/>
  <c r="O458" i="297" s="1"/>
  <c r="M320" i="297"/>
  <c r="O320" i="297" s="1"/>
  <c r="M170" i="297"/>
  <c r="O170" i="297" s="1"/>
  <c r="M215" i="297"/>
  <c r="O215" i="297" s="1"/>
  <c r="M137" i="297"/>
  <c r="O137" i="297" s="1"/>
  <c r="M430" i="297"/>
  <c r="O430" i="297" s="1"/>
  <c r="M394" i="297"/>
  <c r="O394" i="297" s="1"/>
  <c r="M106" i="297"/>
  <c r="O106" i="297" s="1"/>
  <c r="M293" i="297"/>
  <c r="O293" i="297" s="1"/>
  <c r="M378" i="297"/>
  <c r="O378" i="297" s="1"/>
  <c r="M227" i="297"/>
  <c r="O227" i="297" s="1"/>
  <c r="M338" i="297"/>
  <c r="O338" i="297" s="1"/>
  <c r="M43" i="297"/>
  <c r="O43" i="297" s="1"/>
  <c r="M514" i="297"/>
  <c r="O514" i="297" s="1"/>
  <c r="M423" i="297"/>
  <c r="O423" i="297" s="1"/>
  <c r="M80" i="297"/>
  <c r="O80" i="297" s="1"/>
  <c r="M59" i="297"/>
  <c r="O59" i="297" s="1"/>
  <c r="M136" i="297"/>
  <c r="O136" i="297" s="1"/>
  <c r="M276" i="297"/>
  <c r="O276" i="297" s="1"/>
  <c r="M418" i="297"/>
  <c r="O418" i="297" s="1"/>
  <c r="M83" i="297"/>
  <c r="O83" i="297" s="1"/>
  <c r="M155" i="297"/>
  <c r="O155" i="297" s="1"/>
  <c r="M241" i="297"/>
  <c r="O241" i="297" s="1"/>
  <c r="M499" i="297"/>
  <c r="O499" i="297" s="1"/>
  <c r="M349" i="297"/>
  <c r="O349" i="297" s="1"/>
  <c r="M208" i="297"/>
  <c r="O208" i="297" s="1"/>
  <c r="M57" i="297"/>
  <c r="O57" i="297" s="1"/>
  <c r="M212" i="297"/>
  <c r="O212" i="297" s="1"/>
  <c r="M406" i="297"/>
  <c r="O406" i="297" s="1"/>
  <c r="M290" i="297"/>
  <c r="O290" i="297" s="1"/>
  <c r="M210" i="297"/>
  <c r="O210" i="297" s="1"/>
  <c r="M401" i="297"/>
  <c r="O401" i="297" s="1"/>
  <c r="M369" i="297"/>
  <c r="O369" i="297" s="1"/>
  <c r="M304" i="297"/>
  <c r="O304" i="297" s="1"/>
  <c r="M516" i="297"/>
  <c r="O516" i="297" s="1"/>
  <c r="M345" i="297"/>
  <c r="O345" i="297" s="1"/>
  <c r="M36" i="297"/>
  <c r="O36" i="297" s="1"/>
  <c r="M433" i="297"/>
  <c r="O433" i="297" s="1"/>
  <c r="M89" i="297"/>
  <c r="O89" i="297" s="1"/>
  <c r="M111" i="297"/>
  <c r="O111" i="297" s="1"/>
  <c r="M249" i="297"/>
  <c r="O249" i="297" s="1"/>
  <c r="M41" i="297"/>
  <c r="O41" i="297" s="1"/>
  <c r="M55" i="297"/>
  <c r="O55" i="297" s="1"/>
  <c r="M79" i="297"/>
  <c r="O79" i="297" s="1"/>
  <c r="M303" i="297"/>
  <c r="O303" i="297" s="1"/>
  <c r="M91" i="297"/>
  <c r="O91" i="297" s="1"/>
  <c r="M400" i="297"/>
  <c r="O400" i="297" s="1"/>
  <c r="M498" i="297"/>
  <c r="O498" i="297" s="1"/>
  <c r="M451" i="297"/>
  <c r="O451" i="297" s="1"/>
  <c r="M199" i="297"/>
  <c r="O199" i="297" s="1"/>
  <c r="M101" i="297"/>
  <c r="O101" i="297" s="1"/>
  <c r="M113" i="297"/>
  <c r="O113" i="297" s="1"/>
  <c r="M134" i="297"/>
  <c r="O134" i="297" s="1"/>
  <c r="M35" i="297"/>
  <c r="O35" i="297" s="1"/>
  <c r="M214" i="297"/>
  <c r="O214" i="297" s="1"/>
  <c r="M168" i="297"/>
  <c r="O168" i="297" s="1"/>
  <c r="M500" i="297"/>
  <c r="O500" i="297" s="1"/>
  <c r="M126" i="297"/>
  <c r="O126" i="297" s="1"/>
  <c r="M272" i="297"/>
  <c r="O272" i="297" s="1"/>
  <c r="M46" i="297"/>
  <c r="O46" i="297" s="1"/>
  <c r="M258" i="297"/>
  <c r="O258" i="297" s="1"/>
  <c r="M403" i="297"/>
  <c r="O403" i="297" s="1"/>
  <c r="M190" i="297"/>
  <c r="O190" i="297" s="1"/>
  <c r="M281" i="297"/>
  <c r="O281" i="297" s="1"/>
  <c r="M186" i="297"/>
  <c r="O186" i="297" s="1"/>
  <c r="M176" i="297"/>
  <c r="O176" i="297" s="1"/>
  <c r="M322" i="297"/>
  <c r="O322" i="297" s="1"/>
  <c r="M510" i="297"/>
  <c r="O510" i="297" s="1"/>
  <c r="M53" i="297"/>
  <c r="O53" i="297" s="1"/>
  <c r="M494" i="297"/>
  <c r="O494" i="297" s="1"/>
  <c r="M247" i="297"/>
  <c r="O247" i="297" s="1"/>
  <c r="M513" i="297"/>
  <c r="O513" i="297" s="1"/>
  <c r="M96" i="297"/>
  <c r="O96" i="297" s="1"/>
  <c r="M262" i="297"/>
  <c r="O262" i="297" s="1"/>
  <c r="M384" i="297"/>
  <c r="O384" i="297" s="1"/>
  <c r="M209" i="297"/>
  <c r="O209" i="297" s="1"/>
  <c r="M193" i="297"/>
  <c r="O193" i="297" s="1"/>
  <c r="M217" i="297"/>
  <c r="O217" i="297" s="1"/>
  <c r="M287" i="297"/>
  <c r="O287" i="297" s="1"/>
  <c r="M424" i="297"/>
  <c r="O424" i="297" s="1"/>
  <c r="M298" i="297"/>
  <c r="O298" i="297" s="1"/>
  <c r="M333" i="297"/>
  <c r="O333" i="297" s="1"/>
  <c r="M175" i="297"/>
  <c r="O175" i="297" s="1"/>
  <c r="M207" i="297"/>
  <c r="O207" i="297" s="1"/>
  <c r="M450" i="297"/>
  <c r="O450" i="297" s="1"/>
  <c r="M81" i="297"/>
  <c r="O81" i="297" s="1"/>
  <c r="M39" i="297"/>
  <c r="O39" i="297" s="1"/>
  <c r="M388" i="297"/>
  <c r="O388" i="297" s="1"/>
  <c r="M356" i="297"/>
  <c r="O356" i="297" s="1"/>
  <c r="M257" i="297"/>
  <c r="O257" i="297" s="1"/>
  <c r="M506" i="297"/>
  <c r="O506" i="297" s="1"/>
  <c r="M363" i="297"/>
  <c r="O363" i="297" s="1"/>
  <c r="M256" i="297"/>
  <c r="O256" i="297" s="1"/>
  <c r="M492" i="297"/>
  <c r="O492" i="297" s="1"/>
  <c r="M454" i="297"/>
  <c r="O454" i="297" s="1"/>
  <c r="M194" i="297"/>
  <c r="O194" i="297" s="1"/>
  <c r="M232" i="297"/>
  <c r="O232" i="297" s="1"/>
  <c r="M229" i="297"/>
  <c r="O229" i="297" s="1"/>
  <c r="M502" i="297"/>
  <c r="O502" i="297" s="1"/>
  <c r="M124" i="297"/>
  <c r="O124" i="297" s="1"/>
  <c r="M486" i="297"/>
  <c r="O486" i="297" s="1"/>
  <c r="M353" i="297"/>
  <c r="O353" i="297" s="1"/>
  <c r="M385" i="297"/>
  <c r="O385" i="297" s="1"/>
  <c r="M501" i="297"/>
  <c r="O501" i="297" s="1"/>
  <c r="M71" i="297"/>
  <c r="O71" i="297" s="1"/>
  <c r="M441" i="297"/>
  <c r="O441" i="297" s="1"/>
  <c r="M213" i="297"/>
  <c r="O213" i="297" s="1"/>
  <c r="M271" i="297"/>
  <c r="O271" i="297" s="1"/>
  <c r="M234" i="297"/>
  <c r="O234" i="297" s="1"/>
  <c r="M427" i="297"/>
  <c r="O427" i="297" s="1"/>
  <c r="M472" i="297"/>
  <c r="O472" i="297" s="1"/>
  <c r="M355" i="297"/>
  <c r="O355" i="297" s="1"/>
  <c r="M273" i="297"/>
  <c r="O273" i="297" s="1"/>
  <c r="M481" i="297"/>
  <c r="O481" i="297" s="1"/>
  <c r="M452" i="297"/>
  <c r="O452" i="297" s="1"/>
  <c r="M327" i="297"/>
  <c r="O327" i="297" s="1"/>
  <c r="M200" i="297"/>
  <c r="O200" i="297" s="1"/>
  <c r="M90" i="297"/>
  <c r="O90" i="297" s="1"/>
  <c r="M177" i="297"/>
  <c r="O177" i="297" s="1"/>
  <c r="M438" i="297"/>
  <c r="O438" i="297" s="1"/>
  <c r="M431" i="297"/>
  <c r="O431" i="297" s="1"/>
  <c r="M145" i="297"/>
  <c r="O145" i="297" s="1"/>
  <c r="M296" i="297"/>
  <c r="O296" i="297" s="1"/>
  <c r="M421" i="297"/>
  <c r="O421" i="297" s="1"/>
  <c r="M411" i="297"/>
  <c r="O411" i="297" s="1"/>
  <c r="M84" i="297"/>
  <c r="O84" i="297" s="1"/>
  <c r="M188" i="297"/>
  <c r="O188" i="297" s="1"/>
  <c r="M47" i="297"/>
  <c r="O47" i="297" s="1"/>
  <c r="M45" i="297"/>
  <c r="O45" i="297" s="1"/>
  <c r="M308" i="297"/>
  <c r="O308" i="297" s="1"/>
  <c r="M119" i="297"/>
  <c r="O119" i="297" s="1"/>
  <c r="M455" i="297"/>
  <c r="O455" i="297" s="1"/>
  <c r="M420" i="297"/>
  <c r="O420" i="297" s="1"/>
  <c r="M86" i="297"/>
  <c r="O86" i="297" s="1"/>
  <c r="M253" i="297"/>
  <c r="O253" i="297" s="1"/>
  <c r="M465" i="297"/>
  <c r="O465" i="297" s="1"/>
  <c r="M123" i="297"/>
  <c r="O123" i="297" s="1"/>
  <c r="M487" i="297"/>
  <c r="O487" i="297" s="1"/>
  <c r="M189" i="297"/>
  <c r="O189" i="297" s="1"/>
  <c r="M100" i="297"/>
  <c r="O100" i="297" s="1"/>
  <c r="M67" i="297"/>
  <c r="O67" i="297" s="1"/>
  <c r="M373" i="297"/>
  <c r="O373" i="297" s="1"/>
  <c r="M397" i="297"/>
  <c r="O397" i="297" s="1"/>
  <c r="M377" i="297"/>
  <c r="O377" i="297" s="1"/>
  <c r="M216" i="297"/>
  <c r="O216" i="297" s="1"/>
  <c r="M267" i="297"/>
  <c r="O267" i="297" s="1"/>
  <c r="M399" i="297"/>
  <c r="O399" i="297" s="1"/>
  <c r="M365" i="297"/>
  <c r="O365" i="297" s="1"/>
  <c r="M37" i="297"/>
  <c r="O37" i="297" s="1"/>
  <c r="M196" i="297"/>
  <c r="O196" i="297" s="1"/>
  <c r="M98" i="297"/>
  <c r="O98" i="297" s="1"/>
  <c r="M380" i="297"/>
  <c r="O380" i="297" s="1"/>
  <c r="M375" i="297"/>
  <c r="O375" i="297" s="1"/>
  <c r="M467" i="297"/>
  <c r="O467" i="297" s="1"/>
  <c r="M485" i="297"/>
  <c r="O485" i="297" s="1"/>
  <c r="M414" i="297"/>
  <c r="O414" i="297" s="1"/>
  <c r="M417" i="297"/>
  <c r="O417" i="297" s="1"/>
  <c r="M174" i="297"/>
  <c r="O174" i="297" s="1"/>
  <c r="M286" i="297"/>
  <c r="O286" i="297" s="1"/>
  <c r="M82" i="297"/>
  <c r="O82" i="297" s="1"/>
  <c r="M336" i="297"/>
  <c r="O336" i="297" s="1"/>
  <c r="M108" i="297"/>
  <c r="O108" i="297" s="1"/>
  <c r="M127" i="297"/>
  <c r="O127" i="297" s="1"/>
  <c r="M165" i="297"/>
  <c r="O165" i="297" s="1"/>
  <c r="M300" i="297"/>
  <c r="O300" i="297" s="1"/>
  <c r="M382" i="297"/>
  <c r="O382" i="297" s="1"/>
  <c r="M74" i="297"/>
  <c r="O74" i="297" s="1"/>
  <c r="M50" i="297"/>
  <c r="O50" i="297" s="1"/>
  <c r="M357" i="297"/>
  <c r="O357" i="297" s="1"/>
  <c r="M318" i="297"/>
  <c r="O318" i="297" s="1"/>
  <c r="M183" i="297"/>
  <c r="O183" i="297" s="1"/>
  <c r="M87" i="297"/>
  <c r="O87" i="297" s="1"/>
  <c r="M72" i="297"/>
  <c r="O72" i="297" s="1"/>
  <c r="M393" i="297"/>
  <c r="O393" i="297" s="1"/>
  <c r="M391" i="297"/>
  <c r="O391" i="297" s="1"/>
  <c r="M146" i="297"/>
  <c r="O146" i="297" s="1"/>
  <c r="M49" i="297"/>
  <c r="O49" i="297" s="1"/>
  <c r="M435" i="297"/>
  <c r="O435" i="297" s="1"/>
  <c r="M68" i="297"/>
  <c r="O68" i="297" s="1"/>
  <c r="M440" i="297"/>
  <c r="O440" i="297" s="1"/>
  <c r="M278" i="297"/>
  <c r="O278" i="297" s="1"/>
  <c r="M239" i="297"/>
  <c r="O239" i="297" s="1"/>
  <c r="M163" i="297"/>
  <c r="O163" i="297" s="1"/>
  <c r="M69" i="297"/>
  <c r="O69" i="297" s="1"/>
  <c r="M180" i="297"/>
  <c r="O180" i="297" s="1"/>
  <c r="M242" i="297"/>
  <c r="O242" i="297" s="1"/>
  <c r="M204" i="297"/>
  <c r="O204" i="297" s="1"/>
  <c r="M445" i="297"/>
  <c r="O445" i="297" s="1"/>
  <c r="M447" i="297"/>
  <c r="O447" i="297" s="1"/>
  <c r="M335" i="297"/>
  <c r="O335" i="297" s="1"/>
  <c r="M235" i="297"/>
  <c r="O235" i="297" s="1"/>
  <c r="M299" i="297"/>
  <c r="O299" i="297" s="1"/>
  <c r="M88" i="297"/>
  <c r="O88" i="297" s="1"/>
  <c r="M228" i="297"/>
  <c r="O228" i="297" s="1"/>
  <c r="M331" i="297"/>
  <c r="O331" i="297" s="1"/>
  <c r="M243" i="297"/>
  <c r="O243" i="297" s="1"/>
  <c r="M405" i="297"/>
  <c r="O405" i="297" s="1"/>
  <c r="M218" i="297"/>
  <c r="O218" i="297" s="1"/>
  <c r="M367" i="297"/>
  <c r="O367" i="297" s="1"/>
  <c r="M149" i="297"/>
  <c r="O149" i="297" s="1"/>
  <c r="M508" i="297"/>
  <c r="O508" i="297" s="1"/>
  <c r="M368" i="297"/>
  <c r="O368" i="297" s="1"/>
  <c r="M151" i="297"/>
  <c r="O151" i="297" s="1"/>
  <c r="M78" i="297"/>
  <c r="O78" i="297" s="1"/>
  <c r="M416" i="297"/>
  <c r="O416" i="297" s="1"/>
  <c r="M52" i="297"/>
  <c r="O52" i="297" s="1"/>
  <c r="M85" i="297"/>
  <c r="O85" i="297" s="1"/>
  <c r="T101" i="180"/>
  <c r="K108" i="180"/>
  <c r="L108" i="180" s="1"/>
  <c r="U89" i="180"/>
  <c r="P91" i="293" s="1" a="1"/>
  <c r="P91" i="293" s="1"/>
  <c r="J104" i="180"/>
  <c r="J106" i="293" s="1" a="1"/>
  <c r="J106" i="293" s="1"/>
  <c r="T106" i="180"/>
  <c r="D38" i="308" a="1"/>
  <c r="D38" i="308" s="1"/>
  <c r="E38" i="308" s="1"/>
  <c r="D22" i="308" a="1"/>
  <c r="D22" i="308" s="1"/>
  <c r="E22" i="308" s="1"/>
  <c r="M370" i="297"/>
  <c r="O370" i="297" s="1"/>
  <c r="T94" i="180"/>
  <c r="K107" i="180"/>
  <c r="J17" i="180"/>
  <c r="J20" i="293" s="1" a="1"/>
  <c r="J20" i="293" s="1"/>
  <c r="K101" i="180"/>
  <c r="L101" i="180" s="1"/>
  <c r="J107" i="180"/>
  <c r="J109" i="293" s="1" a="1"/>
  <c r="J109" i="293" s="1"/>
  <c r="K90" i="180"/>
  <c r="L90" i="180" s="1"/>
  <c r="K103" i="180"/>
  <c r="K105" i="293" s="1" a="1"/>
  <c r="K105" i="293" s="1"/>
  <c r="K96" i="180"/>
  <c r="L96" i="180" s="1"/>
  <c r="T17" i="180"/>
  <c r="K102" i="180"/>
  <c r="J98" i="180"/>
  <c r="J100" i="293" s="1" a="1"/>
  <c r="J100" i="293" s="1"/>
  <c r="D26" i="307" a="1"/>
  <c r="D26" i="307" s="1"/>
  <c r="E19" i="297"/>
  <c r="M158" i="297"/>
  <c r="O158" i="297" s="1"/>
  <c r="M223" i="297"/>
  <c r="O223" i="297" s="1"/>
  <c r="M105" i="297"/>
  <c r="O105" i="297" s="1"/>
  <c r="M362" i="297"/>
  <c r="O362" i="297" s="1"/>
  <c r="M205" i="297"/>
  <c r="O205" i="297" s="1"/>
  <c r="M118" i="297"/>
  <c r="O118" i="297" s="1"/>
  <c r="M42" i="297"/>
  <c r="O42" i="297" s="1"/>
  <c r="M265" i="297"/>
  <c r="O265" i="297" s="1"/>
  <c r="M407" i="297"/>
  <c r="O407" i="297" s="1"/>
  <c r="M141" i="297"/>
  <c r="O141" i="297" s="1"/>
  <c r="M254" i="297"/>
  <c r="O254" i="297" s="1"/>
  <c r="M511" i="297"/>
  <c r="O511" i="297" s="1"/>
  <c r="M302" i="297"/>
  <c r="O302" i="297" s="1"/>
  <c r="M474" i="297"/>
  <c r="O474" i="297" s="1"/>
  <c r="M138" i="297"/>
  <c r="O138" i="297" s="1"/>
  <c r="M340" i="297"/>
  <c r="O340" i="297" s="1"/>
  <c r="M288" i="297"/>
  <c r="O288" i="297" s="1"/>
  <c r="D34" i="308" a="1"/>
  <c r="D34" i="308" s="1"/>
  <c r="E34" i="308" s="1"/>
  <c r="D46" i="307" a="1"/>
  <c r="D46" i="307" s="1"/>
  <c r="E46" i="307" s="1"/>
  <c r="D58" i="307" a="1"/>
  <c r="D58" i="307" s="1"/>
  <c r="E58" i="307" s="1"/>
  <c r="D22" i="307" a="1"/>
  <c r="D22" i="307" s="1"/>
  <c r="E22" i="307" s="1"/>
  <c r="D38" i="307" a="1"/>
  <c r="D38" i="307" s="1"/>
  <c r="E38" i="307" s="1"/>
  <c r="D42" i="307" a="1"/>
  <c r="D42" i="307" s="1"/>
  <c r="E42" i="307" s="1"/>
  <c r="D34" i="307" a="1"/>
  <c r="D34" i="307" s="1"/>
  <c r="E34" i="307" s="1"/>
  <c r="D19" i="297"/>
  <c r="D54" i="307" a="1"/>
  <c r="D54" i="307" s="1"/>
  <c r="E54" i="307" s="1"/>
  <c r="D18" i="307" a="1"/>
  <c r="D18" i="307" s="1"/>
  <c r="E18" i="307" s="1"/>
  <c r="M70" i="297"/>
  <c r="O70" i="297" s="1"/>
  <c r="M311" i="297"/>
  <c r="O311" i="297" s="1"/>
  <c r="M395" i="297"/>
  <c r="O395" i="297" s="1"/>
  <c r="M292" i="297"/>
  <c r="O292" i="297" s="1"/>
  <c r="M261" i="297"/>
  <c r="O261" i="297" s="1"/>
  <c r="M328" i="297"/>
  <c r="O328" i="297" s="1"/>
  <c r="M93" i="297"/>
  <c r="O93" i="297" s="1"/>
  <c r="M321" i="297"/>
  <c r="O321" i="297" s="1"/>
  <c r="M482" i="297"/>
  <c r="O482" i="297" s="1"/>
  <c r="M428" i="297"/>
  <c r="O428" i="297" s="1"/>
  <c r="M131" i="297"/>
  <c r="O131" i="297" s="1"/>
  <c r="M187" i="297"/>
  <c r="O187" i="297" s="1"/>
  <c r="M104" i="297"/>
  <c r="O104" i="297" s="1"/>
  <c r="M469" i="297"/>
  <c r="O469" i="297" s="1"/>
  <c r="M112" i="297"/>
  <c r="O112" i="297" s="1"/>
  <c r="M443" i="297"/>
  <c r="O443" i="297" s="1"/>
  <c r="T93" i="180"/>
  <c r="U93" i="180"/>
  <c r="P95" i="293" s="1" a="1"/>
  <c r="P95" i="293" s="1"/>
  <c r="U91" i="180"/>
  <c r="P93" i="293" s="1" a="1"/>
  <c r="P93" i="293" s="1"/>
  <c r="K106" i="180"/>
  <c r="K108" i="293" s="1" a="1"/>
  <c r="K108" i="293" s="1"/>
  <c r="T90" i="180"/>
  <c r="U94" i="180"/>
  <c r="P96" i="293" s="1" a="1"/>
  <c r="P96" i="293" s="1"/>
  <c r="J93" i="180"/>
  <c r="J95" i="293" s="1" a="1"/>
  <c r="J95" i="293" s="1"/>
  <c r="K104" i="180"/>
  <c r="L104" i="180" s="1"/>
  <c r="J95" i="180"/>
  <c r="J97" i="293" s="1" a="1"/>
  <c r="J97" i="293" s="1"/>
  <c r="J91" i="180"/>
  <c r="J93" i="293" s="1" a="1"/>
  <c r="J93" i="293" s="1"/>
  <c r="U99" i="180"/>
  <c r="P101" i="293" s="1" a="1"/>
  <c r="P101" i="293" s="1"/>
  <c r="U101" i="180"/>
  <c r="P103" i="293" s="1" a="1"/>
  <c r="P103" i="293" s="1"/>
  <c r="T98" i="180"/>
  <c r="J92" i="180"/>
  <c r="J94" i="293" s="1" a="1"/>
  <c r="J94" i="293" s="1"/>
  <c r="K94" i="180"/>
  <c r="K96" i="293" s="1" a="1"/>
  <c r="K96" i="293" s="1"/>
  <c r="U95" i="180"/>
  <c r="P97" i="293" s="1" a="1"/>
  <c r="P97" i="293" s="1"/>
  <c r="J97" i="180"/>
  <c r="J99" i="293" s="1" a="1"/>
  <c r="J99" i="293" s="1"/>
  <c r="T96" i="180"/>
  <c r="K100" i="180"/>
  <c r="L100" i="180" s="1"/>
  <c r="T100" i="180"/>
  <c r="J94" i="180"/>
  <c r="J96" i="293" s="1" a="1"/>
  <c r="J96" i="293" s="1"/>
  <c r="T102" i="180"/>
  <c r="K99" i="180"/>
  <c r="L99" i="180" s="1"/>
  <c r="K89" i="180"/>
  <c r="K91" i="293" s="1" a="1"/>
  <c r="K91" i="293" s="1"/>
  <c r="K93" i="180"/>
  <c r="K95" i="293" s="1" a="1"/>
  <c r="K95" i="293" s="1"/>
  <c r="K91" i="180"/>
  <c r="K92" i="180"/>
  <c r="K94" i="293" s="1" a="1"/>
  <c r="K94" i="293" s="1"/>
  <c r="K97" i="180"/>
  <c r="K99" i="293" s="1" a="1"/>
  <c r="K99" i="293" s="1"/>
  <c r="T107" i="180"/>
  <c r="U103" i="180"/>
  <c r="P105" i="293" s="1" a="1"/>
  <c r="P105" i="293" s="1"/>
  <c r="U105" i="180"/>
  <c r="P107" i="293" s="1" a="1"/>
  <c r="P107" i="293" s="1"/>
  <c r="U90" i="180"/>
  <c r="P92" i="293" s="1" a="1"/>
  <c r="P92" i="293" s="1"/>
  <c r="T105" i="180"/>
  <c r="T89" i="180"/>
  <c r="J89" i="180"/>
  <c r="J91" i="293" s="1" a="1"/>
  <c r="J91" i="293" s="1"/>
  <c r="T104" i="180"/>
  <c r="K105" i="180"/>
  <c r="L105" i="180" s="1"/>
  <c r="U92" i="180"/>
  <c r="P94" i="293" s="1" a="1"/>
  <c r="P94" i="293" s="1"/>
  <c r="T95" i="180"/>
  <c r="U96" i="180"/>
  <c r="P98" i="293" s="1" a="1"/>
  <c r="P98" i="293" s="1"/>
  <c r="T92" i="180"/>
  <c r="U97" i="180"/>
  <c r="P99" i="293" s="1" a="1"/>
  <c r="P99" i="293" s="1"/>
  <c r="T91" i="180"/>
  <c r="J100" i="180"/>
  <c r="J102" i="293" s="1" a="1"/>
  <c r="J102" i="293" s="1"/>
  <c r="U108" i="180"/>
  <c r="P110" i="293" s="1" a="1"/>
  <c r="P110" i="293" s="1"/>
  <c r="U100" i="180"/>
  <c r="P102" i="293" s="1" a="1"/>
  <c r="P102" i="293" s="1"/>
  <c r="U106" i="180"/>
  <c r="P108" i="293" s="1" a="1"/>
  <c r="P108" i="293" s="1"/>
  <c r="K95" i="180"/>
  <c r="K97" i="293" s="1" a="1"/>
  <c r="K97" i="293" s="1"/>
  <c r="J101" i="180"/>
  <c r="J103" i="293" s="1" a="1"/>
  <c r="J103" i="293" s="1"/>
  <c r="J96" i="180"/>
  <c r="J98" i="293" s="1" a="1"/>
  <c r="J98" i="293" s="1"/>
  <c r="U102" i="180"/>
  <c r="P104" i="293" s="1" a="1"/>
  <c r="P104" i="293" s="1"/>
  <c r="U104" i="180"/>
  <c r="P106" i="293" s="1" a="1"/>
  <c r="P106" i="293" s="1"/>
  <c r="J99" i="180"/>
  <c r="J101" i="293" s="1" a="1"/>
  <c r="J101" i="293" s="1"/>
  <c r="J106" i="180"/>
  <c r="J108" i="293" s="1" a="1"/>
  <c r="J108" i="293" s="1"/>
  <c r="J103" i="180"/>
  <c r="J105" i="293" s="1" a="1"/>
  <c r="J105" i="293" s="1"/>
  <c r="T97" i="180"/>
  <c r="J105" i="180"/>
  <c r="J107" i="293" s="1" a="1"/>
  <c r="J107" i="293" s="1"/>
  <c r="T103" i="180"/>
  <c r="U17" i="180"/>
  <c r="P20" i="293" s="1" a="1"/>
  <c r="P20" i="293" s="1"/>
  <c r="J108" i="180"/>
  <c r="J110" i="293" s="1" a="1"/>
  <c r="J110" i="293" s="1"/>
  <c r="T99" i="180"/>
  <c r="K98" i="180"/>
  <c r="K100" i="293" s="1" a="1"/>
  <c r="K100" i="293" s="1"/>
  <c r="U107" i="180"/>
  <c r="P109" i="293" s="1" a="1"/>
  <c r="P109" i="293" s="1"/>
  <c r="J102" i="180"/>
  <c r="J104" i="293" s="1" a="1"/>
  <c r="J104" i="293" s="1"/>
  <c r="T108" i="180"/>
  <c r="U98" i="180"/>
  <c r="P100" i="293" s="1" a="1"/>
  <c r="P100" i="293" s="1"/>
  <c r="J90" i="180"/>
  <c r="J92" i="293" s="1" a="1"/>
  <c r="J92" i="293" s="1"/>
  <c r="G38" i="308"/>
  <c r="D30" i="307" a="1"/>
  <c r="D30" i="307" s="1"/>
  <c r="E30" i="307" s="1"/>
  <c r="D18" i="308" a="1"/>
  <c r="D18" i="308" s="1"/>
  <c r="G24" i="308"/>
  <c r="D50" i="307" a="1"/>
  <c r="D50" i="307" s="1"/>
  <c r="E50" i="307" s="1"/>
  <c r="D42" i="308" a="1"/>
  <c r="D42" i="308" s="1"/>
  <c r="E42" i="308" s="1"/>
  <c r="G30" i="308"/>
  <c r="D26" i="308" a="1"/>
  <c r="D26" i="308" s="1"/>
  <c r="E26" i="308" s="1"/>
  <c r="G20" i="307"/>
  <c r="D50" i="308" a="1"/>
  <c r="D50" i="308" s="1"/>
  <c r="E50" i="308" s="1"/>
  <c r="G36" i="307"/>
  <c r="D46" i="308" a="1"/>
  <c r="D46" i="308" s="1"/>
  <c r="E27" i="308"/>
  <c r="D30" i="308" a="1"/>
  <c r="D30" i="308" s="1"/>
  <c r="E30" i="308" s="1"/>
  <c r="E44" i="307"/>
  <c r="L63" i="293" a="1"/>
  <c r="L63" i="293" s="1"/>
  <c r="G44" i="308"/>
  <c r="G36" i="308"/>
  <c r="G46" i="308"/>
  <c r="E59" i="307"/>
  <c r="P103" i="180"/>
  <c r="O17" i="180"/>
  <c r="P108" i="180"/>
  <c r="Y108" i="180" s="1"/>
  <c r="R110" i="293" s="1" a="1"/>
  <c r="R110" i="293" s="1"/>
  <c r="V108" i="180"/>
  <c r="V98" i="180"/>
  <c r="P89" i="180"/>
  <c r="W100" i="180"/>
  <c r="Q102" i="293" s="1" a="1"/>
  <c r="Q102" i="293" s="1"/>
  <c r="V101" i="180"/>
  <c r="W97" i="180"/>
  <c r="Q99" i="293" s="1" a="1"/>
  <c r="Q99" i="293" s="1"/>
  <c r="P17" i="180"/>
  <c r="O98" i="180"/>
  <c r="N100" i="293" s="1" a="1"/>
  <c r="N100" i="293" s="1"/>
  <c r="W106" i="180"/>
  <c r="Q108" i="293" s="1" a="1"/>
  <c r="Q108" i="293" s="1"/>
  <c r="W104" i="180"/>
  <c r="Q106" i="293" s="1" a="1"/>
  <c r="Q106" i="293" s="1"/>
  <c r="V92" i="180"/>
  <c r="O105" i="180"/>
  <c r="N107" i="293" s="1" a="1"/>
  <c r="N107" i="293" s="1"/>
  <c r="V107" i="180"/>
  <c r="W93" i="180"/>
  <c r="Q95" i="293" s="1" a="1"/>
  <c r="Q95" i="293" s="1"/>
  <c r="P101" i="180"/>
  <c r="P100" i="180"/>
  <c r="P99" i="180"/>
  <c r="W96" i="180"/>
  <c r="Q98" i="293" s="1" a="1"/>
  <c r="Q98" i="293" s="1"/>
  <c r="O91" i="180"/>
  <c r="N93" i="293" s="1" a="1"/>
  <c r="N93" i="293" s="1"/>
  <c r="V17" i="180"/>
  <c r="W107" i="180"/>
  <c r="Q109" i="293" s="1" a="1"/>
  <c r="Q109" i="293" s="1"/>
  <c r="O107" i="180"/>
  <c r="N109" i="293" s="1" a="1"/>
  <c r="N109" i="293" s="1"/>
  <c r="P96" i="180"/>
  <c r="P94" i="180"/>
  <c r="V100" i="180"/>
  <c r="V99" i="180"/>
  <c r="V97" i="180"/>
  <c r="P97" i="180"/>
  <c r="V102" i="180"/>
  <c r="W89" i="180"/>
  <c r="Q91" i="293" s="1" a="1"/>
  <c r="Q91" i="293" s="1"/>
  <c r="V91" i="180"/>
  <c r="P92" i="180"/>
  <c r="W92" i="180"/>
  <c r="Q94" i="293" s="1" a="1"/>
  <c r="Q94" i="293" s="1"/>
  <c r="W98" i="180"/>
  <c r="Q100" i="293" s="1" a="1"/>
  <c r="Q100" i="293" s="1"/>
  <c r="O104" i="180"/>
  <c r="N106" i="293" s="1" a="1"/>
  <c r="N106" i="293" s="1"/>
  <c r="O99" i="180"/>
  <c r="N101" i="293" s="1" a="1"/>
  <c r="N101" i="293" s="1"/>
  <c r="O97" i="180"/>
  <c r="N99" i="293" s="1" a="1"/>
  <c r="N99" i="293" s="1"/>
  <c r="W90" i="180"/>
  <c r="Q92" i="293" s="1" a="1"/>
  <c r="Q92" i="293" s="1"/>
  <c r="O89" i="180"/>
  <c r="N91" i="293" s="1" a="1"/>
  <c r="N91" i="293" s="1"/>
  <c r="O96" i="180"/>
  <c r="N98" i="293" s="1" a="1"/>
  <c r="N98" i="293" s="1"/>
  <c r="O106" i="180"/>
  <c r="N108" i="293" s="1" a="1"/>
  <c r="N108" i="293" s="1"/>
  <c r="O100" i="180"/>
  <c r="N102" i="293" s="1" a="1"/>
  <c r="N102" i="293" s="1"/>
  <c r="V89" i="180"/>
  <c r="O103" i="180"/>
  <c r="N105" i="293" s="1" a="1"/>
  <c r="N105" i="293" s="1"/>
  <c r="V106" i="180"/>
  <c r="P106" i="180"/>
  <c r="W103" i="180"/>
  <c r="Q105" i="293" s="1" a="1"/>
  <c r="Q105" i="293" s="1"/>
  <c r="O101" i="180"/>
  <c r="N103" i="293" s="1" a="1"/>
  <c r="N103" i="293" s="1"/>
  <c r="V104" i="180"/>
  <c r="O90" i="180"/>
  <c r="N92" i="293" s="1" a="1"/>
  <c r="N92" i="293" s="1"/>
  <c r="W108" i="180"/>
  <c r="Q110" i="293" s="1" a="1"/>
  <c r="Q110" i="293" s="1"/>
  <c r="O93" i="180"/>
  <c r="N95" i="293" s="1" a="1"/>
  <c r="N95" i="293" s="1"/>
  <c r="O102" i="180"/>
  <c r="N104" i="293" s="1" a="1"/>
  <c r="N104" i="293" s="1"/>
  <c r="P107" i="180"/>
  <c r="Y107" i="180" s="1"/>
  <c r="R109" i="293" s="1" a="1"/>
  <c r="R109" i="293" s="1"/>
  <c r="W17" i="180"/>
  <c r="Q20" i="293" s="1" a="1"/>
  <c r="Q20" i="293" s="1"/>
  <c r="W105" i="180"/>
  <c r="Q107" i="293" s="1" a="1"/>
  <c r="Q107" i="293" s="1"/>
  <c r="V94" i="180"/>
  <c r="P95" i="180"/>
  <c r="P93" i="180"/>
  <c r="P102" i="180"/>
  <c r="O94" i="180"/>
  <c r="N96" i="293" s="1" a="1"/>
  <c r="N96" i="293" s="1"/>
  <c r="V105" i="180"/>
  <c r="V95" i="180"/>
  <c r="V103" i="180"/>
  <c r="P105" i="180"/>
  <c r="O95" i="180"/>
  <c r="N97" i="293" s="1" a="1"/>
  <c r="N97" i="293" s="1"/>
  <c r="P91" i="180"/>
  <c r="W101" i="180"/>
  <c r="Q103" i="293" s="1" a="1"/>
  <c r="Q103" i="293" s="1"/>
  <c r="P98" i="180"/>
  <c r="P90" i="180"/>
  <c r="K103" i="293" a="1"/>
  <c r="K103" i="293" s="1"/>
  <c r="K302" i="298"/>
  <c r="O302" i="298" s="1"/>
  <c r="P302" i="298" s="1"/>
  <c r="K192" i="298"/>
  <c r="O192" i="298" s="1"/>
  <c r="P192" i="298" s="1"/>
  <c r="K261" i="298"/>
  <c r="O261" i="298" s="1"/>
  <c r="P261" i="298" s="1"/>
  <c r="K166" i="298"/>
  <c r="O166" i="298" s="1"/>
  <c r="P166" i="298" s="1"/>
  <c r="K178" i="298"/>
  <c r="O178" i="298" s="1"/>
  <c r="P178" i="298" s="1"/>
  <c r="K284" i="298"/>
  <c r="O284" i="298" s="1"/>
  <c r="P284" i="298" s="1"/>
  <c r="K180" i="298"/>
  <c r="O180" i="298" s="1"/>
  <c r="P180" i="298" s="1"/>
  <c r="K161" i="298"/>
  <c r="O161" i="298" s="1"/>
  <c r="P161" i="298" s="1"/>
  <c r="K268" i="298"/>
  <c r="O268" i="298" s="1"/>
  <c r="P268" i="298" s="1"/>
  <c r="K131" i="298"/>
  <c r="O131" i="298" s="1"/>
  <c r="P131" i="298" s="1"/>
  <c r="K275" i="298"/>
  <c r="O275" i="298" s="1"/>
  <c r="P275" i="298" s="1"/>
  <c r="K437" i="298"/>
  <c r="O437" i="298" s="1"/>
  <c r="P437" i="298" s="1"/>
  <c r="K213" i="298"/>
  <c r="O213" i="298" s="1"/>
  <c r="P213" i="298" s="1"/>
  <c r="K501" i="298"/>
  <c r="O501" i="298" s="1"/>
  <c r="P501" i="298" s="1"/>
  <c r="K244" i="298"/>
  <c r="O244" i="298" s="1"/>
  <c r="P244" i="298" s="1"/>
  <c r="K477" i="298"/>
  <c r="O477" i="298" s="1"/>
  <c r="P477" i="298" s="1"/>
  <c r="K154" i="298"/>
  <c r="O154" i="298" s="1"/>
  <c r="P154" i="298" s="1"/>
  <c r="K91" i="298"/>
  <c r="O91" i="298" s="1"/>
  <c r="P91" i="298" s="1"/>
  <c r="K380" i="298"/>
  <c r="O380" i="298" s="1"/>
  <c r="P380" i="298" s="1"/>
  <c r="K250" i="298"/>
  <c r="O250" i="298" s="1"/>
  <c r="P250" i="298" s="1"/>
  <c r="K332" i="298"/>
  <c r="O332" i="298" s="1"/>
  <c r="P332" i="298" s="1"/>
  <c r="K500" i="298"/>
  <c r="O500" i="298" s="1"/>
  <c r="P500" i="298" s="1"/>
  <c r="K361" i="298"/>
  <c r="O361" i="298" s="1"/>
  <c r="P361" i="298" s="1"/>
  <c r="K436" i="298"/>
  <c r="O436" i="298" s="1"/>
  <c r="P436" i="298" s="1"/>
  <c r="K296" i="298"/>
  <c r="O296" i="298" s="1"/>
  <c r="P296" i="298" s="1"/>
  <c r="K44" i="298"/>
  <c r="O44" i="298" s="1"/>
  <c r="P44" i="298" s="1"/>
  <c r="K467" i="298"/>
  <c r="O467" i="298" s="1"/>
  <c r="P467" i="298" s="1"/>
  <c r="K33" i="298"/>
  <c r="O33" i="298" s="1"/>
  <c r="P33" i="298" s="1"/>
  <c r="K334" i="298"/>
  <c r="O334" i="298" s="1"/>
  <c r="P334" i="298" s="1"/>
  <c r="K232" i="298"/>
  <c r="O232" i="298" s="1"/>
  <c r="P232" i="298" s="1"/>
  <c r="K347" i="298"/>
  <c r="O347" i="298" s="1"/>
  <c r="P347" i="298" s="1"/>
  <c r="K435" i="298"/>
  <c r="O435" i="298" s="1"/>
  <c r="P435" i="298" s="1"/>
  <c r="K396" i="298"/>
  <c r="O396" i="298" s="1"/>
  <c r="P396" i="298" s="1"/>
  <c r="K174" i="298"/>
  <c r="O174" i="298" s="1"/>
  <c r="P174" i="298" s="1"/>
  <c r="K227" i="298"/>
  <c r="O227" i="298" s="1"/>
  <c r="P227" i="298" s="1"/>
  <c r="K230" i="298"/>
  <c r="O230" i="298" s="1"/>
  <c r="P230" i="298" s="1"/>
  <c r="K386" i="298"/>
  <c r="O386" i="298" s="1"/>
  <c r="P386" i="298" s="1"/>
  <c r="K57" i="298"/>
  <c r="O57" i="298" s="1"/>
  <c r="P57" i="298" s="1"/>
  <c r="K127" i="298"/>
  <c r="O127" i="298" s="1"/>
  <c r="P127" i="298" s="1"/>
  <c r="K212" i="298"/>
  <c r="O212" i="298" s="1"/>
  <c r="P212" i="298" s="1"/>
  <c r="K206" i="298"/>
  <c r="O206" i="298" s="1"/>
  <c r="P206" i="298" s="1"/>
  <c r="K71" i="298"/>
  <c r="O71" i="298" s="1"/>
  <c r="P71" i="298" s="1"/>
  <c r="K189" i="298"/>
  <c r="O189" i="298" s="1"/>
  <c r="P189" i="298" s="1"/>
  <c r="K434" i="298"/>
  <c r="O434" i="298" s="1"/>
  <c r="P434" i="298" s="1"/>
  <c r="K419" i="298"/>
  <c r="O419" i="298" s="1"/>
  <c r="P419" i="298" s="1"/>
  <c r="K177" i="298"/>
  <c r="O177" i="298" s="1"/>
  <c r="P177" i="298" s="1"/>
  <c r="K150" i="298"/>
  <c r="O150" i="298" s="1"/>
  <c r="P150" i="298" s="1"/>
  <c r="K246" i="298"/>
  <c r="O246" i="298" s="1"/>
  <c r="P246" i="298" s="1"/>
  <c r="K209" i="298"/>
  <c r="O209" i="298" s="1"/>
  <c r="P209" i="298" s="1"/>
  <c r="K403" i="298"/>
  <c r="O403" i="298" s="1"/>
  <c r="P403" i="298" s="1"/>
  <c r="K329" i="298"/>
  <c r="O329" i="298" s="1"/>
  <c r="P329" i="298" s="1"/>
  <c r="K508" i="298"/>
  <c r="O508" i="298" s="1"/>
  <c r="P508" i="298" s="1"/>
  <c r="K420" i="298"/>
  <c r="O420" i="298" s="1"/>
  <c r="P420" i="298" s="1"/>
  <c r="K300" i="298"/>
  <c r="O300" i="298" s="1"/>
  <c r="P300" i="298" s="1"/>
  <c r="K293" i="298"/>
  <c r="O293" i="298" s="1"/>
  <c r="P293" i="298" s="1"/>
  <c r="K144" i="298"/>
  <c r="O144" i="298" s="1"/>
  <c r="P144" i="298" s="1"/>
  <c r="K40" i="298"/>
  <c r="O40" i="298" s="1"/>
  <c r="P40" i="298" s="1"/>
  <c r="K325" i="298"/>
  <c r="O325" i="298" s="1"/>
  <c r="P325" i="298" s="1"/>
  <c r="K346" i="298"/>
  <c r="O346" i="298" s="1"/>
  <c r="P346" i="298" s="1"/>
  <c r="K251" i="298"/>
  <c r="O251" i="298" s="1"/>
  <c r="P251" i="298" s="1"/>
  <c r="K471" i="298"/>
  <c r="O471" i="298" s="1"/>
  <c r="P471" i="298" s="1"/>
  <c r="K223" i="298"/>
  <c r="O223" i="298" s="1"/>
  <c r="P223" i="298" s="1"/>
  <c r="K431" i="298"/>
  <c r="O431" i="298" s="1"/>
  <c r="P431" i="298" s="1"/>
  <c r="K432" i="298"/>
  <c r="O432" i="298" s="1"/>
  <c r="P432" i="298" s="1"/>
  <c r="K87" i="298"/>
  <c r="O87" i="298" s="1"/>
  <c r="P87" i="298" s="1"/>
  <c r="K68" i="298"/>
  <c r="O68" i="298" s="1"/>
  <c r="P68" i="298" s="1"/>
  <c r="K267" i="298"/>
  <c r="O267" i="298" s="1"/>
  <c r="P267" i="298" s="1"/>
  <c r="K260" i="298"/>
  <c r="O260" i="298" s="1"/>
  <c r="P260" i="298" s="1"/>
  <c r="K287" i="298"/>
  <c r="O287" i="298" s="1"/>
  <c r="P287" i="298" s="1"/>
  <c r="K355" i="298"/>
  <c r="O355" i="298" s="1"/>
  <c r="P355" i="298" s="1"/>
  <c r="K173" i="298"/>
  <c r="O173" i="298" s="1"/>
  <c r="P173" i="298" s="1"/>
  <c r="K456" i="298"/>
  <c r="O456" i="298" s="1"/>
  <c r="P456" i="298" s="1"/>
  <c r="K350" i="298"/>
  <c r="O350" i="298" s="1"/>
  <c r="P350" i="298" s="1"/>
  <c r="K72" i="298"/>
  <c r="O72" i="298" s="1"/>
  <c r="P72" i="298" s="1"/>
  <c r="K257" i="298"/>
  <c r="O257" i="298" s="1"/>
  <c r="P257" i="298" s="1"/>
  <c r="K348" i="298"/>
  <c r="O348" i="298" s="1"/>
  <c r="P348" i="298" s="1"/>
  <c r="K468" i="298"/>
  <c r="O468" i="298" s="1"/>
  <c r="P468" i="298" s="1"/>
  <c r="K446" i="298"/>
  <c r="O446" i="298" s="1"/>
  <c r="P446" i="298" s="1"/>
  <c r="K413" i="298"/>
  <c r="O413" i="298" s="1"/>
  <c r="P413" i="298" s="1"/>
  <c r="K176" i="298"/>
  <c r="O176" i="298" s="1"/>
  <c r="P176" i="298" s="1"/>
  <c r="K36" i="298"/>
  <c r="O36" i="298" s="1"/>
  <c r="P36" i="298" s="1"/>
  <c r="K306" i="298"/>
  <c r="O306" i="298" s="1"/>
  <c r="P306" i="298" s="1"/>
  <c r="K310" i="298"/>
  <c r="O310" i="298" s="1"/>
  <c r="P310" i="298" s="1"/>
  <c r="K175" i="298"/>
  <c r="O175" i="298" s="1"/>
  <c r="P175" i="298" s="1"/>
  <c r="K191" i="298"/>
  <c r="O191" i="298" s="1"/>
  <c r="P191" i="298" s="1"/>
  <c r="K402" i="298"/>
  <c r="O402" i="298" s="1"/>
  <c r="P402" i="298" s="1"/>
  <c r="K426" i="298"/>
  <c r="O426" i="298" s="1"/>
  <c r="P426" i="298" s="1"/>
  <c r="K109" i="298"/>
  <c r="O109" i="298" s="1"/>
  <c r="P109" i="298" s="1"/>
  <c r="K409" i="298"/>
  <c r="O409" i="298" s="1"/>
  <c r="P409" i="298" s="1"/>
  <c r="K473" i="298"/>
  <c r="O473" i="298" s="1"/>
  <c r="P473" i="298" s="1"/>
  <c r="K105" i="298"/>
  <c r="O105" i="298" s="1"/>
  <c r="P105" i="298" s="1"/>
  <c r="K342" i="298"/>
  <c r="O342" i="298" s="1"/>
  <c r="P342" i="298" s="1"/>
  <c r="K64" i="298"/>
  <c r="O64" i="298" s="1"/>
  <c r="P64" i="298" s="1"/>
  <c r="K481" i="298"/>
  <c r="O481" i="298" s="1"/>
  <c r="P481" i="298" s="1"/>
  <c r="K58" i="298"/>
  <c r="O58" i="298" s="1"/>
  <c r="P58" i="298" s="1"/>
  <c r="K141" i="298"/>
  <c r="O141" i="298" s="1"/>
  <c r="P141" i="298" s="1"/>
  <c r="K312" i="298"/>
  <c r="O312" i="298" s="1"/>
  <c r="P312" i="298" s="1"/>
  <c r="K181" i="298"/>
  <c r="O181" i="298" s="1"/>
  <c r="P181" i="298" s="1"/>
  <c r="K115" i="298"/>
  <c r="O115" i="298" s="1"/>
  <c r="P115" i="298" s="1"/>
  <c r="K330" i="298"/>
  <c r="O330" i="298" s="1"/>
  <c r="P330" i="298" s="1"/>
  <c r="K457" i="298"/>
  <c r="O457" i="298" s="1"/>
  <c r="P457" i="298" s="1"/>
  <c r="K510" i="298"/>
  <c r="O510" i="298" s="1"/>
  <c r="P510" i="298" s="1"/>
  <c r="K203" i="298"/>
  <c r="O203" i="298" s="1"/>
  <c r="P203" i="298" s="1"/>
  <c r="K289" i="298"/>
  <c r="O289" i="298" s="1"/>
  <c r="P289" i="298" s="1"/>
  <c r="K238" i="298"/>
  <c r="O238" i="298" s="1"/>
  <c r="P238" i="298" s="1"/>
  <c r="K376" i="298"/>
  <c r="O376" i="298" s="1"/>
  <c r="P376" i="298" s="1"/>
  <c r="K462" i="298"/>
  <c r="O462" i="298" s="1"/>
  <c r="P462" i="298" s="1"/>
  <c r="K486" i="298"/>
  <c r="O486" i="298" s="1"/>
  <c r="P486" i="298" s="1"/>
  <c r="K277" i="298"/>
  <c r="O277" i="298" s="1"/>
  <c r="P277" i="298" s="1"/>
  <c r="K298" i="298"/>
  <c r="O298" i="298" s="1"/>
  <c r="P298" i="298" s="1"/>
  <c r="K39" i="298"/>
  <c r="O39" i="298" s="1"/>
  <c r="P39" i="298" s="1"/>
  <c r="K249" i="298"/>
  <c r="O249" i="298" s="1"/>
  <c r="P249" i="298" s="1"/>
  <c r="K171" i="298"/>
  <c r="O171" i="298" s="1"/>
  <c r="P171" i="298" s="1"/>
  <c r="K104" i="298"/>
  <c r="O104" i="298" s="1"/>
  <c r="P104" i="298" s="1"/>
  <c r="K210" i="298"/>
  <c r="O210" i="298" s="1"/>
  <c r="P210" i="298" s="1"/>
  <c r="K168" i="298"/>
  <c r="O168" i="298" s="1"/>
  <c r="P168" i="298" s="1"/>
  <c r="K341" i="298"/>
  <c r="O341" i="298" s="1"/>
  <c r="P341" i="298" s="1"/>
  <c r="K186" i="298"/>
  <c r="O186" i="298" s="1"/>
  <c r="P186" i="298" s="1"/>
  <c r="K442" i="298"/>
  <c r="O442" i="298" s="1"/>
  <c r="P442" i="298" s="1"/>
  <c r="K66" i="298"/>
  <c r="O66" i="298" s="1"/>
  <c r="P66" i="298" s="1"/>
  <c r="K134" i="298"/>
  <c r="O134" i="298" s="1"/>
  <c r="P134" i="298" s="1"/>
  <c r="K74" i="298"/>
  <c r="O74" i="298" s="1"/>
  <c r="P74" i="298" s="1"/>
  <c r="K164" i="298"/>
  <c r="O164" i="298" s="1"/>
  <c r="P164" i="298" s="1"/>
  <c r="K339" i="298"/>
  <c r="O339" i="298" s="1"/>
  <c r="P339" i="298" s="1"/>
  <c r="K220" i="298"/>
  <c r="O220" i="298" s="1"/>
  <c r="P220" i="298" s="1"/>
  <c r="K465" i="298"/>
  <c r="O465" i="298" s="1"/>
  <c r="P465" i="298" s="1"/>
  <c r="K89" i="298"/>
  <c r="O89" i="298" s="1"/>
  <c r="P89" i="298" s="1"/>
  <c r="K274" i="298"/>
  <c r="O274" i="298" s="1"/>
  <c r="P274" i="298" s="1"/>
  <c r="K55" i="298"/>
  <c r="O55" i="298" s="1"/>
  <c r="P55" i="298" s="1"/>
  <c r="K228" i="298"/>
  <c r="O228" i="298" s="1"/>
  <c r="P228" i="298" s="1"/>
  <c r="K290" i="298"/>
  <c r="O290" i="298" s="1"/>
  <c r="P290" i="298" s="1"/>
  <c r="K110" i="298"/>
  <c r="O110" i="298" s="1"/>
  <c r="P110" i="298" s="1"/>
  <c r="K121" i="298"/>
  <c r="O121" i="298" s="1"/>
  <c r="P121" i="298" s="1"/>
  <c r="K378" i="298"/>
  <c r="O378" i="298" s="1"/>
  <c r="P378" i="298" s="1"/>
  <c r="K148" i="298"/>
  <c r="O148" i="298" s="1"/>
  <c r="P148" i="298" s="1"/>
  <c r="K451" i="298"/>
  <c r="O451" i="298" s="1"/>
  <c r="P451" i="298" s="1"/>
  <c r="K114" i="298"/>
  <c r="O114" i="298" s="1"/>
  <c r="P114" i="298" s="1"/>
  <c r="K163" i="298"/>
  <c r="O163" i="298" s="1"/>
  <c r="P163" i="298" s="1"/>
  <c r="K314" i="298"/>
  <c r="O314" i="298" s="1"/>
  <c r="P314" i="298" s="1"/>
  <c r="K188" i="298"/>
  <c r="O188" i="298" s="1"/>
  <c r="P188" i="298" s="1"/>
  <c r="K360" i="298"/>
  <c r="O360" i="298" s="1"/>
  <c r="P360" i="298" s="1"/>
  <c r="K51" i="298"/>
  <c r="O51" i="298" s="1"/>
  <c r="P51" i="298" s="1"/>
  <c r="K46" i="298"/>
  <c r="O46" i="298" s="1"/>
  <c r="P46" i="298" s="1"/>
  <c r="K93" i="298"/>
  <c r="O93" i="298" s="1"/>
  <c r="P93" i="298" s="1"/>
  <c r="K375" i="298"/>
  <c r="O375" i="298" s="1"/>
  <c r="P375" i="298" s="1"/>
  <c r="K211" i="298"/>
  <c r="O211" i="298" s="1"/>
  <c r="P211" i="298" s="1"/>
  <c r="K278" i="298"/>
  <c r="O278" i="298" s="1"/>
  <c r="P278" i="298" s="1"/>
  <c r="K372" i="298"/>
  <c r="O372" i="298" s="1"/>
  <c r="P372" i="298" s="1"/>
  <c r="K479" i="298"/>
  <c r="O479" i="298" s="1"/>
  <c r="P479" i="298" s="1"/>
  <c r="K97" i="298"/>
  <c r="O97" i="298" s="1"/>
  <c r="P97" i="298" s="1"/>
  <c r="K448" i="298"/>
  <c r="O448" i="298" s="1"/>
  <c r="P448" i="298" s="1"/>
  <c r="K247" i="298"/>
  <c r="O247" i="298" s="1"/>
  <c r="P247" i="298" s="1"/>
  <c r="K377" i="298"/>
  <c r="O377" i="298" s="1"/>
  <c r="P377" i="298" s="1"/>
  <c r="K369" i="298"/>
  <c r="O369" i="298" s="1"/>
  <c r="P369" i="298" s="1"/>
  <c r="K124" i="298"/>
  <c r="O124" i="298" s="1"/>
  <c r="P124" i="298" s="1"/>
  <c r="K447" i="298"/>
  <c r="O447" i="298" s="1"/>
  <c r="P447" i="298" s="1"/>
  <c r="K75" i="298"/>
  <c r="O75" i="298" s="1"/>
  <c r="P75" i="298" s="1"/>
  <c r="K217" i="298"/>
  <c r="O217" i="298" s="1"/>
  <c r="P217" i="298" s="1"/>
  <c r="K483" i="298"/>
  <c r="O483" i="298" s="1"/>
  <c r="P483" i="298" s="1"/>
  <c r="K320" i="298"/>
  <c r="O320" i="298" s="1"/>
  <c r="P320" i="298" s="1"/>
  <c r="K92" i="298"/>
  <c r="O92" i="298" s="1"/>
  <c r="P92" i="298" s="1"/>
  <c r="K41" i="298"/>
  <c r="O41" i="298" s="1"/>
  <c r="P41" i="298" s="1"/>
  <c r="K194" i="298"/>
  <c r="O194" i="298" s="1"/>
  <c r="P194" i="298" s="1"/>
  <c r="K264" i="298"/>
  <c r="O264" i="298" s="1"/>
  <c r="P264" i="298" s="1"/>
  <c r="K429" i="298"/>
  <c r="O429" i="298" s="1"/>
  <c r="P429" i="298" s="1"/>
  <c r="K307" i="298"/>
  <c r="O307" i="298" s="1"/>
  <c r="P307" i="298" s="1"/>
  <c r="K81" i="298"/>
  <c r="O81" i="298" s="1"/>
  <c r="P81" i="298" s="1"/>
  <c r="K283" i="298"/>
  <c r="O283" i="298" s="1"/>
  <c r="P283" i="298" s="1"/>
  <c r="K218" i="298"/>
  <c r="O218" i="298" s="1"/>
  <c r="P218" i="298" s="1"/>
  <c r="K99" i="298"/>
  <c r="O99" i="298" s="1"/>
  <c r="P99" i="298" s="1"/>
  <c r="K34" i="298"/>
  <c r="O34" i="298" s="1"/>
  <c r="P34" i="298" s="1"/>
  <c r="K440" i="298"/>
  <c r="O440" i="298" s="1"/>
  <c r="P440" i="298" s="1"/>
  <c r="K235" i="298"/>
  <c r="O235" i="298" s="1"/>
  <c r="P235" i="298" s="1"/>
  <c r="K226" i="298"/>
  <c r="O226" i="298" s="1"/>
  <c r="P226" i="298" s="1"/>
  <c r="K395" i="298"/>
  <c r="O395" i="298" s="1"/>
  <c r="P395" i="298" s="1"/>
  <c r="K466" i="298"/>
  <c r="O466" i="298" s="1"/>
  <c r="P466" i="298" s="1"/>
  <c r="K79" i="298"/>
  <c r="O79" i="298" s="1"/>
  <c r="P79" i="298" s="1"/>
  <c r="K160" i="298"/>
  <c r="O160" i="298" s="1"/>
  <c r="P160" i="298" s="1"/>
  <c r="K480" i="298"/>
  <c r="O480" i="298" s="1"/>
  <c r="P480" i="298" s="1"/>
  <c r="K216" i="298"/>
  <c r="O216" i="298" s="1"/>
  <c r="P216" i="298" s="1"/>
  <c r="K204" i="298"/>
  <c r="O204" i="298" s="1"/>
  <c r="P204" i="298" s="1"/>
  <c r="K418" i="298"/>
  <c r="O418" i="298" s="1"/>
  <c r="P418" i="298" s="1"/>
  <c r="K358" i="298"/>
  <c r="O358" i="298" s="1"/>
  <c r="P358" i="298" s="1"/>
  <c r="K406" i="298"/>
  <c r="O406" i="298" s="1"/>
  <c r="P406" i="298" s="1"/>
  <c r="K336" i="298"/>
  <c r="O336" i="298" s="1"/>
  <c r="P336" i="298" s="1"/>
  <c r="K491" i="298"/>
  <c r="O491" i="298" s="1"/>
  <c r="P491" i="298" s="1"/>
  <c r="K248" i="298"/>
  <c r="O248" i="298" s="1"/>
  <c r="P248" i="298" s="1"/>
  <c r="K353" i="298"/>
  <c r="O353" i="298" s="1"/>
  <c r="P353" i="298" s="1"/>
  <c r="K455" i="298"/>
  <c r="O455" i="298" s="1"/>
  <c r="P455" i="298" s="1"/>
  <c r="K63" i="298"/>
  <c r="O63" i="298" s="1"/>
  <c r="P63" i="298" s="1"/>
  <c r="K515" i="298"/>
  <c r="O515" i="298" s="1"/>
  <c r="P515" i="298" s="1"/>
  <c r="K126" i="298"/>
  <c r="O126" i="298" s="1"/>
  <c r="P126" i="298" s="1"/>
  <c r="K69" i="298"/>
  <c r="O69" i="298" s="1"/>
  <c r="P69" i="298" s="1"/>
  <c r="K221" i="298"/>
  <c r="O221" i="298" s="1"/>
  <c r="P221" i="298" s="1"/>
  <c r="K511" i="298"/>
  <c r="O511" i="298" s="1"/>
  <c r="P511" i="298" s="1"/>
  <c r="K338" i="298"/>
  <c r="O338" i="298" s="1"/>
  <c r="P338" i="298" s="1"/>
  <c r="K490" i="298"/>
  <c r="O490" i="298" s="1"/>
  <c r="P490" i="298" s="1"/>
  <c r="K400" i="298"/>
  <c r="O400" i="298" s="1"/>
  <c r="P400" i="298" s="1"/>
  <c r="K172" i="298"/>
  <c r="O172" i="298" s="1"/>
  <c r="P172" i="298" s="1"/>
  <c r="K337" i="298"/>
  <c r="O337" i="298" s="1"/>
  <c r="P337" i="298" s="1"/>
  <c r="K94" i="298"/>
  <c r="O94" i="298" s="1"/>
  <c r="P94" i="298" s="1"/>
  <c r="K170" i="298"/>
  <c r="O170" i="298" s="1"/>
  <c r="P170" i="298" s="1"/>
  <c r="K363" i="298"/>
  <c r="O363" i="298" s="1"/>
  <c r="P363" i="298" s="1"/>
  <c r="K393" i="298"/>
  <c r="O393" i="298" s="1"/>
  <c r="P393" i="298" s="1"/>
  <c r="K450" i="298"/>
  <c r="O450" i="298" s="1"/>
  <c r="P450" i="298" s="1"/>
  <c r="K374" i="298"/>
  <c r="O374" i="298" s="1"/>
  <c r="P374" i="298" s="1"/>
  <c r="K503" i="298"/>
  <c r="O503" i="298" s="1"/>
  <c r="P503" i="298" s="1"/>
  <c r="K241" i="298"/>
  <c r="O241" i="298" s="1"/>
  <c r="P241" i="298" s="1"/>
  <c r="K271" i="298"/>
  <c r="O271" i="298" s="1"/>
  <c r="P271" i="298" s="1"/>
  <c r="K122" i="298"/>
  <c r="O122" i="298" s="1"/>
  <c r="P122" i="298" s="1"/>
  <c r="K185" i="298"/>
  <c r="O185" i="298" s="1"/>
  <c r="P185" i="298" s="1"/>
  <c r="K254" i="298"/>
  <c r="O254" i="298" s="1"/>
  <c r="P254" i="298" s="1"/>
  <c r="K382" i="298"/>
  <c r="O382" i="298" s="1"/>
  <c r="P382" i="298" s="1"/>
  <c r="K464" i="298"/>
  <c r="O464" i="298" s="1"/>
  <c r="P464" i="298" s="1"/>
  <c r="K327" i="298"/>
  <c r="O327" i="298" s="1"/>
  <c r="P327" i="298" s="1"/>
  <c r="K182" i="298"/>
  <c r="O182" i="298" s="1"/>
  <c r="P182" i="298" s="1"/>
  <c r="K398" i="298"/>
  <c r="O398" i="298" s="1"/>
  <c r="P398" i="298" s="1"/>
  <c r="K512" i="298"/>
  <c r="O512" i="298" s="1"/>
  <c r="P512" i="298" s="1"/>
  <c r="K119" i="298"/>
  <c r="O119" i="298" s="1"/>
  <c r="P119" i="298" s="1"/>
  <c r="K458" i="298"/>
  <c r="O458" i="298" s="1"/>
  <c r="P458" i="298" s="1"/>
  <c r="K240" i="298"/>
  <c r="O240" i="298" s="1"/>
  <c r="P240" i="298" s="1"/>
  <c r="K427" i="298"/>
  <c r="O427" i="298" s="1"/>
  <c r="P427" i="298" s="1"/>
  <c r="K273" i="298"/>
  <c r="O273" i="298" s="1"/>
  <c r="P273" i="298" s="1"/>
  <c r="K351" i="298"/>
  <c r="O351" i="298" s="1"/>
  <c r="P351" i="298" s="1"/>
  <c r="K128" i="298"/>
  <c r="O128" i="298" s="1"/>
  <c r="P128" i="298" s="1"/>
  <c r="K269" i="298"/>
  <c r="O269" i="298" s="1"/>
  <c r="P269" i="298" s="1"/>
  <c r="K445" i="298"/>
  <c r="O445" i="298" s="1"/>
  <c r="P445" i="298" s="1"/>
  <c r="K88" i="298"/>
  <c r="O88" i="298" s="1"/>
  <c r="P88" i="298" s="1"/>
  <c r="K207" i="298"/>
  <c r="O207" i="298" s="1"/>
  <c r="P207" i="298" s="1"/>
  <c r="K136" i="298"/>
  <c r="O136" i="298" s="1"/>
  <c r="P136" i="298" s="1"/>
  <c r="K291" i="298"/>
  <c r="O291" i="298" s="1"/>
  <c r="P291" i="298" s="1"/>
  <c r="K76" i="298"/>
  <c r="O76" i="298" s="1"/>
  <c r="P76" i="298" s="1"/>
  <c r="K205" i="298"/>
  <c r="O205" i="298" s="1"/>
  <c r="P205" i="298" s="1"/>
  <c r="K438" i="298"/>
  <c r="O438" i="298" s="1"/>
  <c r="P438" i="298" s="1"/>
  <c r="K90" i="298"/>
  <c r="O90" i="298" s="1"/>
  <c r="P90" i="298" s="1"/>
  <c r="K443" i="298"/>
  <c r="O443" i="298" s="1"/>
  <c r="P443" i="298" s="1"/>
  <c r="K60" i="298"/>
  <c r="O60" i="298" s="1"/>
  <c r="P60" i="298" s="1"/>
  <c r="K304" i="298"/>
  <c r="O304" i="298" s="1"/>
  <c r="P304" i="298" s="1"/>
  <c r="K387" i="298"/>
  <c r="O387" i="298" s="1"/>
  <c r="P387" i="298" s="1"/>
  <c r="K35" i="298"/>
  <c r="O35" i="298" s="1"/>
  <c r="P35" i="298" s="1"/>
  <c r="K242" i="298"/>
  <c r="O242" i="298" s="1"/>
  <c r="P242" i="298" s="1"/>
  <c r="K286" i="298"/>
  <c r="O286" i="298" s="1"/>
  <c r="P286" i="298" s="1"/>
  <c r="K202" i="298"/>
  <c r="O202" i="298" s="1"/>
  <c r="P202" i="298" s="1"/>
  <c r="K425" i="298"/>
  <c r="O425" i="298" s="1"/>
  <c r="P425" i="298" s="1"/>
  <c r="K103" i="298"/>
  <c r="O103" i="298" s="1"/>
  <c r="P103" i="298" s="1"/>
  <c r="K179" i="298"/>
  <c r="O179" i="298" s="1"/>
  <c r="P179" i="298" s="1"/>
  <c r="K263" i="298"/>
  <c r="O263" i="298" s="1"/>
  <c r="P263" i="298" s="1"/>
  <c r="K299" i="298"/>
  <c r="O299" i="298" s="1"/>
  <c r="P299" i="298" s="1"/>
  <c r="K417" i="298"/>
  <c r="O417" i="298" s="1"/>
  <c r="P417" i="298" s="1"/>
  <c r="K484" i="298"/>
  <c r="O484" i="298" s="1"/>
  <c r="P484" i="298" s="1"/>
  <c r="K487" i="298"/>
  <c r="O487" i="298" s="1"/>
  <c r="P487" i="298" s="1"/>
  <c r="K388" i="298"/>
  <c r="O388" i="298" s="1"/>
  <c r="P388" i="298" s="1"/>
  <c r="K137" i="298"/>
  <c r="O137" i="298" s="1"/>
  <c r="P137" i="298" s="1"/>
  <c r="K316" i="298"/>
  <c r="O316" i="298" s="1"/>
  <c r="P316" i="298" s="1"/>
  <c r="K411" i="298"/>
  <c r="O411" i="298" s="1"/>
  <c r="P411" i="298" s="1"/>
  <c r="K441" i="298"/>
  <c r="O441" i="298" s="1"/>
  <c r="P441" i="298" s="1"/>
  <c r="K415" i="298"/>
  <c r="O415" i="298" s="1"/>
  <c r="P415" i="298" s="1"/>
  <c r="K294" i="298"/>
  <c r="O294" i="298" s="1"/>
  <c r="P294" i="298" s="1"/>
  <c r="K410" i="298"/>
  <c r="O410" i="298" s="1"/>
  <c r="P410" i="298" s="1"/>
  <c r="K101" i="298"/>
  <c r="O101" i="298" s="1"/>
  <c r="P101" i="298" s="1"/>
  <c r="K430" i="298"/>
  <c r="O430" i="298" s="1"/>
  <c r="P430" i="298" s="1"/>
  <c r="K356" i="298"/>
  <c r="O356" i="298" s="1"/>
  <c r="P356" i="298" s="1"/>
  <c r="K502" i="298"/>
  <c r="O502" i="298" s="1"/>
  <c r="P502" i="298" s="1"/>
  <c r="K84" i="298"/>
  <c r="O84" i="298" s="1"/>
  <c r="P84" i="298" s="1"/>
  <c r="K259" i="298"/>
  <c r="O259" i="298" s="1"/>
  <c r="P259" i="298" s="1"/>
  <c r="K139" i="298"/>
  <c r="O139" i="298" s="1"/>
  <c r="P139" i="298" s="1"/>
  <c r="K408" i="298"/>
  <c r="O408" i="298" s="1"/>
  <c r="P408" i="298" s="1"/>
  <c r="K62" i="298"/>
  <c r="O62" i="298" s="1"/>
  <c r="P62" i="298" s="1"/>
  <c r="K234" i="298"/>
  <c r="O234" i="298" s="1"/>
  <c r="P234" i="298" s="1"/>
  <c r="K385" i="298"/>
  <c r="O385" i="298" s="1"/>
  <c r="P385" i="298" s="1"/>
  <c r="K308" i="298"/>
  <c r="O308" i="298" s="1"/>
  <c r="P308" i="298" s="1"/>
  <c r="K288" i="298"/>
  <c r="O288" i="298" s="1"/>
  <c r="P288" i="298" s="1"/>
  <c r="K453" i="298"/>
  <c r="O453" i="298" s="1"/>
  <c r="P453" i="298" s="1"/>
  <c r="K98" i="298"/>
  <c r="O98" i="298" s="1"/>
  <c r="P98" i="298" s="1"/>
  <c r="K514" i="298"/>
  <c r="O514" i="298" s="1"/>
  <c r="P514" i="298" s="1"/>
  <c r="K162" i="298"/>
  <c r="O162" i="298" s="1"/>
  <c r="P162" i="298" s="1"/>
  <c r="K132" i="298"/>
  <c r="O132" i="298" s="1"/>
  <c r="P132" i="298" s="1"/>
  <c r="K384" i="298"/>
  <c r="O384" i="298" s="1"/>
  <c r="P384" i="298" s="1"/>
  <c r="K449" i="298"/>
  <c r="O449" i="298" s="1"/>
  <c r="P449" i="298" s="1"/>
  <c r="K236" i="298"/>
  <c r="O236" i="298" s="1"/>
  <c r="P236" i="298" s="1"/>
  <c r="K506" i="298"/>
  <c r="O506" i="298" s="1"/>
  <c r="P506" i="298" s="1"/>
  <c r="K513" i="298"/>
  <c r="O513" i="298" s="1"/>
  <c r="P513" i="298" s="1"/>
  <c r="K83" i="298"/>
  <c r="O83" i="298" s="1"/>
  <c r="P83" i="298" s="1"/>
  <c r="K498" i="298"/>
  <c r="O498" i="298" s="1"/>
  <c r="P498" i="298" s="1"/>
  <c r="K256" i="298"/>
  <c r="O256" i="298" s="1"/>
  <c r="P256" i="298" s="1"/>
  <c r="K421" i="298"/>
  <c r="O421" i="298" s="1"/>
  <c r="P421" i="298" s="1"/>
  <c r="K322" i="298"/>
  <c r="O322" i="298" s="1"/>
  <c r="P322" i="298" s="1"/>
  <c r="K492" i="298"/>
  <c r="O492" i="298" s="1"/>
  <c r="P492" i="298" s="1"/>
  <c r="K106" i="298"/>
  <c r="O106" i="298" s="1"/>
  <c r="P106" i="298" s="1"/>
  <c r="K108" i="298"/>
  <c r="O108" i="298" s="1"/>
  <c r="P108" i="298" s="1"/>
  <c r="K43" i="298"/>
  <c r="O43" i="298" s="1"/>
  <c r="P43" i="298" s="1"/>
  <c r="K253" i="298"/>
  <c r="O253" i="298" s="1"/>
  <c r="P253" i="298" s="1"/>
  <c r="K276" i="298"/>
  <c r="O276" i="298" s="1"/>
  <c r="P276" i="298" s="1"/>
  <c r="K100" i="298"/>
  <c r="O100" i="298" s="1"/>
  <c r="P100" i="298" s="1"/>
  <c r="K38" i="298"/>
  <c r="O38" i="298" s="1"/>
  <c r="P38" i="298" s="1"/>
  <c r="K478" i="298"/>
  <c r="O478" i="298" s="1"/>
  <c r="P478" i="298" s="1"/>
  <c r="K399" i="298"/>
  <c r="O399" i="298" s="1"/>
  <c r="P399" i="298" s="1"/>
  <c r="K149" i="298"/>
  <c r="O149" i="298" s="1"/>
  <c r="P149" i="298" s="1"/>
  <c r="K324" i="298"/>
  <c r="O324" i="298" s="1"/>
  <c r="P324" i="298" s="1"/>
  <c r="K215" i="298"/>
  <c r="O215" i="298" s="1"/>
  <c r="P215" i="298" s="1"/>
  <c r="K412" i="298"/>
  <c r="O412" i="298" s="1"/>
  <c r="P412" i="298" s="1"/>
  <c r="K113" i="298"/>
  <c r="O113" i="298" s="1"/>
  <c r="P113" i="298" s="1"/>
  <c r="K495" i="298"/>
  <c r="O495" i="298" s="1"/>
  <c r="P495" i="298" s="1"/>
  <c r="K135" i="298"/>
  <c r="O135" i="298" s="1"/>
  <c r="P135" i="298" s="1"/>
  <c r="K123" i="298"/>
  <c r="O123" i="298" s="1"/>
  <c r="P123" i="298" s="1"/>
  <c r="K47" i="298"/>
  <c r="O47" i="298" s="1"/>
  <c r="P47" i="298" s="1"/>
  <c r="K326" i="298"/>
  <c r="O326" i="298" s="1"/>
  <c r="P326" i="298" s="1"/>
  <c r="K317" i="298"/>
  <c r="O317" i="298" s="1"/>
  <c r="P317" i="298" s="1"/>
  <c r="K452" i="298"/>
  <c r="O452" i="298" s="1"/>
  <c r="P452" i="298" s="1"/>
  <c r="K133" i="298"/>
  <c r="O133" i="298" s="1"/>
  <c r="P133" i="298" s="1"/>
  <c r="K140" i="298"/>
  <c r="O140" i="298" s="1"/>
  <c r="P140" i="298" s="1"/>
  <c r="K183" i="298"/>
  <c r="O183" i="298" s="1"/>
  <c r="P183" i="298" s="1"/>
  <c r="K489" i="298"/>
  <c r="O489" i="298" s="1"/>
  <c r="P489" i="298" s="1"/>
  <c r="K404" i="298"/>
  <c r="O404" i="298" s="1"/>
  <c r="P404" i="298" s="1"/>
  <c r="K345" i="298"/>
  <c r="O345" i="298" s="1"/>
  <c r="P345" i="298" s="1"/>
  <c r="K112" i="298"/>
  <c r="O112" i="298" s="1"/>
  <c r="P112" i="298" s="1"/>
  <c r="K252" i="298"/>
  <c r="O252" i="298" s="1"/>
  <c r="P252" i="298" s="1"/>
  <c r="K357" i="298"/>
  <c r="O357" i="298" s="1"/>
  <c r="P357" i="298" s="1"/>
  <c r="K444" i="298"/>
  <c r="O444" i="298" s="1"/>
  <c r="P444" i="298" s="1"/>
  <c r="K156" i="298"/>
  <c r="O156" i="298" s="1"/>
  <c r="P156" i="298" s="1"/>
  <c r="K354" i="298"/>
  <c r="O354" i="298" s="1"/>
  <c r="P354" i="298" s="1"/>
  <c r="K414" i="298"/>
  <c r="O414" i="298" s="1"/>
  <c r="P414" i="298" s="1"/>
  <c r="K53" i="298"/>
  <c r="O53" i="298" s="1"/>
  <c r="P53" i="298" s="1"/>
  <c r="K86" i="298"/>
  <c r="O86" i="298" s="1"/>
  <c r="P86" i="298" s="1"/>
  <c r="K488" i="298"/>
  <c r="O488" i="298" s="1"/>
  <c r="P488" i="298" s="1"/>
  <c r="K155" i="298"/>
  <c r="O155" i="298" s="1"/>
  <c r="P155" i="298" s="1"/>
  <c r="K401" i="298"/>
  <c r="O401" i="298" s="1"/>
  <c r="P401" i="298" s="1"/>
  <c r="K258" i="298"/>
  <c r="O258" i="298" s="1"/>
  <c r="P258" i="298" s="1"/>
  <c r="K301" i="298"/>
  <c r="O301" i="298" s="1"/>
  <c r="P301" i="298" s="1"/>
  <c r="K49" i="298"/>
  <c r="O49" i="298" s="1"/>
  <c r="P49" i="298" s="1"/>
  <c r="K285" i="298"/>
  <c r="O285" i="298" s="1"/>
  <c r="P285" i="298" s="1"/>
  <c r="K368" i="298"/>
  <c r="O368" i="298" s="1"/>
  <c r="P368" i="298" s="1"/>
  <c r="K146" i="298"/>
  <c r="O146" i="298" s="1"/>
  <c r="P146" i="298" s="1"/>
  <c r="K340" i="298"/>
  <c r="O340" i="298" s="1"/>
  <c r="P340" i="298" s="1"/>
  <c r="K143" i="298"/>
  <c r="O143" i="298" s="1"/>
  <c r="P143" i="298" s="1"/>
  <c r="K129" i="298"/>
  <c r="O129" i="298" s="1"/>
  <c r="P129" i="298" s="1"/>
  <c r="K116" i="298"/>
  <c r="O116" i="298" s="1"/>
  <c r="P116" i="298" s="1"/>
  <c r="K460" i="298"/>
  <c r="O460" i="298" s="1"/>
  <c r="P460" i="298" s="1"/>
  <c r="K102" i="298"/>
  <c r="O102" i="298" s="1"/>
  <c r="P102" i="298" s="1"/>
  <c r="K381" i="298"/>
  <c r="O381" i="298" s="1"/>
  <c r="P381" i="298" s="1"/>
  <c r="K394" i="298"/>
  <c r="O394" i="298" s="1"/>
  <c r="P394" i="298" s="1"/>
  <c r="K496" i="298"/>
  <c r="O496" i="298" s="1"/>
  <c r="P496" i="298" s="1"/>
  <c r="K485" i="298"/>
  <c r="O485" i="298" s="1"/>
  <c r="P485" i="298" s="1"/>
  <c r="K454" i="298"/>
  <c r="O454" i="298" s="1"/>
  <c r="P454" i="298" s="1"/>
  <c r="K475" i="298"/>
  <c r="O475" i="298" s="1"/>
  <c r="P475" i="298" s="1"/>
  <c r="K349" i="298"/>
  <c r="O349" i="298" s="1"/>
  <c r="P349" i="298" s="1"/>
  <c r="K292" i="298"/>
  <c r="O292" i="298" s="1"/>
  <c r="P292" i="298" s="1"/>
  <c r="K120" i="298"/>
  <c r="O120" i="298" s="1"/>
  <c r="P120" i="298" s="1"/>
  <c r="K65" i="298"/>
  <c r="O65" i="298" s="1"/>
  <c r="P65" i="298" s="1"/>
  <c r="K201" i="298"/>
  <c r="O201" i="298" s="1"/>
  <c r="P201" i="298" s="1"/>
  <c r="K295" i="298"/>
  <c r="O295" i="298" s="1"/>
  <c r="P295" i="298" s="1"/>
  <c r="K266" i="298"/>
  <c r="O266" i="298" s="1"/>
  <c r="P266" i="298" s="1"/>
  <c r="K118" i="298"/>
  <c r="O118" i="298" s="1"/>
  <c r="P118" i="298" s="1"/>
  <c r="K463" i="298"/>
  <c r="O463" i="298" s="1"/>
  <c r="P463" i="298" s="1"/>
  <c r="K117" i="298"/>
  <c r="O117" i="298" s="1"/>
  <c r="P117" i="298" s="1"/>
  <c r="K190" i="298"/>
  <c r="O190" i="298" s="1"/>
  <c r="P190" i="298" s="1"/>
  <c r="K389" i="298"/>
  <c r="O389" i="298" s="1"/>
  <c r="P389" i="298" s="1"/>
  <c r="K70" i="298"/>
  <c r="O70" i="298" s="1"/>
  <c r="P70" i="298" s="1"/>
  <c r="K499" i="298"/>
  <c r="O499" i="298" s="1"/>
  <c r="P499" i="298" s="1"/>
  <c r="K200" i="298"/>
  <c r="O200" i="298" s="1"/>
  <c r="P200" i="298" s="1"/>
  <c r="K321" i="298"/>
  <c r="O321" i="298" s="1"/>
  <c r="P321" i="298" s="1"/>
  <c r="K504" i="298"/>
  <c r="O504" i="298" s="1"/>
  <c r="P504" i="298" s="1"/>
  <c r="K373" i="298"/>
  <c r="O373" i="298" s="1"/>
  <c r="P373" i="298" s="1"/>
  <c r="K157" i="298"/>
  <c r="O157" i="298" s="1"/>
  <c r="P157" i="298" s="1"/>
  <c r="K125" i="298"/>
  <c r="O125" i="298" s="1"/>
  <c r="P125" i="298" s="1"/>
  <c r="K196" i="298"/>
  <c r="O196" i="298" s="1"/>
  <c r="P196" i="298" s="1"/>
  <c r="K319" i="298"/>
  <c r="O319" i="298" s="1"/>
  <c r="P319" i="298" s="1"/>
  <c r="K328" i="298"/>
  <c r="O328" i="298" s="1"/>
  <c r="P328" i="298" s="1"/>
  <c r="K142" i="298"/>
  <c r="O142" i="298" s="1"/>
  <c r="P142" i="298" s="1"/>
  <c r="K335" i="298"/>
  <c r="O335" i="298" s="1"/>
  <c r="P335" i="298" s="1"/>
  <c r="K311" i="298"/>
  <c r="O311" i="298" s="1"/>
  <c r="P311" i="298" s="1"/>
  <c r="K507" i="298"/>
  <c r="O507" i="298" s="1"/>
  <c r="P507" i="298" s="1"/>
  <c r="K282" i="298"/>
  <c r="O282" i="298" s="1"/>
  <c r="P282" i="298" s="1"/>
  <c r="K95" i="298"/>
  <c r="O95" i="298" s="1"/>
  <c r="P95" i="298" s="1"/>
  <c r="K472" i="298"/>
  <c r="O472" i="298" s="1"/>
  <c r="P472" i="298" s="1"/>
  <c r="K509" i="298"/>
  <c r="O509" i="298" s="1"/>
  <c r="P509" i="298" s="1"/>
  <c r="K309" i="298"/>
  <c r="O309" i="298" s="1"/>
  <c r="P309" i="298" s="1"/>
  <c r="K56" i="298"/>
  <c r="O56" i="298" s="1"/>
  <c r="P56" i="298" s="1"/>
  <c r="K48" i="298"/>
  <c r="O48" i="298" s="1"/>
  <c r="P48" i="298" s="1"/>
  <c r="K494" i="298"/>
  <c r="O494" i="298" s="1"/>
  <c r="P494" i="298" s="1"/>
  <c r="K96" i="298"/>
  <c r="O96" i="298" s="1"/>
  <c r="P96" i="298" s="1"/>
  <c r="K433" i="298"/>
  <c r="O433" i="298" s="1"/>
  <c r="P433" i="298" s="1"/>
  <c r="K147" i="298"/>
  <c r="O147" i="298" s="1"/>
  <c r="P147" i="298" s="1"/>
  <c r="K371" i="298"/>
  <c r="O371" i="298" s="1"/>
  <c r="P371" i="298" s="1"/>
  <c r="K187" i="298"/>
  <c r="O187" i="298" s="1"/>
  <c r="P187" i="298" s="1"/>
  <c r="K219" i="298"/>
  <c r="O219" i="298" s="1"/>
  <c r="P219" i="298" s="1"/>
  <c r="K362" i="298"/>
  <c r="O362" i="298" s="1"/>
  <c r="P362" i="298" s="1"/>
  <c r="K45" i="298"/>
  <c r="O45" i="298" s="1"/>
  <c r="P45" i="298" s="1"/>
  <c r="K85" i="298"/>
  <c r="O85" i="298" s="1"/>
  <c r="P85" i="298" s="1"/>
  <c r="K78" i="298"/>
  <c r="O78" i="298" s="1"/>
  <c r="P78" i="298" s="1"/>
  <c r="K297" i="298"/>
  <c r="O297" i="298" s="1"/>
  <c r="P297" i="298" s="1"/>
  <c r="K379" i="298"/>
  <c r="O379" i="298" s="1"/>
  <c r="P379" i="298" s="1"/>
  <c r="K461" i="298"/>
  <c r="O461" i="298" s="1"/>
  <c r="P461" i="298" s="1"/>
  <c r="K138" i="298"/>
  <c r="O138" i="298" s="1"/>
  <c r="P138" i="298" s="1"/>
  <c r="K424" i="298"/>
  <c r="O424" i="298" s="1"/>
  <c r="P424" i="298" s="1"/>
  <c r="K50" i="298"/>
  <c r="O50" i="298" s="1"/>
  <c r="P50" i="298" s="1"/>
  <c r="K391" i="298"/>
  <c r="O391" i="298" s="1"/>
  <c r="P391" i="298" s="1"/>
  <c r="K344" i="298"/>
  <c r="O344" i="298" s="1"/>
  <c r="P344" i="298" s="1"/>
  <c r="K42" i="298"/>
  <c r="O42" i="298" s="1"/>
  <c r="P42" i="298" s="1"/>
  <c r="K474" i="298"/>
  <c r="O474" i="298" s="1"/>
  <c r="P474" i="298" s="1"/>
  <c r="K214" i="298"/>
  <c r="O214" i="298" s="1"/>
  <c r="P214" i="298" s="1"/>
  <c r="K370" i="298"/>
  <c r="O370" i="298" s="1"/>
  <c r="P370" i="298" s="1"/>
  <c r="K37" i="298"/>
  <c r="O37" i="298" s="1"/>
  <c r="P37" i="298" s="1"/>
  <c r="K367" i="298"/>
  <c r="O367" i="298" s="1"/>
  <c r="P367" i="298" s="1"/>
  <c r="K331" i="298"/>
  <c r="O331" i="298" s="1"/>
  <c r="P331" i="298" s="1"/>
  <c r="K231" i="298"/>
  <c r="O231" i="298" s="1"/>
  <c r="P231" i="298" s="1"/>
  <c r="K77" i="298"/>
  <c r="O77" i="298" s="1"/>
  <c r="P77" i="298" s="1"/>
  <c r="K262" i="298"/>
  <c r="O262" i="298" s="1"/>
  <c r="P262" i="298" s="1"/>
  <c r="K107" i="298"/>
  <c r="O107" i="298" s="1"/>
  <c r="P107" i="298" s="1"/>
  <c r="K245" i="298"/>
  <c r="O245" i="298" s="1"/>
  <c r="P245" i="298" s="1"/>
  <c r="K470" i="298"/>
  <c r="O470" i="298" s="1"/>
  <c r="P470" i="298" s="1"/>
  <c r="K422" i="298"/>
  <c r="O422" i="298" s="1"/>
  <c r="P422" i="298" s="1"/>
  <c r="K59" i="298"/>
  <c r="O59" i="298" s="1"/>
  <c r="P59" i="298" s="1"/>
  <c r="K199" i="298"/>
  <c r="O199" i="298" s="1"/>
  <c r="P199" i="298" s="1"/>
  <c r="K390" i="298"/>
  <c r="O390" i="298" s="1"/>
  <c r="P390" i="298" s="1"/>
  <c r="K383" i="298"/>
  <c r="O383" i="298" s="1"/>
  <c r="P383" i="298" s="1"/>
  <c r="K208" i="298"/>
  <c r="O208" i="298" s="1"/>
  <c r="P208" i="298" s="1"/>
  <c r="K405" i="298"/>
  <c r="O405" i="298" s="1"/>
  <c r="P405" i="298" s="1"/>
  <c r="K439" i="298"/>
  <c r="O439" i="298" s="1"/>
  <c r="P439" i="298" s="1"/>
  <c r="K239" i="298"/>
  <c r="O239" i="298" s="1"/>
  <c r="P239" i="298" s="1"/>
  <c r="K407" i="298"/>
  <c r="O407" i="298" s="1"/>
  <c r="P407" i="298" s="1"/>
  <c r="K270" i="298"/>
  <c r="O270" i="298" s="1"/>
  <c r="P270" i="298" s="1"/>
  <c r="K469" i="298"/>
  <c r="O469" i="298" s="1"/>
  <c r="P469" i="298" s="1"/>
  <c r="K52" i="298"/>
  <c r="O52" i="298" s="1"/>
  <c r="P52" i="298" s="1"/>
  <c r="K184" i="298"/>
  <c r="O184" i="298" s="1"/>
  <c r="P184" i="298" s="1"/>
  <c r="K476" i="298"/>
  <c r="O476" i="298" s="1"/>
  <c r="P476" i="298" s="1"/>
  <c r="K392" i="298"/>
  <c r="O392" i="298" s="1"/>
  <c r="P392" i="298" s="1"/>
  <c r="K280" i="298"/>
  <c r="O280" i="298" s="1"/>
  <c r="P280" i="298" s="1"/>
  <c r="K229" i="298"/>
  <c r="O229" i="298" s="1"/>
  <c r="P229" i="298" s="1"/>
  <c r="K61" i="298"/>
  <c r="O61" i="298" s="1"/>
  <c r="P61" i="298" s="1"/>
  <c r="K145" i="298"/>
  <c r="O145" i="298" s="1"/>
  <c r="P145" i="298" s="1"/>
  <c r="K158" i="298"/>
  <c r="O158" i="298" s="1"/>
  <c r="P158" i="298" s="1"/>
  <c r="K151" i="298"/>
  <c r="O151" i="298" s="1"/>
  <c r="P151" i="298" s="1"/>
  <c r="K82" i="298"/>
  <c r="O82" i="298" s="1"/>
  <c r="P82" i="298" s="1"/>
  <c r="K428" i="298"/>
  <c r="O428" i="298" s="1"/>
  <c r="P428" i="298" s="1"/>
  <c r="K130" i="298"/>
  <c r="O130" i="298" s="1"/>
  <c r="P130" i="298" s="1"/>
  <c r="K225" i="298"/>
  <c r="O225" i="298" s="1"/>
  <c r="P225" i="298" s="1"/>
  <c r="K279" i="298"/>
  <c r="O279" i="298" s="1"/>
  <c r="P279" i="298" s="1"/>
  <c r="K243" i="298"/>
  <c r="O243" i="298" s="1"/>
  <c r="P243" i="298" s="1"/>
  <c r="K416" i="298"/>
  <c r="O416" i="298" s="1"/>
  <c r="P416" i="298" s="1"/>
  <c r="K80" i="298"/>
  <c r="O80" i="298" s="1"/>
  <c r="P80" i="298" s="1"/>
  <c r="K111" i="298"/>
  <c r="O111" i="298" s="1"/>
  <c r="P111" i="298" s="1"/>
  <c r="K313" i="298"/>
  <c r="O313" i="298" s="1"/>
  <c r="P313" i="298" s="1"/>
  <c r="K364" i="298"/>
  <c r="O364" i="298" s="1"/>
  <c r="P364" i="298" s="1"/>
  <c r="K352" i="298"/>
  <c r="O352" i="298" s="1"/>
  <c r="P352" i="298" s="1"/>
  <c r="K152" i="298"/>
  <c r="O152" i="298" s="1"/>
  <c r="P152" i="298" s="1"/>
  <c r="K198" i="298"/>
  <c r="O198" i="298" s="1"/>
  <c r="P198" i="298" s="1"/>
  <c r="K159" i="298"/>
  <c r="O159" i="298" s="1"/>
  <c r="P159" i="298" s="1"/>
  <c r="K165" i="298"/>
  <c r="O165" i="298" s="1"/>
  <c r="P165" i="298" s="1"/>
  <c r="K153" i="298"/>
  <c r="O153" i="298" s="1"/>
  <c r="P153" i="298" s="1"/>
  <c r="K359" i="298"/>
  <c r="O359" i="298" s="1"/>
  <c r="P359" i="298" s="1"/>
  <c r="K482" i="298"/>
  <c r="O482" i="298" s="1"/>
  <c r="P482" i="298" s="1"/>
  <c r="K365" i="298"/>
  <c r="O365" i="298" s="1"/>
  <c r="P365" i="298" s="1"/>
  <c r="K167" i="298"/>
  <c r="O167" i="298" s="1"/>
  <c r="P167" i="298" s="1"/>
  <c r="K505" i="298"/>
  <c r="O505" i="298" s="1"/>
  <c r="P505" i="298" s="1"/>
  <c r="K343" i="298"/>
  <c r="O343" i="298" s="1"/>
  <c r="P343" i="298" s="1"/>
  <c r="K195" i="298"/>
  <c r="O195" i="298" s="1"/>
  <c r="P195" i="298" s="1"/>
  <c r="K224" i="298"/>
  <c r="O224" i="298" s="1"/>
  <c r="P224" i="298" s="1"/>
  <c r="K397" i="298"/>
  <c r="O397" i="298" s="1"/>
  <c r="P397" i="298" s="1"/>
  <c r="K222" i="298"/>
  <c r="O222" i="298" s="1"/>
  <c r="P222" i="298" s="1"/>
  <c r="K305" i="298"/>
  <c r="O305" i="298" s="1"/>
  <c r="P305" i="298" s="1"/>
  <c r="K265" i="298"/>
  <c r="O265" i="298" s="1"/>
  <c r="P265" i="298" s="1"/>
  <c r="K67" i="298"/>
  <c r="O67" i="298" s="1"/>
  <c r="P67" i="298" s="1"/>
  <c r="K315" i="298"/>
  <c r="O315" i="298" s="1"/>
  <c r="P315" i="298" s="1"/>
  <c r="K423" i="298"/>
  <c r="O423" i="298" s="1"/>
  <c r="P423" i="298" s="1"/>
  <c r="K54" i="298"/>
  <c r="O54" i="298" s="1"/>
  <c r="P54" i="298" s="1"/>
  <c r="K197" i="298"/>
  <c r="O197" i="298" s="1"/>
  <c r="P197" i="298" s="1"/>
  <c r="K73" i="298"/>
  <c r="O73" i="298" s="1"/>
  <c r="P73" i="298" s="1"/>
  <c r="K459" i="298"/>
  <c r="O459" i="298" s="1"/>
  <c r="P459" i="298" s="1"/>
  <c r="K237" i="298"/>
  <c r="O237" i="298" s="1"/>
  <c r="P237" i="298" s="1"/>
  <c r="K193" i="298"/>
  <c r="O193" i="298" s="1"/>
  <c r="P193" i="298" s="1"/>
  <c r="K366" i="298"/>
  <c r="O366" i="298" s="1"/>
  <c r="P366" i="298" s="1"/>
  <c r="K233" i="298"/>
  <c r="O233" i="298" s="1"/>
  <c r="P233" i="298" s="1"/>
  <c r="K281" i="298"/>
  <c r="O281" i="298" s="1"/>
  <c r="P281" i="298" s="1"/>
  <c r="K497" i="298"/>
  <c r="O497" i="298" s="1"/>
  <c r="P497" i="298" s="1"/>
  <c r="K303" i="298"/>
  <c r="O303" i="298" s="1"/>
  <c r="P303" i="298" s="1"/>
  <c r="K272" i="298"/>
  <c r="O272" i="298" s="1"/>
  <c r="P272" i="298" s="1"/>
  <c r="K323" i="298"/>
  <c r="O323" i="298" s="1"/>
  <c r="P323" i="298" s="1"/>
  <c r="K318" i="298"/>
  <c r="O318" i="298" s="1"/>
  <c r="P318" i="298" s="1"/>
  <c r="K169" i="298"/>
  <c r="O169" i="298" s="1"/>
  <c r="P169" i="298" s="1"/>
  <c r="K333" i="298"/>
  <c r="O333" i="298" s="1"/>
  <c r="P333" i="298" s="1"/>
  <c r="K493" i="298"/>
  <c r="O493" i="298" s="1"/>
  <c r="P493" i="298" s="1"/>
  <c r="K255" i="298"/>
  <c r="O255" i="298" s="1"/>
  <c r="P255" i="298" s="1"/>
  <c r="AE34" i="298"/>
  <c r="L92" i="180"/>
  <c r="L102" i="180"/>
  <c r="K104" i="293" a="1"/>
  <c r="K104" i="293" s="1"/>
  <c r="K20" i="293" a="1"/>
  <c r="K20" i="293" s="1"/>
  <c r="L17" i="180"/>
  <c r="E26" i="307"/>
  <c r="Q108" i="298"/>
  <c r="U108" i="298" s="1"/>
  <c r="V108" i="298" s="1"/>
  <c r="Q44" i="298"/>
  <c r="U44" i="298" s="1"/>
  <c r="V44" i="298" s="1"/>
  <c r="Q448" i="298"/>
  <c r="U448" i="298" s="1"/>
  <c r="V448" i="298" s="1"/>
  <c r="Q46" i="298"/>
  <c r="U46" i="298" s="1"/>
  <c r="V46" i="298" s="1"/>
  <c r="Q326" i="298"/>
  <c r="U326" i="298" s="1"/>
  <c r="V326" i="298" s="1"/>
  <c r="Q77" i="298"/>
  <c r="U77" i="298" s="1"/>
  <c r="V77" i="298" s="1"/>
  <c r="Q278" i="298"/>
  <c r="U278" i="298" s="1"/>
  <c r="V278" i="298" s="1"/>
  <c r="Q268" i="298"/>
  <c r="U268" i="298" s="1"/>
  <c r="V268" i="298" s="1"/>
  <c r="Q242" i="298"/>
  <c r="U242" i="298" s="1"/>
  <c r="V242" i="298" s="1"/>
  <c r="Q250" i="298"/>
  <c r="U250" i="298" s="1"/>
  <c r="V250" i="298" s="1"/>
  <c r="Q204" i="298"/>
  <c r="U204" i="298" s="1"/>
  <c r="V204" i="298" s="1"/>
  <c r="Q508" i="298"/>
  <c r="U508" i="298" s="1"/>
  <c r="V508" i="298" s="1"/>
  <c r="Q117" i="298"/>
  <c r="U117" i="298" s="1"/>
  <c r="V117" i="298" s="1"/>
  <c r="Q125" i="298"/>
  <c r="U125" i="298" s="1"/>
  <c r="V125" i="298" s="1"/>
  <c r="Q316" i="298"/>
  <c r="U316" i="298" s="1"/>
  <c r="V316" i="298" s="1"/>
  <c r="Q76" i="298"/>
  <c r="U76" i="298" s="1"/>
  <c r="V76" i="298" s="1"/>
  <c r="Q220" i="298"/>
  <c r="U220" i="298" s="1"/>
  <c r="V220" i="298" s="1"/>
  <c r="Q314" i="298"/>
  <c r="U314" i="298" s="1"/>
  <c r="V314" i="298" s="1"/>
  <c r="Q115" i="298"/>
  <c r="U115" i="298" s="1"/>
  <c r="V115" i="298" s="1"/>
  <c r="Q86" i="298"/>
  <c r="U86" i="298" s="1"/>
  <c r="V86" i="298" s="1"/>
  <c r="Q289" i="298"/>
  <c r="U289" i="298" s="1"/>
  <c r="V289" i="298" s="1"/>
  <c r="Q410" i="298"/>
  <c r="U410" i="298" s="1"/>
  <c r="V410" i="298" s="1"/>
  <c r="Q305" i="298"/>
  <c r="U305" i="298" s="1"/>
  <c r="V305" i="298" s="1"/>
  <c r="Q488" i="298"/>
  <c r="U488" i="298" s="1"/>
  <c r="V488" i="298" s="1"/>
  <c r="Q379" i="298"/>
  <c r="U379" i="298" s="1"/>
  <c r="V379" i="298" s="1"/>
  <c r="Q199" i="298"/>
  <c r="U199" i="298" s="1"/>
  <c r="V199" i="298" s="1"/>
  <c r="Q426" i="298"/>
  <c r="U426" i="298" s="1"/>
  <c r="V426" i="298" s="1"/>
  <c r="Q264" i="298"/>
  <c r="U264" i="298" s="1"/>
  <c r="V264" i="298" s="1"/>
  <c r="Q42" i="298"/>
  <c r="U42" i="298" s="1"/>
  <c r="V42" i="298" s="1"/>
  <c r="Q395" i="298"/>
  <c r="U395" i="298" s="1"/>
  <c r="V395" i="298" s="1"/>
  <c r="Q272" i="298"/>
  <c r="U272" i="298" s="1"/>
  <c r="V272" i="298" s="1"/>
  <c r="Q202" i="298"/>
  <c r="U202" i="298" s="1"/>
  <c r="V202" i="298" s="1"/>
  <c r="Q173" i="298"/>
  <c r="U173" i="298" s="1"/>
  <c r="V173" i="298" s="1"/>
  <c r="Q96" i="298"/>
  <c r="U96" i="298" s="1"/>
  <c r="V96" i="298" s="1"/>
  <c r="Q288" i="298"/>
  <c r="U288" i="298" s="1"/>
  <c r="V288" i="298" s="1"/>
  <c r="Q396" i="298"/>
  <c r="U396" i="298" s="1"/>
  <c r="V396" i="298" s="1"/>
  <c r="Q141" i="298"/>
  <c r="U141" i="298" s="1"/>
  <c r="V141" i="298" s="1"/>
  <c r="Q116" i="298"/>
  <c r="U116" i="298" s="1"/>
  <c r="V116" i="298" s="1"/>
  <c r="Q159" i="298"/>
  <c r="U159" i="298" s="1"/>
  <c r="V159" i="298" s="1"/>
  <c r="Q169" i="298"/>
  <c r="U169" i="298" s="1"/>
  <c r="V169" i="298" s="1"/>
  <c r="Q445" i="298"/>
  <c r="U445" i="298" s="1"/>
  <c r="V445" i="298" s="1"/>
  <c r="Q230" i="298"/>
  <c r="U230" i="298" s="1"/>
  <c r="V230" i="298" s="1"/>
  <c r="Q114" i="298"/>
  <c r="U114" i="298" s="1"/>
  <c r="V114" i="298" s="1"/>
  <c r="Q71" i="298"/>
  <c r="U71" i="298" s="1"/>
  <c r="V71" i="298" s="1"/>
  <c r="Q187" i="298"/>
  <c r="U187" i="298" s="1"/>
  <c r="V187" i="298" s="1"/>
  <c r="Q304" i="298"/>
  <c r="U304" i="298" s="1"/>
  <c r="V304" i="298" s="1"/>
  <c r="Q280" i="298"/>
  <c r="U280" i="298" s="1"/>
  <c r="V280" i="298" s="1"/>
  <c r="Q231" i="298"/>
  <c r="U231" i="298" s="1"/>
  <c r="V231" i="298" s="1"/>
  <c r="Q223" i="298"/>
  <c r="U223" i="298" s="1"/>
  <c r="V223" i="298" s="1"/>
  <c r="Q227" i="298"/>
  <c r="U227" i="298" s="1"/>
  <c r="V227" i="298" s="1"/>
  <c r="Q239" i="298"/>
  <c r="U239" i="298" s="1"/>
  <c r="V239" i="298" s="1"/>
  <c r="Q330" i="298"/>
  <c r="U330" i="298" s="1"/>
  <c r="V330" i="298" s="1"/>
  <c r="Q474" i="298"/>
  <c r="U474" i="298" s="1"/>
  <c r="V474" i="298" s="1"/>
  <c r="Q306" i="298"/>
  <c r="U306" i="298" s="1"/>
  <c r="V306" i="298" s="1"/>
  <c r="Q492" i="298"/>
  <c r="U492" i="298" s="1"/>
  <c r="V492" i="298" s="1"/>
  <c r="Q366" i="298"/>
  <c r="U366" i="298" s="1"/>
  <c r="V366" i="298" s="1"/>
  <c r="Q382" i="298"/>
  <c r="U382" i="298" s="1"/>
  <c r="V382" i="298" s="1"/>
  <c r="Q303" i="298"/>
  <c r="U303" i="298" s="1"/>
  <c r="V303" i="298" s="1"/>
  <c r="Q335" i="298"/>
  <c r="U335" i="298" s="1"/>
  <c r="V335" i="298" s="1"/>
  <c r="Q462" i="298"/>
  <c r="U462" i="298" s="1"/>
  <c r="V462" i="298" s="1"/>
  <c r="Q440" i="298"/>
  <c r="U440" i="298" s="1"/>
  <c r="V440" i="298" s="1"/>
  <c r="Q392" i="298"/>
  <c r="U392" i="298" s="1"/>
  <c r="V392" i="298" s="1"/>
  <c r="Q286" i="298"/>
  <c r="U286" i="298" s="1"/>
  <c r="V286" i="298" s="1"/>
  <c r="Q496" i="298"/>
  <c r="U496" i="298" s="1"/>
  <c r="V496" i="298" s="1"/>
  <c r="Q270" i="298"/>
  <c r="U270" i="298" s="1"/>
  <c r="V270" i="298" s="1"/>
  <c r="Q136" i="298"/>
  <c r="U136" i="298" s="1"/>
  <c r="V136" i="298" s="1"/>
  <c r="Q501" i="298"/>
  <c r="U501" i="298" s="1"/>
  <c r="V501" i="298" s="1"/>
  <c r="Q318" i="298"/>
  <c r="U318" i="298" s="1"/>
  <c r="V318" i="298" s="1"/>
  <c r="Q433" i="298"/>
  <c r="U433" i="298" s="1"/>
  <c r="V433" i="298" s="1"/>
  <c r="Q506" i="298"/>
  <c r="U506" i="298" s="1"/>
  <c r="V506" i="298" s="1"/>
  <c r="Q346" i="298"/>
  <c r="U346" i="298" s="1"/>
  <c r="V346" i="298" s="1"/>
  <c r="Q148" i="298"/>
  <c r="U148" i="298" s="1"/>
  <c r="V148" i="298" s="1"/>
  <c r="Q387" i="298"/>
  <c r="U387" i="298" s="1"/>
  <c r="V387" i="298" s="1"/>
  <c r="Q53" i="298"/>
  <c r="U53" i="298" s="1"/>
  <c r="V53" i="298" s="1"/>
  <c r="Q481" i="298"/>
  <c r="U481" i="298" s="1"/>
  <c r="V481" i="298" s="1"/>
  <c r="Q209" i="298"/>
  <c r="U209" i="298" s="1"/>
  <c r="V209" i="298" s="1"/>
  <c r="Q245" i="298"/>
  <c r="U245" i="298" s="1"/>
  <c r="V245" i="298" s="1"/>
  <c r="Q243" i="298"/>
  <c r="U243" i="298" s="1"/>
  <c r="V243" i="298" s="1"/>
  <c r="Q110" i="298"/>
  <c r="U110" i="298" s="1"/>
  <c r="V110" i="298" s="1"/>
  <c r="Q483" i="298"/>
  <c r="U483" i="298" s="1"/>
  <c r="V483" i="298" s="1"/>
  <c r="Q54" i="298"/>
  <c r="U54" i="298" s="1"/>
  <c r="V54" i="298" s="1"/>
  <c r="Q456" i="298"/>
  <c r="U456" i="298" s="1"/>
  <c r="V456" i="298" s="1"/>
  <c r="Q121" i="298"/>
  <c r="U121" i="298" s="1"/>
  <c r="V121" i="298" s="1"/>
  <c r="Q384" i="298"/>
  <c r="U384" i="298" s="1"/>
  <c r="V384" i="298" s="1"/>
  <c r="Q51" i="298"/>
  <c r="U51" i="298" s="1"/>
  <c r="V51" i="298" s="1"/>
  <c r="Q259" i="298"/>
  <c r="U259" i="298" s="1"/>
  <c r="V259" i="298" s="1"/>
  <c r="Q103" i="298"/>
  <c r="U103" i="298" s="1"/>
  <c r="V103" i="298" s="1"/>
  <c r="Q240" i="298"/>
  <c r="U240" i="298" s="1"/>
  <c r="V240" i="298" s="1"/>
  <c r="Q225" i="298"/>
  <c r="U225" i="298" s="1"/>
  <c r="V225" i="298" s="1"/>
  <c r="Q171" i="298"/>
  <c r="U171" i="298" s="1"/>
  <c r="V171" i="298" s="1"/>
  <c r="Q436" i="298"/>
  <c r="U436" i="298" s="1"/>
  <c r="V436" i="298" s="1"/>
  <c r="Q177" i="298"/>
  <c r="U177" i="298" s="1"/>
  <c r="V177" i="298" s="1"/>
  <c r="Q119" i="298"/>
  <c r="U119" i="298" s="1"/>
  <c r="V119" i="298" s="1"/>
  <c r="Q134" i="298"/>
  <c r="U134" i="298" s="1"/>
  <c r="V134" i="298" s="1"/>
  <c r="Q40" i="298"/>
  <c r="U40" i="298" s="1"/>
  <c r="V40" i="298" s="1"/>
  <c r="Q453" i="298"/>
  <c r="U453" i="298" s="1"/>
  <c r="V453" i="298" s="1"/>
  <c r="Q454" i="298"/>
  <c r="U454" i="298" s="1"/>
  <c r="V454" i="298" s="1"/>
  <c r="Q504" i="298"/>
  <c r="U504" i="298" s="1"/>
  <c r="V504" i="298" s="1"/>
  <c r="Q354" i="298"/>
  <c r="U354" i="298" s="1"/>
  <c r="V354" i="298" s="1"/>
  <c r="Q107" i="298"/>
  <c r="U107" i="298" s="1"/>
  <c r="V107" i="298" s="1"/>
  <c r="Q324" i="298"/>
  <c r="U324" i="298" s="1"/>
  <c r="V324" i="298" s="1"/>
  <c r="Q165" i="298"/>
  <c r="U165" i="298" s="1"/>
  <c r="V165" i="298" s="1"/>
  <c r="Q39" i="298"/>
  <c r="U39" i="298" s="1"/>
  <c r="V39" i="298" s="1"/>
  <c r="Q203" i="298"/>
  <c r="U203" i="298" s="1"/>
  <c r="V203" i="298" s="1"/>
  <c r="Q172" i="298"/>
  <c r="U172" i="298" s="1"/>
  <c r="V172" i="298" s="1"/>
  <c r="Q364" i="298"/>
  <c r="U364" i="298" s="1"/>
  <c r="V364" i="298" s="1"/>
  <c r="Q156" i="298"/>
  <c r="U156" i="298" s="1"/>
  <c r="V156" i="298" s="1"/>
  <c r="Q150" i="298"/>
  <c r="U150" i="298" s="1"/>
  <c r="V150" i="298" s="1"/>
  <c r="Q398" i="298"/>
  <c r="U398" i="298" s="1"/>
  <c r="V398" i="298" s="1"/>
  <c r="Q348" i="298"/>
  <c r="U348" i="298" s="1"/>
  <c r="V348" i="298" s="1"/>
  <c r="Q253" i="298"/>
  <c r="U253" i="298" s="1"/>
  <c r="V253" i="298" s="1"/>
  <c r="Q429" i="298"/>
  <c r="U429" i="298" s="1"/>
  <c r="V429" i="298" s="1"/>
  <c r="Q414" i="298"/>
  <c r="U414" i="298" s="1"/>
  <c r="V414" i="298" s="1"/>
  <c r="Q331" i="298"/>
  <c r="U331" i="298" s="1"/>
  <c r="V331" i="298" s="1"/>
  <c r="Q235" i="298"/>
  <c r="U235" i="298" s="1"/>
  <c r="V235" i="298" s="1"/>
  <c r="Q487" i="298"/>
  <c r="U487" i="298" s="1"/>
  <c r="V487" i="298" s="1"/>
  <c r="Q48" i="298"/>
  <c r="U48" i="298" s="1"/>
  <c r="V48" i="298" s="1"/>
  <c r="Q273" i="298"/>
  <c r="U273" i="298" s="1"/>
  <c r="V273" i="298" s="1"/>
  <c r="Q109" i="298"/>
  <c r="U109" i="298" s="1"/>
  <c r="V109" i="298" s="1"/>
  <c r="Q195" i="298"/>
  <c r="U195" i="298" s="1"/>
  <c r="V195" i="298" s="1"/>
  <c r="Q63" i="298"/>
  <c r="U63" i="298" s="1"/>
  <c r="V63" i="298" s="1"/>
  <c r="Q88" i="298"/>
  <c r="U88" i="298" s="1"/>
  <c r="V88" i="298" s="1"/>
  <c r="Q511" i="298"/>
  <c r="U511" i="298" s="1"/>
  <c r="V511" i="298" s="1"/>
  <c r="Q507" i="298"/>
  <c r="U507" i="298" s="1"/>
  <c r="V507" i="298" s="1"/>
  <c r="Q50" i="298"/>
  <c r="U50" i="298" s="1"/>
  <c r="V50" i="298" s="1"/>
  <c r="Q458" i="298"/>
  <c r="U458" i="298" s="1"/>
  <c r="V458" i="298" s="1"/>
  <c r="Q52" i="298"/>
  <c r="U52" i="298" s="1"/>
  <c r="V52" i="298" s="1"/>
  <c r="Q237" i="298"/>
  <c r="U237" i="298" s="1"/>
  <c r="V237" i="298" s="1"/>
  <c r="Q59" i="298"/>
  <c r="U59" i="298" s="1"/>
  <c r="V59" i="298" s="1"/>
  <c r="Q425" i="298"/>
  <c r="U425" i="298" s="1"/>
  <c r="V425" i="298" s="1"/>
  <c r="Q94" i="298"/>
  <c r="U94" i="298" s="1"/>
  <c r="V94" i="298" s="1"/>
  <c r="Q416" i="298"/>
  <c r="U416" i="298" s="1"/>
  <c r="V416" i="298" s="1"/>
  <c r="Q489" i="298"/>
  <c r="U489" i="298" s="1"/>
  <c r="V489" i="298" s="1"/>
  <c r="Q296" i="298"/>
  <c r="U296" i="298" s="1"/>
  <c r="V296" i="298" s="1"/>
  <c r="Q319" i="298"/>
  <c r="U319" i="298" s="1"/>
  <c r="V319" i="298" s="1"/>
  <c r="Q443" i="298"/>
  <c r="U443" i="298" s="1"/>
  <c r="V443" i="298" s="1"/>
  <c r="Q120" i="298"/>
  <c r="U120" i="298" s="1"/>
  <c r="V120" i="298" s="1"/>
  <c r="Q160" i="298"/>
  <c r="U160" i="298" s="1"/>
  <c r="V160" i="298" s="1"/>
  <c r="Q62" i="298"/>
  <c r="U62" i="298" s="1"/>
  <c r="V62" i="298" s="1"/>
  <c r="Q327" i="298"/>
  <c r="U327" i="298" s="1"/>
  <c r="V327" i="298" s="1"/>
  <c r="Q406" i="298"/>
  <c r="U406" i="298" s="1"/>
  <c r="V406" i="298" s="1"/>
  <c r="Q466" i="298"/>
  <c r="U466" i="298" s="1"/>
  <c r="V466" i="298" s="1"/>
  <c r="Q84" i="298"/>
  <c r="U84" i="298" s="1"/>
  <c r="V84" i="298" s="1"/>
  <c r="Q47" i="298"/>
  <c r="U47" i="298" s="1"/>
  <c r="V47" i="298" s="1"/>
  <c r="Q61" i="298"/>
  <c r="U61" i="298" s="1"/>
  <c r="V61" i="298" s="1"/>
  <c r="Q123" i="298"/>
  <c r="U123" i="298" s="1"/>
  <c r="V123" i="298" s="1"/>
  <c r="Q67" i="298"/>
  <c r="U67" i="298" s="1"/>
  <c r="V67" i="298" s="1"/>
  <c r="Q49" i="298"/>
  <c r="U49" i="298" s="1"/>
  <c r="V49" i="298" s="1"/>
  <c r="Q513" i="298"/>
  <c r="U513" i="298" s="1"/>
  <c r="V513" i="298" s="1"/>
  <c r="Q369" i="298"/>
  <c r="U369" i="298" s="1"/>
  <c r="V369" i="298" s="1"/>
  <c r="Q356" i="298"/>
  <c r="U356" i="298" s="1"/>
  <c r="V356" i="298" s="1"/>
  <c r="Q164" i="298"/>
  <c r="U164" i="298" s="1"/>
  <c r="V164" i="298" s="1"/>
  <c r="Q502" i="298"/>
  <c r="U502" i="298" s="1"/>
  <c r="V502" i="298" s="1"/>
  <c r="Q183" i="298"/>
  <c r="U183" i="298" s="1"/>
  <c r="V183" i="298" s="1"/>
  <c r="Q375" i="298"/>
  <c r="U375" i="298" s="1"/>
  <c r="V375" i="298" s="1"/>
  <c r="Q297" i="298"/>
  <c r="U297" i="298" s="1"/>
  <c r="V297" i="298" s="1"/>
  <c r="Q201" i="298"/>
  <c r="U201" i="298" s="1"/>
  <c r="V201" i="298" s="1"/>
  <c r="Q128" i="298"/>
  <c r="U128" i="298" s="1"/>
  <c r="V128" i="298" s="1"/>
  <c r="Q131" i="298"/>
  <c r="U131" i="298" s="1"/>
  <c r="V131" i="298" s="1"/>
  <c r="Q269" i="298"/>
  <c r="U269" i="298" s="1"/>
  <c r="V269" i="298" s="1"/>
  <c r="Q72" i="298"/>
  <c r="U72" i="298" s="1"/>
  <c r="V72" i="298" s="1"/>
  <c r="Q437" i="298"/>
  <c r="U437" i="298" s="1"/>
  <c r="V437" i="298" s="1"/>
  <c r="Q275" i="298"/>
  <c r="U275" i="298" s="1"/>
  <c r="V275" i="298" s="1"/>
  <c r="Q491" i="298"/>
  <c r="U491" i="298" s="1"/>
  <c r="V491" i="298" s="1"/>
  <c r="Q299" i="298"/>
  <c r="U299" i="298" s="1"/>
  <c r="V299" i="298" s="1"/>
  <c r="Q229" i="298"/>
  <c r="U229" i="298" s="1"/>
  <c r="V229" i="298" s="1"/>
  <c r="Q265" i="298"/>
  <c r="U265" i="298" s="1"/>
  <c r="V265" i="298" s="1"/>
  <c r="Q41" i="298"/>
  <c r="U41" i="298" s="1"/>
  <c r="V41" i="298" s="1"/>
  <c r="Q266" i="298"/>
  <c r="U266" i="298" s="1"/>
  <c r="V266" i="298" s="1"/>
  <c r="Q371" i="298"/>
  <c r="U371" i="298" s="1"/>
  <c r="V371" i="298" s="1"/>
  <c r="Q153" i="298"/>
  <c r="U153" i="298" s="1"/>
  <c r="V153" i="298" s="1"/>
  <c r="Q494" i="298"/>
  <c r="U494" i="298" s="1"/>
  <c r="V494" i="298" s="1"/>
  <c r="Q145" i="298"/>
  <c r="U145" i="298" s="1"/>
  <c r="V145" i="298" s="1"/>
  <c r="Q463" i="298"/>
  <c r="U463" i="298" s="1"/>
  <c r="V463" i="298" s="1"/>
  <c r="Q226" i="298"/>
  <c r="U226" i="298" s="1"/>
  <c r="V226" i="298" s="1"/>
  <c r="Q64" i="298"/>
  <c r="U64" i="298" s="1"/>
  <c r="V64" i="298" s="1"/>
  <c r="Q405" i="298"/>
  <c r="U405" i="298" s="1"/>
  <c r="V405" i="298" s="1"/>
  <c r="Q495" i="298"/>
  <c r="U495" i="298" s="1"/>
  <c r="V495" i="298" s="1"/>
  <c r="Q333" i="298"/>
  <c r="U333" i="298" s="1"/>
  <c r="V333" i="298" s="1"/>
  <c r="Q251" i="298"/>
  <c r="U251" i="298" s="1"/>
  <c r="V251" i="298" s="1"/>
  <c r="Q321" i="298"/>
  <c r="U321" i="298" s="1"/>
  <c r="V321" i="298" s="1"/>
  <c r="Q323" i="298"/>
  <c r="U323" i="298" s="1"/>
  <c r="V323" i="298" s="1"/>
  <c r="Q418" i="298"/>
  <c r="U418" i="298" s="1"/>
  <c r="V418" i="298" s="1"/>
  <c r="Q68" i="298"/>
  <c r="U68" i="298" s="1"/>
  <c r="V68" i="298" s="1"/>
  <c r="Q79" i="298"/>
  <c r="U79" i="298" s="1"/>
  <c r="V79" i="298" s="1"/>
  <c r="Q241" i="298"/>
  <c r="U241" i="298" s="1"/>
  <c r="V241" i="298" s="1"/>
  <c r="Q111" i="298"/>
  <c r="U111" i="298" s="1"/>
  <c r="V111" i="298" s="1"/>
  <c r="Q471" i="298"/>
  <c r="U471" i="298" s="1"/>
  <c r="V471" i="298" s="1"/>
  <c r="Q142" i="298"/>
  <c r="U142" i="298" s="1"/>
  <c r="V142" i="298" s="1"/>
  <c r="Q465" i="298"/>
  <c r="U465" i="298" s="1"/>
  <c r="V465" i="298" s="1"/>
  <c r="Q34" i="298"/>
  <c r="U34" i="298" s="1"/>
  <c r="V34" i="298" s="1"/>
  <c r="Q101" i="298"/>
  <c r="U101" i="298" s="1"/>
  <c r="V101" i="298" s="1"/>
  <c r="Q192" i="298"/>
  <c r="U192" i="298" s="1"/>
  <c r="V192" i="298" s="1"/>
  <c r="Q283" i="298"/>
  <c r="U283" i="298" s="1"/>
  <c r="V283" i="298" s="1"/>
  <c r="Q215" i="298"/>
  <c r="U215" i="298" s="1"/>
  <c r="V215" i="298" s="1"/>
  <c r="Q485" i="298"/>
  <c r="U485" i="298" s="1"/>
  <c r="V485" i="298" s="1"/>
  <c r="Q186" i="298"/>
  <c r="U186" i="298" s="1"/>
  <c r="V186" i="298" s="1"/>
  <c r="Q189" i="298"/>
  <c r="U189" i="298" s="1"/>
  <c r="V189" i="298" s="1"/>
  <c r="Q360" i="298"/>
  <c r="U360" i="298" s="1"/>
  <c r="V360" i="298" s="1"/>
  <c r="Q461" i="298"/>
  <c r="U461" i="298" s="1"/>
  <c r="V461" i="298" s="1"/>
  <c r="Q180" i="298"/>
  <c r="U180" i="298" s="1"/>
  <c r="V180" i="298" s="1"/>
  <c r="Q374" i="298"/>
  <c r="U374" i="298" s="1"/>
  <c r="V374" i="298" s="1"/>
  <c r="Q493" i="298"/>
  <c r="U493" i="298" s="1"/>
  <c r="V493" i="298" s="1"/>
  <c r="Q332" i="298"/>
  <c r="U332" i="298" s="1"/>
  <c r="V332" i="298" s="1"/>
  <c r="Q179" i="298"/>
  <c r="U179" i="298" s="1"/>
  <c r="V179" i="298" s="1"/>
  <c r="Q113" i="298"/>
  <c r="U113" i="298" s="1"/>
  <c r="V113" i="298" s="1"/>
  <c r="Q149" i="298"/>
  <c r="U149" i="298" s="1"/>
  <c r="V149" i="298" s="1"/>
  <c r="Q497" i="298"/>
  <c r="U497" i="298" s="1"/>
  <c r="V497" i="298" s="1"/>
  <c r="Q302" i="298"/>
  <c r="U302" i="298" s="1"/>
  <c r="V302" i="298" s="1"/>
  <c r="Q219" i="298"/>
  <c r="U219" i="298" s="1"/>
  <c r="V219" i="298" s="1"/>
  <c r="Q325" i="298"/>
  <c r="U325" i="298" s="1"/>
  <c r="V325" i="298" s="1"/>
  <c r="Q193" i="298"/>
  <c r="U193" i="298" s="1"/>
  <c r="V193" i="298" s="1"/>
  <c r="Q309" i="298"/>
  <c r="U309" i="298" s="1"/>
  <c r="V309" i="298" s="1"/>
  <c r="Q499" i="298"/>
  <c r="U499" i="298" s="1"/>
  <c r="V499" i="298" s="1"/>
  <c r="Q146" i="298"/>
  <c r="U146" i="298" s="1"/>
  <c r="V146" i="298" s="1"/>
  <c r="Q291" i="298"/>
  <c r="U291" i="298" s="1"/>
  <c r="V291" i="298" s="1"/>
  <c r="Q81" i="298"/>
  <c r="U81" i="298" s="1"/>
  <c r="V81" i="298" s="1"/>
  <c r="Q267" i="298"/>
  <c r="U267" i="298" s="1"/>
  <c r="V267" i="298" s="1"/>
  <c r="Q388" i="298"/>
  <c r="U388" i="298" s="1"/>
  <c r="V388" i="298" s="1"/>
  <c r="Q181" i="298"/>
  <c r="U181" i="298" s="1"/>
  <c r="V181" i="298" s="1"/>
  <c r="Q282" i="298"/>
  <c r="U282" i="298" s="1"/>
  <c r="V282" i="298" s="1"/>
  <c r="Q315" i="298"/>
  <c r="U315" i="298" s="1"/>
  <c r="V315" i="298" s="1"/>
  <c r="Q140" i="298"/>
  <c r="U140" i="298" s="1"/>
  <c r="V140" i="298" s="1"/>
  <c r="Q498" i="298"/>
  <c r="U498" i="298" s="1"/>
  <c r="V498" i="298" s="1"/>
  <c r="Q144" i="298"/>
  <c r="U144" i="298" s="1"/>
  <c r="V144" i="298" s="1"/>
  <c r="Q428" i="298"/>
  <c r="U428" i="298" s="1"/>
  <c r="V428" i="298" s="1"/>
  <c r="Q470" i="298"/>
  <c r="U470" i="298" s="1"/>
  <c r="V470" i="298" s="1"/>
  <c r="Q415" i="298"/>
  <c r="U415" i="298" s="1"/>
  <c r="V415" i="298" s="1"/>
  <c r="Q345" i="298"/>
  <c r="U345" i="298" s="1"/>
  <c r="V345" i="298" s="1"/>
  <c r="Q385" i="298"/>
  <c r="U385" i="298" s="1"/>
  <c r="V385" i="298" s="1"/>
  <c r="Q78" i="298"/>
  <c r="U78" i="298" s="1"/>
  <c r="V78" i="298" s="1"/>
  <c r="Q90" i="298"/>
  <c r="U90" i="298" s="1"/>
  <c r="V90" i="298" s="1"/>
  <c r="Q473" i="298"/>
  <c r="U473" i="298" s="1"/>
  <c r="V473" i="298" s="1"/>
  <c r="Q255" i="298"/>
  <c r="U255" i="298" s="1"/>
  <c r="V255" i="298" s="1"/>
  <c r="Q221" i="298"/>
  <c r="U221" i="298" s="1"/>
  <c r="V221" i="298" s="1"/>
  <c r="Q338" i="298"/>
  <c r="U338" i="298" s="1"/>
  <c r="V338" i="298" s="1"/>
  <c r="Q95" i="298"/>
  <c r="U95" i="298" s="1"/>
  <c r="V95" i="298" s="1"/>
  <c r="Q118" i="298"/>
  <c r="U118" i="298" s="1"/>
  <c r="V118" i="298" s="1"/>
  <c r="Q232" i="298"/>
  <c r="U232" i="298" s="1"/>
  <c r="V232" i="298" s="1"/>
  <c r="L97" i="180"/>
  <c r="D18" i="297"/>
  <c r="E18" i="297"/>
  <c r="E18" i="310"/>
  <c r="K109" i="293" a="1"/>
  <c r="K109" i="293" s="1"/>
  <c r="L107" i="180"/>
  <c r="K93" i="293" a="1"/>
  <c r="K93" i="293" s="1"/>
  <c r="L91" i="180"/>
  <c r="M34" i="180"/>
  <c r="H37" i="293" s="1" a="1"/>
  <c r="H37" i="293" s="1"/>
  <c r="M73" i="180"/>
  <c r="H75" i="293" s="1" a="1"/>
  <c r="H75" i="293" s="1"/>
  <c r="N73" i="180"/>
  <c r="M75" i="293" s="1" a="1"/>
  <c r="M75" i="293" s="1"/>
  <c r="N38" i="180"/>
  <c r="R38" i="180" s="1"/>
  <c r="O73" i="180"/>
  <c r="N75" i="293" s="1" a="1"/>
  <c r="N75" i="293" s="1"/>
  <c r="O38" i="180"/>
  <c r="P34" i="180"/>
  <c r="O37" i="293" s="1" a="1"/>
  <c r="O37" i="293" s="1"/>
  <c r="R34" i="180"/>
  <c r="L37" i="293" s="1" a="1"/>
  <c r="L37" i="293" s="1"/>
  <c r="T38" i="180"/>
  <c r="T73" i="180"/>
  <c r="V38" i="180"/>
  <c r="V73" i="180"/>
  <c r="K38" i="180"/>
  <c r="L38" i="180" s="1"/>
  <c r="K73" i="180"/>
  <c r="K75" i="293" s="1" a="1"/>
  <c r="K75" i="293" s="1"/>
  <c r="W38" i="180"/>
  <c r="W73" i="180"/>
  <c r="Q75" i="293" s="1" a="1"/>
  <c r="Q75" i="293" s="1"/>
  <c r="K34" i="180"/>
  <c r="K37" i="293" s="1" a="1"/>
  <c r="K37" i="293" s="1"/>
  <c r="W34" i="180"/>
  <c r="Q37" i="293" s="1" a="1"/>
  <c r="Q37" i="293" s="1"/>
  <c r="T34" i="180"/>
  <c r="V34" i="180"/>
  <c r="H20" i="260"/>
  <c r="H20" i="261"/>
  <c r="O108" i="180" a="1"/>
  <c r="N92" i="180" a="1"/>
  <c r="I103" i="180" a="1"/>
  <c r="N17" i="180" a="1"/>
  <c r="I89" i="180" a="1"/>
  <c r="I105" i="180" a="1"/>
  <c r="N100" i="180" a="1"/>
  <c r="N107" i="180" a="1"/>
  <c r="N104" i="180" a="1"/>
  <c r="I97" i="180" a="1"/>
  <c r="I90" i="180" a="1"/>
  <c r="N99" i="180" a="1"/>
  <c r="N91" i="180" a="1"/>
  <c r="I108" i="180" a="1"/>
  <c r="I99" i="180" a="1"/>
  <c r="I107" i="180" a="1"/>
  <c r="W91" i="180" a="1"/>
  <c r="I101" i="180" a="1"/>
  <c r="N93" i="180" a="1"/>
  <c r="N94" i="180" a="1"/>
  <c r="O92" i="180" a="1"/>
  <c r="I102" i="180" a="1"/>
  <c r="N106" i="180" a="1"/>
  <c r="I106" i="180" a="1"/>
  <c r="N108" i="180" a="1"/>
  <c r="I104" i="180" a="1"/>
  <c r="N101" i="180" a="1"/>
  <c r="W102" i="180" a="1"/>
  <c r="I17" i="180" a="1"/>
  <c r="N105" i="180" a="1"/>
  <c r="I91" i="180" a="1"/>
  <c r="I92" i="180" a="1"/>
  <c r="N95" i="180" a="1"/>
  <c r="I93" i="180" a="1"/>
  <c r="I94" i="180" a="1"/>
  <c r="N26" i="180" a="1"/>
  <c r="N90" i="180" a="1"/>
  <c r="P73" i="180" a="1"/>
  <c r="I100" i="180" a="1"/>
  <c r="W94" i="180" a="1"/>
  <c r="V96" i="180" a="1"/>
  <c r="J26" i="180" a="1"/>
  <c r="N103" i="180" a="1"/>
  <c r="I95" i="180" a="1"/>
  <c r="P38" i="180" a="1"/>
  <c r="V90" i="180" a="1"/>
  <c r="W95" i="180" a="1"/>
  <c r="W99" i="180" a="1"/>
  <c r="I96" i="180" a="1"/>
  <c r="N97" i="180" a="1"/>
  <c r="V93" i="180" a="1"/>
  <c r="N102" i="180" a="1"/>
  <c r="I98" i="180" a="1"/>
  <c r="O26" i="180" a="1"/>
  <c r="P104" i="180" a="1"/>
  <c r="N98" i="180" a="1"/>
  <c r="I26" i="180" a="1"/>
  <c r="Q112" i="298" l="1"/>
  <c r="U112" i="298" s="1"/>
  <c r="V112" i="298" s="1"/>
  <c r="Q184" i="298"/>
  <c r="U184" i="298" s="1"/>
  <c r="V184" i="298" s="1"/>
  <c r="Q178" i="298"/>
  <c r="U178" i="298" s="1"/>
  <c r="V178" i="298" s="1"/>
  <c r="Q452" i="298"/>
  <c r="U452" i="298" s="1"/>
  <c r="V452" i="298" s="1"/>
  <c r="Q213" i="298"/>
  <c r="U213" i="298" s="1"/>
  <c r="V213" i="298" s="1"/>
  <c r="Q376" i="298"/>
  <c r="U376" i="298" s="1"/>
  <c r="V376" i="298" s="1"/>
  <c r="Q138" i="298"/>
  <c r="U138" i="298" s="1"/>
  <c r="V138" i="298" s="1"/>
  <c r="Q287" i="298"/>
  <c r="U287" i="298" s="1"/>
  <c r="V287" i="298" s="1"/>
  <c r="Q75" i="298"/>
  <c r="U75" i="298" s="1"/>
  <c r="V75" i="298" s="1"/>
  <c r="Q301" i="298"/>
  <c r="U301" i="298" s="1"/>
  <c r="V301" i="298" s="1"/>
  <c r="Q503" i="298"/>
  <c r="U503" i="298" s="1"/>
  <c r="V503" i="298" s="1"/>
  <c r="Q380" i="298"/>
  <c r="U380" i="298" s="1"/>
  <c r="V380" i="298" s="1"/>
  <c r="Q191" i="298"/>
  <c r="U191" i="298" s="1"/>
  <c r="V191" i="298" s="1"/>
  <c r="Q435" i="298"/>
  <c r="U435" i="298" s="1"/>
  <c r="V435" i="298" s="1"/>
  <c r="Q87" i="298"/>
  <c r="U87" i="298" s="1"/>
  <c r="V87" i="298" s="1"/>
  <c r="Q152" i="298"/>
  <c r="U152" i="298" s="1"/>
  <c r="V152" i="298" s="1"/>
  <c r="Q276" i="298"/>
  <c r="U276" i="298" s="1"/>
  <c r="V276" i="298" s="1"/>
  <c r="Q234" i="298"/>
  <c r="U234" i="298" s="1"/>
  <c r="V234" i="298" s="1"/>
  <c r="Q311" i="298"/>
  <c r="U311" i="298" s="1"/>
  <c r="V311" i="298" s="1"/>
  <c r="Q104" i="298"/>
  <c r="U104" i="298" s="1"/>
  <c r="V104" i="298" s="1"/>
  <c r="K110" i="293" a="1"/>
  <c r="K110" i="293" s="1"/>
  <c r="Q401" i="298"/>
  <c r="U401" i="298" s="1"/>
  <c r="V401" i="298" s="1"/>
  <c r="Q421" i="298"/>
  <c r="U421" i="298" s="1"/>
  <c r="V421" i="298" s="1"/>
  <c r="Q222" i="298"/>
  <c r="U222" i="298" s="1"/>
  <c r="V222" i="298" s="1"/>
  <c r="Q126" i="298"/>
  <c r="U126" i="298" s="1"/>
  <c r="V126" i="298" s="1"/>
  <c r="Q431" i="298"/>
  <c r="U431" i="298" s="1"/>
  <c r="V431" i="298" s="1"/>
  <c r="Q329" i="298"/>
  <c r="U329" i="298" s="1"/>
  <c r="V329" i="298" s="1"/>
  <c r="Q457" i="298"/>
  <c r="U457" i="298" s="1"/>
  <c r="V457" i="298" s="1"/>
  <c r="Q89" i="298"/>
  <c r="U89" i="298" s="1"/>
  <c r="V89" i="298" s="1"/>
  <c r="Q317" i="298"/>
  <c r="U317" i="298" s="1"/>
  <c r="V317" i="298" s="1"/>
  <c r="Q294" i="298"/>
  <c r="U294" i="298" s="1"/>
  <c r="V294" i="298" s="1"/>
  <c r="Q271" i="298"/>
  <c r="U271" i="298" s="1"/>
  <c r="V271" i="298" s="1"/>
  <c r="Q236" i="298"/>
  <c r="U236" i="298" s="1"/>
  <c r="V236" i="298" s="1"/>
  <c r="Q478" i="298"/>
  <c r="U478" i="298" s="1"/>
  <c r="V478" i="298" s="1"/>
  <c r="K98" i="293" a="1"/>
  <c r="K98" i="293" s="1"/>
  <c r="Q370" i="298"/>
  <c r="U370" i="298" s="1"/>
  <c r="V370" i="298" s="1"/>
  <c r="Q450" i="298"/>
  <c r="U450" i="298" s="1"/>
  <c r="V450" i="298" s="1"/>
  <c r="Q69" i="298"/>
  <c r="U69" i="298" s="1"/>
  <c r="V69" i="298" s="1"/>
  <c r="Q409" i="298"/>
  <c r="U409" i="298" s="1"/>
  <c r="V409" i="298" s="1"/>
  <c r="Q442" i="298"/>
  <c r="U442" i="298" s="1"/>
  <c r="V442" i="298" s="1"/>
  <c r="Q451" i="298"/>
  <c r="U451" i="298" s="1"/>
  <c r="V451" i="298" s="1"/>
  <c r="Q277" i="298"/>
  <c r="U277" i="298" s="1"/>
  <c r="V277" i="298" s="1"/>
  <c r="Q205" i="298"/>
  <c r="U205" i="298" s="1"/>
  <c r="V205" i="298" s="1"/>
  <c r="Q290" i="298"/>
  <c r="U290" i="298" s="1"/>
  <c r="V290" i="298" s="1"/>
  <c r="Q200" i="298"/>
  <c r="U200" i="298" s="1"/>
  <c r="V200" i="298" s="1"/>
  <c r="Q211" i="298"/>
  <c r="U211" i="298" s="1"/>
  <c r="V211" i="298" s="1"/>
  <c r="Q224" i="298"/>
  <c r="U224" i="298" s="1"/>
  <c r="V224" i="298" s="1"/>
  <c r="Q412" i="298"/>
  <c r="U412" i="298" s="1"/>
  <c r="V412" i="298" s="1"/>
  <c r="K92" i="293" a="1"/>
  <c r="K92" i="293" s="1"/>
  <c r="Q347" i="298"/>
  <c r="U347" i="298" s="1"/>
  <c r="V347" i="298" s="1"/>
  <c r="Q515" i="298"/>
  <c r="U515" i="298" s="1"/>
  <c r="V515" i="298" s="1"/>
  <c r="Q490" i="298"/>
  <c r="U490" i="298" s="1"/>
  <c r="V490" i="298" s="1"/>
  <c r="Q238" i="298"/>
  <c r="U238" i="298" s="1"/>
  <c r="V238" i="298" s="1"/>
  <c r="Q372" i="298"/>
  <c r="U372" i="298" s="1"/>
  <c r="V372" i="298" s="1"/>
  <c r="Q337" i="298"/>
  <c r="U337" i="298" s="1"/>
  <c r="V337" i="298" s="1"/>
  <c r="Q439" i="298"/>
  <c r="U439" i="298" s="1"/>
  <c r="V439" i="298" s="1"/>
  <c r="Q154" i="298"/>
  <c r="U154" i="298" s="1"/>
  <c r="V154" i="298" s="1"/>
  <c r="Q358" i="298"/>
  <c r="U358" i="298" s="1"/>
  <c r="V358" i="298" s="1"/>
  <c r="Q132" i="298"/>
  <c r="U132" i="298" s="1"/>
  <c r="V132" i="298" s="1"/>
  <c r="Q93" i="298"/>
  <c r="U93" i="298" s="1"/>
  <c r="V93" i="298" s="1"/>
  <c r="Q459" i="298"/>
  <c r="U459" i="298" s="1"/>
  <c r="V459" i="298" s="1"/>
  <c r="Q197" i="298"/>
  <c r="U197" i="298" s="1"/>
  <c r="V197" i="298" s="1"/>
  <c r="Q438" i="298"/>
  <c r="U438" i="298" s="1"/>
  <c r="V438" i="298" s="1"/>
  <c r="Q92" i="298"/>
  <c r="U92" i="298" s="1"/>
  <c r="V92" i="298" s="1"/>
  <c r="Q100" i="298"/>
  <c r="U100" i="298" s="1"/>
  <c r="V100" i="298" s="1"/>
  <c r="Q434" i="298"/>
  <c r="U434" i="298" s="1"/>
  <c r="V434" i="298" s="1"/>
  <c r="Q98" i="298"/>
  <c r="U98" i="298" s="1"/>
  <c r="V98" i="298" s="1"/>
  <c r="Q158" i="298"/>
  <c r="U158" i="298" s="1"/>
  <c r="V158" i="298" s="1"/>
  <c r="Q37" i="298"/>
  <c r="U37" i="298" s="1"/>
  <c r="V37" i="298" s="1"/>
  <c r="Q122" i="298"/>
  <c r="U122" i="298" s="1"/>
  <c r="V122" i="298" s="1"/>
  <c r="Q194" i="298"/>
  <c r="U194" i="298" s="1"/>
  <c r="V194" i="298" s="1"/>
  <c r="Q417" i="298"/>
  <c r="U417" i="298" s="1"/>
  <c r="V417" i="298" s="1"/>
  <c r="Q212" i="298"/>
  <c r="U212" i="298" s="1"/>
  <c r="V212" i="298" s="1"/>
  <c r="Q137" i="298"/>
  <c r="U137" i="298" s="1"/>
  <c r="V137" i="298" s="1"/>
  <c r="Q254" i="298"/>
  <c r="U254" i="298" s="1"/>
  <c r="V254" i="298" s="1"/>
  <c r="Q423" i="298"/>
  <c r="U423" i="298" s="1"/>
  <c r="V423" i="298" s="1"/>
  <c r="Q167" i="298"/>
  <c r="U167" i="298" s="1"/>
  <c r="V167" i="298" s="1"/>
  <c r="Q381" i="298"/>
  <c r="U381" i="298" s="1"/>
  <c r="V381" i="298" s="1"/>
  <c r="Q135" i="298"/>
  <c r="U135" i="298" s="1"/>
  <c r="V135" i="298" s="1"/>
  <c r="Q367" i="298"/>
  <c r="U367" i="298" s="1"/>
  <c r="V367" i="298" s="1"/>
  <c r="Q105" i="298"/>
  <c r="U105" i="298" s="1"/>
  <c r="V105" i="298" s="1"/>
  <c r="Q244" i="298"/>
  <c r="U244" i="298" s="1"/>
  <c r="V244" i="298" s="1"/>
  <c r="Q162" i="298"/>
  <c r="U162" i="298" s="1"/>
  <c r="V162" i="298" s="1"/>
  <c r="Q106" i="298"/>
  <c r="U106" i="298" s="1"/>
  <c r="V106" i="298" s="1"/>
  <c r="Q73" i="298"/>
  <c r="U73" i="298" s="1"/>
  <c r="V73" i="298" s="1"/>
  <c r="Q127" i="298"/>
  <c r="U127" i="298" s="1"/>
  <c r="V127" i="298" s="1"/>
  <c r="Q174" i="298"/>
  <c r="U174" i="298" s="1"/>
  <c r="V174" i="298" s="1"/>
  <c r="Q188" i="298"/>
  <c r="U188" i="298" s="1"/>
  <c r="V188" i="298" s="1"/>
  <c r="Q361" i="298"/>
  <c r="U361" i="298" s="1"/>
  <c r="V361" i="298" s="1"/>
  <c r="Q308" i="298"/>
  <c r="U308" i="298" s="1"/>
  <c r="V308" i="298" s="1"/>
  <c r="Q340" i="298"/>
  <c r="U340" i="298" s="1"/>
  <c r="V340" i="298" s="1"/>
  <c r="Q56" i="298"/>
  <c r="U56" i="298" s="1"/>
  <c r="V56" i="298" s="1"/>
  <c r="Q413" i="298"/>
  <c r="U413" i="298" s="1"/>
  <c r="V413" i="298" s="1"/>
  <c r="Q124" i="298"/>
  <c r="U124" i="298" s="1"/>
  <c r="V124" i="298" s="1"/>
  <c r="Q383" i="298"/>
  <c r="U383" i="298" s="1"/>
  <c r="V383" i="298" s="1"/>
  <c r="Q246" i="298"/>
  <c r="U246" i="298" s="1"/>
  <c r="V246" i="298" s="1"/>
  <c r="Q464" i="298"/>
  <c r="U464" i="298" s="1"/>
  <c r="V464" i="298" s="1"/>
  <c r="Q279" i="298"/>
  <c r="U279" i="298" s="1"/>
  <c r="V279" i="298" s="1"/>
  <c r="Q170" i="298"/>
  <c r="U170" i="298" s="1"/>
  <c r="V170" i="298" s="1"/>
  <c r="Q252" i="298"/>
  <c r="U252" i="298" s="1"/>
  <c r="V252" i="298" s="1"/>
  <c r="Q377" i="298"/>
  <c r="U377" i="298" s="1"/>
  <c r="V377" i="298" s="1"/>
  <c r="Q216" i="298"/>
  <c r="U216" i="298" s="1"/>
  <c r="V216" i="298" s="1"/>
  <c r="Q419" i="298"/>
  <c r="U419" i="298" s="1"/>
  <c r="V419" i="298" s="1"/>
  <c r="Q43" i="298"/>
  <c r="U43" i="298" s="1"/>
  <c r="V43" i="298" s="1"/>
  <c r="Q359" i="298"/>
  <c r="U359" i="298" s="1"/>
  <c r="V359" i="298" s="1"/>
  <c r="Q176" i="298"/>
  <c r="U176" i="298" s="1"/>
  <c r="V176" i="298" s="1"/>
  <c r="Q475" i="298"/>
  <c r="U475" i="298" s="1"/>
  <c r="V475" i="298" s="1"/>
  <c r="Q35" i="298"/>
  <c r="U35" i="298" s="1"/>
  <c r="V35" i="298" s="1"/>
  <c r="Q397" i="298"/>
  <c r="U397" i="298" s="1"/>
  <c r="V397" i="298" s="1"/>
  <c r="Q469" i="298"/>
  <c r="U469" i="298" s="1"/>
  <c r="V469" i="298" s="1"/>
  <c r="Q57" i="298"/>
  <c r="U57" i="298" s="1"/>
  <c r="V57" i="298" s="1"/>
  <c r="Q484" i="298"/>
  <c r="U484" i="298" s="1"/>
  <c r="V484" i="298" s="1"/>
  <c r="Q102" i="298"/>
  <c r="U102" i="298" s="1"/>
  <c r="V102" i="298" s="1"/>
  <c r="Q80" i="298"/>
  <c r="U80" i="298" s="1"/>
  <c r="V80" i="298" s="1"/>
  <c r="Q322" i="298"/>
  <c r="U322" i="298" s="1"/>
  <c r="V322" i="298" s="1"/>
  <c r="Q91" i="298"/>
  <c r="U91" i="298" s="1"/>
  <c r="V91" i="298" s="1"/>
  <c r="Q400" i="298"/>
  <c r="U400" i="298" s="1"/>
  <c r="V400" i="298" s="1"/>
  <c r="Q422" i="298"/>
  <c r="U422" i="298" s="1"/>
  <c r="V422" i="298" s="1"/>
  <c r="Q214" i="298"/>
  <c r="U214" i="298" s="1"/>
  <c r="V214" i="298" s="1"/>
  <c r="Q510" i="298"/>
  <c r="U510" i="298" s="1"/>
  <c r="V510" i="298" s="1"/>
  <c r="Q66" i="298"/>
  <c r="U66" i="298" s="1"/>
  <c r="V66" i="298" s="1"/>
  <c r="Q334" i="298"/>
  <c r="U334" i="298" s="1"/>
  <c r="V334" i="298" s="1"/>
  <c r="Q411" i="298"/>
  <c r="U411" i="298" s="1"/>
  <c r="V411" i="298" s="1"/>
  <c r="Q258" i="298"/>
  <c r="U258" i="298" s="1"/>
  <c r="V258" i="298" s="1"/>
  <c r="Q320" i="298"/>
  <c r="U320" i="298" s="1"/>
  <c r="V320" i="298" s="1"/>
  <c r="Q233" i="298"/>
  <c r="U233" i="298" s="1"/>
  <c r="V233" i="298" s="1"/>
  <c r="Q147" i="298"/>
  <c r="U147" i="298" s="1"/>
  <c r="V147" i="298" s="1"/>
  <c r="I17" i="180"/>
  <c r="M17" i="180" s="1"/>
  <c r="H20" i="293" s="1" a="1"/>
  <c r="H20" i="293" s="1"/>
  <c r="Y105" i="180"/>
  <c r="R107" i="293" s="1" a="1"/>
  <c r="R107" i="293" s="1"/>
  <c r="Y17" i="180"/>
  <c r="R20" i="293" s="1" a="1"/>
  <c r="R20" i="293" s="1"/>
  <c r="K101" i="293" a="1"/>
  <c r="K101" i="293" s="1"/>
  <c r="Q514" i="298"/>
  <c r="U514" i="298" s="1"/>
  <c r="V514" i="298" s="1"/>
  <c r="Q402" i="298"/>
  <c r="U402" i="298" s="1"/>
  <c r="V402" i="298" s="1"/>
  <c r="Q281" i="298"/>
  <c r="U281" i="298" s="1"/>
  <c r="V281" i="298" s="1"/>
  <c r="Q447" i="298"/>
  <c r="U447" i="298" s="1"/>
  <c r="V447" i="298" s="1"/>
  <c r="Q285" i="298"/>
  <c r="U285" i="298" s="1"/>
  <c r="V285" i="298" s="1"/>
  <c r="Q206" i="298"/>
  <c r="U206" i="298" s="1"/>
  <c r="V206" i="298" s="1"/>
  <c r="Q284" i="298"/>
  <c r="U284" i="298" s="1"/>
  <c r="V284" i="298" s="1"/>
  <c r="Q486" i="298"/>
  <c r="U486" i="298" s="1"/>
  <c r="V486" i="298" s="1"/>
  <c r="Q480" i="298"/>
  <c r="U480" i="298" s="1"/>
  <c r="V480" i="298" s="1"/>
  <c r="Q262" i="298"/>
  <c r="U262" i="298" s="1"/>
  <c r="V262" i="298" s="1"/>
  <c r="Q293" i="298"/>
  <c r="U293" i="298" s="1"/>
  <c r="V293" i="298" s="1"/>
  <c r="Q472" i="298"/>
  <c r="U472" i="298" s="1"/>
  <c r="V472" i="298" s="1"/>
  <c r="Q168" i="298"/>
  <c r="U168" i="298" s="1"/>
  <c r="V168" i="298" s="1"/>
  <c r="Q295" i="298"/>
  <c r="U295" i="298" s="1"/>
  <c r="V295" i="298" s="1"/>
  <c r="Q256" i="298"/>
  <c r="U256" i="298" s="1"/>
  <c r="V256" i="298" s="1"/>
  <c r="Q362" i="298"/>
  <c r="U362" i="298" s="1"/>
  <c r="V362" i="298" s="1"/>
  <c r="Q300" i="298"/>
  <c r="U300" i="298" s="1"/>
  <c r="V300" i="298" s="1"/>
  <c r="Q505" i="298"/>
  <c r="U505" i="298" s="1"/>
  <c r="V505" i="298" s="1"/>
  <c r="Q208" i="298"/>
  <c r="U208" i="298" s="1"/>
  <c r="V208" i="298" s="1"/>
  <c r="Q133" i="298"/>
  <c r="U133" i="298" s="1"/>
  <c r="V133" i="298" s="1"/>
  <c r="Q343" i="298"/>
  <c r="U343" i="298" s="1"/>
  <c r="V343" i="298" s="1"/>
  <c r="Q391" i="298"/>
  <c r="U391" i="298" s="1"/>
  <c r="V391" i="298" s="1"/>
  <c r="Q198" i="298"/>
  <c r="U198" i="298" s="1"/>
  <c r="V198" i="298" s="1"/>
  <c r="Q38" i="298"/>
  <c r="U38" i="298" s="1"/>
  <c r="V38" i="298" s="1"/>
  <c r="Q386" i="298"/>
  <c r="U386" i="298" s="1"/>
  <c r="V386" i="298" s="1"/>
  <c r="Q351" i="298"/>
  <c r="U351" i="298" s="1"/>
  <c r="V351" i="298" s="1"/>
  <c r="Q33" i="298"/>
  <c r="U33" i="298" s="1"/>
  <c r="V33" i="298" s="1"/>
  <c r="Q355" i="298"/>
  <c r="U355" i="298" s="1"/>
  <c r="V355" i="298" s="1"/>
  <c r="Q175" i="298"/>
  <c r="U175" i="298" s="1"/>
  <c r="V175" i="298" s="1"/>
  <c r="Q218" i="298"/>
  <c r="U218" i="298" s="1"/>
  <c r="V218" i="298" s="1"/>
  <c r="Q344" i="298"/>
  <c r="U344" i="298" s="1"/>
  <c r="V344" i="298" s="1"/>
  <c r="Q196" i="298"/>
  <c r="U196" i="298" s="1"/>
  <c r="V196" i="298" s="1"/>
  <c r="Q207" i="298"/>
  <c r="U207" i="298" s="1"/>
  <c r="V207" i="298" s="1"/>
  <c r="Q190" i="298"/>
  <c r="U190" i="298" s="1"/>
  <c r="V190" i="298" s="1"/>
  <c r="Q74" i="298"/>
  <c r="U74" i="298" s="1"/>
  <c r="V74" i="298" s="1"/>
  <c r="Q85" i="298"/>
  <c r="U85" i="298" s="1"/>
  <c r="V85" i="298" s="1"/>
  <c r="Q36" i="298"/>
  <c r="U36" i="298" s="1"/>
  <c r="V36" i="298" s="1"/>
  <c r="Q363" i="298"/>
  <c r="U363" i="298" s="1"/>
  <c r="V363" i="298" s="1"/>
  <c r="Q151" i="298"/>
  <c r="U151" i="298" s="1"/>
  <c r="V151" i="298" s="1"/>
  <c r="Q476" i="298"/>
  <c r="U476" i="298" s="1"/>
  <c r="V476" i="298" s="1"/>
  <c r="Q139" i="298"/>
  <c r="U139" i="298" s="1"/>
  <c r="V139" i="298" s="1"/>
  <c r="Q407" i="298"/>
  <c r="U407" i="298" s="1"/>
  <c r="V407" i="298" s="1"/>
  <c r="Q217" i="298"/>
  <c r="U217" i="298" s="1"/>
  <c r="V217" i="298" s="1"/>
  <c r="Q58" i="298"/>
  <c r="U58" i="298" s="1"/>
  <c r="V58" i="298" s="1"/>
  <c r="Q228" i="298"/>
  <c r="U228" i="298" s="1"/>
  <c r="V228" i="298" s="1"/>
  <c r="Q307" i="298"/>
  <c r="U307" i="298" s="1"/>
  <c r="V307" i="298" s="1"/>
  <c r="Q349" i="298"/>
  <c r="U349" i="298" s="1"/>
  <c r="V349" i="298" s="1"/>
  <c r="Q444" i="298"/>
  <c r="U444" i="298" s="1"/>
  <c r="V444" i="298" s="1"/>
  <c r="Q130" i="298"/>
  <c r="U130" i="298" s="1"/>
  <c r="V130" i="298" s="1"/>
  <c r="Q157" i="298"/>
  <c r="U157" i="298" s="1"/>
  <c r="V157" i="298" s="1"/>
  <c r="Q393" i="298"/>
  <c r="U393" i="298" s="1"/>
  <c r="V393" i="298" s="1"/>
  <c r="Q210" i="298"/>
  <c r="U210" i="298" s="1"/>
  <c r="V210" i="298" s="1"/>
  <c r="Q408" i="298"/>
  <c r="U408" i="298" s="1"/>
  <c r="V408" i="298" s="1"/>
  <c r="Q313" i="298"/>
  <c r="U313" i="298" s="1"/>
  <c r="V313" i="298" s="1"/>
  <c r="Q449" i="298"/>
  <c r="U449" i="298" s="1"/>
  <c r="V449" i="298" s="1"/>
  <c r="Q249" i="298"/>
  <c r="U249" i="298" s="1"/>
  <c r="V249" i="298" s="1"/>
  <c r="Q389" i="298"/>
  <c r="U389" i="298" s="1"/>
  <c r="V389" i="298" s="1"/>
  <c r="Q394" i="298"/>
  <c r="U394" i="298" s="1"/>
  <c r="V394" i="298" s="1"/>
  <c r="Q404" i="298"/>
  <c r="U404" i="298" s="1"/>
  <c r="V404" i="298" s="1"/>
  <c r="Q97" i="298"/>
  <c r="U97" i="298" s="1"/>
  <c r="V97" i="298" s="1"/>
  <c r="Q99" i="298"/>
  <c r="U99" i="298" s="1"/>
  <c r="V99" i="298" s="1"/>
  <c r="Q247" i="298"/>
  <c r="U247" i="298" s="1"/>
  <c r="V247" i="298" s="1"/>
  <c r="Q373" i="298"/>
  <c r="U373" i="298" s="1"/>
  <c r="V373" i="298" s="1"/>
  <c r="Q467" i="298"/>
  <c r="U467" i="298" s="1"/>
  <c r="V467" i="298" s="1"/>
  <c r="Q512" i="298"/>
  <c r="U512" i="298" s="1"/>
  <c r="V512" i="298" s="1"/>
  <c r="Q446" i="298"/>
  <c r="U446" i="298" s="1"/>
  <c r="V446" i="298" s="1"/>
  <c r="Q328" i="298"/>
  <c r="U328" i="298" s="1"/>
  <c r="V328" i="298" s="1"/>
  <c r="Q143" i="298"/>
  <c r="U143" i="298" s="1"/>
  <c r="V143" i="298" s="1"/>
  <c r="Q70" i="298"/>
  <c r="U70" i="298" s="1"/>
  <c r="V70" i="298" s="1"/>
  <c r="Q261" i="298"/>
  <c r="U261" i="298" s="1"/>
  <c r="V261" i="298" s="1"/>
  <c r="L93" i="180"/>
  <c r="L89" i="180"/>
  <c r="Q403" i="298"/>
  <c r="U403" i="298" s="1"/>
  <c r="V403" i="298" s="1"/>
  <c r="Q166" i="298"/>
  <c r="U166" i="298" s="1"/>
  <c r="V166" i="298" s="1"/>
  <c r="Q341" i="298"/>
  <c r="U341" i="298" s="1"/>
  <c r="V341" i="298" s="1"/>
  <c r="Q432" i="298"/>
  <c r="U432" i="298" s="1"/>
  <c r="V432" i="298" s="1"/>
  <c r="Q260" i="298"/>
  <c r="U260" i="298" s="1"/>
  <c r="V260" i="298" s="1"/>
  <c r="Q365" i="298"/>
  <c r="U365" i="298" s="1"/>
  <c r="V365" i="298" s="1"/>
  <c r="Q292" i="298"/>
  <c r="U292" i="298" s="1"/>
  <c r="V292" i="298" s="1"/>
  <c r="Q399" i="298"/>
  <c r="U399" i="298" s="1"/>
  <c r="V399" i="298" s="1"/>
  <c r="Q468" i="298"/>
  <c r="U468" i="298" s="1"/>
  <c r="V468" i="298" s="1"/>
  <c r="Q163" i="298"/>
  <c r="U163" i="298" s="1"/>
  <c r="V163" i="298" s="1"/>
  <c r="Q378" i="298"/>
  <c r="U378" i="298" s="1"/>
  <c r="V378" i="298" s="1"/>
  <c r="Q352" i="298"/>
  <c r="U352" i="298" s="1"/>
  <c r="V352" i="298" s="1"/>
  <c r="Q460" i="298"/>
  <c r="U460" i="298" s="1"/>
  <c r="V460" i="298" s="1"/>
  <c r="Q390" i="298"/>
  <c r="U390" i="298" s="1"/>
  <c r="V390" i="298" s="1"/>
  <c r="Q155" i="298"/>
  <c r="U155" i="298" s="1"/>
  <c r="V155" i="298" s="1"/>
  <c r="Q185" i="298"/>
  <c r="U185" i="298" s="1"/>
  <c r="V185" i="298" s="1"/>
  <c r="Q342" i="298"/>
  <c r="U342" i="298" s="1"/>
  <c r="V342" i="298" s="1"/>
  <c r="Y103" i="180"/>
  <c r="R105" i="293" s="1" a="1"/>
  <c r="R105" i="293" s="1"/>
  <c r="Q455" i="298"/>
  <c r="U455" i="298" s="1"/>
  <c r="V455" i="298" s="1"/>
  <c r="Q257" i="298"/>
  <c r="U257" i="298" s="1"/>
  <c r="V257" i="298" s="1"/>
  <c r="Q427" i="298"/>
  <c r="U427" i="298" s="1"/>
  <c r="V427" i="298" s="1"/>
  <c r="Q500" i="298"/>
  <c r="U500" i="298" s="1"/>
  <c r="V500" i="298" s="1"/>
  <c r="Q129" i="298"/>
  <c r="U129" i="298" s="1"/>
  <c r="V129" i="298" s="1"/>
  <c r="Q248" i="298"/>
  <c r="U248" i="298" s="1"/>
  <c r="V248" i="298" s="1"/>
  <c r="Q509" i="298"/>
  <c r="U509" i="298" s="1"/>
  <c r="V509" i="298" s="1"/>
  <c r="Q310" i="298"/>
  <c r="U310" i="298" s="1"/>
  <c r="V310" i="298" s="1"/>
  <c r="Q482" i="298"/>
  <c r="U482" i="298" s="1"/>
  <c r="V482" i="298" s="1"/>
  <c r="Q353" i="298"/>
  <c r="U353" i="298" s="1"/>
  <c r="V353" i="298" s="1"/>
  <c r="Q298" i="298"/>
  <c r="U298" i="298" s="1"/>
  <c r="V298" i="298" s="1"/>
  <c r="Q182" i="298"/>
  <c r="U182" i="298" s="1"/>
  <c r="V182" i="298" s="1"/>
  <c r="Q424" i="298"/>
  <c r="U424" i="298" s="1"/>
  <c r="V424" i="298" s="1"/>
  <c r="Q263" i="298"/>
  <c r="U263" i="298" s="1"/>
  <c r="V263" i="298" s="1"/>
  <c r="Q55" i="298"/>
  <c r="U55" i="298" s="1"/>
  <c r="V55" i="298" s="1"/>
  <c r="Q477" i="298"/>
  <c r="U477" i="298" s="1"/>
  <c r="V477" i="298" s="1"/>
  <c r="Q420" i="298"/>
  <c r="U420" i="298" s="1"/>
  <c r="V420" i="298" s="1"/>
  <c r="Q65" i="298"/>
  <c r="U65" i="298" s="1"/>
  <c r="V65" i="298" s="1"/>
  <c r="Q83" i="298"/>
  <c r="U83" i="298" s="1"/>
  <c r="V83" i="298" s="1"/>
  <c r="Q430" i="298"/>
  <c r="U430" i="298" s="1"/>
  <c r="V430" i="298" s="1"/>
  <c r="Q45" i="298"/>
  <c r="U45" i="298" s="1"/>
  <c r="V45" i="298" s="1"/>
  <c r="Q441" i="298"/>
  <c r="U441" i="298" s="1"/>
  <c r="V441" i="298" s="1"/>
  <c r="Q350" i="298"/>
  <c r="U350" i="298" s="1"/>
  <c r="V350" i="298" s="1"/>
  <c r="Q336" i="298"/>
  <c r="U336" i="298" s="1"/>
  <c r="V336" i="298" s="1"/>
  <c r="Q357" i="298"/>
  <c r="U357" i="298" s="1"/>
  <c r="V357" i="298" s="1"/>
  <c r="Q479" i="298"/>
  <c r="U479" i="298" s="1"/>
  <c r="V479" i="298" s="1"/>
  <c r="Q339" i="298"/>
  <c r="U339" i="298" s="1"/>
  <c r="V339" i="298" s="1"/>
  <c r="Q161" i="298"/>
  <c r="U161" i="298" s="1"/>
  <c r="V161" i="298" s="1"/>
  <c r="Q368" i="298"/>
  <c r="U368" i="298" s="1"/>
  <c r="V368" i="298" s="1"/>
  <c r="Q312" i="298"/>
  <c r="U312" i="298" s="1"/>
  <c r="V312" i="298" s="1"/>
  <c r="Q82" i="298"/>
  <c r="U82" i="298" s="1"/>
  <c r="V82" i="298" s="1"/>
  <c r="Q274" i="298"/>
  <c r="U274" i="298" s="1"/>
  <c r="V274" i="298" s="1"/>
  <c r="L98" i="180"/>
  <c r="L103" i="180"/>
  <c r="D20" i="297"/>
  <c r="K107" i="293" a="1"/>
  <c r="K107" i="293" s="1"/>
  <c r="E20" i="297"/>
  <c r="I91" i="180"/>
  <c r="M91" i="180" s="1"/>
  <c r="H93" i="293" s="1" a="1"/>
  <c r="H93" i="293" s="1"/>
  <c r="I90" i="180"/>
  <c r="M90" i="180" s="1"/>
  <c r="H92" i="293" s="1" a="1"/>
  <c r="H92" i="293" s="1"/>
  <c r="L95" i="180"/>
  <c r="K106" i="293" a="1"/>
  <c r="K106" i="293" s="1"/>
  <c r="K102" i="293" a="1"/>
  <c r="K102" i="293" s="1"/>
  <c r="Y89" i="180"/>
  <c r="R91" i="293" s="1" a="1"/>
  <c r="R91" i="293" s="1"/>
  <c r="O26" i="180"/>
  <c r="N29" i="293" s="1" a="1"/>
  <c r="N29" i="293" s="1"/>
  <c r="I99" i="180"/>
  <c r="I101" i="293" s="1" a="1"/>
  <c r="I101" i="293" s="1"/>
  <c r="I100" i="180"/>
  <c r="M100" i="180" s="1"/>
  <c r="H102" i="293" s="1" a="1"/>
  <c r="H102" i="293" s="1"/>
  <c r="I107" i="180"/>
  <c r="I109" i="293" s="1" a="1"/>
  <c r="I109" i="293" s="1"/>
  <c r="J26" i="180"/>
  <c r="J29" i="293" s="1" a="1"/>
  <c r="J29" i="293" s="1"/>
  <c r="I102" i="180"/>
  <c r="I104" i="293" s="1" a="1"/>
  <c r="I104" i="293" s="1"/>
  <c r="I104" i="180"/>
  <c r="I106" i="293" s="1" a="1"/>
  <c r="I106" i="293" s="1"/>
  <c r="I103" i="180"/>
  <c r="I105" i="293" s="1" a="1"/>
  <c r="I105" i="293" s="1"/>
  <c r="I98" i="180"/>
  <c r="I100" i="293" s="1" a="1"/>
  <c r="I100" i="293" s="1"/>
  <c r="I108" i="180"/>
  <c r="I110" i="293" s="1" a="1"/>
  <c r="I110" i="293" s="1"/>
  <c r="I105" i="180"/>
  <c r="I107" i="293" s="1" a="1"/>
  <c r="I107" i="293" s="1"/>
  <c r="I94" i="180"/>
  <c r="M94" i="180" s="1"/>
  <c r="H96" i="293" s="1" a="1"/>
  <c r="H96" i="293" s="1"/>
  <c r="L106" i="180"/>
  <c r="W95" i="180"/>
  <c r="Q97" i="293" s="1" a="1"/>
  <c r="Q97" i="293" s="1"/>
  <c r="P104" i="180"/>
  <c r="Y104" i="180" s="1"/>
  <c r="R106" i="293" s="1" a="1"/>
  <c r="R106" i="293" s="1"/>
  <c r="I93" i="180"/>
  <c r="M93" i="180" s="1"/>
  <c r="H95" i="293" s="1" a="1"/>
  <c r="H95" i="293" s="1"/>
  <c r="O92" i="180"/>
  <c r="N94" i="293" s="1" a="1"/>
  <c r="N94" i="293" s="1"/>
  <c r="I96" i="180"/>
  <c r="I98" i="293" s="1" a="1"/>
  <c r="I98" i="293" s="1"/>
  <c r="I97" i="180"/>
  <c r="I99" i="293" s="1" a="1"/>
  <c r="I99" i="293" s="1"/>
  <c r="W102" i="180"/>
  <c r="Q104" i="293" s="1" a="1"/>
  <c r="Q104" i="293" s="1"/>
  <c r="W99" i="180"/>
  <c r="Q101" i="293" s="1" a="1"/>
  <c r="Q101" i="293" s="1"/>
  <c r="I92" i="180"/>
  <c r="M92" i="180" s="1"/>
  <c r="H94" i="293" s="1" a="1"/>
  <c r="H94" i="293" s="1"/>
  <c r="V93" i="180"/>
  <c r="I95" i="180"/>
  <c r="M95" i="180" s="1"/>
  <c r="H97" i="293" s="1" a="1"/>
  <c r="H97" i="293" s="1"/>
  <c r="I106" i="180"/>
  <c r="M106" i="180" s="1"/>
  <c r="H108" i="293" s="1" a="1"/>
  <c r="H108" i="293" s="1"/>
  <c r="W91" i="180"/>
  <c r="Q93" i="293" s="1" a="1"/>
  <c r="Q93" i="293" s="1"/>
  <c r="I89" i="180"/>
  <c r="M89" i="180" s="1"/>
  <c r="H91" i="293" s="1" a="1"/>
  <c r="H91" i="293" s="1"/>
  <c r="I101" i="180"/>
  <c r="M101" i="180" s="1"/>
  <c r="H103" i="293" s="1" a="1"/>
  <c r="H103" i="293" s="1"/>
  <c r="V90" i="180"/>
  <c r="O108" i="180"/>
  <c r="N110" i="293" s="1" a="1"/>
  <c r="N110" i="293" s="1"/>
  <c r="V96" i="180"/>
  <c r="W94" i="180"/>
  <c r="Q96" i="293" s="1" a="1"/>
  <c r="Q96" i="293" s="1"/>
  <c r="E46" i="308"/>
  <c r="Y92" i="180"/>
  <c r="R94" i="293" s="1" a="1"/>
  <c r="R94" i="293" s="1"/>
  <c r="L94" i="180"/>
  <c r="E18" i="308"/>
  <c r="Y99" i="180"/>
  <c r="R101" i="293" s="1" a="1"/>
  <c r="R101" i="293" s="1"/>
  <c r="N94" i="180"/>
  <c r="N103" i="180"/>
  <c r="N26" i="180"/>
  <c r="I26" i="180"/>
  <c r="N97" i="180"/>
  <c r="N91" i="180"/>
  <c r="N95" i="180"/>
  <c r="N101" i="180"/>
  <c r="N99" i="180"/>
  <c r="N100" i="180"/>
  <c r="N93" i="180"/>
  <c r="N98" i="180"/>
  <c r="N105" i="180"/>
  <c r="N107" i="180"/>
  <c r="N102" i="180"/>
  <c r="N17" i="180"/>
  <c r="N106" i="180"/>
  <c r="N90" i="180"/>
  <c r="N108" i="180"/>
  <c r="N92" i="180"/>
  <c r="N104" i="180"/>
  <c r="Q99" i="180"/>
  <c r="O101" i="293" a="1"/>
  <c r="O101" i="293" s="1"/>
  <c r="Y93" i="180"/>
  <c r="R95" i="293" s="1" a="1"/>
  <c r="R95" i="293" s="1"/>
  <c r="O95" i="293" a="1"/>
  <c r="O95" i="293" s="1"/>
  <c r="Q93" i="180"/>
  <c r="Y100" i="180"/>
  <c r="R102" i="293" s="1" a="1"/>
  <c r="R102" i="293" s="1"/>
  <c r="O102" i="293" a="1"/>
  <c r="O102" i="293" s="1"/>
  <c r="Q100" i="180"/>
  <c r="Y101" i="180"/>
  <c r="R103" i="293" s="1" a="1"/>
  <c r="R103" i="293" s="1"/>
  <c r="Q101" i="180"/>
  <c r="O103" i="293" a="1"/>
  <c r="O103" i="293" s="1"/>
  <c r="Y95" i="180"/>
  <c r="R97" i="293" s="1" a="1"/>
  <c r="R97" i="293" s="1"/>
  <c r="O97" i="293" a="1"/>
  <c r="O97" i="293" s="1"/>
  <c r="Q95" i="180"/>
  <c r="Y90" i="180"/>
  <c r="R92" i="293" s="1" a="1"/>
  <c r="R92" i="293" s="1"/>
  <c r="Q90" i="180"/>
  <c r="O92" i="293" a="1"/>
  <c r="O92" i="293" s="1"/>
  <c r="Y98" i="180"/>
  <c r="R100" i="293" s="1" a="1"/>
  <c r="R100" i="293" s="1"/>
  <c r="O100" i="293" a="1"/>
  <c r="O100" i="293" s="1"/>
  <c r="Q98" i="180"/>
  <c r="F20" i="305" a="1"/>
  <c r="F20" i="305" s="1"/>
  <c r="F52" i="305" a="1"/>
  <c r="F52" i="305" s="1"/>
  <c r="F36" i="305" a="1"/>
  <c r="F36" i="305" s="1"/>
  <c r="F48" i="305" a="1"/>
  <c r="F48" i="305" s="1"/>
  <c r="F44" i="305" a="1"/>
  <c r="F44" i="305" s="1"/>
  <c r="F28" i="305" a="1"/>
  <c r="F28" i="305" s="1"/>
  <c r="F32" i="305" a="1"/>
  <c r="F32" i="305" s="1"/>
  <c r="F40" i="305" a="1"/>
  <c r="F40" i="305" s="1"/>
  <c r="F24" i="305" a="1"/>
  <c r="F24" i="305" s="1"/>
  <c r="M104" i="180"/>
  <c r="H106" i="293" s="1" a="1"/>
  <c r="H106" i="293" s="1"/>
  <c r="O109" i="293" a="1"/>
  <c r="O109" i="293" s="1"/>
  <c r="Q107" i="180"/>
  <c r="D28" i="305" a="1"/>
  <c r="D28" i="305" s="1"/>
  <c r="D20" i="305" a="1"/>
  <c r="D20" i="305" s="1"/>
  <c r="D52" i="305" a="1"/>
  <c r="D52" i="305" s="1"/>
  <c r="D44" i="305" a="1"/>
  <c r="D44" i="305" s="1"/>
  <c r="D24" i="305" a="1"/>
  <c r="D24" i="305" s="1"/>
  <c r="D32" i="305" a="1"/>
  <c r="D32" i="305" s="1"/>
  <c r="D40" i="305" a="1"/>
  <c r="D40" i="305" s="1"/>
  <c r="O20" i="293" a="1"/>
  <c r="O20" i="293" s="1"/>
  <c r="Q17" i="180"/>
  <c r="D36" i="305" a="1"/>
  <c r="D36" i="305" s="1"/>
  <c r="D48" i="305" a="1"/>
  <c r="D48" i="305" s="1"/>
  <c r="Y91" i="180"/>
  <c r="R93" i="293" s="1" a="1"/>
  <c r="R93" i="293" s="1"/>
  <c r="O93" i="293" a="1"/>
  <c r="O93" i="293" s="1"/>
  <c r="Q91" i="180"/>
  <c r="O107" i="293" a="1"/>
  <c r="O107" i="293" s="1"/>
  <c r="Q105" i="180"/>
  <c r="Y97" i="180"/>
  <c r="R99" i="293" s="1" a="1"/>
  <c r="R99" i="293" s="1"/>
  <c r="O99" i="293" a="1"/>
  <c r="O99" i="293" s="1"/>
  <c r="Q97" i="180"/>
  <c r="I102" i="293" a="1"/>
  <c r="I102" i="293" s="1"/>
  <c r="Q89" i="180"/>
  <c r="O91" i="293" a="1"/>
  <c r="O91" i="293" s="1"/>
  <c r="D19" i="298"/>
  <c r="E19" i="298"/>
  <c r="Q108" i="180"/>
  <c r="O110" i="293" a="1"/>
  <c r="O110" i="293" s="1"/>
  <c r="Y94" i="180"/>
  <c r="R96" i="293" s="1" a="1"/>
  <c r="R96" i="293" s="1"/>
  <c r="O96" i="293" a="1"/>
  <c r="O96" i="293" s="1"/>
  <c r="Q94" i="180"/>
  <c r="Y106" i="180"/>
  <c r="R108" i="293" s="1" a="1"/>
  <c r="R108" i="293" s="1"/>
  <c r="Q106" i="180"/>
  <c r="O108" i="293" a="1"/>
  <c r="O108" i="293" s="1"/>
  <c r="Y96" i="180"/>
  <c r="R98" i="293" s="1" a="1"/>
  <c r="R98" i="293" s="1"/>
  <c r="Q96" i="180"/>
  <c r="O98" i="293" a="1"/>
  <c r="O98" i="293" s="1"/>
  <c r="N20" i="293" a="1"/>
  <c r="N20" i="293" s="1"/>
  <c r="D27" i="305" a="1"/>
  <c r="D27" i="305" s="1"/>
  <c r="D47" i="305" a="1"/>
  <c r="D47" i="305" s="1"/>
  <c r="D23" i="305" a="1"/>
  <c r="D23" i="305" s="1"/>
  <c r="D35" i="305" a="1"/>
  <c r="D35" i="305" s="1"/>
  <c r="D39" i="305" a="1"/>
  <c r="D39" i="305" s="1"/>
  <c r="D43" i="305" a="1"/>
  <c r="D43" i="305" s="1"/>
  <c r="D31" i="305" a="1"/>
  <c r="D31" i="305" s="1"/>
  <c r="D51" i="305" a="1"/>
  <c r="D51" i="305" s="1"/>
  <c r="D19" i="305" a="1"/>
  <c r="D19" i="305" s="1"/>
  <c r="O94" i="293" a="1"/>
  <c r="O94" i="293" s="1"/>
  <c r="Q92" i="180"/>
  <c r="O105" i="293" a="1"/>
  <c r="O105" i="293" s="1"/>
  <c r="Q103" i="180"/>
  <c r="F50" i="305" a="1"/>
  <c r="F50" i="305" s="1"/>
  <c r="F38" i="305" a="1"/>
  <c r="F38" i="305" s="1"/>
  <c r="F46" i="305" a="1"/>
  <c r="F46" i="305" s="1"/>
  <c r="F18" i="305" a="1"/>
  <c r="F18" i="305" s="1"/>
  <c r="F34" i="305" a="1"/>
  <c r="F34" i="305" s="1"/>
  <c r="F30" i="305" a="1"/>
  <c r="F30" i="305" s="1"/>
  <c r="F22" i="305" a="1"/>
  <c r="F22" i="305" s="1"/>
  <c r="F26" i="305" a="1"/>
  <c r="F26" i="305" s="1"/>
  <c r="F42" i="305" a="1"/>
  <c r="F42" i="305" s="1"/>
  <c r="AE32" i="298"/>
  <c r="Y102" i="180"/>
  <c r="R104" i="293" s="1" a="1"/>
  <c r="R104" i="293" s="1"/>
  <c r="Q102" i="180"/>
  <c r="O104" i="293" a="1"/>
  <c r="O104" i="293" s="1"/>
  <c r="L34" i="180"/>
  <c r="L73" i="180"/>
  <c r="R73" i="180"/>
  <c r="L75" i="293" s="1" a="1"/>
  <c r="L75" i="293" s="1"/>
  <c r="P73" i="180"/>
  <c r="P38" i="180"/>
  <c r="Q38" i="180" s="1"/>
  <c r="Q34" i="180"/>
  <c r="Y34" i="180"/>
  <c r="R37" i="293" s="1" a="1"/>
  <c r="R37" i="293" s="1"/>
  <c r="K112" i="180" a="1"/>
  <c r="K110" i="180" a="1"/>
  <c r="U109" i="180" a="1"/>
  <c r="U115" i="180" a="1"/>
  <c r="J113" i="180" a="1"/>
  <c r="T115" i="180" a="1"/>
  <c r="U116" i="180" a="1"/>
  <c r="U110" i="180" a="1"/>
  <c r="K26" i="180" a="1"/>
  <c r="T116" i="180" a="1"/>
  <c r="K114" i="180" a="1"/>
  <c r="T114" i="180" a="1"/>
  <c r="K116" i="180" a="1"/>
  <c r="P26" i="180" a="1"/>
  <c r="T112" i="180" a="1"/>
  <c r="J117" i="180" a="1"/>
  <c r="T110" i="180" a="1"/>
  <c r="T111" i="180" a="1"/>
  <c r="K117" i="180" a="1"/>
  <c r="U117" i="180" a="1"/>
  <c r="J115" i="180" a="1"/>
  <c r="J116" i="180" a="1"/>
  <c r="J111" i="180" a="1"/>
  <c r="J109" i="180" a="1"/>
  <c r="U111" i="180" a="1"/>
  <c r="T117" i="180" a="1"/>
  <c r="K111" i="180" a="1"/>
  <c r="T109" i="180" a="1"/>
  <c r="N96" i="180" a="1"/>
  <c r="U113" i="180" a="1"/>
  <c r="N89" i="180" a="1"/>
  <c r="J112" i="180" a="1"/>
  <c r="U114" i="180" a="1"/>
  <c r="J110" i="180" a="1"/>
  <c r="K113" i="180" a="1"/>
  <c r="K115" i="180" a="1"/>
  <c r="J27" i="180" a="1"/>
  <c r="O27" i="180" a="1"/>
  <c r="U112" i="180" a="1"/>
  <c r="T113" i="180" a="1"/>
  <c r="J114" i="180" a="1"/>
  <c r="K109" i="180" a="1"/>
  <c r="I92" i="293" l="1" a="1"/>
  <c r="I92" i="293" s="1"/>
  <c r="I20" i="293" a="1"/>
  <c r="I20" i="293" s="1"/>
  <c r="I108" i="293" a="1"/>
  <c r="I108" i="293" s="1"/>
  <c r="Q104" i="180"/>
  <c r="I97" i="293" a="1"/>
  <c r="I97" i="293" s="1"/>
  <c r="I93" i="293" a="1"/>
  <c r="I93" i="293" s="1"/>
  <c r="AE33" i="298"/>
  <c r="E20" i="298" s="1"/>
  <c r="M108" i="180"/>
  <c r="H110" i="293" s="1" a="1"/>
  <c r="H110" i="293" s="1"/>
  <c r="M102" i="180"/>
  <c r="H104" i="293" s="1" a="1"/>
  <c r="H104" i="293" s="1"/>
  <c r="K26" i="180"/>
  <c r="L26" i="180" s="1"/>
  <c r="M99" i="180"/>
  <c r="H101" i="293" s="1" a="1"/>
  <c r="H101" i="293" s="1"/>
  <c r="P26" i="180"/>
  <c r="O29" i="293" s="1" a="1"/>
  <c r="O29" i="293" s="1"/>
  <c r="M107" i="180"/>
  <c r="H109" i="293" s="1" a="1"/>
  <c r="H109" i="293" s="1"/>
  <c r="I96" i="293" a="1"/>
  <c r="I96" i="293" s="1"/>
  <c r="M97" i="180"/>
  <c r="H99" i="293" s="1" a="1"/>
  <c r="H99" i="293" s="1"/>
  <c r="M103" i="180"/>
  <c r="H105" i="293" s="1" a="1"/>
  <c r="H105" i="293" s="1"/>
  <c r="M98" i="180"/>
  <c r="H100" i="293" s="1" a="1"/>
  <c r="H100" i="293" s="1"/>
  <c r="M96" i="180"/>
  <c r="H98" i="293" s="1" a="1"/>
  <c r="H98" i="293" s="1"/>
  <c r="O106" i="293" a="1"/>
  <c r="O106" i="293" s="1"/>
  <c r="I94" i="293" a="1"/>
  <c r="I94" i="293" s="1"/>
  <c r="I91" i="293" a="1"/>
  <c r="I91" i="293" s="1"/>
  <c r="M105" i="180"/>
  <c r="H107" i="293" s="1" a="1"/>
  <c r="H107" i="293" s="1"/>
  <c r="I95" i="293" a="1"/>
  <c r="I95" i="293" s="1"/>
  <c r="N89" i="180"/>
  <c r="R89" i="180" s="1"/>
  <c r="L91" i="293" s="1" a="1"/>
  <c r="L91" i="293" s="1"/>
  <c r="N96" i="180"/>
  <c r="R96" i="180" s="1"/>
  <c r="L98" i="293" s="1" a="1"/>
  <c r="L98" i="293" s="1"/>
  <c r="I103" i="293" a="1"/>
  <c r="I103" i="293" s="1"/>
  <c r="K117" i="180"/>
  <c r="K113" i="180"/>
  <c r="J109" i="180"/>
  <c r="J111" i="293" s="1" a="1"/>
  <c r="J111" i="293" s="1"/>
  <c r="K110" i="180"/>
  <c r="J115" i="180"/>
  <c r="J117" i="293" s="1" a="1"/>
  <c r="J117" i="293" s="1"/>
  <c r="K116" i="180"/>
  <c r="J112" i="180"/>
  <c r="J114" i="293" s="1" a="1"/>
  <c r="J114" i="293" s="1"/>
  <c r="K115" i="180"/>
  <c r="J116" i="180"/>
  <c r="J118" i="293" s="1" a="1"/>
  <c r="J118" i="293" s="1"/>
  <c r="K109" i="180"/>
  <c r="K114" i="180"/>
  <c r="J114" i="180"/>
  <c r="J116" i="293" s="1" a="1"/>
  <c r="J116" i="293" s="1"/>
  <c r="J110" i="180"/>
  <c r="J112" i="293" s="1" a="1"/>
  <c r="J112" i="293" s="1"/>
  <c r="O27" i="180"/>
  <c r="J117" i="180"/>
  <c r="J119" i="293" s="1" a="1"/>
  <c r="J119" i="293" s="1"/>
  <c r="J27" i="180"/>
  <c r="J30" i="293" s="1" a="1"/>
  <c r="J30" i="293" s="1"/>
  <c r="T116" i="180"/>
  <c r="J111" i="180"/>
  <c r="J113" i="293" s="1" a="1"/>
  <c r="J113" i="293" s="1"/>
  <c r="T111" i="180"/>
  <c r="T110" i="180"/>
  <c r="U114" i="180"/>
  <c r="P116" i="293" s="1" a="1"/>
  <c r="P116" i="293" s="1"/>
  <c r="U112" i="180"/>
  <c r="P114" i="293" s="1" a="1"/>
  <c r="P114" i="293" s="1"/>
  <c r="T113" i="180"/>
  <c r="T109" i="180"/>
  <c r="U111" i="180"/>
  <c r="P113" i="293" s="1" a="1"/>
  <c r="P113" i="293" s="1"/>
  <c r="K112" i="180"/>
  <c r="J113" i="180"/>
  <c r="J115" i="293" s="1" a="1"/>
  <c r="J115" i="293" s="1"/>
  <c r="U117" i="180"/>
  <c r="P119" i="293" s="1" a="1"/>
  <c r="P119" i="293" s="1"/>
  <c r="U110" i="180"/>
  <c r="P112" i="293" s="1" a="1"/>
  <c r="P112" i="293" s="1"/>
  <c r="T114" i="180"/>
  <c r="U113" i="180"/>
  <c r="P115" i="293" s="1" a="1"/>
  <c r="P115" i="293" s="1"/>
  <c r="T112" i="180"/>
  <c r="U116" i="180"/>
  <c r="P118" i="293" s="1" a="1"/>
  <c r="P118" i="293" s="1"/>
  <c r="K111" i="180"/>
  <c r="T117" i="180"/>
  <c r="T115" i="180"/>
  <c r="U115" i="180"/>
  <c r="P117" i="293" s="1" a="1"/>
  <c r="P117" i="293" s="1"/>
  <c r="U109" i="180"/>
  <c r="P111" i="293" s="1" a="1"/>
  <c r="P111" i="293" s="1"/>
  <c r="E48" i="305"/>
  <c r="E36" i="305"/>
  <c r="M106" i="293" a="1"/>
  <c r="M106" i="293" s="1"/>
  <c r="R104" i="180"/>
  <c r="L106" i="293" s="1" a="1"/>
  <c r="L106" i="293" s="1"/>
  <c r="M94" i="293" a="1"/>
  <c r="M94" i="293" s="1"/>
  <c r="R92" i="180"/>
  <c r="L94" i="293" s="1" a="1"/>
  <c r="L94" i="293" s="1"/>
  <c r="M110" i="293" a="1"/>
  <c r="M110" i="293" s="1"/>
  <c r="R108" i="180"/>
  <c r="L110" i="293" s="1" a="1"/>
  <c r="L110" i="293" s="1"/>
  <c r="E19" i="305"/>
  <c r="E24" i="305"/>
  <c r="E51" i="305"/>
  <c r="E44" i="305"/>
  <c r="R90" i="180"/>
  <c r="L92" i="293" s="1" a="1"/>
  <c r="L92" i="293" s="1"/>
  <c r="M92" i="293" a="1"/>
  <c r="M92" i="293" s="1"/>
  <c r="E31" i="305"/>
  <c r="E52" i="305"/>
  <c r="E43" i="305"/>
  <c r="E20" i="305"/>
  <c r="R106" i="180"/>
  <c r="L108" i="293" s="1" a="1"/>
  <c r="L108" i="293" s="1"/>
  <c r="M108" i="293" a="1"/>
  <c r="M108" i="293" s="1"/>
  <c r="E40" i="305"/>
  <c r="E39" i="305"/>
  <c r="E23" i="305"/>
  <c r="M104" i="293" a="1"/>
  <c r="M104" i="293" s="1"/>
  <c r="R102" i="180"/>
  <c r="L104" i="293" s="1" a="1"/>
  <c r="L104" i="293" s="1"/>
  <c r="D18" i="298"/>
  <c r="E18" i="298"/>
  <c r="E47" i="305"/>
  <c r="R107" i="180"/>
  <c r="L109" i="293" s="1" a="1"/>
  <c r="L109" i="293" s="1"/>
  <c r="M109" i="293" a="1"/>
  <c r="M109" i="293" s="1"/>
  <c r="G42" i="305"/>
  <c r="E27" i="305"/>
  <c r="M107" i="293" a="1"/>
  <c r="M107" i="293" s="1"/>
  <c r="R105" i="180"/>
  <c r="L107" i="293" s="1" a="1"/>
  <c r="L107" i="293" s="1"/>
  <c r="G26" i="305"/>
  <c r="R93" i="180"/>
  <c r="L95" i="293" s="1" a="1"/>
  <c r="L95" i="293" s="1"/>
  <c r="M95" i="293" a="1"/>
  <c r="M95" i="293" s="1"/>
  <c r="R17" i="180"/>
  <c r="M20" i="293" a="1"/>
  <c r="M20" i="293" s="1"/>
  <c r="G22" i="305"/>
  <c r="G40" i="305"/>
  <c r="R99" i="180"/>
  <c r="L101" i="293" s="1" a="1"/>
  <c r="L101" i="293" s="1"/>
  <c r="M101" i="293" a="1"/>
  <c r="M101" i="293" s="1"/>
  <c r="G32" i="305"/>
  <c r="M103" i="293" a="1"/>
  <c r="M103" i="293" s="1"/>
  <c r="R101" i="180"/>
  <c r="L103" i="293" s="1" a="1"/>
  <c r="L103" i="293" s="1"/>
  <c r="G34" i="305"/>
  <c r="G18" i="305"/>
  <c r="G28" i="305"/>
  <c r="E32" i="305"/>
  <c r="E35" i="305"/>
  <c r="R98" i="180"/>
  <c r="L100" i="293" s="1" a="1"/>
  <c r="L100" i="293" s="1"/>
  <c r="M100" i="293" a="1"/>
  <c r="M100" i="293" s="1"/>
  <c r="R95" i="180"/>
  <c r="L97" i="293" s="1" a="1"/>
  <c r="L97" i="293" s="1"/>
  <c r="M97" i="293" a="1"/>
  <c r="M97" i="293" s="1"/>
  <c r="G48" i="305"/>
  <c r="R91" i="180"/>
  <c r="L93" i="293" s="1" a="1"/>
  <c r="L93" i="293" s="1"/>
  <c r="M93" i="293" a="1"/>
  <c r="M93" i="293" s="1"/>
  <c r="G24" i="305"/>
  <c r="G38" i="305"/>
  <c r="G36" i="305"/>
  <c r="M99" i="293" a="1"/>
  <c r="M99" i="293" s="1"/>
  <c r="R97" i="180"/>
  <c r="L99" i="293" s="1" a="1"/>
  <c r="L99" i="293" s="1"/>
  <c r="G30" i="305"/>
  <c r="G44" i="305"/>
  <c r="R100" i="180"/>
  <c r="L102" i="293" s="1" a="1"/>
  <c r="L102" i="293" s="1"/>
  <c r="M102" i="293" a="1"/>
  <c r="M102" i="293" s="1"/>
  <c r="R103" i="180"/>
  <c r="L105" i="293" s="1" a="1"/>
  <c r="L105" i="293" s="1"/>
  <c r="M105" i="293" a="1"/>
  <c r="M105" i="293" s="1"/>
  <c r="E28" i="305"/>
  <c r="G46" i="305"/>
  <c r="G50" i="305"/>
  <c r="G52" i="305"/>
  <c r="I29" i="293" a="1"/>
  <c r="I29" i="293" s="1"/>
  <c r="M26" i="180"/>
  <c r="H29" i="293" s="1" a="1"/>
  <c r="H29" i="293" s="1"/>
  <c r="G20" i="305"/>
  <c r="M29" i="293" a="1"/>
  <c r="M29" i="293" s="1"/>
  <c r="R26" i="180"/>
  <c r="L29" i="293" s="1" a="1"/>
  <c r="L29" i="293" s="1"/>
  <c r="M96" i="293" a="1"/>
  <c r="M96" i="293" s="1"/>
  <c r="R94" i="180"/>
  <c r="L96" i="293" s="1" a="1"/>
  <c r="L96" i="293" s="1"/>
  <c r="Y73" i="180"/>
  <c r="R75" i="293" s="1" a="1"/>
  <c r="R75" i="293" s="1"/>
  <c r="O75" i="293" a="1"/>
  <c r="O75" i="293" s="1"/>
  <c r="Y38" i="180"/>
  <c r="Q73" i="180"/>
  <c r="W112" i="180" a="1"/>
  <c r="W114" i="180" a="1"/>
  <c r="V117" i="180" a="1"/>
  <c r="V110" i="180" a="1"/>
  <c r="I27" i="180" a="1"/>
  <c r="V113" i="180" a="1"/>
  <c r="P117" i="180" a="1"/>
  <c r="V115" i="180" a="1"/>
  <c r="O110" i="180" a="1"/>
  <c r="P111" i="180" a="1"/>
  <c r="W109" i="180" a="1"/>
  <c r="V112" i="180" a="1"/>
  <c r="V114" i="180" a="1"/>
  <c r="V109" i="180" a="1"/>
  <c r="P115" i="180" a="1"/>
  <c r="W116" i="180" a="1"/>
  <c r="O112" i="180" a="1"/>
  <c r="P112" i="180" a="1"/>
  <c r="O109" i="180" a="1"/>
  <c r="W111" i="180" a="1"/>
  <c r="W110" i="180" a="1"/>
  <c r="O114" i="180" a="1"/>
  <c r="O111" i="180" a="1"/>
  <c r="V116" i="180" a="1"/>
  <c r="P27" i="180" a="1"/>
  <c r="O115" i="180" a="1"/>
  <c r="P109" i="180" a="1"/>
  <c r="V111" i="180" a="1"/>
  <c r="W113" i="180" a="1"/>
  <c r="W117" i="180" a="1"/>
  <c r="N27" i="180" a="1"/>
  <c r="O113" i="180" a="1"/>
  <c r="P110" i="180" a="1"/>
  <c r="O116" i="180" a="1"/>
  <c r="O117" i="180" a="1"/>
  <c r="P114" i="180" a="1"/>
  <c r="P113" i="180" a="1"/>
  <c r="P116" i="180" a="1"/>
  <c r="W115" i="180" a="1"/>
  <c r="D20" i="298" l="1"/>
  <c r="Y26" i="180"/>
  <c r="R29" i="293" s="1" a="1"/>
  <c r="R29" i="293" s="1"/>
  <c r="K29" i="293" a="1"/>
  <c r="K29" i="293" s="1"/>
  <c r="Q26" i="180"/>
  <c r="M98" i="293" a="1"/>
  <c r="M98" i="293" s="1"/>
  <c r="M91" i="293" a="1"/>
  <c r="M91" i="293" s="1"/>
  <c r="W114" i="180"/>
  <c r="Q116" i="293" s="1" a="1"/>
  <c r="Q116" i="293" s="1"/>
  <c r="V110" i="180"/>
  <c r="P115" i="180"/>
  <c r="V112" i="180"/>
  <c r="O112" i="180"/>
  <c r="N114" i="293" s="1" a="1"/>
  <c r="N114" i="293" s="1"/>
  <c r="W116" i="180"/>
  <c r="Q118" i="293" s="1" a="1"/>
  <c r="Q118" i="293" s="1"/>
  <c r="W113" i="180"/>
  <c r="Q115" i="293" s="1" a="1"/>
  <c r="Q115" i="293" s="1"/>
  <c r="V111" i="180"/>
  <c r="V114" i="180"/>
  <c r="W110" i="180"/>
  <c r="Q112" i="293" s="1" a="1"/>
  <c r="Q112" i="293" s="1"/>
  <c r="P116" i="180"/>
  <c r="O115" i="180"/>
  <c r="N117" i="293" s="1" a="1"/>
  <c r="N117" i="293" s="1"/>
  <c r="P110" i="180"/>
  <c r="Y110" i="180" s="1"/>
  <c r="R112" i="293" s="1" a="1"/>
  <c r="R112" i="293" s="1"/>
  <c r="O111" i="180"/>
  <c r="N113" i="293" s="1" a="1"/>
  <c r="N113" i="293" s="1"/>
  <c r="O109" i="180"/>
  <c r="N111" i="293" s="1" a="1"/>
  <c r="N111" i="293" s="1"/>
  <c r="V116" i="180"/>
  <c r="O113" i="180"/>
  <c r="N115" i="293" s="1" a="1"/>
  <c r="N115" i="293" s="1"/>
  <c r="P113" i="180"/>
  <c r="Y113" i="180" s="1"/>
  <c r="R115" i="293" s="1" a="1"/>
  <c r="R115" i="293" s="1"/>
  <c r="W117" i="180"/>
  <c r="Q119" i="293" s="1" a="1"/>
  <c r="Q119" i="293" s="1"/>
  <c r="O117" i="180"/>
  <c r="N119" i="293" s="1" a="1"/>
  <c r="N119" i="293" s="1"/>
  <c r="P27" i="180"/>
  <c r="N27" i="180"/>
  <c r="I27" i="180"/>
  <c r="W109" i="180"/>
  <c r="Q111" i="293" s="1" a="1"/>
  <c r="Q111" i="293" s="1"/>
  <c r="P112" i="180"/>
  <c r="P117" i="180"/>
  <c r="Y117" i="180" s="1"/>
  <c r="R119" i="293" s="1" a="1"/>
  <c r="R119" i="293" s="1"/>
  <c r="W111" i="180"/>
  <c r="Q113" i="293" s="1" a="1"/>
  <c r="Q113" i="293" s="1"/>
  <c r="P114" i="180"/>
  <c r="Y114" i="180" s="1"/>
  <c r="R116" i="293" s="1" a="1"/>
  <c r="R116" i="293" s="1"/>
  <c r="V117" i="180"/>
  <c r="O110" i="180"/>
  <c r="N112" i="293" s="1" a="1"/>
  <c r="N112" i="293" s="1"/>
  <c r="V109" i="180"/>
  <c r="P111" i="180"/>
  <c r="Y111" i="180" s="1"/>
  <c r="R113" i="293" s="1" a="1"/>
  <c r="R113" i="293" s="1"/>
  <c r="W112" i="180"/>
  <c r="Q114" i="293" s="1" a="1"/>
  <c r="Q114" i="293" s="1"/>
  <c r="O114" i="180"/>
  <c r="N116" i="293" s="1" a="1"/>
  <c r="N116" i="293" s="1"/>
  <c r="W115" i="180"/>
  <c r="Q117" i="293" s="1" a="1"/>
  <c r="Q117" i="293" s="1"/>
  <c r="V115" i="180"/>
  <c r="V113" i="180"/>
  <c r="P109" i="180"/>
  <c r="Y109" i="180" s="1"/>
  <c r="R111" i="293" s="1" a="1"/>
  <c r="R111" i="293" s="1"/>
  <c r="O116" i="180"/>
  <c r="N118" i="293" s="1" a="1"/>
  <c r="N118" i="293" s="1"/>
  <c r="K114" i="293" a="1"/>
  <c r="K114" i="293" s="1"/>
  <c r="L112" i="180"/>
  <c r="D30" i="305" a="1"/>
  <c r="D30" i="305" s="1"/>
  <c r="D26" i="305" a="1"/>
  <c r="D26" i="305" s="1"/>
  <c r="D50" i="305" a="1"/>
  <c r="D50" i="305" s="1"/>
  <c r="D38" i="305" a="1"/>
  <c r="D38" i="305" s="1"/>
  <c r="D46" i="305" a="1"/>
  <c r="D46" i="305" s="1"/>
  <c r="D34" i="305" a="1"/>
  <c r="D34" i="305" s="1"/>
  <c r="D18" i="305" a="1"/>
  <c r="D18" i="305" s="1"/>
  <c r="D22" i="305" a="1"/>
  <c r="D22" i="305" s="1"/>
  <c r="D42" i="305" a="1"/>
  <c r="D42" i="305" s="1"/>
  <c r="L20" i="293" a="1"/>
  <c r="L20" i="293" s="1"/>
  <c r="N30" i="293" a="1"/>
  <c r="N30" i="293" s="1"/>
  <c r="L114" i="180"/>
  <c r="K116" i="293" a="1"/>
  <c r="K116" i="293" s="1"/>
  <c r="K111" i="293" a="1"/>
  <c r="K111" i="293" s="1"/>
  <c r="L109" i="180"/>
  <c r="K113" i="293" a="1"/>
  <c r="K113" i="293" s="1"/>
  <c r="L111" i="180"/>
  <c r="L116" i="180"/>
  <c r="K118" i="293" a="1"/>
  <c r="K118" i="293" s="1"/>
  <c r="L110" i="180"/>
  <c r="K112" i="293" a="1"/>
  <c r="K112" i="293" s="1"/>
  <c r="K117" i="293" a="1"/>
  <c r="K117" i="293" s="1"/>
  <c r="Y115" i="180"/>
  <c r="R117" i="293" s="1" a="1"/>
  <c r="R117" i="293" s="1"/>
  <c r="L115" i="180"/>
  <c r="K115" i="293" a="1"/>
  <c r="K115" i="293" s="1"/>
  <c r="L113" i="180"/>
  <c r="K119" i="293" a="1"/>
  <c r="K119" i="293" s="1"/>
  <c r="L117" i="180"/>
  <c r="I111" i="180" a="1"/>
  <c r="I112" i="180" a="1"/>
  <c r="I117" i="180" a="1"/>
  <c r="I116" i="180" a="1"/>
  <c r="I115" i="180" a="1"/>
  <c r="K27" i="180" a="1"/>
  <c r="I113" i="180" a="1"/>
  <c r="I114" i="180" a="1"/>
  <c r="I109" i="180" a="1"/>
  <c r="I110" i="180" a="1"/>
  <c r="K27" i="180" l="1"/>
  <c r="Y27" i="180" s="1"/>
  <c r="R30" i="293" s="1" a="1"/>
  <c r="R30" i="293" s="1"/>
  <c r="O127" i="180"/>
  <c r="J127" i="180" s="1"/>
  <c r="J129" i="293" s="1" a="1"/>
  <c r="J129" i="293" s="1"/>
  <c r="I109" i="180"/>
  <c r="I113" i="180"/>
  <c r="I117" i="180"/>
  <c r="I116" i="180"/>
  <c r="I111" i="180"/>
  <c r="I114" i="180"/>
  <c r="I112" i="180"/>
  <c r="I110" i="180"/>
  <c r="I115" i="180"/>
  <c r="I30" i="293" a="1"/>
  <c r="I30" i="293" s="1"/>
  <c r="M27" i="180"/>
  <c r="H30" i="293" s="1" a="1"/>
  <c r="H30" i="293" s="1"/>
  <c r="E18" i="305"/>
  <c r="E34" i="305"/>
  <c r="E46" i="305"/>
  <c r="E42" i="305"/>
  <c r="M30" i="293" a="1"/>
  <c r="M30" i="293" s="1"/>
  <c r="R27" i="180"/>
  <c r="L30" i="293" s="1" a="1"/>
  <c r="L30" i="293" s="1"/>
  <c r="E26" i="305"/>
  <c r="O119" i="293" a="1"/>
  <c r="O119" i="293" s="1"/>
  <c r="Q117" i="180"/>
  <c r="E38" i="305"/>
  <c r="Q113" i="180"/>
  <c r="O115" i="293" a="1"/>
  <c r="O115" i="293" s="1"/>
  <c r="E30" i="305"/>
  <c r="N129" i="293" a="1"/>
  <c r="N129" i="293" s="1"/>
  <c r="Y112" i="180"/>
  <c r="R114" i="293" s="1" a="1"/>
  <c r="R114" i="293" s="1"/>
  <c r="O114" i="293" a="1"/>
  <c r="O114" i="293" s="1"/>
  <c r="Q112" i="180"/>
  <c r="E22" i="305"/>
  <c r="Q27" i="180"/>
  <c r="O30" i="293" a="1"/>
  <c r="O30" i="293" s="1"/>
  <c r="P127" i="180"/>
  <c r="E50" i="305"/>
  <c r="O112" i="293" a="1"/>
  <c r="O112" i="293" s="1"/>
  <c r="Q110" i="180"/>
  <c r="O111" i="293" a="1"/>
  <c r="O111" i="293" s="1"/>
  <c r="Q109" i="180"/>
  <c r="O118" i="293" a="1"/>
  <c r="O118" i="293" s="1"/>
  <c r="Q116" i="180"/>
  <c r="Y116" i="180"/>
  <c r="R118" i="293" s="1" a="1"/>
  <c r="R118" i="293" s="1"/>
  <c r="O113" i="293" a="1"/>
  <c r="O113" i="293" s="1"/>
  <c r="Q111" i="180"/>
  <c r="O117" i="293" a="1"/>
  <c r="O117" i="293" s="1"/>
  <c r="Q115" i="180"/>
  <c r="O116" i="293" a="1"/>
  <c r="O116" i="293" s="1"/>
  <c r="Q114" i="180"/>
  <c r="N109" i="180" a="1"/>
  <c r="N113" i="180" a="1"/>
  <c r="N117" i="180" a="1"/>
  <c r="N111" i="180" a="1"/>
  <c r="N114" i="180" a="1"/>
  <c r="N110" i="180" a="1"/>
  <c r="N115" i="180" a="1"/>
  <c r="N112" i="180" a="1"/>
  <c r="N116" i="180" a="1"/>
  <c r="K30" i="293" l="1" a="1"/>
  <c r="K30" i="293" s="1"/>
  <c r="L27" i="180"/>
  <c r="N114" i="180"/>
  <c r="N116" i="180"/>
  <c r="N112" i="180"/>
  <c r="N111" i="180"/>
  <c r="N117" i="180"/>
  <c r="N113" i="180"/>
  <c r="N109" i="180"/>
  <c r="N115" i="180"/>
  <c r="N110" i="180"/>
  <c r="Q127" i="180"/>
  <c r="O129" i="293" a="1"/>
  <c r="O129" i="293" s="1"/>
  <c r="K127" i="180"/>
  <c r="I117" i="293" a="1"/>
  <c r="I117" i="293" s="1"/>
  <c r="M115" i="180"/>
  <c r="H117" i="293" s="1" a="1"/>
  <c r="H117" i="293" s="1"/>
  <c r="M110" i="180"/>
  <c r="H112" i="293" s="1" a="1"/>
  <c r="H112" i="293" s="1"/>
  <c r="I112" i="293" a="1"/>
  <c r="I112" i="293" s="1"/>
  <c r="I114" i="293" a="1"/>
  <c r="I114" i="293" s="1"/>
  <c r="M112" i="180"/>
  <c r="H114" i="293" s="1" a="1"/>
  <c r="H114" i="293" s="1"/>
  <c r="I116" i="293" a="1"/>
  <c r="I116" i="293" s="1"/>
  <c r="M114" i="180"/>
  <c r="H116" i="293" s="1" a="1"/>
  <c r="H116" i="293" s="1"/>
  <c r="I113" i="293" a="1"/>
  <c r="I113" i="293" s="1"/>
  <c r="M111" i="180"/>
  <c r="H113" i="293" s="1" a="1"/>
  <c r="H113" i="293" s="1"/>
  <c r="I118" i="293" a="1"/>
  <c r="I118" i="293" s="1"/>
  <c r="M116" i="180"/>
  <c r="H118" i="293" s="1" a="1"/>
  <c r="H118" i="293" s="1"/>
  <c r="I119" i="293" a="1"/>
  <c r="I119" i="293" s="1"/>
  <c r="M117" i="180"/>
  <c r="H119" i="293" s="1" a="1"/>
  <c r="H119" i="293" s="1"/>
  <c r="I115" i="293" a="1"/>
  <c r="I115" i="293" s="1"/>
  <c r="M113" i="180"/>
  <c r="H115" i="293" s="1" a="1"/>
  <c r="H115" i="293" s="1"/>
  <c r="I111" i="293" a="1"/>
  <c r="I111" i="293" s="1"/>
  <c r="M109" i="180"/>
  <c r="H111" i="293" s="1" a="1"/>
  <c r="H111" i="293" s="1"/>
  <c r="M112" i="293" l="1" a="1"/>
  <c r="M112" i="293" s="1"/>
  <c r="R110" i="180"/>
  <c r="L112" i="293" s="1" a="1"/>
  <c r="L112" i="293" s="1"/>
  <c r="M117" i="293" a="1"/>
  <c r="M117" i="293" s="1"/>
  <c r="R115" i="180"/>
  <c r="L117" i="293" s="1" a="1"/>
  <c r="L117" i="293" s="1"/>
  <c r="M111" i="293" a="1"/>
  <c r="M111" i="293" s="1"/>
  <c r="R109" i="180"/>
  <c r="L111" i="293" s="1" a="1"/>
  <c r="L111" i="293" s="1"/>
  <c r="N127" i="180"/>
  <c r="M115" i="293" a="1"/>
  <c r="M115" i="293" s="1"/>
  <c r="R113" i="180"/>
  <c r="L115" i="293" s="1" a="1"/>
  <c r="L115" i="293" s="1"/>
  <c r="R117" i="180"/>
  <c r="L119" i="293" s="1" a="1"/>
  <c r="L119" i="293" s="1"/>
  <c r="M119" i="293" a="1"/>
  <c r="M119" i="293" s="1"/>
  <c r="K129" i="293" a="1"/>
  <c r="K129" i="293" s="1"/>
  <c r="Y127" i="180"/>
  <c r="R129" i="293" s="1" a="1"/>
  <c r="R129" i="293" s="1"/>
  <c r="L127" i="180"/>
  <c r="M113" i="293" a="1"/>
  <c r="M113" i="293" s="1"/>
  <c r="R111" i="180"/>
  <c r="L113" i="293" s="1" a="1"/>
  <c r="L113" i="293" s="1"/>
  <c r="M114" i="293" a="1"/>
  <c r="M114" i="293" s="1"/>
  <c r="R112" i="180"/>
  <c r="L114" i="293" s="1" a="1"/>
  <c r="L114" i="293" s="1"/>
  <c r="R116" i="180"/>
  <c r="L118" i="293" s="1" a="1"/>
  <c r="L118" i="293" s="1"/>
  <c r="M118" i="293" a="1"/>
  <c r="M118" i="293" s="1"/>
  <c r="M116" i="293" a="1"/>
  <c r="M116" i="293" s="1"/>
  <c r="R114" i="180"/>
  <c r="L116" i="293" s="1" a="1"/>
  <c r="L116" i="293" s="1"/>
  <c r="M129" i="293" l="1" a="1"/>
  <c r="M129" i="293" s="1"/>
  <c r="R127" i="180"/>
  <c r="L129" i="293" s="1" a="1"/>
  <c r="L129" i="293" s="1"/>
  <c r="I127" i="180"/>
  <c r="I129" i="293" l="1" a="1"/>
  <c r="I129" i="293" s="1"/>
  <c r="M127" i="180"/>
  <c r="H129" i="293" s="1" a="1"/>
  <c r="H129" i="293" s="1"/>
  <c r="A1" i="318" s="1" a="1"/>
  <c r="A1" i="318"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<sst xmlns="http://schemas.openxmlformats.org/spreadsheetml/2006/main" count="49767" uniqueCount="6552">
  <si>
    <t>NSW Government
4 Parramatta Square
Parramatta NSW 2150
nabers.gov.au</t>
  </si>
  <si>
    <t>National material emission factors database - technical document</t>
  </si>
  <si>
    <t>About this document</t>
  </si>
  <si>
    <t>Version</t>
  </si>
  <si>
    <t>Published</t>
  </si>
  <si>
    <t>This Excel document provides the definitive record of cradle-to-gate (A1-A3) Emission Factors (EF) for the building materials used in the NABERS Embodied Carbon tool, and for additional information and calculations for broader upfront carbon emission calculations in Australia.</t>
  </si>
  <si>
    <t>Updates to the emission factors database</t>
  </si>
  <si>
    <t>NABERS anticipates updating the Emission Factors database on an annual basis, but it depends on what EPDs are published over time and how it affects the numbers.</t>
  </si>
  <si>
    <t>Contents</t>
  </si>
  <si>
    <t>This document consists of the following sheets:</t>
  </si>
  <si>
    <t>1. Methodology</t>
  </si>
  <si>
    <t>The Methodology tab details the process for determining the overall emission factors including sourcing information, grouping materials into sub-categories, qualitatively assessing the data, and descriptions of various methodological decisions on carbon storage, weighted averages, and assembly calculations.</t>
  </si>
  <si>
    <t>2. EPD List</t>
  </si>
  <si>
    <t>The EPD List presents all individual records used to determine the emission factors for each material. This is a complete list of source emission factors including the publication source, publication dates, physical features of the product etc.</t>
  </si>
  <si>
    <t>3. Emission Factors database</t>
  </si>
  <si>
    <t>The Emission Factors database tab lists all emission factors for material categories available. An explanation of values included in the table can be found below.</t>
  </si>
  <si>
    <t>4. Database CSV</t>
  </si>
  <si>
    <t>A machine-readable version of the database.</t>
  </si>
  <si>
    <t>5. Material category (multiple tabs)</t>
  </si>
  <si>
    <t xml:space="preserve">The material category tabs are unique to the material they are named after (e.g. Concrete_10 MPa).  Each tab shows the dataset relevant to the material category in a standard format. The individual tabs also show the qualitative assessment rating and any relevant notes and additional data. Additional data is used for weighted averages or further calculations. </t>
  </si>
  <si>
    <t>Understanding the database</t>
  </si>
  <si>
    <t>A description of the columns in the Emission Factor database is provided below.</t>
  </si>
  <si>
    <t>Emission Factor material type and category</t>
  </si>
  <si>
    <t>A material category represents a grouping within a material type of similar building materials that share common functions and components. All sourced emission factors were organised into datasets relevant to a specific material category.</t>
  </si>
  <si>
    <t>Declared unit</t>
  </si>
  <si>
    <t>Each material group is associated with an appropriate declared unit, such as cubic meters. The emission factor is normalised based on this declared unit, as well as on a kilogram basis. Typically, the source Environmental Product Declaration (EPD) defines the declared unit.</t>
  </si>
  <si>
    <t>Data qualitative rating</t>
  </si>
  <si>
    <t>The tier that was assigned as part of the qualitative assessment to determine the representativeness of the sourced emission factors within the broader Australian marketplace. More information about the assessment process can be found in the 'Methodology' tab, under 'Assessing material datasets (Qualitative Assessment)'.</t>
  </si>
  <si>
    <t>Uncertainty adjustment (%)</t>
  </si>
  <si>
    <t>The subsequent adjustment rate applied, as determined by the Data qualitative rating tier.</t>
  </si>
  <si>
    <t>Default (uncertainty adjusted)</t>
  </si>
  <si>
    <t xml:space="preserve">The ‘Max in category’ multiplied by the uncertainty adjustment rate of the specific material category.
Overall, this emission factor is designed to be the highest reasonable emission factor for any particular product. This emission factor therefore considers uncertainty of the dataset based on a qualitative assessment (Data qualitative rating). </t>
  </si>
  <si>
    <t>Max in category EF</t>
  </si>
  <si>
    <r>
      <rPr>
        <sz val="10"/>
        <color rgb="FF000000"/>
        <rFont val="Arial"/>
        <family val="2"/>
      </rPr>
      <t xml:space="preserve">The maximum emission factor found across the EPD list.
</t>
    </r>
    <r>
      <rPr>
        <b/>
        <sz val="10"/>
        <color rgb="FF000000"/>
        <rFont val="Arial"/>
        <family val="2"/>
      </rPr>
      <t>Not recommended for use.</t>
    </r>
    <r>
      <rPr>
        <sz val="10"/>
        <color rgb="FF000000"/>
        <rFont val="Arial"/>
        <family val="2"/>
      </rPr>
      <t xml:space="preserve"> This value was used as an intermediate step to calculate the Default (uncertainty adjusted) emission factor, to demonstrate the maximum value and show the extent of range of emission factors in the particular material category.
It may not represent the absolute maximum emission factor across a material category as products that have not published a verified emission factor according to the above sourcing methodology have not been included.</t>
    </r>
  </si>
  <si>
    <t>Min in category EF</t>
  </si>
  <si>
    <r>
      <rPr>
        <sz val="10"/>
        <color rgb="FF000000"/>
        <rFont val="Arial"/>
        <family val="2"/>
      </rPr>
      <t xml:space="preserve">The minimum emission factor found across the EPD list.
</t>
    </r>
    <r>
      <rPr>
        <b/>
        <sz val="10"/>
        <color rgb="FF000000"/>
        <rFont val="Arial"/>
        <family val="2"/>
      </rPr>
      <t>Not recommended for use.</t>
    </r>
    <r>
      <rPr>
        <sz val="10"/>
        <color rgb="FF000000"/>
        <rFont val="Arial"/>
        <family val="2"/>
      </rPr>
      <t xml:space="preserve"> This value was used to demonstrate the minimum value and show the extent of range of emission factors in the particular material category.
It may not represent the absolute minimum emission factor across a material category. Products that have not published a verified emission factor according to the above sourcing methodology have not been included.</t>
    </r>
  </si>
  <si>
    <t>Average EF</t>
  </si>
  <si>
    <t>The average across all EFs in the EPD list. Where market data is adequate, a weighted average is given. Otherwise, an arithmetic mean is given.</t>
  </si>
  <si>
    <t>Conversion (based on average EF)</t>
  </si>
  <si>
    <t>Product-specific conversion factors have been used to convert from the declared unit to kg/kg.</t>
  </si>
  <si>
    <t>Upfront embodied carbon and whole-of life carbon</t>
  </si>
  <si>
    <t xml:space="preserve">NABERS Embodied Carbon addresses upfront embodied carbon, which is emitted from materials and construction before the building is occupied. This is because these impacts are significant, we can measure them, they are verifiable, and they are occurring at a large scale today.
Whole-of-life carbon includes upfront carbon, plus; operational emissions for the building, embodied carbon related to maintenance and replacements, as well as end-of-life impacts from deconstruction and demolition. 
Operational emissions for the building are measured using the NABERS Energy tool. Minimising operational emissions plays an important role in the design and construction of buildings and should remain a priority when selecting lower upfront carbon products. For example, double glazing may have additional upfront carbon impacts, but for most buildings plays a critical role in energy efficiency.
Embodied carbon through the rest of the life cycle can also be significant. When selecting materials to minimise upfront carbon, specifiers need an awareness of the potential trade-offs that could result. Beware of selecting materials with short lifespans, low durability, poor standards compliance or lower functionality. If selecting the lowest carbon materials means that replacements could be needed sooner, this may result in perverse overall outcomes and must be considered carefully.
The end-of-life of the building is the end-of-use for the resources used in it. Designers should enable deconstruction (rather than demolition) to minimise end-of-life impacts for the building and allow for pathways into next-life-uses for the resources, through reuse, refurbishment and high-grade recycling.
Calculating whole-of-life carbon relies on estimations and predictions of future scenarios for the building. Scenarios that are unknowable and inherently uncertain. An exploratory tool exists within the NABERS upfront embodied carbon calculator so a broad understanding of the important trade-offs between upfront carbon and whole-of-life carbon can be appreciated. Thought the tool does not form part of a NABERS certification. </t>
  </si>
  <si>
    <t>Methodology</t>
  </si>
  <si>
    <t>Sourcing emission factors:</t>
  </si>
  <si>
    <r>
      <rPr>
        <sz val="10"/>
        <color rgb="FF000000"/>
        <rFont val="Arial"/>
        <family val="2"/>
      </rPr>
      <t>Emission factors were sourced from verified process-based life cycle assessment (LCA) studies. Specifically, module A1-A3 emission factors. 
The sourcing of emission factors occurred during the period of</t>
    </r>
    <r>
      <rPr>
        <b/>
        <sz val="10"/>
        <color rgb="FF000000"/>
        <rFont val="Arial"/>
        <family val="2"/>
      </rPr>
      <t xml:space="preserve"> August 2023 to March 2025</t>
    </r>
    <r>
      <rPr>
        <sz val="10"/>
        <color rgb="FF000000"/>
        <rFont val="Arial"/>
        <family val="2"/>
      </rPr>
      <t>, the majority occurring in November-January 2023. A focus was to include all current EPDs, however due to the nature of the collection process, newly published EPDs in this time period may have been missed. EPDs that expired or were due to expire in this period (but were being updated and remained published and accessible) have been included.
The highest priority was to use Environmental Product Declarations (EPDs) from Australia or the Australasian region. Additionally, climate-active declarations were considered as source material when the global warming potential (GWP) was specific to a product. The minimum requirement for sourced emission factors is that they include the total global warming potential (expressed in kgCO2e per declared unit).
In cases where no EPDs were available in Australia or Australasia for a particular material, or when a material was known to be imported to Australia, International EPDs were sourced. 
To locate relevant EPDs, numerous databases were consulted; including, EPD Australasia, International EPD, Eco-platform, GreenBook Live, BRE, and IBU (Institut Bauen und Umwelt).</t>
    </r>
  </si>
  <si>
    <t>Grouping sourced emission factors</t>
  </si>
  <si>
    <r>
      <rPr>
        <sz val="10"/>
        <color rgb="FF000000"/>
        <rFont val="Arial"/>
        <family val="2"/>
      </rPr>
      <t xml:space="preserve">All sourced emission factors were organised into datasets relevant to a specific material category. 
A </t>
    </r>
    <r>
      <rPr>
        <b/>
        <sz val="10"/>
        <color rgb="FF000000"/>
        <rFont val="Arial"/>
        <family val="2"/>
      </rPr>
      <t>material category</t>
    </r>
    <r>
      <rPr>
        <sz val="10"/>
        <color rgb="FF000000"/>
        <rFont val="Arial"/>
        <family val="2"/>
      </rPr>
      <t xml:space="preserve"> represents a grouping of similar building materials that share common functions and components. For example, reinforcing steel encompasses bar and mesh products, both of which contribute to reinforcing concrete. This categorisation process was informed through collaboration with quantity surveyors, LCA practitioners, and product manufacturers.
Each material category is associated with an appropriate declared unit, such as cubic meters. The emission factor is normalised based on this declared unit, as well as on a kilogram basis. Typically, the source Environmental Product Declaration (EPD) defines the declared unit.</t>
    </r>
  </si>
  <si>
    <t>Assessing material datasets (Qualitative Assessment)</t>
  </si>
  <si>
    <r>
      <rPr>
        <sz val="10"/>
        <color rgb="FF000000"/>
        <rFont val="Arial"/>
        <family val="2"/>
      </rPr>
      <t xml:space="preserve">The datasets were qualitatively assessed to determine the representativeness of the sourced emission factors within the broader Australian marketplace. Specifically, we aimed to determine whether the available data accurately reflects the likely emission factor range for a particular material.
The qualitative assessment considered three main categories: (1) geographical/technological representation; (2) emission factor source validity, and; (3) market coverage.
Within each category, a tier was assigned based on the table below. </t>
    </r>
    <r>
      <rPr>
        <b/>
        <sz val="10"/>
        <color rgb="FF000000"/>
        <rFont val="Arial"/>
        <family val="2"/>
      </rPr>
      <t xml:space="preserve">The overall tier rating was determined by the lowest tier declaration across all three categories.
</t>
    </r>
    <r>
      <rPr>
        <sz val="10"/>
        <color rgb="FF000000"/>
        <rFont val="Arial"/>
        <family val="2"/>
      </rPr>
      <t xml:space="preserve">The tier rating corresponds to an adjustment rate, which is applied to the </t>
    </r>
    <r>
      <rPr>
        <i/>
        <sz val="10"/>
        <color rgb="FF000000"/>
        <rFont val="Arial"/>
        <family val="2"/>
      </rPr>
      <t>maximum in-class emission factor</t>
    </r>
    <r>
      <rPr>
        <sz val="10"/>
        <color rgb="FF000000"/>
        <rFont val="Arial"/>
        <family val="2"/>
      </rPr>
      <t xml:space="preserve"> in the material dataset. This adjusted value becomes the default emission factor.
</t>
    </r>
    <r>
      <rPr>
        <b/>
        <sz val="10"/>
        <color rgb="FF000000"/>
        <rFont val="Arial"/>
        <family val="2"/>
      </rPr>
      <t xml:space="preserve">Untiered items: </t>
    </r>
    <r>
      <rPr>
        <sz val="10"/>
        <color rgb="FF000000"/>
        <rFont val="Arial"/>
        <family val="2"/>
      </rPr>
      <t>some assembly sub-categories have calculations that use this databases emission factor which have already been qualitatively assessed. These sub-categories are untiered.</t>
    </r>
  </si>
  <si>
    <t>Qualitative assessment rubric</t>
  </si>
  <si>
    <t>Quality</t>
  </si>
  <si>
    <t>Geographical/technological representation</t>
  </si>
  <si>
    <t>Emission factor source validity</t>
  </si>
  <si>
    <t>Market coverage</t>
  </si>
  <si>
    <t>Excellent – Tier 1</t>
  </si>
  <si>
    <t>Only Australian sources, or, if imports are high proportion of market, strong representation of the region(s) of import</t>
  </si>
  <si>
    <t>Only preferred verified sources (EN15804 EPD, ISO21930 EPD, Climate Active)</t>
  </si>
  <si>
    <t>High number and diverse range of products; majority of suppliers covered; average EF compares well to other DBs</t>
  </si>
  <si>
    <t>Good – Tier 2</t>
  </si>
  <si>
    <t>High number of Australian records or applicable market records; some use of proxy regional source representing region, e.g. an Indian product representing known imports from Asia.</t>
  </si>
  <si>
    <t>Mostly preferred verified sources; some reviewed process-based LCAs</t>
  </si>
  <si>
    <t>High number and diverse range of products; some suppliers covered; average EF compares well to other DBs</t>
  </si>
  <si>
    <t>Fair – Tier 3</t>
  </si>
  <si>
    <t>Few Australian specific records and some use of proxy regional source</t>
  </si>
  <si>
    <t>Reviewed process-based LCAs</t>
  </si>
  <si>
    <t>Reasonable number and a limited range of products; some suppliers covered; average EF compares reasonably well to other DBs</t>
  </si>
  <si>
    <t>Poor – Tier 4</t>
  </si>
  <si>
    <t>Majority use of proxy data or proxy region</t>
  </si>
  <si>
    <t>Number of records low; only one supplier or a proxy supplier for Aus market; market information poor; EF compares poorly to or has no EF to compare to</t>
  </si>
  <si>
    <t>Uncertainty adjustments</t>
  </si>
  <si>
    <t>Tier</t>
  </si>
  <si>
    <t>Tier 1</t>
  </si>
  <si>
    <t>Tier 2</t>
  </si>
  <si>
    <t>Tier 3</t>
  </si>
  <si>
    <t>Tier 4</t>
  </si>
  <si>
    <t>Untiered</t>
  </si>
  <si>
    <t xml:space="preserve">Emission factor types </t>
  </si>
  <si>
    <t>Upfront carbon emissions</t>
  </si>
  <si>
    <r>
      <rPr>
        <sz val="10"/>
        <color rgb="FF000000"/>
        <rFont val="Arial"/>
        <family val="2"/>
      </rPr>
      <t xml:space="preserve">Upfront carbon emissions refer to greenhouse gas emissions as defined by the Greenhouse Gas Protocol. However, these emissions will not necessarily align with the GWPtotal (global warming potential) value.
</t>
    </r>
    <r>
      <rPr>
        <b/>
        <sz val="10"/>
        <color rgb="FF000000"/>
        <rFont val="Arial"/>
        <family val="2"/>
      </rPr>
      <t xml:space="preserve">GWPtotal </t>
    </r>
    <r>
      <rPr>
        <sz val="10"/>
        <color rgb="FF000000"/>
        <rFont val="Arial"/>
        <family val="2"/>
      </rPr>
      <t xml:space="preserve">represents a net calculation, accounting for factors such as stored biogenic carbon. For instance, if a product stores carbon (e.g. through reforestation), it offsets some emissions. Therefore, GWPtotal doesn’t always provide the true upfront carbon emission.
</t>
    </r>
    <r>
      <rPr>
        <b/>
        <sz val="10"/>
        <color rgb="FF000000"/>
        <rFont val="Arial"/>
        <family val="2"/>
      </rPr>
      <t xml:space="preserve">GWPbiogenic </t>
    </r>
    <r>
      <rPr>
        <sz val="10"/>
        <color rgb="FF000000"/>
        <rFont val="Arial"/>
        <family val="2"/>
      </rPr>
      <t xml:space="preserve">is also a net calculation. It considers emissions (e.g. burning waste timber during harvesting) that will be negated by carbon stored in the product.
Source values may also include different combinations of GWP metrics: GWPtotal, GWPfossil, GWPbiogenic, GWPluluc, and GWPstored. Some sources provide only GWPtotal, while others publish a mix of these values.
</t>
    </r>
    <r>
      <rPr>
        <b/>
        <sz val="10"/>
        <color rgb="FF000000"/>
        <rFont val="Arial"/>
        <family val="2"/>
      </rPr>
      <t>Due to the above</t>
    </r>
    <r>
      <rPr>
        <sz val="10"/>
        <color rgb="FF000000"/>
        <rFont val="Arial"/>
        <family val="2"/>
      </rPr>
      <t>, and depending on the nature and details provided by the source material, upfront carbon emissions are determined in four ways. However, these emissions always represent the total greenhouse gases emitted within the system boundary. Importantly, upfront carbon emissions will always be equal to or greater than GWPfossil and include emissions of biogenic carbon where this takes place.</t>
    </r>
  </si>
  <si>
    <t>Condition</t>
  </si>
  <si>
    <t>Upfront carbon emission</t>
  </si>
  <si>
    <t>Option 1</t>
  </si>
  <si>
    <t>When GWPstored is multiplied by -1 and is larger (i.e. less negative) than GWPbiogenic, implying more biogenic material is removed than in the product, GWPbiogenic is zeroed.</t>
  </si>
  <si>
    <t>GWPfossil + GWPluluc</t>
  </si>
  <si>
    <t>Option 2</t>
  </si>
  <si>
    <t xml:space="preserve">When GWPfossil = 0 </t>
  </si>
  <si>
    <t>GWPtotal + GWPstored</t>
  </si>
  <si>
    <t>Option 3</t>
  </si>
  <si>
    <t>When GWPbiogenic = 0</t>
  </si>
  <si>
    <t>Option 4</t>
  </si>
  <si>
    <t xml:space="preserve">When GWPstored value is multiplied by -1  and is smaller (i.e. more negative) than GWPbiogenic, implying there are some emissions of biogenic carbon. </t>
  </si>
  <si>
    <t>GWPfossil + GWPbiogenic + GWPluluc + GWPstored
(Noting GWPbiogenic may be negative)</t>
  </si>
  <si>
    <t>Stored biogenic carbon is provided in EN15804+A2 EPDs and when applicable often in EN15804+A1 EPDs. Where provided, it is used as the carbon stored value.
However, in cases where stored biogenic carbon is not provided, we rely on specific assumptions, which are detailed in the section titled ‘Stored Biogenic Carbon.’</t>
  </si>
  <si>
    <t>Max, min, average, uncertainty adjusted</t>
  </si>
  <si>
    <t xml:space="preserve">A set of emission factors are shown for each material. A description of how each emission factor is determined and how it should be used is provided below. </t>
  </si>
  <si>
    <t>Emission factor</t>
  </si>
  <si>
    <t>Description</t>
  </si>
  <si>
    <t>Use</t>
  </si>
  <si>
    <t>Limitation</t>
  </si>
  <si>
    <t>The maximum EF found across the dataset</t>
  </si>
  <si>
    <r>
      <rPr>
        <b/>
        <sz val="10"/>
        <color rgb="FF000000"/>
        <rFont val="Arial"/>
        <family val="2"/>
      </rPr>
      <t xml:space="preserve">Not recommended for use. </t>
    </r>
    <r>
      <rPr>
        <sz val="10"/>
        <color rgb="FF000000"/>
        <rFont val="Arial"/>
        <family val="2"/>
      </rPr>
      <t>Used as an intermediate step to calculate the Default (uncertainty adjusted) EF. 
To demonstrate the maximum value and show the extent of range of EFs in the particular material category.</t>
    </r>
  </si>
  <si>
    <t>May not represent the absolute maximum EF across a material category. Products that have not published a verified EF according to the above sourcing methodology have not been included.</t>
  </si>
  <si>
    <t>The minimum EF found across the dataset</t>
  </si>
  <si>
    <r>
      <rPr>
        <b/>
        <sz val="10"/>
        <rFont val="Arial"/>
        <family val="2"/>
      </rPr>
      <t>Not recommended for use.</t>
    </r>
    <r>
      <rPr>
        <sz val="10"/>
        <rFont val="Arial"/>
        <family val="2"/>
      </rPr>
      <t xml:space="preserve"> To demonstrate the minimum value and show the extent of range of EFs in the particular material category.</t>
    </r>
  </si>
  <si>
    <t>May not represent the absolute minimum EF across a material category. Products that have not published a verified EF according to the above sourcing methodology have not been included.</t>
  </si>
  <si>
    <t xml:space="preserve">Where market data is adequate (i.e. how much of a particular product is bought/sold in Australia) a weighted average is given. Otherwise an arithmetic mean is given. </t>
  </si>
  <si>
    <r>
      <rPr>
        <b/>
        <sz val="10"/>
        <rFont val="Arial"/>
        <family val="2"/>
      </rPr>
      <t>Not recommended for use.</t>
    </r>
    <r>
      <rPr>
        <sz val="10"/>
        <rFont val="Arial"/>
        <family val="2"/>
      </rPr>
      <t xml:space="preserve"> Where market data is adequate a weighted average is given. Otherwise an arithmetic mean is given. </t>
    </r>
  </si>
  <si>
    <t>Weighted averages are the preferred method to determine the average EF. However, limited market information means that 69% of the EF presented are not able to provide a weighted average EF. 
The alternative, arithmetic mean, is prone to being skewed toward big publishers of multiple EPDs. Updates to this database will seek new or updated information that enables weighted averages to be calculated as the preferred method of determining 'Average EF".</t>
  </si>
  <si>
    <t>The 'Max in category" multiplied by the uncertainty adjustment rate of the specific material category.</t>
  </si>
  <si>
    <t>Used as default EF in NABERS Upfront carbon emissions calculator, when a product specific EF is not entered. 
Might use when trying to understand what the maximum upfront carbon emissions might be for a specific building.
It is not recommended for use when determining a typical or high baseline for any building as it represents the worst-case EF</t>
  </si>
  <si>
    <t xml:space="preserve">This value seeks to represent the largest EF for the particular material category in Australia. It utilises a method that interprets a qualitative assessment into a quantitative adjustment. The adjustment process brings with it inherent values based assumptions and should always be viewed in this context. </t>
  </si>
  <si>
    <t>Conversion to kg upfront carbon emissions to kg of material</t>
  </si>
  <si>
    <t xml:space="preserve">Product specific conversion factors have been used to convert from declared unit to kg/kg. </t>
  </si>
  <si>
    <t>Calculating assemblies (curtain wall, windows and doors)</t>
  </si>
  <si>
    <t>In consultation with industry, a method for calculating emission factors based on key material masses has been developed. The method is detailed in the material sub-category tabs for curtain wall, windows and doors.
Curtain walls, windows, and doors are often custom-made, which introduces significant uncertainty when determining default emission factors from published EPDs or similar sources.
To address this, a number of 'generic' curtain wall, window and door designs were defined. These designs use industry and EPD sources to determine the mass values for individual materials in the assembly (e.g. aluminium, glass, steel etc.). These are multiplied by the emission factors (average or default) for the key materials presented by this database, giving a total emission factor for the generic assembly. The generic masses have been provided to enable transparency, and a custom tool has been provided to enable custom inputs of an assembly design.
This process is untiered as uncertainty of the emission factors is applied in the material emission factor used.</t>
  </si>
  <si>
    <t>Calculating building services emissions</t>
  </si>
  <si>
    <t>Emission factors for building services are based on the square meter of the building type. In discussion with industry, it was demonstrated that materials associated with building services are often unknown, difficult to verify where and what has been used in the building, and unlikely to have associated EPDs.
To address this, it was decided to use a generic emission factor per square meter of building type. These emission factors are based on a detailed study conducted by the Carbon Leadership Forum. However, it’s important to note that the study is limited to expert-agreed commercial buildings in America’s northwest. Consequently, some items may be oversized for the Australian context (e.g. ducting due to the predominantly cooler climates in the studied buildings).
Building services includes electrical, mechanical and plumbing services in a building. It excludes transportation services (such as lifts and escalators). It does not include the use phase of these services (e.g. electricity consumption for lighting or refrigerant leakage).
Building services are categorised based on the type of building, as defined during industry consultation (e.g. warehouse with no HVAC, or office building)</t>
  </si>
  <si>
    <t>Estimating vertical transport emissions</t>
  </si>
  <si>
    <t>The number of people or goods transported and the height or number of floors of a building are key considerations when deciding on the size and speed of a lift. In order to most accurately allocate the emissions of a lift to the appropriate building the lift category has been divided into the usage category outlined by ISO 25745. This has also been approximated by number of floors. 
To select the appropriate lift a project team should use the following method in order of preference; either 1) determine the appropriate usage category using calculations defined by ISO 25745 and using the projects specific parameters. Then find the relevant usage category lift. OR, 2) Determine the number of floors the lift will service and select the approproiate lift. 
The emission factor of a lift includes the car, fittings, drive elements, electronics, guide rails, counterwieghts, and ropes.</t>
  </si>
  <si>
    <t>Stored biogenic carbon</t>
  </si>
  <si>
    <t>The amount of biogenic carbon present in a material that is used in the building, referred to as stored carbon, has been reported separately from total upfront carbon emissions.
The NABERS rating tool will only include carbon storage where a material will be expected to last more than 20 years within the building and where it has been sourced from a sustainable forest. 
Stored carbon is typically provided in the source data on a per-product basis. When it is not provided the following calculation and assumptions have been made:</t>
  </si>
  <si>
    <t>Carbon stored = density of timber product *(1-moisture content)*carbon content of timber*44/12</t>
  </si>
  <si>
    <t>(44 = molar mass of carbon dioxide; 12 = molar mass of carbon)</t>
  </si>
  <si>
    <t>Some source emission factors for timber and other biogenic based products include only global warming potential total values. For the majority of these cases, we have used the source information for density, water content and carbon content.
Where the source emission factor does not have one or more of these additional parameters, the missing parameter has been assumed; the water content as 10%, the carbon content as 50% by dry mass, and the density as 551 kg/m3. This is consistent with Gifford, R. (2000) Carbon Contents of Above-Ground Tissues of Forest and Woodland Trees. Technical report No. 22. National Carbon Accounting Scheme. Australian Greenhouse Office. 
GWPbiogenic can be negative - in this database a negative value will not remove emissions from the net calculation as upfront carbon emissions cannot be negative.</t>
  </si>
  <si>
    <t>Data extraction and amalgamation method</t>
  </si>
  <si>
    <t xml:space="preserve">The extraction process of data has been a mixed method approach using PDF-to-Excel technology and manual entries. The data has been reviewed for accuracy, and spot checks on large background data files has also taken place.
</t>
  </si>
  <si>
    <t>EPD list for National material emission factors database</t>
  </si>
  <si>
    <t>Material type</t>
  </si>
  <si>
    <t>Material classification</t>
  </si>
  <si>
    <t>Material category for matching emission factor</t>
  </si>
  <si>
    <t>Material long name</t>
  </si>
  <si>
    <t>Data valid (start)</t>
  </si>
  <si>
    <t>Data valid (end)</t>
  </si>
  <si>
    <t>Location</t>
  </si>
  <si>
    <t>Registration number</t>
  </si>
  <si>
    <t>Program</t>
  </si>
  <si>
    <t>Reference link - Website</t>
  </si>
  <si>
    <t>Density (kg/m3)</t>
  </si>
  <si>
    <t>Area density (kg/m2)</t>
  </si>
  <si>
    <t>Mass per m (kg/m)</t>
  </si>
  <si>
    <t>Mass per unit (kg/unit)</t>
  </si>
  <si>
    <t>GWP-total (kg CO2e/quanity)</t>
  </si>
  <si>
    <t>GWP-fossil (kg CO2e/quanity)</t>
  </si>
  <si>
    <t>GWP-biogenic (kg CO2e/quanity)</t>
  </si>
  <si>
    <t>GWP-luluc (kg CO2e/quanity)</t>
  </si>
  <si>
    <t>GWP-stored (kg CO2e/quantity)</t>
  </si>
  <si>
    <t>Upfront carbon emissions (kg CO2e/quantity</t>
  </si>
  <si>
    <t>Upfront carbon storage (kg CO2e/quantity</t>
  </si>
  <si>
    <t>GWP-total (kg CO2e/kg)</t>
  </si>
  <si>
    <t>GWP-fossil (kg CO2e/kg)</t>
  </si>
  <si>
    <t>GWP-biogenic (kg CO2e/kg)</t>
  </si>
  <si>
    <t>GWP-luluc (kg CO2e/kg)</t>
  </si>
  <si>
    <t>GWP-stored (kg CO2e/kg)</t>
  </si>
  <si>
    <t>Upfront carbon emissions (kg CO2e/kg)</t>
  </si>
  <si>
    <t>Upfront carbon storage (kg CO2e/kg)</t>
  </si>
  <si>
    <t>Record added to database</t>
  </si>
  <si>
    <t>Concrete (in-situ)</t>
  </si>
  <si>
    <t>Concrete, 20 MPa</t>
  </si>
  <si>
    <t>&gt;10 MPa to ≤20 MPa</t>
  </si>
  <si>
    <t>Concrete, 20 MPa, in-situ, no reinforcement, (SE202E) (Ecopact) (Holcim) (SA) (Adelaide)</t>
  </si>
  <si>
    <t>SA</t>
  </si>
  <si>
    <t>S-P-04660</t>
  </si>
  <si>
    <t>Version 1</t>
  </si>
  <si>
    <t>EPD Australasia</t>
  </si>
  <si>
    <t>https://epd-australasia.com/wp-content/uploads/2022/02/SP04660-Holcim-EPD-ViroDecs-Special-SA-Adelaide-ECOPact-Range-V2_Mar23.pdf</t>
  </si>
  <si>
    <t>m³</t>
  </si>
  <si>
    <t>207</t>
  </si>
  <si>
    <t>0.41</t>
  </si>
  <si>
    <t>Version 1.0</t>
  </si>
  <si>
    <t>Concrete, 20 MPa, in-situ, no reinforcement, (SE202E2) (Ecopact) (Holcim) (SA) (Adelaide)</t>
  </si>
  <si>
    <t>195</t>
  </si>
  <si>
    <t>0.31</t>
  </si>
  <si>
    <t>Concrete, 20 MPa, in-situ, no reinforcement, (R2020B)(GB) (BCG) (WA), (Perth)</t>
  </si>
  <si>
    <t>Perth, WA</t>
  </si>
  <si>
    <t>S-P-05491</t>
  </si>
  <si>
    <t>https://epd-australasia.com/wp-content/uploads/2022/12/SP05491_BGC-EPD_Concrete_Dec22.pdf</t>
  </si>
  <si>
    <t>Concrete, 20 MPa, in-situ, no reinforcement, (SE202E56) (Ecopact) (Holcim) (SA) (Adelaide)</t>
  </si>
  <si>
    <t>201</t>
  </si>
  <si>
    <t>Concrete, 20 MPa, in-situ, no reinforcement, (VE202E56) (Ecopact) (Holcim) (VIC)</t>
  </si>
  <si>
    <t>VIC</t>
  </si>
  <si>
    <t>S-P-04657</t>
  </si>
  <si>
    <t>https://epd-australasia.com/wp-content/uploads/2022/01/SP04657-Holcim-ViroDecs%E2%84%A2-Special-VIC-ECOPact-Range-ver2_Sep22.pdf</t>
  </si>
  <si>
    <t>208</t>
  </si>
  <si>
    <t>0.26</t>
  </si>
  <si>
    <t>Concrete, 20 MPa, in-situ, no reinforcement, (QE201E)(Ecopact) (Holcim) (QLD) (Sunshine Coast)</t>
  </si>
  <si>
    <t xml:space="preserve"> Sunshine Coast, QLD</t>
  </si>
  <si>
    <t>S-P-04663</t>
  </si>
  <si>
    <t>https://epd-australasia.com/wp-content/uploads/2022/09/SP04663-Holcim-ViroDecs%E2%84%A2-Special_QLD-Sunshine-Coast-ECOPact_Sep22.pdf</t>
  </si>
  <si>
    <t>151</t>
  </si>
  <si>
    <t>0.16</t>
  </si>
  <si>
    <t>Concrete, 20 MPa, in-situ, no reinforcement, (QE201E100)(Ecopact) (Holcim) (QLD) (Sunshine Coast)</t>
  </si>
  <si>
    <t>153</t>
  </si>
  <si>
    <t>Concrete, 20 MPa, in-situ, no reinforcement, (Futurecrete®
N class GP/GL:Slag
20 MPa) (Adbri) (QLD)</t>
  </si>
  <si>
    <t>QLD</t>
  </si>
  <si>
    <t>S-P-05518</t>
  </si>
  <si>
    <t>https://epd-australasia.com/wp-content/uploads/2023/04/SP05518-Adbri-EPD-Concrete_QLD_Mar23.pdf</t>
  </si>
  <si>
    <t>Concrete, 20 MPa, in-situ, no reinforcement, (QE202E100)(Ecopact) (Holcim) (QLD) (Sunshine Coast)</t>
  </si>
  <si>
    <t>160</t>
  </si>
  <si>
    <t>Concrete, 20 MPa, in-situ, no reinforcement, (QE202E)(Ecopact) (Holcim) (QLD) (Sunshine Coast)</t>
  </si>
  <si>
    <t>157</t>
  </si>
  <si>
    <t>0.15</t>
  </si>
  <si>
    <t>Concrete, 20 MPa, in-situ, no reinforcement, (Futurecrete®  Ultra
N Class GP/GL:Slag
20 MPa) (Adbri) (VIC)</t>
  </si>
  <si>
    <t>S-P-05520</t>
  </si>
  <si>
    <t>https://epd-australasia.com/wp-content/uploads/2023/04/SP05520-Adbri-EPD-Concrete_VIC_Mar23.pdf</t>
  </si>
  <si>
    <t>Concrete, 20 MPa, in-situ, no reinforcement, (QE201L)(Ecopact) (Holcim) (QLD) (Sunshine Coast)</t>
  </si>
  <si>
    <t>200</t>
  </si>
  <si>
    <t>0.18</t>
  </si>
  <si>
    <t>Concrete, 20 MPa, in-situ, no reinforcement, (QE201L100)(Ecopact) (Holcim) (QLD) (Sunshine Coast)</t>
  </si>
  <si>
    <t>204</t>
  </si>
  <si>
    <t>Concrete, 20 MPa, in-situ, no reinforcement, (QE202L)(Ecopact) (Holcim) (QLD) (Sunshine Coast)</t>
  </si>
  <si>
    <t>194</t>
  </si>
  <si>
    <t>0.17</t>
  </si>
  <si>
    <t>Concrete, 20 MPa, in-situ, no reinforcement, (QE202L100)(Ecopact) (Holcim) (QLD) (Sunshine Coast)</t>
  </si>
  <si>
    <t>198</t>
  </si>
  <si>
    <t>Concrete, 20 MPa, in-situ, no reinforcement, (Futurecrete® N Class
GP:GL:Slag 20 MPa
- Winnellie) (Adbri) (NT)</t>
  </si>
  <si>
    <t>NT</t>
  </si>
  <si>
    <t>S-P-05522</t>
  </si>
  <si>
    <t>https://epd-australasia.com/wp-content/uploads/2023/04/SP05522-Adbri-EPD-Concrete_NT_Mar23.pdf</t>
  </si>
  <si>
    <t>Concrete, 20 MPa, in-situ, no reinforcement, (NE201E1)(Ecopact) (Holcim) (NSW), (Sydney)</t>
  </si>
  <si>
    <t>Sydney, NSW</t>
  </si>
  <si>
    <t>S-P-02331</t>
  </si>
  <si>
    <t>https://epd-australasia.com/wp-content/uploads/2021/04/SP02331-Holcim-EPD-ViroDecs-Special-NSW-Sydney-ECOPact-Range-V2_Mar23.pdf</t>
  </si>
  <si>
    <t>136</t>
  </si>
  <si>
    <t>0.11</t>
  </si>
  <si>
    <t>Concrete, 20 MPa, in-situ, no reinforcement, (NE201E5)(Ecopact) (Holcim) (NSW), (Sydney)</t>
  </si>
  <si>
    <t>Concrete, 20 MPa, in-situ, no reinforcement, (Futurecrete®  N Class
GP/GL:Slag 20 MPa) (Adbri) (VIC)</t>
  </si>
  <si>
    <t>Concrete, 20 MPa, in-situ, no reinforcement, (NE202E1)(Ecopact) (Holcim) (NSW), (Sydney)</t>
  </si>
  <si>
    <t>140</t>
  </si>
  <si>
    <t>Concrete, 20 MPa, in-situ, no reinforcement, (QE203EBMX) (Ecopact) (Holcim) (QLD), Gold Coast</t>
  </si>
  <si>
    <t>S-P-05496</t>
  </si>
  <si>
    <t>https://epd-australasia.com/wp-content/uploads/2023/05/SP05496-Holcim-EPD-ViroDecs%E2%84%A2-QLD-GoldCoast-ECOPact_Apr23.pdf</t>
  </si>
  <si>
    <t>Concrete, 20 MPa, in-situ, no reinforcement, (CS2020BGS)(B) (BCG) (WA), (Perth)</t>
  </si>
  <si>
    <t>Concrete, 20 MPa, in-situ, no reinforcement, (QE207EBMX) (Ecopact) (Holcim) (QLD), Gold Coast</t>
  </si>
  <si>
    <t>187</t>
  </si>
  <si>
    <t>0.14</t>
  </si>
  <si>
    <t>Concrete, 20 MPa, in-situ, no reinforcement, (Adbri concrete
N class GP/GL
20 MPa) (Adbri) (QLD)</t>
  </si>
  <si>
    <t>Concrete, 20 MPa, in-situ, no reinforcement, (QE207EBMX) (Ecopact) (Holcim) (QLD) (Brisbane)</t>
  </si>
  <si>
    <t>Brisbane, QLD</t>
  </si>
  <si>
    <t>S-P-04658</t>
  </si>
  <si>
    <t>https://epd-australasia.com/wp-content/uploads/2022/01/SP04658_Holcim-ViroDecs-Special-Qld-Brisbane-ECOPact-EPD_-Mar23_v3.0.pdf</t>
  </si>
  <si>
    <t>190</t>
  </si>
  <si>
    <t>Concrete, 20 MPa, in-situ, no reinforcement, (Futurecrete®
N class GP/GL:FA
20 MPa) (Adbri) (QLD)</t>
  </si>
  <si>
    <t>Concrete, 20 MPa, in-situ, no reinforcement, (QE202EEZY) (Ecopact) (Holcim) (QLD), Gold Coast</t>
  </si>
  <si>
    <t>164</t>
  </si>
  <si>
    <t>0.12</t>
  </si>
  <si>
    <t>Concrete, 20 MPa, in-situ, no reinforcement, (QE201E100) (Ecopact) (Holcim) (QLD), Gold Coast</t>
  </si>
  <si>
    <t>Concrete, 20 MPa, in-situ, no reinforcement, (Adbri concrete
N class GP/GL:FA
20 MPa) (Adbri) (QLD)</t>
  </si>
  <si>
    <t>Concrete, 20 MPa, in-situ, no reinforcement, (QE202E100) (Ecopact) (Holcim) (QLD) (Brisbane)</t>
  </si>
  <si>
    <t>Concrete, 20 MPa, in-situ, no reinforcement, (QE201EL21) (Ecopact) (Holcim) (QLD), Gold Coast</t>
  </si>
  <si>
    <t>168</t>
  </si>
  <si>
    <t>Concrete, 20 MPa, in-situ, no reinforcement, (QE201EEZY) (Ecopact) (Holcim) (QLD), Gold Coast</t>
  </si>
  <si>
    <t>170</t>
  </si>
  <si>
    <t>Concrete, 20 MPa, in-situ, no reinforcement, (QE201E100) (Ecopact) (Holcim) (QLD) (Brisbane)</t>
  </si>
  <si>
    <t>156</t>
  </si>
  <si>
    <t>Concrete, 20 MPa, in-situ, no reinforcement, (QE202EEZY) (Ecopact) (Holcim) (QLD) (Brisbane)</t>
  </si>
  <si>
    <t>158</t>
  </si>
  <si>
    <t>Concrete, 20 MPa, in-situ, no reinforcement, (QE202E100) (Ecopact) (Holcim) (QLD), Gold Coast</t>
  </si>
  <si>
    <t>159</t>
  </si>
  <si>
    <t>Concrete, 20 MPa, in-situ, no reinforcement, (QE201EL21) (Ecopact) (Holcim) (QLD) (Brisbane)</t>
  </si>
  <si>
    <t>Concrete, 20 MPa, in-situ, no reinforcement, (QE201EEZY) (Ecopact) (Holcim) (QLD) (Brisbane)</t>
  </si>
  <si>
    <t>161</t>
  </si>
  <si>
    <t>Concrete, 20 MPa, in-situ, no reinforcement, (WE204E1)(Ecopact) (Holcim) (WA), (Perth Metro)</t>
  </si>
  <si>
    <t>Perth Metro, WA</t>
  </si>
  <si>
    <t>S-P-03716</t>
  </si>
  <si>
    <t>https://epd-australasia.com/wp-content/uploads/2021/12/SP03716-Holcim-EPD_WAPerth-ECOPact-Range_-v2.0_Apr23.pdf</t>
  </si>
  <si>
    <t>196</t>
  </si>
  <si>
    <t>0.13</t>
  </si>
  <si>
    <t>Concrete, 20 MPa, in-situ, no reinforcement, (QE202E) (Ecopact) (Holcim) (QLD) (Brisbane)</t>
  </si>
  <si>
    <t>0.10</t>
  </si>
  <si>
    <t>Concrete, 20 MPa, in-situ, no reinforcement, (WE201E1)(Ecopact) (Holcim) (WA), (Perth Metro)</t>
  </si>
  <si>
    <t>197</t>
  </si>
  <si>
    <t>Concrete, 20 MPa, in-situ, no reinforcement, (Adbri Concrete N Class GP/GL 20 MPa) (Adbri) (VIC)</t>
  </si>
  <si>
    <t>Concrete, 20 MPa, in-situ, no reinforcement, (WE202E1)(Ecopact) (Holcim) (WA), (Perth Metro)</t>
  </si>
  <si>
    <t>188</t>
  </si>
  <si>
    <t>Concrete, 20 MPa, in-situ, no reinforcement, (Adbri Concrete N Class GP:GL 20 MPa
- Winnellie) (Adbri) (NT)</t>
  </si>
  <si>
    <t>Concrete, 20 MPa, in-situ, no reinforcement, (WE202EP1)(Ecopact) (Holcim) (WA), (Perth Metro)</t>
  </si>
  <si>
    <t>192</t>
  </si>
  <si>
    <t>0.09</t>
  </si>
  <si>
    <t>Concrete, 20 MPa, in-situ, no reinforcement, (WE201EBMX)(Ecopact) (Holcim) (WA), (Perth Metro)</t>
  </si>
  <si>
    <t>Concrete, 20 MPa, in-situ, no reinforcement, (Adbri Concrete N Class GP:GL 20 MPa
- Alice Springs) (Adbri) (NT)</t>
  </si>
  <si>
    <t>Concrete, 20 MPa, in-situ, no reinforcement, (Futurecrete®  Ultra
N Class Ternary
20 MPa) (Adbri) (NSW)</t>
  </si>
  <si>
    <t>NSW</t>
  </si>
  <si>
    <t>S-P-05519</t>
  </si>
  <si>
    <t>https://epd-australasia.com/wp-content/uploads/2023/04/SP05519-Adbri-EPD-Concrete_NSW_Mar23.pdf</t>
  </si>
  <si>
    <t>Concrete, 20 MPa, in-situ, no reinforcement, (General) (Holcim) (NSW)(ACT)</t>
  </si>
  <si>
    <t>NSW &amp; ACT</t>
  </si>
  <si>
    <t>S-P-01165</t>
  </si>
  <si>
    <t>https://epd-australasia.com/wp-content/uploads/2019/07/Holcim-ViroDecs-EPD_-2021-update_v2.pdf</t>
  </si>
  <si>
    <t>2.73E+02</t>
  </si>
  <si>
    <t>Concrete, 20 MPa, in-situ, no reinforcement, (Fly Ash) (Holcim) (NSW)(ACT)</t>
  </si>
  <si>
    <t>2.20E+02</t>
  </si>
  <si>
    <t>Concrete, 20 MPa, in-situ, no reinforcement, (GGBS Slag) (Holcim) (NSW)(ACT)</t>
  </si>
  <si>
    <t>1.71E+02</t>
  </si>
  <si>
    <t>Concrete, 20 MPa, in-situ, no reinforcement, (Triple Blend) (Holcim) (NSW)(ACT)</t>
  </si>
  <si>
    <t>1.52E+02</t>
  </si>
  <si>
    <t>Concrete, 20 MPa, in-situ, no reinforcement,(General)  (Holcim)  (QLD)</t>
  </si>
  <si>
    <t>2.42E+02</t>
  </si>
  <si>
    <t>Concrete, 20 MPa, in-situ, no reinforcement,(Fly Ash)  (Holcim)  (QLD)</t>
  </si>
  <si>
    <t>2.03E+02</t>
  </si>
  <si>
    <t>Concrete, 20 MPa, in-situ, no reinforcement,(GGBS Slag)  (Holcim)  (QLD)</t>
  </si>
  <si>
    <t>1.63E+02</t>
  </si>
  <si>
    <t>Concrete, 20 MPa, in-situ, no reinforcement,(Triple Blend)  (Holcim)  (QLD)</t>
  </si>
  <si>
    <t>1.54E+02</t>
  </si>
  <si>
    <t>Concrete, 20 MPa, in-situ, no reinforcement, (General) (Holcim) (VIC)</t>
  </si>
  <si>
    <t>2.57E+02</t>
  </si>
  <si>
    <t>Concrete, 20 MPa, in-situ, no reinforcement, (Fly Ash) (Holcim) (VIC)</t>
  </si>
  <si>
    <t>2.21E+02</t>
  </si>
  <si>
    <t>Concrete, 20 MPa, in-situ, no reinforcement, (Triple Blend) (Holcim) (VIC)</t>
  </si>
  <si>
    <t>2.09E+02</t>
  </si>
  <si>
    <t>Concrete, 20 MPa, in-situ, no reinforcement, (General) (Holcim) (SA)</t>
  </si>
  <si>
    <t>2.65E+02</t>
  </si>
  <si>
    <t>Concrete,  MPa, in-situ, no reinforcement, (Fly Ash) (Holcim) (SA)</t>
  </si>
  <si>
    <t>1.98E+02</t>
  </si>
  <si>
    <t>Concrete,  MPa, in-situ, no reinforcement, (GGBS Slag) (Holcim) (SA)</t>
  </si>
  <si>
    <t>2.00E+02</t>
  </si>
  <si>
    <t>Concrete, 20 MPa, in-situ, no reinforcement, (General) (Holcim) (WA)</t>
  </si>
  <si>
    <t>WA</t>
  </si>
  <si>
    <t>Concrete,  MPa, in-situ, no reinforcement, (GGBS Slag) (Holcim) (WA)</t>
  </si>
  <si>
    <t>2.07E+02</t>
  </si>
  <si>
    <t>Concrete, 20 MPa, in-situ, no reinforcement, (NE202E151)(Ecopact) (Holcim) (ACT)</t>
  </si>
  <si>
    <t>Canberra, ACT</t>
  </si>
  <si>
    <t>S-P-03715</t>
  </si>
  <si>
    <t>https://epd-australasia.com/wp-content/uploads/2021/10/2021-Holcim-ViroDecs%E2%84%A2-Special-ACT-ECOPact-Ver-1.0.pdf</t>
  </si>
  <si>
    <t>173.43</t>
  </si>
  <si>
    <t>Concrete, 20 MPa, in-situ, no reinforcement, (NE202E351)(Ecopact) (Holcim) (ACT)</t>
  </si>
  <si>
    <t>174.96</t>
  </si>
  <si>
    <t>Concrete, 20 MPa, in-situ, no reinforcement, (NE201E151)(Ecopact) (Holcim) (ACT)</t>
  </si>
  <si>
    <t>173.65</t>
  </si>
  <si>
    <t>Concrete, 20 MPa, in-situ, no reinforcement, (NE201E351)(Ecopact) (Holcim) (ACT)</t>
  </si>
  <si>
    <t>175.14</t>
  </si>
  <si>
    <t>Concrete, 15 MPa</t>
  </si>
  <si>
    <t>Concrete, 15 MPa, in-situ, no reinforcement, (VS152BHS2) (Holcim) (VIC)</t>
  </si>
  <si>
    <t>S-P-03712</t>
  </si>
  <si>
    <t>https://epd-australasia.com/wp-content/uploads/2021/08/SP03712-Holcim-ViroDecs%E2%84%A2-Special-Victoria-EPD-V2.0.pdf</t>
  </si>
  <si>
    <t>158.51</t>
  </si>
  <si>
    <t>Concrete, 20 MPa, in-situ, no reinforcement, (VS202BHS2) (Holcim) (VIC)</t>
  </si>
  <si>
    <t>168.75</t>
  </si>
  <si>
    <t>Concrete, 20 MPa, in-situ, no reinforcement, (QE202E)(Holcim) (QLD), (North QLD)</t>
  </si>
  <si>
    <t>North QLD</t>
  </si>
  <si>
    <t>S-P-03717</t>
  </si>
  <si>
    <t>https://epd-australasia.com/wp-content/uploads/2021/12/2021-Holcim-ViroDecs%E2%84%A2-Special-QLD-NQ-ECOPact-v-1.0.pdf</t>
  </si>
  <si>
    <t>197.24</t>
  </si>
  <si>
    <t>Concrete, 20 MPa, in-situ, no reinforcement, (QE202E1)(Holcim) (QLD), (North QLD)</t>
  </si>
  <si>
    <t>197.49</t>
  </si>
  <si>
    <t>Concrete, 20 MPa, in-situ, no reinforcement, (QE201E)(Holcim) (QLD), (North QLD)</t>
  </si>
  <si>
    <t>202.72</t>
  </si>
  <si>
    <t>Concrete, 20 MPa, in-situ, no reinforcement, (QE201E1)(Holcim) (QLD), (North QLD)</t>
  </si>
  <si>
    <t>202.99</t>
  </si>
  <si>
    <t>Concrete, 20 MPa, in-situ, no reinforcement, (QE201EBMX)(Holcim) (QLD), (North QLD)</t>
  </si>
  <si>
    <t>221.60</t>
  </si>
  <si>
    <t>Concrete, 20 MPa, in-situ, no reinforcement, (Adbri Concrete
N Class GP/GL:FA
20 MPa) (Adbri) (NSW)</t>
  </si>
  <si>
    <t>Concrete, 20 MPa, in-situ, no reinforcement, Pre-mix Concrete Normal Class GP/FA blend (Boral) (ACT), (Canberra) Normal Class GP/FA blend 20 MPa</t>
  </si>
  <si>
    <t>S-P-02336</t>
  </si>
  <si>
    <t>Version 1.2</t>
  </si>
  <si>
    <t>https://epd-australasia.com/wp-content/uploads/2021/04/SP02336_Boral-EPD_NSW-ACT_Aug22_V1.2.pdf</t>
  </si>
  <si>
    <t>Concrete, 20 MPa, in-situ, no reinforcement, Pre-mix Concrete Normal Class GP/GGBFS blend (Boral) (ACT), (Canberra) Normal Class GP/GGBFS blend 20 MPa</t>
  </si>
  <si>
    <t>Concrete, 20 MPa, in-situ, no reinforcement, Pre-mix Concrete ENVIROCRETE 30% (Boral) (ACT), (Canberra) ENVIROCRETE 30% 20 MPa</t>
  </si>
  <si>
    <t>Concrete, 20 MPa, in-situ, no reinforcement, Pre-mix Concrete ENVIROCRETE 40% (Boral) (ACT), (Canberra) ENVIROCRETE 40% 20 MPa</t>
  </si>
  <si>
    <t>Concrete, 20 MPa, in-situ, no reinforcement, Pre-mix Concrete ENVIROCRETE PLUS (Boral) (ACT), (Canberra) ENVIROCRETE PLUS 20MPa</t>
  </si>
  <si>
    <t>Concrete, 20 MPa, in-situ, no reinforcement, Pre-mix Concrete ENVISIA (Boral) (ACT), (Canberra) ENVISIA 20MPa</t>
  </si>
  <si>
    <t>Concrete, 20 MPa, in-situ, no reinforcement, Pre-mix Concrete Normal Class GP blend (Boral) (ACT), (Canberra) Normal Class GP blend 20MPa</t>
  </si>
  <si>
    <t>Concrete, 20 MPa, in-situ, no reinforcement, Pre-mix Concrete Normal Class GP/FA blend (Boral) (NSW), (Newcastle) Normal Class GP/FA blend 20 MPa</t>
  </si>
  <si>
    <t>Newcastle, NSW</t>
  </si>
  <si>
    <t>Concrete, 20 MPa, in-situ, no reinforcement, Pre-mix Concrete ENVIROCRETE 30% 20 MPa (Boral) (NSW), (Newcastle) ENVIROCRETE 30% 20 MPa</t>
  </si>
  <si>
    <t>Concrete, 20 MPa, in-situ, no reinforcement, Pre-mix Concrete Normal Class GP/GGBFS blend (Boral) (NSW), (Newcastle) Normal Class GP/GGBFS blend 20 MPa</t>
  </si>
  <si>
    <t>Concrete, 20 MPa, in-situ, no reinforcement, Pre-mix Concrete ENVIROCRETE 40% (Boral) (NSW), (Newcastle) ENVIROCRETE 40% 20 MPa</t>
  </si>
  <si>
    <t>Concrete, 20 MPa, in-situ, no reinforcement, Pre-mix Concrete ENVIROCRETE PLUS (Boral) (NSW), (Newcastle) ENVIROCRETE PLUS 20MPa</t>
  </si>
  <si>
    <t>Concrete, 20 MPa, in-situ, no reinforcement, Pre-mix Concrete ENVISIA (Boral) (NSW), (Newcastle) ENVISIA 20MPa</t>
  </si>
  <si>
    <t>Concrete, 20 MPa, in-situ, no reinforcement, Pre-mix Concrete Normal Class GP blend (Boral) (NSW), (Newcastle) Normal Class GP blend 20MPa</t>
  </si>
  <si>
    <t>Concrete, 20 MPa, in-situ, no reinforcement, Pre-mix Concrete Normal Class GP/FA blend (Boral) (NSW), (Sydney) Normal Class GP/FA blend 20 MPa</t>
  </si>
  <si>
    <t>Concrete, 20 MPa, in-situ, no reinforcement, Pre-mix Concrete Normal Class GP/GGBFS blend (Boral) (NSW), (Sydney) Normal Class GP/GGBFS blend 20 MPa</t>
  </si>
  <si>
    <t>Concrete, 20 MPa, in-situ, no reinforcement, Pre-mix Concrete Normal Class GP/GGBFS/FA blend (Boral) (NSW), (Sydney) Normal Class GP/GGBFS/FA blend 20 MPa</t>
  </si>
  <si>
    <t>Concrete, 20 MPa, in-situ, no reinforcement, Pre-mix Concrete ENVIROCRETE 30% (Boral) (NSW), (Sydney) ENVIROCRETE 30% 20 MPa</t>
  </si>
  <si>
    <t>Concrete, 20 MPa, in-situ, no reinforcement, Pre-mix Concrete ENVIROCRETE 40% (Boral) (NSW), (Sydney) ENVIROCRETE 40% 20 MPa</t>
  </si>
  <si>
    <t>Concrete, 20 MPa, in-situ, no reinforcement, Pre-mix Concrete ENVIROCRETE PLUS (Boral) (NSW), (Sydney) ENVIROCRETE PLUS 20MPa</t>
  </si>
  <si>
    <t>Concrete, 20 MPa, in-situ, no reinforcement, Pre-mix Concrete ENVISIA (Boral) (NSW), (Sydney) ENVISIA 20MPa</t>
  </si>
  <si>
    <t>Concrete, 20 MPa, in-situ, no reinforcement, Pre-mix Concrete Normal Class GP blend (Boral) (NSW), (Sydney) Normal Class GP blend 20MPa</t>
  </si>
  <si>
    <t>Concrete, 20 MPa, in-situ, no reinforcement, Pre-mix Concrete Normal Class GP/FA blend (Boral) (NSW), (Wollongong) Normal Class GP/FA blend 20 MPa</t>
  </si>
  <si>
    <t>Wollongong, NSW</t>
  </si>
  <si>
    <t>Concrete, 20 MPa, in-situ, no reinforcement, Pre-mix Concrete Normal Class GP/GGBFS blend (Boral) (NSW), (Wollongong) Normal Class GP/GGBFS blend 20 MPa</t>
  </si>
  <si>
    <t>Concrete, 20 MPa, in-situ, no reinforcement, Pre-mix Concrete Normal Class GP/GGBFS/FA blend (Boral) (NSW), (Wollongong) Normal Class GP/GGBFS/FA blend 20 MPa</t>
  </si>
  <si>
    <t>Concrete, 20 MPa, in-situ, no reinforcement, Pre-mix Concrete ENVIROCRETE 30% (Boral) (NSW), (Wollongong) ENVIROCRETE 30% 20 MPa</t>
  </si>
  <si>
    <t>Concrete, 20 MPa, in-situ, no reinforcement, Pre-mix Concrete ENVIROCRETE 40% (Boral) (NSW), (Wollongong) ENVIROCRETE 40% 20 MPa</t>
  </si>
  <si>
    <t>Concrete, 20 MPa, in-situ, no reinforcement, Pre-mix Concrete ENVIROCRETE PLUS (Boral) (NSW), (Wollongong) ENVIROCRETE PLUS 20MPa</t>
  </si>
  <si>
    <t>Concrete, 20 MPa, in-situ, no reinforcement, Pre-mix Concrete ENVISIA (Boral) (NSW), (Wollongong) ENVISIA 20MPa</t>
  </si>
  <si>
    <t>Concrete, 20 MPa, in-situ, no reinforcement, Pre-mix Concrete Normal Class GP blend (Boral) (NSW), (Wollongong) Normal Class GP blend 20MPa</t>
  </si>
  <si>
    <t>Concrete, 20 MPa, in-situ, no reinforcement, Pre-mix Concrete Normal Class GP blend (Boral) (TAS), (Hobart) Normal Class GP blend 20MPa</t>
  </si>
  <si>
    <t>Hobart, TAS</t>
  </si>
  <si>
    <t>S-P-02337</t>
  </si>
  <si>
    <t>https://epd-australasia.com/wp-content/uploads/2021/05/BoralConcrete_EPDv1.1_2021_Tasmania_hr.pdf</t>
  </si>
  <si>
    <t>Concrete, 20 MPa, in-situ, no reinforcement, Pre-mix Concrete Normal Class GP blend (Boral) (TAS), (Launceston) Normal Class GP blend 20MPa</t>
  </si>
  <si>
    <t>Launceston, TAS</t>
  </si>
  <si>
    <t>Concrete, 20 MPa, in-situ, no reinforcement, GP, Normal Class (WA Premix) (WA), (Perth)</t>
  </si>
  <si>
    <t>S-P-05479</t>
  </si>
  <si>
    <t>https://epd-australasia.com/wp-content/uploads/2022/07/SP-05479_WA-Premix-Ready-Mix-Concrete-EPD-v1.0.pdf</t>
  </si>
  <si>
    <t>Concrete, 20 MPa, in-situ, no reinforcement, Ready-Mix Concrete (LC)50 (Concrite) (NSW) (Sydney Region, NSW)</t>
  </si>
  <si>
    <t>Sydney Region, NSW</t>
  </si>
  <si>
    <t>https://epd-australasia.com/wp-content/uploads/2022/02/17765_Concrite_EPD_2022_SP02335.pdf</t>
  </si>
  <si>
    <t>Concrete, 20 MPa, in-situ, no reinforcement, Ready-Mix Concrete (LC)40 (Concrite) (NSW) (Sydney Region, NSW)</t>
  </si>
  <si>
    <t>Concrete, 20 MPa, in-situ, no reinforcement, Ready-Mix Concrete (LC)30 (Concrite) (NSW) (Sydney Region, NSW)</t>
  </si>
  <si>
    <t>Concrete, 20 MPa, in-situ, no reinforcement, Ready-Mix Concrete (LCHP) (Concrite) (NSW) (Sydney Region, NSW)</t>
  </si>
  <si>
    <t>Concrete, 20 MPa, in-situ, no reinforcement, Ready-Mix Concrete (LCP) (Concrite) (NSW) (Sydney Region, NSW)</t>
  </si>
  <si>
    <t>Concrete, 20 MPa, in-situ, no reinforcement, Ready-Mix Concrete Normal class GP blend (Concrite) (NSW) (Sydney Region, NSW)</t>
  </si>
  <si>
    <t>Concrete, 20 MPa, in-situ, no reinforcement, Ready-Mix Concrete SLAG AGG CONCRETE MIX, (LC)50 (Concrite) (NSW) (Sydney Region, NSW)</t>
  </si>
  <si>
    <t>Concrete, 20 MPa, in-situ, no reinforcement, Ready-Mix Concrete SLAG AGG CONCRETE MIX, (LC)40 (Concrite) (NSW) (Sydney Region, NSW)</t>
  </si>
  <si>
    <t>Concrete, 20 MPa, in-situ, no reinforcement, Ready-Mix Concrete SLAG AGG CONCRETE MIX, (LC)30 (Concrite) (NSW) (Sydney Region, NSW)</t>
  </si>
  <si>
    <t>Concrete, 20 MPa, in-situ, no reinforcement, Ready-Mix Concrete (LC)30 20MPa (Concrite) (NSW) (Southern Highlands, NSW)</t>
  </si>
  <si>
    <t>Southern Highlands, NSW</t>
  </si>
  <si>
    <t>Concrete, 20 MPa, in-situ, no reinforcement, Ready-Mix Concrete NORMAL CLASS GP BLEND (Concrite) (NSW) (Southern Highlands, NSW)</t>
  </si>
  <si>
    <t>Concrete, 20 MPa, in-situ, no reinforcement, Ready-Mix Concrete LC30 20MPa (Concrite) (ACT) (Canberra, ACT)</t>
  </si>
  <si>
    <t>Concrete, 20 MPa, in-situ, no reinforcement, Ready-Mix Concrete NORMAL CLASS GP BLEND (Concrite) (ACT) (Canberra, ACT)</t>
  </si>
  <si>
    <t>Concrete, 15 MPa, in-situ, no reinforcement, (Futurecrete®
Ultra S15MPA
BLOCKFILL 10MM
230MM SLUMP) (Adbri) (NSW)</t>
  </si>
  <si>
    <t>Concrete, 20 MPa, in-situ, no reinforcement, (Futurecrete®  Ultra N Class GP/ GL:Slag 20 MPa) (Adbri) (NSW)</t>
  </si>
  <si>
    <t>Concrete, 20 MPa, in-situ, no reinforcement, (Futurecrete®  Ultra
S20MPA DINCEL
10MM) (Adbri) (NSW)</t>
  </si>
  <si>
    <t>Concrete, 20 MPa, in-situ, no reinforcement, (Futurecrete®
Ultra S20MPA
BLOCKFILL 10MM
230MM SLUMP) (Adbri) (NSW)</t>
  </si>
  <si>
    <t>Concrete, 20 MPa, in-situ, no reinforcement, (Adbri N Class
GP/GL 20 MPa) (Adbri) (SA)</t>
  </si>
  <si>
    <t>S-P-05521</t>
  </si>
  <si>
    <t>https://epd-australasia.com/wp-content/uploads/2023/04/SP05521-Adbri-EPD-Concrete_SA_Mar23.pdf</t>
  </si>
  <si>
    <t>Concrete, 20 MPa, in-situ, no reinforcement, (Futurecrete®  N
Class GP/GL:FA
20 MPa) (Adbri) (SA)</t>
  </si>
  <si>
    <t>Concrete, 20 MPa, in-situ, no reinforcement, (Futurecrete®  N
Class GP/GL:Slag
20 MPa) (Adbri) (SA)</t>
  </si>
  <si>
    <t>Concrete, 15 MPa, in-situ, no reinforcement, (Futurecrete®
Ultra S15MPA
BLOCKFILL 10MM) (Adbri) (NSW)</t>
  </si>
  <si>
    <t>Concrete, 20 MPa, in-situ, no reinforcement, (Futurecrete®
Ultra S20MPA
BLOCKFILL 10MM) (Adbri) (NSW)</t>
  </si>
  <si>
    <t>Concrete, 20 MPa, in-situ, no reinforcement, (R2020A)(GP) (BCG) (WA), (Perth)</t>
  </si>
  <si>
    <t>Concrete, 20 MPa, in-situ, no reinforcement, (VE202EF2) (Ecopact) (Holcim) (VIC)</t>
  </si>
  <si>
    <t>211</t>
  </si>
  <si>
    <t>210</t>
  </si>
  <si>
    <t>Concrete, 20 MPa, in-situ, no reinforcement, (20MPa 7MM BLOCKMIX) (Adbri) (QLD)</t>
  </si>
  <si>
    <t>Concrete, 20 MPa, in-situ, no reinforcement, (Adbri Concrete N Class GP:GL 20 MPa
- Katherine) (Adbri) (NT)</t>
  </si>
  <si>
    <t>Concrete, 20 MPa, in-situ, no reinforcement, (20MPa 10MM BLOCKMIX) (Adbri) (QLD)</t>
  </si>
  <si>
    <t>Concrete, 20 MPa, in-situ, no reinforcement, (SE202E3) (Ecopact) (Holcim) (SA) (Adelaide)</t>
  </si>
  <si>
    <t>Concrete, 20 MPa, in-situ, no reinforcement, (VE202E /
BE202E) (Ecopact) (Holcim) (VIC)</t>
  </si>
  <si>
    <t>Concrete, 20 MPa, in-situ, no reinforcement, (QE203EBMX) (Ecopact) (Holcim) (QLD) (Brisbane)</t>
  </si>
  <si>
    <t>209</t>
  </si>
  <si>
    <t>Concrete, 20 MPa, in-situ, no reinforcement, (Futurecrete®
Ultra N class GP/ GL:Slag 20 MPa) (Adbri) (QLD)</t>
  </si>
  <si>
    <t>Concrete, 20 MPa, in-situ, no reinforcement, (QE202E) (Ecopact) (Holcim) (QLD), Gold Coast</t>
  </si>
  <si>
    <t>Concrete, 20 MPa, in-situ, no reinforcement, (QE201E) (Ecopact) (Holcim) (QLD), Gold Coast</t>
  </si>
  <si>
    <t>Concrete (in-situ), 20MPa, Pre-mix Concrete EPG20F (Barro Group) (Australia)</t>
  </si>
  <si>
    <t>18/12/2024</t>
  </si>
  <si>
    <t>18/12/2029</t>
  </si>
  <si>
    <t>Australia</t>
  </si>
  <si>
    <t>EPD-IES-002960</t>
  </si>
  <si>
    <t>Not applicable</t>
  </si>
  <si>
    <t>https://epd-australasia.com/wp-content/uploads/2025/01/EPD-IES-002960-001_BarroGroup_EPG20F_2024-12-18.pdf</t>
  </si>
  <si>
    <t/>
  </si>
  <si>
    <t>Version 2025.1</t>
  </si>
  <si>
    <t>Concrete (in-situ), 20MPa, Pre-mix Concrete EN20 (Barro Group) (Australia)</t>
  </si>
  <si>
    <t>EPD-IES-002980</t>
  </si>
  <si>
    <t>https://epd-australasia.com/wp-content/uploads/2025/01/EPD-IES-002980-001_BarroGroup_EPG20F_2024-12-18.pdf</t>
  </si>
  <si>
    <t>Concrete (in-situ), 20MPa, Pre-mix Concrete EPG20 (Barro Group) (Australia)</t>
  </si>
  <si>
    <t>EPD-IES-003338</t>
  </si>
  <si>
    <t>https://epd-australasia.com/wp-content/uploads/2025/01/EPD-IES-003338-001_BarroGroup_EPG20_2024-12-18.pdf</t>
  </si>
  <si>
    <t>Concrete (in-situ), 20MPa, Pre-mix Concrete EPG20FL (Barro Group) (Australia)</t>
  </si>
  <si>
    <t>EPD-IES-003454</t>
  </si>
  <si>
    <t>https://epd-australasia.com/wp-content/uploads/2025/01/EPD-IES-003454-001_BarroGroup_EPG20FL_2024-12-18.pdf</t>
  </si>
  <si>
    <t>Concrete (in-situ), , ENVISIA concrete in-situ Melb metro - 20 MPa (Boral) (Australia)</t>
  </si>
  <si>
    <t>S-P-02341</t>
  </si>
  <si>
    <t>SP02341-Boral-EPD_2022_Vic_v1.0.pdf (epd-australasia.com)</t>
  </si>
  <si>
    <t>Concrete (in-situ), , Envirocrete plus concrete in-situ Melb metro - 20 MPa (Boral) (Australia)</t>
  </si>
  <si>
    <t>Concrete (in-situ), , Envirocrete concrete in-situ Melb metro - 20 MPa (Boral) (Australia)</t>
  </si>
  <si>
    <t>Concrete (in-situ), , Envirocrete 40% concrete in-situ Melb metro - 20 MPa (Boral) (Australia)</t>
  </si>
  <si>
    <t>Concrete (in-situ), , Envirocrete 30% concrete in-situ Melb metro - 20 MPa (Boral) (Australia)</t>
  </si>
  <si>
    <t>Concrete (in-situ), , Normal GP blend concrete in-situ Melb metro - 20 MPa (Boral) (Australia)</t>
  </si>
  <si>
    <t>Concrete (in-situ), , Normal GP /FA blend blend concrete in-situ Melb metro - 20 MPa (Boral) (Australia)</t>
  </si>
  <si>
    <t>Concrete (in-situ), , Normal GP /GGBFS blend blend concrete in-situ Melb metro - 20 MPa (Boral) (Australia)</t>
  </si>
  <si>
    <t>Concrete (in-situ), , ENVISIA concrete in-situ Perth metro - 20 MPa (Boral) (Australia)</t>
  </si>
  <si>
    <t>EPD-IES-0002338:002</t>
  </si>
  <si>
    <t>EPD-IES-0002338-002_BORAL-LTD_Perth-Pre-mix-Concrete_2024-10-31.pdf (epd-australasia.com)</t>
  </si>
  <si>
    <t>Concrete (in-situ), , Normal GP blend concrete in-situ Perth metro - 20 MPa (Boral) (Australia)</t>
  </si>
  <si>
    <t>Concrete (in-situ), , Normal GP /GGBFS blend blend concrete in-situ Perth metro - 20 MPa (Boral) (Australia)</t>
  </si>
  <si>
    <t>20 MPa, , Normal Class 20MPa - straight cement (Gunlake) (Australia)</t>
  </si>
  <si>
    <t>S-P-05478</t>
  </si>
  <si>
    <t>https://epd-australasia.com/wp-content/uploads/2022/09/SP05478-GunlakeConcreteEPD_Aug22.pdf</t>
  </si>
  <si>
    <t>20 MPa, , Normal Class 20MPa (NC2028PCI) - cement and fly-ash (Gunlake) (Australia)</t>
  </si>
  <si>
    <t>20 MPa, , Normal Class 20MPa (NC2028PCI) - cement, slag and fly-ash (Gunlake) (Australia)</t>
  </si>
  <si>
    <t>20 MPa, , Special Class 20MPa (GD202AP2) - green star mix with cement, high slag and fly-ash (Gunlake) (Australia)</t>
  </si>
  <si>
    <t>20 MPa, , ENVISIA 20 MPa (Boral) (Australia)</t>
  </si>
  <si>
    <t>https://epd-australasia.com/wp-content/uploads/2022/03/SP02341-Boral-EPD_2022_Vic_v1.0.pdf</t>
  </si>
  <si>
    <t>20 MPa, , ENVIROCRETE PLUS 20 MPa (Boral) (Australia)</t>
  </si>
  <si>
    <t>20 MPa, , ENVIROCRETE 40% 20 MPa (Boral) (Australia)</t>
  </si>
  <si>
    <t>20 MPa, , ENVIROCRETE 30% 20 MPa (Boral) (Australia)</t>
  </si>
  <si>
    <t>20 MPa, , ENVIROCRETE 20 MPa (Boral) (Australia)</t>
  </si>
  <si>
    <t>20 MPa, , NORMAL CLASS GP BLEND 20 MPa (Boral) (Australia)</t>
  </si>
  <si>
    <t>20 MPa, , NORMAL CLASS GP/FA BLEND 20 MPa (Boral) (Australia)</t>
  </si>
  <si>
    <t>20 MPa, , NORMAL CLASS GP/GGBFS BLEND 20 MPa (Boral) (Australia)</t>
  </si>
  <si>
    <t>20 MPa, , HIGH SLUMP 20 MPa (Boral) (Australia)</t>
  </si>
  <si>
    <t>20 MPa, NSW, Pre-mix concrete N4020 (Western Suburbs Concrete) (Australia)</t>
  </si>
  <si>
    <t>EPD-IES-0013819:001 (S-P-13819)</t>
  </si>
  <si>
    <t>https://epd-australasia.com/?s=0013819:001&amp;post_type=epd</t>
  </si>
  <si>
    <t>2400</t>
  </si>
  <si>
    <t>20 MPa, NSW, Pre-mix concrete GS2020-1 (Western Suburbs Concrete) (Australia)</t>
  </si>
  <si>
    <t>EPD-IES-0013796:001 (S-P-13796)</t>
  </si>
  <si>
    <t>https://epd-australasia.com/?s=0013796:001&amp;post_type=epd</t>
  </si>
  <si>
    <t>20 MPa, NSW, Pre-mix concrete N2020 (Western Suburbs Concrete) (Australia)</t>
  </si>
  <si>
    <t>EPD-IES-0013816:001 (S-P-13816)</t>
  </si>
  <si>
    <t>https://epd-australasia.com/?s=0013816:001&amp;post_type=epd</t>
  </si>
  <si>
    <t>20 MPa, NSW, Pre-mix concrete GS2020-2 (Western Suburbs Concrete) (Australia)</t>
  </si>
  <si>
    <t>EPD-IES-0013801:001 (S-P-13801)</t>
  </si>
  <si>
    <t>https://epd-australasia.com/?s=0013801:001&amp;post_type=epd</t>
  </si>
  <si>
    <t>20 MPa, NSW, Pre-mix concrete WGS2020-1 (Western Suburbs Concrete) (Australia)</t>
  </si>
  <si>
    <t>EPD-IES-0013806:001 (S-P-13806)</t>
  </si>
  <si>
    <t>https://epd-australasia.com/?s=0013806:001&amp;post_type=epd</t>
  </si>
  <si>
    <t>20 MPa, NSW, Pre-mix concrete WGS2020-2 (Western Suburbs Concrete) (Australia)</t>
  </si>
  <si>
    <t>EPD-IES-0013811:001 (S-P-13811)</t>
  </si>
  <si>
    <t>https://epd-australasia.com/?s=0013811:001&amp;post_type=epd</t>
  </si>
  <si>
    <t>20 MPa, NSW, Pre-mix concrete N5020 (Western Suburbs Concrete) (Australia)</t>
  </si>
  <si>
    <t>EPD-IES-0013820:001 (S-P-13820)</t>
  </si>
  <si>
    <t>https://epd-australasia.com/?s=0013820:001&amp;post_type=epd</t>
  </si>
  <si>
    <t>20 MPa, NSW, Pre-mix concrete WN2020 (Western Suburbs Concrete) (Australia)</t>
  </si>
  <si>
    <t>EPD-IES-0013821:001 (S-P-13821)</t>
  </si>
  <si>
    <t>https://epd-australasia.com/?s=0013821:001&amp;post_type=epd</t>
  </si>
  <si>
    <t>20 MPa, TAS, N20/20N concrete  manufactured in our Southern Region (Hazell Bros Concrete Pty Ltd) (Australia)</t>
  </si>
  <si>
    <t>EPD-IES-0014067:001 (S-P-14067)</t>
  </si>
  <si>
    <t>https://epd-australasia.com/?s=0014067:001&amp;post_type=epd</t>
  </si>
  <si>
    <t>20 MPa, TAS, N20/20N concrete manufactured in our Northern Region (Hazell Bros Concrete Pty Ltd) (Australia)</t>
  </si>
  <si>
    <t>EPD-IES-0014040:001 (S-P-14040)</t>
  </si>
  <si>
    <t>https://epd-australasia.com/?s=0014040:001&amp;post_type=epd</t>
  </si>
  <si>
    <t>15 MPa, TAS, N15/20N concrete  manufactured in our Southern Region (Hazell Bros Concrete Pty Ltd) (Australia)</t>
  </si>
  <si>
    <t>EPD-IES-0014066:001 (S-P-14066)</t>
  </si>
  <si>
    <t>https://epd-australasia.com/?s=0014066:001&amp;post_type=epd</t>
  </si>
  <si>
    <t>20 MPa, TAS, N20/20N/SCM concrete manufactured in our Southern Region (Hazell Bros Concrete Pty Ltd) (Australia)</t>
  </si>
  <si>
    <t>EPD-IES-0014073:001 (S-P-14073)</t>
  </si>
  <si>
    <t>https://epd-australasia.com/?s=0014073:001&amp;post_type=epd</t>
  </si>
  <si>
    <t>15 MPa, TAS, N15/20N concrete manufactured in our Northern Region (Hazell Bros Concrete Pty Ltd) (Australia)</t>
  </si>
  <si>
    <t>EPD-IES-0014039:001 (S-P-14039)</t>
  </si>
  <si>
    <t>https://epd-australasia.com/?s=0014039:001&amp;post_type=epd</t>
  </si>
  <si>
    <t>15 MPa, TAS, N15/20N/SCM concrete  manufactured in our Southern Region (Hazell Bros Concrete Pty Ltd) (Australia)</t>
  </si>
  <si>
    <t>EPD-IES-0014072:001 (S-P-14072)</t>
  </si>
  <si>
    <t>https://epd-australasia.com/?s=0014072:001&amp;post_type=epd</t>
  </si>
  <si>
    <t>20 MPa, TAS, N20/20N/SCM concrete manufactured in our Northern Region (Hazell Bros Concrete Pty Ltd) (Australia)</t>
  </si>
  <si>
    <t>EPD-IES-0014046:001 (S-P-14046)</t>
  </si>
  <si>
    <t>https://epd-australasia.com/?s=0014046:001&amp;post_type=epd</t>
  </si>
  <si>
    <t>15 MPa, TAS, N15/20N/SCM concrete manufactured in our Northern Region (Hazell Bros Concrete Pty Ltd) (Australia)</t>
  </si>
  <si>
    <t>EPD-IES-0014045:001 (S-P-14045)</t>
  </si>
  <si>
    <t>https://epd-australasia.com/?s=0014045:001&amp;post_type=epd</t>
  </si>
  <si>
    <t>Concrete, 25 MPa</t>
  </si>
  <si>
    <t>&gt;20 MPa to ≤25 MPa</t>
  </si>
  <si>
    <t>Concrete, 25 MPa, in-situ, no reinforcement, (SE252E2) (Ecopact) (Holcim) (SA) (Adelaide)</t>
  </si>
  <si>
    <t>213</t>
  </si>
  <si>
    <t>0.32</t>
  </si>
  <si>
    <t>Concrete, 25 MPa, in-situ, no reinforcement, (SE252E3) (Ecopact) (Holcim) (SA) (Adelaide)</t>
  </si>
  <si>
    <t>214</t>
  </si>
  <si>
    <t>Concrete, 25 MPa, in-situ, no reinforcement, (KM2510B)(GB) (BCG) (WA), (Perth)</t>
  </si>
  <si>
    <t>Concrete, 25 MPa, in-situ, no reinforcement, (SE252E56) (Ecopact) (Holcim) (SA) (Adelaide)</t>
  </si>
  <si>
    <t>221</t>
  </si>
  <si>
    <t>Concrete, 25 MPa, in-situ, no reinforcement, (VE252EF2) (Ecopact) (Holcim) (VIC)</t>
  </si>
  <si>
    <t>0.27</t>
  </si>
  <si>
    <t>Concrete, 25 MPa, in-situ, no reinforcement, (VE251E2) (Ecopact) (Holcim) (VIC)</t>
  </si>
  <si>
    <t>218</t>
  </si>
  <si>
    <t>Concrete, 25 MPa, in-situ, no reinforcement, (VE252E56) (Ecopact) (Holcim) (VIC)</t>
  </si>
  <si>
    <t>229</t>
  </si>
  <si>
    <t>Concrete, 25 MPa, in-situ, no reinforcement, (QE252ESF1) (Ecopact) (Holcim) (QLD) (Brisbane)</t>
  </si>
  <si>
    <t>0.23</t>
  </si>
  <si>
    <t>Concrete, 25 MPa, in-situ, no reinforcement, (QE251E)(Ecopact) (Holcim) (QLD) (Sunshine Coast)</t>
  </si>
  <si>
    <t>165</t>
  </si>
  <si>
    <t>Concrete, 25 MPa, in-situ, no reinforcement, (QE251E100)(Ecopact) (Holcim) (QLD) (Sunshine Coast)</t>
  </si>
  <si>
    <t>Concrete, 25 MPa, in-situ, no reinforcement, (QE252E)(Ecopact) (Holcim) (QLD) (Sunshine Coast)</t>
  </si>
  <si>
    <t>172</t>
  </si>
  <si>
    <t>Concrete, 25 MPa, in-situ, no reinforcement, (Futurecrete®
N class GP/GL:Slag
25 MPa) (Adbri) (QLD)</t>
  </si>
  <si>
    <t>Concrete, 25 MPa, in-situ, no reinforcement, (QE252E100)(Ecopact) (Holcim) (QLD) (Sunshine Coast)</t>
  </si>
  <si>
    <t>174</t>
  </si>
  <si>
    <t>Concrete, 25 MPa, in-situ, no reinforcement, (25MPa 10MM BLOCKMIX) (Adbri) (QLD)</t>
  </si>
  <si>
    <t>Concrete, 25 MPa, in-situ, no reinforcement, (Futurecrete®  Ultra
N Class GP/GL:Slag
25 MPa) (Adbri) (VIC)</t>
  </si>
  <si>
    <t>Concrete, 25 MPa, in-situ, no reinforcement, (NE252E1A1)(Ecopact) (Holcim) (NSW), (Sydney)</t>
  </si>
  <si>
    <t>0.19</t>
  </si>
  <si>
    <t>Concrete, 25 MPa, in-situ, no reinforcement, (QE251L100)(Ecopact) (Holcim) (QLD) (Sunshine Coast)</t>
  </si>
  <si>
    <t>223</t>
  </si>
  <si>
    <t>0.20</t>
  </si>
  <si>
    <t>Concrete, 25 MPa, in-situ, no reinforcement, (QE252L)(Ecopact) (Holcim) (QLD) (Sunshine Coast)</t>
  </si>
  <si>
    <t>Concrete, 25 MPa, in-situ, no reinforcement, (Futurecrete®
Ultra N class GP/ GL:Slag 25 MPa) (Adbri) (QLD)</t>
  </si>
  <si>
    <t>Concrete, 25 MPa, in-situ, no reinforcement, (NE251EBMX)(Ecopact) (Holcim) (NSW), (Sydney)</t>
  </si>
  <si>
    <t>Concrete, 25 MPa, in-situ, no reinforcement, (NE252E1)(Ecopact) (Holcim) (NSW), (Sydney)</t>
  </si>
  <si>
    <t>149</t>
  </si>
  <si>
    <t>Concrete, 25 MPa, in-situ, no reinforcement, (NE252E5)(Ecopact) (Holcim) (NSW), (Sydney)</t>
  </si>
  <si>
    <t>Concrete, 25 MPa, in-situ, no reinforcement, (NE251E1)(Ecopact) (Holcim) (NSW), (Sydney)</t>
  </si>
  <si>
    <t>Concrete, 25 MPa, in-situ, no reinforcement, (NE251E5)(Ecopact) (Holcim) (NSW), (Sydney)</t>
  </si>
  <si>
    <t>Concrete, 25 MPa, in-situ, no reinforcement, (QE257EBMX) (Ecopact) (Holcim) (QLD), Gold Coast</t>
  </si>
  <si>
    <t>Concrete, 25 MPa, in-situ, no reinforcement, (QE251E100) (Ecopact) (Holcim) (QLD), Gold Coast</t>
  </si>
  <si>
    <t>167</t>
  </si>
  <si>
    <t>Concrete, 25 MPa, in-situ, no reinforcement, (QE253EBMX) (Ecopact) (Holcim) (QLD) (Brisbane)</t>
  </si>
  <si>
    <t>Concrete, 25 MPa, in-situ, no reinforcement, (Futurecrete®
N class GP/GL:FA
25 MPa) (Adbri) (QLD)</t>
  </si>
  <si>
    <t>Concrete, 25 MPa, in-situ, no reinforcement, (QE253EBMX) (Ecopact) (Holcim) (QLD), Gold Coast</t>
  </si>
  <si>
    <t>222</t>
  </si>
  <si>
    <t>Concrete, 25 MPa, in-situ, no reinforcement, (Adbri concrete
N class GP/GL
25 MPa) (Adbri) (QLD)</t>
  </si>
  <si>
    <t>Concrete, 25 MPa, in-situ, no reinforcement, (QE251EEZY) (Ecopact) (Holcim) (QLD) (Brisbane)</t>
  </si>
  <si>
    <t>175</t>
  </si>
  <si>
    <t>Concrete, 25 MPa, in-situ, no reinforcement, (QE251EL21) (Ecopact) (Holcim) (QLD) (Brisbane)</t>
  </si>
  <si>
    <t>Concrete, 25 MPa, in-situ, no reinforcement, (QE251E100) (Ecopact) (Holcim) (QLD) (Brisbane)</t>
  </si>
  <si>
    <t>Concrete, 25 MPa, in-situ, no reinforcement, (QE257EBMX) (Ecopact) (Holcim) (QLD) (Brisbane)</t>
  </si>
  <si>
    <t>206</t>
  </si>
  <si>
    <t>Concrete, 25 MPa, in-situ, no reinforcement, (QE252E100) (Ecopact) (Holcim) (QLD) (Brisbane)</t>
  </si>
  <si>
    <t>Concrete, 25 MPa, in-situ, no reinforcement, (QE252EEZY) (Ecopact) (Holcim) (QLD), Gold Coast</t>
  </si>
  <si>
    <t>179</t>
  </si>
  <si>
    <t>Concrete, 25 MPa, in-situ, no reinforcement, (QE251E) (Ecopact) (Holcim) (QLD), Gold Coast</t>
  </si>
  <si>
    <t>Concrete, 25 MPa, in-situ, no reinforcement, (BF2503B)(GB) (BCG) (WA), (Perth)</t>
  </si>
  <si>
    <t>Concrete, 25 MPa, in-situ, no reinforcement, (QE251EL21) (Ecopact) (Holcim) (QLD), Gold Coast</t>
  </si>
  <si>
    <t>184</t>
  </si>
  <si>
    <t>Concrete, 25 MPa, in-situ, no reinforcement, (QE252EEZY) (Ecopact) (Holcim) (QLD) (Brisbane)</t>
  </si>
  <si>
    <t>171</t>
  </si>
  <si>
    <t>Concrete, 25 MPa, in-situ, no reinforcement, (QE252E100) (Ecopact) (Holcim) (QLD), Gold Coast</t>
  </si>
  <si>
    <t>173</t>
  </si>
  <si>
    <t>Concrete, 25 MPa, in-situ, no reinforcement, (Adbri concrete
N class GP/GL:FA
25 MPa) (Adbri) (QLD)</t>
  </si>
  <si>
    <t>Concrete, 25 MPa, in-situ, no reinforcement, (QE252E) (Ecopact) (Holcim) (QLD), Gold Coast</t>
  </si>
  <si>
    <t>Concrete, 25 MPa, in-situ, no reinforcement, (QE252E) (Ecopact) (Holcim) (QLD) (Brisbane)</t>
  </si>
  <si>
    <t>163</t>
  </si>
  <si>
    <t>Concrete, 25 MPa, in-situ, no reinforcement, (WE254E1)(Ecopact) (Holcim) (WA), (Perth Metro)</t>
  </si>
  <si>
    <t>212</t>
  </si>
  <si>
    <t>Concrete, 25 MPa, in-situ, no reinforcement, (WE251E1)(Ecopact) (Holcim) (WA), (Perth Metro)</t>
  </si>
  <si>
    <t>Concrete, 25 MPa, in-situ, no reinforcement, (Adbri Concrete N Class GP/GL 25 MPa) (Adbri) (VIC)</t>
  </si>
  <si>
    <t>Concrete, 25 MPa, in-situ, no reinforcement, (QE252L700) (Ecopact) (Holcim) (QLD), Gold Coast</t>
  </si>
  <si>
    <t>Concrete, 25 MPa, in-situ, no reinforcement, (Adbri Concrete N Class GP:GL 25 MPa
- Winnellie) (Adbri) (NT)</t>
  </si>
  <si>
    <t>Concrete, 25 MPa, in-situ, no reinforcement, (WE251EKC)(Ecopact) (Holcim) (WA), (Perth Metro)</t>
  </si>
  <si>
    <t>Concrete, 25 MPa, in-situ, no reinforcement, (VE251EKC) (Ecopact) (Holcim) (VIC)</t>
  </si>
  <si>
    <t>220</t>
  </si>
  <si>
    <t>Concrete, 25 MPa, in-situ, no reinforcement, (WE252EP1)(Ecopact) (Holcim) (WA), (Perth Metro)</t>
  </si>
  <si>
    <t>Concrete, 25 MPa, in-situ, no reinforcement, (WE254EP1)(Ecopact) (Holcim) (WA), (Perth Metro)</t>
  </si>
  <si>
    <t>Concrete, 25 MPa, in-situ, no reinforcement, (WE251EBMX)(Ecopact) (Holcim) (WA), (Perth Metro)</t>
  </si>
  <si>
    <t>217</t>
  </si>
  <si>
    <t>Concrete, 25 MPa, in-situ, no reinforcement, (Adbri Concrete N Class GP:GL 25 MPa
- Alice Springs) (Adbri) (NT)</t>
  </si>
  <si>
    <t>Concrete, 25 MPa, in-situ, no reinforcement, (Adbri Concrete N Class GP:GL 25 MPa
- Katherine) (Adbri) (NT)</t>
  </si>
  <si>
    <t>Concrete, 25 MPa, in-situ, no reinforcement, (R2520A)(GP) (BCG) (WA), (Perth)</t>
  </si>
  <si>
    <t>Concrete, 25 MPa, in-situ, no reinforcement, (General) (Holcim) (NSW)(ACT)</t>
  </si>
  <si>
    <t>2.97E+02</t>
  </si>
  <si>
    <t>Concrete, 25 MPa, in-situ, no reinforcement, (Fly Ash) (Holcim) (NSW)(ACT)</t>
  </si>
  <si>
    <t>2.41E+02</t>
  </si>
  <si>
    <t>Concrete, 25 MPa, in-situ, no reinforcement, (GGBS Slag) (Holcim) (NSW)(ACT)</t>
  </si>
  <si>
    <t>1.85E+02</t>
  </si>
  <si>
    <t>Concrete, 25 MPa, in-situ, no reinforcement, (Triple Blend) (Holcim) (NSW)(ACT)</t>
  </si>
  <si>
    <t>Concrete, 25 MPa, in-situ, no reinforcement,(General)  (Holcim)  (QLD)</t>
  </si>
  <si>
    <t>Concrete, 25 MPa, in-situ, no reinforcement,(Fly Ash)  (Holcim)  (QLD)</t>
  </si>
  <si>
    <t>2.19E+02</t>
  </si>
  <si>
    <t>Concrete, 25 MPa, in-situ, no reinforcement,(GGBS Slag)  (Holcim)  (QLD)</t>
  </si>
  <si>
    <t>1.72E+02</t>
  </si>
  <si>
    <t>Concrete, 25 MPa, in-situ, no reinforcement,(Triple Blend)  (Holcim)  (QLD)</t>
  </si>
  <si>
    <t>1.67E+02</t>
  </si>
  <si>
    <t>Concrete, 25 MPa, in-situ, no reinforcement, (General) (Holcim) (VIC)</t>
  </si>
  <si>
    <t>2.86E+02</t>
  </si>
  <si>
    <t>Concrete, 25 MPa, in-situ, no reinforcement, (Fly Ash) (Holcim) (VIC)</t>
  </si>
  <si>
    <t>2.40E+02</t>
  </si>
  <si>
    <t>Concrete, 25 MPa, in-situ, no reinforcement, (Triple Blend) (Holcim) (VIC)</t>
  </si>
  <si>
    <t>2.15E+02</t>
  </si>
  <si>
    <t>Concrete, 25 MPa, in-situ, no reinforcement, (General) (Holcim) (SA)</t>
  </si>
  <si>
    <t>3.03E+02</t>
  </si>
  <si>
    <t>2.27E+02</t>
  </si>
  <si>
    <t>Concrete, 25 MPa, in-situ, no reinforcement, (General) (Holcim) (WA)</t>
  </si>
  <si>
    <t>2.80E+02</t>
  </si>
  <si>
    <t>Concrete, 25 MPa, in-situ, no reinforcement, (NE252E151)(Ecopact) (Holcim) (ACT)</t>
  </si>
  <si>
    <t>184.71</t>
  </si>
  <si>
    <t>Concrete, 25 MPa, in-situ, no reinforcement, (NE252E351)(Ecopact) (Holcim) (ACT)</t>
  </si>
  <si>
    <t>186.34</t>
  </si>
  <si>
    <t>Concrete, 25 MPa, in-situ, no reinforcement, (NE251E151)(Ecopact) (Holcim) (ACT)</t>
  </si>
  <si>
    <t>184.94</t>
  </si>
  <si>
    <t>Concrete, 25 MPa, in-situ, no reinforcement, (NE251E351)(Ecopact) (Holcim) (ACT)</t>
  </si>
  <si>
    <t>186.54</t>
  </si>
  <si>
    <t>Concrete, 25 MPa, in-situ, no reinforcement, (VS251BPV) (Holcim) (VIC)</t>
  </si>
  <si>
    <t>252.50</t>
  </si>
  <si>
    <t>Concrete, 25 MPa, in-situ, no reinforcement, (VS252BOX) (Holcim) (VIC)</t>
  </si>
  <si>
    <t>244.19</t>
  </si>
  <si>
    <t>Concrete, 25 MPa, in-situ, no reinforcement, (VX251DM) (Holcim) (VIC)</t>
  </si>
  <si>
    <t>350.41</t>
  </si>
  <si>
    <t>Concrete, 25 MPa, in-situ, no reinforcement, (VX251OBS) (Holcim) (VIC)</t>
  </si>
  <si>
    <t>331.82</t>
  </si>
  <si>
    <t>Concrete, 25 MPa, in-situ, no reinforcement, (VS252BHS2) (Holcim) (VIC)</t>
  </si>
  <si>
    <t>185.25</t>
  </si>
  <si>
    <t>Concrete, 25 MPa, in-situ, no reinforcement, (QE252E)(Holcim) (QLD), (North QLD)</t>
  </si>
  <si>
    <t>209.71</t>
  </si>
  <si>
    <t>Concrete, 25 MPa, in-situ, no reinforcement, (QE252E1)(Holcim) (QLD), (North QLD)</t>
  </si>
  <si>
    <t>209.99</t>
  </si>
  <si>
    <t>Concrete, 25 MPa, in-situ, no reinforcement, (QE252EFB1)(Holcim) (QLD), (North QLD)</t>
  </si>
  <si>
    <t>213.51</t>
  </si>
  <si>
    <t>Concrete, 25 MPa, in-situ, no reinforcement, (QE251E)(Holcim) (QLD), (North QLD)</t>
  </si>
  <si>
    <t>214.63</t>
  </si>
  <si>
    <t>Concrete, 25 MPa, in-situ, no reinforcement, (QE251E1)(Holcim) (QLD), (North QLD)</t>
  </si>
  <si>
    <t>215.19</t>
  </si>
  <si>
    <t>Concrete, 25 MPa, in-situ, no reinforcement, (QE251EBMX)(Holcim) (QLD), (North QLD)</t>
  </si>
  <si>
    <t>240.97</t>
  </si>
  <si>
    <t>Concrete, 25 MPa, in-situ, no reinforcement, (Adbri N Class
GP/GL 25 MPa) (Adbri) (SA)</t>
  </si>
  <si>
    <t>Concrete, 25 MPa, in-situ, no reinforcement, (Adbri Concrete
N Class GP/GL:FA
25 MPa) (Adbri) (NSW)</t>
  </si>
  <si>
    <t>Concrete, 25 MPa, in-situ, no reinforcement, (S25MPA
KERB&amp;GUTTER MACHINE PLACED
10MM) (Adbri) (NSW)</t>
  </si>
  <si>
    <t>Concrete, 25 MPa, in-situ, no reinforcement, Pre-mix Concrete Normal Class GP blend (Boral) (ACT), (Canberra) Normal Class GP blend 25MPa</t>
  </si>
  <si>
    <t>Concrete, 25 MPa, in-situ, no reinforcement, Pre-mix Concrete Normal Class GP/FA blend (Boral) (ACT), (Canberra) Normal Class GP/FA blend 25 MPa</t>
  </si>
  <si>
    <t>Concrete, 25 MPa, in-situ, no reinforcement, Pre-mix Concrete Normal Class GP/GGBFS blend (Boral) (ACT), (Canberra) Normal Class GP/GGBFS blend 25 MPa</t>
  </si>
  <si>
    <t>Concrete, 25 MPa, in-situ, no reinforcement, Pre-mix Concrete ENVIROCRETE 30% (Boral) (ACT), (Canberra) ENVIROCRETE 30% 25 MPa</t>
  </si>
  <si>
    <t>Concrete, 25 MPa, in-situ, no reinforcement, Pre-mix Concrete ENVIROCRETE 40% (Boral) (ACT), (Canberra) ENVIROCRETE 40% 25 MPa</t>
  </si>
  <si>
    <t>Concrete, 25 MPa, in-situ, no reinforcement, Pre-mix Concrete ENVIROCRETE PLUS (Boral) (ACT), (Canberra) ENVIROCRETE PLUS 25MPa</t>
  </si>
  <si>
    <t>Concrete, 25 MPa, in-situ, no reinforcement, Pre-mix Concrete ENVISIA (Boral) (ACT), (Canberra) ENVISIA 25MPa</t>
  </si>
  <si>
    <t>Concrete, 25 MPa, in-situ, no reinforcement, Pre-mix Concrete KERB MACHINE (Boral) (ACT), (Canberra) KERB MACHINE 25MPa 10MM</t>
  </si>
  <si>
    <t>Concrete, 25 MPa, in-situ, no reinforcement, Pre-mix Concrete Normal Class GP blend (Boral) (NSW), (Newcastle) Normal Class GP blend 25MPa</t>
  </si>
  <si>
    <t>Concrete, 25 MPa, in-situ, no reinforcement, Pre-mix Concrete Normal Class GP/FA blend (Boral) (NSW), (Newcastle) Normal Class GP/FA blend 25 MPa</t>
  </si>
  <si>
    <t>Concrete, 25 MPa, in-situ, no reinforcement, Pre-mix Concrete Normal Class GP/GGBFS blend (Boral) (NSW), (Newcastle) Normal Class GP/GGBFS blend 25 MPa</t>
  </si>
  <si>
    <t>Concrete, 25 MPa, in-situ, no reinforcement, Pre-mix Concrete ENVIROCRETE 30% (Boral) (NSW), (Newcastle) ENVIROCRETE 30% 25 MPa</t>
  </si>
  <si>
    <t>Concrete, 25 MPa, in-situ, no reinforcement, Pre-mix Concrete ENVIROCRETE 40% (Boral) (NSW), (Newcastle) ENVIROCRETE 40% 25 MPa</t>
  </si>
  <si>
    <t>Concrete, 25 MPa, in-situ, no reinforcement, Pre-mix Concrete ENVIROCRETE PLUS (Boral) (NSW), (Newcastle) ENVIROCRETE PLUS 25MPa</t>
  </si>
  <si>
    <t>Concrete, 25 MPa, in-situ, no reinforcement, Pre-mix Concrete ENVISIA (Boral) (NSW), (Newcastle) ENVISIA 25MPa</t>
  </si>
  <si>
    <t>Concrete, 25 MPa, in-situ, no reinforcement, Pre-mix Concrete KERB MACHINE (Boral) (NSW), (Newcastle) KERB MACHINE 25MPa 10MM</t>
  </si>
  <si>
    <t>Concrete, 25 MPa, in-situ, no reinforcement, Pre-mix Concrete Normal Class GP blend (Boral) (NSW), (Sydney) Normal Class GP blend 25MPa</t>
  </si>
  <si>
    <t>Concrete, 25 MPa, in-situ, no reinforcement, Pre-mix Concrete Normal Class GP/FA blend (Boral) (NSW), (Sydney) Normal Class GP/FA blend 25 MPa</t>
  </si>
  <si>
    <t>Concrete, 25 MPa, in-situ, no reinforcement, Pre-mix Concrete Normal Class GP/GGBFS blend (Boral) (NSW), (Sydney) Normal Class GP/GGBFS blend 25 MPa</t>
  </si>
  <si>
    <t>Concrete, 25 MPa, in-situ, no reinforcement, Pre-mix Concrete Normal Class GP/GGBFS/FA blend (Boral) (NSW), (Sydney) Normal Class GP/GGBFS/FA blend 25 MPa</t>
  </si>
  <si>
    <t>Concrete, 25 MPa, in-situ, no reinforcement, Pre-mix Concrete ENVIROCRETE 30% (Boral) (NSW), (Sydney) ENVIROCRETE 30% 25 MPa</t>
  </si>
  <si>
    <t>Concrete, 25 MPa, in-situ, no reinforcement, Pre-mix Concrete ENVIROCRETE 40% (Boral) (NSW), (Sydney) ENVIROCRETE 40% 25 MPa</t>
  </si>
  <si>
    <t>Concrete, 25 MPa, in-situ, no reinforcement, Pre-mix Concrete ENVIROCRETE PLUS (Boral) (NSW), (Sydney) ENVIROCRETE PLUS 25MPa</t>
  </si>
  <si>
    <t>Concrete, 25 MPa, in-situ, no reinforcement, Pre-mix Concrete ENVISIA (Boral) (NSW), (Sydney) ENVISIA 25MPa</t>
  </si>
  <si>
    <t>Concrete, 25 MPa, in-situ, no reinforcement, Pre-mix Concrete KERB MACHINE (Boral) (NSW), (Sydney) KERB MACHINE 25MPa 10MM</t>
  </si>
  <si>
    <t>Concrete, 25 MPa, in-situ, no reinforcement, Pre-mix Concrete Normal Class GP blend (Boral) (NSW), (Wollongong) Normal Class GP blend 25MPa</t>
  </si>
  <si>
    <t>Concrete, 25 MPa, in-situ, no reinforcement, Pre-mix Concrete Normal Class GP/FA blend (Boral) (NSW), (Wollongong) Normal Class GP/FA blend 25 MPa</t>
  </si>
  <si>
    <t>Concrete, 25 MPa, in-situ, no reinforcement, Pre-mix Concrete KERB MACHINE (Boral) (NSW), (Wollongong) KERB MACHINE 25MPa 10MM</t>
  </si>
  <si>
    <t>Concrete, 25 MPa, in-situ, no reinforcement, Pre-mix Concrete Normal Class GP/GGBFS blend (Boral) (NSW), (Wollongong) Normal Class GP/GGBFS blend 25 MPa</t>
  </si>
  <si>
    <t>Concrete, 25 MPa, in-situ, no reinforcement, Pre-mix Concrete Normal Class GP/GGBFS/FA blend (Boral) (NSW), (Wollongong) Normal Class GP/GGBFS/FA blend 25 MPa</t>
  </si>
  <si>
    <t>Concrete, 25 MPa, in-situ, no reinforcement, Pre-mix Concrete ENVIROCRETE 30% (Boral) (NSW), (Wollongong) ENVIROCRETE 30% 25 MPa</t>
  </si>
  <si>
    <t>Concrete, 25 MPa, in-situ, no reinforcement, Pre-mix Concrete ENVIROCRETE 40% (Boral) (NSW), (Wollongong) ENVIROCRETE 40% 25 MPa</t>
  </si>
  <si>
    <t>Concrete, 25 MPa, in-situ, no reinforcement, Pre-mix Concrete ENVIROCRETE PLUS (Boral) (NSW), (Wollongong) ENVIROCRETE PLUS 25MPa</t>
  </si>
  <si>
    <t>Concrete, 25 MPa, in-situ, no reinforcement, Pre-mix Concrete ENVISIA (Boral) (NSW), (Wollongong) ENVISIA 25MPa</t>
  </si>
  <si>
    <t>Concrete, 25 MPa, in-situ, no reinforcement, Pre-mix Concrete Normal Class GP blend (Boral) (TAS), (Hobart) Normal Class GP blend 25MPa</t>
  </si>
  <si>
    <t>Concrete, 25 MPa, in-situ, no reinforcement, Pre-mix Concrete ENVISIA (Boral) (TAS), (Hobart) ENVISIA 25 MPa</t>
  </si>
  <si>
    <t>Concrete, 25 MPa, in-situ, no reinforcement, Pre-mix Concrete Normal Class GP blend (Boral) (TAS), (Launceston) Normal Class GP blend 25MPa</t>
  </si>
  <si>
    <t>Concrete, 25 MPa, in-situ, no reinforcement, Pre-mix Concrete ENVISIA (Boral) (TAS), (Launceston) ENVISIA 25 MPa</t>
  </si>
  <si>
    <t>Concrete, 25 MPa, in-situ, no reinforcement, GP, Normal Class (WA Premix) (WA), (Perth)</t>
  </si>
  <si>
    <t>Concrete, 25 MPa, in-situ, no reinforcement, Blend, Normal Class (WA Premix) (WA), (Perth)</t>
  </si>
  <si>
    <t>Concrete, 25 MPa, in-situ, no reinforcement, Ready-Mix Concrete (LC)50 (Concrite) (NSW) (Sydney Region, NSW)</t>
  </si>
  <si>
    <t>Concrete, 25 MPa, in-situ, no reinforcement, Ready-Mix Concrete (LC)40 (Concrite) (NSW) (Sydney Region, NSW)</t>
  </si>
  <si>
    <t>Concrete, 25 MPa, in-situ, no reinforcement, Ready-Mix Concrete (LC)30 (Concrite) (NSW) (Sydney Region, NSW)</t>
  </si>
  <si>
    <t>Concrete, 25 MPa, in-situ, no reinforcement, Ready-Mix Concrete (LCHP) (Concrite) (NSW) (Sydney Region, NSW)</t>
  </si>
  <si>
    <t>Concrete, 25 MPa, in-situ, no reinforcement, Ready-Mix Concrete (LCP) (Concrite) (NSW) (Sydney Region, NSW)</t>
  </si>
  <si>
    <t>Concrete, 25 MPa, in-situ, no reinforcement, Ready-Mix Concrete Normal class GP blend (Concrite) (NSW) (Sydney Region, NSW)</t>
  </si>
  <si>
    <t>Concrete, 25 MPa, in-situ, no reinforcement, Ready-Mix Concrete KERB MACHINE (Concrite) (NSW) (Sydney Region, NSW)</t>
  </si>
  <si>
    <t>Concrete, 25 MPa, in-situ, no reinforcement, Ready-Mix Concrete SLAG AGG CONCRETE MIX, (LC)50 (Concrite) (NSW) (Sydney Region, NSW)</t>
  </si>
  <si>
    <t>Concrete, 25 MPa, in-situ, no reinforcement, Ready-Mix Concrete SLAG AGG CONCRETE MIX, (LC)40 (Concrite) (NSW) (Sydney Region, NSW)</t>
  </si>
  <si>
    <t>Concrete, 25 MPa, in-situ, no reinforcement, Ready-Mix Concrete SLAG AGG CONCRETE MIX, (LC)30 (Concrite) (NSW) (Sydney Region, NSW)</t>
  </si>
  <si>
    <t>Concrete, 25 MPa, in-situ, no reinforcement, Ready-Mix Concrete (LC)30 25MPa (Concrite) (NSW) (Southern Highlands, NSW)</t>
  </si>
  <si>
    <t>Concrete, 25 MPa, in-situ, no reinforcement, Ready-Mix Concrete NORMAL CLASS GP BLEND (Concrite) (NSW) (Southern Highlands, NSW)</t>
  </si>
  <si>
    <t>Concrete, 25 MPa, in-situ, no reinforcement, Ready-Mix Concrete KERB MACHINE 10MM (Concrite) (NSW) (Southern Highlands, NSW)</t>
  </si>
  <si>
    <t>Concrete, 25 MPa, in-situ, no reinforcement, Ready-Mix Concrete LC30 25MPa (Concrite) (ACT) (Canberra, ACT)</t>
  </si>
  <si>
    <t>Concrete, 25 MPa, in-situ, no reinforcement, Ready-Mix Concrete NORMAL CLASS GP BLEND (Concrite) (ACT) (Canberra, ACT)</t>
  </si>
  <si>
    <t>Concrete, 25 MPa, in-situ, no reinforcement, Ready-Mix Concrete KERB MACHINE 10MM (Concrite) (ACT) (Canberra, ACT)</t>
  </si>
  <si>
    <t>Concrete, 25 MPa, in-situ, no reinforcement, (Futurecrete®  Ultra S25MPA PILE/ TREMIE 10MM SP) (Adbri) (NSW)</t>
  </si>
  <si>
    <t>Concrete, 25 MPa, in-situ, no reinforcement, (Futurecrete®  Ultra
S25MPA DINCEL
10MM) (Adbri) (NSW)</t>
  </si>
  <si>
    <t>Concrete, 25 MPa, in-situ, no reinforcement, (Futurecrete®
S25MPA HY-LINE
2INCH 10MM PUMP) (Adbri) (NSW)</t>
  </si>
  <si>
    <t>Concrete, 25 MPa, in-situ, no reinforcement, (Futurecrete®  Ultra
N Class Ternary
25 MPa) (Adbri) (NSW)</t>
  </si>
  <si>
    <t>Concrete, 25 MPa, in-situ, no reinforcement, (Futurecrete®  Ultra N Class GP/ GL:Slag 25 MPa) (Adbri) (NSW)</t>
  </si>
  <si>
    <t>Concrete, 25 MPa, in-situ, no reinforcement, (Futurecrete®  N Class
GP/GL:FA 25 MPa) (Adbri) (SA)</t>
  </si>
  <si>
    <t>Concrete, 25 MPa, in-situ, no reinforcement, (Futurecrete®  N
Class GP/GL:Slag
25 MPa) (Adbri) (SA)</t>
  </si>
  <si>
    <t>Concrete, 25 MPa, in-situ, no reinforcement, (Futurecrete®
Ultra S25MPA
BLOCKFILL 10MM) (Adbri) (NSW)</t>
  </si>
  <si>
    <t>Concrete, 25 MPa, in-situ, no reinforcement, (Futurecrete®
Ultra S25MPA
BLOCKFILL 10MM
230MM SLUMP) (Adbri) (NSW)</t>
  </si>
  <si>
    <t>Concrete, 25 MPa, in-situ, no reinforcement, (Futurecrete®  Ultra S25MPA 10MM RITEK SYSTEM) (Adbri) (NSW)</t>
  </si>
  <si>
    <t>Concrete, 25 MPa, in-situ, no reinforcement, (R2520B)(GB) (BCG) (WA), (Perth)</t>
  </si>
  <si>
    <t>Concrete, 25 MPa, in-situ, no reinforcement, (VE252EF26) (Ecopact) (Holcim) (VIC)</t>
  </si>
  <si>
    <t>237</t>
  </si>
  <si>
    <t>236</t>
  </si>
  <si>
    <t>0.43</t>
  </si>
  <si>
    <t>228</t>
  </si>
  <si>
    <t>0.42</t>
  </si>
  <si>
    <t>Concrete, 25 MPa, in-situ, no reinforcement, (CS2520BGS)(B) (BCG) (WA), (Perth)</t>
  </si>
  <si>
    <t>Concrete, 25 MPa, in-situ, no reinforcement, (VE251E56) (Ecopact) (Holcim) (VIC)</t>
  </si>
  <si>
    <t>232</t>
  </si>
  <si>
    <t>231</t>
  </si>
  <si>
    <t>0.33</t>
  </si>
  <si>
    <t>Concrete, 25 MPa, in-situ, no reinforcement, (LH2520E)(LH) (BCG) (WA), (Perth)</t>
  </si>
  <si>
    <t>Concrete, 25 MPa, in-situ, no reinforcement, (SE252E) (Ecopact) (Holcim) (SA) (Adelaide)</t>
  </si>
  <si>
    <t>Concrete, 25 MPa, in-situ, no reinforcement, (VE252E /
BE252E) (Ecopact) (Holcim) (VIC)</t>
  </si>
  <si>
    <t>Concrete, 25 MPa, in-situ, no reinforcement, (QE201L)(Ecopact) (Holcim) (QLD) (Sunshine Coast)</t>
  </si>
  <si>
    <t>Concrete, 25 MPa, in-situ, no reinforcement, (Futurecrete® N Class
GP:GL:Slag 25 MPa
- Winnellie) (Adbri) (NT)</t>
  </si>
  <si>
    <t>Concrete, 25 MPa, in-situ, no reinforcement, (QE252L100)(Ecopact) (Holcim) (QLD) (Sunshine Coast)</t>
  </si>
  <si>
    <t>216</t>
  </si>
  <si>
    <t>Concrete, 25 MPa, in-situ, no reinforcement, (QE252ESF) (Ecopact) (Holcim) (QLD) (Brisbane)</t>
  </si>
  <si>
    <t>199</t>
  </si>
  <si>
    <t>Concrete, 25 MPa, in-situ, no reinforcement, (WE252E31)(Ecopact) (Holcim) (WA), (Perth Metro)</t>
  </si>
  <si>
    <t>Concrete, 25 MPa, in-situ, no reinforcement, (WE254EKC)(Ecopact) (Holcim) (WA), (Perth Metro)</t>
  </si>
  <si>
    <t>Concrete, 25 MPa, in-situ, no reinforcement, (WE252E1)(Ecopact) (Holcim) (WA), (Perth Metro)</t>
  </si>
  <si>
    <t>205</t>
  </si>
  <si>
    <t>Concrete, 25 MPa, in-situ, no reinforcement, (Futurecrete®  N Class
GP/GL:Slag 25 MPa) (Adbri) (VIC)</t>
  </si>
  <si>
    <t>Concrete, 25 MPa, in-situ, no reinforcement, (QE251EEZY) (Ecopact) (Holcim) (QLD), Gold Coast</t>
  </si>
  <si>
    <t>185</t>
  </si>
  <si>
    <t>Concrete (in-situ), 25 MPa, Pre-mix concrete N2520 (Western Suburbs Concrete) (Australia)</t>
  </si>
  <si>
    <t>29/05/2024</t>
  </si>
  <si>
    <t>16/05/2029</t>
  </si>
  <si>
    <t>S-P-13817</t>
  </si>
  <si>
    <t xml:space="preserve">EPD (International) </t>
  </si>
  <si>
    <t>https://api.environdec.com/api/v1/EPDLibrary/Files/48b7baf0-8230-466f-4670-08dc81e1106c/Data</t>
  </si>
  <si>
    <t>Concrete (in-situ), 25MPa, Pre-mix Concrete EN25 (Barro Group) (Australia)</t>
  </si>
  <si>
    <t>EPD-IES-003329</t>
  </si>
  <si>
    <t>https://epd-australasia.com/wp-content/uploads/2025/01/EPD-IES-003329-001_BarroGroup_EN25_2024-12-18.pdf</t>
  </si>
  <si>
    <t>Concrete (in-situ), 25MPa, Pre-mix Concrete EPG25 (Barro Group) (Australia)</t>
  </si>
  <si>
    <t>EPD-IES-003342</t>
  </si>
  <si>
    <t>https://epd-australasia.com/wp-content/uploads/2025/01/EPD-IES-003342-001_BarroGroup_EPG25_2024-12-18.pdf</t>
  </si>
  <si>
    <t>Concrete (in-situ), 25MPa, Pre-mix Concrete EPG25L (Barro Group) (Australia)</t>
  </si>
  <si>
    <t>EPD-IES-003906</t>
  </si>
  <si>
    <t>https://epd-australasia.com/wp-content/uploads/2025/01/EPD-IES-003906-001_BarroGroup_EPG25L_2024-12-18.pdf</t>
  </si>
  <si>
    <t>Concrete (in-situ), , ENVISIA concrete in-situ Melb metro - 25 MPa (Boral) (Australia)</t>
  </si>
  <si>
    <t>Concrete (in-situ), , Envirocrete plus concrete in-situ Melb metro - 25 MPa (Boral) (Australia)</t>
  </si>
  <si>
    <t>Concrete (in-situ), , Envirocrete concrete in-situ Melb metro - 25 MPa (Boral) (Australia)</t>
  </si>
  <si>
    <t>Concrete (in-situ), , Envirocrete 40% concrete in-situ Melb metro - 25 MPa (Boral) (Australia)</t>
  </si>
  <si>
    <t>Concrete (in-situ), , Envirocrete 30% concrete in-situ Melb metro - 25 MPa (Boral) (Australia)</t>
  </si>
  <si>
    <t>Concrete (in-situ), , Normal GP blend concrete in-situ Melb metro - 25 MPa (Boral) (Australia)</t>
  </si>
  <si>
    <t>Concrete (in-situ), , Normal GP /FA blend blend concrete in-situ Melb metro - 25 MPa (Boral) (Australia)</t>
  </si>
  <si>
    <t>Concrete (in-situ), , Normal GP /GGBFS blend blend concrete in-situ Melb metro - 25 MPa (Boral) (Australia)</t>
  </si>
  <si>
    <t>Concrete (in-situ), , ENVISIA concrete in-situ Perth metro - 25 MPa (Boral) (Australia)</t>
  </si>
  <si>
    <t>Concrete (in-situ), , Envirocrete plus concrete in-situ Perth metro - 25 MPa (Boral) (Australia)</t>
  </si>
  <si>
    <t>Concrete (in-situ), , Envirocrete concrete in-situ Perth metro - 25 MPa (Boral) (Australia)</t>
  </si>
  <si>
    <t>Concrete (in-situ), , Envirocrete 30% concrete in-situ Perth metro - 25 MPa (Boral) (Australia)</t>
  </si>
  <si>
    <t>Concrete (in-situ), , Normal GP blend concrete in-situ Perth metro - 25 MPa (Boral) (Australia)</t>
  </si>
  <si>
    <t>Concrete (in-situ), , Normal GP /GGBFS blend blend concrete in-situ Perth metro - 25 MPa (Boral) (Australia)</t>
  </si>
  <si>
    <t>Concrete (in-situ), , ENVISIA concrete in-situ QLD metro - 25 MPa (Boral) (Australia)</t>
  </si>
  <si>
    <t>S-P-02339</t>
  </si>
  <si>
    <t>SP02339-Boral-EPD_QLD-Concrete_vJan24.pdf (epd-australasia.com)</t>
  </si>
  <si>
    <t>Concrete (in-situ), , Envirocrete plus concrete in-situ QLD metro - 25 MPa (Boral) (Australia)</t>
  </si>
  <si>
    <t>Concrete (in-situ), , Envirocrete 40% concrete in-situ QLD metro - 25 MPa (Boral) (Australia)</t>
  </si>
  <si>
    <t>Concrete (in-situ), , Envirocrete 30% concrete in-situ QLD metro - 25 MPa (Boral) (Australia)</t>
  </si>
  <si>
    <t>Concrete (in-situ), , Normal GP blend concrete in-situ QLD metro - 25 MPa (Boral) (Australia)</t>
  </si>
  <si>
    <t>25 MPa, , Normal Class 25MPa - straight cement (Gunlake) (Australia)</t>
  </si>
  <si>
    <t>25 MPa, , Normal Class 25MPa (NC2528PCI) - cement and fly-ash (Gunlake) (Australia)</t>
  </si>
  <si>
    <t>25 MPa, , Normal Class 25MPa (NC2528PCI) - cement, slag and fly-ash (Gunlake) (Australia)</t>
  </si>
  <si>
    <t>25 MPa, , Special Class 25MPa (GD252AP2) - green star mix with cement, high slag and fly-ash (Gunlake) (Australia)</t>
  </si>
  <si>
    <t>25 MPa, , Reduced Liner 25 MPa - Indicative Cement Replacement. Fly Ash/GGBFS (Hymix) (Australia)</t>
  </si>
  <si>
    <t>S-P-03722</t>
  </si>
  <si>
    <t>Version 1.1</t>
  </si>
  <si>
    <t>epd-australasia.com/wp-content/uploads/2022/10/SP03722-Hymix-EPD_LendLease-OSH_v1.1_Nov22.pdf</t>
  </si>
  <si>
    <t>25 MPa, , Blockwork Core Infill 25 MPa 50% Indicative Cement Replacement — GGBFS (Hymix) (Australia)</t>
  </si>
  <si>
    <t>S-P-03719</t>
  </si>
  <si>
    <t>https://epd-australasia.com/wp-content/uploads/2021/09/Hymix-Environmental-Product-Declaration-LL-BARANGAROO-R2-TOWER-SYDNEY-METRO-2.pdf</t>
  </si>
  <si>
    <t>25 MPa, , ENVISIA 25 MPa (Boral) (Australia)</t>
  </si>
  <si>
    <t>25 MPa, , ENVIROCRETE PLUS 25 MPa (Boral) (Australia)</t>
  </si>
  <si>
    <t>25 MPa, , ENVIROCRETE 40% 25 MPa (Boral) (Australia)</t>
  </si>
  <si>
    <t>25 MPa, , ENVIROCRETE 30% 25 MPa (Boral) (Australia)</t>
  </si>
  <si>
    <t>25 MPa, , ENVIROCRETE 25 MPa (Boral) (Australia)</t>
  </si>
  <si>
    <t>25 MPa, , NORMAL CLASS GP BLEND 25 MPa (Boral) (Australia)</t>
  </si>
  <si>
    <t>25 MPa, , NORMAL CLASS GP/FA BLEND 25 MPa (Boral) (Australia)</t>
  </si>
  <si>
    <t>25 MPa, , NORMAL CLASS GP/GGBFS BLEND 25 MPa (Boral) (Australia)</t>
  </si>
  <si>
    <t>25 MPa, , HIGH SLUMP 25 MPa (Boral) (Australia)</t>
  </si>
  <si>
    <t>25 MPa, NSW, Concrete:  S25/10/30 Slip manufactured at Prestons (Advanced Readymix) (Australia)</t>
  </si>
  <si>
    <t>EPD-IES-0016806:001</t>
  </si>
  <si>
    <t>https://epd-australasia.com/?s=0016806:001&amp;post_type=epd</t>
  </si>
  <si>
    <t>25 MPa, NSW, Concrete: S22 @ 3 40pt manufactured at Prestons (Advanced Readymix) (Australia)</t>
  </si>
  <si>
    <t>EPD-IES-0013947:001 (S-P-13947)</t>
  </si>
  <si>
    <t>https://epd-australasia.com/?s=0013947:001&amp;post_type=epd</t>
  </si>
  <si>
    <t>25 MPa, NSW, Concrete: S22 @ 3 40pt manufactured at Smithfield (Advanced Readymix) (Australia)</t>
  </si>
  <si>
    <t>EPD-IES-0014023:001 (S-P-14023)</t>
  </si>
  <si>
    <t>https://epd-australasia.com/?s=0014023:001&amp;post_type=epd</t>
  </si>
  <si>
    <t>25 MPa, NSW, Concrete: S25 1060 manufactured at Prestons (Advanced Readymix) (Australia)</t>
  </si>
  <si>
    <t>EPD-IES-0013948:001 (S-P-13948)</t>
  </si>
  <si>
    <t>https://epd-australasia.com/?s=0013948:001&amp;post_type=epd</t>
  </si>
  <si>
    <t>25 MPa, NSW, Concrete: S25/20/3D manufactured at Prestons (Advanced Readymix) (Australia)</t>
  </si>
  <si>
    <t>EPD-IES-0013949:001 (S-P-13949)</t>
  </si>
  <si>
    <t>https://epd-australasia.com/?s=0013949:001&amp;post_type=epd</t>
  </si>
  <si>
    <t>25 MPa, NSW, Concrete: S25 1060 manufactured at Smithfield (Advanced Readymix) (Australia)</t>
  </si>
  <si>
    <t>EPD-IES-0014024:001 (S-P-14024)</t>
  </si>
  <si>
    <t>https://epd-australasia.com/?s=0014024:001&amp;post_type=epd</t>
  </si>
  <si>
    <t>25 MPa, NSW, Concrete: S25/20/3D manufactured at Smithfield (Advanced Readymix) (Australia)</t>
  </si>
  <si>
    <t>EPD-IES-0014025:001 (S-P-14025)</t>
  </si>
  <si>
    <t>https://epd-australasia.com/?s=0014025:001&amp;post_type=epd</t>
  </si>
  <si>
    <t>25 MPa, NSW, Concrete: NS25/20/100 manufactured at Prestons (Advanced Readymix) (Australia)</t>
  </si>
  <si>
    <t>EPD-IES-0013939:001 (S-P-13939)</t>
  </si>
  <si>
    <t>https://epd-australasia.com/?s=0013939:001&amp;post_type=epd</t>
  </si>
  <si>
    <t>25 MPa, NSW, Concrete: NS25/20/100 manufactured at Smithfield (Advanced Readymix) (Australia)</t>
  </si>
  <si>
    <t>EPD-IES-0014015:001 (S-P-14015)</t>
  </si>
  <si>
    <t>https://epd-australasia.com/?s=0014015:001&amp;post_type=epd</t>
  </si>
  <si>
    <t>25 MPa, NSW, Concrete: NS25/20/80 manufactured at Prestons (Advanced Readymix) (Australia)</t>
  </si>
  <si>
    <t>EPD-IES-0013940:001 (S-P-13940)</t>
  </si>
  <si>
    <t>https://epd-australasia.com/?s=0013940:001&amp;post_type=epd</t>
  </si>
  <si>
    <t>25 MPa, NSW, Concrete: N25/20/80 manufactured at Prestons (Advanced Readymix) (Australia)</t>
  </si>
  <si>
    <t>EPD-IES-0013936:001 (S-P-13936)</t>
  </si>
  <si>
    <t>https://epd-australasia.com/?s=0013936:001&amp;post_type=epd</t>
  </si>
  <si>
    <t>25 MPa, NSW, Concrete: S25/10/30 Slip manufactured at Smithfield (Advanced Readymix) (Australia)</t>
  </si>
  <si>
    <t>EPD-IES-0016816:001</t>
  </si>
  <si>
    <t>https://epd-australasia.com/?s=0016816:001&amp;post_type=epd</t>
  </si>
  <si>
    <t>25 MPa, NSW, Concrete: NS25/20/80 manufactured at Smithfield (Advanced Readymix) (Australia)</t>
  </si>
  <si>
    <t>EPD-IES-0014016:001 (S-P-14016)</t>
  </si>
  <si>
    <t>https://epd-australasia.com/?s=0014016:001&amp;post_type=epd</t>
  </si>
  <si>
    <t>25 MPa, NSW, Concrete: N25/20/80 manufactured at Smithfield (Advanced Readymix) (Australia)</t>
  </si>
  <si>
    <t>EPD-IES-0014012:001 (S-P-14012)</t>
  </si>
  <si>
    <t>https://epd-australasia.com/?s=0014012:001&amp;post_type=epd</t>
  </si>
  <si>
    <t>25 MPa, TAS, S25/10BF concrete  manufactured in our Southern Region (Hazell Bros Concrete Pty Ltd) (Australia)</t>
  </si>
  <si>
    <t>EPD-IES-0014090:001 (S-P-14090)</t>
  </si>
  <si>
    <t>https://epd-australasia.com/?s=0014090:001&amp;post_type=epd</t>
  </si>
  <si>
    <t>25 MPa, NSW, Concrete: S25/20/CLR manufactured at Prestons (Advanced Readymix) (Australia)</t>
  </si>
  <si>
    <t>EPD-IES-0013950:001 (S-P-13950)</t>
  </si>
  <si>
    <t>https://epd-australasia.com/?s=0013950:001&amp;post_type=epd</t>
  </si>
  <si>
    <t>25 MPa, NSW, Concrete: S25/20/CLR manufactured at Smithfield (Advanced Readymix) (Australia)</t>
  </si>
  <si>
    <t>EPD-IES-0014026:001 (S-P-14026)</t>
  </si>
  <si>
    <t>https://epd-australasia.com/?s=0014026:001&amp;post_type=epd</t>
  </si>
  <si>
    <t>25 MPa, TAS, S25/10BF concrete  manufactured in our Northern Region (Hazell Bros Concrete Pty Ltd) (Australia)</t>
  </si>
  <si>
    <t>EPD-IES-0014058:001 (S-P-14058)</t>
  </si>
  <si>
    <t>https://epd-australasia.com/?s=0014058:001&amp;post_type=epd</t>
  </si>
  <si>
    <t>25 MPa, TAS, N25/20N concrete  manufactured in our Southern Region (Hazell Bros Concrete Pty Ltd) (Australia)</t>
  </si>
  <si>
    <t>EPD-IES-0014068:001 (S-P-14068)</t>
  </si>
  <si>
    <t>https://epd-australasia.com/?s=0014068:001&amp;post_type=epd</t>
  </si>
  <si>
    <t>25 MPa, NSW, Pre-mix concrete GS2520-1 (Western Suburbs Concrete) (Australia)</t>
  </si>
  <si>
    <t>EPD-IES-0013797:001 (S-P-13797)</t>
  </si>
  <si>
    <t>https://epd-australasia.com/?s=0013797:001&amp;post_type=epd</t>
  </si>
  <si>
    <t>25 MPa, NSW, Pre-mix concrete N2520 (Western Suburbs Concrete) (Australia)</t>
  </si>
  <si>
    <t>EPD-IES-0013817:001 (S-P-13817)</t>
  </si>
  <si>
    <t>https://epd-australasia.com/?s=0013817:001&amp;post_type=epd</t>
  </si>
  <si>
    <t>25 MPa, NSW, Pre-mix concrete GS2520-2 (Western Suburbs Concrete) (Australia)</t>
  </si>
  <si>
    <t>EPD-IES-0013802:001 (S-P-13802)</t>
  </si>
  <si>
    <t>https://epd-australasia.com/?s=0013802:001&amp;post_type=epd</t>
  </si>
  <si>
    <t>25 MPa, NSW, Pre-mix concrete WGS2520-1 (Western Suburbs Concrete) (Australia)</t>
  </si>
  <si>
    <t>EPD-IES-0013807:001 (S-P-13807)</t>
  </si>
  <si>
    <t>https://epd-australasia.com/?s=0013807:001&amp;post_type=epd</t>
  </si>
  <si>
    <t>25 MPa, NSW, Pre-mix concrete WN2520 (Western Suburbs Concrete) (Australia)</t>
  </si>
  <si>
    <t>EPD-IES-0013822:001 (S-P-13822)</t>
  </si>
  <si>
    <t>https://epd-australasia.com/?s=0013822:001&amp;post_type=epd</t>
  </si>
  <si>
    <t>25 MPa, NSW, Pre-mix concrete WGS2520-2 (Western Suburbs Concrete) (Australia)</t>
  </si>
  <si>
    <t>EPD-IES-0013812:001 (S-P-13812)</t>
  </si>
  <si>
    <t>https://epd-australasia.com/?s=0013812:001&amp;post_type=epd</t>
  </si>
  <si>
    <t>25 MPa, TAS, N25/20N/SCM concrete  manufactured in our Southern Region (Hazell Bros Concrete Pty Ltd) (Australia)</t>
  </si>
  <si>
    <t>EPD-IES-0014074:001 (S-P-14074)</t>
  </si>
  <si>
    <t>https://epd-australasia.com/?s=0014074:001&amp;post_type=epd</t>
  </si>
  <si>
    <t>25 MPa, TAS, N25/20N concrete manufactured in our Northern Region (Hazell Bros Concrete Pty Ltd) (Australia)</t>
  </si>
  <si>
    <t>EPD-IES-0014041:001 (S-P-14041)</t>
  </si>
  <si>
    <t>https://epd-australasia.com/?s=0014041:001&amp;post_type=epd</t>
  </si>
  <si>
    <t>25 MPa, NSW, Concrete: NS25/20/100 manufactured at Seven Hills (Advanced Readymix) (Australia)</t>
  </si>
  <si>
    <t>EPD-IES-0013977:001 (S-P-13977)</t>
  </si>
  <si>
    <t>https://epd-australasia.com/?s=0013977:001&amp;post_type=epd</t>
  </si>
  <si>
    <t>25 MPa, NSW, Concrete: S22 @ 3 40pt manufactured at Seven Hills (Advanced Readymix) (Australia)</t>
  </si>
  <si>
    <t>EPD-IES-0013985:001 (S-P-13985)</t>
  </si>
  <si>
    <t>https://epd-australasia.com/?s=0013985:001&amp;post_type=epd</t>
  </si>
  <si>
    <t>25 MPa, NSW, Concrete: NS25/20/80 manufactured at Seven Hills (Advanced Readymix) (Australia)</t>
  </si>
  <si>
    <t>EPD-IES-0013978:001 (S-P-13978)</t>
  </si>
  <si>
    <t>https://epd-australasia.com/?s=0013978:001&amp;post_type=epd</t>
  </si>
  <si>
    <t>25 MPa, NSW, Concrete: N25/20/80 manufactured at Seven Hills (Advanced Readymix) (Australia)</t>
  </si>
  <si>
    <t>EPD-IES-0013974:001 (S-P-13974)</t>
  </si>
  <si>
    <t>https://epd-australasia.com/?s=0013974:001&amp;post_type=epd</t>
  </si>
  <si>
    <t>25 MPa, NSW, Concrete: S25 1060 manufactured at Seven Hills (Advanced Readymix) (Australia)</t>
  </si>
  <si>
    <t>EPD-IES-0013986:001 (S-P-13986)</t>
  </si>
  <si>
    <t>https://epd-australasia.com/?s=0013986:001&amp;post_type=epd</t>
  </si>
  <si>
    <t>25 MPa, NSW, Concrete: S25/20/3D manufactured at Seven Hills (Advanced Readymix) (Australia)</t>
  </si>
  <si>
    <t>EPD-IES-0013987:001 (S-P-13987)</t>
  </si>
  <si>
    <t>https://epd-australasia.com/?s=0013987:001&amp;post_type=epd</t>
  </si>
  <si>
    <t>25 MPa, TAS, N25/20N/SCM concrete manufactured in our Northern Region (Hazell Bros Concrete Pty Ltd) (Australia)</t>
  </si>
  <si>
    <t>EPD-IES-0014047:001 (S-P-14047)</t>
  </si>
  <si>
    <t>https://epd-australasia.com/?s=0014047:001&amp;post_type=epd</t>
  </si>
  <si>
    <t>25 MPa, NSW, Readymix concrete: ECO2510100 (Daracrete Pty Ltd) (Australia)</t>
  </si>
  <si>
    <t>EPD-IES-0016616:001</t>
  </si>
  <si>
    <t>https://epd-australasia.com/?s=0016616:001&amp;post_type=epd</t>
  </si>
  <si>
    <t>25 MPa, NSW, Concrete: S25/20/CLR manufactured at Seven Hills (Advanced Readymix) (Australia)</t>
  </si>
  <si>
    <t>EPD-IES-0013988:001 (S-P-13988)</t>
  </si>
  <si>
    <t>https://epd-australasia.com/?s=0013988:001&amp;post_type=epd</t>
  </si>
  <si>
    <t>25 MPa, NSW, Concrete: S25/10/30 Slip manufactured at Seven Hills (Advanced Readymix) (Australia)</t>
  </si>
  <si>
    <t>EPD-IES-0016811:001</t>
  </si>
  <si>
    <t>https://epd-australasia.com/?s=0016811:001&amp;post_type=epd</t>
  </si>
  <si>
    <t>Concrete, 32 MPa</t>
  </si>
  <si>
    <t>&gt;25 MPa to ≤32 MPa</t>
  </si>
  <si>
    <t>Concrete, 32 MPa, in-situ, no reinforcement, (VE322EF2) (Ecopact) (Holcim) (VIC)</t>
  </si>
  <si>
    <t>255</t>
  </si>
  <si>
    <t>0.44</t>
  </si>
  <si>
    <t>Concrete, 32 MPa, in-situ, no reinforcement, (SE322E) (Ecopact) (Holcim) (SA) (Adelaide)</t>
  </si>
  <si>
    <t>238</t>
  </si>
  <si>
    <t>Concrete, 32 MPa, in-situ, no reinforcement, (SE322FE562) (Ecopact) (Holcim) (SA) (Adelaide)</t>
  </si>
  <si>
    <t>246</t>
  </si>
  <si>
    <t>0.34</t>
  </si>
  <si>
    <t>Concrete, 32 MPa, in-situ, no reinforcement, (SE322E3) (Ecopact) (Holcim) (SA) (Adelaide)</t>
  </si>
  <si>
    <t>239</t>
  </si>
  <si>
    <t>Concrete, 32 MPa, in-situ, no reinforcement, (QE322RFB2)(Ecopact) (Holcim) (QLD) (Sunshine Coast)</t>
  </si>
  <si>
    <t>0.30</t>
  </si>
  <si>
    <t>Concrete, 32 MPa, in-situ, no reinforcement, (VE322P) (Ecopact) (Holcim) (VIC)</t>
  </si>
  <si>
    <t>Concrete, 32 MPa, in-situ, no reinforcement, (VE322E /
BE322E) (Ecopact) (Holcim) (VIC)</t>
  </si>
  <si>
    <t>233</t>
  </si>
  <si>
    <t>Concrete, 32 MPa, in-situ, no reinforcement, (QE322ESF1) (Ecopact) (Holcim) (QLD) (Brisbane)</t>
  </si>
  <si>
    <t>0.25</t>
  </si>
  <si>
    <t>Concrete, 32 MPa, in-situ, no reinforcement, (VE322E56) (Ecopact) (Holcim) (VIC)</t>
  </si>
  <si>
    <t>250</t>
  </si>
  <si>
    <t>0.28</t>
  </si>
  <si>
    <t>Concrete, 32 MPa, in-situ, no reinforcement, (QE322ESF) (Ecopact) (Holcim) (QLD) (Brisbane)</t>
  </si>
  <si>
    <t>0.24</t>
  </si>
  <si>
    <t>Concrete, 32 MPa, in-situ, no reinforcement, (QE321E)(Ecopact) (Holcim) (QLD) (Sunshine Coast)</t>
  </si>
  <si>
    <t>0.21</t>
  </si>
  <si>
    <t>Concrete, 32 MPa, in-situ, no reinforcement, (QE321EF1)(Ecopact) (Holcim) (QLD) (Sunshine Coast)</t>
  </si>
  <si>
    <t>203</t>
  </si>
  <si>
    <t>0.22</t>
  </si>
  <si>
    <t>Concrete, 32 MPa, in-situ, no reinforcement, (QE321EF2)(Ecopact) (Holcim) (QLD) (Sunshine Coast)</t>
  </si>
  <si>
    <t>Concrete, 32 MPa, in-situ, no reinforcement, (BE324XN) (Ecopact) (Holcim) (VIC)</t>
  </si>
  <si>
    <t>269</t>
  </si>
  <si>
    <t>0.29</t>
  </si>
  <si>
    <t>Concrete, 32 MPa, in-situ, no reinforcement, (QE322EF2)(Ecopact) (Holcim) (QLD) (Sunshine Coast)</t>
  </si>
  <si>
    <t>Concrete, 32 MPa, in-situ, no reinforcement, (QE322TMR2)(Ecopact) (Holcim) (QLD) (Sunshine Coast)</t>
  </si>
  <si>
    <t>Concrete, 32 MPa, in-situ, no reinforcement, (QE322E)(Ecopact) (Holcim) (QLD) (Sunshine Coast)</t>
  </si>
  <si>
    <t>183</t>
  </si>
  <si>
    <t>Concrete, 32 MPa, in-situ, no reinforcement, (Futurecrete®  N
class GP/GL:Slag
32 MPa) (Adbri) (QLD)</t>
  </si>
  <si>
    <t>Concrete, 32 MPa, in-situ, no reinforcement, (R3220B)(GB) (BCG) (WA), (Perth)</t>
  </si>
  <si>
    <t>Concrete, 32 MPa, in-situ, no reinforcement, (NE322E1A1)(Ecopact) (Holcim) (NSW), (Sydney)</t>
  </si>
  <si>
    <t>240</t>
  </si>
  <si>
    <t>Concrete, 32 MPa, in-situ, no reinforcement, (QE322L)(Ecopact) (Holcim) (QLD) (Sunshine Coast)</t>
  </si>
  <si>
    <t>242</t>
  </si>
  <si>
    <t>Concrete, 32 MPa, in-situ, no reinforcement, (QE321L100)(Ecopact) (Holcim) (QLD) (Sunshine Coast)</t>
  </si>
  <si>
    <t>256</t>
  </si>
  <si>
    <t>Concrete, 32 MPa, in-situ, no reinforcement, (32MPa 10MM BLOCKMIX) (Adbri) (QLD)</t>
  </si>
  <si>
    <t>Concrete, 32 MPa, in-situ, no reinforcement, (QE322L100)(Ecopact) (Holcim) (QLD) (Sunshine Coast)</t>
  </si>
  <si>
    <t>248</t>
  </si>
  <si>
    <t>Concrete, 32 MPa, in-situ, no reinforcement, (Futurecrete®  Ultra
N Class GP/GL:Slag
32 MPa) (Adbri) (VIC)</t>
  </si>
  <si>
    <t>Concrete, 32 MPa, in-situ, no reinforcement, (Futurecrete® N Class
GP:GL:Slag 32 MPa
- Winnellie) (Adbri) (NT)</t>
  </si>
  <si>
    <t>Concrete, 32 MPa, in-situ, no reinforcement, (32MPa 20MM SHR LIMIT 600um) (Adbri) (VIC)</t>
  </si>
  <si>
    <t>Concrete, 32 MPa, in-situ, no reinforcement, (NE322E1)(Ecopact) (Holcim) (NSW), (Sydney)</t>
  </si>
  <si>
    <t>Concrete, 32 MPa, in-situ, no reinforcement, (NE322E5)(Ecopact) (Holcim) (NSW), (Sydney)</t>
  </si>
  <si>
    <t>Concrete, 32 MPa, in-situ, no reinforcement, (Futurecrete®
N class GP/GL:FA
32 MPa) (Adbri) (QLD)</t>
  </si>
  <si>
    <t>Concrete, 32 MPa, in-situ, no reinforcement, (NE321E1)(Ecopact) (Holcim) (NSW), (Sydney)</t>
  </si>
  <si>
    <t>169</t>
  </si>
  <si>
    <t>Concrete, 32 MPa, in-situ, no reinforcement, (NE321E5)(Ecopact) (Holcim) (NSW), (Sydney)</t>
  </si>
  <si>
    <t>Concrete, 32 MPa, in-situ, no reinforcement, (QE323EBMX) (Ecopact) (Holcim) (QLD), Gold Coast</t>
  </si>
  <si>
    <t>Concrete, 32 MPa, in-situ, no reinforcement, (Futurecrete®  N Class
GP/GL:Slag 32 MPa) (Adbri) (VIC)</t>
  </si>
  <si>
    <t>Concrete, 32 MPa, in-situ, no reinforcement, (QE327EBMX) (Ecopact) (Holcim) (QLD), Gold Coast</t>
  </si>
  <si>
    <t>230</t>
  </si>
  <si>
    <t>Concrete, 32 MPa, in-situ, no reinforcement, (QE323EBMX) (Ecopact) (Holcim) (QLD) (Brisbane)</t>
  </si>
  <si>
    <t>258</t>
  </si>
  <si>
    <t>Concrete, 32 MPa, in-situ, no reinforcement, (QE321EL21) (Ecopact) (Holcim) (QLD), Gold Coast</t>
  </si>
  <si>
    <t>Concrete, 32 MPa, in-situ, no reinforcement, (Adbri concrete
N class GP/GL
32 MPa) (Adbri) (QLD)</t>
  </si>
  <si>
    <t>Concrete, 32 MPa, in-situ, no reinforcement, (QE321EL21) (Ecopact) (Holcim) (QLD) (Brisbane)</t>
  </si>
  <si>
    <t>Concrete, 32 MPa, in-situ, no reinforcement, (QE322EEZY) (Ecopact) (Holcim) (QLD) (Brisbane)</t>
  </si>
  <si>
    <t>Concrete, 32 MPa, in-situ, no reinforcement, (QE321EEZY) (Ecopact) (Holcim) (QLD), Gold Coast</t>
  </si>
  <si>
    <t>202</t>
  </si>
  <si>
    <t>Concrete, 32 MPa, in-situ, no reinforcement, (QE327EBMX) (Ecopact) (Holcim) (QLD) (Brisbane)</t>
  </si>
  <si>
    <t>Concrete, 32 MPa, in-situ, no reinforcement, (QE327ETOP) (Ecopact) (Holcim) (QLD), Gold Coast</t>
  </si>
  <si>
    <t>Concrete, 32 MPa, in-situ, no reinforcement, (QE321E100) (Ecopact) (Holcim) (QLD), Gold Coast</t>
  </si>
  <si>
    <t>Concrete, 32 MPa, in-situ, no reinforcement, (QE322E100) (Ecopact) (Holcim) (QLD), Gold Coast</t>
  </si>
  <si>
    <t>Concrete, 32 MPa, in-situ, no reinforcement, (QE322E) (Ecopact) (Holcim) (QLD), Gold Coast</t>
  </si>
  <si>
    <t>191</t>
  </si>
  <si>
    <t>Concrete, 32 MPa, in-situ, no reinforcement, (QE321E100) (Ecopact) (Holcim) (QLD) (Brisbane)</t>
  </si>
  <si>
    <t>Concrete, 32 MPa, in-situ, no reinforcement, (QE321EEZY) (Ecopact) (Holcim) (QLD) (Brisbane)</t>
  </si>
  <si>
    <t>193</t>
  </si>
  <si>
    <t>Concrete, 32 MPa, in-situ, no reinforcement, (Adbri concrete
N class GP/GL:FA
32 MPa) (Adbri) (QLD)</t>
  </si>
  <si>
    <t>Concrete, 32 MPa, in-situ, no reinforcement, (QE322E) (Ecopact) (Holcim) (QLD) (Brisbane)</t>
  </si>
  <si>
    <t>181</t>
  </si>
  <si>
    <t>Concrete, 32 MPa, in-situ, no reinforcement, (QE322EEZY) (Ecopact) (Holcim) (QLD), Gold Coast</t>
  </si>
  <si>
    <t>Concrete, 32 MPa, in-situ, no reinforcement, (QE322E100) (Ecopact) (Holcim) (QLD) (Brisbane)</t>
  </si>
  <si>
    <t>Concrete, 32 MPa, in-situ, no reinforcement, (WE321E1)(Ecopact) (Holcim) (WA), (Perth Metro)</t>
  </si>
  <si>
    <t>Concrete, 32 MPa, in-situ, no reinforcement, (WE321E2)(Ecopact) (Holcim) (WA), (Perth Metro)</t>
  </si>
  <si>
    <t>Concrete, 32 MPa, in-situ, no reinforcement, (WE321E4)(Ecopact) (Holcim) (WA), (Perth Metro)</t>
  </si>
  <si>
    <t>Concrete, 32 MPa, in-situ, no reinforcement, (QE327ETOP) (Ecopact) (Holcim) (QLD) (Brisbane)</t>
  </si>
  <si>
    <t>Concrete, 32 MPa, in-situ, no reinforcement, (WE322E1)(Ecopact) (Holcim) (WA), (Perth Metro)</t>
  </si>
  <si>
    <t>227</t>
  </si>
  <si>
    <t>Concrete, 32 MPa, in-situ, no reinforcement, (WE324E1)(Ecopact) (Holcim) (WA), (Perth Metro)</t>
  </si>
  <si>
    <t>234</t>
  </si>
  <si>
    <t>Concrete, 32 MPa, in-situ, no reinforcement, (WE324E2)(Ecopact) (Holcim) (WA), (Perth Metro)</t>
  </si>
  <si>
    <t>235</t>
  </si>
  <si>
    <t>Concrete, 32 MPa, in-situ, no reinforcement, (WE324E4)(Ecopact) (Holcim) (WA), (Perth Metro)</t>
  </si>
  <si>
    <t>Concrete, 32 MPa, in-situ, no reinforcement, (Adbri Concrete N Class GP:GL 32 MPa
- Winnellie) (Adbri) (NT)</t>
  </si>
  <si>
    <t>Concrete, 32 MPa, in-situ, no reinforcement, (QE322EXT1) (Ecopact) (Holcim) (QLD) (Brisbane)</t>
  </si>
  <si>
    <t>Concrete, 32 MPa, in-situ, no reinforcement, (NE321E1L2)(Ecopact) (Holcim) (NSW), (Sydney)</t>
  </si>
  <si>
    <t>178</t>
  </si>
  <si>
    <t>Concrete, 32 MPa, in-situ, no reinforcement, (QE322LPN2) (Ecopact) (Holcim) (QLD), Gold Coast</t>
  </si>
  <si>
    <t>259</t>
  </si>
  <si>
    <t>Concrete, 32 MPa, in-situ, no reinforcement, (QE322L652) (Ecopact) (Holcim) (QLD), Gold Coast</t>
  </si>
  <si>
    <t>261</t>
  </si>
  <si>
    <t>Concrete, 32 MPa, in-situ, no reinforcement, (QE321L)(Ecopact) (Holcim) (QLD) (Sunshine Coast)</t>
  </si>
  <si>
    <t>245</t>
  </si>
  <si>
    <t>Concrete, 32 MPa, in-situ, no reinforcement, (QE322LOX) (Ecopact) (Holcim) (QLD), Gold Coast</t>
  </si>
  <si>
    <t>Concrete, 32 MPa, in-situ, no reinforcement, (Adbri Concrete N Class GP/GL 32 MPa) (Adbri) (VIC)</t>
  </si>
  <si>
    <t>Concrete, 32 MPa, in-situ, no reinforcement, (WE321EKC)(Ecopact) (Holcim) (WA), (Perth Metro)</t>
  </si>
  <si>
    <t>266</t>
  </si>
  <si>
    <t>Concrete, 32 MPa, in-situ, no reinforcement, (VE321EK6) (Ecopact) (Holcim) (VIC)</t>
  </si>
  <si>
    <t>257</t>
  </si>
  <si>
    <t>Concrete, 32 MPa, in-situ, no reinforcement, (VE321EKC) (Ecopact) (Holcim) (VIC)</t>
  </si>
  <si>
    <t>Concrete, 32 MPa, in-situ, no reinforcement, (WE324EP1)(Ecopact) (Holcim) (WA), (Perth Metro)</t>
  </si>
  <si>
    <t>Concrete, 32 MPa, in-situ, no reinforcement, (WE322E31)(Ecopact) (Holcim) (WA), (Perth Metro)</t>
  </si>
  <si>
    <t>Concrete, 32 MPa, in-situ, no reinforcement, (Adbri Concrete N Class GP:GL 32 MPa
- Katherine) (Adbri) (NT)</t>
  </si>
  <si>
    <t>Concrete, 32 MPa, in-situ, no reinforcement, (Adbri Concrete N Class GP:GL 32 MPa
- Alice Springs) (Adbri) (NT)</t>
  </si>
  <si>
    <t>Concrete, 32 MPa, in-situ, no reinforcement, (S32MPA  20MM RMS B80 B1
EXPOSURE) (Adbri) (NSW)</t>
  </si>
  <si>
    <t>Concrete, 32 MPa, in-situ, no reinforcement, (S32MPA PT DECK 22MPA AT 7 DAYS 20MM) (Adbri) (NSW)</t>
  </si>
  <si>
    <t>Concrete, 32 MPa, in-situ, no reinforcement, (S32MPA 25MPA AT
7 DAYS 20MM) (Adbri) (NSW)</t>
  </si>
  <si>
    <t>Concrete, 32 MPa, in-situ, no reinforcement, (Futurecrete® Ultra S32MPA BLOCKFILL 10MM 230MM SLUMP
) (Adbri) (NSW)</t>
  </si>
  <si>
    <t>Concrete, 32 MPa, in-situ, no reinforcement, (Futurecrete®  Ultra S32MPA PILE/ TREMIE 10MM SP) (Adbri) (NSW)</t>
  </si>
  <si>
    <t>Concrete, 32 MPa, in-situ, no reinforcement, (Futurecrete®
Ultra S32MPA
BLOCKFILL 10MM) (Adbri) (NSW)</t>
  </si>
  <si>
    <t>Concrete, 32 MPa, in-situ, no reinforcement, (Futurecrete®  Ultra N Class GP/ GL:Slag 32 MPa) (Adbri) (NSW)</t>
  </si>
  <si>
    <t>Concrete, 32 MPa, in-situ, no reinforcement, (Futurecrete®  Ultra S32MPA 10MM RITEK SYSTEM) (Adbri) (NSW)</t>
  </si>
  <si>
    <t>Concrete, 32 MPa, in-situ, no reinforcement, (Futurecrete®
Ultra S32MPA
10MM AFS WALL SYSTEM) (Adbri) (NSW)</t>
  </si>
  <si>
    <t>Concrete, 32 MPa, in-situ, no reinforcement, (Futurecrete® S32MPA HY-LINE 2INCH 10MM PUMP) (Adbri) (NSW)</t>
  </si>
  <si>
    <t>Concrete, 32 MPa, in-situ, no reinforcement, (Futurecrete®  Ultra S32MPA JUMP/ SLIP/COLUMNS 10MM SP) (Adbri) (NSW)</t>
  </si>
  <si>
    <t>Concrete, 32 MPa, in-situ, no reinforcement, (General) (Holcim) (NSW)(ACT)</t>
  </si>
  <si>
    <t>3.43E+02</t>
  </si>
  <si>
    <t>Concrete, 32 MPa, in-situ, no reinforcement, (Fly Ash) (Holcim) (NSW)(ACT)</t>
  </si>
  <si>
    <t>Concrete, 32 MPa, in-situ, no reinforcement, (GGBS Slag) (Holcim) (NSW)(ACT)</t>
  </si>
  <si>
    <t>1.96E+02</t>
  </si>
  <si>
    <t>Concrete, 32 MPa, in-situ, no reinforcement, (Triple Blend) (Holcim) (NSW)(ACT)</t>
  </si>
  <si>
    <t>1.76E+02</t>
  </si>
  <si>
    <t>Concrete, 32 MPa, in-situ, no reinforcement,(General)  (Holcim)  (QLD)</t>
  </si>
  <si>
    <t>Concrete, 32 MPa, in-situ, no reinforcement,(Fly Ash)  (Holcim)  (QLD)</t>
  </si>
  <si>
    <t>2.47E+02</t>
  </si>
  <si>
    <t>Concrete, 32 MPa, in-situ, no reinforcement,(Triple Blend)  (Holcim)  (QLD)</t>
  </si>
  <si>
    <t>1.86E+02</t>
  </si>
  <si>
    <t>Concrete, 32 MPa, in-situ, no reinforcement, (General) (Holcim) (VIC)</t>
  </si>
  <si>
    <t>3.28E+02</t>
  </si>
  <si>
    <t>Concrete, 32 MPa, in-situ, no reinforcement, (Fly Ash) (Holcim) (VIC)</t>
  </si>
  <si>
    <t>Concrete, 32 MPa, in-situ, no reinforcement, (Triple Blend) (Holcim) (VIC)</t>
  </si>
  <si>
    <t>2.52E+02</t>
  </si>
  <si>
    <t>Concrete, 32 MPa, in-situ, no reinforcement, (General) (Holcim) (SA)</t>
  </si>
  <si>
    <t>3.51E+02</t>
  </si>
  <si>
    <t>2.63E+02</t>
  </si>
  <si>
    <t>2.38E+02</t>
  </si>
  <si>
    <t>Concrete, 32 MPa, in-situ, no reinforcement, (General) (Holcim) (WA)</t>
  </si>
  <si>
    <t>3.21E+02</t>
  </si>
  <si>
    <t>2.37E+02</t>
  </si>
  <si>
    <t>Concrete, 32 MPa, in-situ, no reinforcement, (NE322E151)(Ecopact) (Holcim) (ACT)</t>
  </si>
  <si>
    <t>217.34</t>
  </si>
  <si>
    <t>Concrete, 32 MPa, in-situ, no reinforcement, (NE322E351)(Ecopact) (Holcim) (ACT)</t>
  </si>
  <si>
    <t>219.35</t>
  </si>
  <si>
    <t>Concrete, 32 MPa, in-situ, no reinforcement, (NE321E151)(Ecopact) (Holcim) (ACT)</t>
  </si>
  <si>
    <t>217.59</t>
  </si>
  <si>
    <t>Concrete, 32 MPa, in-situ, no reinforcement, (NE321E351)(Ecopact) (Holcim) (ACT)</t>
  </si>
  <si>
    <t>219.55</t>
  </si>
  <si>
    <t>Concrete, 32 MPa, in-situ, no reinforcement, (VN322B) (Holcim) (VIC)</t>
  </si>
  <si>
    <t>266.21</t>
  </si>
  <si>
    <t>Concrete, 32 MPa, in-situ, no reinforcement, (VS321MSPR) (Holcim) (VIC)</t>
  </si>
  <si>
    <t>324.73</t>
  </si>
  <si>
    <t>Concrete, 32 MPa, in-situ, no reinforcement, (VS321BPV) (Holcim) (VIC)</t>
  </si>
  <si>
    <t>275.49</t>
  </si>
  <si>
    <t>Concrete, 32 MPa, in-situ, no reinforcement, (VE322E75) (Holcim) (VIC)</t>
  </si>
  <si>
    <t>249.31</t>
  </si>
  <si>
    <t>Concrete, 32 MPa, in-situ, no reinforcement, (VS322BHS2) (Holcim) (VIC)</t>
  </si>
  <si>
    <t>203.16</t>
  </si>
  <si>
    <t>Concrete, 32 MPa, in-situ, no reinforcement, (QE322E)(Holcim) (QLD), (North QLD)</t>
  </si>
  <si>
    <t>237.22</t>
  </si>
  <si>
    <t>Concrete, 32 MPa, in-situ, no reinforcement, (QE322E1)(Holcim) (QLD), (North QLD)</t>
  </si>
  <si>
    <t>237.71</t>
  </si>
  <si>
    <t>Concrete, 32 MPa, in-situ, no reinforcement, (QE321E)(Holcim) (QLD), (North QLD)</t>
  </si>
  <si>
    <t>245.84</t>
  </si>
  <si>
    <t>Concrete, 32 MPa, in-situ, no reinforcement, (QE321E1)(Holcim) (QLD), (North QLD)</t>
  </si>
  <si>
    <t>246.17</t>
  </si>
  <si>
    <t>Concrete, 32 MPa, in-situ, no reinforcement, (Futurecrete®  S Class
GP/GL:FA 32 MPa) (Adbri) (SA)</t>
  </si>
  <si>
    <t>Concrete, 32 MPa, in-situ, no reinforcement, (Adbri Concrete
N Class GP/GL
32 MPa) (Adbri) (NSW)</t>
  </si>
  <si>
    <t>Concrete, 32 MPa, in-situ, no reinforcement, (Futurecrete®
N Class GP/GL:FA
32 MPa) (Adbri) (NSW)</t>
  </si>
  <si>
    <t>Concrete, 32 MPa, in-situ, no reinforcement, (S32MPA 22MPA AT
4 DAYS 20MM) (Adbri) (NSW)</t>
  </si>
  <si>
    <t>Concrete, 32 MPa, in-situ, no reinforcement, (S32MPA KERB&amp;GUTTER MACHINE PLACED 10MM) (Adbri) (NSW)</t>
  </si>
  <si>
    <t>Concrete, 32 MPa, in-situ, no reinforcement, (S32MPA PT DECK 22MPA AT 5 DAYS 20MM) (Adbri) (NSW)</t>
  </si>
  <si>
    <t>Concrete, 32 MPa, in-situ, no reinforcement, Pre-mix Concrete Normal Class GP blend (Boral) (ACT), (Canberra) Normal Class GP blend 32MPa</t>
  </si>
  <si>
    <t>Concrete, 32 MPa, in-situ, no reinforcement, Pre-mix Concrete Normal Class GP/FA blend (Boral) (ACT), (Canberra) Normal Class GP/FA blend 32 MPa</t>
  </si>
  <si>
    <t>Concrete, 32 MPa, in-situ, no reinforcement, Pre-mix Concrete Normal Class GP/GGBFS blend (Boral) (ACT), (Canberra) Normal Class GP/GGBFS blend 32 MPa</t>
  </si>
  <si>
    <t>Concrete, 32 MPa, in-situ, no reinforcement, Pre-mix Concrete ENVIROCRETE 30% (Boral) (ACT), (Canberra) ENVIROCRETE 30% 32 MPa</t>
  </si>
  <si>
    <t>Concrete, 32 MPa, in-situ, no reinforcement, Pre-mix Concrete ENVIROCRETE 40% (Boral) (ACT), (Canberra) ENVIROCRETE 40% 32 MPa</t>
  </si>
  <si>
    <t>Concrete, 32 MPa, in-situ, no reinforcement, Pre-mix Concrete ENVIROCRETE PLUS (Boral) (ACT), (Canberra) ENVIROCRETE PLUS 32MPa</t>
  </si>
  <si>
    <t>Concrete, 32 MPa, in-situ, no reinforcement, Pre-mix Concrete ENVISIA (Boral) (ACT), (Canberra) ENVISIA 32MPa</t>
  </si>
  <si>
    <t>Concrete, 32 MPa, in-situ, no reinforcement, Pre-mix Concrete KERB MACHINE (Boral) (ACT), (Canberra) KERB MACHINE 32MPa 10MM</t>
  </si>
  <si>
    <t>Concrete, 32 MPa, in-situ, no reinforcement, Pre-mix Concrete Normal Class GP blend (Boral) (NSW), (Newcastle) Normal Class GP blend 32MPa</t>
  </si>
  <si>
    <t>Concrete, 32 MPa, in-situ, no reinforcement, Pre-mix Concrete Normal Class GP/FA blend (Boral) (NSW), (Newcastle) Normal Class GP/FA blend 32 MPa</t>
  </si>
  <si>
    <t>Concrete, 32 MPa, in-situ, no reinforcement, Pre-mix Concrete ENVIROCRETE 30% (Boral) (NSW), (Newcastle) ENVIROCRETE 30% 32 MPa</t>
  </si>
  <si>
    <t>Concrete, 32 MPa, in-situ, no reinforcement, Pre-mix Concrete ENVIROCRETE 40% (Boral) (NSW), (Newcastle) ENVIROCRETE 40% 32 MPa</t>
  </si>
  <si>
    <t>Concrete, 32 MPa, in-situ, no reinforcement, Pre-mix Concrete ENVIROCRETE PLUS (Boral) (NSW), (Newcastle) ENVIROCRETE PLUS 32MPa</t>
  </si>
  <si>
    <t>Concrete, 32 MPa, in-situ, no reinforcement, Pre-mix Concrete ENVISIA (Boral) (NSW), (Newcastle) ENVISIA 32MPa</t>
  </si>
  <si>
    <t>Concrete, 32 MPa, in-situ, no reinforcement, Pre-mix Concrete Normal Class GP/GGBFS blend (Boral) (NSW), (Newcastle) Normal Class GP/GGBFS blend 32 MPa</t>
  </si>
  <si>
    <t>Concrete, 32 MPa, in-situ, no reinforcement, Pre-mix Concrete KERB MACHINE (Boral) (NSW), (Newcastle) KERB MACHINE 32MPa 10MM</t>
  </si>
  <si>
    <t>Concrete, 32 MPa, in-situ, no reinforcement, Pre-mix Concrete Normal Class GP blend (Boral) (NSW), (Sydney) Normal Class GP blend 32MPa</t>
  </si>
  <si>
    <t>Concrete, 32 MPa, in-situ, no reinforcement, Pre-mix Concrete Normal Class GP/FA blend (Boral) (NSW), (Sydney) Normal Class GP/FA blend 32 MPa</t>
  </si>
  <si>
    <t>Concrete, 32 MPa, in-situ, no reinforcement, Pre-mix Concrete Normal Class GP/GGBFS blend (Boral) (NSW), (Sydney) Normal Class GP/GGBFS blend 32 MPa</t>
  </si>
  <si>
    <t>Concrete, 32 MPa, in-situ, no reinforcement, Pre-mix Concrete Normal Class GP/GGBFS/FA blend (Boral) (NSW), (Sydney) Normal Class GP/GGBFS/FA blend 32 MPa</t>
  </si>
  <si>
    <t>Concrete, 32 MPa, in-situ, no reinforcement, Pre-mix Concrete ENVIROCRETE 30% (Boral) (NSW), (Sydney) ENVIROCRETE 30% 32 MPa</t>
  </si>
  <si>
    <t>Concrete, 32 MPa, in-situ, no reinforcement, Pre-mix Concrete ENVIROCRETE 40% (Boral) (NSW), (Sydney) ENVIROCRETE 40% 32 MPa</t>
  </si>
  <si>
    <t>Concrete, 32 MPa, in-situ, no reinforcement, Pre-mix Concrete ENVIROCRETE PLUS (Boral) (NSW), (Sydney) ENVIROCRETE PLUS 32MPa</t>
  </si>
  <si>
    <t>Concrete, 32 MPa, in-situ, no reinforcement, Pre-mix Concrete ENVISIA (Boral) (NSW), (Sydney) ENVISIA 32MPa</t>
  </si>
  <si>
    <t>Concrete, 32 MPa, in-situ, no reinforcement, Pre-mix Concrete KERB MACHINE (Boral) (NSW), (Sydney) KERB MACHINE 32MPa 10MM</t>
  </si>
  <si>
    <t>Concrete, 32 MPa, in-situ, no reinforcement, Pre-mix Concrete Normal Class GP blend (Boral) (NSW), (Wollongong) Normal Class GP blend 32MPa</t>
  </si>
  <si>
    <t>Concrete, 32 MPa, in-situ, no reinforcement, Pre-mix Concrete Normal Class GP/FA blend (Boral) (NSW), (Wollongong) Normal Class GP/FA blend 32 MPa</t>
  </si>
  <si>
    <t>Concrete, 32 MPa, in-situ, no reinforcement, Pre-mix Concrete Normal Class GP/GGBFS blend (Boral) (NSW), (Wollongong) Normal Class GP/GGBFS blend 32 MPa</t>
  </si>
  <si>
    <t>Concrete, 32 MPa, in-situ, no reinforcement, Pre-mix Concrete KERB MACHINE (Boral) (NSW), (Wollongong) KERB MACHINE 32MPa 10MM</t>
  </si>
  <si>
    <t>Concrete, 32 MPa, in-situ, no reinforcement, Pre-mix Concrete Normal Class GP/GGBFS/FA blend (Boral) (NSW), (Wollongong) Normal Class GP/GGBFS/FA blend 32 MPa</t>
  </si>
  <si>
    <t>Concrete, 32 MPa, in-situ, no reinforcement, Pre-mix Concrete ENVIROCRETE 30% (Boral) (NSW), (Wollongong) ENVIROCRETE 30% 32 MPa</t>
  </si>
  <si>
    <t>Concrete, 32 MPa, in-situ, no reinforcement, Pre-mix Concrete ENVIROCRETE 40% (Boral) (NSW), (Wollongong) ENVIROCRETE 40% 32 MPa</t>
  </si>
  <si>
    <t>Concrete, 32 MPa, in-situ, no reinforcement, Pre-mix Concrete ENVIROCRETE PLUS (Boral) (NSW), (Wollongong) ENVIROCRETE PLUS 32MPa</t>
  </si>
  <si>
    <t>Concrete, 32 MPa, in-situ, no reinforcement, Pre-mix Concrete ENVISIA (Boral) (NSW), (Wollongong) ENVISIA 32MPa</t>
  </si>
  <si>
    <t>Concrete, 32 MPa, in-situ, no reinforcement, Pre-mix Concrete Normal Class GP blend (Boral) (TAS), (Hobart) Normal Class GP blend 32MPa</t>
  </si>
  <si>
    <t>Concrete, 32 MPa, in-situ, no reinforcement, Pre-mix Concrete ENVISIA (Boral) (TAS), (Hobart) ENVISIA 32 MPa</t>
  </si>
  <si>
    <t>Concrete, 32 MPa, in-situ, no reinforcement, Pre-mix Concrete Normal Class GP blend (Boral) (TAS), (Launceston) Normal Class GP blend 32MPa</t>
  </si>
  <si>
    <t>Concrete, 32 MPa, in-situ, no reinforcement, Pre-mix Concrete ENVISIA (Boral) (TAS), (Launceston) ENVISIA 32 MPa</t>
  </si>
  <si>
    <t>Concrete, 32 MPa, in-situ, no reinforcement, GP, Normal Class (WA Premix) (WA), (Perth)</t>
  </si>
  <si>
    <t>Concrete, 32 MPa, in-situ, no reinforcement, Blend, Normal Class (WA Premix) (WA), (Perth)</t>
  </si>
  <si>
    <t>Concrete, 32 MPa, in-situ, no reinforcement, AQ1339, Special Class (WA Premix) (WA), (Perth)</t>
  </si>
  <si>
    <t>Concrete, 32 MPa, in-situ, no reinforcement, AQ1340, Special Class (WA Premix) (WA), (Perth)</t>
  </si>
  <si>
    <t>Concrete, 32 MPa, in-situ, no reinforcement, AQ2339, Special Class (WA Premix) (WA), (Perth)</t>
  </si>
  <si>
    <t>Concrete, 32 MPa, in-situ, no reinforcement, AQ2340, Special Class (WA Premix) (WA), (Perth)</t>
  </si>
  <si>
    <t>Concrete, 32 MPa, in-situ, no reinforcement, Ready-Mix Concrete (LC)50 (Concrite) (NSW) (Sydney Region, NSW)</t>
  </si>
  <si>
    <t>Concrete, 32 MPa, in-situ, no reinforcement, Ready-Mix Concrete (LC)40 (Concrite) (NSW) (Sydney Region, NSW)</t>
  </si>
  <si>
    <t>Concrete, 32 MPa, in-situ, no reinforcement, Ready-Mix Concrete (LC)30 (Concrite) (NSW) (Sydney Region, NSW)</t>
  </si>
  <si>
    <t>Concrete, 32 MPa, in-situ, no reinforcement, Ready-Mix Concrete (LCHP) (Concrite) (NSW) (Sydney Region, NSW)</t>
  </si>
  <si>
    <t>Concrete, 32 MPa, in-situ, no reinforcement, Ready-Mix Concrete (LCP) (Concrite) (NSW) (Sydney Region, NSW)</t>
  </si>
  <si>
    <t>Concrete, 32 MPa, in-situ, no reinforcement, Ready-Mix Concrete Normal class GP blend (Concrite) (NSW) (Sydney Region, NSW)</t>
  </si>
  <si>
    <t>Concrete, 32 MPa, in-situ, no reinforcement, Ready-Mix Concrete KERB MACHINE (Concrite) (NSW) (Sydney Region, NSW)</t>
  </si>
  <si>
    <t>Concrete, 32 MPa, in-situ, no reinforcement, Ready-Mix Concrete SLAG AGG CONCRETE MIX, (LC)50 (Concrite) (NSW) (Sydney Region, NSW)</t>
  </si>
  <si>
    <t>Concrete, 32 MPa, in-situ, no reinforcement, Ready-Mix Concrete SLAG AGG CONCRETE MIX, (LC)40 (Concrite) (NSW) (Sydney Region, NSW)</t>
  </si>
  <si>
    <t>Concrete, 32 MPa, in-situ, no reinforcement, Ready-Mix Concrete SLAG AGG CONCRETE MIX, (LC)30 (Concrite) (NSW) (Sydney Region, NSW)</t>
  </si>
  <si>
    <t>Concrete, 32 MPa, in-situ, no reinforcement, Ready-Mix Concrete (LC)30 32MPa (Concrite) (NSW) (Southern Highlands, NSW)</t>
  </si>
  <si>
    <t>Concrete, 32 MPa, in-situ, no reinforcement, Ready-Mix Concrete NORMAL CLASS GP BLEND (Concrite) (NSW) (Southern Highlands, NSW)</t>
  </si>
  <si>
    <t>Concrete, 32 MPa, in-situ, no reinforcement, Ready-Mix Concrete KERB MACHINE 10MM (Concrite) (NSW) (Southern Highlands, NSW)</t>
  </si>
  <si>
    <t>Concrete, 32 MPa, in-situ, no reinforcement, Ready-Mix Concrete LC30 32MPa (Concrite) (ACT) (Canberra, ACT)</t>
  </si>
  <si>
    <t>Concrete, 32 MPa, in-situ, no reinforcement, Ready-Mix Concrete NORMAL CLASS GP BLEND (Concrite) (ACT) (Canberra, ACT)</t>
  </si>
  <si>
    <t>Concrete, 32 MPa, in-situ, no reinforcement, Ready-Mix Concrete KERB MACHINE 10MM (Concrite) (ACT) (Canberra, ACT)</t>
  </si>
  <si>
    <t>Concrete, 32 MPa, in-situ, no reinforcement, (Adbri Concrete
N Class GP/GL:FA
32 MPa) (Adbri) (NSW)</t>
  </si>
  <si>
    <t>Concrete, 32 MPa, in-situ, no reinforcement, (Futurecrete®  Ultra
N Class Ternary
32 MPa) (Adbri) (NSW)</t>
  </si>
  <si>
    <t>Concrete, 32 MPa, in-situ, no reinforcement, (Futurecrete®  S Class
GP/GL 32 MPa) (Adbri) (SA)</t>
  </si>
  <si>
    <t>Concrete, 32 MPa, in-situ, no reinforcement, (Adbri N Class
GP/GL 32 MPa) (Adbri) (SA)</t>
  </si>
  <si>
    <t>Concrete, 32 MPa, in-situ, no reinforcement, (Futurecrete®  N Class
GP/GL:FA 32 MPa) (Adbri) (SA)</t>
  </si>
  <si>
    <t>Concrete, 32 MPa, in-situ, no reinforcement, (Futurecrete®  N
Class GP/GL:Slag
32 MPa) (Adbri) (SA)</t>
  </si>
  <si>
    <t>Concrete, 32 MPa, in-situ, no reinforcement, (Futurecrete®  S Class
GP/GL:Slag 32 MPa) (Adbri) (SA)</t>
  </si>
  <si>
    <t>Concrete, 32 MPa, in-situ, no reinforcement, (CS3220BGS)(B) (BCG) (WA), (Perth)</t>
  </si>
  <si>
    <t>Concrete, 32 MPa, in-situ, no reinforcement, (CS3220ASC)(GP) (BCG) (WA), (Perth)</t>
  </si>
  <si>
    <t>Concrete, 32 MPa, in-situ, no reinforcement, (R3220A)(GP) (BCG) (WA), (Perth)</t>
  </si>
  <si>
    <t>Concrete, 32 MPa, in-situ, no reinforcement, (QE327LSPR) (Ecopact) (Holcim) (QLD) (Brisbane)</t>
  </si>
  <si>
    <t>274</t>
  </si>
  <si>
    <t>273</t>
  </si>
  <si>
    <t>0.65</t>
  </si>
  <si>
    <t>Concrete, 32 MPa, in-situ, no reinforcement, (QE327LSPR) (Ecopact) (Holcim) (QLD), Gold Coast</t>
  </si>
  <si>
    <t>0.64</t>
  </si>
  <si>
    <t>Concrete, 32 MPa, in-situ, no reinforcement, (LH3220E)(LH) (BCG) (WA), (Perth)</t>
  </si>
  <si>
    <t>Concrete, 32 MPa, in-situ, no reinforcement, (VE322EF26) (Ecopact) (Holcim) (VIC)</t>
  </si>
  <si>
    <t>265</t>
  </si>
  <si>
    <t>264</t>
  </si>
  <si>
    <t>0.45</t>
  </si>
  <si>
    <t>Concrete, 32 MPa, in-situ, no reinforcement, (32MPa 7MM BLOCKMIX) (Adbri) (QLD)</t>
  </si>
  <si>
    <t>Concrete, 32 MPa, in-situ, no reinforcement, (SE322FE56) (Ecopact) (Holcim) (SA) (Adelaide)</t>
  </si>
  <si>
    <t>Concrete, 32 MPa, in-situ, no reinforcement, (SE322E2) (Ecopact) (Holcim) (SA) (Adelaide)</t>
  </si>
  <si>
    <t>Concrete, 32 MPa, in-situ, no reinforcement, (QE322LPN2) (Ecopact) (Holcim) (QLD) (Brisbane)</t>
  </si>
  <si>
    <t>262</t>
  </si>
  <si>
    <t>Concrete, 32 MPa, in-situ, no reinforcement, (VZ322E5) (Ecopact) (Holcim) (VIC)</t>
  </si>
  <si>
    <t>Concrete, 32 MPa, in-situ, no reinforcement, (WE324EKC)(Ecopact) (Holcim) (WA), (Perth Metro)</t>
  </si>
  <si>
    <t>254</t>
  </si>
  <si>
    <t>253</t>
  </si>
  <si>
    <t>Concrete, 32 MPa, in-situ, no reinforcement, (QE322L652) (Ecopact) (Holcim) (QLD) (Brisbane)</t>
  </si>
  <si>
    <t>Concrete, 32 MPa, in-situ, no reinforcement, (WE321EBMX)(Ecopact) (Holcim) (WA), (Perth Metro)</t>
  </si>
  <si>
    <t>243</t>
  </si>
  <si>
    <t>Concrete, 32 MPa, in-situ, no reinforcement, (Futurecrete®
Ultra N class GP/ GL:Slag 32 MPa) (Adbri) (QLD)</t>
  </si>
  <si>
    <t>Concrete, 32 MPa, in-situ, no reinforcement, (WE322E2)(Ecopact) (Holcim) (WA), (Perth Metro)</t>
  </si>
  <si>
    <t>Concrete, 32 MPa, in-situ, no reinforcement, (WE322E4)(Ecopact) (Holcim) (WA), (Perth Metro)</t>
  </si>
  <si>
    <t>Concrete, 32 MPa, in-situ, no reinforcement, (QE321E100)(Ecopact) (Holcim) (QLD) (Sunshine Coast)</t>
  </si>
  <si>
    <t>Concrete, 32 MPa, in-situ, no reinforcement, (QE322E100)(Ecopact) (Holcim) (QLD) (Sunshine Coast)</t>
  </si>
  <si>
    <t>Concrete, 32 MPa, in-situ, no reinforcement, (QE321E) (Ecopact) (Holcim) (QLD), Gold Coast</t>
  </si>
  <si>
    <t>Concrete (in-situ), 32MPa, Pre-mix Concrete EFM32 (Barro Group) (Australia)</t>
  </si>
  <si>
    <t>EPD-IES-003074</t>
  </si>
  <si>
    <t>https://epd-australasia.com/wp-content/uploads/2025/01/EPD-IES-003074-001_BarroGroup_EFM32_2024-12-18.pdf</t>
  </si>
  <si>
    <t>Concrete (in-situ), 32MPa, Pre-mix Concrete EN32 (Barro Group) (Australia)</t>
  </si>
  <si>
    <t>EPD-IES-003095</t>
  </si>
  <si>
    <t>https://epd-australasia.com/wp-content/uploads/2025/01/EPD-IES-003095-001_BarroGroup_EN32_2024-12-18.pdf</t>
  </si>
  <si>
    <t>Concrete (in-situ), 32MPa, Pre-mix Concrete EVR330 (Barro Group) (Australia)</t>
  </si>
  <si>
    <t>EPD-IES-003111</t>
  </si>
  <si>
    <t>https://epd-australasia.com/wp-content/uploads/2025/01/EPD-IES-003111-001_BarroGroup_EVR330_2024-12-18.pdf</t>
  </si>
  <si>
    <t>Concrete (in-situ), 32MPa, Pre-mix Concrete E32700 (Barro Group) (Australia)</t>
  </si>
  <si>
    <t>EPD-IES-003162</t>
  </si>
  <si>
    <t>https://epd-australasia.com/wp-content/uploads/2025/01/EPD-IES-003162-001_BarroGroup_E32700_2024-12-18.pdf</t>
  </si>
  <si>
    <t>Concrete (in-situ), 32MPa, Pre-mix Concrete E32600 (Barro Group) (Australia)</t>
  </si>
  <si>
    <t>EPD-IES-003221</t>
  </si>
  <si>
    <t>https://epd-australasia.com/wp-content/uploads/2025/01/EPD-IES-003221-001_BarroGroup_E32600_2024-12-18.pdf</t>
  </si>
  <si>
    <t>Concrete (in-situ), 32MPa, Pre-mix Concrete EPG32 (Barro Group) (Australia)</t>
  </si>
  <si>
    <t>EPD-IES-003344</t>
  </si>
  <si>
    <t>https://epd-australasia.com/wp-content/uploads/2025/01/EPD-IES-003344-001_BarroGroup_EPG32_2024-12-18.pdf</t>
  </si>
  <si>
    <t>Concrete (in-situ), Krb 280kg, Pre-mix Concrete EKB280 (Barro Group) (Australia)</t>
  </si>
  <si>
    <t>EPD-IES-003346</t>
  </si>
  <si>
    <t>https://epd-australasia.com/wp-content/uploads/2025/01/EPD-IES-003346-001_BarroGroup_EKB280_2024-12-18.pdf</t>
  </si>
  <si>
    <t>Concrete (in-situ), Krb 320kg, Pre-mix Concrete EKB320 (Barro Group) (Australia)</t>
  </si>
  <si>
    <t>EPD-IES-003361</t>
  </si>
  <si>
    <t>https://epd-australasia.com/wp-content/uploads/2025/01/EPD-IES-003361-001_BarroGroup_EKB320_2024-12-18.pdf</t>
  </si>
  <si>
    <t>Concrete (in-situ), 32MPa, Pre-mix Concrete EPG32L (Barro Group) (Australia)</t>
  </si>
  <si>
    <t>EPD-IES-003909</t>
  </si>
  <si>
    <t>https://epd-australasia.com/wp-content/uploads/2025/01/EPD-IES-003909-001_BarroGroup_EPG32L_2024-12-18.pdf</t>
  </si>
  <si>
    <t>Concrete (in-situ), Krb 280kg, Pre-mix Concrete EKB280L (Barro Group) (Australia)</t>
  </si>
  <si>
    <t>EPD-IES-003915</t>
  </si>
  <si>
    <t>https://epd-australasia.com/wp-content/uploads/2025/01/EPD-IES-003915-001_BarroGroup_EKB280L_2024-12-18.pdf</t>
  </si>
  <si>
    <t>Concrete (in-situ), Krb 320kg, Pre-mix Concrete EKB320L (Barro Group) (Australia)</t>
  </si>
  <si>
    <t>EPD-IES-003921</t>
  </si>
  <si>
    <t>https://epd-australasia.com/wp-content/uploads/2025/01/EPD-IES-003921-001_BarroGroup_EKB320L_2024-12-18.pdf</t>
  </si>
  <si>
    <t>Concrete (in-situ), , ENVISIA concrete in-situ Melb metro - 32 MPa (Boral) (Australia)</t>
  </si>
  <si>
    <t>Concrete (in-situ), , Envirocrete plus concrete in-situ Melb metro - 32 MPa (Boral) (Australia)</t>
  </si>
  <si>
    <t>Concrete (in-situ), , Envirocrete concrete in-situ Melb metro - 32 MPa (Boral) (Australia)</t>
  </si>
  <si>
    <t>Concrete (in-situ), , Envirocrete 40% concrete in-situ Melb metro - 32 MPa (Boral) (Australia)</t>
  </si>
  <si>
    <t>Concrete (in-situ), , Envirocrete 30% concrete in-situ Melb metro - 32 MPa (Boral) (Australia)</t>
  </si>
  <si>
    <t>Concrete (in-situ), , Normal GP blend concrete in-situ Melb metro - 32 MPa (Boral) (Australia)</t>
  </si>
  <si>
    <t>Concrete (in-situ), , Normal GP /FA blend blend concrete in-situ Melb metro - 32 MPa (Boral) (Australia)</t>
  </si>
  <si>
    <t>Concrete (in-situ), , Normal GP /GGBFS blend blend concrete in-situ Melb metro - 32 MPa (Boral) (Australia)</t>
  </si>
  <si>
    <t>Concrete (in-situ), , ENVISIA concrete in-situ Perth metro - 32 MPa (Boral) (Australia)</t>
  </si>
  <si>
    <t>Concrete (in-situ), , Envirocrete plus concrete in-situ Perth metro - 32 MPa (Boral) (Australia)</t>
  </si>
  <si>
    <t>Concrete (in-situ), , Envirocrete concrete in-situ Perth metro - 32 MPa (Boral) (Australia)</t>
  </si>
  <si>
    <t>Concrete (in-situ), , Envirocrete 30% concrete in-situ Perth metro - 32 MPa (Boral) (Australia)</t>
  </si>
  <si>
    <t>Concrete (in-situ), , Normal GP blend concrete in-situ Perth metro - 32 MPa (Boral) (Australia)</t>
  </si>
  <si>
    <t>Concrete (in-situ), , Normal GP /GGBFS blend blend concrete in-situ Perth metro - 32 MPa (Boral) (Australia)</t>
  </si>
  <si>
    <t>Concrete (in-situ), , ENVISIA concrete in-situ QLD metro - 32 MPa (Boral) (Australia)</t>
  </si>
  <si>
    <t>Concrete (in-situ), , Envirocrete plus concrete in-situ QLD metro - 32 MPa (Boral) (Australia)</t>
  </si>
  <si>
    <t>Concrete (in-situ), , Envirocrete 40% concrete in-situ QLD metro - 32 MPa (Boral) (Australia)</t>
  </si>
  <si>
    <t>Concrete (in-situ), , Envirocrete 30% concrete in-situ QLD metro - 32 MPa (Boral) (Australia)</t>
  </si>
  <si>
    <t>Concrete (in-situ), , Normal GP blend concrete in-situ QLD metro - 32 MPa (Boral) (Australia)</t>
  </si>
  <si>
    <t>32 MPa, , Normal Class 32MPa - straight cement (Gunlake) (Australia)</t>
  </si>
  <si>
    <t>32 MPa, , Normal Class 32MPa (NC3228PCI) - cement and fly-ash (Gunlake) (Australia)</t>
  </si>
  <si>
    <t>32 MPa, , Normal Class 32MPa (NC3228PCI) - cement, slag and fly-ash (Gunlake) (Australia)</t>
  </si>
  <si>
    <t>32 MPa, , Special Class 32MPa (GD322AP2) - green star mix with cement, high slag and fly-ash (Gunlake) (Australia)</t>
  </si>
  <si>
    <t>32 MPa, , ENVISIA 32 MPa (Boral) (Australia)</t>
  </si>
  <si>
    <t>32 MPa, , ENVIROCRETE PLUS 32 MPa (Boral) (Australia)</t>
  </si>
  <si>
    <t>32 MPa, , ENVIROCRETE 40% 32 MPa (Boral) (Australia)</t>
  </si>
  <si>
    <t>32 MPa, , ENVIROCRETE 30% 32 MPa (Boral) (Australia)</t>
  </si>
  <si>
    <t>32 MPa, , ENVIROCRETE 32 MPa (Boral) (Australia)</t>
  </si>
  <si>
    <t>32 MPa, , NORMAL CLASS GP BLEND 32 MPa (Boral) (Australia)</t>
  </si>
  <si>
    <t>32 MPa, , NORMAL CLASS GP/FA BLEND 32 MPa (Boral) (Australia)</t>
  </si>
  <si>
    <t>32 MPa, , NORMAL CLASS GP/GGBFS BLEND 32 MPa (Boral) (Australia)</t>
  </si>
  <si>
    <t>32 MPa, , VR330 32 MPa GP/FA (Boral) (Australia)</t>
  </si>
  <si>
    <t>32 MPa, , VR330 32 MPa GP/SLAG (Boral) (Australia)</t>
  </si>
  <si>
    <t>32 MPa, , HIGH SLUMP 32 MPa (Boral) (Australia)</t>
  </si>
  <si>
    <t>32 MPa, , SHOTCRETE 32 MPa (Boral) (Australia)</t>
  </si>
  <si>
    <t>32 MPa, TAS, VR330/32/EXP CL A concrete manufactured in our Northern Region (Hazell Bros Concrete Pty Ltd) (Australia)</t>
  </si>
  <si>
    <t>EPD-IES-0014053:001 (S-P-14053)</t>
  </si>
  <si>
    <t>https://epd-australasia.com/?s=0014053:001&amp;post_type=epd</t>
  </si>
  <si>
    <t>32 MPa, TAS, VR330/32/EXP CL A concrete  manufactured in our Southern Region (Hazell Bros Concrete Pty Ltd) (Australia)</t>
  </si>
  <si>
    <t>EPD-IES-0014082:001 (S-P-14082)</t>
  </si>
  <si>
    <t>https://epd-australasia.com/?s=0014082:001&amp;post_type=epd</t>
  </si>
  <si>
    <t>32 MPa, NSW, Concrete: S32 650BF manufactured at Prestons (Advanced Readymix) (Australia)</t>
  </si>
  <si>
    <t>EPD-IES-0013951:001 (S-P-13951)</t>
  </si>
  <si>
    <t>https://epd-australasia.com/?s=0013951:001&amp;post_type=epd</t>
  </si>
  <si>
    <t>32 MPa, NSW, Concrete: S32 650BF manufactured at Smithfield (Advanced Readymix) (Australia)</t>
  </si>
  <si>
    <t>EPD-IES-0014027:001 (S-P-14027)</t>
  </si>
  <si>
    <t>https://epd-australasia.com/?s=0014027:001&amp;post_type=epd</t>
  </si>
  <si>
    <t>32 MPa, NSW, Concrete: GS32/20/100 manufactured at Prestons (Advanced Readymix) (Australia)</t>
  </si>
  <si>
    <t>EPD-IES-0013934:001 (S-P-13934)</t>
  </si>
  <si>
    <t>https://epd-australasia.com/?s=0013934:001&amp;post_type=epd</t>
  </si>
  <si>
    <t>32 MPa, NSW, Concrete: GS32/20/100 manufactured at Smithfield (Advanced Readymix) (Australia)</t>
  </si>
  <si>
    <t>EPD-IES-0014010:001 (S-P-14010)</t>
  </si>
  <si>
    <t>https://epd-australasia.com/?s=0014010:001&amp;post_type=epd</t>
  </si>
  <si>
    <t>32 MPa, NSW, Concrete: N32/20/100G3 manufactured at Prestons (Advanced Readymix) (Australia)</t>
  </si>
  <si>
    <t>EPD-IES-0016803:001</t>
  </si>
  <si>
    <t>https://epd-australasia.com/?s=0016803:001&amp;post_type=epd</t>
  </si>
  <si>
    <t>32 MPa, NSW, Concrete: N32/20/100G3 manufactured at Smithfield (Advanced Readymix) (Australia)</t>
  </si>
  <si>
    <t>EPD-IES-0016813:001</t>
  </si>
  <si>
    <t>https://epd-australasia.com/?s=0016813:001&amp;post_type=epd</t>
  </si>
  <si>
    <t>32 MPa, NSW, Concrete: NS32/20/100 manufactured at Prestons (Advanced Readymix) (Australia)</t>
  </si>
  <si>
    <t>EPD-IES-0013941:001 (S-P-13941)</t>
  </si>
  <si>
    <t>https://epd-australasia.com/?s=0013941:001&amp;post_type=epd</t>
  </si>
  <si>
    <t>32 MPa, NSW, Concrete: S32/20/80PNL manufactured at Prestons (Advanced Readymix) (Australia)</t>
  </si>
  <si>
    <t>EPD-IES-0013953:001 (S-P-13953)</t>
  </si>
  <si>
    <t>https://epd-australasia.com/?s=0013953:001&amp;post_type=epd</t>
  </si>
  <si>
    <t>32 MPa, NSW, Concrete: NS32/20/100 manufactured at Smithfield (Advanced Readymix) (Australia)</t>
  </si>
  <si>
    <t>EPD-IES-0014017:001 (S-P-14017)</t>
  </si>
  <si>
    <t>https://epd-australasia.com/?s=0014017:001&amp;post_type=epd</t>
  </si>
  <si>
    <t>32 MPa, NSW, Concrete: S32/20/80PNL manufactured at Smithfield (Advanced Readymix) (Australia)</t>
  </si>
  <si>
    <t>EPD-IES-0014029:001 (S-P-14029)</t>
  </si>
  <si>
    <t>https://epd-australasia.com/?s=0014029:001&amp;post_type=epd</t>
  </si>
  <si>
    <t>32 MPa, NSW, Concrete:  S32/10/30 Slip manufactured at Prestons (Advanced Readymix) (Australia)</t>
  </si>
  <si>
    <t>EPD-IES-0016807:001</t>
  </si>
  <si>
    <t>https://epd-australasia.com/?s=0016807:001&amp;post_type=epd</t>
  </si>
  <si>
    <t>32 MPa, NSW, Concrete: S32/20/5D manufactured at Prestons (Advanced Readymix) (Australia)</t>
  </si>
  <si>
    <t>EPD-IES-0013952:001 (S-P-13952)</t>
  </si>
  <si>
    <t>https://epd-australasia.com/?s=0013952:001&amp;post_type=epd</t>
  </si>
  <si>
    <t>32 MPa, NSW, Concrete: S32/20/5D manufactured at Smithfield (Advanced Readymix) (Australia)</t>
  </si>
  <si>
    <t>EPD-IES-0014028:001 (S-P-14028)</t>
  </si>
  <si>
    <t>https://epd-australasia.com/?s=0014028:001&amp;post_type=epd</t>
  </si>
  <si>
    <t>32 MPa, NSW, Concrete: NS32/20/80 manufactured at Prestons (Advanced Readymix) (Australia)</t>
  </si>
  <si>
    <t>EPD-IES-0013942:001 (S-P-13942)</t>
  </si>
  <si>
    <t>https://epd-australasia.com/?s=0013942:001&amp;post_type=epd</t>
  </si>
  <si>
    <t>32 MPa, NSW, Concrete: N32/20/80 manufactured at Prestons (Advanced Readymix) (Australia)</t>
  </si>
  <si>
    <t>EPD-IES-0013937:001 (S-P-13937)</t>
  </si>
  <si>
    <t>https://epd-australasia.com/?s=0013937:001&amp;post_type=epd</t>
  </si>
  <si>
    <t>32 MPa, NSW, Concrete: NS32/20/80 manufactured at Smithfield (Advanced Readymix) (Australia)</t>
  </si>
  <si>
    <t>EPD-IES-0014018:001 (S-P-14018)</t>
  </si>
  <si>
    <t>https://epd-australasia.com/?s=0014018:001&amp;post_type=epd</t>
  </si>
  <si>
    <t>32 MPa, NSW, Concrete: N32/20/80 manufactured at Smithfield (Advanced Readymix) (Australia)</t>
  </si>
  <si>
    <t>EPD-IES-0014013:001 (S-P-14013)</t>
  </si>
  <si>
    <t>https://epd-australasia.com/?s=0014013:001&amp;post_type=epd</t>
  </si>
  <si>
    <t>32 MPa, NSW, Concrete: S32/10/30 Slip manufactured at Smithfield (Advanced Readymix) (Australia)</t>
  </si>
  <si>
    <t>EPD-IES-0016817:001</t>
  </si>
  <si>
    <t>https://epd-australasia.com/?s=0016817:001&amp;post_type=epd</t>
  </si>
  <si>
    <t>32 MPa, NSW, Concrete: S32/20/CLR manufactured at Prestons (Advanced Readymix) (Australia)</t>
  </si>
  <si>
    <t>EPD-IES-0013954:001 (S-P-13954)</t>
  </si>
  <si>
    <t>https://epd-australasia.com/?s=0013954:001&amp;post_type=epd</t>
  </si>
  <si>
    <t>32 MPa, NSW, Concrete: S32/20/CLR manufactured at Smithfield (Advanced Readymix) (Australia)</t>
  </si>
  <si>
    <t>EPD-IES-0014030:001 (S-P-14030)</t>
  </si>
  <si>
    <t>https://epd-australasia.com/?s=0014030:001&amp;post_type=epd</t>
  </si>
  <si>
    <t>32 MPa, NSW, Concrete:  N32/20/80 with 4 kg/m3 Emesh manufactured at Prestons (Advanced Readymix) (Australia)</t>
  </si>
  <si>
    <t>EPD-IES-0016804:001</t>
  </si>
  <si>
    <t>https://epd-australasia.com/?s=0016804:001&amp;post_type=epd</t>
  </si>
  <si>
    <t>32 MPa, NSW, Concrete: N32/20/80 with 4 kg/m3 Emesh manufactured at Smithfield (Advanced Readymix) (Australia)</t>
  </si>
  <si>
    <t>EPD-IES-0016814:001</t>
  </si>
  <si>
    <t>https://epd-australasia.com/?s=0016814:001&amp;post_type=epd</t>
  </si>
  <si>
    <t>32 MPa, TAS, N32/20N concrete  manufactured in our Southern Region (Hazell Bros Concrete Pty Ltd) (Australia)</t>
  </si>
  <si>
    <t>EPD-IES-0014069:001 (S-P-14069)</t>
  </si>
  <si>
    <t>https://epd-australasia.com/?s=0014069:001&amp;post_type=epd</t>
  </si>
  <si>
    <t>32 MPa, NSW, Pre-mix concrete N3220 (Western Suburbs Concrete) (Australia)</t>
  </si>
  <si>
    <t>EPD-IES-0013818:001 (S-P-13818)</t>
  </si>
  <si>
    <t>https://epd-australasia.com/?s=0013818:001&amp;post_type=epd</t>
  </si>
  <si>
    <t>32 MPa, NSW, Pre-mix concrete GS3220-1 (Western Suburbs Concrete) (Australia)</t>
  </si>
  <si>
    <t>EPD-IES-0013798:001 (S-P-13798)</t>
  </si>
  <si>
    <t>https://epd-australasia.com/?s=0013798:001&amp;post_type=epd</t>
  </si>
  <si>
    <t>32 MPa, NSW, Pre-mix concrete S32EXTP (Western Suburbs Concrete) (Australia)</t>
  </si>
  <si>
    <t>EPD-IES-0013828:001 (S-P-13828)</t>
  </si>
  <si>
    <t>https://epd-australasia.com/?s=0013828:001&amp;post_type=epd</t>
  </si>
  <si>
    <t>32 MPa, NSW, Pre-mix concrete WN3220 (Western Suburbs Concrete) (Australia)</t>
  </si>
  <si>
    <t>EPD-IES-0013823:001 (S-P-13823)</t>
  </si>
  <si>
    <t>https://epd-australasia.com/?s=0013823:001&amp;post_type=epd</t>
  </si>
  <si>
    <t>32 MPa, TAS, N32/20N concrete manufactured in our Northern Region (Hazell Bros Concrete Pty Ltd) (Australia)</t>
  </si>
  <si>
    <t>EPD-IES-0014042:001 (S-P-14042)</t>
  </si>
  <si>
    <t>https://epd-australasia.com/?s=0014042:001&amp;post_type=epd</t>
  </si>
  <si>
    <t>32 MPa, NSW, Pre-mix concrete WGS3220-1 (Western Suburbs Concrete) (Australia)</t>
  </si>
  <si>
    <t>EPD-IES-0013808:001 (S-P-13808)</t>
  </si>
  <si>
    <t>https://epd-australasia.com/?s=0013808:001&amp;post_type=epd</t>
  </si>
  <si>
    <t>32 MPa, NSW, Pre-mix concrete WGS3220-2 (Western Suburbs Concrete) (Australia)</t>
  </si>
  <si>
    <t>EPD-IES-0013813:001 (S-P-13813)</t>
  </si>
  <si>
    <t>https://epd-australasia.com/?s=0013813:001&amp;post_type=epd</t>
  </si>
  <si>
    <t>32 MPa, TAS, N32/20N/SCM concrete  manufactured in our Southern Region (Hazell Bros Concrete Pty Ltd) (Australia)</t>
  </si>
  <si>
    <t>EPD-IES-0014075:001 (S-P-14075)</t>
  </si>
  <si>
    <t>https://epd-australasia.com/?s=0014075:001&amp;post_type=epd</t>
  </si>
  <si>
    <t>32 MPa, NSW, Pre-mix concrete GS3220-2 (Western Suburbs Concrete) (Australia)</t>
  </si>
  <si>
    <t>EPD-IES-0013803:001 (S-P-13803)</t>
  </si>
  <si>
    <t>https://epd-australasia.com/?s=0013803:001&amp;post_type=epd</t>
  </si>
  <si>
    <t>32 MPa, NSW, Pre-mix concrete S32AZZIN (Western Suburbs Concrete) (Australia)</t>
  </si>
  <si>
    <t>EPD-IES-0013827:001 (S-P-13827)</t>
  </si>
  <si>
    <t>https://epd-australasia.com/?s=0013827:001&amp;post_type=epd</t>
  </si>
  <si>
    <t>32 MPa, NSW, Pre-mix concrete S32IN (Western Suburbs Concrete) (Australia)</t>
  </si>
  <si>
    <t>EPD-IES-0013829:001 (S-P-13829)</t>
  </si>
  <si>
    <t>https://epd-australasia.com/?s=0013829:001&amp;post_type=epd</t>
  </si>
  <si>
    <t>32 MPa, NSW, Pre-mix concrete S32RCIN (Western Suburbs Concrete) (Australia)</t>
  </si>
  <si>
    <t>EPD-IES-0013830:001 (S-P-13830)</t>
  </si>
  <si>
    <t>https://epd-australasia.com/?s=0013830:001&amp;post_type=epd</t>
  </si>
  <si>
    <t>32 MPa, NSW, Concrete: NS32/20/100 manufactured at Seven Hills (Advanced Readymix) (Australia)</t>
  </si>
  <si>
    <t>EPD-IES-0013979:001 (S-P-13979)</t>
  </si>
  <si>
    <t>https://epd-australasia.com/?s=0013979:001&amp;post_type=epd</t>
  </si>
  <si>
    <t>32 MPa, NSW, Concrete: S32/20/5D manufactured at Seven Hills (Advanced Readymix) (Australia)</t>
  </si>
  <si>
    <t>EPD-IES-0013990:001 (S-P-13990)</t>
  </si>
  <si>
    <t>https://epd-australasia.com/?s=0013990:001&amp;post_type=epd</t>
  </si>
  <si>
    <t>32 MPa, NSW, Concrete: S32/20/80PNL manufactured at Seven Hills (Advanced Readymix) (Australia)</t>
  </si>
  <si>
    <t>EPD-IES-0013991:001 (S-P-13991)</t>
  </si>
  <si>
    <t>https://epd-australasia.com/?s=0013991:001&amp;post_type=epd</t>
  </si>
  <si>
    <t>32 MPa, TAS, N32/20N/SCM concrete manufactured in our Northern Region (Hazell Bros Concrete Pty Ltd) (Australia)</t>
  </si>
  <si>
    <t>EPD-IES-0014048:001 (S-P-14048)</t>
  </si>
  <si>
    <t>https://epd-australasia.com/?s=0014048:001&amp;post_type=epd</t>
  </si>
  <si>
    <t>32 MPa, NSW, Concrete: NS32/20/80 manufactured at Seven Hills (Advanced Readymix) (Australia)</t>
  </si>
  <si>
    <t>EPD-IES-0013980:001 (S-P-13980)</t>
  </si>
  <si>
    <t>https://epd-australasia.com/?s=0013980:001&amp;post_type=epd</t>
  </si>
  <si>
    <t>32 MPa, NSW, Concrete: N32/20/80 manufactured at Seven Hills (Advanced Readymix) (Australia)</t>
  </si>
  <si>
    <t>EPD-IES-0013975:001 (S-P-13975)</t>
  </si>
  <si>
    <t>https://epd-australasia.com/?s=0013975:001&amp;post_type=epd</t>
  </si>
  <si>
    <t>32 MPa, NSW, Concrete: N32/20/100G3 manufactured at Seven Hills (Advanced Readymix) (Australia)</t>
  </si>
  <si>
    <t>EPD-IES-0016808:001</t>
  </si>
  <si>
    <t>https://epd-australasia.com/?s=0016808:001&amp;post_type=epd</t>
  </si>
  <si>
    <t>32 MPa, NSW, Readymix concrete: D32JKERBR53 (Daracrete Pty Ltd) (Australia)</t>
  </si>
  <si>
    <t>EPD-IES-0016614:001</t>
  </si>
  <si>
    <t>https://epd-australasia.com/?s=0016614:001&amp;post_type=epd</t>
  </si>
  <si>
    <t>32 MPa, NSW, Concrete: GS32/20/100 manufactured at Seven Hills (Advanced Readymix) (Australia)</t>
  </si>
  <si>
    <t>EPD-IES-0013972:001 (S-P-13972)</t>
  </si>
  <si>
    <t>https://epd-australasia.com/?s=0013972:001&amp;post_type=epd</t>
  </si>
  <si>
    <t>32 MPa, NSW, Concrete: S32 650BF manufactured at Seven Hills (Advanced Readymix) (Australia)</t>
  </si>
  <si>
    <t>EPD-IES-0013989:001 (S-P-13989)</t>
  </si>
  <si>
    <t>https://epd-australasia.com/?s=0013989:001&amp;post_type=epd</t>
  </si>
  <si>
    <t>32 MPa, NSW, Concrete: N32/20/80 with 4 kg/m3 Emesh manufactured at Seven Hills (Advanced Readymix) (Australia)</t>
  </si>
  <si>
    <t>EPD-IES-0016809:001</t>
  </si>
  <si>
    <t>https://epd-australasia.com/?s=0016809:001&amp;post_type=epd</t>
  </si>
  <si>
    <t>32 MPa, NSW, Concrete: S32/20/CLR manufactured at Seven Hills (Advanced Readymix) (Australia)</t>
  </si>
  <si>
    <t>EPD-IES-0013992:001 (S-P-13992)</t>
  </si>
  <si>
    <t>https://epd-australasia.com/?s=0013992:001&amp;post_type=epd</t>
  </si>
  <si>
    <t>32 MPa, NSW, Readymix concrete: D327KERB (Daracrete Pty Ltd) (Australia)</t>
  </si>
  <si>
    <t>EPD-IES-0016613:001</t>
  </si>
  <si>
    <t>https://epd-australasia.com/?s=0016613:001&amp;post_type=epd</t>
  </si>
  <si>
    <t>32 MPa, NSW, Concrete: S32/10/30 Slip manufactured at Seven Hills (Advanced Readymix) (Australia)</t>
  </si>
  <si>
    <t>EPD-IES-0016812:001</t>
  </si>
  <si>
    <t>https://epd-australasia.com/?s=0016812:001&amp;post_type=epd</t>
  </si>
  <si>
    <t>32 MPa, NSW, Readymix concrete: DARASPRAY32 (Daracrete Pty Ltd) (Australia)</t>
  </si>
  <si>
    <t>EPD-IES-0016615:001</t>
  </si>
  <si>
    <t>https://epd-australasia.com/?s=0016615:001&amp;post_type=epd</t>
  </si>
  <si>
    <t>32 MPa, TAS, S32/20N OFF WHITE concrete  manufactured in our Southern Region (Hazell Bros Concrete Pty Ltd) (Australia)</t>
  </si>
  <si>
    <t>EPD-IES-0014091:001 (S-P-14091)</t>
  </si>
  <si>
    <t>https://epd-australasia.com/?s=0014091:001&amp;post_type=epd</t>
  </si>
  <si>
    <t>32 MPa, TAS, S32/20N OFF WHITE concrete  manufactured in our Northern Region (Hazell Bros Concrete Pty Ltd) (Australia)</t>
  </si>
  <si>
    <t>EPD-IES-0014059:001 (S-P-14059)</t>
  </si>
  <si>
    <t>https://epd-australasia.com/?s=0014059:001&amp;post_type=epd</t>
  </si>
  <si>
    <t>Concrete, 40 MPa</t>
  </si>
  <si>
    <t>&gt;32 MPa to ≤40 MPa</t>
  </si>
  <si>
    <t>Concrete, 40 MPa, in-situ, no reinforcement, (QE407LSPR) (Ecopact) (Holcim) (QLD) (Brisbane)</t>
  </si>
  <si>
    <t>322</t>
  </si>
  <si>
    <t>0.69</t>
  </si>
  <si>
    <t>Concrete, 40 MPa, in-situ, no reinforcement, (VE401EAPF) (Ecopact) (Holcim) (VIC)</t>
  </si>
  <si>
    <t>315</t>
  </si>
  <si>
    <t>0.62</t>
  </si>
  <si>
    <t>Concrete, 40 MPa, in-situ, no reinforcement, (VE401EVMW) (Ecopact) (Holcim) (VIC)</t>
  </si>
  <si>
    <t>0.37</t>
  </si>
  <si>
    <t>Concrete, 40 MPa, in-situ, no reinforcement, (SE401EWC) (Ecopact) (Holcim) (SA) (Adelaide)</t>
  </si>
  <si>
    <t>268</t>
  </si>
  <si>
    <t>Concrete, 40 MPa, in-situ, no reinforcement, (SE402E56) (Ecopact) (Holcim) (SA) (Adelaide)</t>
  </si>
  <si>
    <t>0.35</t>
  </si>
  <si>
    <t>Concrete, 40 MPa, in-situ, no reinforcement, (SE401EAV) (Ecopact) (Holcim) (SA) (Adelaide)</t>
  </si>
  <si>
    <t>291</t>
  </si>
  <si>
    <t>Concrete, 40 MPa, in-situ, no reinforcement, (SE402E562) (Ecopact) (Holcim) (SA) (Adelaide)</t>
  </si>
  <si>
    <t>276</t>
  </si>
  <si>
    <t>Concrete, 40 MPa, in-situ, no reinforcement, (VE401E56) (Ecopact) (Holcim) (VIC)</t>
  </si>
  <si>
    <t>279</t>
  </si>
  <si>
    <t>Concrete, 40 MPa, in-situ, no reinforcement, (SE402E) (Ecopact) (Holcim) (SA) (Adelaide)</t>
  </si>
  <si>
    <t>263</t>
  </si>
  <si>
    <t>Concrete, 40 MPa, in-situ, no reinforcement, (SE402E2) (Ecopact) (Holcim) (SA) (Adelaide)</t>
  </si>
  <si>
    <t>Concrete, 40 MPa, in-situ, no reinforcement, (VE402E5) (Ecopact) (Holcim) (VIC)</t>
  </si>
  <si>
    <t>Concrete, 40 MPa, in-situ, no reinforcement, (SE401E5) (Ecopact) (Holcim) (SA) (Adelaide)</t>
  </si>
  <si>
    <t>272</t>
  </si>
  <si>
    <t>Concrete, 40 MPa, in-situ, no reinforcement, (QE401E)(Ecopact) (Holcim) (QLD) (Sunshine Coast)</t>
  </si>
  <si>
    <t>Concrete, 40 MPa, in-situ, no reinforcement, (VE402E /
BE402E) (Ecopact) (Holcim) (VIC)</t>
  </si>
  <si>
    <t>Concrete, 40 MPa, in-situ, no reinforcement, (QE402E100)(Ecopact) (Holcim) (QLD) (Sunshine Coast)</t>
  </si>
  <si>
    <t>Concrete, 40 MPa, in-situ, no reinforcement, (VE402E56) (Ecopact) (Holcim) (VIC)</t>
  </si>
  <si>
    <t>283</t>
  </si>
  <si>
    <t>Concrete, 40 MPa, in-situ, no reinforcement, (40MPa 10MM BLOCKMIX) (Adbri) (QLD)</t>
  </si>
  <si>
    <t>Concrete, 40 MPa, in-situ, no reinforcement, (Futurecrete®
Ultra N class GP/ GL:Slag 40 MPa) (Adbri) (QLD)</t>
  </si>
  <si>
    <t>Concrete, 40 MPa, in-situ, no reinforcement, (VE401EAV) (Ecopact) (Holcim) (VIC)</t>
  </si>
  <si>
    <t>Concrete, 40 MPa, in-situ, no reinforcement, (QE402EBF2) (Ecopact) (Holcim) (QLD) (Brisbane)</t>
  </si>
  <si>
    <t>341</t>
  </si>
  <si>
    <t>Concrete, 40 MPa, in-situ, no reinforcement, (VE402EAP) (Ecopact) (Holcim) (VIC)</t>
  </si>
  <si>
    <t>310</t>
  </si>
  <si>
    <t>Concrete, 40 MPa, in-situ, no reinforcement, (QE401L100)(Ecopact) (Holcim) (QLD) (Sunshine Coast)</t>
  </si>
  <si>
    <t>305</t>
  </si>
  <si>
    <t>Concrete, 40 MPa, in-situ, no reinforcement, (Futurecrete®  N
class GP/GL:Slag
40 MPa) (Adbri) (QLD)</t>
  </si>
  <si>
    <t>Concrete, 40 MPa, in-situ, no reinforcement, (QE402L100)(Ecopact) (Holcim) (QLD) (Sunshine Coast)</t>
  </si>
  <si>
    <t>295</t>
  </si>
  <si>
    <t>Concrete, 40 MPa, in-situ, no reinforcement, (QE401L)(Ecopact) (Holcim) (QLD) (Sunshine Coast)</t>
  </si>
  <si>
    <t>297</t>
  </si>
  <si>
    <t>Concrete, 40 MPa, in-situ, no reinforcement, (NE402E1A1)(Ecopact) (Holcim) (NSW), (Sydney)</t>
  </si>
  <si>
    <t>298</t>
  </si>
  <si>
    <t>Concrete, 40 MPa, in-situ, no reinforcement, (QE402L)(Ecopact) (Holcim) (QLD) (Sunshine Coast)</t>
  </si>
  <si>
    <t>287</t>
  </si>
  <si>
    <t>Concrete, 40 MPa, in-situ, no reinforcement, (40MPa 20MM 3 GST POINTS CONCRETE) (Adbri) (VIC)</t>
  </si>
  <si>
    <t>Concrete, 40 MPa, in-situ, no reinforcement, (NE401E1)(Ecopact) (Holcim) (NSW), (Sydney)</t>
  </si>
  <si>
    <t>Concrete, 40 MPa, in-situ, no reinforcement, (40MPa 14MM 150MM SLUMP CONCRETE) (Adbri) (VIC)</t>
  </si>
  <si>
    <t>Concrete, 40 MPa, in-situ, no reinforcement, (Futurecrete® N Class
GP:GL:Slag 40 MPa
- Winnellie) (Adbri) (NT)</t>
  </si>
  <si>
    <t>Concrete, 40 MPa, in-situ, no reinforcement, (NE402PTS2)(Ecopact) (Holcim) (NSW), (Sydney)</t>
  </si>
  <si>
    <t>293</t>
  </si>
  <si>
    <t>Concrete, 40 MPa, in-situ, no reinforcement, (QE401E) (Ecopact) (Holcim) (QLD), Gold Coast</t>
  </si>
  <si>
    <t>Concrete, 40 MPa, in-situ, no reinforcement, (NE402E1)(Ecopact) (Holcim) (NSW), (Sydney)</t>
  </si>
  <si>
    <t>Concrete, 40 MPa, in-situ, no reinforcement, (NE402E5)(Ecopact) (Holcim) (NSW), (Sydney)</t>
  </si>
  <si>
    <t>Concrete, 40 MPa, in-situ, no reinforcement, (NE402PT2)(Ecopact) (Holcim) (NSW), (Sydney)</t>
  </si>
  <si>
    <t>288</t>
  </si>
  <si>
    <t>Concrete, 40 MPa, in-situ, no reinforcement, (40MPa 20MM FIBRE CONCRETE) (Adbri) (VIC)</t>
  </si>
  <si>
    <t>Concrete, 40 MPa, in-situ, no reinforcement, (Futurecrete®
N class GP/GL:FA
40 MPa) (Adbri) (QLD)</t>
  </si>
  <si>
    <t>Concrete, 40 MPa, in-situ, no reinforcement, (Adbri concrete
N class GP/GL
40 MPa) (Adbri) (QLD)</t>
  </si>
  <si>
    <t>Concrete, 40 MPa, in-situ, no reinforcement, (40MPa 14MM TREMIE 160 SLUMP) (Adbri) (VIC)</t>
  </si>
  <si>
    <t>Concrete, 40 MPa, in-situ, no reinforcement, (QE401EEZY) (Ecopact) (Holcim) (QLD), Gold Coast</t>
  </si>
  <si>
    <t>241</t>
  </si>
  <si>
    <t>Concrete, 40 MPa, in-situ, no reinforcement, (NE401E2)(Ecopact) (Holcim) (NSW), (Sydney)</t>
  </si>
  <si>
    <t>Concrete, 40 MPa, in-situ, no reinforcement, (QE407EBMX) (Ecopact) (Holcim) (QLD), Gold Coast</t>
  </si>
  <si>
    <t>Concrete, 40 MPa, in-situ, no reinforcement, (QE401E200) (Ecopact) (Holcim) (QLD) (Brisbane)</t>
  </si>
  <si>
    <t>Concrete, 40 MPa, in-situ, no reinforcement, (QE401EDUF) (Ecopact) (Holcim) (QLD), Gold Coast</t>
  </si>
  <si>
    <t>Concrete, 40 MPa, in-situ, no reinforcement, (40MPa 20MM
PANEL CONCRETE
30% BL 120 SL) (Adbri) (VIC)</t>
  </si>
  <si>
    <t>Concrete, 40 MPa, in-situ, no reinforcement, (QE402E100) (Ecopact) (Holcim) (QLD), Gold Coast</t>
  </si>
  <si>
    <t>Concrete, 40 MPa, in-situ, no reinforcement, (QE401EEZY) (Ecopact) (Holcim) (QLD) (Brisbane)</t>
  </si>
  <si>
    <t>Concrete, 40 MPa, in-situ, no reinforcement, (QE402EEZY) (Ecopact) (Holcim) (QLD), Gold Coast</t>
  </si>
  <si>
    <t>Concrete, 40 MPa, in-situ, no reinforcement, (QE401EL21) (Ecopact) (Holcim) (QLD), Gold Coast</t>
  </si>
  <si>
    <t>Concrete, 40 MPa, in-situ, no reinforcement, (QE402E100) (Ecopact) (Holcim) (QLD) (Brisbane)</t>
  </si>
  <si>
    <t>224</t>
  </si>
  <si>
    <t>Concrete, 40 MPa, in-situ, no reinforcement, (QE402PT2) (Ecopact) (Holcim) (QLD), Gold Coast</t>
  </si>
  <si>
    <t>Concrete, 40 MPa, in-situ, no reinforcement, (QE401EL21) (Ecopact) (Holcim) (QLD) (Brisbane)</t>
  </si>
  <si>
    <t>Concrete, 40 MPa, in-situ, no reinforcement, (QE401EDUF) (Ecopact) (Holcim) (QLD) (Brisbane)</t>
  </si>
  <si>
    <t>Concrete, 40 MPa, in-situ, no reinforcement, (QE401E100) (Ecopact) (Holcim) (QLD), Gold Coast</t>
  </si>
  <si>
    <t>Concrete, 40 MPa, in-situ, no reinforcement, (Adbri concrete
N class GP/GL:FA
40 MPa) (Adbri) (QLD)</t>
  </si>
  <si>
    <t>Concrete, 40 MPa, in-situ, no reinforcement, (QE402EEZY) (Ecopact) (Holcim) (QLD) (Brisbane)</t>
  </si>
  <si>
    <t>Concrete, 40 MPa, in-situ, no reinforcement, (QE402E) (Ecopact) (Holcim) (QLD), Gold Coast</t>
  </si>
  <si>
    <t>Concrete, 40 MPa, in-situ, no reinforcement, (QE401E200) (Ecopact) (Holcim) (QLD), Gold Coast</t>
  </si>
  <si>
    <t>Concrete, 40 MPa, in-situ, no reinforcement, (40MPa PT 14MM
22 IN 3 DAYS) (Adbri) (VIC)</t>
  </si>
  <si>
    <t>Concrete, 40 MPa, in-situ, no reinforcement, (QE407EBMX) (Ecopact) (Holcim) (QLD) (Brisbane)</t>
  </si>
  <si>
    <t>Concrete, 40 MPa, in-situ, no reinforcement, (QE401E100) (Ecopact) (Holcim) (QLD) (Brisbane)</t>
  </si>
  <si>
    <t>Concrete, 40 MPa, in-situ, no reinforcement, (QE402E) (Ecopact) (Holcim) (QLD) (Brisbane)</t>
  </si>
  <si>
    <t>219</t>
  </si>
  <si>
    <t>Concrete, 40 MPa, in-situ, no reinforcement, (CS4020E5)(LH) (BCG) (WA), (Perth)</t>
  </si>
  <si>
    <t>Concrete, 40 MPa, in-situ, no reinforcement, (40MPa 14MM
20MPa IN 2 DAYS) (Adbri) (VIC)</t>
  </si>
  <si>
    <t>Concrete, 40 MPa, in-situ, no reinforcement, (QE402PT1) (Ecopact) (Holcim) (QLD), Gold Coast</t>
  </si>
  <si>
    <t>312</t>
  </si>
  <si>
    <t>Concrete, 40 MPa, in-situ, no reinforcement, (40MPa 7MM
SPRAY CONCRETE (30kg/SF)) (Adbri) (VIC)</t>
  </si>
  <si>
    <t>Concrete, 40 MPa, in-situ, no reinforcement, (WE404E1)(Ecopact) (Holcim) (WA), (Perth Metro)</t>
  </si>
  <si>
    <t>270</t>
  </si>
  <si>
    <t>Concrete, 40 MPa, in-situ, no reinforcement, (WE401E1)(Ecopact) (Holcim) (WA), (Perth Metro)</t>
  </si>
  <si>
    <t>Concrete, 40 MPa, in-situ, no reinforcement, (WE404E2)(Ecopact) (Holcim) (WA), (Perth Metro)</t>
  </si>
  <si>
    <t>271</t>
  </si>
  <si>
    <t>Concrete, 40 MPa, in-situ, no reinforcement, (WE401E2)(Ecopact) (Holcim) (WA), (Perth Metro)</t>
  </si>
  <si>
    <t>Concrete, 40 MPa, in-situ, no reinforcement, (WE404E4)(Ecopact) (Holcim) (WA), (Perth Metro)</t>
  </si>
  <si>
    <t>Concrete, 40 MPa, in-situ, no reinforcement, (WE401E4)(Ecopact) (Holcim) (WA), (Perth Metro)</t>
  </si>
  <si>
    <t>Concrete, 40 MPa, in-situ, no reinforcement, (QE402PT1) (Ecopact) (Holcim) (QLD) (Brisbane)</t>
  </si>
  <si>
    <t>Concrete, 40 MPa, in-situ, no reinforcement, (QE402PT2) (Ecopact) (Holcim) (QLD) (Brisbane)</t>
  </si>
  <si>
    <t>Concrete, 40 MPa, in-situ, no reinforcement, (WE402E1)(Ecopact) (Holcim) (WA), (Perth Metro)</t>
  </si>
  <si>
    <t>Concrete, 40 MPa, in-situ, no reinforcement, (QE402PT3) (Ecopact) (Holcim) (QLD) (Brisbane)</t>
  </si>
  <si>
    <t>294</t>
  </si>
  <si>
    <t>Concrete, 40 MPa, in-situ, no reinforcement, (QE401LMO1) (Ecopact) (Holcim) (QLD) (Brisbane)</t>
  </si>
  <si>
    <t>Concrete, 40 MPa, in-situ, no reinforcement, (WE402E2)(Ecopact) (Holcim) (WA), (Perth Metro)</t>
  </si>
  <si>
    <t>Concrete, 40 MPa, in-situ, no reinforcement, (WE402E4)(Ecopact) (Holcim) (WA), (Perth Metro)</t>
  </si>
  <si>
    <t>Concrete, 40 MPa, in-situ, no reinforcement, (QE4022A31) (Ecopact) (Holcim) (QLD), Gold Coast</t>
  </si>
  <si>
    <t>311</t>
  </si>
  <si>
    <t>Concrete, 40 MPa, in-situ, no reinforcement, (QE4022A41) (Ecopact) (Holcim) (QLD), Gold Coast</t>
  </si>
  <si>
    <t>Concrete, 40 MPa, in-situ, no reinforcement, (QE4022A51) (Ecopact) (Holcim) (QLD), Gold Coast</t>
  </si>
  <si>
    <t>Concrete, 40 MPa, in-situ, no reinforcement, (QE401LMO1) (Ecopact) (Holcim) (QLD), Gold Coast</t>
  </si>
  <si>
    <t>Concrete, 40 MPa, in-situ, no reinforcement, (QE402PT3) (Ecopact) (Holcim) (QLD), Gold Coast</t>
  </si>
  <si>
    <t>Concrete, 40 MPa, in-situ, no reinforcement, (QE4022A32) (Ecopact) (Holcim) (QLD), Gold Coast</t>
  </si>
  <si>
    <t>Concrete, 40 MPa, in-situ, no reinforcement, (QE4022A42) (Ecopact) (Holcim) (QLD), Gold Coast</t>
  </si>
  <si>
    <t>Concrete, 40 MPa, in-situ, no reinforcement, (QE4022A52) (Ecopact) (Holcim) (QLD), Gold Coast</t>
  </si>
  <si>
    <t>Concrete, 40 MPa, in-situ, no reinforcement, (QE4022A53) (Ecopact) (Holcim) (QLD), Gold Coast</t>
  </si>
  <si>
    <t>Concrete, 40 MPa, in-situ, no reinforcement, (QE402L652) (Ecopact) (Holcim) (QLD), Gold Coast</t>
  </si>
  <si>
    <t>Concrete, 40 MPa, in-situ, no reinforcement, (QE402LMO1) (Ecopact) (Holcim) (QLD) (Brisbane)</t>
  </si>
  <si>
    <t>301</t>
  </si>
  <si>
    <t>Concrete, 40 MPa, in-situ, no reinforcement, (NE401E1L2)(Ecopact) (Holcim) (NSW), (Sydney)</t>
  </si>
  <si>
    <t>Concrete, 40 MPa, in-situ, no reinforcement, (QE402L652) (Ecopact) (Holcim) (QLD) (Brisbane)</t>
  </si>
  <si>
    <t>Concrete, 40 MPa, in-situ, no reinforcement, (Futurecrete®  N
class Ternary
40 MPa) (Adbri) (QLD)</t>
  </si>
  <si>
    <t>Concrete, 40 MPa, in-situ, no reinforcement, (Futurecrete®  Special
Class GP 40 MPa
22 hours) (Adbri) (NT)</t>
  </si>
  <si>
    <t>Concrete, 40 MPa, in-situ, no reinforcement, (QE402LPN2) (Ecopact) (Holcim) (QLD), Gold Coast</t>
  </si>
  <si>
    <t>308</t>
  </si>
  <si>
    <t>Concrete, 40 MPa, in-situ, no reinforcement, (Adbri Concrete N Class GP/GL 40 MPa) (Adbri) (VIC)</t>
  </si>
  <si>
    <t>Concrete, 40 MPa, in-situ, no reinforcement, (QE401ELCF) (Ecopact) (Holcim) (QLD) (Brisbane)</t>
  </si>
  <si>
    <t>289</t>
  </si>
  <si>
    <t>Concrete, 40 MPa, in-situ, no reinforcement, (QE401ECFA) (Ecopact) (Holcim) (QLD) (Brisbane)</t>
  </si>
  <si>
    <t>Concrete, 40 MPa, in-situ, no reinforcement, (VE404EWC) (Ecopact) (Holcim) (VIC)</t>
  </si>
  <si>
    <t>Concrete, 40 MPa, in-situ, no reinforcement, (VE402ESW) (Ecopact) (Holcim) (VIC)</t>
  </si>
  <si>
    <t>Concrete, 40 MPa, in-situ, no reinforcement, (Adbri Concrete N Class GP:GL 40 MPa
- Katherine) (Adbri) (NT)</t>
  </si>
  <si>
    <t>Concrete, 40 MPa, in-situ, no reinforcement, (Adbri Concrete N Class GP:GL 40 MPa
- Alice Springs) (Adbri) (NT)</t>
  </si>
  <si>
    <t>Concrete, 35 MPa</t>
  </si>
  <si>
    <t>Concrete, 35 MPa, in-situ, no reinforcement, (S35MPA S CLASS 20MM R83 MACHINE PLACED) (Adbri) (NSW)</t>
  </si>
  <si>
    <t>Concrete, 35 MPa, in-situ, no reinforcement, (S35MPA S CLASS 20MM R83 SLIPFORM) (Adbri) (NSW)</t>
  </si>
  <si>
    <t>Concrete, 40 MPa, in-situ, no reinforcement, (Futurecrete®  S Class
GP/GL:FA 40 MPa) (Adbri) (SA)</t>
  </si>
  <si>
    <t>Concrete, 40 MPa, in-situ, no reinforcement, (S40MPA 22MPA AT 7 DAYS 20MM) (Adbri) (NSW)</t>
  </si>
  <si>
    <t>Concrete, 40 MPa, in-situ, no reinforcement, (S40MPA 22MPA AT 5 DAYS 20MM) (Adbri) (NSW)</t>
  </si>
  <si>
    <t>Concrete, 40 MPa, in-situ, no reinforcement, (S40MPA 25MPA AT 7 DAYS 20MM) (Adbri) (NSW)</t>
  </si>
  <si>
    <t>Concrete, 40 MPa, in-situ, no reinforcement, (S40MPA 22MPA AT 4 DAYS 20MM) (Adbri) (NSW)</t>
  </si>
  <si>
    <t>Concrete, 40 MPa, in-situ, no reinforcement, (S40MPA 25MPA AT 5 DAYS 20MM) (Adbri) (NSW)</t>
  </si>
  <si>
    <t>Concrete, 40 MPa, in-situ, no reinforcement, (S40MPA 22MPA AT 4 DAYS 20MM 120MM SLUMP) (Adbri) (NSW)</t>
  </si>
  <si>
    <t>Concrete, 40 MPa, in-situ, no reinforcement, (S40MPA PT DECK
25MPA AT 3 DAYS
20MM) (Adbri) (NSW)</t>
  </si>
  <si>
    <t>Concrete, 40 MPa, in-situ, no reinforcement, (Futurecrete®  Ultra N Class GP/ GL:Slag 40 MPa) (Adbri) (NSW)</t>
  </si>
  <si>
    <t>Concrete, 40 MPa, in-situ, no reinforcement, (S40MPA RTA
SP40HC 20MM SP [HIGH EARLY]) (Adbri) (NSW)</t>
  </si>
  <si>
    <t>Concrete, 40 MPa, in-situ, no reinforcement, (S40MPA 20MM RTA 3201 SP40H) (Adbri) (NSW)</t>
  </si>
  <si>
    <t>Concrete, 40 MPa, in-situ, no reinforcement, (Futurecrete®  Ultra S40MPA 20MM RMS B80 B2
EXPOSURE AP) (Adbri) (NSW)</t>
  </si>
  <si>
    <t>Concrete, 40 MPa, in-situ, no reinforcement, (Futurecrete® S40MPA HY-LINE 2INCH 10MM PUMP
) (Adbri) (NSW)</t>
  </si>
  <si>
    <t>Concrete, 40 MPa, in-situ, no reinforcement, (Adbri Concrete
N Class GP/GL:FA
40 MPa) (Adbri) (NSW)</t>
  </si>
  <si>
    <t>Concrete, 40 MPa, in-situ, no reinforcement, (General) (Holcim) (NSW)(ACT)</t>
  </si>
  <si>
    <t>4.05E+02</t>
  </si>
  <si>
    <t>Concrete, 40 MPa, in-situ, no reinforcement, (Fly Ash) (Holcim) (NSW)(ACT)</t>
  </si>
  <si>
    <t>Concrete, 40 MPa, in-situ, no reinforcement, (GGBS Slag) (Holcim) (NSW)(ACT)</t>
  </si>
  <si>
    <t>2.43E+02</t>
  </si>
  <si>
    <t>Concrete, 40 MPa, in-situ, no reinforcement, (Triple Blend) (Holcim) (NSW)(ACT)</t>
  </si>
  <si>
    <t>Concrete, 40 MPa, in-situ, no reinforcement,(General)  (Holcim)  (QLD)</t>
  </si>
  <si>
    <t>3.55E+02</t>
  </si>
  <si>
    <t>Concrete, 40 MPa, in-situ, no reinforcement,(Fly Ash)  (Holcim)  (QLD)</t>
  </si>
  <si>
    <t>Concrete, 40 MPa, in-situ, no reinforcement,(Triple Blend)  (Holcim)  (QLD)</t>
  </si>
  <si>
    <t>2.18E+02</t>
  </si>
  <si>
    <t>Concrete, 40 MPa, in-situ, no reinforcement, (General) (Holcim) (VIC)</t>
  </si>
  <si>
    <t>3.86E+02</t>
  </si>
  <si>
    <t>Concrete, 40 MPa, in-situ, no reinforcement, (Fly Ash) (Holcim) (VIC)</t>
  </si>
  <si>
    <t>3.02E+02</t>
  </si>
  <si>
    <t>Concrete, 40 MPa, in-situ, no reinforcement, (Triple Blend) (Holcim) (VIC)</t>
  </si>
  <si>
    <t>2.72E+02</t>
  </si>
  <si>
    <t>Concrete, 40 MPa, in-situ, no reinforcement, (General) (Holcim) (SA)</t>
  </si>
  <si>
    <t>4.13E+02</t>
  </si>
  <si>
    <t>3.08E+02</t>
  </si>
  <si>
    <t>2.62E+02</t>
  </si>
  <si>
    <t>Concrete, 40 MPa, in-situ, no reinforcement, (General) (Holcim) (WA)</t>
  </si>
  <si>
    <t>3.70E+02</t>
  </si>
  <si>
    <t>2.67E+02</t>
  </si>
  <si>
    <t>Concrete, 40 MPa, in-situ, no reinforcement, (NE402E151)(Ecopact) (Holcim) (ACT)</t>
  </si>
  <si>
    <t>260.60</t>
  </si>
  <si>
    <t>Concrete, 40 MPa, in-situ, no reinforcement, (NE402E351)(Ecopact) (Holcim) (ACT)</t>
  </si>
  <si>
    <t>263.05</t>
  </si>
  <si>
    <t>Concrete, 40 MPa, in-situ, no reinforcement, (NE401E151)(Ecopact) (Holcim) (ACT)</t>
  </si>
  <si>
    <t>260.86</t>
  </si>
  <si>
    <t>Concrete, 40 MPa, in-situ, no reinforcement, (NE401E351)(Ecopact) (Holcim) (ACT)</t>
  </si>
  <si>
    <t>263.24</t>
  </si>
  <si>
    <t>Concrete, 40 MPa, in-situ, no reinforcement, (VS401O100) (Holcim) (VIC)</t>
  </si>
  <si>
    <t>451.63</t>
  </si>
  <si>
    <t>Concrete, 40 MPa, in-situ, no reinforcement, (VS404FSWC) (Holcim) (VIC)</t>
  </si>
  <si>
    <t>302.33</t>
  </si>
  <si>
    <t>Concrete, 40 MPa, in-situ, no reinforcement, (VE402ENV) (Holcim) (VIC)</t>
  </si>
  <si>
    <t>278.68</t>
  </si>
  <si>
    <t>Concrete, 40 MPa, in-situ, no reinforcement, (VS402FVRT) (Holcim) (VIC)</t>
  </si>
  <si>
    <t>254.70</t>
  </si>
  <si>
    <t>Concrete, 40 MPa, in-situ, no reinforcement, (VS401VMWT) (Holcim) (VIC)</t>
  </si>
  <si>
    <t>252.32</t>
  </si>
  <si>
    <t>Concrete, 40 MPa, in-situ, no reinforcement, (QS402PR02) (Holcim) (QLD), South East Queensland</t>
  </si>
  <si>
    <t>SE QLD</t>
  </si>
  <si>
    <t>https://epd-australasia.com/wp-content/uploads/2021/06/2021-06-03-Holcim-ViroDecs%E2%84%A2-Special-SEQ-Pre-cast-Ready-mix-EPD-v1.0.0.pdf</t>
  </si>
  <si>
    <t>424.99</t>
  </si>
  <si>
    <t>Concrete, 40 MPa, in-situ, no reinforcement, (QS402PR37) (Holcim) (QLD), South East Queensland</t>
  </si>
  <si>
    <t>426.26</t>
  </si>
  <si>
    <t>Concrete, 40 MPa, in-situ, no reinforcement, (QS402PR35) (Holcim) (QLD), South East Queensland</t>
  </si>
  <si>
    <t>407.83</t>
  </si>
  <si>
    <t>Concrete, 40 MPa, in-situ, no reinforcement, (QS402MRF4) (Holcim) (QLD), South East Queensland</t>
  </si>
  <si>
    <t>379.50</t>
  </si>
  <si>
    <t>Concrete, 40 MPa, in-situ, no reinforcement, (QE402E)(Holcim) (QLD), (North QLD)</t>
  </si>
  <si>
    <t>286.14</t>
  </si>
  <si>
    <t>Concrete, 40 MPa, in-situ, no reinforcement, (QE402E1)(Holcim) (QLD), (North QLD)</t>
  </si>
  <si>
    <t>286.95</t>
  </si>
  <si>
    <t>Concrete, 40 MPa, in-situ, no reinforcement, (QE401E)(Holcim) (QLD), (North QLD)</t>
  </si>
  <si>
    <t>292.06</t>
  </si>
  <si>
    <t>Concrete, 40 MPa, in-situ, no reinforcement, (QE401E1)(Holcim) (QLD), (North QLD)</t>
  </si>
  <si>
    <t>292.68</t>
  </si>
  <si>
    <t>Concrete, 40 MPa, in-situ, no reinforcement, (Futurecrete®  N
Class GP/GL:Slag
40 MPa) (Adbri) (SA)</t>
  </si>
  <si>
    <t>Concrete, 40 MPa, in-situ, no reinforcement, (Futurecrete®  N Class
GP/GL:FA 40 MPa) (Adbri) (SA)</t>
  </si>
  <si>
    <t>Concrete, 40 MPa, in-situ, no reinforcement, (Futurecrete®  S Class
GP/GL:Slag 40 MPa) (Adbri) (SA)</t>
  </si>
  <si>
    <t>Concrete, 35 MPa, in-situ, no reinforcement, (S35MPA S CLASS 20MM R83 FIBRE) (Adbri) (NSW)</t>
  </si>
  <si>
    <t>Concrete, 40 MPa, in-situ, no reinforcement, (S40MPA 20MM RMS B80 B1 EXPOSURE AP) (Adbri) (NSW)</t>
  </si>
  <si>
    <t>Concrete, 40 MPa, in-situ, no reinforcement, (S40MPA 22MPA AT 3 DAYS 20MM) (Adbri) (NSW)</t>
  </si>
  <si>
    <t>Concrete, 40 MPa, in-situ, no reinforcement, (S40MPA PT DECK
25MPA AT 4 DAYS
20MM) (Adbri) (NSW)</t>
  </si>
  <si>
    <t>Concrete, 40 MPa, in-situ, no reinforcement, Pre-mix Concrete Normal Class GP blend (Boral) (ACT), (Canberra) Normal Class GP blend 40MPa</t>
  </si>
  <si>
    <t>Concrete, 40 MPa, in-situ, no reinforcement, Pre-mix Concrete Normal Class GP/FA blend (Boral) (ACT), (Canberra) Normal Class GP/FA blend 40 MPa</t>
  </si>
  <si>
    <t>Concrete, 40 MPa, in-situ, no reinforcement, Pre-mix Concrete Normal Class GP/GGBFS blend (Boral) (ACT), (Canberra) Normal Class GP/GGBFS blend 40 MPa</t>
  </si>
  <si>
    <t>Concrete, 40 MPa, in-situ, no reinforcement, Pre-mix Concrete ENVIROCRETE 30% (Boral) (ACT), (Canberra) ENVIROCRETE 30% 40 MPa</t>
  </si>
  <si>
    <t>Concrete, 40 MPa, in-situ, no reinforcement, Pre-mix Concrete POST TENSIONED (Boral) (ACT), (Canberra) POST TENSIONED 40MPa 22@3</t>
  </si>
  <si>
    <t>Concrete, 40 MPa, in-situ, no reinforcement, Pre-mix Concrete ENVIROCRETE 40% (Boral) (ACT), (Canberra) ENVIROCRETE 40% 40 MPa</t>
  </si>
  <si>
    <t>Concrete, 40 MPa, in-situ, no reinforcement, Pre-mix Concrete ENVIROCRETE PLUS (Boral) (ACT), (Canberra) ENVIROCRETE PLUS 40MPa</t>
  </si>
  <si>
    <t>Concrete, 40 MPa, in-situ, no reinforcement, Pre-mix Concrete POST TENSIONED (Boral) (ACT), (Canberra) POST TENSIONED 40MPa 22@4</t>
  </si>
  <si>
    <t>Concrete, 40 MPa, in-situ, no reinforcement, Pre-mix Concrete POST TENSIONED (Boral) (ACT), (Canberra) POST TENSIONED 40MPa 22@5</t>
  </si>
  <si>
    <t>Concrete, 40 MPa, in-situ, no reinforcement, Pre-mix Concrete ENVISIA (Boral) (ACT), (Canberra) ENVISIA 40MPa</t>
  </si>
  <si>
    <t>Concrete, 40 MPa, in-situ, no reinforcement, Pre-mix Concrete TREMIE (Boral) (ACT), (Canberra) TREMIE 40MPa</t>
  </si>
  <si>
    <t>Concrete, 40 MPa, in-situ, no reinforcement, Pre-mix Concrete SHOTCRETE (Boral) (ACT), (Canberra) SHOTCRETE 40MPa 10MM</t>
  </si>
  <si>
    <t>Concrete, 40 MPa, in-situ, no reinforcement, Pre-mix Concrete TfNSW B80 (Boral) (ACT), (Canberra) TfNSW B80 40MPa 20MM PUMP B1 EXPOSURE</t>
  </si>
  <si>
    <t>Concrete, 40 MPa, in-situ, no reinforcement, Pre-mix Concrete TfNSW B80 (Boral) (ACT), (Canberra) TfNSW B80 40MPa 20MM PUMP B2 EXPOSURE</t>
  </si>
  <si>
    <t>Concrete, 40 MPa, in-situ, no reinforcement, Pre-mix Concrete TfNSW B80 (Boral) (ACT), (Canberra) TfNSW B80 40MPa 20MM TREMIE B2 EXPOSURE</t>
  </si>
  <si>
    <t>Concrete, 35 MPa, in-situ, no reinforcement, Pre-mix Concrete TfNSW R83 (Boral) (ACT), (Canberra) TfNSW R83 35MPa 20MM HAND/MACHINE PLACED</t>
  </si>
  <si>
    <t>Concrete, 40 MPa, in-situ, no reinforcement, Pre-mix Concrete Normal Class GP blend (Boral) (NSW), (Newcastle) Normal Class GP blend 40MPa</t>
  </si>
  <si>
    <t>Concrete, 40 MPa, in-situ, no reinforcement, Pre-mix Concrete Normal Class GP/FA blend (Boral) (NSW), (Newcastle) Normal Class GP/FA blend 40 MPa</t>
  </si>
  <si>
    <t>Concrete, 40 MPa, in-situ, no reinforcement, Pre-mix Concrete ENVIROCRETE 30% (Boral) (NSW), (Newcastle) ENVIROCRETE 30% 40 MPa</t>
  </si>
  <si>
    <t>Concrete, 40 MPa, in-situ, no reinforcement, Pre-mix Concrete ENVIROCRETE 40% (Boral) (NSW), (Newcastle) ENVIROCRETE 40% 40 MPa</t>
  </si>
  <si>
    <t>Concrete, 40 MPa, in-situ, no reinforcement, Pre-mix Concrete ENVIROCRETE PLUS (Boral) (NSW), (Newcastle) ENVIROCRETE PLUS 40MPa</t>
  </si>
  <si>
    <t>Concrete, 40 MPa, in-situ, no reinforcement, Pre-mix Concrete ENVISIA (Boral) (NSW), (Newcastle) ENVISIA 40MPa</t>
  </si>
  <si>
    <t>Concrete, 40 MPa, in-situ, no reinforcement, Pre-mix Concrete POST TENSIONED (Boral) (NSW), (Newcastle) POST TENSIONED 40MPa 22@3</t>
  </si>
  <si>
    <t>Concrete, 40 MPa, in-situ, no reinforcement, Pre-mix Concrete POST TENSIONED (Boral) (NSW), (Newcastle) POST TENSIONED 40MPa 22@4</t>
  </si>
  <si>
    <t>Concrete, 40 MPa, in-situ, no reinforcement, Pre-mix Concrete POST TENSIONED (Boral) (NSW), (Newcastle) POST TENSIONED 40MPa 22@5</t>
  </si>
  <si>
    <t>Concrete, 40 MPa, in-situ, no reinforcement, Pre-mix Concrete TREMIE (Boral) (NSW), (Newcastle) TREMIE 40MPa</t>
  </si>
  <si>
    <t>Concrete, 40 MPa, in-situ, no reinforcement, Pre-mix Concrete SHOTCRETE (Boral) (NSW), (Newcastle) SHOTCRETE 40MPa 10MM</t>
  </si>
  <si>
    <t>Concrete, 40 MPa, in-situ, no reinforcement, Pre-mix Concrete Normal Class GP/GGBFS blend (Boral) (NSW), (Newcastle) Normal Class GP/GGBFS blend 40 MPa</t>
  </si>
  <si>
    <t>Concrete, 40 MPa, in-situ, no reinforcement, Pre-mix Concrete TfNSW B80 (Boral) (NSW), (Newcastle) TfNSW B80 40MPa 20MM PUMP B1 EXPOSURE</t>
  </si>
  <si>
    <t>Concrete, 40 MPa, in-situ, no reinforcement, Pre-mix Concrete TfNSW B80 (Boral) (NSW), (Newcastle) TfNSW B80 40MPa 20MM PUMP B2 EXPOSURE</t>
  </si>
  <si>
    <t>Concrete, 40 MPa, in-situ, no reinforcement, Pre-mix Concrete TfNSW B80 (Boral) (NSW), (Newcastle) TfNSW B80 40MPa 20MM TREMIE B2 EXPOSURE</t>
  </si>
  <si>
    <t>Concrete, 40 MPa, in-situ, no reinforcement, Pre-mix Concrete Normal Class GP blend (Boral) (NSW), (Sydney) Normal Class GP blend 40MPa</t>
  </si>
  <si>
    <t>Concrete, 40 MPa, in-situ, no reinforcement, Pre-mix Concrete Normal Class GP/FA blend (Boral) (NSW), (Sydney) Normal Class GP/FA blend 40 MPa</t>
  </si>
  <si>
    <t>Concrete, 40 MPa, in-situ, no reinforcement, Pre-mix Concrete Normal Class GP/GGBFS blend (Boral) (NSW), (Sydney) Normal Class GP/GGBFS blend 40 MPa</t>
  </si>
  <si>
    <t>Concrete, 40 MPa, in-situ, no reinforcement, Pre-mix Concrete Normal Class GP/GGBFS /FA blend (Boral) (NSW), (Sydney) Normal Class GP/GGBFS /FA blend 40 MPa</t>
  </si>
  <si>
    <t>Concrete, 40 MPa, in-situ, no reinforcement, Pre-mix Concrete ENVIROCRETE 30% (Boral) (NSW), (Sydney) ENVIROCRETE 30% 40 MPa</t>
  </si>
  <si>
    <t>Concrete, 40 MPa, in-situ, no reinforcement, Pre-mix Concrete ENVIROCRETE 40% (Boral) (NSW), (Sydney) ENVIROCRETE 40% 40 MPa</t>
  </si>
  <si>
    <t>Concrete, 40 MPa, in-situ, no reinforcement, Pre-mix Concrete ENVIROCRETE PLUS (Boral) (NSW), (Sydney) ENVIROCRETE PLUS 40MPa</t>
  </si>
  <si>
    <t>Concrete, 40 MPa, in-situ, no reinforcement, Pre-mix Concrete TREMIE (Boral) (NSW), (Sydney) TREMIE 40MPa</t>
  </si>
  <si>
    <t>Concrete, 40 MPa, in-situ, no reinforcement, Pre-mix Concrete ENVISIA (Boral) (NSW), (Sydney) ENVISIA 40MPa</t>
  </si>
  <si>
    <t>Concrete, 40 MPa, in-situ, no reinforcement, Pre-mix Concrete SHOTCRETE (Boral) (NSW), (Sydney) SHOTCRETE 40MPa 10MM</t>
  </si>
  <si>
    <t>Concrete, 40 MPa, in-situ, no reinforcement, Pre-mix Concrete POST TENSIONED (Boral) (NSW), (Sydney) POST TENSIONED 40MPa 22@3</t>
  </si>
  <si>
    <t>Concrete, 40 MPa, in-situ, no reinforcement, Pre-mix Concrete POST TENSIONED (Boral) (NSW), (Sydney) POST TENSIONED 40MPa 22@4</t>
  </si>
  <si>
    <t>Concrete, 40 MPa, in-situ, no reinforcement, Pre-mix Concrete POST TENSIONED (Boral) (NSW), (Sydney) POST TENSIONED 40MPa 22@5</t>
  </si>
  <si>
    <t>Concrete, 40 MPa, in-situ, no reinforcement, Pre-mix Concrete TfNSW B80 (Boral) (NSW), (Sydney) TfNSW B80 40MPa 20MM TREMIE B2 EXPOSURE</t>
  </si>
  <si>
    <t>Concrete, 35 MPa, in-situ, no reinforcement, Pre-mix Concrete TfNSW R83 (Boral) (NSW), (Sydney) TfNSW R83 35MPa 20MM HAND/MACHINE PLACED</t>
  </si>
  <si>
    <t>Concrete, 40 MPa, in-situ, no reinforcement, Pre-mix Concrete TfNSW B80 (Boral) (NSW), (Sydney) TfNSW B80 40MPa 20MM PUMP B1 EXPOSURE</t>
  </si>
  <si>
    <t>Concrete, 40 MPa, in-situ, no reinforcement, Pre-mix Concrete TfNSW B80 (Boral) (NSW), (Sydney) TfNSW B80 40MPa 20MM PUMP B2 EXPOSURE</t>
  </si>
  <si>
    <t>Concrete, 40 MPa, in-situ, no reinforcement, Pre-mix Concrete Normal Class GP blend (Boral) (NSW), (Wollongong) Normal Class GP blend 40MPa</t>
  </si>
  <si>
    <t>Concrete, 40 MPa, in-situ, no reinforcement, Pre-mix Concrete Normal Class GP/FA blend (Boral) (NSW), (Wollongong) Normal Class GP/FA blend 40 MPa</t>
  </si>
  <si>
    <t>Concrete, 40 MPa, in-situ, no reinforcement, Pre-mix Concrete Normal Class GP/GGBFS blend (Boral) (NSW), (Wollongong) Normal Class GP/GGBFS blend 40 MPa</t>
  </si>
  <si>
    <t>Concrete, 40 MPa, in-situ, no reinforcement, Pre-mix Concrete TfNSW B80 (Boral) (NSW), (Wollongong) TfNSW B80 40MPa 20MM PUMP B1 EXPOSURE</t>
  </si>
  <si>
    <t>Concrete, 40 MPa, in-situ, no reinforcement, Pre-mix Concrete Normal Class GP/GGBFS /FA blend (Boral) (NSW), (Wollongong) Normal Class GP/GGBFS /FA blend 40 MPa</t>
  </si>
  <si>
    <t>Concrete, 40 MPa, in-situ, no reinforcement, Pre-mix Concrete TfNSW B80 (Boral) (NSW), (Wollongong) TfNSW B80 40MPa 20MM PUMP B2 EXPOSURE</t>
  </si>
  <si>
    <t>Concrete, 40 MPa, in-situ, no reinforcement, Pre-mix Concrete TfNSW B80 (Boral) (NSW), (Wollongong) TfNSW B80 40MPa 20MM TREMIE B2 EXPOSURE</t>
  </si>
  <si>
    <t>Concrete, 35 MPa, in-situ, no reinforcement, Pre-mix Concrete TfNSW R83 (Boral) (NSW), (Wollongong) TfNSW R83 35MPa 20MM HAND/MACHINE PLACED</t>
  </si>
  <si>
    <t>Concrete, 40 MPa, in-situ, no reinforcement, Pre-mix Concrete ENVIROCRETE 30% (Boral) (NSW), (Wollongong) ENVIROCRETE 30% 40 MPa</t>
  </si>
  <si>
    <t>Concrete, 40 MPa, in-situ, no reinforcement, Pre-mix Concrete ENVIROCRETE 40% (Boral) (NSW), (Wollongong) ENVIROCRETE 40% 40 MPa</t>
  </si>
  <si>
    <t>Concrete, 40 MPa, in-situ, no reinforcement, Pre-mix Concrete ENVIROCRETE PLUS (Boral) (NSW), (Wollongong) ENVIROCRETE PLUS 40MPa</t>
  </si>
  <si>
    <t>Concrete, 40 MPa, in-situ, no reinforcement, Pre-mix Concrete ENVISIA (Boral) (NSW), (Wollongong) ENVISIA 40MPa</t>
  </si>
  <si>
    <t>Concrete, 40 MPa, in-situ, no reinforcement, Pre-mix Concrete POST TENSIONED (Boral) (NSW), (Wollongong) POST TENSIONED 40MPa 22@3</t>
  </si>
  <si>
    <t>Concrete, 40 MPa, in-situ, no reinforcement, Pre-mix Concrete POST TENSIONED (Boral) (NSW), (Wollongong) POST TENSIONED 40MPa 22@4</t>
  </si>
  <si>
    <t>Concrete, 40 MPa, in-situ, no reinforcement, Pre-mix Concrete POST TENSIONED (Boral) (NSW), (Wollongong) POST TENSIONED 40MPa 22@5</t>
  </si>
  <si>
    <t>Concrete, 40 MPa, in-situ, no reinforcement, Pre-mix Concrete TREMIE (Boral) (NSW), (Wollongong) TREMIE 40MPa</t>
  </si>
  <si>
    <t>Concrete, 40 MPa, in-situ, no reinforcement, Pre-mix Concrete SHOTCRETE (Boral) (NSW), (Wollongong) SHOTCRETE 40MPa 10MM</t>
  </si>
  <si>
    <t>Concrete, 40 MPa, in-situ, no reinforcement, Pre-mix Concrete Normal Class GP blend (Boral) (TAS), (Hobart) Normal Class GP blend 40MPa</t>
  </si>
  <si>
    <t>Concrete, 40 MPa, in-situ, no reinforcement, Pre-mix Concrete ENVISIA (Boral) (TAS), (Hobart) ENVISIA 40 MPa</t>
  </si>
  <si>
    <t>Concrete, 40 MPa, in-situ, no reinforcement, Pre-mix Concrete Normal Class GP blend (Boral) (TAS), (Launceston) Normal Class GP blend 40MPa</t>
  </si>
  <si>
    <t>Concrete, 40 MPa, in-situ, no reinforcement, Pre-mix Concrete ENVISIA (Boral) (TAS), (Launceston) ENVISIA 40 MPa</t>
  </si>
  <si>
    <t>Concrete, 40 MPa, in-situ, no reinforcement, GP, Normal Class (WA Premix) (WA), (Perth)</t>
  </si>
  <si>
    <t>Concrete, 40 MPa, in-situ, no reinforcement, Blend, Normal Class (WA Premix) (WA), (Perth)</t>
  </si>
  <si>
    <t>Concrete, 40 MPa, in-situ, no reinforcement, AH6395, Special Class (WA Premix) (WA), (Perth)</t>
  </si>
  <si>
    <t>Concrete, 40 MPa, in-situ, no reinforcement, AH6415, Special Class (WA Premix) (WA), (Perth)</t>
  </si>
  <si>
    <t>Concrete, 40 MPa, in-situ, no reinforcement, AH6416, Special Class (WA Premix) (WA), (Perth)</t>
  </si>
  <si>
    <t>Concrete, 40 MPa, in-situ, no reinforcement, BH6395, Special Class (WA Premix) (WA), (Perth)</t>
  </si>
  <si>
    <t>Concrete, 40 MPa, in-situ, no reinforcement, CH1420, Special Class (WA Premix) (WA), (Perth)</t>
  </si>
  <si>
    <t>Concrete, 40 MPa, in-situ, no reinforcement, CH6422, Special Class (WA Premix) (WA), (Perth)</t>
  </si>
  <si>
    <t>Concrete, 40 MPa, in-situ, no reinforcement, BP6418, Special Class (WA Premix) (WA), (Perth)</t>
  </si>
  <si>
    <t>Concrete, 40 MPa, in-situ, no reinforcement, BP8418, Special Class (WA Premix) (WA), (Perth)</t>
  </si>
  <si>
    <t>Concrete, 40 MPa, in-situ, no reinforcement, AH1395, Special Class (WA Premix) (WA), (Perth)</t>
  </si>
  <si>
    <t>Concrete, 40 MPa, in-situ, no reinforcement, AH1404, Special Class (WA Premix) (WA), (Perth)</t>
  </si>
  <si>
    <t>Concrete, 40 MPa, in-situ, no reinforcement, BH1395, Special Class (WA Premix) (WA), (Perth)</t>
  </si>
  <si>
    <t>Concrete, 40 MPa, in-situ, no reinforcement, BKA410, Special Class (WA Premix) (WA), (Perth)</t>
  </si>
  <si>
    <t>Concrete, 40 MPa, in-situ, no reinforcement, CK9439, Special Class (WA Premix) (WA), (Perth)</t>
  </si>
  <si>
    <t>Concrete, 40 MPa, in-situ, no reinforcement, CC1421, Special Class (WA Premix) (WA), (Perth)</t>
  </si>
  <si>
    <t>Concrete, 40 MPa, in-situ, no reinforcement, Ready-Mix Concrete (LC)50 (Concrite) (NSW) (Sydney Region, NSW)</t>
  </si>
  <si>
    <t>Concrete, 40 MPa, in-situ, no reinforcement, Ready-Mix Concrete (LC)40 (Concrite) (NSW) (Sydney Region, NSW)</t>
  </si>
  <si>
    <t>Concrete, 40 MPa, in-situ, no reinforcement, Ready-Mix Concrete (LC)30 (Concrite) (NSW) (Sydney Region, NSW)</t>
  </si>
  <si>
    <t>Concrete, 40 MPa, in-situ, no reinforcement, Ready-Mix Concrete (LCHP) (Concrite) (NSW) (Sydney Region, NSW)</t>
  </si>
  <si>
    <t>Concrete, 40 MPa, in-situ, no reinforcement, Ready-Mix Concrete (LCP) (Concrite) (NSW) (Sydney Region, NSW)</t>
  </si>
  <si>
    <t>Concrete, 40 MPa, in-situ, no reinforcement, Ready-Mix Concrete Normal class GP blend (Concrite) (NSW) (Sydney Region, NSW)</t>
  </si>
  <si>
    <t>Concrete, 40 MPa, in-situ, no reinforcement, Ready-Mix Concrete POST TENSIONED (Concrite) (NSW) (Sydney Region, NSW)</t>
  </si>
  <si>
    <t>Concrete, 40 MPa, in-situ, no reinforcement, Ready-Mix Concrete TREMIE 40MPa (Concrite) (NSW) (Sydney Region, NSW)</t>
  </si>
  <si>
    <t>Concrete, 40 MPa, in-situ, no reinforcement, Ready-Mix Concrete TfNSW B80 20MM PUMP B1 EXPOSURE (Concrite) (NSW) (Sydney Region, NSW)</t>
  </si>
  <si>
    <t>Concrete, 40 MPa, in-situ, no reinforcement, Ready-Mix Concrete TfNSW B80 20MM PUMP B2 EXPOSURE (Concrite) (NSW) (Sydney Region, NSW)</t>
  </si>
  <si>
    <t>Concrete, 40 MPa, in-situ, no reinforcement, Ready-Mix Concrete SLAG AGG CONCRETE MIX, (LC)50 (Concrite) (NSW) (Sydney Region, NSW)</t>
  </si>
  <si>
    <t>Concrete, 40 MPa, in-situ, no reinforcement, Ready-Mix Concrete SLAG AGG CONCRETE MIX, (LC)40 (Concrite) (NSW) (Sydney Region, NSW)</t>
  </si>
  <si>
    <t>Concrete, 40 MPa, in-situ, no reinforcement, Ready-Mix Concrete SLAG AGG CONCRETE MIX, (LC)30 (Concrite) (NSW) (Sydney Region, NSW)</t>
  </si>
  <si>
    <t>Concrete, 40 MPa, in-situ, no reinforcement, Ready-Mix Concrete (LC)30 40MPa (Concrite) (NSW) (Southern Highlands, NSW)</t>
  </si>
  <si>
    <t>Concrete, 40 MPa, in-situ, no reinforcement, Ready-Mix Concrete NORMAL CLASS GP BLEND (Concrite) (NSW) (Southern Highlands, NSW)</t>
  </si>
  <si>
    <t>Concrete, 40 MPa, in-situ, no reinforcement, Ready-Mix Concrete POST TENSIONED 40MPa 22@4 (Concrite) (NSW) (Southern Highlands, NSW)</t>
  </si>
  <si>
    <t>Concrete, 40 MPa, in-situ, no reinforcement, Ready-Mix Concrete LC30 40MPa (Concrite) (ACT) (Canberra, ACT)</t>
  </si>
  <si>
    <t>Concrete, 40 MPa, in-situ, no reinforcement, Ready-Mix Concrete NORMAL CLASS GP BLEND (Concrite) (ACT) (Canberra, ACT)</t>
  </si>
  <si>
    <t>Concrete, 40 MPa, in-situ, no reinforcement, Ready-Mix Concrete POST TENSIONED 40MPa 22@5 (Concrite) (ACT) (Canberra, ACT)</t>
  </si>
  <si>
    <t>Concrete, 40 MPa, in-situ, no reinforcement, Ready-Mix Concrete SHOTCRETE 40MPa 10MM (Concrite) (ACT) (Canberra, ACT)</t>
  </si>
  <si>
    <t>Concrete, 40 MPa, in-situ, no reinforcement, Ready-Mix Concrete TFNSW B80 20MM PUMP B1 EXPOSURE (Concrite) (ACT) (Canberra, ACT)</t>
  </si>
  <si>
    <t>Concrete, 40 MPa, in-situ, no reinforcement, Ready-Mix Concrete TFNSW B80 20MM TREMIE B2 EXPOSURE (Concrite) (ACT) (Canberra, ACT)</t>
  </si>
  <si>
    <t>Concrete, 40 MPa, in-situ, no reinforcement, (Futurecrete® S40MPA JUMP/ SLIP/COLUMNS 10MM SP) (Adbri) (NSW)</t>
  </si>
  <si>
    <t>Concrete, 40 MPa, in-situ, no reinforcement, (Futurecrete®  Ultra
N Class Ternary
40 MPa) (Adbri) (NSW)</t>
  </si>
  <si>
    <t>Concrete, 40 MPa, in-situ, no reinforcement, (Futurecrete®  Ultra S40 10MM RMS B80 B2 HWC) (Adbri) (NSW)</t>
  </si>
  <si>
    <t>Concrete, 40 MPa, in-situ, no reinforcement, (Futurecrete®
Ultra S40MPA
BLOCKFILL 10MM
230MM SLUMP SP) (Adbri) (NSW)</t>
  </si>
  <si>
    <t>Concrete, 40 MPa, in-situ, no reinforcement, (Futurecrete®
Ultra S40MPA
BLOCKFILL 10MM) (Adbri) (NSW)</t>
  </si>
  <si>
    <t>Concrete, 40 MPa, in-situ, no reinforcement, (Futurecrete®  Ultra S40MPA PILE/ TREMIE 10MM SP) (Adbri) (NSW)</t>
  </si>
  <si>
    <t>Concrete, 40 MPa, in-situ, no reinforcement, (Futurecrete®  Ultra S40MPA 10MM RITEK SYSTEM) (Adbri) (NSW)</t>
  </si>
  <si>
    <t>Concrete, 40 MPa, in-situ, no reinforcement, (Futurecrete®
Ultra S40MPA
10MM AFS WALL SYSTEM) (Adbri) (NSW)</t>
  </si>
  <si>
    <t>Concrete, 40 MPa, in-situ, no reinforcement, (Futurecrete®  S Class
GP/GL 40 MPa) (Adbri) (SA)</t>
  </si>
  <si>
    <t>Concrete, 40 MPa, in-situ, no reinforcement, (Adbri N Class
GP/GL 40 MPa) (Adbri) (SA)</t>
  </si>
  <si>
    <t>Concrete, 35 MPa, in-situ, no reinforcement, (Futurecrete® S35MPA S CLASS 20MM R83 HAND PLACE) (Adbri) (NSW)</t>
  </si>
  <si>
    <t>Concrete, 40 MPa, in-situ, no reinforcement, (R4020B)(GB) (BCG) (WA), (Perth)</t>
  </si>
  <si>
    <t>Concrete, 40 MPa, in-situ, no reinforcement, (Futurecrete®  Special
GP/GL:Slag 40 MPa
4D 85/60) (Adbri) (SA)</t>
  </si>
  <si>
    <t>Concrete, 40 MPa, in-situ, no reinforcement, (QE407LSPR) (Ecopact) (Holcim) (QLD), Gold Coast</t>
  </si>
  <si>
    <t>296</t>
  </si>
  <si>
    <t>0.67</t>
  </si>
  <si>
    <t>Concrete, 40 MPa, in-situ, no reinforcement, (R4020A)(GP) (BCG) (WA), (Perth)</t>
  </si>
  <si>
    <t>Concrete, 40 MPa, in-situ, no reinforcement, (WE404EQ01)(Ecopact) (Holcim) (WA), (Perth Metro)</t>
  </si>
  <si>
    <t>226</t>
  </si>
  <si>
    <t>225</t>
  </si>
  <si>
    <t>0.73</t>
  </si>
  <si>
    <t>Concrete, 40 MPa, in-situ, no reinforcement, (TR4010E1)(LH) (BCG) (WA), (Perth)</t>
  </si>
  <si>
    <t>Concrete, 40 MPa, in-situ, no reinforcement, (Adbri Concrete N Class GP:GL 40 MPa- Winnellie) (Adbri) (NT)</t>
  </si>
  <si>
    <t>Concrete, 40 MPa, in-situ, no reinforcement, (VE402EF2) (Ecopact) (Holcim) (VIC)</t>
  </si>
  <si>
    <t>286</t>
  </si>
  <si>
    <t>0.46</t>
  </si>
  <si>
    <t>Concrete, 40 MPa, in-situ, no reinforcement, (QE402EBF1) (Ecopact) (Holcim) (QLD) (Brisbane)</t>
  </si>
  <si>
    <t>334</t>
  </si>
  <si>
    <t>333</t>
  </si>
  <si>
    <t>Concrete, 40 MPa, in-situ, no reinforcement, (SE401EAV6) (Ecopact) (Holcim) (SA) (Adelaide)</t>
  </si>
  <si>
    <t>Concrete, 40 MPa, in-situ, no reinforcement, (CS4020A9)(GP) (BCG) (WA), (Perth)</t>
  </si>
  <si>
    <t>Concrete, 40 MPa, in-situ, no reinforcement, (VE401EAP) (Ecopact) (Holcim) (VIC)</t>
  </si>
  <si>
    <t>Concrete, 40 MPa, in-situ, no reinforcement, (40MPa 7MM BLOCKMIX) (Adbri) (QLD)</t>
  </si>
  <si>
    <t>Concrete, 40 MPa, in-situ, no reinforcement, (CS4020BGS)(B) (BCG) (WA), (Perth)</t>
  </si>
  <si>
    <t>Concrete, 40 MPa, in-situ, no reinforcement, (SE401E3) (Ecopact) (Holcim) (SA) (Adelaide)</t>
  </si>
  <si>
    <t>Concrete, 40 MPa, in-situ, no reinforcement, (SE402E3) (Ecopact) (Holcim) (SA) (Adelaide)</t>
  </si>
  <si>
    <t>Concrete, 40 MPa, in-situ, no reinforcement, (QE402EBR2) (Ecopact) (Holcim) (QLD) (Brisbane)</t>
  </si>
  <si>
    <t>304</t>
  </si>
  <si>
    <t>303</t>
  </si>
  <si>
    <t>Concrete, 40 MPa, in-situ, no reinforcement, (QE402EBR1) (Ecopact) (Holcim) (QLD) (Brisbane)</t>
  </si>
  <si>
    <t>Concrete, 40 MPa, in-situ, no reinforcement, (QE402EXT1) (Ecopact) (Holcim) (QLD) (Brisbane)</t>
  </si>
  <si>
    <t>Concrete, 40 MPa, in-situ, no reinforcement, (QE402LPN2) (Ecopact) (Holcim) (QLD) (Brisbane)</t>
  </si>
  <si>
    <t>290</t>
  </si>
  <si>
    <t>Concrete, 40 MPa, in-situ, no reinforcement, (VE402EVR2) (Ecopact) (Holcim) (VIC)</t>
  </si>
  <si>
    <t>247</t>
  </si>
  <si>
    <t>Concrete, 40 MPa, in-situ, no reinforcement, (Futurecrete®  N Class
GP/GL:Slag 40 MPa) (Adbri) (VIC)</t>
  </si>
  <si>
    <t>Concrete, 40 MPa, in-situ, no reinforcement, (QE401E100)(Ecopact) (Holcim) (QLD) (Sunshine Coast)</t>
  </si>
  <si>
    <t>Concrete, 40 MPa, in-situ, no reinforcement, (QE402E)(Ecopact) (Holcim) (QLD) (Sunshine Coast)</t>
  </si>
  <si>
    <t>215</t>
  </si>
  <si>
    <t>Concrete, 40 MPa, in-situ, no reinforcement, (Futurecrete®  Ultra
N Class GP/GL:Slag
40 MPa) (Adbri) (VIC)</t>
  </si>
  <si>
    <t>Concrete, 40 MPa, in-situ, no reinforcement, (NE401E5)(Ecopact) (Holcim) (NSW), (Sydney)</t>
  </si>
  <si>
    <t>Concrete (in-situ), , ENVISIA concrete in-situ Melb metro - 40 MPa (Boral) (Australia)</t>
  </si>
  <si>
    <t>Concrete (in-situ), , Envirocrete plus concrete in-situ Melb metro - 40 MPa (Boral) (Australia)</t>
  </si>
  <si>
    <t>Concrete (in-situ), , Envirocrete concrete in-situ Melb metro - 40 MPa (Boral) (Australia)</t>
  </si>
  <si>
    <t>Concrete (in-situ), , Envirocrete 40% concrete in-situ Melb metro - 40 MPa (Boral) (Australia)</t>
  </si>
  <si>
    <t>Concrete (in-situ), , Envirocrete 30% concrete in-situ Melb metro - 40 MPa (Boral) (Australia)</t>
  </si>
  <si>
    <t>Concrete (in-situ), , Normal GP blend concrete in-situ Melb metro - 40 MPa (Boral) (Australia)</t>
  </si>
  <si>
    <t>Concrete (in-situ), , Normal GP /FA blend blend concrete in-situ Melb metro - 40 MPa (Boral) (Australia)</t>
  </si>
  <si>
    <t>Concrete (in-situ), , Normal GP /GGBFS blend blend concrete in-situ Melb metro - 40 MPa (Boral) (Australia)</t>
  </si>
  <si>
    <t>Concrete (in-situ), , ENVISIA concrete in-situ Perth metro - 40 MPa (Boral) (Australia)</t>
  </si>
  <si>
    <t>Concrete (in-situ), , Envirocrete plus concrete in-situ Perth metro - 40 MPa (Boral) (Australia)</t>
  </si>
  <si>
    <t>Concrete (in-situ), , Envirocrete concrete in-situ Perth metro - 40 MPa (Boral) (Australia)</t>
  </si>
  <si>
    <t>Concrete (in-situ), , Envirocrete 30% concrete in-situ Perth metro - 40 MPa (Boral) (Australia)</t>
  </si>
  <si>
    <t>Concrete (in-situ), , Normal GP blend concrete in-situ Perth metro - 40 MPa (Boral) (Australia)</t>
  </si>
  <si>
    <t>Concrete (in-situ), , Normal GP /GGBFS blend blend concrete in-situ Perth metro - 40 MPa (Boral) (Australia)</t>
  </si>
  <si>
    <t>Concrete (in-situ), , ENVISIA concrete in-situ QLD metro - 40 MPa (Boral) (Australia)</t>
  </si>
  <si>
    <t>Concrete (in-situ), , Envirocrete plus concrete in-situ QLD metro - 40 MPa (Boral) (Australia)</t>
  </si>
  <si>
    <t>Concrete (in-situ), , Envirocrete 40% concrete in-situ QLD metro - 40 MPa (Boral) (Australia)</t>
  </si>
  <si>
    <t>Concrete (in-situ), , Envirocrete 30% concrete in-situ QLD metro - 40 MPa (Boral) (Australia)</t>
  </si>
  <si>
    <t>Concrete (in-situ), , Normal GP blend concrete in-situ QLD metro - 40 MPa (Boral) (Australia)</t>
  </si>
  <si>
    <t>40 MPa, , Normal Class 40MPa - straight cement (Gunlake) (Australia)</t>
  </si>
  <si>
    <t>40 MPa, , Normal Class 40MPa (NC4028PCI) - cement and fly-ash (Gunlake) (Australia)</t>
  </si>
  <si>
    <t>40 MPa, , Normal Class 40MPa (NC4028PCI) - cement, slag and fly-ash (Gunlake) (Australia)</t>
  </si>
  <si>
    <t>40 MPa, , Special Class 40MPa (ES4022@3AB) - post tensioned mix with cement and fly-ash (Gunlake) (Australia)</t>
  </si>
  <si>
    <t>40 MPa, , Special Class 40MPa(ES4022@4) - post tensioned mix with cement and fly-ash (Gunlake) (Australia)</t>
  </si>
  <si>
    <t>40 MPa, , Special Class 40MPa (ES4022@5) - post tensioned mix with cement and fly-ash (Gunlake) (Australia)</t>
  </si>
  <si>
    <t>40 MPa, , Special Class 40MPa (GD402AP2) - green star mix with cement, high slag and fly-ash (Gunlake) (Australia)</t>
  </si>
  <si>
    <t>40 MPa, , Post Tension 40 MPa • 44% Indicative Cement Replacement - Fly Ash/GGBFS (Hymix) (Australia)</t>
  </si>
  <si>
    <t>40 MPa, , Long Line 40 MPa 25% Indicative Cement Replacement, Fly Ash (Hymix) (Australia)</t>
  </si>
  <si>
    <t>40 MPa, , Column &amp; Wall 40 MPa 25% Indicative Cement Replacement - Fly Ash (Hymix) (Australia)</t>
  </si>
  <si>
    <t>40 MPa, , Mix A: Precast 40 MPa - 25% Indicative Cement Replacement - Fly Ash (Hymix) (Australia)</t>
  </si>
  <si>
    <t>S-P-05485</t>
  </si>
  <si>
    <t>epd-australasia.com/wp-content/uploads/2022/06/SP05485_Hymix_Western-Precast_Jun22.pdf</t>
  </si>
  <si>
    <t>40 MPa, , Post Tension 40 MPa 26% Indicative Cement Replacement — GGBFS (Hymix) (Australia)</t>
  </si>
  <si>
    <t>40 MPa, , Level 2 Podium 40 MPa 27% Indicative Cement Replacement - Fly Ash (Hymix) (Australia)</t>
  </si>
  <si>
    <t>40 MPa, , Basement Slabs (RC) 40 MPa 25% Indicative Cement Replacement - Fly Ash/GGBFS Blend (Hymix) (Australia)</t>
  </si>
  <si>
    <t>40 MPa, , Stairs 40 MPa 25% Indicative Cement Replacement - Fly Ash/GGBFS Blend (Hymix) (Australia)</t>
  </si>
  <si>
    <t>40 MPa, , Tower Columns &amp; Wall 40 MPa 25% Indicative Cement Replacement — GGBFS (Hymix) (Australia)</t>
  </si>
  <si>
    <t>40 MPa, , Tower Columns &amp; Wall 40 MPa 50% Indicative Cement Replacement — GGBFS (Hymix) (Australia)</t>
  </si>
  <si>
    <t>40 MPa, , Stairs 40 MPa 50% Indicative Cement Replacement - Fly Ash/GGBFS Blend (Hymix) (Australia)</t>
  </si>
  <si>
    <t>40 MPa, , Basement Slabs (RC) 40 MPa 50% Indicative Cement Replacement - Fly Ash/GGBFS Blend (Hymix) (Australia)</t>
  </si>
  <si>
    <t>40 MPa, , ENVISIA 40 MPa (Boral) (Australia)</t>
  </si>
  <si>
    <t>40 MPa, , ENVIROCRETE PLUS 40 MPa (Boral) (Australia)</t>
  </si>
  <si>
    <t>40 MPa, , ENVIROCRETE 40% 40 MPa (Boral) (Australia)</t>
  </si>
  <si>
    <t>40 MPa, , ENVIROCRETE 30% 40 MPa (Boral) (Australia)</t>
  </si>
  <si>
    <t>40 MPa, , ENVIROCRETE 40 MPa (Boral) (Australia)</t>
  </si>
  <si>
    <t>40 MPa, , NORMAL CLASS GP BLEND 40 MPa (Boral) (Australia)</t>
  </si>
  <si>
    <t>40 MPa, , NORMAL CLASS GP/FA BLEND 40 MPa (Boral) (Australia)</t>
  </si>
  <si>
    <t>40 MPa, , NORMAL CLASS GP/GGBFS BLEND 40 MPa (Boral) (Australia)</t>
  </si>
  <si>
    <t>40 MPa, , VR400 40 MPa GP/FA (Boral) (Australia)</t>
  </si>
  <si>
    <t>40 MPa, , VR400 40 MPa GP/SLAG (Boral) (Australia)</t>
  </si>
  <si>
    <t>40 MPa, , VR400 40 MPa TREMIE GP/SLAG (Boral) (Australia)</t>
  </si>
  <si>
    <t>40 MPa, , VR400 40 MPa TREMIE/CFA GP/SLAG (Boral) (Australia)</t>
  </si>
  <si>
    <t>40 MPa, , VR400 40 MPa SHOTCRETE (Boral) (Australia)</t>
  </si>
  <si>
    <t>40 MPa, , HIGH SLUMP 40 MPa (Boral) (Australia)</t>
  </si>
  <si>
    <t>40 MPa, , TREMIE 40 MPa (Boral) (Australia)</t>
  </si>
  <si>
    <t>40 MPa, , POST TENSIONED 40 MPa 22@3 (Boral) (Australia)</t>
  </si>
  <si>
    <t>40 MPa, , POST TENSIONED 40 MPa 22@4 (Boral) (Australia)</t>
  </si>
  <si>
    <t>40 MPa, , SHOTCRETE 40 MPa (Boral) (Australia)</t>
  </si>
  <si>
    <t>40 MPa, TAS, VR400/40/EXP CL B2 concrete manufactured in our Northern Region (Hazell Bros Concrete Pty Ltd) (Australia)</t>
  </si>
  <si>
    <t>EPD-IES-0014054:001 (S-P-14054)</t>
  </si>
  <si>
    <t>https://epd-australasia.com/?s=0014054:001&amp;post_type=epd</t>
  </si>
  <si>
    <t>40 MPa, TAS, VR400/40/EXP CL B2 concrete  manufactured in our Southern Region (Hazell Bros Concrete Pty Ltd) (Australia)</t>
  </si>
  <si>
    <t>EPD-IES-0014083:001 (S-P-14083)</t>
  </si>
  <si>
    <t>https://epd-australasia.com/?s=0014083:001&amp;post_type=epd</t>
  </si>
  <si>
    <t>40 MPa, TAS, VR400/40/SPRAY concrete  manufactured in our Southern Region (Hazell Bros Concrete Pty Ltd) (Australia)</t>
  </si>
  <si>
    <t>EPD-IES-0014081:001 (S-P-14081)</t>
  </si>
  <si>
    <t>https://epd-australasia.com/?s=0014081:001&amp;post_type=epd</t>
  </si>
  <si>
    <t>40 MPa, TAS, VR400/40/SPRAY concrete manufactured in our Northern Region (Hazell Bros Concrete Pty Ltd) (Australia)</t>
  </si>
  <si>
    <t>EPD-IES-0014055:001 (S-P-14055)</t>
  </si>
  <si>
    <t>https://epd-australasia.com/?s=0014055:001&amp;post_type=epd</t>
  </si>
  <si>
    <t>40 MPa, TAS, S40/10 SHOTCRETE concrete  manufactured in our Northern Region (Hazell Bros Concrete Pty Ltd) (Australia)</t>
  </si>
  <si>
    <t>EPD-IES-0014060:001 (S-P-14060)</t>
  </si>
  <si>
    <t>https://epd-australasia.com/?s=0014060:001&amp;post_type=epd</t>
  </si>
  <si>
    <t>40 MPa, TAS, S40/10 SHOTCRETE concrete  manufactured in our Southern Region (Hazell Bros Concrete Pty Ltd) (Australia)</t>
  </si>
  <si>
    <t>EPD-IES-0014078:001 (S-P-14078)</t>
  </si>
  <si>
    <t>https://epd-australasia.com/?s=0014078:001&amp;post_type=epd</t>
  </si>
  <si>
    <t>40 MPa, NSW, Concrete: AD40PANW, AL40PANW, PE40PANW manufactured at Prestons (Advanced Readymix) (Australia)</t>
  </si>
  <si>
    <t>EPD-IES-0013926:001 (S-P-13926)</t>
  </si>
  <si>
    <t>https://epd-australasia.com/?s=0013926:001&amp;post_type=epd</t>
  </si>
  <si>
    <t>40 MPa, NSW, Concrete: AD40PANW, AL40PANW, PE40PANW manufactured at Seven Hills (Advanced Readymix) (Australia)</t>
  </si>
  <si>
    <t>EPD-IES-0013964:001 (S-P-13964)</t>
  </si>
  <si>
    <t>https://epd-australasia.com/?s=0013964:001&amp;post_type=epd</t>
  </si>
  <si>
    <t>40 MPa, NSW, Concrete: AD40PANW, AL40PANW, PE40PANW manufactured at Smithfield (Advanced Readymix) (Australia)</t>
  </si>
  <si>
    <t>EPD-IES-0014002:001 (S-P-14002)</t>
  </si>
  <si>
    <t>https://epd-australasia.com/?s=0014002:001&amp;post_type=epd</t>
  </si>
  <si>
    <t>40 MPa, NSW, Concrete: S40/10/100 manufactured at Prestons (Advanced Readymix) (Australia)</t>
  </si>
  <si>
    <t>EPD-IES-0013956:001 (S-P-13956)</t>
  </si>
  <si>
    <t>https://epd-australasia.com/?s=0013956:001&amp;post_type=epd</t>
  </si>
  <si>
    <t>40 MPa, NSW, Concrete: S40/10/100 manufactured at Smithfield (Advanced Readymix) (Australia)</t>
  </si>
  <si>
    <t>EPD-IES-0014032:001 (S-P-14032)</t>
  </si>
  <si>
    <t>https://epd-australasia.com/?s=0014032:001&amp;post_type=epd</t>
  </si>
  <si>
    <t>40 MPa, NSW, Concrete: AD40PAN, AL40PAN, PE40PAN manufactured at Prestons (Advanced Readymix) (Australia)</t>
  </si>
  <si>
    <t>EPD-IES-0013925:001 (S-P-13925)</t>
  </si>
  <si>
    <t>https://epd-australasia.com/?s=0013925:001&amp;post_type=epd</t>
  </si>
  <si>
    <t>40 MPa, NSW, Concrete: AD40PAN, AL40PAN, PE40PAN manufactured at Seven Hills (Advanced Readymix) (Australia)</t>
  </si>
  <si>
    <t>EPD-IES-0013963:001 (S-P-13963)</t>
  </si>
  <si>
    <t>https://epd-australasia.com/?s=0013963:001&amp;post_type=epd</t>
  </si>
  <si>
    <t>40 MPa, NSW, Concrete: AD40PAN, AL40PAN, PE40PAN manufactured at Smithfield (Advanced Readymix) (Australia)</t>
  </si>
  <si>
    <t>EPD-IES-0014001:001 (S-P-14001)</t>
  </si>
  <si>
    <t>https://epd-australasia.com/?s=0014001:001&amp;post_type=epd</t>
  </si>
  <si>
    <t>40 MPa, NSW, Concrete: GS40PAN2P manufactured at Prestons (Advanced Readymix) (Australia)</t>
  </si>
  <si>
    <t>EPD-IES-0013935:001 (S-P-13935)</t>
  </si>
  <si>
    <t>https://epd-australasia.com/?s=0013935:001&amp;post_type=epd</t>
  </si>
  <si>
    <t>40 MPa, NSW, Concrete: GS40PAN2P manufactured at Smithfield (Advanced Readymix) (Australia)</t>
  </si>
  <si>
    <t>EPD-IES-0014011:001 (S-P-14011)</t>
  </si>
  <si>
    <t>https://epd-australasia.com/?s=0014011:001&amp;post_type=epd</t>
  </si>
  <si>
    <t>40 MPa, NSW, Concrete: GS40PAN2P manufactured at Seven Hills (Advanced Readymix) (Australia)</t>
  </si>
  <si>
    <t>EPD-IES-0013973:001 (S-P-13973)</t>
  </si>
  <si>
    <t>https://epd-australasia.com/?s=0013973:001&amp;post_type=epd</t>
  </si>
  <si>
    <t>40 MPa, NSW, Concrete: S40/20/80LS manufactured at Prestons (Advanced Readymix) (Australia)</t>
  </si>
  <si>
    <t>EPD-IES-0013957:001 (S-P-13957)</t>
  </si>
  <si>
    <t>https://epd-australasia.com/?s=0013957:001&amp;post_type=epd</t>
  </si>
  <si>
    <t>40 MPa, NSW, Concrete: S40 650BF manufactured at Prestons (Advanced Readymix) (Australia)</t>
  </si>
  <si>
    <t>EPD-IES-0013955:001 (S-P-13955)</t>
  </si>
  <si>
    <t>https://epd-australasia.com/?s=0013955:001&amp;post_type=epd</t>
  </si>
  <si>
    <t>40 MPa, NSW, Concrete: S40 650BF manufactured at Smithfield (Advanced Readymix) (Australia)</t>
  </si>
  <si>
    <t>EPD-IES-0014031:001 (S-P-14031)</t>
  </si>
  <si>
    <t>https://epd-australasia.com/?s=0014031:001&amp;post_type=epd</t>
  </si>
  <si>
    <t>40 MPa, NSW, Concrete: S40/20/80LS manufactured at Smithfield (Advanced Readymix) (Australia)</t>
  </si>
  <si>
    <t>EPD-IES-0014033:001 (S-P-14033)</t>
  </si>
  <si>
    <t>https://epd-australasia.com/?s=0014033:001&amp;post_type=epd</t>
  </si>
  <si>
    <t>40 MPa, NSW, Concrete:  N40/20/100G3 manufactured at Prestons (Advanced Readymix) (Australia)</t>
  </si>
  <si>
    <t>EPD-IES-0016805:001</t>
  </si>
  <si>
    <t>https://epd-australasia.com/?s=0016805:001&amp;post_type=epd</t>
  </si>
  <si>
    <t>40 MPa, NSW, Concrete: NS40/20/100 manufactured at Prestons (Advanced Readymix) (Australia)</t>
  </si>
  <si>
    <t>EPD-IES-0013943:001 (S-P-13943)</t>
  </si>
  <si>
    <t>https://epd-australasia.com/?s=0013943:001&amp;post_type=epd</t>
  </si>
  <si>
    <t>40 MPa, NSW, Concrete: N40/20/100G3 manufactured at Smithfield (Advanced Readymix) (Australia)</t>
  </si>
  <si>
    <t>EPD-IES-0016815:001</t>
  </si>
  <si>
    <t>https://epd-australasia.com/?s=0016815:001&amp;post_type=epd</t>
  </si>
  <si>
    <t>40 MPa, NSW, Concrete: NS40/20/100 manufactured at Smithfield (Advanced Readymix) (Australia)</t>
  </si>
  <si>
    <t>EPD-IES-0014019:001 (S-P-14019)</t>
  </si>
  <si>
    <t>https://epd-australasia.com/?s=0014019:001&amp;post_type=epd</t>
  </si>
  <si>
    <t>40 MPa, NSW, Concrete: NS40/20/80 manufactured at Prestons (Advanced Readymix) (Australia)</t>
  </si>
  <si>
    <t>EPD-IES-0013944:001 (S-P-13944)</t>
  </si>
  <si>
    <t>https://epd-australasia.com/?s=0013944:001&amp;post_type=epd</t>
  </si>
  <si>
    <t>40 MPa, NSW, Concrete: N40/20/80 manufactured at Prestons (Advanced Readymix) (Australia)</t>
  </si>
  <si>
    <t>EPD-IES-0013938:001 (S-P-13938)</t>
  </si>
  <si>
    <t>https://epd-australasia.com/?s=0013938:001&amp;post_type=epd</t>
  </si>
  <si>
    <t>40 MPa, NSW, Concrete: NS40/20/80 manufactured at Smithfield (Advanced Readymix) (Australia)</t>
  </si>
  <si>
    <t>EPD-IES-0014020:001 (S-P-14020)</t>
  </si>
  <si>
    <t>https://epd-australasia.com/?s=0014020:001&amp;post_type=epd</t>
  </si>
  <si>
    <t>40 MPa, NSW, Concrete: N40/20/80 manufactured at Smithfield (Advanced Readymix) (Australia)</t>
  </si>
  <si>
    <t>EPD-IES-0014014:001 (S-P-14014)</t>
  </si>
  <si>
    <t>https://epd-australasia.com/?s=0014014:001&amp;post_type=epd</t>
  </si>
  <si>
    <t>40 MPa, NSW, Pre-mix concrete TR4020 (Western Suburbs Concrete) (Australia)</t>
  </si>
  <si>
    <t>EPD-IES-0013835:001 (S-P-13835)</t>
  </si>
  <si>
    <t>https://epd-australasia.com/?s=0013835:001&amp;post_type=epd</t>
  </si>
  <si>
    <t>40 MPa, NSW, Concrete: S40/20/CLR manufactured at Prestons (Advanced Readymix) (Australia)</t>
  </si>
  <si>
    <t>EPD-IES-0013958:001 (S-P-13958)</t>
  </si>
  <si>
    <t>https://epd-australasia.com/?s=0013958:001&amp;post_type=epd</t>
  </si>
  <si>
    <t>40 MPa, TAS, S40/20 PANEL MIX concrete  manufactured in our Southern Region (Hazell Bros Concrete Pty Ltd) (Australia)</t>
  </si>
  <si>
    <t>EPD-IES-0014092:001 (S-P-14092)</t>
  </si>
  <si>
    <t>https://epd-australasia.com/?s=0014092:001&amp;post_type=epd</t>
  </si>
  <si>
    <t>40 MPa, NSW, Concrete: S40/20/CLR manufactured at Smithfield (Advanced Readymix) (Australia)</t>
  </si>
  <si>
    <t>EPD-IES-0014034:001 (S-P-14034)</t>
  </si>
  <si>
    <t>https://epd-australasia.com/?s=0014034:001&amp;post_type=epd</t>
  </si>
  <si>
    <t>40 MPa, NSW, Pre-mix concrete CFA4010 (Western Suburbs Concrete) (Australia)</t>
  </si>
  <si>
    <t>EPD-IES-0013826:001 (S-P-13826)</t>
  </si>
  <si>
    <t>https://epd-australasia.com/?s=0013826:001&amp;post_type=epd</t>
  </si>
  <si>
    <t>40 MPa, TAS, N40/20N concrete  manufactured in our Southern Region (Hazell Bros Concrete Pty Ltd) (Australia)</t>
  </si>
  <si>
    <t>EPD-IES-0014070:001 (S-P-14070)</t>
  </si>
  <si>
    <t>https://epd-australasia.com/?s=0014070:001&amp;post_type=epd</t>
  </si>
  <si>
    <t>40 MPa, TAS, N40/20N/SCM concrete  manufactured in our Southern Region (Hazell Bros Concrete Pty Ltd) (Australia)</t>
  </si>
  <si>
    <t>EPD-IES-0014076:001 (S-P-14076)</t>
  </si>
  <si>
    <t>https://epd-australasia.com/?s=0014076:001&amp;post_type=epd</t>
  </si>
  <si>
    <t>40 MPa, NSW, Pre-mix concrete WN4020 (Western Suburbs Concrete) (Australia)</t>
  </si>
  <si>
    <t>EPD-IES-0013824:001 (S-P-13824)</t>
  </si>
  <si>
    <t>https://epd-australasia.com/?s=0013824:001&amp;post_type=epd</t>
  </si>
  <si>
    <t>40 MPa, TAS, S40/20/W/HES PANEL concrete  manufactured in our Northern Region (Hazell Bros Concrete Pty Ltd) (Australia)</t>
  </si>
  <si>
    <t>EPD-IES-0014061:001 (S-P-14061)</t>
  </si>
  <si>
    <t>https://epd-australasia.com/?s=0014061:001&amp;post_type=epd</t>
  </si>
  <si>
    <t>40 MPa, NSW, Pre-mix concrete GS4020-1 (Western Suburbs Concrete) (Australia)</t>
  </si>
  <si>
    <t>EPD-IES-0013799:001 (S-P-13799)</t>
  </si>
  <si>
    <t>https://epd-australasia.com/?s=0013799:001&amp;post_type=epd</t>
  </si>
  <si>
    <t>40 MPa, TAS, N40/20N concrete manufactured in our Northern Region (Hazell Bros Concrete Pty Ltd) (Australia)</t>
  </si>
  <si>
    <t>EPD-IES-0014043:001 (S-P-14043)</t>
  </si>
  <si>
    <t>https://epd-australasia.com/?s=0014043:001&amp;post_type=epd</t>
  </si>
  <si>
    <t>40 MPa, NSW, Pre-mix concrete GS4020-2 (Western Suburbs Concrete) (Australia)</t>
  </si>
  <si>
    <t>EPD-IES-0013804:001 (S-P-13804)</t>
  </si>
  <si>
    <t>https://epd-australasia.com/?s=0013804:001&amp;post_type=epd</t>
  </si>
  <si>
    <t>40 MPa, NSW, Pre-mix concrete WGS4020-1 (Western Suburbs Concrete) (Australia)</t>
  </si>
  <si>
    <t>EPD-IES-0013809:001 (S-P-13809)</t>
  </si>
  <si>
    <t>https://epd-australasia.com/?s=0013809:001&amp;post_type=epd</t>
  </si>
  <si>
    <t>40 MPa, NSW, Pre-mix concrete WGS4020-2 (Western Suburbs Concrete) (Australia)</t>
  </si>
  <si>
    <t>EPD-IES-0013814:001 (S-P-13814)</t>
  </si>
  <si>
    <t>https://epd-australasia.com/?s=0013814:001&amp;post_type=epd</t>
  </si>
  <si>
    <t>40 MPa, NSW, Pre-mix concrete S40AZZINCH (Western Suburbs Concrete) (Australia)</t>
  </si>
  <si>
    <t>EPD-IES-0013832:001 (S-P-13832)</t>
  </si>
  <si>
    <t>https://epd-australasia.com/?s=0013832:001&amp;post_type=epd</t>
  </si>
  <si>
    <t>40 MPa, NSW, Pre-mix concrete S40IN (Western Suburbs Concrete) (Australia)</t>
  </si>
  <si>
    <t>EPD-IES-0013833:001 (S-P-13833)</t>
  </si>
  <si>
    <t>https://epd-australasia.com/?s=0013833:001&amp;post_type=epd</t>
  </si>
  <si>
    <t>40 MPa, NSW, Pre-mix concrete S40ADDIN (Western Suburbs Concrete) (Australia)</t>
  </si>
  <si>
    <t>EPD-IES-0013831:001 (S-P-13831)</t>
  </si>
  <si>
    <t>https://epd-australasia.com/?s=0013831:001&amp;post_type=epd</t>
  </si>
  <si>
    <t>40 MPa, NSW, Pre-mix concrete S40RCIN (Western Suburbs Concrete) (Australia)</t>
  </si>
  <si>
    <t>EPD-IES-0013834:001 (S-P-13834)</t>
  </si>
  <si>
    <t>https://epd-australasia.com/?s=0013834:001&amp;post_type=epd</t>
  </si>
  <si>
    <t>40 MPa, TAS, N40/20N/SCM concrete manufactured in our Northern Region (Hazell Bros Concrete Pty Ltd) (Australia)</t>
  </si>
  <si>
    <t>EPD-IES-0014049:001 (S-P-14049)</t>
  </si>
  <si>
    <t>https://epd-australasia.com/?s=0014049:001&amp;post_type=epd</t>
  </si>
  <si>
    <t>40 MPa, NSW, Concrete: NS40/20/100 manufactured at Seven Hills (Advanced Readymix) (Australia)</t>
  </si>
  <si>
    <t>EPD-IES-0013981:001 (S-P-13981)</t>
  </si>
  <si>
    <t>https://epd-australasia.com/?s=0013981:001&amp;post_type=epd</t>
  </si>
  <si>
    <t>40 MPa, NSW, Concrete: N40/20/100G3 manufactured at Seven Hills (Advanced Readymix) (Australia)</t>
  </si>
  <si>
    <t>EPD-IES-0016810:001</t>
  </si>
  <si>
    <t>https://epd-australasia.com/?s=0016810:001&amp;post_type=epd</t>
  </si>
  <si>
    <t>40 MPa, NSW, Concrete: NS40/20/80 manufactured at Seven Hills (Advanced Readymix) (Australia)</t>
  </si>
  <si>
    <t>EPD-IES-0013982:001 (S-P-13982)</t>
  </si>
  <si>
    <t>https://epd-australasia.com/?s=0013982:001&amp;post_type=epd</t>
  </si>
  <si>
    <t>40 MPa, NSW, Concrete: N40/20/80 manufactured at Seven Hills (Advanced Readymix) (Australia)</t>
  </si>
  <si>
    <t>EPD-IES-0013976:001 (S-P-13976)</t>
  </si>
  <si>
    <t>https://epd-australasia.com/?s=0013976:001&amp;post_type=epd</t>
  </si>
  <si>
    <t>40 MPa, NSW, Concrete: S40/10/100 manufactured at Seven Hills (Advanced Readymix) (Australia)</t>
  </si>
  <si>
    <t>EPD-IES-0013994:001 (S-P-13994)</t>
  </si>
  <si>
    <t>https://epd-australasia.com/?s=0013994:001&amp;post_type=epd</t>
  </si>
  <si>
    <t>40 MPa, NSW, Concrete: S40 650BF manufactured at Seven Hills (Advanced Readymix) (Australia)</t>
  </si>
  <si>
    <t>EPD-IES-0013993:001 (S-P-13993)</t>
  </si>
  <si>
    <t>https://epd-australasia.com/?s=0013993:001&amp;post_type=epd</t>
  </si>
  <si>
    <t>40 MPa, NSW, Concrete: S40/20/80LS manufactured at Seven Hills (Advanced Readymix) (Australia)</t>
  </si>
  <si>
    <t>EPD-IES-0013995:001 (S-P-13995)</t>
  </si>
  <si>
    <t>https://epd-australasia.com/?s=0013995:001&amp;post_type=epd</t>
  </si>
  <si>
    <t>40 MPa, NSW, Concrete: S40/20/CLR manufactured at Seven Hills (Advanced Readymix) (Australia)</t>
  </si>
  <si>
    <t>EPD-IES-0013996:001 (S-P-13996)</t>
  </si>
  <si>
    <t>https://epd-australasia.com/?s=0013996:001&amp;post_type=epd</t>
  </si>
  <si>
    <t>Concrete, 50 MPa</t>
  </si>
  <si>
    <t>&gt;40 MPa to ≤50 MPa</t>
  </si>
  <si>
    <t>Concrete, 50 MPa, in-situ, no reinforcement, (R5020B)(GB) (BCG) (WA), (Perth)</t>
  </si>
  <si>
    <t>Concrete, 50 MPa, in-situ, no reinforcement, (VE501EVMW) (Ecopact) (Holcim) (VIC)</t>
  </si>
  <si>
    <t>0.38</t>
  </si>
  <si>
    <t>Concrete, 50 MPa, in-situ, no reinforcement, (SE502E56) (Ecopact) (Holcim) (SA) (Adelaide)</t>
  </si>
  <si>
    <t>328</t>
  </si>
  <si>
    <t>Concrete, 50 MPa, in-situ, no reinforcement, (SE501EAV) (Ecopact) (Holcim) (SA) (Adelaide)</t>
  </si>
  <si>
    <t>330</t>
  </si>
  <si>
    <t>Concrete, 50 MPa, in-situ, no reinforcement, (SE501E3) (Ecopact) (Holcim) (SA) (Adelaide)</t>
  </si>
  <si>
    <t>Concrete, 50 MPa, in-situ, no reinforcement, (SE501E5) (Ecopact) (Holcim) (SA) (Adelaide)</t>
  </si>
  <si>
    <t>313</t>
  </si>
  <si>
    <t>Concrete, 50 MPa, in-situ, no reinforcement, (SE502E2) (Ecopact) (Holcim) (SA) (Adelaide)</t>
  </si>
  <si>
    <t>Concrete, 50 MPa, in-situ, no reinforcement, (SE501EDTW) (Ecopact) (Holcim) (SA) (Adelaide)</t>
  </si>
  <si>
    <t>388</t>
  </si>
  <si>
    <t>Concrete, 50 MPa, in-situ, no reinforcement, (SE502E3) (Ecopact) (Holcim) (SA) (Adelaide)</t>
  </si>
  <si>
    <t>Concrete, 50 MPa, in-situ, no reinforcement, (50MPa 7MM BLOCKMIX) (Adbri) (QLD)</t>
  </si>
  <si>
    <t>Concrete, 50 MPa, in-situ, no reinforcement, (VE501E56) (Ecopact) (Holcim) (VIC)</t>
  </si>
  <si>
    <t>340</t>
  </si>
  <si>
    <t>0.36</t>
  </si>
  <si>
    <t>Concrete, 50 MPa, in-situ, no reinforcement, (VE502E) (Ecopact) (Holcim) (VIC)</t>
  </si>
  <si>
    <t>Concrete, 50 MPa, in-situ, no reinforcement, (VE502E5) (Ecopact) (Holcim) (VIC)</t>
  </si>
  <si>
    <t>Concrete, 50 MPa, in-situ, no reinforcement, (VE502EVR2) (Ecopact) (Holcim) (VIC)</t>
  </si>
  <si>
    <t>Concrete, 50 MPa, in-situ, no reinforcement, (50MPa 14MM TREMIE 160 SLUMP) (Adbri) (VIC)</t>
  </si>
  <si>
    <t>Concrete, 50 MPa, in-situ, no reinforcement, (VE501EAV) (Ecopact) (Holcim) (VIC)</t>
  </si>
  <si>
    <t>307</t>
  </si>
  <si>
    <t>Concrete, 50 MPa, in-situ, no reinforcement, (Futurecrete®  N
class GP/GL:Slag
50 MPa) (Adbri) (QLD)</t>
  </si>
  <si>
    <t>Concrete, 50 MPa, in-situ, no reinforcement, (NE502E1A1)(Ecopact) (Holcim) (NSW), (Sydney)</t>
  </si>
  <si>
    <t>353</t>
  </si>
  <si>
    <t>Concrete, 50 MPa, in-situ, no reinforcement, (VE501EAP) (Ecopact) (Holcim) (VIC)</t>
  </si>
  <si>
    <t>375</t>
  </si>
  <si>
    <t>Concrete, 50 MPa, in-situ, no reinforcement, (Futurecrete®  Ultra
N Class GP/GL:Slag
50 MPa) (Adbri) (VIC)</t>
  </si>
  <si>
    <t>Concrete, 50 MPa, in-situ, no reinforcement, (NE501E1)(Ecopact) (Holcim) (NSW), (Sydney)</t>
  </si>
  <si>
    <t>Concrete, 50 MPa, in-situ, no reinforcement, (NE501E5)(Ecopact) (Holcim) (NSW), (Sydney)</t>
  </si>
  <si>
    <t>Concrete, 50 MPa, in-situ, no reinforcement, (50MPa 20MM 3 GST POINTS CONCRETE) (Adbri) (VIC)</t>
  </si>
  <si>
    <t>Concrete, 50 MPa, in-situ, no reinforcement, (QE502MRF4) (Ecopact) (Holcim) (QLD) (Brisbane)</t>
  </si>
  <si>
    <t>400</t>
  </si>
  <si>
    <t>Concrete, 50 MPa, in-situ, no reinforcement, (NE502E1)(Ecopact) (Holcim) (NSW), (Sydney)</t>
  </si>
  <si>
    <t>Concrete, 50 MPa, in-situ, no reinforcement, (NE502E5)(Ecopact) (Holcim) (NSW), (Sydney)</t>
  </si>
  <si>
    <t>244</t>
  </si>
  <si>
    <t>Concrete, 50 MPa, in-situ, no reinforcement, (Futurecrete® N Class
GP:GL:Slag 50 MPa
- Winnellie) (Adbri) (NT)</t>
  </si>
  <si>
    <t>Concrete, 50 MPa, in-situ, no reinforcement, (50MPa 14MM TRAMWAYS
25% SLAG) (Adbri) (VIC)</t>
  </si>
  <si>
    <t>Concrete, 50 MPa, in-situ, no reinforcement, (QE501EEZY) (Ecopact) (Holcim) (QLD), Gold Coast</t>
  </si>
  <si>
    <t>Concrete, 50 MPa, in-situ, no reinforcement, (QE502E100) (Ecopact) (Holcim) (QLD) (Brisbane)</t>
  </si>
  <si>
    <t>Concrete, 50 MPa, in-situ, no reinforcement, (QE501EEZY) (Ecopact) (Holcim) (QLD) (Brisbane)</t>
  </si>
  <si>
    <t>Concrete, 50 MPa, in-situ, no reinforcement, (QE501EL21) (Ecopact) (Holcim) (QLD), Gold Coast</t>
  </si>
  <si>
    <t>Concrete, 50 MPa, in-situ, no reinforcement, (QE501EDUF) (Ecopact) (Holcim) (QLD), Gold Coast</t>
  </si>
  <si>
    <t>309</t>
  </si>
  <si>
    <t>Concrete, 50 MPa, in-situ, no reinforcement, (Adbri concrete
N class GP/GL
50 MPa) (Adbri) (QLD)</t>
  </si>
  <si>
    <t>Concrete, 50 MPa, in-situ, no reinforcement, (QE507EBMX) (Ecopact) (Holcim) (QLD) (Brisbane)</t>
  </si>
  <si>
    <t>299</t>
  </si>
  <si>
    <t>Concrete, 50 MPa, in-situ, no reinforcement, (QE502EEZY) (Ecopact) (Holcim) (QLD) (Brisbane)</t>
  </si>
  <si>
    <t>Concrete, 50 MPa, in-situ, no reinforcement, (QE501E100) (Ecopact) (Holcim) (QLD), Gold Coast</t>
  </si>
  <si>
    <t>Concrete, 50 MPa, in-situ, no reinforcement, (QE502E100) (Ecopact) (Holcim) (QLD), Gold Coast</t>
  </si>
  <si>
    <t>Concrete, 50 MPa, in-situ, no reinforcement, (QE501E100) (Ecopact) (Holcim) (QLD) (Brisbane)</t>
  </si>
  <si>
    <t>302</t>
  </si>
  <si>
    <t>Concrete, 50 MPa, in-situ, no reinforcement, (QE501EDUF) (Ecopact) (Holcim) (QLD) (Brisbane)</t>
  </si>
  <si>
    <t>280</t>
  </si>
  <si>
    <t>Concrete, 50 MPa, in-situ, no reinforcement, (Adbri concrete
N class GP/GL:FA
50 MPa) (Adbri) (QLD)</t>
  </si>
  <si>
    <t>Concrete, 50 MPa, in-situ, no reinforcement, (QE501E200) (Ecopact) (Holcim) (QLD) (Brisbane)</t>
  </si>
  <si>
    <t>336</t>
  </si>
  <si>
    <t>Concrete, 50 MPa, in-situ, no reinforcement, (QE501E200) (Ecopact) (Holcim) (QLD), Gold Coast</t>
  </si>
  <si>
    <t>327</t>
  </si>
  <si>
    <t>Concrete, 50 MPa, in-situ, no reinforcement, (WE501E2)(Ecopact) (Holcim) (WA), (Perth Metro)</t>
  </si>
  <si>
    <t>Concrete, 50 MPa, in-situ, no reinforcement, (WE501E4)(Ecopact) (Holcim) (WA), (Perth Metro)</t>
  </si>
  <si>
    <t>Concrete, 50 MPa, in-situ, no reinforcement, (WE502E2)(Ecopact) (Holcim) (WA), (Perth Metro)</t>
  </si>
  <si>
    <t>320</t>
  </si>
  <si>
    <t>Concrete, 50 MPa, in-situ, no reinforcement, (WE502E4)(Ecopact) (Holcim) (WA), (Perth Metro)</t>
  </si>
  <si>
    <t>Concrete, 50 MPa, in-situ, no reinforcement, (QE502LPN2) (Ecopact) (Holcim) (QLD) (Brisbane)</t>
  </si>
  <si>
    <t>398</t>
  </si>
  <si>
    <t>Concrete, 50 MPa, in-situ, no reinforcement, (QE502LPN2) (Ecopact) (Holcim) (QLD), Gold Coast</t>
  </si>
  <si>
    <t>363</t>
  </si>
  <si>
    <t>Concrete, 50 MPa, in-situ, no reinforcement, (50MPa 20MM
PANEL CONCRETE
120 SLUMP) (Adbri) (VIC)</t>
  </si>
  <si>
    <t>Concrete, 50 MPa, in-situ, no reinforcement, (QE501ELCF) (Ecopact) (Holcim) (QLD) (Brisbane)</t>
  </si>
  <si>
    <t>Concrete, 50 MPa, in-situ, no reinforcement, (Adbri Concrete N Class GP/GL 50 MPa) (Adbri) (VIC)</t>
  </si>
  <si>
    <t>Concrete, 50 MPa, in-situ, no reinforcement, (QE501ECFA) (Ecopact) (Holcim) (QLD) (Brisbane)</t>
  </si>
  <si>
    <t>Concrete, 50 MPa, in-situ, no reinforcement, (VE502ESW) (Ecopact) (Holcim) (VIC)</t>
  </si>
  <si>
    <t>Concrete, 50 MPa, in-situ, no reinforcement, (Adbri Concrete N Class GP:GL 50 MPa
- Katherine) (Adbri) (NT)</t>
  </si>
  <si>
    <t>Concrete, 50 MPa, in-situ, no reinforcement, (Adbri Concrete N Class GP:GL 50 MPa
- Alice Springs) (Adbri) (NT)</t>
  </si>
  <si>
    <t>Concrete, 50 MPa, in-situ, no reinforcement, (Futurecrete®  S Class
GP/GL:Slag 50 MPa) (Adbri) (SA)</t>
  </si>
  <si>
    <t>Concrete, 50 MPa, in-situ, no reinforcement, (S50MPA PT
22MPA AT 3 DAYS
20MM) (Adbri) (NSW)</t>
  </si>
  <si>
    <t>Concrete, 50 MPa, in-situ, no reinforcement, (S50MPA 20MM RMS B80 B1
EXPOSURE PRCST) (Adbri) (NSW)</t>
  </si>
  <si>
    <t>Concrete, 50 MPa, in-situ, no reinforcement, (Futurecrete® S50MPA HY-LINE 2INCH 10MM PUMP
) (Adbri) (NSW)</t>
  </si>
  <si>
    <t>Concrete, 50 MPa, in-situ, no reinforcement, (Futurecrete®  Ultra N Class GP/ GL:Slag 50 MPa) (Adbri) (NSW)</t>
  </si>
  <si>
    <t>Concrete, 50 MPa, in-situ, no reinforcement, (Futurecrete® S50MPA JUMP/ SLIP/COLUMNS 10MM SP) (Adbri) (NSW)</t>
  </si>
  <si>
    <t>Concrete, 50 MPa, in-situ, no reinforcement, (Futurecrete®
N Class Ternary
50 MPa) (Adbri) (NSW)</t>
  </si>
  <si>
    <t>Concrete, 50 MPa, in-situ, no reinforcement, (Futurecrete® Ultra S50MPA 20MM RMS B80 C1 EXPOSURE AP) (Adbri) (NSW)</t>
  </si>
  <si>
    <t>Concrete, 50 MPa, in-situ, no reinforcement, (Futurecrete® Ultra S50MPA BLOCKFILL 10MM 230MM SLUMP) (Adbri) (NSW)</t>
  </si>
  <si>
    <t>Concrete, 50 MPa, in-situ, no reinforcement, (General) (Holcim) (NSW)(ACT)</t>
  </si>
  <si>
    <t>5.14E+02</t>
  </si>
  <si>
    <t>Concrete, 50 MPa, in-situ, no reinforcement, (Fly Ash) (Holcim) (NSW)(ACT)</t>
  </si>
  <si>
    <t>4.14E+02</t>
  </si>
  <si>
    <t>Concrete, 50 MPa, in-situ, no reinforcement, (GGBS Slag) (Holcim) (NSW)(ACT)</t>
  </si>
  <si>
    <t>Concrete, 50 MPa, in-situ, no reinforcement, (Triple Blend) (Holcim) (NSW)(ACT)</t>
  </si>
  <si>
    <t>2.84E+02</t>
  </si>
  <si>
    <t>Concrete, 50 MPa, in-situ, no reinforcement,(Fly Ash)  (Holcim)  (QLD)</t>
  </si>
  <si>
    <t>3.63E+02</t>
  </si>
  <si>
    <t>Concrete, 50 MPa, in-situ, no reinforcement,(Triple Blend)  (Holcim)  (QLD)</t>
  </si>
  <si>
    <t>2.96E+02</t>
  </si>
  <si>
    <t>Concrete, 50 MPa, in-situ, no reinforcement, (General) (Holcim) (VIC)</t>
  </si>
  <si>
    <t>4.54E+02</t>
  </si>
  <si>
    <t>Concrete, 50 MPa, in-situ, no reinforcement, (Fly Ash) (Holcim) (VIC)</t>
  </si>
  <si>
    <t>Concrete, 50 MPa, in-situ, no reinforcement, (Triple Blend) (Holcim) (VIC)</t>
  </si>
  <si>
    <t>Concrete, 50 MPa, in-situ, no reinforcement, (GGBS Slag) (Holcim) (SA)</t>
  </si>
  <si>
    <t>Concrete, 50 MPa, in-situ, no reinforcement, (GGBS Slag) (Holcim) (WA)</t>
  </si>
  <si>
    <t>3.34E+02</t>
  </si>
  <si>
    <t>Concrete, 50 MPa, in-situ, no reinforcement, (VS504FSWC) (Holcim) (VIC)</t>
  </si>
  <si>
    <t>334.84</t>
  </si>
  <si>
    <t>Concrete, 50 MPa, in-situ, no reinforcement, (VE502ENV) (Holcim) (VIC)</t>
  </si>
  <si>
    <t>333.89</t>
  </si>
  <si>
    <t>Concrete, 50 MPa, in-situ, no reinforcement, (VS502FVRT) (Holcim) (VIC)</t>
  </si>
  <si>
    <t>286.08</t>
  </si>
  <si>
    <t>Concrete, 50 MPa, in-situ, no reinforcement, (QS502PR13) (Holcim) (QLD), South East Queensland</t>
  </si>
  <si>
    <t>381.90</t>
  </si>
  <si>
    <t>Concrete, 50 MPa, in-situ, no reinforcement, (QS502PR38) (Holcim) (QLD), South East Queensland</t>
  </si>
  <si>
    <t>436.45</t>
  </si>
  <si>
    <t>Concrete, 50 MPa, in-situ, no reinforcement, (QS502PR36) (Holcim) (QLD), South East Queensland</t>
  </si>
  <si>
    <t>408.02</t>
  </si>
  <si>
    <t>Concrete, 50 MPa, in-situ, no reinforcement, (QS502MRF4) (Holcim) (QLD), South East Queensland</t>
  </si>
  <si>
    <t>395.24</t>
  </si>
  <si>
    <t>Concrete, 50 MPa, in-situ, no reinforcement, (QS502PR12) (Holcim) (QLD), South East Queensland</t>
  </si>
  <si>
    <t>408.58</t>
  </si>
  <si>
    <t>Concrete, 50 MPa, in-situ, no reinforcement, (QE502E)(Holcim) (QLD), (North QLD)</t>
  </si>
  <si>
    <t>360.54</t>
  </si>
  <si>
    <t>Concrete, 50 MPa, in-situ, no reinforcement, (QE502E1)(Holcim) (QLD), (North QLD)</t>
  </si>
  <si>
    <t>362.11</t>
  </si>
  <si>
    <t>Concrete, 50 MPa, in-situ, no reinforcement, (QE501E)(Holcim) (QLD), (North QLD)</t>
  </si>
  <si>
    <t>365.28</t>
  </si>
  <si>
    <t>Concrete, 50 MPa, in-situ, no reinforcement, (QE501E1)(Holcim) (QLD), (North QLD)</t>
  </si>
  <si>
    <t>366.34</t>
  </si>
  <si>
    <t>Concrete, 50 MPa, in-situ, no reinforcement, (QE502EUF)(Holcim) (QLD), (North QLD)</t>
  </si>
  <si>
    <t>395.60</t>
  </si>
  <si>
    <t>Concrete, 50 MPa, in-situ, no reinforcement, (Adbri N Class
GP/GL 50 MPa) (Adbri) (SA)</t>
  </si>
  <si>
    <t>Concrete, 50 MPa, in-situ, no reinforcement, (Futurecrete®  N
Class GP/GL:Slag
50 MPa) (Adbri) (SA)</t>
  </si>
  <si>
    <t>Concrete, 50 MPa, in-situ, no reinforcement, (Futurecrete®  N Class
GP/GL:FA 50 MPa) (Adbri) (SA)</t>
  </si>
  <si>
    <t>Concrete, 50 MPa, in-situ, no reinforcement, Pre-mix Concrete Normal Class GP blend (Boral) (ACT), (Canberra) Normal Class GP blend 50MPa</t>
  </si>
  <si>
    <t>Concrete, 50 MPa, in-situ, no reinforcement, Pre-mix Concrete Normal Class GP/FA blend (Boral) (ACT), (Canberra) Normal Class GP/FA blend 50 MPa</t>
  </si>
  <si>
    <t>Concrete, 50 MPa, in-situ, no reinforcement, Pre-mix Concrete Normal Class GP/GGBFS blend (Boral) (ACT), (Canberra) Normal Class GP/GGBFS blend 50 MPa</t>
  </si>
  <si>
    <t>Concrete, 50 MPa, in-situ, no reinforcement, Pre-mix Concrete ENVIROCRETE 30% (Boral) (ACT), (Canberra) ENVIROCRETE 30% 50 MPa</t>
  </si>
  <si>
    <t>Concrete, 50 MPa, in-situ, no reinforcement, Pre-mix Concrete ENVIROCRETE 40% (Boral) (ACT), (Canberra) ENVIROCRETE 40% 50 MPa</t>
  </si>
  <si>
    <t>Concrete, 50 MPa, in-situ, no reinforcement, Pre-mix Concrete ENVIROCRETE PLUS (Boral) (ACT), (Canberra) ENVIROCRETE PLUS 50MPa</t>
  </si>
  <si>
    <t>Concrete, 50 MPa, in-situ, no reinforcement, Pre-mix Concrete HIGH SLUMP (Boral) (ACT), (Canberra) HIGH SLUMP 50MPa</t>
  </si>
  <si>
    <t>Concrete, 50 MPa, in-situ, no reinforcement, Pre-mix Concrete ENVISIA (Boral) (ACT), (Canberra) ENVISIA 50MPa</t>
  </si>
  <si>
    <t>Concrete, 50 MPa, in-situ, no reinforcement, Pre-mix Concrete TREMIE (Boral) (ACT), (Canberra) TREMIE 50MPa</t>
  </si>
  <si>
    <t>Concrete, 50 MPa, in-situ, no reinforcement, Pre-mix Concrete TfNSW B80 (Boral) (ACT), (Canberra) TfNSW B80 50MPa 20MM TREMIE CFA C1 EXPOSURE</t>
  </si>
  <si>
    <t>Concrete, 50 MPa, in-situ, no reinforcement, Pre-mix Concrete TfNSW B80 (Boral) (ACT), (Canberra) TfNSW B80 50MPa 20MM TREMIE B2 EXPOSURE</t>
  </si>
  <si>
    <t>Concrete, 50 MPa, in-situ, no reinforcement, Pre-mix Concrete Normal Class GP blend (Boral) (NSW), (Newcastle) Normal Class GP blend 50MPa</t>
  </si>
  <si>
    <t>Concrete, 50 MPa, in-situ, no reinforcement, Pre-mix Concrete Normal Class GP/FA blend (Boral) (NSW), (Newcastle) Normal Class GP/FA blend 50 MPa</t>
  </si>
  <si>
    <t>Concrete, 50 MPa, in-situ, no reinforcement, Pre-mix Concrete ENVIROCRETE 30% (Boral) (NSW), (Newcastle) ENVIROCRETE 30% 50 MPa</t>
  </si>
  <si>
    <t>Concrete, 50 MPa, in-situ, no reinforcement, Pre-mix Concrete ENVIROCRETE 40% (Boral) (NSW), (Newcastle) ENVIROCRETE 40% 50 MPa</t>
  </si>
  <si>
    <t>Concrete, 50 MPa, in-situ, no reinforcement, Pre-mix Concrete ENVIROCRETE PLUS (Boral) (NSW), (Newcastle) ENVIROCRETE PLUS 50MPa</t>
  </si>
  <si>
    <t>Concrete, 50 MPa, in-situ, no reinforcement, Pre-mix Concrete ENVISIA (Boral) (NSW), (Newcastle) ENVISIA 50MPa</t>
  </si>
  <si>
    <t>Concrete, 50 MPa, in-situ, no reinforcement, Pre-mix Concrete HIGH SLUMP (Boral) (NSW), (Newcastle) HIGH SLUMP 50MPa</t>
  </si>
  <si>
    <t>Concrete, 50 MPa, in-situ, no reinforcement, Pre-mix Concrete TREMIE (Boral) (NSW), (Newcastle) TREMIE 50MPa</t>
  </si>
  <si>
    <t>Concrete, 50 MPa, in-situ, no reinforcement, Pre-mix Concrete Normal Class GP/GGBFS blend (Boral) (NSW), (Newcastle) Normal Class GP/GGBFS blend 50 MPa</t>
  </si>
  <si>
    <t>Concrete, 50 MPa, in-situ, no reinforcement, Pre-mix Concrete TfNSW B80 (Boral) (NSW), (Newcastle) TfNSW B80 50MPa 20MM TREMIE CFA C1 EXPOSURE</t>
  </si>
  <si>
    <t>Concrete, 50 MPa, in-situ, no reinforcement, Pre-mix Concrete TfNSW B80 (Boral) (NSW), (Newcastle) TfNSW B80 50MPa 20MM PUMP B2 EXPOSURE</t>
  </si>
  <si>
    <t>Concrete, 50 MPa, in-situ, no reinforcement, Pre-mix Concrete TfNSW B80 (Boral) (NSW), (Newcastle) TfNSW B80 50MPa 20MM TREMIE B2 EXPOSURE</t>
  </si>
  <si>
    <t>Concrete, 50 MPa, in-situ, no reinforcement, Pre-mix Concrete Normal Class GP blend (Boral) (NSW), (Sydney) Normal Class GP blend 50MPa</t>
  </si>
  <si>
    <t>Concrete, 50 MPa, in-situ, no reinforcement, Pre-mix Concrete Normal Class GP/FA blend (Boral) (NSW), (Sydney) Normal Class GP/FA blend 50 MPa</t>
  </si>
  <si>
    <t>Concrete, 50 MPa, in-situ, no reinforcement, Pre-mix Concrete Normal Class GP/GGBFS blend (Boral) (NSW), (Sydney) Normal Class GP/GGBFS blend 50 MPa</t>
  </si>
  <si>
    <t>Concrete, 50 MPa, in-situ, no reinforcement, Pre-mix Concrete Normal Class GP/GGBFS/FA blend (Boral) (NSW), (Sydney) Normal Class GP/GGBFS/FA blend 50 MPa</t>
  </si>
  <si>
    <t>Concrete, 50 MPa, in-situ, no reinforcement, Pre-mix Concrete ENVIROCRETE 30% (Boral) (NSW), (Sydney) ENVIROCRETE 30% 50 MPa</t>
  </si>
  <si>
    <t>Concrete, 50 MPa, in-situ, no reinforcement, Pre-mix Concrete ENVIROCRETE 40% (Boral) (NSW), (Sydney) ENVIROCRETE 40% 50 MPa</t>
  </si>
  <si>
    <t>Concrete, 50 MPa, in-situ, no reinforcement, Pre-mix Concrete ENVIROCRETE PLUS (Boral) (NSW), (Sydney) ENVIROCRETE PLUS 50MPa</t>
  </si>
  <si>
    <t>Concrete, 50 MPa, in-situ, no reinforcement, Pre-mix Concrete TREMIE (Boral) (NSW), (Sydney) TREMIE 50MPa</t>
  </si>
  <si>
    <t>Concrete, 50 MPa, in-situ, no reinforcement, Pre-mix Concrete ENVISIA (Boral) (NSW), (Sydney) ENVISIA 50MPa</t>
  </si>
  <si>
    <t>Concrete, 50 MPa, in-situ, no reinforcement, Pre-mix Concrete HIGH SLUMP (Boral) (NSW), (Sydney) HIGH SLUMP 50MPa</t>
  </si>
  <si>
    <t>Concrete, 50 MPa, in-situ, no reinforcement, Pre-mix Concrete TfNSW B80 (Boral) (NSW), (Sydney) TfNSW B80 50MPa 20MM TREMIE CFA C1 EXPOSURE</t>
  </si>
  <si>
    <t>Concrete, 50 MPa, in-situ, no reinforcement, Pre-mix Concrete TfNSW B80 (Boral) (NSW), (Sydney) TfNSW B80 50MPa 20MM PUMP B2 EXPOSURE</t>
  </si>
  <si>
    <t>Concrete, 50 MPa, in-situ, no reinforcement, Pre-mix Concrete TfNSW B80 (Boral) (NSW), (Sydney) TfNSW B80 50MPa 20MM TREMIE B2 EXPOSURE</t>
  </si>
  <si>
    <t>Concrete, 50 MPa, in-situ, no reinforcement, Pre-mix Concrete Normal Class GP blend (Boral) (NSW), (Wollongong) Normal Class GP blend 50MPa</t>
  </si>
  <si>
    <t>Concrete, 50 MPa, in-situ, no reinforcement, Pre-mix Concrete Normal Class GP/FA blend (Boral) (NSW), (Wollongong) Normal Class GP/FA blend 50 MPa</t>
  </si>
  <si>
    <t>Concrete, 50 MPa, in-situ, no reinforcement, Pre-mix Concrete Normal Class GP/GGBFS blend (Boral) (NSW), (Wollongong) Normal Class GP/GGBFS blend 50 MPa</t>
  </si>
  <si>
    <t>Concrete, 50 MPa, in-situ, no reinforcement, Pre-mix Concrete Normal Class GP/GGBFS/FA blend (Boral) (NSW), (Wollongong) Normal Class GP/GGBFS/FA blend 50 MPa</t>
  </si>
  <si>
    <t>Concrete, 50 MPa, in-situ, no reinforcement, Pre-mix Concrete TfNSW B80 (Boral) (NSW), (Wollongong) TfNSW B80 50MPa 20MM TREMIE CFA C1 EXPOSURE</t>
  </si>
  <si>
    <t>Concrete, 50 MPa, in-situ, no reinforcement, Pre-mix Concrete ENVIROCRETE 30% (Boral) (NSW), (Wollongong) ENVIROCRETE 30% 50 MPa</t>
  </si>
  <si>
    <t>Concrete, 50 MPa, in-situ, no reinforcement, Pre-mix Concrete ENVIROCRETE 40% (Boral) (NSW), (Wollongong) ENVIROCRETE 40% 50 MPa</t>
  </si>
  <si>
    <t>Concrete, 50 MPa, in-situ, no reinforcement, Pre-mix Concrete ENVIROCRETE PLUS (Boral) (NSW), (Wollongong) ENVIROCRETE PLUS 50MPa</t>
  </si>
  <si>
    <t>Concrete, 50 MPa, in-situ, no reinforcement, Pre-mix Concrete ENVISIA (Boral) (NSW), (Wollongong) ENVISIA 50MPa</t>
  </si>
  <si>
    <t>Concrete, 50 MPa, in-situ, no reinforcement, Pre-mix Concrete HIGH SLUMP (Boral) (NSW), (Wollongong) HIGH SLUMP 50MPa</t>
  </si>
  <si>
    <t>Concrete, 50 MPa, in-situ, no reinforcement, Pre-mix Concrete TREMIE (Boral) (NSW), (Wollongong) TREMIE 50MPa</t>
  </si>
  <si>
    <t>Concrete, 50 MPa, in-situ, no reinforcement, Pre-mix Concrete ENVISIA (Boral) (TAS), (Hobart) ENVISIA 50 MPa</t>
  </si>
  <si>
    <t>Concrete, 50 MPa, in-situ, no reinforcement, Pre-mix Concrete Normal Class GP blend (Boral) (TAS), (Hobart) Normal Class GP blend 50MPa</t>
  </si>
  <si>
    <t>Concrete, 50 MPa, in-situ, no reinforcement, Pre-mix Concrete HIGH STRENGTH (Boral) (TAS), (Hobart) HIGH STRENGTH 50 MPa</t>
  </si>
  <si>
    <t>Concrete, 50 MPa, in-situ, no reinforcement, Pre-mix Concrete (Boral) (TAS), (Hobart) VICROADS VR450 50 MPa 20MM TREMIE B2 / CFA C1 EXPOSURE</t>
  </si>
  <si>
    <t>Concrete, 50 MPa, in-situ, no reinforcement, Pre-mix Concrete Normal Class GP blend (Boral) (TAS), (Launceston) Normal Class GP blend 50MPa</t>
  </si>
  <si>
    <t>Concrete, 50 MPa, in-situ, no reinforcement, Pre-mix Concrete ENVISIA (Boral) (TAS), (Launceston) ENVISIA 50 MPa</t>
  </si>
  <si>
    <t>Concrete, 50 MPa, in-situ, no reinforcement, Pre-mix Concrete HIGH STRENGTH (Boral) (TAS), (Launceston) HIGH STRENGTH 50 MPa</t>
  </si>
  <si>
    <t>Concrete, 50 MPa, in-situ, no reinforcement, Pre-mix Concrete (Boral) (TAS), (Launceston) VICROADS VR450 50 MPa 20MM TREMIE B2 / CFA C1 EXPOSURE</t>
  </si>
  <si>
    <t>Concrete, 50 MPa, in-situ, no reinforcement, GP, Normal Class (WA Premix) (WA), (Perth)</t>
  </si>
  <si>
    <t>Concrete, 50 MPa, in-situ, no reinforcement, AH1440, Special Class (WA Premix) (WA), (Perth)</t>
  </si>
  <si>
    <t>Concrete, 50 MPa, in-situ, no reinforcement, AH1450, Special Class (WA Premix) (WA), (Perth)</t>
  </si>
  <si>
    <t>Concrete, 50 MPa, in-situ, no reinforcement, BH1450, Special Class (WA Premix) (WA), (Perth)</t>
  </si>
  <si>
    <t>Concrete, 50 MPa, in-situ, no reinforcement, AH6444, Special Class (WA Premix) (WA), (Perth)</t>
  </si>
  <si>
    <t>Concrete, 50 MPa, in-situ, no reinforcement, AH6476, Special Class (WA Premix) (WA), (Perth)</t>
  </si>
  <si>
    <t>Concrete, 50 MPa, in-situ, no reinforcement, AH6445, Special Class (WA Premix) (WA), (Perth)</t>
  </si>
  <si>
    <t>Concrete, 50 MPa, in-situ, no reinforcement, AH6450, Special Class (WA Premix) (WA), (Perth)</t>
  </si>
  <si>
    <t>Concrete, 50 MPa, in-situ, no reinforcement, BP6450, Special Class (WA Premix) (WA), (Perth)</t>
  </si>
  <si>
    <t>Concrete, 50 MPa, in-situ, no reinforcement, BP8450, Special Class (WA Premix) (WA), (Perth)</t>
  </si>
  <si>
    <t>Concrete, 50 MPa, in-situ, no reinforcement, AH1446, Special Class (WA Premix) (WA), (Perth)</t>
  </si>
  <si>
    <t>Concrete, 50 MPa, in-situ, no reinforcement, AH1448, Special Class (WA Premix) (WA), (Perth)</t>
  </si>
  <si>
    <t>Concrete, 50 MPa, in-situ, no reinforcement, AH9450, Special Class (WA Premix) (WA), (Perth)</t>
  </si>
  <si>
    <t>Concrete, 50 MPa, in-situ, no reinforcement, BH1446, Special Class (WA Premix) (WA), (Perth)</t>
  </si>
  <si>
    <t>Concrete, 50 MPa, in-situ, no reinforcement, BH1447, Special Class (WA Premix) (WA), (Perth)</t>
  </si>
  <si>
    <t>Concrete, 50 MPa, in-situ, no reinforcement, BH3500, Special Class (WA Premix) (WA), (Perth)</t>
  </si>
  <si>
    <t>Concrete, 50 MPa, in-situ, no reinforcement, CK9419, Special Class (WA Premix) (WA), (Perth)</t>
  </si>
  <si>
    <t>Concrete, 50 MPa, in-situ, no reinforcement, Ready-Mix Concrete (LC)50 (Concrite) (NSW) (Sydney Region, NSW)</t>
  </si>
  <si>
    <t>Concrete, 50 MPa, in-situ, no reinforcement, Ready-Mix Concrete (LC)40 (Concrite) (NSW) (Sydney Region, NSW)</t>
  </si>
  <si>
    <t>Concrete, 50 MPa, in-situ, no reinforcement, Ready-Mix Concrete (LC)30 (Concrite) (NSW) (Sydney Region, NSW)</t>
  </si>
  <si>
    <t>Concrete, 50 MPa, in-situ, no reinforcement, Ready-Mix Concrete (LCHP) (Concrite) (NSW) (Sydney Region, NSW)</t>
  </si>
  <si>
    <t>Concrete, 50 MPa, in-situ, no reinforcement, Ready-Mix Concrete (LCP) (Concrite) (NSW) (Sydney Region, NSW)</t>
  </si>
  <si>
    <t>Concrete, 50 MPa, in-situ, no reinforcement, Ready-Mix Concrete Normal class GP blend (Concrite) (NSW) (Sydney Region, NSW)</t>
  </si>
  <si>
    <t>Concrete, 50 MPa, in-situ, no reinforcement, Ready-Mix Concrete HIGH SLUMP (Concrite) (NSW) (Sydney Region, NSW)</t>
  </si>
  <si>
    <t>Concrete, 50 MPa, in-situ, no reinforcement, Ready-Mix Concrete TREMIE 50MPa (Concrite) (NSW) (Sydney Region, NSW)</t>
  </si>
  <si>
    <t>Concrete, 50 MPa, in-situ, no reinforcement, Ready-Mix Concrete TfNSW B80 10MM PUMP B2 EXPOSURE (Concrite) (NSW) (Sydney Region, NSW)</t>
  </si>
  <si>
    <t>Concrete, 50 MPa, in-situ, no reinforcement, Ready-Mix Concrete TfNSW B80 20MM PUMP B1 EXPOSURE (Concrite) (NSW) (Sydney Region, NSW)</t>
  </si>
  <si>
    <t>Concrete, 50 MPa, in-situ, no reinforcement, Ready-Mix Concrete TfNSW B80 20MM PUMP B2 EXPOSURE (Concrite) (NSW) (Sydney Region, NSW)</t>
  </si>
  <si>
    <t>Concrete, 50 MPa, in-situ, no reinforcement, Ready-Mix Concrete SLAG AGG CONCRETE MIX, (LC)50 (Concrite) (NSW) (Sydney Region, NSW)</t>
  </si>
  <si>
    <t>Concrete, 50 MPa, in-situ, no reinforcement, Ready-Mix Concrete SLAG AGG CONCRETE MIX, (LC)40 (Concrite) (NSW) (Sydney Region, NSW)</t>
  </si>
  <si>
    <t>Concrete, 50 MPa, in-situ, no reinforcement, Ready-Mix Concrete SLAG AGG CONCRETE MIX, (LC)30 (Concrite) (NSW) (Sydney Region, NSW)</t>
  </si>
  <si>
    <t>Concrete, 50 MPa, in-situ, no reinforcement, Ready-Mix Concrete (LC)30 50MPa (Concrite) (NSW) (Southern Highlands, NSW)</t>
  </si>
  <si>
    <t>Concrete, 50 MPa, in-situ, no reinforcement, Ready-Mix Concrete NORMAL CLASS GP BLEND (Concrite) (NSW) (Southern Highlands, NSW)</t>
  </si>
  <si>
    <t>Concrete, 50 MPa, in-situ, no reinforcement, Ready-Mix Concrete HIGH SLUMP (Concrite) (NSW) (Southern Highlands, NSW)</t>
  </si>
  <si>
    <t>Concrete, 50 MPa, in-situ, no reinforcement, Ready-Mix Concrete LC30 50MPa (Concrite) (ACT) (Canberra, ACT)</t>
  </si>
  <si>
    <t>Concrete, 50 MPa, in-situ, no reinforcement, (Futurecrete® Ultra S50MPA DINCEL 10MM) (Adbri) (NSW)</t>
  </si>
  <si>
    <t>Concrete, 50 MPa, in-situ, no reinforcement, (Futurecrete®  Ultra S50MPA PILE/ TREMIE 10MM SP) (Adbri) (NSW)</t>
  </si>
  <si>
    <t>Concrete, 50 MPa, in-situ, no reinforcement, (Futurecrete® Ultra S50MPA 10MM RITEK) (Adbri) (NSW)</t>
  </si>
  <si>
    <t>Concrete, 50 MPa, in-situ, no reinforcement, (Futurecrete® Ultra S50MPA 10MM AFS WALL SYSTEM) (Adbri) (NSW)</t>
  </si>
  <si>
    <t>Concrete, 50 MPa, in-situ, no reinforcement, (Adbri Concrete
N Class GP/GL:FA
50 MPa) (Adbri) (NSW)</t>
  </si>
  <si>
    <t>Concrete, 50 MPa, in-situ, no reinforcement, (TR5014E1)(LH) (BCG) (WA), (Perth)</t>
  </si>
  <si>
    <t>Concrete, 50 MPa, in-situ, no reinforcement, (R5020A)(GP) (BCG) (WA), (Perth)</t>
  </si>
  <si>
    <t>Concrete, 50 MPa, in-situ, no reinforcement, (Adbri Concrete N Class GP:GL 50 MPa
- Winnellie) (Adbri) (NT)</t>
  </si>
  <si>
    <t>Concrete, 50 MPa, in-situ, no reinforcement, (WE504EQ01)(Ecopact) (Holcim) (WA), (Perth Metro)</t>
  </si>
  <si>
    <t>382</t>
  </si>
  <si>
    <t>381</t>
  </si>
  <si>
    <t>0.54</t>
  </si>
  <si>
    <t>Concrete, 50 MPa, in-situ, no reinforcement, (SE501EHES) (Ecopact) (Holcim) (SA) (Adelaide)</t>
  </si>
  <si>
    <t>397</t>
  </si>
  <si>
    <t>Concrete, 50 MPa, in-situ, no reinforcement, (SE501EPSW) (Ecopact) (Holcim) (SA) (Adelaide)</t>
  </si>
  <si>
    <t>Concrete, 50 MPa, in-situ, no reinforcement, (Futurecrete®
N class GP/GL:FA
50 MPa) (Adbri) (QLD)</t>
  </si>
  <si>
    <t>Concrete, 50 MPa, in-situ, no reinforcement, (CS5020BGS)(B) (BCG) (WA), (Perth)</t>
  </si>
  <si>
    <t>Concrete, 50 MPa, in-situ, no reinforcement, (VE502E56) (Ecopact) (Holcim) (VIC)</t>
  </si>
  <si>
    <t>Concrete, 50 MPa, in-situ, no reinforcement, (SE501EWC) (Ecopact) (Holcim) (SA) (Adelaide)</t>
  </si>
  <si>
    <t>300</t>
  </si>
  <si>
    <t>Concrete, 50 MPa, in-situ, no reinforcement, (SE501E2) (Ecopact) (Holcim) (SA) (Adelaide)</t>
  </si>
  <si>
    <t>314</t>
  </si>
  <si>
    <t>Concrete, 50 MPa, in-situ, no reinforcement, (SE502E5) (Ecopact) (Holcim) (SA) (Adelaide)</t>
  </si>
  <si>
    <t>Concrete, 50 MPa, in-situ, no reinforcement, (SE502E) (Ecopact) (Holcim) (SA) (Adelaide)</t>
  </si>
  <si>
    <t>Concrete, 50 MPa, in-situ, no reinforcement, (QE501EL21) (Ecopact) (Holcim) (QLD) (Brisbane)</t>
  </si>
  <si>
    <t>Concrete, 50 MPa, in-situ, no reinforcement, (WE504E2)(Ecopact) (Holcim) (WA), (Perth Metro)</t>
  </si>
  <si>
    <t>321</t>
  </si>
  <si>
    <t>Concrete, 50 MPa, in-situ, no reinforcement, (WE504E4)(Ecopact) (Holcim) (WA), (Perth Metro)</t>
  </si>
  <si>
    <t>Concrete, 50 MPa, in-situ, no reinforcement, (Futurecrete®  N Class
GP/GL:Slag 50 MPa) (Adbri) (VIC)</t>
  </si>
  <si>
    <t>Concrete, 50 MPa, in-situ, no reinforcement, (QE502E) (Ecopact) (Holcim) (QLD), Gold Coast</t>
  </si>
  <si>
    <t>Concrete, 50 MPa, in-situ, no reinforcement, (QE502EEZY) (Ecopact) (Holcim) (QLD), Gold Coast</t>
  </si>
  <si>
    <t>Concrete, 50 MPa, in-situ, no reinforcement, (QE501E) (Ecopact) (Holcim) (QLD), Gold Coast</t>
  </si>
  <si>
    <t>Concrete, 50 MPa, in-situ, no reinforcement, (QE502E) (Ecopact) (Holcim) (QLD) (Brisbane)</t>
  </si>
  <si>
    <t>Concrete (in-situ), 50MPa, Pre-mix Concrete E50SP (Barro Group) (Australia)</t>
  </si>
  <si>
    <t>EPD-IES-002991</t>
  </si>
  <si>
    <t>https://epd-australasia.com/wp-content/uploads/2025/01/EPD-IES-002991-001_BarroGroup_E50SP_2024-12-18.pdf</t>
  </si>
  <si>
    <t>Concrete (in-situ), 40MPa, Pre-mix Concrete EPG40F (Barro Group) (Australia)</t>
  </si>
  <si>
    <t>EPD-IES-003096</t>
  </si>
  <si>
    <t>https://epd-australasia.com/wp-content/uploads/2025/01/EPD-IES-003096-001_BarroGroup_EPG40F_2024-12-18.pdf</t>
  </si>
  <si>
    <t>Concrete (in-situ), 40MPa, Pre-mix Concrete EN40 (Barro Group) (Australia)</t>
  </si>
  <si>
    <t>EPD-IES-003109</t>
  </si>
  <si>
    <t>https://epd-australasia.com/wp-content/uploads/2025/01/EPD-IES-003109-001_BarroGroup_EN40_2024-12-18.pdf</t>
  </si>
  <si>
    <t>Concrete (in-situ), 40MPa, Pre-mix Concrete EVR400 (Barro Group) (Australia)</t>
  </si>
  <si>
    <t>EPD-IES-003131</t>
  </si>
  <si>
    <t>https://epd-australasia.com/wp-content/uploads/2025/01/EPD-IES-003131-001_BarroGroup_EVR400_2024-12-18.pdf</t>
  </si>
  <si>
    <t>Concrete (in-situ), 50MPa, Pre-mix Concrete EVR450 (Barro Group) (Australia)</t>
  </si>
  <si>
    <t>EPD-IES-003141</t>
  </si>
  <si>
    <t>https://epd-australasia.com/wp-content/uploads/2025/01/EPD-IES-003141-001_BarroGroup_EVR450_2024-12-18.pdf</t>
  </si>
  <si>
    <t>Concrete (in-situ), 40MPa, Pre-mix Concrete E40PT22N3 (Barro Group) (Australia)</t>
  </si>
  <si>
    <t>EPD-IES-003159</t>
  </si>
  <si>
    <t>https://epd-australasia.com/wp-content/uploads/2025/01/EPD-IES-003159-001_BarroGroup_E40PT22N3_2024-12-18.pdf</t>
  </si>
  <si>
    <t>Concrete (in-situ), 40MPa, Pre-mix Concrete EGRA47 (Barro Group) (Australia)</t>
  </si>
  <si>
    <t>EPD-IES-003183</t>
  </si>
  <si>
    <t>https://epd-australasia.com/wp-content/uploads/2025/01/EPD-IES-003183-001_BarroGroup_EGRA47_2024-12-18.pdf</t>
  </si>
  <si>
    <t>Concrete (in-situ), 50MPa, Pre-mix Concrete E50SPLS (Barro Group) (Australia)</t>
  </si>
  <si>
    <t>EPD-IES-003184</t>
  </si>
  <si>
    <t>https://epd-australasia.com/wp-content/uploads/2025/01/EPD-IES-003184-001_BarroGroup_E50SPLS_2024-12-18.pdf</t>
  </si>
  <si>
    <t>Concrete (in-situ), 40MPa, Pre-mix Concrete E40SPLS (Barro Group) (Australia)</t>
  </si>
  <si>
    <t>EPD-IES-003239</t>
  </si>
  <si>
    <t>https://epd-australasia.com/wp-content/uploads/2025/01/EPD-IES-003239-001_BarroGroup_E40SPLS_2024-12-18.pdf</t>
  </si>
  <si>
    <t>Concrete (in-situ), 50MPa, Pre-mix Concrete E50600 (Barro Group) (Australia)</t>
  </si>
  <si>
    <t>EPD-IES-003271</t>
  </si>
  <si>
    <t>https://epd-australasia.com/wp-content/uploads/2025/01/EPD-IES-003271-001_BarroGroup_E50600_2024-12-18.pdf</t>
  </si>
  <si>
    <t>Concrete (in-situ), 40MPa, Pre-mix Concrete E40700 (Barro Group) (Australia)</t>
  </si>
  <si>
    <t>EPD-IES-003285</t>
  </si>
  <si>
    <t>https://epd-australasia.com/wp-content/uploads/2025/01/EPD-IES-003285-001_BarroGroup_E40700_2024-12-18.pdf</t>
  </si>
  <si>
    <t>Concrete (in-situ), 50MPa, Pre-mix Concrete E50700 (Barro Group) (Australia)</t>
  </si>
  <si>
    <t>EPD-IES-003288</t>
  </si>
  <si>
    <t>https://epd-australasia.com/wp-content/uploads/2025/01/EPD-IES-003288-001_BarroGroup_E50700_2024-12-18.pdf</t>
  </si>
  <si>
    <t>Concrete (in-situ), 40MPa, Pre-mix Concrete E40PT22N3M (Barro Group) (Australia)</t>
  </si>
  <si>
    <t>https://epd-australasia.com/wp-content/uploads/2025/01/EPD-IES-003290-001_BarroGroup_E40PT22N3M_2024-12-18.pdf</t>
  </si>
  <si>
    <t>Concrete (in-situ), 50MPa, Pre-mix Concrete E50PT22N3 (Barro Group) (Australia)</t>
  </si>
  <si>
    <t>EPD-IES-003300</t>
  </si>
  <si>
    <t>https://epd-australasia.com/wp-content/uploads/2025/01/EPD-IES-003300-001_BarroGroup_E50PT22N3_2024-12-18.pdf</t>
  </si>
  <si>
    <t>Concrete (in-situ), 40MPa, Pre-mix Concrete E40SP (Barro Group) (Australia)</t>
  </si>
  <si>
    <t>EPD-IES-003323</t>
  </si>
  <si>
    <t>https://epd-australasia.com/wp-content/uploads/2025/01/EPD-IES-003323-001_BarroGroup_E40SP_2024-12-18.pdf</t>
  </si>
  <si>
    <t>Concrete (in-situ), 50MPa, Pre-mix Concrete E50SPHE (Barro Group) (Australia)</t>
  </si>
  <si>
    <t>EPD-IES-003333</t>
  </si>
  <si>
    <t>https://epd-australasia.com/wp-content/uploads/2025/01/EPD-IES-003333-001_BarroGroup_E50SPHE_2024-12-18.pdf</t>
  </si>
  <si>
    <t>Concrete (in-situ), 50MPa, Pre-mix Concrete EFM50 (Barro Group) (Australia)</t>
  </si>
  <si>
    <t>EPD-IES-003335</t>
  </si>
  <si>
    <t>https://epd-australasia.com/wp-content/uploads/2025/01/EPD-IES-003335-001_BarroGroup_EFM50_2024-12-18.pdf</t>
  </si>
  <si>
    <t>Concrete (in-situ), 50MPa, Pre-mix Concrete EN50 (Barro Group) (Australia)</t>
  </si>
  <si>
    <t>EPD-IES-003336</t>
  </si>
  <si>
    <t>https://epd-australasia.com/wp-content/uploads/2025/01/EPD-IES-003336-001_BarroGroup_EN50_2024-12-18.pdf</t>
  </si>
  <si>
    <t>Concrete (in-situ), 40MPa, Pre-mix Concrete EPG40 (Barro Group) (Australia)</t>
  </si>
  <si>
    <t>EPD-IES-003345</t>
  </si>
  <si>
    <t>https://epd-australasia.com/wp-content/uploads/2025/01/EPD-IES-003345-001_BarroGroup_EPG40_2024-12-18.pdf</t>
  </si>
  <si>
    <t>Concrete (in-situ), 40MPa, Pre-mix Concrete EPT4735 (Barro Group) (Australia)</t>
  </si>
  <si>
    <t>EPD-IES-003381</t>
  </si>
  <si>
    <t>https://epd-australasia.com/wp-content/uploads/2025/01/EPD-IES-003381-001_BarroGroup_EPT4735_2024-12-18.pdf</t>
  </si>
  <si>
    <t>Concrete (in-situ), 40MPa, Pre-mix Concrete EPT4035 (Barro Group) (Australia)</t>
  </si>
  <si>
    <t>EPD-IES-003392</t>
  </si>
  <si>
    <t>https://epd-australasia.com/wp-content/uploads/2025/01/EPD-IES-003392-001_BarroGroup_EPT4035_2024-12-18.pdf</t>
  </si>
  <si>
    <t>Concrete (in-situ), 40MPa, Pre-mix Concrete EPT4050 (Barro Group) (Australia)</t>
  </si>
  <si>
    <t>EPD-IES-003434</t>
  </si>
  <si>
    <t>https://epd-australasia.com/wp-content/uploads/2025/01/EPD-IES-003434-001_BarroGroup_EPT4050_2024-12-18.pdf</t>
  </si>
  <si>
    <t>Concrete (in-situ), 40MPa, Pre-mix Concrete EPT4065 (Barro Group) (Australia)</t>
  </si>
  <si>
    <t>EPD-IES-003453</t>
  </si>
  <si>
    <t>https://epd-australasia.com/wp-content/uploads/2025/01/EPD-IES-003453-001_BarroGroup_EPT4065_2024-12-18.pdf</t>
  </si>
  <si>
    <t>Concrete (in-situ), 40MPa, Pre-mix Concrete EPG40L (Barro Group) (Australia)</t>
  </si>
  <si>
    <t>EPD-IES-003913</t>
  </si>
  <si>
    <t>https://epd-australasia.com/wp-content/uploads/2025/01/EPD-IES-003913-001_BarroGroup_EPG40L_2024-12-18.pdf</t>
  </si>
  <si>
    <t>Concrete (in-situ), 40MPa, Pre-mix Concrete EPT4735L (Barro Group) (Australia)</t>
  </si>
  <si>
    <t>EPD-IES-003925</t>
  </si>
  <si>
    <t>https://epd-australasia.com/wp-content/uploads/2025/01/EPD-IES-003925-001_BarroGroup_EPT4735L_2024-12-18.pdf</t>
  </si>
  <si>
    <t>Concrete (in-situ), 40MPa, Pre-mix Concrete EPT4035L (Barro Group) (Australia)</t>
  </si>
  <si>
    <t>EPD-IES-003954</t>
  </si>
  <si>
    <t>https://epd-australasia.com/wp-content/uploads/2025/01/EPD-IES-003954-001_BarroGroup_EPT4035L_2024-12-18.pdf</t>
  </si>
  <si>
    <t>Concrete (in-situ), 40MPa, Pre-mix Concrete EPT4050L (Barro Group) (Australia)</t>
  </si>
  <si>
    <t>EPD-IES-003963</t>
  </si>
  <si>
    <t>https://epd-australasia.com/wp-content/uploads/2025/01/EPD-IES-003963-001_BarroGroup_EPT4050L_2024-12-18.pdf</t>
  </si>
  <si>
    <t>Concrete (in-situ), 40MPa, Pre-mix Concrete EPT4065L (Barro Group) (Australia)</t>
  </si>
  <si>
    <t>EPD-IES-004958</t>
  </si>
  <si>
    <t>https://epd-australasia.com/wp-content/uploads/2025/01/EPD-IES-004958-001_BarroGroup_EPT4065L_2024-12-18.pdf</t>
  </si>
  <si>
    <t>Concrete (in-situ), , ENVISIA concrete in-situ Melb metro - 50 MPa (Boral) (Australia)</t>
  </si>
  <si>
    <t>Concrete (in-situ), , Envirocrete plus concrete in-situ Melb metro - 50 MPa (Boral) (Australia)</t>
  </si>
  <si>
    <t>Concrete (in-situ), , Envirocrete concrete in-situ Melb metro - 50 MPa (Boral) (Australia)</t>
  </si>
  <si>
    <t>Concrete (in-situ), , Envirocrete 40% concrete in-situ Melb metro - 50 MPa (Boral) (Australia)</t>
  </si>
  <si>
    <t>Concrete (in-situ), , Envirocrete 30% concrete in-situ Melb metro - 50 MPa (Boral) (Australia)</t>
  </si>
  <si>
    <t>Concrete (in-situ), , Normal GP blend concrete in-situ Melb metro - 50 MPa (Boral) (Australia)</t>
  </si>
  <si>
    <t>Concrete (in-situ), , Normal GP /FA blend blend concrete in-situ Melb metro - 50 MPa (Boral) (Australia)</t>
  </si>
  <si>
    <t>Concrete (in-situ), , Normal GP /GGBFS blend blend concrete in-situ Melb metro - 50 MPa (Boral) (Australia)</t>
  </si>
  <si>
    <t>Concrete (in-situ), , ENVISIA concrete in-situ Perth metro - 50 MPa (Boral) (Australia)</t>
  </si>
  <si>
    <t>Concrete (in-situ), , Envirocrete plus concrete in-situ Perth metro - 50 MPa (Boral) (Australia)</t>
  </si>
  <si>
    <t>Concrete (in-situ), , Envirocrete concrete in-situ Perth metro - 50 MPa (Boral) (Australia)</t>
  </si>
  <si>
    <t>Concrete (in-situ), , Envirocrete 30% concrete in-situ Perth metro - 50 MPa (Boral) (Australia)</t>
  </si>
  <si>
    <t>Concrete (in-situ), , Normal GP blend concrete in-situ Perth metro - 50 MPa (Boral) (Australia)</t>
  </si>
  <si>
    <t>Concrete (in-situ), , Normal GP /GGBFS blend blend concrete in-situ Perth metro - 50 MPa (Boral) (Australia)</t>
  </si>
  <si>
    <t>Concrete (in-situ), , ENVISIA concrete in-situ QLD metro - 50 MPa (Boral) (Australia)</t>
  </si>
  <si>
    <t>Concrete (in-situ), , Envirocrete plus concrete in-situ QLD metro - 50 MPa (Boral) (Australia)</t>
  </si>
  <si>
    <t>Concrete (in-situ), , Envirocrete 40% concrete in-situ QLD metro - 50 MPa (Boral) (Australia)</t>
  </si>
  <si>
    <t>Concrete (in-situ), , Envirocrete 30% concrete in-situ QLD metro - 50 MPa (Boral) (Australia)</t>
  </si>
  <si>
    <t>Concrete (in-situ), , Normal GP blend concrete in-situ QLD metro - 50 MPa (Boral) (Australia)</t>
  </si>
  <si>
    <t>Concrete (in-situ), , Concrete in-situ QLD metro High slump 50 MPa (Boral) (Australia)</t>
  </si>
  <si>
    <t>50 MPa, , Normal Class 50MPa - straight cement (Gunlake) (Australia)</t>
  </si>
  <si>
    <t>50 MPa, , Normal Class 50MPa (NC5028PCI) - cement and fly-ash (Gunlake) (Australia)</t>
  </si>
  <si>
    <t>50 MPa, , Normal Class 50MPa (NC502APD) - cement, slag and fly-ash (Gunlake) (Australia)</t>
  </si>
  <si>
    <t>50 MPa, , Special Class 50MPa (GD502AP2) - green star mix with cement, high slag and fly-ash (Gunlake) (Australia)</t>
  </si>
  <si>
    <t>50 MPa, , Column &amp; Wall 50 MPa • Indicative Cement Replacement - Fly Ash/GGBFS (Hymix) (Australia)</t>
  </si>
  <si>
    <t>50 MPa, , Post Tension 50 MPa • 43% Indicative Cement Replacement - Fly Ash/GGBFS (Hymix) (Australia)</t>
  </si>
  <si>
    <t>50 MPa, , Pump 50 MPa • 25% Indicative Cement Replacement, Fly Ash/GGBFS/Silica Fume (Hymix) (Australia)</t>
  </si>
  <si>
    <t>50 MPa, , Post Tension 50 MPa 25% Indicative Cement Replacement — GGBFS (Hymix) (Australia)</t>
  </si>
  <si>
    <t>50 MPa, , Tower Columns &amp; Wall 50 MPa 50% Indicative Cement Replacement - Fly Ash/GGBFS Blend (Hymix) (Australia)</t>
  </si>
  <si>
    <t>50 MPa, , Tower Columns &amp; Wall 50 MPa 28% Indicative Cement Replacement - Fly Ash/GGBFS/SiIica Fume Blend (Hymix) (Australia)</t>
  </si>
  <si>
    <t>50 MPa, , Tower Jumpform - Core 50 MPa 28% Indicative Cement Replacement - Fly Ash/GGBFS/Silica Fume Blend (Hymix) (Australia)</t>
  </si>
  <si>
    <t>50 MPa, , ENVISIA 50 MPa (Boral) (Australia)</t>
  </si>
  <si>
    <t>50 MPa, , ENVIROCRETE PLUS 50 MPa (Boral) (Australia)</t>
  </si>
  <si>
    <t>50 MPa, , ENVIROCRETE 40% 50 MPa (Boral) (Australia)</t>
  </si>
  <si>
    <t>50 MPa, , ENVIROCRETE 30% 50 MPa (Boral) (Australia)</t>
  </si>
  <si>
    <t>50 MPa, , ENVIROCRETE 50 MPa (Boral) (Australia)</t>
  </si>
  <si>
    <t>50 MPa, , NORMAL CLASS GP BLEND 50 MPa (Boral) (Australia)</t>
  </si>
  <si>
    <t>50 MPa, , NORMAL CLASS GP/FA BLEND 50 MPa (Boral) (Australia)</t>
  </si>
  <si>
    <t>50 MPa, , NORMAL CLASS GP/GGBFS BLEND 50 MPa (Boral) (Australia)</t>
  </si>
  <si>
    <t>50 MPa, , VR450 50 MPa GP/SLAG (Boral) (Australia)</t>
  </si>
  <si>
    <t>50 MPa, , VR450 50 MPa GP/FA (Boral) (Australia)</t>
  </si>
  <si>
    <t>50 MPa, , VR450 50 MPa TREMIE GP/SLAG (Boral) (Australia)</t>
  </si>
  <si>
    <t>50 MPa, , VR450 50 MPa TREMIE/CFA GP/SLAG (Boral) (Australia)</t>
  </si>
  <si>
    <t>50 MPa, , HIGH SLUMP 50 MPa (Boral) (Australia)</t>
  </si>
  <si>
    <t>50 MPa, , TREMIE 50 MPa (Boral) (Australia)</t>
  </si>
  <si>
    <t>50 MPa, , VR450 50 MPa GP (Boral) (Australia)</t>
  </si>
  <si>
    <t>50 MPa, TAS, VR450/50/EXP CL C concrete  manufactured in our Northern Region (Hazell Bros Concrete Pty Ltd) (Australia)</t>
  </si>
  <si>
    <t>EPD-IES-0014056:001 (S-P-14056)</t>
  </si>
  <si>
    <t>https://epd-australasia.com/?s=0014056:001&amp;post_type=epd</t>
  </si>
  <si>
    <t>50 MPa, TAS, VR450/50/EXP CL C concrete  manufactured in our Southern Region (Hazell Bros Concrete Pty Ltd) (Australia)</t>
  </si>
  <si>
    <t>EPD-IES-0014084:001 (S-P-14084)</t>
  </si>
  <si>
    <t>https://epd-australasia.com/?s=0014084:001&amp;post_type=epd</t>
  </si>
  <si>
    <t>50 MPa, NSW, Concrete: S50/10/100 manufactured at Prestons (Advanced Readymix) (Australia)</t>
  </si>
  <si>
    <t>EPD-IES-0013959:001 (S-P-13959)</t>
  </si>
  <si>
    <t>https://epd-australasia.com/?s=0013959:001&amp;post_type=epd</t>
  </si>
  <si>
    <t>50 MPa, NSW, Concrete: AD50PANW, AL50PANW, PE50PANW manufactured at Prestons (Advanced Readymix) (Australia)</t>
  </si>
  <si>
    <t>EPD-IES-0013928:001 (S-P-13928)</t>
  </si>
  <si>
    <t>https://epd-australasia.com/?s=0013928:001&amp;post_type=epd</t>
  </si>
  <si>
    <t>50 MPa, NSW, Concrete: AD50PANW, AL50PANW, PE50PANW manufactured at Seven Hills (Advanced Readymix) (Australia)</t>
  </si>
  <si>
    <t>EPD-IES-0013966:001 (S-P-13966)</t>
  </si>
  <si>
    <t>https://epd-australasia.com/?s=0013966:001&amp;post_type=epd</t>
  </si>
  <si>
    <t>50 MPa, NSW, Concrete: AD50PANW, AL50PANW, PE50PANW manufactured at Smithfield (Advanced Readymix) (Australia)</t>
  </si>
  <si>
    <t>EPD-IES-0014004:001 (S-P-14004)</t>
  </si>
  <si>
    <t>https://epd-australasia.com/?s=0014004:001&amp;post_type=epd</t>
  </si>
  <si>
    <t>50 MPa, NSW, Concrete: S50/10/100 manufactured at Smithfield (Advanced Readymix) (Australia)</t>
  </si>
  <si>
    <t>EPD-IES-0014035:001 (S-P-14035)</t>
  </si>
  <si>
    <t>https://epd-australasia.com/?s=0014035:001&amp;post_type=epd</t>
  </si>
  <si>
    <t>50 MPa, NSW, Concrete: AD50PAN, AL50PAN, PE50PAN manufactured at Prestons (Advanced Readymix) (Australia)</t>
  </si>
  <si>
    <t>EPD-IES-0013927:001 (S-P-13927)</t>
  </si>
  <si>
    <t>https://epd-australasia.com/?s=0013927:001&amp;post_type=epd</t>
  </si>
  <si>
    <t>50 MPa, NSW, Concrete: AD50PAN, AL50PAN, PE50PAN manufactured at Seven Hills (Advanced Readymix) (Australia)</t>
  </si>
  <si>
    <t>EPD-IES-0013965:001 (S-P-13965)</t>
  </si>
  <si>
    <t>https://epd-australasia.com/?s=0013965:001&amp;post_type=epd</t>
  </si>
  <si>
    <t>50 MPa, NSW, Concrete: AD50PAN, AL50PAN, PE50PAN manufactured at Smithfield (Advanced Readymix) (Australia)</t>
  </si>
  <si>
    <t>EPD-IES-0014003:001 (S-P-14003)</t>
  </si>
  <si>
    <t>https://epd-australasia.com/?s=0014003:001&amp;post_type=epd</t>
  </si>
  <si>
    <t>50 MPa, NSW, Concrete: S50/20/100 manufactured at Prestons (Advanced Readymix) (Australia)</t>
  </si>
  <si>
    <t>EPD-IES-0013960:001 (S-P-13960)</t>
  </si>
  <si>
    <t>https://epd-australasia.com/?s=0013960:001&amp;post_type=epd</t>
  </si>
  <si>
    <t>50 MPa, NSW, Concrete: S50/20/100 manufactured at Smithfield (Advanced Readymix) (Australia)</t>
  </si>
  <si>
    <t>EPD-IES-0014036:001 (S-P-14036)</t>
  </si>
  <si>
    <t>https://epd-australasia.com/?s=0014036:001&amp;post_type=epd</t>
  </si>
  <si>
    <t>50 MPa, NSW, Concrete: NS50/20/100 manufactured at Prestons (Advanced Readymix) (Australia)</t>
  </si>
  <si>
    <t>EPD-IES-0013945:001 (S-P-13945)</t>
  </si>
  <si>
    <t>https://epd-australasia.com/?s=0013945:001&amp;post_type=epd</t>
  </si>
  <si>
    <t>50 MPa, NSW, Concrete: NS50/20/100 (Advanced Readymix) (Australia)</t>
  </si>
  <si>
    <t>EPD-IES-0014021:001 (S-P-14021)</t>
  </si>
  <si>
    <t>https://epd-australasia.com/?s=0014021:001&amp;post_type=epd</t>
  </si>
  <si>
    <t>50 MPa, NSW, Concrete: NS50/20/80 manufactured at Prestons (Advanced Readymix) (Australia)</t>
  </si>
  <si>
    <t>EPD-IES-0013946:001 (S-P-13946)</t>
  </si>
  <si>
    <t>https://epd-australasia.com/?s=0013946:001&amp;post_type=epd</t>
  </si>
  <si>
    <t>50 MPa, NSW, Concrete: NS50/20/80 manufactured at Smithfield (Advanced Readymix) (Australia)</t>
  </si>
  <si>
    <t>EPD-IES-0014022:001 (S-P-14022)</t>
  </si>
  <si>
    <t>https://epd-australasia.com/?s=0014022:001&amp;post_type=epd</t>
  </si>
  <si>
    <t>50 MPa, TAS, N50/20N concrete  manufactured in our Southern Region (Hazell Bros Concrete Pty Ltd) (Australia)</t>
  </si>
  <si>
    <t>EPD-IES-0014071:001 (S-P-14071)</t>
  </si>
  <si>
    <t>https://epd-australasia.com/?s=0014071:001&amp;post_type=epd</t>
  </si>
  <si>
    <t>50 MPa, TAS, N50/20N/SCM concrete  manufactured in our Southern Region (Hazell Bros Concrete Pty Ltd) (Australia)</t>
  </si>
  <si>
    <t>EPD-IES-0014077:001 (S-P-14077)</t>
  </si>
  <si>
    <t>https://epd-australasia.com/?s=0014077:001&amp;post_type=epd</t>
  </si>
  <si>
    <t>50 MPa, NSW, Pre-mix concrete GS5020-1 (Western Suburbs Concrete) (Australia)</t>
  </si>
  <si>
    <t>EPD-IES-0013800:001 (S-P-13800)</t>
  </si>
  <si>
    <t>https://epd-australasia.com/?s=0013800:001&amp;post_type=epd</t>
  </si>
  <si>
    <t>50 MPa, TAS, N50/20N concrete manufactured in our Northern Region (Hazell Bros Concrete Pty Ltd) (Australia)</t>
  </si>
  <si>
    <t>EPD-IES-0014044:001 (S-P-14044)</t>
  </si>
  <si>
    <t>https://epd-australasia.com/?s=0014044:001&amp;post_type=epd</t>
  </si>
  <si>
    <t>50 MPa, NSW, Pre-mix concrete GS5020-2 (Western Suburbs Concrete) (Australia)</t>
  </si>
  <si>
    <t>EPD-IES-0013805:001 (S-P-13805)</t>
  </si>
  <si>
    <t>https://epd-australasia.com/?s=0013805:001&amp;post_type=epd</t>
  </si>
  <si>
    <t>50 MPa, NSW, Pre-mix concrete WN5020 (Western Suburbs Concrete) (Australia)</t>
  </si>
  <si>
    <t>EPD-IES-0013825:001 (S-P-13825)</t>
  </si>
  <si>
    <t>https://epd-australasia.com/?s=0013825:001&amp;post_type=epd</t>
  </si>
  <si>
    <t>50 MPa, NSW, Pre-mix concrete WGS5020-1 (Western Suburbs Concrete) (Australia)</t>
  </si>
  <si>
    <t>EPD-IES-0013810:001 (S-P-13810)</t>
  </si>
  <si>
    <t>https://epd-australasia.com/?s=0013810:001&amp;post_type=epd</t>
  </si>
  <si>
    <t>50 MPa, NSW, Pre-mix concrete WGS5020-2 (Western Suburbs Concrete) (Australia)</t>
  </si>
  <si>
    <t>EPD-IES-0013815:001 (S-P-13815)</t>
  </si>
  <si>
    <t>https://epd-australasia.com/?s=0013815:001&amp;post_type=epd</t>
  </si>
  <si>
    <t>50 MPa, TAS, N50/20N/SCM concrete manufactured in our Northern Region (Hazell Bros Concrete Pty Ltd) (Australia)</t>
  </si>
  <si>
    <t>EPD-IES-0014050:001 (S-P-14050)</t>
  </si>
  <si>
    <t>https://epd-australasia.com/?s=0014050:001&amp;post_type=epd</t>
  </si>
  <si>
    <t>50 MPa, NSW, Concrete: NS50/20/100 manufactured at Seven Hills (Advanced Readymix) (Australia)</t>
  </si>
  <si>
    <t>EPD-IES-0013983:001 (S-P-13983)</t>
  </si>
  <si>
    <t>https://epd-australasia.com/?s=0013983:001&amp;post_type=epd</t>
  </si>
  <si>
    <t>50 MPa, NSW, Concrete: S50/10/100 manufactured at Seven Hills (Advanced Readymix) (Australia)</t>
  </si>
  <si>
    <t>EPD-IES-0013997:001 (S-P-13997)</t>
  </si>
  <si>
    <t>https://epd-australasia.com/?s=0013997:001&amp;post_type=epd</t>
  </si>
  <si>
    <t>50 MPa, NSW, Readymix concrete: ECO52TER433 (Daracrete Pty Ltd) (Australia)</t>
  </si>
  <si>
    <t>EPD-IES-0016617:001</t>
  </si>
  <si>
    <t>https://epd-australasia.com/?s=0016617:001&amp;post_type=epd</t>
  </si>
  <si>
    <t>50 MPa, NSW, Concrete: NS50/20/80 manufactured at Seven Hills (Advanced Readymix) (Australia)</t>
  </si>
  <si>
    <t>EPD-IES-0013984:001 (S-P-13984)</t>
  </si>
  <si>
    <t>https://epd-australasia.com/?s=0013984:001&amp;post_type=epd</t>
  </si>
  <si>
    <t>50 MPa, NSW, Readymix concrete: PC5510HWC500 - 55MPa (Daracrete Pty Ltd) (Australia)</t>
  </si>
  <si>
    <t>EPD-IES-0016619:001</t>
  </si>
  <si>
    <t>https://epd-australasia.com/?s=0016619:001&amp;post_type=epd</t>
  </si>
  <si>
    <t>50 MPa, NSW, Concrete: S50/20/100 manufactured at Seven Hills (Advanced Readymix) (Australia)</t>
  </si>
  <si>
    <t>EPD-IES-0013998:001 (S-P-13998)</t>
  </si>
  <si>
    <t>https://epd-australasia.com/?s=0013998:001&amp;post_type=epd</t>
  </si>
  <si>
    <t>50 MPa, NSW, Readymix concrete: PC5520180 (Daracrete Pty Ltd) (Australia)</t>
  </si>
  <si>
    <t>EPD-IES-0016620:001</t>
  </si>
  <si>
    <t>https://epd-australasia.com/?s=0016620:001&amp;post_type=epd</t>
  </si>
  <si>
    <t>Concrete, 65 MPa</t>
  </si>
  <si>
    <t>&gt;50 MPa to ≤65 MPa</t>
  </si>
  <si>
    <t>Concrete, 65 MPa, in-situ, no reinforcement, (SE651EAV) (Ecopact) (Holcim) (SA) (Adelaide)</t>
  </si>
  <si>
    <t>355</t>
  </si>
  <si>
    <t>0.40</t>
  </si>
  <si>
    <t>Concrete, 65 MPa, in-situ, no reinforcement, (SE651E3) (Ecopact) (Holcim) (SA) (Adelaide)</t>
  </si>
  <si>
    <t>339</t>
  </si>
  <si>
    <t>Concrete, 65 MPa, in-situ, no reinforcement, (SE651E5) (Ecopact) (Holcim) (SA) (Adelaide)</t>
  </si>
  <si>
    <t>Concrete, 65 MPa, in-situ, no reinforcement, (65MPa 14MM TREMIE 160 SLUMP) (Adbri) (VIC)</t>
  </si>
  <si>
    <t>Concrete, 65 MPa, in-situ, no reinforcement, (VE651EAV) (Ecopact) (Holcim) (VIC)</t>
  </si>
  <si>
    <t>344</t>
  </si>
  <si>
    <t>Concrete, 65 MPa, in-situ, no reinforcement, (QE651E200) (Ecopact) (Holcim) (QLD) (Brisbane)</t>
  </si>
  <si>
    <t>Concrete, 65 MPa, in-situ, no reinforcement, (QE651EDUF) (Ecopact) (Holcim) (QLD) (Brisbane)</t>
  </si>
  <si>
    <t>Concrete, 65 MPa, in-situ, no reinforcement, (QE651E200) (Ecopact) (Holcim) (QLD), Gold Coast</t>
  </si>
  <si>
    <t>348</t>
  </si>
  <si>
    <t>Concrete, 65 MPa, in-situ, no reinforcement, (QE651ELCF) (Ecopact) (Holcim) (QLD) (Brisbane)</t>
  </si>
  <si>
    <t>370</t>
  </si>
  <si>
    <t>Concrete, 65 MPa, in-situ, no reinforcement, (QE651ECFA) (Ecopact) (Holcim) (QLD) (Brisbane)</t>
  </si>
  <si>
    <t>369</t>
  </si>
  <si>
    <t>Concrete, 55 MPa</t>
  </si>
  <si>
    <t>Concrete, 55 MPa, in-situ, no reinforcement, (VE552EVR3) (Ecopact) (Holcim) (VIC)</t>
  </si>
  <si>
    <t>Concrete, 65 MPa, in-situ, no reinforcement, (65MPa 14MM
SUPER WORKABLE CONCRETE) (Adbri) (VIC)</t>
  </si>
  <si>
    <t>Concrete, 60 MPa</t>
  </si>
  <si>
    <t>Concrete, 60 MPa, in-situ, no reinforcement, (Futurecrete®  Ultra S60MPA PILE/ TREMIE 10MM SP) (Adbri) (NSW)</t>
  </si>
  <si>
    <t>Concrete, 65 MPa, in-situ, no reinforcement, (VS654FSWC) (Holcim) (VIC)</t>
  </si>
  <si>
    <t>409.54</t>
  </si>
  <si>
    <t>Concrete, 55 MPa, in-situ, no reinforcement, (VS552FVRT) (Holcim) (VIC)</t>
  </si>
  <si>
    <t>303.35</t>
  </si>
  <si>
    <t>Concrete, 65 MPa, in-situ, no reinforcement, Pre-mix Concrete HIGH SLUMP (Boral) (ACT), (Canberra) HIGH SLUMP 65MPa</t>
  </si>
  <si>
    <t>Concrete, 65 MPa, in-situ, no reinforcement, Pre-mix Concrete ENVISIA (Boral) (ACT), (Canberra) ENVISIA 65MPa</t>
  </si>
  <si>
    <t>Concrete, 65 MPa, in-situ, no reinforcement, Pre-mix Concrete TREMIE (Boral) (ACT), (Canberra) TREMIE 65MPa</t>
  </si>
  <si>
    <t>Concrete, 65 MPa, in-situ, no reinforcement, Pre-mix Concrete ENVISIA (Boral) (NSW), (Newcastle) ENVISIA 65MPa</t>
  </si>
  <si>
    <t>Concrete, 65 MPa, in-situ, no reinforcement, Pre-mix Concrete HIGH SLUMP (Boral) (NSW), (Newcastle) HIGH SLUMP 65MPa</t>
  </si>
  <si>
    <t>Concrete, 65 MPa, in-situ, no reinforcement, Pre-mix Concrete TREMIE (Boral) (NSW), (Newcastle) TREMIE 65MPa</t>
  </si>
  <si>
    <t>Concrete, 65 MPa, in-situ, no reinforcement, Pre-mix Concrete TREMIE (Boral) (NSW), (Sydney) TREMIE 65MPa</t>
  </si>
  <si>
    <t>Concrete, 65 MPa, in-situ, no reinforcement, Pre-mix Concrete ENVISIA (Boral) (NSW), (Sydney) ENVISIA 65MPa</t>
  </si>
  <si>
    <t>Concrete, 65 MPa, in-situ, no reinforcement, Pre-mix Concrete HIGH SLUMP (Boral) (NSW), (Sydney) HIGH SLUMP 65MPa</t>
  </si>
  <si>
    <t>Concrete, 65 MPa, in-situ, no reinforcement, Pre-mix Concrete ENVISIA (Boral) (NSW), (Wollongong) ENVISIA 65MPa</t>
  </si>
  <si>
    <t>Concrete, 65 MPa, in-situ, no reinforcement, Pre-mix Concrete HIGH SLUMP (Boral) (NSW), (Wollongong) HIGH SLUMP 65MPa</t>
  </si>
  <si>
    <t>Concrete, 65 MPa, in-situ, no reinforcement, Pre-mix Concrete TREMIE (Boral) (NSW), (Wollongong) TREMIE 65MPa</t>
  </si>
  <si>
    <t>Concrete, 65 MPa, in-situ, no reinforcement, Pre-mix Concrete HIGH STRENGTH (Boral) (TAS), (Hobart) HIGH STRENGTH 65 MPa</t>
  </si>
  <si>
    <t>Concrete, 65 MPa, in-situ, no reinforcement, Pre-mix Concrete HIGH STRENGTH (Boral) (TAS), (Launceston) HIGH STRENGTH 65 MPa</t>
  </si>
  <si>
    <t>Concrete, 65 MPa, in-situ, no reinforcement, AH6484, Special Class (WA Premix) (WA), (Perth)</t>
  </si>
  <si>
    <t>Concrete, 65 MPa, in-situ, no reinforcement, AH1465, Special Class (WA Premix) (WA), (Perth)</t>
  </si>
  <si>
    <t>Concrete, 65 MPa, in-situ, no reinforcement, BP6500, Special Class (WA Premix) (WA), (Perth)</t>
  </si>
  <si>
    <t>Concrete, 65 MPa, in-situ, no reinforcement, BP8500, Special Class (WA Premix) (WA), (Perth)</t>
  </si>
  <si>
    <t>Concrete, 65 MPa, in-situ, no reinforcement, Ready-Mix Concrete (LC)50 (Concrite) (NSW) (Sydney Region, NSW)</t>
  </si>
  <si>
    <t>Concrete, 65 MPa, in-situ, no reinforcement, Ready-Mix Concrete (LCP) (Concrite) (NSW) (Sydney Region, NSW)</t>
  </si>
  <si>
    <t>Concrete, 65 MPa, in-situ, no reinforcement, Ready-Mix Concrete HIGH STRENGTH (Concrite) (NSW) (Sydney Region, NSW)</t>
  </si>
  <si>
    <t>Concrete, 64 MPa</t>
  </si>
  <si>
    <t>Concrete, 64 MPa, in-situ, no reinforcement, (Futurecrete®  Ultra S65MPA PILE/ TREMIE 10MM SP
) (Adbri) (NSW)</t>
  </si>
  <si>
    <t>Concrete, 65 MPa, in-situ, no reinforcement, (Futurecrete® S65MPA JUMP/ SLIP/COLUMNS 10MM SP) (Adbri) (NSW)</t>
  </si>
  <si>
    <t>Concrete, 65 MPa, in-situ, no reinforcement, (QE651EDUF) (Ecopact) (Holcim) (QLD), Gold Coast</t>
  </si>
  <si>
    <t>Concrete (in-situ), 65MPa, Pre-mix Concrete E65SP (Barro Group) (Australia)</t>
  </si>
  <si>
    <t>EPD-IES-003017</t>
  </si>
  <si>
    <t>https://epd-australasia.com/wp-content/uploads/2025/01/EPD-IES-003017-001_BarroGroup_E65SP_2024-12-18.pdf</t>
  </si>
  <si>
    <t>Concrete (in-situ), 65MPa, Pre-mix Concrete E65N56PUD (Barro Group) (Australia)</t>
  </si>
  <si>
    <t>EPD-IES-003304</t>
  </si>
  <si>
    <t>https://epd-australasia.com/wp-content/uploads/2025/01/EPD-IES-003304-001_BarroGroup_E65N56PUD_2024-12-18.pdf</t>
  </si>
  <si>
    <t>Concrete (in-situ), 65MPa, Pre-mix Concrete E65SPHE (Barro Group) (Australia)</t>
  </si>
  <si>
    <t>EPD-IES-003334</t>
  </si>
  <si>
    <t>https://epd-australasia.com/wp-content/uploads/2025/01/EPD-IES-003334-001_BarroGroup_E65SPHE_2024-12-18.pdf</t>
  </si>
  <si>
    <t>Concrete (in-situ), , ENVISIA concrete in-situ Melb metro - 65 MPa (Boral) (Australia)</t>
  </si>
  <si>
    <t>Concrete (in-situ), , ENVISIA concrete in-situ Perth metro - 65 MPa (Boral) (Australia)</t>
  </si>
  <si>
    <t>Concrete (in-situ), , Envirocrete plus concrete in-situ Perth metro - 65 MPa (Boral) (Australia)</t>
  </si>
  <si>
    <t>Concrete (in-situ), , Envirocrete concrete in-situ Perth metro - 65 MPa (Boral) (Australia)</t>
  </si>
  <si>
    <t>Concrete (in-situ), , Concrete in-situ QLD metro High slump 65MPa (Boral) (Australia)</t>
  </si>
  <si>
    <t>65 MPa, , Special Class 65MPa (HS651DPD) - high-strength with cement, high slag and fly-ash  (Gunlake) (Australia)</t>
  </si>
  <si>
    <t>65 MPa, , Pump 65 MPa • 50% Indicative Cement Replacement • GGBFSF/Silica Fume (Hymix) (Australia)</t>
  </si>
  <si>
    <t>65 MPa, , Post Tension 65 MPa 44% Indicative Cement Replacement - GGBFS/Silica Fume Blend (Hymix) (Australia)</t>
  </si>
  <si>
    <t>65 MPa, , Tower Jumpform - Core 65 MPa 33% Indicative Cement Replacement - Fly Ash/GGBFS/Silica Fume Blend (Hymix) (Australia)</t>
  </si>
  <si>
    <t>65 MPa, , Puddle Pour 65 MPa 50% Indicative Cement Replacement - GGBFS/SiIica Fume Blend (Hymix) (Australia)</t>
  </si>
  <si>
    <t>65 MPa, , Tower Columns &amp; Wall 65 MPa 33% Indicative Cement Replacement - Fly Ash/GGBFS/SiIica Fume Blend (Hymix) (Australia)</t>
  </si>
  <si>
    <t>65 MPa, , ENVISIA 65 MPa (Boral) (Australia)</t>
  </si>
  <si>
    <t>65 MPa, , HIGH SLUMP 65 MPa (Boral) (Australia)</t>
  </si>
  <si>
    <t>65 MPa, NSW, Concrete: AD65HE, AL65HE, PE65HE manufactured at Prestons (Advanced Readymix) (Australia)</t>
  </si>
  <si>
    <t>EPD-IES-0013929:001 (S-P-13929)</t>
  </si>
  <si>
    <t>https://epd-australasia.com/?s=0013929:001&amp;post_type=epd</t>
  </si>
  <si>
    <t>65 MPa, NSW, Concrete: AD65HE, AL65HE, PE65HE manufactured at Seven Hills (Advanced Readymix) (Australia)</t>
  </si>
  <si>
    <t>EPD-IES-0013967:001 (S-P-13967)</t>
  </si>
  <si>
    <t>https://epd-australasia.com/?s=0013967:001&amp;post_type=epd</t>
  </si>
  <si>
    <t>65 MPa, NSW, Concrete: AD65HE, AL65HE, PE65HE manufactured at Smithfield (Advanced Readymix) (Australia)</t>
  </si>
  <si>
    <t>EPD-IES-0014005:001 (S-P-14005)</t>
  </si>
  <si>
    <t>https://epd-australasia.com/?s=0014005:001&amp;post_type=epd</t>
  </si>
  <si>
    <t>65 MPa, NSW, Concrete: S65/20/100 manufactured at Prestons (Advanced Readymix) (Australia)</t>
  </si>
  <si>
    <t>EPD-IES-0013962:001 (S-P-13962)</t>
  </si>
  <si>
    <t>https://epd-australasia.com/?s=0013962:001&amp;post_type=epd</t>
  </si>
  <si>
    <t>65 MPa, NSW, Concrete: S65/20/100 manufactured at Smithfield (Advanced Readymix) (Australia)</t>
  </si>
  <si>
    <t>EPD-IES-0014038:001 (S-P-14038)</t>
  </si>
  <si>
    <t>https://epd-australasia.com/?s=0014038:001&amp;post_type=epd</t>
  </si>
  <si>
    <t>65 MPa, NSW, Concrete: S65/10/100 manufactured at Prestons (Advanced Readymix) (Australia)</t>
  </si>
  <si>
    <t>EPD-IES-0013961:001 (S-P-13961)</t>
  </si>
  <si>
    <t>https://epd-australasia.com/?s=0013961:001&amp;post_type=epd</t>
  </si>
  <si>
    <t>65 MPa, NSW, Concrete: S65/10/100 manufactured at Smithfield (Advanced Readymix) (Australia)</t>
  </si>
  <si>
    <t>EPD-IES-0014037:001 (S-P-14037)</t>
  </si>
  <si>
    <t>https://epd-australasia.com/?s=0014037:001&amp;post_type=epd</t>
  </si>
  <si>
    <t>60 MPa, NSW, Readymix concrete: Z6010FLOW650 (Daracrete Pty Ltd) (Australia)</t>
  </si>
  <si>
    <t>EPD-IES-0016621:001</t>
  </si>
  <si>
    <t>https://epd-australasia.com/?s=0016621:001&amp;post_type=epd</t>
  </si>
  <si>
    <t>60 MPa, NSW, Readymix concrete: Z6020FLOW650 (Daracrete Pty Ltd) (Australia)</t>
  </si>
  <si>
    <t>EPD-IES-0016623:001</t>
  </si>
  <si>
    <t>https://epd-australasia.com/?s=0016623:001&amp;post_type=epd</t>
  </si>
  <si>
    <t>60 MPa, NSW, Readymix concrete: Z6020FLOW475 (Daracrete Pty Ltd) (Australia)</t>
  </si>
  <si>
    <t>EPD-IES-0016622:001</t>
  </si>
  <si>
    <t>https://epd-australasia.com/?s=0016622:001&amp;post_type=epd</t>
  </si>
  <si>
    <t>60 MPa, NSW, Readymix concrete: ECO60C2475 (Daracrete Pty Ltd) (Australia)</t>
  </si>
  <si>
    <t>EPD-IES-0016618:001</t>
  </si>
  <si>
    <t>https://epd-australasia.com/?s=0016618:001&amp;post_type=epd</t>
  </si>
  <si>
    <t>60 MPa, NSW, Readymix concrete: Z62HWCB80475 (Daracrete Pty Ltd) (Australia)</t>
  </si>
  <si>
    <t>EPD-IES-0016624:001</t>
  </si>
  <si>
    <t>https://epd-australasia.com/?s=0016624:001&amp;post_type=epd</t>
  </si>
  <si>
    <t>65 MPa, NSW, Concrete: S65/20/100 manufactured at Seven Hills (Advanced Readymix) (Australia)</t>
  </si>
  <si>
    <t>EPD-IES-0014000:001 (S-P-14000)</t>
  </si>
  <si>
    <t>https://epd-australasia.com/?s=0014000:001&amp;post_type=epd</t>
  </si>
  <si>
    <t>65 MPa, NSW, Concrete: S65/10/100 manufactured at Seven Hills (Advanced Readymix) (Australia)</t>
  </si>
  <si>
    <t>EPD-IES-0013999:001 (S-P-13999)</t>
  </si>
  <si>
    <t>https://epd-australasia.com/?s=0013999:001&amp;post_type=epd</t>
  </si>
  <si>
    <t>Concrete, 80 MPa</t>
  </si>
  <si>
    <t>&gt;65 MPa to ≤80 MPa</t>
  </si>
  <si>
    <t>Concrete, 80 MPa, in-situ, no reinforcement, (VE801EAV) (Ecopact) (Holcim) (VIC)</t>
  </si>
  <si>
    <t>408</t>
  </si>
  <si>
    <t>Concrete, 80 MPa, in-situ, no reinforcement, (80MPa 14MM 150MM SLUMP CONCRETE) (Adbri) (VIC)</t>
  </si>
  <si>
    <t>Concrete, 80 MPa, in-situ, no reinforcement, (QE801EDUF) (Ecopact) (Holcim) (QLD), Gold Coast</t>
  </si>
  <si>
    <t>432</t>
  </si>
  <si>
    <t>Concrete, 80 MPa, in-situ, no reinforcement, (QE801E200) (Ecopact) (Holcim) (QLD) (Brisbane)</t>
  </si>
  <si>
    <t>419</t>
  </si>
  <si>
    <t>Concrete, 80 MPa, in-situ, no reinforcement, (QE801EDUF) (Ecopact) (Holcim) (QLD) (Brisbane)</t>
  </si>
  <si>
    <t>421</t>
  </si>
  <si>
    <t>Concrete, 80 MPa, in-situ, no reinforcement, Pre-mix Concrete ENVISIA 80MPa (Boral) (ACT), (Canberra) ENVISIA 80MPa</t>
  </si>
  <si>
    <t>Concrete, 80 MPa, in-situ, no reinforcement, Pre-mix Concrete HIGH SLUMP (Boral) (ACT), (Canberra) HIGH SLUMP 80MPa</t>
  </si>
  <si>
    <t>Concrete, 80 MPa, in-situ, no reinforcement, Pre-mix Concrete ENVISIA (Boral) (NSW), (Newcastle) ENVISIA 80MPa</t>
  </si>
  <si>
    <t>Concrete, 80 MPa, in-situ, no reinforcement, Pre-mix Concrete HIGH SLUMP (Boral) (NSW), (Newcastle) HIGH SLUMP 80MPa</t>
  </si>
  <si>
    <t>Concrete, 80 MPa, in-situ, no reinforcement, Pre-mix Concrete HIGH SLUMP (Boral) (NSW), (Sydney) HIGH SLUMP 80MPa</t>
  </si>
  <si>
    <t>Concrete, 80 MPa, in-situ, no reinforcement, Pre-mix Concrete ENVISIA (Boral) (NSW), (Sydney) ENVISIA 80MPa</t>
  </si>
  <si>
    <t>Concrete, 80 MPa, in-situ, no reinforcement, Pre-mix Concrete ENVISIA (Boral) (NSW), (Wollongong) ENVISIA 80MPa</t>
  </si>
  <si>
    <t>Concrete, 80 MPa, in-situ, no reinforcement, Pre-mix Concrete HIGH SLUMP (Boral) (NSW), (Wollongong) HIGH SLUMP 80MPa</t>
  </si>
  <si>
    <t>Concrete, 80 MPa, in-situ, no reinforcement, Ready-Mix Concrete (LC)50 (Concrite) (NSW) (Sydney Region, NSW)</t>
  </si>
  <si>
    <t>Concrete, 80 MPa, in-situ, no reinforcement, Ready-Mix Concrete HIGH STRENGTH (Concrite) (NSW) (Sydney Region, NSW)</t>
  </si>
  <si>
    <t>Concrete, 80 MPa, in-situ, no reinforcement, (NE801ELH)(Ecopact) (Holcim) (NSW), (Sydney)</t>
  </si>
  <si>
    <t>392</t>
  </si>
  <si>
    <t>390</t>
  </si>
  <si>
    <t>1.38</t>
  </si>
  <si>
    <t>Concrete, 80 MPa, in-situ, no reinforcement, (QE801E200) (Ecopact) (Holcim) (QLD), Gold Coast</t>
  </si>
  <si>
    <t>418</t>
  </si>
  <si>
    <t>417</t>
  </si>
  <si>
    <t>Concrete, 80 MPa, in-situ, no reinforcement, (80MPa 14MM
SUPER WORKABLE CONCRETE) (Adbri) (VIC)</t>
  </si>
  <si>
    <t>Concrete (in-situ), 80MPa, Pre-mix Concrete E80SP (Barro Group) (Australia)</t>
  </si>
  <si>
    <t>EPD-IES-003044</t>
  </si>
  <si>
    <t>https://epd-australasia.com/wp-content/uploads/2025/01/EPD-IES-003044-001_BarroGroup_E80SP_2024-12-18.pdf</t>
  </si>
  <si>
    <t>Concrete (in-situ), 80MPa, Pre-mix Concrete E80SPHE (Barro Group) (Australia)</t>
  </si>
  <si>
    <t>EPD-IES-003311</t>
  </si>
  <si>
    <t>https://epd-australasia.com/wp-content/uploads/2025/01/EPD-IES-003311-001_BarroGroup_E80SPHE_2024-12-18.pdf</t>
  </si>
  <si>
    <t>Concrete (in-situ), , Concrete in-situ QLD metro ASPIRE 45 Gpa - 80 MPa (Boral) (Australia)</t>
  </si>
  <si>
    <t>Concrete (in-situ), , Concrete in-situ QLD metro High slump 80 MPa (Boral) (Australia)</t>
  </si>
  <si>
    <t>80 MPa, , Special Class 80MPa (HS801DPD) - high-strength with cement, high slag, fly-ash and silica fume (Gunlake) (Australia)</t>
  </si>
  <si>
    <t>80 MPa, , Pump 80 MPa 39% Indicative Cement Replacement. Fly Ash/GGBFS/Silica Fume (Hymix) (Australia)</t>
  </si>
  <si>
    <t>80 MPa, , Pump 80 MPa • Indicative Cement Replacement. Fly Ash/GGBFS/Silica Fume (Hymix) (Australia)</t>
  </si>
  <si>
    <t>80 MPa, , Tower Jumpform - Core 80 MPa 36% Indicative Cement Replacement - Fly Ash/GGBFS/SiIica Fume Blend (Hymix) (Australia)</t>
  </si>
  <si>
    <t>80 MPa, , Transfer Slab 80 MPa 62% Indicative Cement Replacement - Fly Ash/GGBFS/Silica Fume Blend (Hymix) (Australia)</t>
  </si>
  <si>
    <t>80 MPa, , Tower Columns &amp; Wall 80 MPa 39% Indicative Cement Replacement - Fly Ash/GGBFS/Silica Fume Blend (Hymix) (Australia)</t>
  </si>
  <si>
    <t>80 MPa, , Puddle Pour 80 MPa 15% Indicative Cement Replacement - GGBFS/SiIica Fume Blend (Hymix) (Australia)</t>
  </si>
  <si>
    <t>80 MPa, , Puddle Pour 80 MPa 43% Indicative Cement Replacement - GGBFS/Silica Fume Blend (Hymix) (Australia)</t>
  </si>
  <si>
    <t>80 MPa, , HIGH SLUMP 80 MPa (Boral) (Australia)</t>
  </si>
  <si>
    <t>80 MPa, NSW, Concrete: AD80SL, AL80HE, PE80HE manufactured at Prestons (Advanced Readymix) (Australia)</t>
  </si>
  <si>
    <t>EPD-IES-0013930:001 (S-P-13930)</t>
  </si>
  <si>
    <t>https://epd-australasia.com/?s=0013930:001&amp;post_type=epd</t>
  </si>
  <si>
    <t>80 MPa, NSW, Concrete: AD80SL, AL80HE, PE80HE manufactured at Smithfield (Advanced Readymix) (Australia)</t>
  </si>
  <si>
    <t>EPD-IES-0014006:001 (S-P-14006)</t>
  </si>
  <si>
    <t>https://epd-australasia.com/?s=0014006:001&amp;post_type=epd</t>
  </si>
  <si>
    <t>80 MPa, NSW, Concrete: B80 B2 50MPA manufactured at Prestons (Advanced Readymix) (Australia)</t>
  </si>
  <si>
    <t>EPD-IES-0013933:001 (S-P-13933)</t>
  </si>
  <si>
    <t>https://epd-australasia.com/?s=0013933:001&amp;post_type=epd</t>
  </si>
  <si>
    <t>80 MPa, NSW, Concrete: B80 B2 50MPA manufactured at Smithfield (Advanced Readymix) (Australia)</t>
  </si>
  <si>
    <t>EPD-IES-0014009:001 (S-P-14009)</t>
  </si>
  <si>
    <t>https://epd-australasia.com/?s=0014009:001&amp;post_type=epd</t>
  </si>
  <si>
    <t>80 MPa, NSW, Concrete: B80 B1 40MPA manufactured at Prestons (Advanced Readymix) (Australia)</t>
  </si>
  <si>
    <t>EPD-IES-0013931:001 (S-P-13931)</t>
  </si>
  <si>
    <t>https://epd-australasia.com/?s=0013931:001&amp;post_type=epd</t>
  </si>
  <si>
    <t>80 MPa, NSW, Concrete: B80 B1 50MPA manufactured at Prestons (Advanced Readymix) (Australia)</t>
  </si>
  <si>
    <t>EPD-IES-0013932:001 (S-P-13932)</t>
  </si>
  <si>
    <t>https://epd-australasia.com/?s=0013932:001&amp;post_type=epd</t>
  </si>
  <si>
    <t>80 MPa, NSW, Concrete: B80 B1 40MPA manufactured at Smithfield (Advanced Readymix) (Australia)</t>
  </si>
  <si>
    <t>EPD-IES-0014007:001 (S-P-14007)</t>
  </si>
  <si>
    <t>https://epd-australasia.com/?s=0014007:001&amp;post_type=epd</t>
  </si>
  <si>
    <t>80 MPa, NSW, Concrete: B80 B1 50MPA manufactured at Smithfield (Advanced Readymix) (Australia)</t>
  </si>
  <si>
    <t>EPD-IES-0014008:001 (S-P-14008)</t>
  </si>
  <si>
    <t>https://epd-australasia.com/?s=0014008:001&amp;post_type=epd</t>
  </si>
  <si>
    <t>80 MPa, NSW, Concrete: B80 B2 50MPA manufactured at Seven Hills (Advanced Readymix) (Australia)</t>
  </si>
  <si>
    <t>EPD-IES-0013971:001 (S-P-13971)</t>
  </si>
  <si>
    <t>https://epd-australasia.com/?s=0013971:001&amp;post_type=epd</t>
  </si>
  <si>
    <t>80 MPa, NSW, Concrete: AD80SL, AL80HE, PE80HE manufactured at Seven Hills (Advanced Readymix) (Australia)</t>
  </si>
  <si>
    <t>EPD-IES-0013968:001 (S-P-13968)</t>
  </si>
  <si>
    <t>https://epd-australasia.com/?s=0013968:001&amp;post_type=epd</t>
  </si>
  <si>
    <t>80 MPa, NSW, Readymix concrete: B805020100 (Daracrete Pty Ltd) (Australia)</t>
  </si>
  <si>
    <t>EPD-IES-0016610:001</t>
  </si>
  <si>
    <t>https://epd-australasia.com/?s=0016610:001&amp;post_type=epd</t>
  </si>
  <si>
    <t>80 MPa, NSW, Readymix concrete: B805010100 (Daracrete Pty Ltd) (Australia)</t>
  </si>
  <si>
    <t>EPD-IES-0016609:001</t>
  </si>
  <si>
    <t>https://epd-australasia.com/?s=0016609:001&amp;post_type=epd</t>
  </si>
  <si>
    <t>80 MPa, NSW, Readymix concrete: B80B14190 (Daracrete Pty Ltd) (Australia)</t>
  </si>
  <si>
    <t>EPD-IES-0016611:001</t>
  </si>
  <si>
    <t>https://epd-australasia.com/?s=0016611:001&amp;post_type=epd</t>
  </si>
  <si>
    <t>80 MPa, NSW, Readymix concrete: B80B242BO90 (Daracrete Pty Ltd) (Australia)</t>
  </si>
  <si>
    <t>EPD-IES-0016612:001</t>
  </si>
  <si>
    <t>https://epd-australasia.com/?s=0016612:001&amp;post_type=epd</t>
  </si>
  <si>
    <t>80 MPa, NSW, Concrete: B80 B1 40MPA manufactured at Seven Hills (Advanced Readymix) (Australia)</t>
  </si>
  <si>
    <t>EPD-IES-0013969:001 (S-P-13969)</t>
  </si>
  <si>
    <t>https://epd-australasia.com/?s=0013969:001&amp;post_type=epd</t>
  </si>
  <si>
    <t>80 MPa, NSW, Concrete: B80 B1 50MPA manufactured at Seven Hills (Advanced Readymix) (Australia)</t>
  </si>
  <si>
    <t>EPD-IES-0013970:001 (S-P-13970)</t>
  </si>
  <si>
    <t>https://epd-australasia.com/?s=0013970:001&amp;post_type=epd</t>
  </si>
  <si>
    <t>Concrete, 100 MPa</t>
  </si>
  <si>
    <t>&gt;80 MPa +</t>
  </si>
  <si>
    <t>Concrete (in-situ), 100MPa, Pre-mix Concrete E100SP (Barro Group) (Australia)</t>
  </si>
  <si>
    <t>EPD-IES-003050</t>
  </si>
  <si>
    <t>https://epd-australasia.com/wp-content/uploads/2025/01/EPD-IES-003050-001_BarroGroup_E100SP_2024-12-18.pdf</t>
  </si>
  <si>
    <t>Concrete (in-situ), , Concrete in-situ QLD metro ASPIRE 50 Gpa - 100 MPa (Boral) (Australia)</t>
  </si>
  <si>
    <t>100 MPa, , Pump 100 MPa • 53% Indicative Cement Replacement • Fly Ash/GGBFS/Silica Fume (Hymix) (Australia)</t>
  </si>
  <si>
    <t>100 MPa, , Pump 100 MPa • 32% Indicative Cement Replacement. Fly Ash/GGBFS/Silica Fume (Hymix) (Australia)</t>
  </si>
  <si>
    <t>100 MPa, , Pump 100 MPa • 19% Indicative Cement Replacement - GGBFS/Silica Fume (Hymix) (Australia)</t>
  </si>
  <si>
    <t>100 MPa, , Tower Columns &amp; Wall 100 MPa 32% Indicative Cement Replacement - Fly Ash/GGBFS/SiIica Fume Blend (Hymix) (Australia)</t>
  </si>
  <si>
    <t>100 MPa, , Tower Columns &amp; Wall 100 MPa 53% Indicative Cement Replacement - Fly Ash/GGBFS/Silica Fume Blend (Hymix) (Australia)</t>
  </si>
  <si>
    <t>100 MPa, , Puddle Pour 100 MPa 19% Indicative Cement Replacement - GGBFS/SiIica Fume Blend (Hymix) (Australia)</t>
  </si>
  <si>
    <t>Concrete, 5 Mpa</t>
  </si>
  <si>
    <t>≤10 MPa</t>
  </si>
  <si>
    <t>Concrete, 5 MPa, in-situ, no reinforcement, (S5MPA R82 20MM LEAN MIX HAND PLACED AEA) (Adbri) (NSW)</t>
  </si>
  <si>
    <t>Concrete, 7 Mpa</t>
  </si>
  <si>
    <t>Concrete, 7 MPa, in-situ, no reinforcement, (Futurecrete®  Ultra S7MPA LEAN HAND PLACED 20MM) (Adbri) (NSW)</t>
  </si>
  <si>
    <t>Concrete, 10 MPa</t>
  </si>
  <si>
    <t>Concrete, 10 MPa, in-situ, no reinforcement, (Futurecrete®  Special
Class GP 10 MPa
- Winnellie) (Adbri) (NT)</t>
  </si>
  <si>
    <t>Autoclaved aerated concrete</t>
  </si>
  <si>
    <t>AAC reinforced</t>
  </si>
  <si>
    <t>AAC reinforced, , Powerfloor 75 AAC reinforced (Hebel) (Australia)</t>
  </si>
  <si>
    <t>EPD-IES-0015420:001</t>
  </si>
  <si>
    <t>https://epd-australasia.com/wp-content/uploads/2024/12/EPD-IES-0015420-001_CSR_Hebel-PowerFloor_2024-11-25.pdf</t>
  </si>
  <si>
    <t>kg</t>
  </si>
  <si>
    <t>AAC reinforced, , Powerfloor 150 DP AAC reinforced (Hebel) (Australia)</t>
  </si>
  <si>
    <t>AAC reinforced, , Powerfloor 250 DP Joint Edge AAC reinforced (Hebel) (Australia)</t>
  </si>
  <si>
    <t>AAC reinforced, , PowerPanel STD 75 AAC reinforced (Hebel) (Australia)</t>
  </si>
  <si>
    <t>EPD-IES-0015419:001</t>
  </si>
  <si>
    <t>https://epd-australasia.com/wp-content/uploads/2024/12/EPD-IES-0015419-001_CSR_Hebel-PowerPanel_2024-11-25.pdf</t>
  </si>
  <si>
    <t>AAC reinforced, , PowerPanel 100 tongue and groove AAC reinforced (Hebel) (Australia)</t>
  </si>
  <si>
    <t>AAC reinforced, , PowerPanel 200 tongue and groove AAC reinforced (Hebel) (Australia)</t>
  </si>
  <si>
    <t>AAC reinforced, , PowerPanel 300 tongue and groove AAC reinforced (Hebel) (Australia)</t>
  </si>
  <si>
    <t>Flooring</t>
  </si>
  <si>
    <t>Access floor</t>
  </si>
  <si>
    <t>Access flooring</t>
  </si>
  <si>
    <t>Access floor, , Icon Data HPL access floor system (ASP Accees Floors) (Australia)</t>
  </si>
  <si>
    <t>S-P-00863 v2.0</t>
  </si>
  <si>
    <t>https://epd-australasia.com/wp-content/uploads/2018/04/SP00863-ASP-Floors-EPD_Icon_v2Feb24.pdf</t>
  </si>
  <si>
    <t>m²</t>
  </si>
  <si>
    <t>Icon Air, , Icon Air access floor system (ASP Accees Floors) (Australia)</t>
  </si>
  <si>
    <t>Access floor, , Icon X access floor system (ASP Accees Floors) (Australia)</t>
  </si>
  <si>
    <t>Access floor, , Urban X S2 access floor system - medium (ASP Accees Floors) (Australia)</t>
  </si>
  <si>
    <t>30/07/2024*</t>
  </si>
  <si>
    <t>S-P-00996</t>
  </si>
  <si>
    <t>https://epd-australasia.com/wp-content/uploads/2020/04/180017-Urban-EPD-2019-FA3_LR-update-030919.pdf</t>
  </si>
  <si>
    <t>Access floor, , Urban X S2 access floor system - heavy (ASP Accees Floors) (Australia)</t>
  </si>
  <si>
    <t>Access floor, , Urban X S2 access floor system - extra heavy (ASP Accees Floors) (Australia)</t>
  </si>
  <si>
    <t>Access floor, , Urban X S4 access floor system - medium (ASP Accees Floors) (Australia)</t>
  </si>
  <si>
    <t>Access floor, , Urban X S4 access floor system - heavy (ASP Accees Floors) (Australia)</t>
  </si>
  <si>
    <t>Access floor, , Urban X S4 access floor system - extra heavy (ASP Accees Floors) (Australia)</t>
  </si>
  <si>
    <t>Access floor, , Urban X S6 access floor system - medium (ASP Accees Floors) (Australia)</t>
  </si>
  <si>
    <t>Access floor, , Urban X S6 access floor system - heavy (ASP Accees Floors) (Australia)</t>
  </si>
  <si>
    <t>Access floor, , Urban X S6 access floor system - extra heavy (ASP Accees Floors) (Australia)</t>
  </si>
  <si>
    <t>Access floor, , Urban IL S2 access floor system (ASP Accees Floors) (Australia)</t>
  </si>
  <si>
    <t>Access floor, , Urban IL S4 access floor system (ASP Accees Floors) (Australia)</t>
  </si>
  <si>
    <t>Access floor, , Urban IL S6 access floor system - extra heavy (ASP Accees Floors) (Australia)</t>
  </si>
  <si>
    <t>Access floor, , ConCore 800 (Tate Asia-Pacific Pty td) (Australia)</t>
  </si>
  <si>
    <t>S-P-02049</t>
  </si>
  <si>
    <t>https://api.environdec.com/api/v1/EPDLibrary/Files/c4ad93fb-024c-417d-84ca-ad2c5b3ad09d/Data</t>
  </si>
  <si>
    <t>Access floor, , ConCore 1000 (Tate Asia-Pacific Pty td) (Australia)</t>
  </si>
  <si>
    <t>Access floor, , ConCore 1250 (Tate Asia-Pacific Pty td) (Australia)</t>
  </si>
  <si>
    <t>Access floor, , ConCore 1500 (Tate Asia-Pacific Pty td) (Australia)</t>
  </si>
  <si>
    <t>Access floor, , ConCore 2000 (Tate Asia-Pacific Pty td) (Australia)</t>
  </si>
  <si>
    <t>Access floor, , ConCore 2500 (Tate Asia-Pacific Pty td) (Australia)</t>
  </si>
  <si>
    <t>Access floor, , ConCore 3000 (Tate Asia-Pacific Pty td) (Australia)</t>
  </si>
  <si>
    <t>Access floor, , ConCore 1000 with HPL (Tate Asia-Pacific Pty td) (Australia)</t>
  </si>
  <si>
    <t>Access floor, , ConCore 1250 with HPL (Tate Asia-Pacific Pty td) (Australia)</t>
  </si>
  <si>
    <t>Access floor, , ConCore 1500 with HPL (Tate Asia-Pacific Pty td) (Australia)</t>
  </si>
  <si>
    <t>Access floor, , ConCore 2000 with HPL (Tate Asia-Pacific Pty td) (Australia)</t>
  </si>
  <si>
    <t>Access floor, , ConCore 2500 with HPL (Tate Asia-Pacific Pty td) (Australia)</t>
  </si>
  <si>
    <t>Access floor, , ConCore 3000 with HPL (Tate Asia-Pacific Pty td) (Australia)</t>
  </si>
  <si>
    <t>Access floors, , Evo Access Floor System - Middle East (ASP Access Floors) (Australia)</t>
  </si>
  <si>
    <t>EPD-IES-0016256:001</t>
  </si>
  <si>
    <t>https://epd-australasia.com/?s=0016256:001&amp;post_type=epd</t>
  </si>
  <si>
    <t>Aluminium</t>
  </si>
  <si>
    <t>Aluminium, extruded</t>
  </si>
  <si>
    <t>Aluminium cladding</t>
  </si>
  <si>
    <t>Aluminium cladding, , Alumigard plus 0.90mm (Colorcote) (New Zealand)</t>
  </si>
  <si>
    <t>New Zealand</t>
  </si>
  <si>
    <t>EPD-IES-0015776:001</t>
  </si>
  <si>
    <t>EPD (International)</t>
  </si>
  <si>
    <t>https://epd-australasia.com/wp-content/uploads/2019/11/5568-COLO-EPD-Document-Australia-nov19.pdf</t>
  </si>
  <si>
    <t>Aluminium cladding, , Alumigard 0.90mm (Colorcote) (New Zealand)</t>
  </si>
  <si>
    <t>EPD-IES-0015771:001</t>
  </si>
  <si>
    <t>https://epd-australasia.com/wp-content/uploads/2024/09/EPD-IES-0015771-001_PCC_AlumiGard-NZ-v1.0.pdf</t>
  </si>
  <si>
    <t>Aluminium cladding, , Aluminium cladding - anodised - Boards Ripple-200 (Nu-Wall) (Global)</t>
  </si>
  <si>
    <t>Global</t>
  </si>
  <si>
    <t>EPS-IES-0014122:001</t>
  </si>
  <si>
    <t>https://epd-australasia.com/wp-content/uploads/2024/10/EPD-IES-0014122-001_Nu-Wall__Boards_Anodised_2024-10-09.pdf.pdf</t>
  </si>
  <si>
    <t>Aluminium cladding, , Aluminium cladding - powder coated - Boards Ripple-200 (Nu-Wall) (Global)</t>
  </si>
  <si>
    <t>EPS-IES-0014123:001</t>
  </si>
  <si>
    <t>https://epd-australasia.com/wp-content/uploads/2024/10/EPD-IES-0014123-001_Nu-Wall__Boards_Powder_coated_2024-10-09.pdf.pdf</t>
  </si>
  <si>
    <t>Aluminium extruded uncoated</t>
  </si>
  <si>
    <t>Aluminium, China, Hyperion Aluminium Profiles manufactured in China  (Envirobuild) (China)</t>
  </si>
  <si>
    <t>China</t>
  </si>
  <si>
    <t>S-P-05645</t>
  </si>
  <si>
    <t>https://api.environdec.com/api/v1/EPDLibrary/Files/57a83809-658a-4391-2479-08db259f9365/Data</t>
  </si>
  <si>
    <t>tonne</t>
  </si>
  <si>
    <t>Aluminium, China, Extruded aluminium out of China (Jiangyin Jianbang) (China)</t>
  </si>
  <si>
    <t>S-P-10616</t>
  </si>
  <si>
    <t>https://api.environdec.com/api/v1/EPDLibrary/Files/7ca2b472-e8f8-43cc-41b5-08dbafbcb0dc/Data</t>
  </si>
  <si>
    <t>Aluminium, China, Thermal break aluminium profile out of China (Jiangyin Jianbang) (China)</t>
  </si>
  <si>
    <t>S-P-10617</t>
  </si>
  <si>
    <t>Data (environdec.com)</t>
  </si>
  <si>
    <t>Aluminium, Global, Hydro recycled low carbon aluminium profiles (Hydro) (Europe)</t>
  </si>
  <si>
    <t>Europe</t>
  </si>
  <si>
    <t>S-P-10763</t>
  </si>
  <si>
    <t>https://api.environdec.com/api/v1/EPDLibrary/Files/899f0587-a16a-4ccc-8118-08dbb657dbae/Data</t>
  </si>
  <si>
    <t>Aluminium, Global, Extruded aluminium profile 70% recycled aluminium out of Greece (Sanlev) (Greece)</t>
  </si>
  <si>
    <t>Greece</t>
  </si>
  <si>
    <t>S-P-08703</t>
  </si>
  <si>
    <t>https://api.environdec.com/api/v1/EPDLibrary/Files/3f45fcfa-e737-4bf5-23f1-08db259f9365/Data</t>
  </si>
  <si>
    <t>Aluminium, Global, Primary aluminium out of India (Vedanta) (India)</t>
  </si>
  <si>
    <t>India</t>
  </si>
  <si>
    <t>S-P-06491</t>
  </si>
  <si>
    <t>https://api.environdec.com/api/v1/EPDLibrary/Files/1c2dea87-5360-4e85-eee3-08db61df2909/Data</t>
  </si>
  <si>
    <t>Aluminium, China, CNA-CNA-CNA (China) extruded aluminium (Industry wide) (China)</t>
  </si>
  <si>
    <t>Industry (International Aluminium)</t>
  </si>
  <si>
    <t>https://international-aluminium.org/resource/2019-life-cycle-inventory-lci-data-and-environmental-metrics/</t>
  </si>
  <si>
    <t>Aluminium, Global, OCA-OCA-GCC scenario (Oceania &gt; Gulf cooperation council) extruded aluminium (Industry wide) (Oceania)</t>
  </si>
  <si>
    <t>Oceania</t>
  </si>
  <si>
    <t>Aluminium, Global, AFR-EUR-EUR scenario (Africa &gt; Europe) extruded aluminium (Industry wide) (Africa)</t>
  </si>
  <si>
    <t>Africa</t>
  </si>
  <si>
    <t>Aluminium, Global, SAM-SAM-CAN scenario (South America &gt; Canada) extruded aluminium (Industry wide) (South America)</t>
  </si>
  <si>
    <t>South America</t>
  </si>
  <si>
    <t>Aluminium, Australia, Proxy for Australia using oceania value extruded aluminium (Industry wide) (Australia)</t>
  </si>
  <si>
    <t>Aluminium, Extruded, Extruded aluminium and extruded thermal break extruded aluminium (Galuminium) (China)</t>
  </si>
  <si>
    <t>S-P-06970</t>
  </si>
  <si>
    <t>https://api.environdec.com/api/v1/EPDLibrary/Files/0c77d2f3-d085-4f27-886c-08dbc3e797a5/Data</t>
  </si>
  <si>
    <t>Aluminium, Global, Hydro recycled low carbon aluminium profiles - UK (Hydro) (UK)</t>
  </si>
  <si>
    <t>UK</t>
  </si>
  <si>
    <t>S-P-06998</t>
  </si>
  <si>
    <t>https://api.environdec.com/api/v1/EPDLibrary/Files/542fe6f0-22db-414d-266b-08db6dcad7ba/Data</t>
  </si>
  <si>
    <t xml:space="preserve">Aluminium </t>
  </si>
  <si>
    <t>Aluminium, Extruded, Extruded aluminium (uncoated) (Sistem) (Turkey)</t>
  </si>
  <si>
    <t>Turkey</t>
  </si>
  <si>
    <t>S-P-08721</t>
  </si>
  <si>
    <t>Aluminium, Extruded, Extruded aluminium (uncoated) (Kurtoglu) (Turkey)</t>
  </si>
  <si>
    <t>S-P-08728</t>
  </si>
  <si>
    <t>https://api.environdec.com/api/v1/EPDLibrary/Files/fb713285-d1bd-4bf0-7624-08dba3f6d3f1/Data</t>
  </si>
  <si>
    <t>Aluminium, Extruded, Extruded aluminium (uncoated) (Muskita) (Global)</t>
  </si>
  <si>
    <t>S-P-08059</t>
  </si>
  <si>
    <t>https://api.environdec.com/api/v1/EPDLibrary/Files/5da8e6a0-e239-4879-e387-08daf241d26b/Data</t>
  </si>
  <si>
    <t>Aluminium, Extruded, Extruded aluminium (uncoated) (Burak) (Turkey)</t>
  </si>
  <si>
    <t>S-P-06757</t>
  </si>
  <si>
    <t>Aluminium, Extruded, Extruded aluminium (uncoated) (ASAS) (Turkey)</t>
  </si>
  <si>
    <t>S-P-04794</t>
  </si>
  <si>
    <t>https://api.environdec.com/api/v1/EPDLibrary/Files/883ceb70-5ac9-4ad1-a9fb-08da599e304a/Data</t>
  </si>
  <si>
    <t>Aluminium, Extruded, Extruded aluminium (uncoated) (Tuna Aluminium) (Global)</t>
  </si>
  <si>
    <t>S-P-04112</t>
  </si>
  <si>
    <t>https://api.environdec.com/api/v1/EPDLibrary/Files/69f6d79f-e51b-420f-052c-08d9b9685fa2/Data</t>
  </si>
  <si>
    <t>Aluminium, Extruded, Extruded aluminium (uncoated) (Spanish Aluminium Association) (Spanish)</t>
  </si>
  <si>
    <t>Spanish</t>
  </si>
  <si>
    <t>S-P-01409</t>
  </si>
  <si>
    <t>https://api.environdec.com/api/v1/EPDLibrary/Files/918aa2b5-9a62-437f-b3a9-24ce555a5f75/Data</t>
  </si>
  <si>
    <t>Aluminium, Extruded, Extruded aluminium (uncoated) (Saray) (Turkey)</t>
  </si>
  <si>
    <t>S-P-4087</t>
  </si>
  <si>
    <t>https://api.environdec.com/api/v1/EPDLibrary/Files/3a0c1252-e80d-44c4-273f-08d98899db1f/Data</t>
  </si>
  <si>
    <t>Aluminium, Extruded, Extruded aluminium (uncoated) (Al Taiseer) (Saudi Arabia)</t>
  </si>
  <si>
    <t>Saudi Arabia</t>
  </si>
  <si>
    <t>S-P-04026</t>
  </si>
  <si>
    <t>https://api.environdec.com/api/v1/EPDLibrary/Files/9bb802ec-c18e-4792-40b5-08d92a4c0fd0/Data</t>
  </si>
  <si>
    <t>Asphalt</t>
  </si>
  <si>
    <t>Downer Reconophalt NSWAC20 AR450</t>
  </si>
  <si>
    <t>S-P-05480</t>
  </si>
  <si>
    <t>https://epd-australasia.com/wp-content/uploads/2022/08/SP05480_Downer-Reconophalt-NSW-EPD_June22.pdf</t>
  </si>
  <si>
    <t>Downer Reconophalt NSWAC14 AR 450</t>
  </si>
  <si>
    <t>Downer Reconophalt NSWAC14H AR450</t>
  </si>
  <si>
    <t>Downer Berrimah Asphalt Manufacturing FacilityAC20 A15E Type 4</t>
  </si>
  <si>
    <t>31/07/2023</t>
  </si>
  <si>
    <t>30/07/2028</t>
  </si>
  <si>
    <t>S-P-08458</t>
  </si>
  <si>
    <t>https://epd-australasia.com/wp-content/uploads/2023/08/SP08458-Downer-EPD-AU-Asphalt_Jul23-1.pdf</t>
  </si>
  <si>
    <t>Downer Berrimah Asphalt Manufacturing FacilityAC14 A15E Type 5</t>
  </si>
  <si>
    <t>Downer Berrimah Asphalt Manufacturing FacilityAC10 A15E Type 2</t>
  </si>
  <si>
    <t>Downer Reconophalt NSWAC14H A15E</t>
  </si>
  <si>
    <t>Downer Lindisfarne Asphalt Manufacturing FacilityAC07 Type L,N</t>
  </si>
  <si>
    <t>TAS</t>
  </si>
  <si>
    <t xml:space="preserve">Downer Mackay Asphalt Manufacturing FacilityAC20 A15E H 4907 </t>
  </si>
  <si>
    <t xml:space="preserve">Downer Mackay Asphalt Manufacturing FacilityAC14 A15E 4906 </t>
  </si>
  <si>
    <t>Fulton Hogan LaraSize 10, 14mm Plastiphalt®</t>
  </si>
  <si>
    <t>24/02/2022</t>
  </si>
  <si>
    <t>24/02/2027</t>
  </si>
  <si>
    <t>S-P-04650</t>
  </si>
  <si>
    <t>https://epd-australasia.com/wp-content/uploads/2022/02/Fulton-Hogan_-Asphalt-VIC-EPD_SP04650.pdf</t>
  </si>
  <si>
    <t>Fulton Hogan LaraSize 10, 14mm DGA Type N 10% RAP ≤5% Glass</t>
  </si>
  <si>
    <t>Downer Bli Bli Asphalt Manufacturing FacilityOG14 A15E</t>
  </si>
  <si>
    <t>Downer Shepparton Asphalt Manufacturing FacilityAC20 R20 SI</t>
  </si>
  <si>
    <t>Downer Bathurst Asphalt Manufacturing FacilityAC14 A15E H S</t>
  </si>
  <si>
    <t>Downer Bayswater Asphalt Manufacturing FacilitySMA10 A10E H Castella 302176C</t>
  </si>
  <si>
    <t>Fulton Hogan Bushells RidgeDG10 A15E R116</t>
  </si>
  <si>
    <t>S-P-04640</t>
  </si>
  <si>
    <t>https://epd-australasia.com/wp-content/uploads/2022/02/Fulton-Hogan_NSW-Asphalt-EPD_SP04649.pdf</t>
  </si>
  <si>
    <t>Downer Shepparton Asphalt Manufacturing FacilityAC07 R9 NH</t>
  </si>
  <si>
    <t>Fulton Hogan Eastern CreekBC14 A10E AIRPORT</t>
  </si>
  <si>
    <t xml:space="preserve">Fulton Hogan Kembla GrangeSMA10 A15E R121 EVO </t>
  </si>
  <si>
    <t>Downer Albany Asphalt Manufacturing FacilityAC10</t>
  </si>
  <si>
    <t>Downer Hope Valley Asphalt Manufacturing FacilityAC10 R10 1E0B00</t>
  </si>
  <si>
    <t>Downer Lismore Asphalt Manufacturing FacilityAC14</t>
  </si>
  <si>
    <t>Fulton Hogan Kembla GrangeDG10 AR450 AS2150 R30% G2.5%</t>
  </si>
  <si>
    <t>Downer Lismore Asphalt Manufacturing FacilityAC20 R15</t>
  </si>
  <si>
    <t>Downer Hope Valley Asphalt Manufacturing FacilityAC10 R20 1E0D00</t>
  </si>
  <si>
    <t>Downer Bayswater Asphalt Manufacturing FacilityAC20 R29 SI 302313</t>
  </si>
  <si>
    <t>Fulton Hogan DandenongSize 14mm DGA Type VP</t>
  </si>
  <si>
    <t>Downer Lismore Asphalt Manufacturing FacilityAC07</t>
  </si>
  <si>
    <t>Downer Hope Valley Asphalt Manufacturing FacilityAC20 R23 2C0E00</t>
  </si>
  <si>
    <t>Downer Sydney Sustainable Road Resource Centre, RosehillAC14 R30</t>
  </si>
  <si>
    <t>Downer Somerton Asphalt Manufacturing FacilityAC14 V 303235</t>
  </si>
  <si>
    <t>Downer Teralba Asphalt Manufacturing FacilityAC14 R10 H Reconophalt</t>
  </si>
  <si>
    <t>Downer Teralba Asphalt Manufacturing FacilityAC14 R10 H DG</t>
  </si>
  <si>
    <t>Downer Sydney Sustainable Road Resource Centre, RosehillAC10 R30</t>
  </si>
  <si>
    <t>Downer Somerton Asphalt Manufacturing FacilityAC20 R38 SF 303324</t>
  </si>
  <si>
    <t>Downer Adelaide Sustainable Road Resource Centre, WingfieldAC10 R30 Reconophalt Fine</t>
  </si>
  <si>
    <t>Downer Wodonga Asphalt Manufacturing FacilityAC14 R10 H</t>
  </si>
  <si>
    <t>Downer Wodonga Asphalt Manufacturing FacilityAC14 R10 H G</t>
  </si>
  <si>
    <t>Downer Wodonga Asphalt Manufacturing FacilityAC10 R15 H</t>
  </si>
  <si>
    <t>Downer Wodonga Asphalt Manufacturing FacilityAC20 R20</t>
  </si>
  <si>
    <t>Downer Gippsland Asphalt Manufacturing FacilityAC20</t>
  </si>
  <si>
    <t>Downer Mowbray Asphalt Manufacturing FacilityAC14 Type H</t>
  </si>
  <si>
    <t>Downer Mowbray Asphalt Manufacturing FacilityAC14 Type N</t>
  </si>
  <si>
    <t>Downer Mowbray Asphalt Manufacturing FacilityAC10 Type L</t>
  </si>
  <si>
    <t xml:space="preserve">Downer Mackay Asphalt Manufacturing FacilityAC20 H 4907 </t>
  </si>
  <si>
    <t>Downer Mackay Asphalt Manufacturing FacilityAC20 C600 H 4097</t>
  </si>
  <si>
    <t>Downer Gippsland Asphalt Manufacturing FacilityAC14</t>
  </si>
  <si>
    <t>Downer Somerton Asphalt Manufacturing FacilityAC10 R19 H N 303152</t>
  </si>
  <si>
    <t>Downer Mowbray Asphalt Manufacturing FacilityAC07 Type L,N</t>
  </si>
  <si>
    <t>Downer Bathurst Asphalt Manufacturing FacilityAC10 R10</t>
  </si>
  <si>
    <t>Downer Mowbray Asphalt Manufacturing FacilityAC10 Type N</t>
  </si>
  <si>
    <t>Downer Bathurst Asphalt Manufacturing FacilityAC07</t>
  </si>
  <si>
    <t>Downer Swanbank Asphalt Manufacturing FacilityAC10 R12</t>
  </si>
  <si>
    <t>Fulton Hogan DandenongSize 10mm DGA Type N 10-20% RAP</t>
  </si>
  <si>
    <t xml:space="preserve">Downer Archerfield Asphalt Manufacturing FacilityAC20 R15 </t>
  </si>
  <si>
    <t>Downer Brisbane Sustainable Road Resource Centre, BrendaleAC10 R20 BCC</t>
  </si>
  <si>
    <t>Fulton Hogan Kembla GrangeDG10 AR450 FINE AUSPEC R10%</t>
  </si>
  <si>
    <t>Fulton Hogan Kembla GrangeDG28 AR450 AS2150 R25%</t>
  </si>
  <si>
    <t>Downer Bathurst Asphalt Manufacturing FacilityAC20 R10</t>
  </si>
  <si>
    <t>Downer Bathurst Asphalt Manufacturing FacilityAC14 R10 H</t>
  </si>
  <si>
    <t>Fulton Hogan Kembla GrangeDG20 AR450 AS2150 R30%</t>
  </si>
  <si>
    <t>Downer Hume Asphalt Manufacturing FacilityAC14 R15</t>
  </si>
  <si>
    <t>Downer Hume Asphalt Manufacturing FacilityAC10 R20 Reconophalt</t>
  </si>
  <si>
    <t xml:space="preserve">Downer Bli Bli Asphalt Manufacturing FacilityAC14 R15 </t>
  </si>
  <si>
    <t>Fulton Hogan Kembla GrangeDG10 AR450 AS2150 R30% SLAG DUST</t>
  </si>
  <si>
    <t xml:space="preserve">Downer Bli Bli Asphalt Manufacturing FacilityAC20 R15 </t>
  </si>
  <si>
    <t>Fulton Hogan Kembla GrangeGG10 AR450 AS2510 R10%</t>
  </si>
  <si>
    <t>Fulton Hogan Bushells RidgeDG07 AR450 AS2150</t>
  </si>
  <si>
    <t>Fulton Hogan Bushells RidgeDG10 AR450 FINE AUSPEC</t>
  </si>
  <si>
    <t>Fulton Hogan Bushells RidgeDG10 AR450 AS2150 R10%</t>
  </si>
  <si>
    <t>Fulton Hogan DandenongSize 14mm GG CR</t>
  </si>
  <si>
    <t xml:space="preserve">Fulton Hogan Bushells RidgeEME2 </t>
  </si>
  <si>
    <t>Fulton Hogan LaraSize 20mm DGA Type SF</t>
  </si>
  <si>
    <t>Fulton Hogan DandenongSize 20mm DGA Type SF 20% RAP ≤5% Glass</t>
  </si>
  <si>
    <t>Fulton Hogan Bushells RidgeDG14 AR450 AS2150 R15%</t>
  </si>
  <si>
    <t>Fulton Hogan LaraSize 20mm DGA Type SS</t>
  </si>
  <si>
    <t>Fulton Hogan LaraSize 14, 20mm DGA Type SI ≤10% RAP</t>
  </si>
  <si>
    <t>Fulton Hogan LaraSize 10, 14mm DGA Type H 10% RAP</t>
  </si>
  <si>
    <t>Fulton Hogan LaraSize 10, 14mm DGA Type V</t>
  </si>
  <si>
    <t>Fulton Hogan Bushells RidgeDG20 AR450 AS2150 R20%</t>
  </si>
  <si>
    <t>Fulton Hogan LaraSize 14, 20mm DGA Type SI 10-20% RAP</t>
  </si>
  <si>
    <t>Fulton Hogan LaraSize 7, 10, 14mm DGA Type H</t>
  </si>
  <si>
    <t>Fulton Hogan Eastern CreekEME2</t>
  </si>
  <si>
    <t>Fulton Hogan Bushells RidgeDG14 AR450 R116 R15%</t>
  </si>
  <si>
    <t>Fulton Hogan Eastern CreekDG07 AR450 AS2150</t>
  </si>
  <si>
    <t>Fulton Hogan Bushells RidgeDG28 AR450 R116 R15%</t>
  </si>
  <si>
    <t>Fulton Hogan Bushells RidgeDG20 AR450 R116 R20%</t>
  </si>
  <si>
    <t>Fulton Hogan Eastern CreekGG10 AR450 AS2150 R10%</t>
  </si>
  <si>
    <t>Fulton Hogan DandenongDoT - Section 422 Light Traffic Crumb Rubber Asphalt (LTCRA)</t>
  </si>
  <si>
    <t>Fulton Hogan Bushells RidgeDG14 AR450 R116 SLAG</t>
  </si>
  <si>
    <t>Fulton Hogan DandenongSize 7mm DGA Fine</t>
  </si>
  <si>
    <t>Fulton Hogan DandenongSize 7, 10mm DGA Type L</t>
  </si>
  <si>
    <t>Fulton Hogan Eastern CreekDG20 Port_x0002_Phalt®</t>
  </si>
  <si>
    <t>Fulton Hogan DandenongSize 10mm DGA Type L 10-20% RAP</t>
  </si>
  <si>
    <t>Fulton Hogan DandenongSize 7, 10, 14mm DGA Type N</t>
  </si>
  <si>
    <t>Fulton Hogan DandenongSize 7, 10, 14mm DGA Type H</t>
  </si>
  <si>
    <t>Downer Gosnells Asphalt Manufacturing FacilityAC14 A15E 4B1A00</t>
  </si>
  <si>
    <t>Downer Bayswater Asphalt Manufacturing FacilityAC14 A10E HP 302278</t>
  </si>
  <si>
    <t>Fulton Hogan DandenongSize 10, 14mm DGA Type V</t>
  </si>
  <si>
    <t>Fulton Hogan DandenongSize 20mm DGA Type SF</t>
  </si>
  <si>
    <t>Fulton Hogan Bushells RidgePortPhalt®*</t>
  </si>
  <si>
    <t>Fulton Hogan DandenongSize 14mm DGA Type SI 10% RAP</t>
  </si>
  <si>
    <t>Fulton Hogan DandenongSize 20mm DGA Type SS</t>
  </si>
  <si>
    <t>Downer Adelaide Sustainable Road Resource Centre, WingfieldAC10 A5E R10 M</t>
  </si>
  <si>
    <t>Fulton Hogan DandenongSize 14mm DGA Type H 10-20% RAP</t>
  </si>
  <si>
    <t>Fulton Hogan DandenongSize 10mm PlastiPhalt ®</t>
  </si>
  <si>
    <t>Fulton Hogan DandenongSize 14mm DGA Type N 10-20% RAP</t>
  </si>
  <si>
    <t>Fulton Hogan Eastern CreekDG14 Port_x0002_Phalt®</t>
  </si>
  <si>
    <t>Fulton Hogan DandenongSize 20mm DGA Type SF 30-40% RAP</t>
  </si>
  <si>
    <t>Fulton Hogan DandenongSize 20mm DGA Type SS 30% RAP</t>
  </si>
  <si>
    <t>Fulton Hogan DandenongSize 20 mm DGA Type SI 30% RAP</t>
  </si>
  <si>
    <t>Downer Adelaide Sustainable Road Resource Centre, WingfieldAC10 A5E R20 M</t>
  </si>
  <si>
    <t>Fulton Hogan Eastern CreekDG14, DG20 and DG28 AR450 AS2150/AUSPEC/R117 R25% G≤10%*</t>
  </si>
  <si>
    <t>Fulton Hogan Eastern CreekDG20 AR450 R116 R25% G≤10%*</t>
  </si>
  <si>
    <t>Downer Bathurst Asphalt Manufacturing FacilityCM07 Cold Mix</t>
  </si>
  <si>
    <t>Downer Adelaide Sustainable Road Resource Centre, WingfieldAC10 A5E R20 L</t>
  </si>
  <si>
    <t>Downer Sydney Sustainable Road Resource Centre, RosehillAC14 A15E R30 H</t>
  </si>
  <si>
    <t>Fulton Hogan Eastern CreekDG28 AR450 R116 R30% G≤10%*</t>
  </si>
  <si>
    <t>Downer Brisbane Sustainable Road Resource Centre, BrendaleAC14 R50 Reconophalt</t>
  </si>
  <si>
    <t xml:space="preserve">Fulton Hogan Bushells RidgeBC14 A10E AIRPORT </t>
  </si>
  <si>
    <t>Fulton Hogan Eastern CreekDG14 A15E R116 R10% G≤2.5%*</t>
  </si>
  <si>
    <t>Downer Hume Asphalt Manufacturing FacilityAC14 AE15 R10</t>
  </si>
  <si>
    <t>Fulton Hogan DandenongSize 14, 20mm PortPhalt®</t>
  </si>
  <si>
    <t>Downer Adelaide Sustainable Road Resource Centre, WingfieldAC10 A15E R10 M</t>
  </si>
  <si>
    <t>Downer Bathurst Asphalt Manufacturing FacilityAC14 A15E R10 H</t>
  </si>
  <si>
    <t xml:space="preserve">Downer Archerfield Asphalt Manufacturing FacilityAC10 A15E R20 BCC </t>
  </si>
  <si>
    <t>Downer Archerfield Asphalt Manufacturing FacilityAC15 A15E R15 A</t>
  </si>
  <si>
    <t>Fulton Hogan Kembla GrangeOG10 A15E R119</t>
  </si>
  <si>
    <t>Fulton Hogan DandenongDoT - Section 404 Stone Mastic Asphalt (SMA) or AS2150</t>
  </si>
  <si>
    <t>Fulton Hogan LaraSize 10mm SMA Type H/N</t>
  </si>
  <si>
    <t>Fulton Hogan Kembla GrangeTHTAS10</t>
  </si>
  <si>
    <t>Fulton Hogan Eastern CreekSMA07 A15E</t>
  </si>
  <si>
    <t>Fulton Hogan Eastern CreekSMA10 A15E R121</t>
  </si>
  <si>
    <t xml:space="preserve">Downer Archerfield Asphalt Manufacturing FacilitySMA14 A15E </t>
  </si>
  <si>
    <t>Boral CanberraDG10 10% RAP</t>
  </si>
  <si>
    <t>15/05/2021</t>
  </si>
  <si>
    <t>15/05/2026</t>
  </si>
  <si>
    <t>ACT</t>
  </si>
  <si>
    <t>S-P-02047</t>
  </si>
  <si>
    <t>https://epd-australasia.com/wp-content/uploads/2021/06/SP02047-Boral-Asphalt_EPD_v1.1_Aug22.pdf</t>
  </si>
  <si>
    <t xml:space="preserve">Boral CanberraDG10 INNOVO </t>
  </si>
  <si>
    <t>Boral CanberraDG14</t>
  </si>
  <si>
    <t>Boral EnfieldDG14 C450 AUSP 30% RAP</t>
  </si>
  <si>
    <t>Boral EnfieldDG14 HD A15E HFA</t>
  </si>
  <si>
    <t>Boral Allens' Asphalt CabooltureAC10, AC14, AC20</t>
  </si>
  <si>
    <t>Boral Allens' Asphalt CabooltureCOUNCIL SPECIFIC MIX</t>
  </si>
  <si>
    <t>Boral Allens' Asphalt CabooltureEME2</t>
  </si>
  <si>
    <t>Boral Charlton2232.20.AC14H</t>
  </si>
  <si>
    <t>Boral Charlton2235.20.AC20H</t>
  </si>
  <si>
    <t>Boral CharltonEME2</t>
  </si>
  <si>
    <t>Boral Ispwich2143.19.EME2</t>
  </si>
  <si>
    <t>Boral Ispwich2179.19.AC14H</t>
  </si>
  <si>
    <t>Boral Ispwich2187.19.AC20H</t>
  </si>
  <si>
    <t>Boral West Burleigh10mm Cold Mix</t>
  </si>
  <si>
    <t>Boral West Burleigh2008.15. AC14H</t>
  </si>
  <si>
    <t>Boral West Burleigh2009.15. AC20H</t>
  </si>
  <si>
    <t>Boral West Burleigh2120.19. EME2</t>
  </si>
  <si>
    <t>Boral Gepps CrossA10E RAP10%</t>
  </si>
  <si>
    <t>Boral Gepps CrossDG10 RAP10%</t>
  </si>
  <si>
    <t>Boral Gepps CrossDG14 RAP15%</t>
  </si>
  <si>
    <t>Boral Gepps CrossCold mix</t>
  </si>
  <si>
    <t>Boral Gepps CrossInnovo 2</t>
  </si>
  <si>
    <t>Boral Gepps CrossInnovo 3</t>
  </si>
  <si>
    <t>Boral BallaratBCRA</t>
  </si>
  <si>
    <t>Boral BallaratC320 20Si</t>
  </si>
  <si>
    <t>Boral BallaratC320 20Si 10% RAP</t>
  </si>
  <si>
    <t>Boral Deer ParkBCRA</t>
  </si>
  <si>
    <t>Boral Deer ParkC320 20Si</t>
  </si>
  <si>
    <t>Boral Deer ParkC320 20Si 10% RAP</t>
  </si>
  <si>
    <t>Boral MontroseBCRA</t>
  </si>
  <si>
    <t>Boral MontroseC320 20Si</t>
  </si>
  <si>
    <t>Boral MontroseC320 20Si 10% RAP</t>
  </si>
  <si>
    <t xml:space="preserve">Boral WelshpoolBitupack </t>
  </si>
  <si>
    <t xml:space="preserve">Boral WelshpoolDG14 JM45 </t>
  </si>
  <si>
    <t xml:space="preserve">Boral WelshpoolDG14 JM50 </t>
  </si>
  <si>
    <t>Boral WelshpoolDG20 JM49</t>
  </si>
  <si>
    <t xml:space="preserve">Downer Bli Bli Asphalt Manufacturing FacilityAC14 A15E </t>
  </si>
  <si>
    <t>Fulton Hogan Kembla GrangeDG14 A15E R116 R10%</t>
  </si>
  <si>
    <t xml:space="preserve">Downer Archerfield Asphalt Manufacturing FacilityAC20 A15E R15 </t>
  </si>
  <si>
    <t>Downer Brisbane Sustainable Road Resource Centre, BrendaleAC10 A15E R20 BCC</t>
  </si>
  <si>
    <t>Downer Lindisfarne Asphalt Manufacturing FacilityAC14 Type H</t>
  </si>
  <si>
    <t>Downer Lindisfarne Asphalt Manufacturing FacilityAC10 Type L</t>
  </si>
  <si>
    <t>Downer Sydney Sustainable Road Resource Centre, RosehillAC14 A15E R10 H DG</t>
  </si>
  <si>
    <t>Fulton Hogan LaraSize 10mm OGA (A20E)</t>
  </si>
  <si>
    <t>Fulton Hogan Kembla GrangeDG14 A15E R116 SLAG</t>
  </si>
  <si>
    <t>Downer Lindisfarne Asphalt Manufacturing FacilityAC14 Type L</t>
  </si>
  <si>
    <t xml:space="preserve">Fulton Hogan Bushells RidgeOG10 A15E R119 </t>
  </si>
  <si>
    <t>Fulton Hogan Bushells RidgeDG14 A15E R116 R10%</t>
  </si>
  <si>
    <t>Fulton Hogan Eastern CreekOG10 A15E R119</t>
  </si>
  <si>
    <t>Fulton Hogan Kembla GrangeOG10 A15E SLAG R119</t>
  </si>
  <si>
    <t xml:space="preserve">Downer Bli Bli Asphalt Manufacturing FacilityAC14 A15E R15 </t>
  </si>
  <si>
    <t>Downer Brisbane Sustainable Road Resource Centre, BrendaleAC14 A15E R15</t>
  </si>
  <si>
    <t>Fulton Hogan LaraSize 10, 14mm DGA Type HP</t>
  </si>
  <si>
    <t>Fulton Hogan Eastern CreekDG14 A15E R116 SLAG</t>
  </si>
  <si>
    <t>Fulton Hogan Bushells RidgeDG14 A15E R116 SLAG</t>
  </si>
  <si>
    <t>Fulton Hogan Eastern CreekDG14 A15E AS2150 R15%</t>
  </si>
  <si>
    <t>Fulton Hogan DandenongDoT - Section 417 Open Graded Asphalt (OGA)</t>
  </si>
  <si>
    <t xml:space="preserve">Downer Bli Bli Asphalt Manufacturing FacilityAC20 A15E </t>
  </si>
  <si>
    <t>Fulton Hogan DandenongSize 10mm DGA Fine</t>
  </si>
  <si>
    <t>Downer Brisbane Sustainable Road Resource Centre, BrendaleAC10 R40 Reconophalt</t>
  </si>
  <si>
    <t>Fulton Hogan DandenongSize 10, 14mm DGA Type HP</t>
  </si>
  <si>
    <t>Downer Brisbane Sustainable Road Resource Centre, BrendaleAC14 A15E R20 BCC</t>
  </si>
  <si>
    <t>Downer Shepparton Asphalt Manufacturing FacilityAC10 R10 NH</t>
  </si>
  <si>
    <t>Downer Shepparton Asphalt Manufacturing FacilityAC14 R10 H</t>
  </si>
  <si>
    <t>Fulton Hogan Kembla GrangeDG14 AR450 R118 CR</t>
  </si>
  <si>
    <t>Downer Hume Asphalt Manufacturing FacilityAC10 H</t>
  </si>
  <si>
    <t>Downer Hume Asphalt Manufacturing FacilityAC14 H</t>
  </si>
  <si>
    <t>Downer Teralba Asphalt Manufacturing FacilityAC14</t>
  </si>
  <si>
    <t>Downer Hume Asphalt Manufacturing FacilityAC10 R15 H</t>
  </si>
  <si>
    <t xml:space="preserve">Downer Mackay Asphalt Manufacturing FacilityAC10 H 4098 </t>
  </si>
  <si>
    <t>Fulton Hogan Bushells RidgeDG14 AR450 R118 CR</t>
  </si>
  <si>
    <t xml:space="preserve">Downer Mackay Asphalt Manufacturing FacilityAC10 </t>
  </si>
  <si>
    <t>Downer Albany Asphalt Manufacturing FacilityAC 07</t>
  </si>
  <si>
    <t>Downer Hope Valley Asphalt Manufacturing FacilityEME2 14</t>
  </si>
  <si>
    <t>Downer Teralba Asphalt Manufacturing FacilityAC14 R10 H</t>
  </si>
  <si>
    <t xml:space="preserve">Downer Mackay Asphalt Manufacturing FacilityAC14 4906 </t>
  </si>
  <si>
    <t>Downer Teralba Asphalt Manufacturing FacilityAC10 R20</t>
  </si>
  <si>
    <t xml:space="preserve">Downer Mackay Asphalt Manufacturing FacilityAC14 </t>
  </si>
  <si>
    <t>Fulton Hogan DandenongSize 14mm PlastiPhalt ®</t>
  </si>
  <si>
    <t>Downer Teralba Asphalt Manufacturing FacilityAC14 R20 H</t>
  </si>
  <si>
    <t>Downer Lismore Asphalt Manufacturing FacilityAC10 H</t>
  </si>
  <si>
    <t>Downer Gosnells Asphalt Manufacturing FacilityAC20 C600 R9 2C4B00</t>
  </si>
  <si>
    <t>Downer Albany Asphalt Manufacturing FacilityAC14</t>
  </si>
  <si>
    <t>Downer Wodonga Asphalt Manufacturing FacilityAC10 R10 Reconophalt</t>
  </si>
  <si>
    <t>Fulton Hogan LaraSize 10mm LTCRA ≤10% RAP ≤5% Glass</t>
  </si>
  <si>
    <t>Downer Lismore Asphalt Manufacturing FacilityAC10</t>
  </si>
  <si>
    <t>Downer Wodonga Asphalt Manufacturing FacilityAC14 R20 H</t>
  </si>
  <si>
    <t>Fulton Hogan Bushells RidgeDG14 AR450 R116 G2.5%</t>
  </si>
  <si>
    <t>Downer Teralba Asphalt Manufacturing FacilityAC20 R25 H</t>
  </si>
  <si>
    <t>Fulton Hogan Kembla GrangeDG14 AR450 R116 R15% G≤10%*</t>
  </si>
  <si>
    <t>Downer Swanbank Asphalt Manufacturing FacilityAC14</t>
  </si>
  <si>
    <t>Downer Gippsland Asphalt Manufacturing FacilityAC10</t>
  </si>
  <si>
    <t>Downer Hope Valley Asphalt Manufacturing FacilityAC10 1E0A00</t>
  </si>
  <si>
    <t>Fulton Hogan Eastern CreekDG10 AR450 R116 R15% G≤2.5%*</t>
  </si>
  <si>
    <t>Downer Gosnells Asphalt Manufacturing FacilityAC20 R24 2C0E00</t>
  </si>
  <si>
    <t>Downer Sydney Sustainable Road Resource Centre, RosehillAC14 R20 HD</t>
  </si>
  <si>
    <t>Downer Swanbank Asphalt Manufacturing FacilityAC20</t>
  </si>
  <si>
    <t>Downer Adelaide Sustainable Road Resource Centre, WingfieldAC7 R10</t>
  </si>
  <si>
    <t>Fulton Hogan LaraSize 20mm DGA Type SF 10-20% RAP</t>
  </si>
  <si>
    <t>Downer Reconophalt NSWAC20 AR450 A</t>
  </si>
  <si>
    <t xml:space="preserve">Downer Bli Bli Asphalt Manufacturing FacilityAC14 </t>
  </si>
  <si>
    <t>Fulton Hogan Kembla GrangeDG07 AR450 AS2150</t>
  </si>
  <si>
    <t xml:space="preserve">Downer Archerfield Asphalt Manufacturing FacilityC14 R15 </t>
  </si>
  <si>
    <t>Fulton Hogan Eastern CreekDG10 AR450 AS2150/AUSPEC/R117 R20% G≤2.5%*</t>
  </si>
  <si>
    <t>Fulton Hogan Eastern CreekDG14 AR450 R116 R20% G≤2.5%*</t>
  </si>
  <si>
    <t>Downer Sydney Sustainable Road Resource Centre, RosehillAC20 R30</t>
  </si>
  <si>
    <t>Fulton Hogan Bushells RidgeDG07 AR450 R116</t>
  </si>
  <si>
    <t>Fulton Hogan Kembla GrangeEME2</t>
  </si>
  <si>
    <t>Downer Sydney Sustainable Road Resource Centre, RosehillAC28 R30</t>
  </si>
  <si>
    <t>Fulton Hogan DandenongSize 14, 20mm DGA Type SI 20% RAP ≤5% Glass</t>
  </si>
  <si>
    <t>Downer Hume Asphalt Manufacturing FacilityAC14 R20 HD</t>
  </si>
  <si>
    <t>Fulton Hogan Bushells RidgeGG10 AR450 AS2150 R10%</t>
  </si>
  <si>
    <t>Downer Bayswater Asphalt Manufacturing FacilityAC14 H N 302252</t>
  </si>
  <si>
    <t>Downer Bayswater Asphalt Manufacturing FacilityAC10 R19 H N 302151</t>
  </si>
  <si>
    <t>Fulton Hogan Kembla GrangeDG10 AR450 R116 R15%</t>
  </si>
  <si>
    <t>Downer Brisbane Sustainable Road Resource Centre, BrendaleEME14 R15</t>
  </si>
  <si>
    <t>Downer Brisbane Sustainable Road Resource Centre, BrendaleAC14 R15</t>
  </si>
  <si>
    <t>Downer Somerton Asphalt Manufacturing FacilityAC20 C600 SS 303316</t>
  </si>
  <si>
    <t>Fulton Hogan Bushells RidgeDG10 AR450 R116 R10%</t>
  </si>
  <si>
    <t>Fulton Hogan Kembla GrangeDG14 AR450 R116 SLAG</t>
  </si>
  <si>
    <t>Downer Somerton Asphalt Manufacturing FacilityAC14 R19 N H 303252</t>
  </si>
  <si>
    <t>Downer Mowbray Asphalt Manufacturing FacilityAC14 PSV 54 Type H</t>
  </si>
  <si>
    <t>Downer Mowbray Asphalt Manufacturing FacilityAC14 PSV54 Type N</t>
  </si>
  <si>
    <t>Downer Bayswater Asphalt Manufacturing FacilityAC20 R37 SF 302324</t>
  </si>
  <si>
    <t>Fulton Hogan Kembla GrangeDG10 AR450 AS2150 R15%</t>
  </si>
  <si>
    <t>Fulton Hogan Kembla GrangeDG28 AR450 R116 R25%</t>
  </si>
  <si>
    <t>Downer Brisbane Sustainable Road Resource Centre, BrendaleAC14 R20 BCC</t>
  </si>
  <si>
    <t>Fulton Hogan Kembla GrangeDG14 AR450 AS2150 R20%</t>
  </si>
  <si>
    <t>Downer Adelaide Sustainable Road Resource Centre, WingfieldAC10 R50 Reconophalt Fine</t>
  </si>
  <si>
    <t>Fulton Hogan LaraSize 7, 10mm DGA Type L</t>
  </si>
  <si>
    <t>Fulton Hogan LaraSize 7, 10, 14mm DGA Type N</t>
  </si>
  <si>
    <t>Downer Lindisfarne Asphalt Manufacturing FacilityAC10 R10 Reconophalt</t>
  </si>
  <si>
    <t>Downer Somerton Asphalt Manufacturing FacilityAC20 R29 SI 303313</t>
  </si>
  <si>
    <t>Fulton Hogan LaraSize 10mm DGA Type L 10% RAP</t>
  </si>
  <si>
    <t>Fulton Hogan DandenongSize 14, 20mm DGA Type SI</t>
  </si>
  <si>
    <t>Fulton Hogan DandenongSize 10mm DGA Type H 10-20% RAP</t>
  </si>
  <si>
    <t>Fulton Hogan DandenongDoT - Section 405 Regulation Gap Graded Asphalt (RGG)</t>
  </si>
  <si>
    <t>Fulton Hogan Kembla GrangeDG20 AR450 R116 R20% G≤10%*</t>
  </si>
  <si>
    <t>Downer Sydney Sustainable Road Resource Centre, RosehillAC20 R30 G10</t>
  </si>
  <si>
    <t>Fulton Hogan Eastern CreekDG10 A15E R116 R10%</t>
  </si>
  <si>
    <t>Asphalt, , 1MG1075 MRWA 10MM 75B C320 asphalt (BGC (Australia) Pty Ltd) (Australia)</t>
  </si>
  <si>
    <t>EPD-IES-0013593:001 (S-P-13593)</t>
  </si>
  <si>
    <t>https://epd-australasia.com/?s=0013593:001&amp;post_type=epd</t>
  </si>
  <si>
    <t>Asphalt, , 1MG1475 MRWA 14MM 75B INTERSECTION  C320 asphalt (BGC (Australia) Pty Ltd) (Australia)</t>
  </si>
  <si>
    <t>EPD-IES-0013594:001 (S-P-13594)</t>
  </si>
  <si>
    <t>https://epd-australasia.com/?s=0013594:001&amp;post_type=epd</t>
  </si>
  <si>
    <t>Asphalt, , 1MIG1475 MRWA INTERMEDIATE 14MM 75B  C320 asphalt (BGC (Australia) Pty Ltd) (Australia)</t>
  </si>
  <si>
    <t>EPD-IES-0013595:001 (S-P-13595)</t>
  </si>
  <si>
    <t>https://epd-australasia.com/?s=0013595:001&amp;post_type=epd</t>
  </si>
  <si>
    <t>Asphalt, , 1L750X10 LAT 7MM 50B 1% OXIDE asphalt (BGC (Australia) Pty Ltd) (Australia)</t>
  </si>
  <si>
    <t>EPD-IES-0013592:001 (S-P-13592)</t>
  </si>
  <si>
    <t>https://epd-australasia.com/?s=0013592:001&amp;post_type=epd</t>
  </si>
  <si>
    <t>Asphalt, , 4MIG2075B MRWA INTERMEDIATE 20MM 75B  10% RAP C600 asphalt (BGC (Australia) Pty Ltd) (Australia)</t>
  </si>
  <si>
    <t>EPD-IES-0013596:001 (S-P-13596)</t>
  </si>
  <si>
    <t>https://epd-australasia.com/?s=0013596:001&amp;post_type=epd</t>
  </si>
  <si>
    <t>Asphalt, , 11G750 GRAN 7MM 50B asphalt (BGC (Australia) Pty Ltd) (Australia)</t>
  </si>
  <si>
    <t>EPD-IES-0013579:001 (S-P-13579)</t>
  </si>
  <si>
    <t>https://epd-australasia.com/?s=0013579:001&amp;post_type=epd</t>
  </si>
  <si>
    <t>Asphalt, , 7MIG2075D MRWA INTERMEDIATE 20MM 75B  20% RAP C450 asphalt (BGC (Australia) Pty Ltd) (Australia)</t>
  </si>
  <si>
    <t>EPD-IES-0013597:001 (S-P-13597)</t>
  </si>
  <si>
    <t>https://epd-australasia.com/?s=0013597:001&amp;post_type=epd</t>
  </si>
  <si>
    <t>Asphalt, , 1G735 GRAN 7MM 35B asphalt (BGC (Australia) Pty Ltd) (Australia)</t>
  </si>
  <si>
    <t>EPD-IES-0013578:001 (S-P-13578)</t>
  </si>
  <si>
    <t>https://epd-australasia.com/?s=0013578:001&amp;post_type=epd</t>
  </si>
  <si>
    <t>Asphalt, , 1G1050 GRAN 10MM 50B asphalt (BGC (Australia) Pty Ltd) (Australia)</t>
  </si>
  <si>
    <t>EPD-IES-0013581:001 (S-P-13581)</t>
  </si>
  <si>
    <t>https://epd-australasia.com/?s=0013581:001&amp;post_type=epd</t>
  </si>
  <si>
    <t>Asphalt, , 1G1450 GRAN 14MM 50B asphalt (BGC (Australia) Pty Ltd) (Australia)</t>
  </si>
  <si>
    <t>EPD-IES-0013585:001 (S-P-13585)</t>
  </si>
  <si>
    <t>https://epd-australasia.com/?s=0013585:001&amp;post_type=epd</t>
  </si>
  <si>
    <t>Asphalt, , 1G1075 GRAN 10MM 75B asphalt (BGC (Australia) Pty Ltd) (Australia)</t>
  </si>
  <si>
    <t>EPD-IES-0013583:001 (S-P-13583)</t>
  </si>
  <si>
    <t>https://epd-australasia.com/?s=0013583:001&amp;post_type=epd</t>
  </si>
  <si>
    <t>Asphalt, , 1G1050B GRAN 10MM 50B 10% RAP asphalt (BGC (Australia) Pty Ltd) (Australia)</t>
  </si>
  <si>
    <t>EPD-IES-0013582:001 (S-P-13582)</t>
  </si>
  <si>
    <t>https://epd-australasia.com/?s=0013582:001&amp;post_type=epd</t>
  </si>
  <si>
    <t>Asphalt, , 1G1475 GRAN 14MM 75B asphalt (BGC (Australia) Pty Ltd) (Australia)</t>
  </si>
  <si>
    <t>EPD-IES-0013588:001 (S-P-13588)</t>
  </si>
  <si>
    <t>https://epd-australasia.com/?s=0013588:001&amp;post_type=epd</t>
  </si>
  <si>
    <t>Asphalt, , 1G1075B GRAN 10MM 75B 10% RAP asphalt (BGC (Australia) Pty Ltd) (Australia)</t>
  </si>
  <si>
    <t>EPD-IES-0013584:001 (S-P-13584)</t>
  </si>
  <si>
    <t>https://epd-australasia.com/?s=0013584:001&amp;post_type=epd</t>
  </si>
  <si>
    <t>Asphalt, , 1G1050D GRAN 10MM 50B 20% RAP asphalt (BGC (Australia) Pty Ltd) (Australia)</t>
  </si>
  <si>
    <t>EPD-IES-0013591:001 (S-P-13591)</t>
  </si>
  <si>
    <t>https://epd-australasia.com/?s=0013591:001&amp;post_type=epd</t>
  </si>
  <si>
    <t>Asphalt, , 1G1450B GRAN 14MM 50B 10% RAP asphalt (BGC (Australia) Pty Ltd) (Australia)</t>
  </si>
  <si>
    <t>EPD-IES-0013586:001 (S-P-13586)</t>
  </si>
  <si>
    <t>https://epd-australasia.com/?s=0013586:001&amp;post_type=epd</t>
  </si>
  <si>
    <t>Asphalt, , 1G1475B GRAN 14MM 75B 10% RAP asphalt (BGC (Australia) Pty Ltd) (Australia)</t>
  </si>
  <si>
    <t>EPD-IES-0013589:001 (S-P-13589)</t>
  </si>
  <si>
    <t>https://epd-australasia.com/?s=0013589:001&amp;post_type=epd</t>
  </si>
  <si>
    <t>Asphalt, , 1G1450D GRAN 14MM 50B 20% RAP asphalt (BGC (Australia) Pty Ltd) (Australia)</t>
  </si>
  <si>
    <t>EPD-IES-0013587:001 (S-P-13587)</t>
  </si>
  <si>
    <t>https://epd-australasia.com/?s=0013587:001&amp;post_type=epd</t>
  </si>
  <si>
    <t>Asphalt, , 1G1475D GRAN 14MM 75B 20% RAP asphalt (BGC (Australia) Pty Ltd) (Australia)</t>
  </si>
  <si>
    <t>EPD-IES-0013590:001 (S-P-13590)</t>
  </si>
  <si>
    <t>https://epd-australasia.com/?s=0013590:001&amp;post_type=epd</t>
  </si>
  <si>
    <t>Asphalt, , BITUMATE (ResourceCo) (Australia)</t>
  </si>
  <si>
    <t>EPD-IES-0013395:001 (S-P-13395)</t>
  </si>
  <si>
    <t>https://epd-australasia.com/?s=0013395:001&amp;post_type=epd</t>
  </si>
  <si>
    <t>Asphalt, , Bitumate (ResourceCo) (Australia)</t>
  </si>
  <si>
    <t>Asphalt, , 1SMAG750 SMA GRAN 7MM 50 asphalt (BGC (Australia) Pty Ltd) (Australia)</t>
  </si>
  <si>
    <t>EPD-IES-0013580:001 (S-P-13580)</t>
  </si>
  <si>
    <t>https://epd-australasia.com/?s=0013580:001&amp;post_type=epd</t>
  </si>
  <si>
    <t>Carpet</t>
  </si>
  <si>
    <t>Carpet flooring</t>
  </si>
  <si>
    <t>Carpet, , Colortec RE:THINK 500g, 1300g/m2 (Dansk Wilton) (Global)</t>
  </si>
  <si>
    <t>26/07/2028</t>
  </si>
  <si>
    <t>S-P-09908</t>
  </si>
  <si>
    <t>https://api.environdec.com/api/v1/EPDLibrary/Files/e1f563b4-f7be-49c1-048d-08db8d1ef4eb/Data</t>
  </si>
  <si>
    <t>Carpet tile, , Vibe carpet tiles (Burmatex) (United Kingdom)</t>
  </si>
  <si>
    <t>United Kingdom</t>
  </si>
  <si>
    <t>S-P-08171</t>
  </si>
  <si>
    <t>https://api.environdec.com/api/v1/EPDLibrary/Files/396474c2-a173-4d21-cd14-08db4c1420c4/Data</t>
  </si>
  <si>
    <t>Carpet, , Colortec RE:THINK 500g, 1100g/m2 (Dansk Wilton) (Global)</t>
  </si>
  <si>
    <t>Carpet tile, , Nexus Cushion Modular Carpet Tile -Ultima 19oz face weight (J+J Flooring) (Global)</t>
  </si>
  <si>
    <t>S-P-13032</t>
  </si>
  <si>
    <t>https://api.environdec.com/api/v1/EPDLibrary/Files/e7657f54-3f27-4faa-95de-08dc3c72202b/Data</t>
  </si>
  <si>
    <t>Carpet tile, , Nexus Cushion Modular Carpet Tile - Encore 100 19oz face weight (J+J Flooring) (Global)</t>
  </si>
  <si>
    <t>Carpet tile, , Nexus Cushion Modular Carpet Tile - TerePlex 19oz face weight (J+J Flooring) (Global)</t>
  </si>
  <si>
    <t>Carpet, , Endure Plus Broadloom carpet - Ultima (J+J Flooring) (North America)</t>
  </si>
  <si>
    <t>North America</t>
  </si>
  <si>
    <t>S-P-13036</t>
  </si>
  <si>
    <t>https://api.environdec.com/api/v1/EPDLibrary/Files/e39d6f77-b9d4-4390-95d6-08dc3c72202b/Data</t>
  </si>
  <si>
    <t>Carpet, , Endure Plus Broadloom carpet - Encore (J+J Flooring) (North America)</t>
  </si>
  <si>
    <t>Carpet, , Endure Plus Broadloom carpet - TeraPlex (J+J Flooring) (North America)</t>
  </si>
  <si>
    <t>Carpet tile, , Nexus Cushion Modular Carpet Tile -Ultima (EF Contract) (North America)</t>
  </si>
  <si>
    <t>S-P-13027</t>
  </si>
  <si>
    <t>https://api.environdec.com/api/v1/EPDLibrary/Files/062da6cf-8c60-4946-95d5-08dc3c72202b/Data</t>
  </si>
  <si>
    <t>Carpet tile, , Nexus Cushion Modular Carpet Tile - Encore 100 (EF Contract) (North America)</t>
  </si>
  <si>
    <t>Carpet tile, , Nexus Cushion Modular Carpet Tile - TerePlex (EF Contract) (North America)</t>
  </si>
  <si>
    <t>Carpet, , Endure Plus Broadloom carpet - Ultima (EF Contract) (North America)</t>
  </si>
  <si>
    <t>S-P-13031</t>
  </si>
  <si>
    <t>https://api.environdec.com/api/v1/EPDLibrary/Files/dfb96b51-bf5e-4a02-95d1-08dc3c72202b/Data</t>
  </si>
  <si>
    <t>Carpet, , Endure Plus Broadloom carpet - Encore (EF Contract) (North America)</t>
  </si>
  <si>
    <t>Carpet, , Endure Plus Broadloom carpet - TeraPlex (EF Contract) (North America)</t>
  </si>
  <si>
    <t>Carpet, , Colortec RE:THINK 500g, 1500g/m2 (Dansk Wilton) (Global)</t>
  </si>
  <si>
    <t>Carpet Flooring, , EcoWorx® Carpet Tile (US Made UK Market) with EcoSolution Q®, Solution Q®, or Solution Q Extreme® Face Fibre (Shaw Contract (Shaw Europe Ltd.)) (Global)</t>
  </si>
  <si>
    <t>EPD-SHA-20230440-CBA1-EN</t>
  </si>
  <si>
    <t>IBU</t>
  </si>
  <si>
    <t>PDMS - PDMSViewDetails</t>
  </si>
  <si>
    <t>Carpet Flooring, , Modular resilient flooring 4.5mm LVT (Interface) (Global)</t>
  </si>
  <si>
    <t>4789956802.102.1</t>
  </si>
  <si>
    <t>UL Environment</t>
  </si>
  <si>
    <t>https://www.interface.com/content/dam/interfaceinc/interface/sustainability/ams/third-party-certifications/epd/wc_am-lvtsoundchoiceepd.pdf</t>
  </si>
  <si>
    <t>Carpet Flooring, , Modular carpet on GlasBac (Interface) (Americas)</t>
  </si>
  <si>
    <t>Americas</t>
  </si>
  <si>
    <t>4789956802.105.1</t>
  </si>
  <si>
    <t>https://www.interface.com/content/dam/interfaceinc/interface/sustainability/ams/third-party-certifications/epd/wc-am-glasbac-epd.pdf</t>
  </si>
  <si>
    <t>Carpet Flooring, , Modular carpet on GlasBac (Interface) (APAC)</t>
  </si>
  <si>
    <t>APAC</t>
  </si>
  <si>
    <t>4789956802.104.1</t>
  </si>
  <si>
    <t>https://www.interface.com/content/dam/interfaceinc/interface/sustainability/apac/apac-shared-assets/epds/Interface_EPD-Environmental-Product-Declaration-APAC-Australia-Nylon-GlasBac.pdf</t>
  </si>
  <si>
    <t>Carpet Flooring, , Cord carpet roll  (Tretford Carpet) (Global)</t>
  </si>
  <si>
    <t>TRD C01 2021EP</t>
  </si>
  <si>
    <t>Global GreenTag</t>
  </si>
  <si>
    <t>https://www.globalgreentag.com/certificate/2764/211129_WAT_EPD15804TretfordCarpet%40Evah25Aug2021c_ALLSIGNED.pdf</t>
  </si>
  <si>
    <t>Carpet Flooring, , StrataWorx Carpet Tile with EcoSolution Q, Solution Q, or Solution Q Extreme Face Fiber (Shaw Contract (Shaw Europe Ltd.)) (North America)</t>
  </si>
  <si>
    <t>4791140099.121.1</t>
  </si>
  <si>
    <t>https://spot.ul.com/main-app/products/detail/63f64a3a1d76aa806020a4e2?page_type=Products%20Catalog</t>
  </si>
  <si>
    <t>Vertical services</t>
  </si>
  <si>
    <t>Lift</t>
  </si>
  <si>
    <t>Category 1, 2 for low rise buildings (&lt;4 floors)</t>
  </si>
  <si>
    <t>Lift, , KONE Monospace 300 DX (Usage Cat. 1/2) (KONE) (Global)</t>
  </si>
  <si>
    <t>S-P-04623</t>
  </si>
  <si>
    <t>https://api.environdec.com/api/v1/EPDLibrary/Files/613d858a-9a03-4c74-bc78-08da527ee518/Data</t>
  </si>
  <si>
    <t>#</t>
  </si>
  <si>
    <t>Lift, , TK Elevator (Usage Cat. 1/2) (TK Elevator GmbH) (Europe)</t>
  </si>
  <si>
    <t>S-P-08258</t>
  </si>
  <si>
    <t xml:space="preserve">https://api.environdec.com/api/v1/EPDLibrary/Files/015c245e-e403-4e0e-764c-08db719c9c63/Data </t>
  </si>
  <si>
    <t>Lift, , KONE Monospace 500 DX (Usage Cat. 1/2) (KONE) (Global)</t>
  </si>
  <si>
    <t>S-P-05555</t>
  </si>
  <si>
    <t>https://api.environdec.com/api/v1/EPDLibrary/Files/5b0c5c93-3c15-41a7-70da-08db473a5587/Data</t>
  </si>
  <si>
    <t>Lift, , OTIS GEN2 LIFE (Usage Cat. 1/2) (OTIS) (Europe)</t>
  </si>
  <si>
    <t>S-P-01068</t>
  </si>
  <si>
    <t>https://api.environdec.com/api/v1/EPDLibrary/Files/ff8b8783-a268-4545-0527-08db8d1ef4eb/Data</t>
  </si>
  <si>
    <t>Category 3, 4 for medium rise buildings (4-10 floors)</t>
  </si>
  <si>
    <t>Lift, , TK Elevator (Usage Cat. 3/4) (TK Elevator GmbH) (Europe)</t>
  </si>
  <si>
    <t>https://api.environdec.com/api/v1/EPDLibrary/Files/015c245e-e403-4e0e-764c-08db719c9c63/Data</t>
  </si>
  <si>
    <t>Lift, , KONE Minispace DX HighRise elevator with steel rope (Usage Cat. 3/4) (KONE) (Global)</t>
  </si>
  <si>
    <t>S-P-08215</t>
  </si>
  <si>
    <t>https://api.environdec.com/api/v1/EPDLibrary/Files/a204fb29-346c-49ae-27fd-08db259f9365/Data</t>
  </si>
  <si>
    <t>Lift, , OTIS GEN2 STREAM (Usage Cat. 3/4) (OTIS) (Europe)</t>
  </si>
  <si>
    <t>https://api.environdec.com/api/v1/EPDLibrary/Files/61908712-1a28-4f62-9a86-08db7e35bd3c/Data</t>
  </si>
  <si>
    <t>Lift, , OTIS Gen2 Stream® HR (Usage Cat. 3/4) (OTIS) (Europe)</t>
  </si>
  <si>
    <t>S-P-01069</t>
  </si>
  <si>
    <t>https://api.environdec.com/api/v1/EPDLibrary/Files/fe3b28f3-66ce-40fd-9a85-08db7e35bd3c/Data</t>
  </si>
  <si>
    <t>Lift, , Rexia/Zexia lift (Usage Cat. 3/4) (Fujitech) (Global)</t>
  </si>
  <si>
    <t>S-P-06414</t>
  </si>
  <si>
    <t>https://api.environdec.com/api/v1/EPDLibrary/Files/1190336b-1453-4d39-a33b-08da713617ee/Data</t>
  </si>
  <si>
    <t>Lift, , Schindler 5500 modular passenger elevator (Usage Cat. 3/4) (Schindler) (Europe)</t>
  </si>
  <si>
    <t>25/11/2022</t>
  </si>
  <si>
    <t>25/11/2027</t>
  </si>
  <si>
    <t>S-P-01459</t>
  </si>
  <si>
    <t>https://api.environdec.com/api/v1/EPDLibrary/Files/2a1896fd-7277-4eca-f292-08dad2cda467/Data</t>
  </si>
  <si>
    <t>Category 5, 6 for high rise buildings (&gt;10 floors)</t>
  </si>
  <si>
    <t>Lift, , UCA(Ultra China Altitude) elevator (Usage Cat. 5/6) (Hitachi Elevator (China) Co., Ltd.) (China)</t>
  </si>
  <si>
    <t>S-P-11087</t>
  </si>
  <si>
    <t>https://api.environdec.com/api/v1/EPDLibrary/Files/94778d5c-dbf3-4f9b-5149-08dbd569605a/Data</t>
  </si>
  <si>
    <t>Lift, , Elsia lift (Usage Cat. 5/6) (Fujitech) (Global)</t>
  </si>
  <si>
    <t>S-P-06410</t>
  </si>
  <si>
    <t>https://api.environdec.com/api/v1/EPDLibrary/Files/c3774fc1-6968-4daf-a33c-08da713617ee/Data</t>
  </si>
  <si>
    <t>Lift, , Schindler 7000 High-Speed China (Usage Cat 5/6) (Schindler Management Ltd) (China)</t>
  </si>
  <si>
    <t>S-P-05344</t>
  </si>
  <si>
    <t>https://api.environdec.com/api/v1/EPDLibrary/Files/13b31ba8-03e7-4235-b9b5-08dca749c5b7/Data</t>
  </si>
  <si>
    <t>Ceilings and walls</t>
  </si>
  <si>
    <t>Ceiling tile</t>
  </si>
  <si>
    <t>Mineral Fibre Ceiling, , Ultima® Ceiling Panels (Armstrong World Industries) (Global)</t>
  </si>
  <si>
    <t>15/02/2024</t>
  </si>
  <si>
    <t>15/02/2029</t>
  </si>
  <si>
    <t>EPD 591</t>
  </si>
  <si>
    <t>https://www.armstrongceilings.com/content/dam/armstrongceilings/commercial/north-america/epds/ultima-epd.pdf</t>
  </si>
  <si>
    <t>Ceiling tile, , Bioguard Acoustic, Ultima (Armstrong Ceiling Solutions (Australia) Pty Ltd) (Global)</t>
  </si>
  <si>
    <t>17/04/2023</t>
  </si>
  <si>
    <t>16/04/2028</t>
  </si>
  <si>
    <t>EPD-ARM-20230066-IAC1-EN</t>
  </si>
  <si>
    <t>https://armstrongceilings.com.au/wp-content/uploads/EPD_Ultima_Bioguard-Acoustic.pdf</t>
  </si>
  <si>
    <t>Ceiling tile, , AMF Thermatex &amp; Armstrong Acoustic Range (Knauf Ceiling Solutions GmbH &amp; Co. KG) (Global)</t>
  </si>
  <si>
    <t>29/03/2021</t>
  </si>
  <si>
    <t>28/03/2026</t>
  </si>
  <si>
    <t>EPD-KNA-20210053-IBC1-EN</t>
  </si>
  <si>
    <t>https://armstrongceilings.com.au/wp-content/uploads/EPD_Laminated-Range.pdf</t>
  </si>
  <si>
    <t>-5.64E-1</t>
  </si>
  <si>
    <t>Ceiling tile, , Exposed Internal Ceiling Tiles (saveBOARD) (Australia and New Zealand)</t>
  </si>
  <si>
    <t>Australia and New Zealand</t>
  </si>
  <si>
    <t>EPD-IES-0014119</t>
  </si>
  <si>
    <t>EPD-IES-0014119_v1_saveBOARD_ExposedInternal_2025-01-05.pdf</t>
  </si>
  <si>
    <t>Masonry</t>
  </si>
  <si>
    <t>Clay brick</t>
  </si>
  <si>
    <t>Clay bricks</t>
  </si>
  <si>
    <t>Clay brick, , FACING, Horizontally Perforated Bricks (KEBE SA) (Global)</t>
  </si>
  <si>
    <t>S-P-08942</t>
  </si>
  <si>
    <t>https://api.environdec.com/api/v1/EPDLibrary/Files/31953b06-df9f-4fc0-28d9-08db259f9365/Data</t>
  </si>
  <si>
    <t>Clay brick, , N 60, Horizontally Perforated Bricks (KEBE SA) (Global)</t>
  </si>
  <si>
    <t>Clay brick, , N 70, Horizontally Perforated Bricks (KEBE SA) (Global)</t>
  </si>
  <si>
    <t>Clay brick, , Ν 90, Horizontally Perforated Bricks (KEBE SA) (Global)</t>
  </si>
  <si>
    <t>Clay brick, , Ν 180, Horizontally Perforated Bricks (KEBE SA) (Global)</t>
  </si>
  <si>
    <t>Clay brick, , FACING N 180, Horizontally Perforated Bricks (KEBE SA) (Global)</t>
  </si>
  <si>
    <t>Clay brick, , N 225, Horizontally Perforated Bricks (KEBE SA) (Global)</t>
  </si>
  <si>
    <t>Clay brick, , N 200, Horizontally Perforated Bricks (KEBE SA) (Global)</t>
  </si>
  <si>
    <t>Clay brick, , N 250, Horizontally Perforated Bricks (KEBE SA) (Global)</t>
  </si>
  <si>
    <t>Clay brick, , Ν 280, Horizontally Perforated Bricks (KEBE SA) (Global)</t>
  </si>
  <si>
    <t>Clay brick, , B250-12/25, Horizontally Perforated Bricks (KEBE SA) (Global)</t>
  </si>
  <si>
    <t>Clay brick, , B250-12/33, Horizontally Perforated Bricks (KEBE SA) (Global)</t>
  </si>
  <si>
    <t>Clay brick, , B250-20/33, Horizontally Perforated Bricks (KEBE SA) (Global)</t>
  </si>
  <si>
    <t>Clay brick, , N 0, Horizontally Perforated Bricks (KEBE SA) (Global)</t>
  </si>
  <si>
    <t>Clay brick, , N 1, Horizontally Perforated Bricks (KEBE SA) (Global)</t>
  </si>
  <si>
    <t>Clay brick, , N 2, Horizontally Perforated Bricks (KEBE SA) (Global)</t>
  </si>
  <si>
    <t>Clay brick, , N 3, Horizontally Perforated Bricks (KEBE SA) (Global)</t>
  </si>
  <si>
    <t>Clay brick, , ΜΚ200, Vertically Perforated Bricks (KEBE SA) (Global)</t>
  </si>
  <si>
    <t>Clay brick, , ΜΚ250, Vertically Perforated Bricks (KEBE SA) (Global)</t>
  </si>
  <si>
    <t>Clay brick, , ORTHOBLOCK K100, Vertically Perforated Bricks (KEBE SA) (Global)</t>
  </si>
  <si>
    <t>Clay brick, , ORTHOBLOCK K120, Vertically Perforated Bricks (KEBE SA) (Global)</t>
  </si>
  <si>
    <t>Clay brick, , HALF Κ250, Vertically Perforated Bricks (KEBE SA) (Global)</t>
  </si>
  <si>
    <t>Clay brick, , ORTHOBLOCK K250, Vertically Perforated Bricks (KEBE SA) (Global)</t>
  </si>
  <si>
    <t>Clay brick, , ORTHOBLOCK K250 NEW, Vertically Perforated Bricks (KEBE SA) (Global)</t>
  </si>
  <si>
    <t>Clay brick, , ORTHOBLOCK K300, Vertically Perforated Bricks (KEBE SA) (Global)</t>
  </si>
  <si>
    <t>Clay brick, , Φ 180, Chimneys (KEBE SA) (Global)</t>
  </si>
  <si>
    <t>Clay brick, , Φ 180 – Τ 130, Chimneys (KEBE SA) (Global)</t>
  </si>
  <si>
    <t>Clay brick, , Φ 180 – Τ 150, Chimneys (KEBE SA) (Global)</t>
  </si>
  <si>
    <t>Clay brick, , Φ 250, Chimneys (KEBE SA) (Global)</t>
  </si>
  <si>
    <t>Clay brick, , Φ 250 – Τ 180, Chimneys (KEBE SA) (Global)</t>
  </si>
  <si>
    <t>Clay brick, , Φ 250 – Τ 150, Chimneys (KEBE SA) (Global)</t>
  </si>
  <si>
    <t>Clay brick, , ORTHOBLOCK K300 PLUS NEW, Vertically Perforated Bricks (KEBE SA) (Global)</t>
  </si>
  <si>
    <t>Clay brick, , ORTHOBLOCK K300 PLUS, Vertically Perforated Bricks (KEBE SA) (Global)</t>
  </si>
  <si>
    <t>Clay brick, , ORTHOBLOCK K250 PLUS NEW, Vertically Perforated Bricks (KEBE SA) (Global)</t>
  </si>
  <si>
    <t>Clay brick, , ORTHOBLOCK K250 PLUS, Vertically Perforated Bricks (KEBE SA) (Global)</t>
  </si>
  <si>
    <t>Clay Brick, , Sencis, red clay facing brick (Lode Sia) (Europe)</t>
  </si>
  <si>
    <t>S-P-11030</t>
  </si>
  <si>
    <t>https://api.environdec.com/api/v1/EPDLibrary/Files/d0461f2c-ff3d-429f-88a7-08dbc3e797a5/Data</t>
  </si>
  <si>
    <t>Clay Brick, , Janka, red clay facing brick (Lode Sia) (Europe)</t>
  </si>
  <si>
    <t>Clay Brick, , Gemini, red clay facing brick (Lode Sia) (Europe)</t>
  </si>
  <si>
    <t>Clay Brick, , Cameleo, red clay facing brick (Lode Sia) (Europe)</t>
  </si>
  <si>
    <t>Clay Brick, , Argon, red clay facing brick (Lode Sia) (Europe)</t>
  </si>
  <si>
    <t>Clay Brick, , Andromeda, red clay facing brick (Lode Sia) (Europe)</t>
  </si>
  <si>
    <t>Clay Brick, , Aquarius, red clay facing brick (Lode Sia) (Europe)</t>
  </si>
  <si>
    <t>Clay Brick, , Etna, red clay facing brick (Lode Sia) (Europe)</t>
  </si>
  <si>
    <t>Clay Brick, , Luna, red clay facing brick (Lode Sia) (Europe)</t>
  </si>
  <si>
    <t>Clay Brick, , Brunis , brown clay facing brick (Lode Sia) (Europe)</t>
  </si>
  <si>
    <t>S-P-11031</t>
  </si>
  <si>
    <t>https://api.environdec.com/api/v1/EPDLibrary/Files/f4a19b1a-e0e7-4377-888c-08dbc3e797a5/Data</t>
  </si>
  <si>
    <t>Clay Brick, , Carbon, brown clay facing brick (Lode Sia) (Europe)</t>
  </si>
  <si>
    <t>Clay Brick, , Centaur, brown clay facing brick (Lode Sia) (Europe)</t>
  </si>
  <si>
    <t>Clay Brick, , Galaxy, brown clay facing brick (Lode Sia) (Europe)</t>
  </si>
  <si>
    <t>Clay Brick, , Krypton, brown clay facing brick (Lode Sia) (Europe)</t>
  </si>
  <si>
    <t>Clay Brick, , Saturn, brown clay facing brick (Lode Sia) (Europe)</t>
  </si>
  <si>
    <t>Clay Brick, , Sotis, brown clay facing brick (Lode Sia) (Europe)</t>
  </si>
  <si>
    <t>Clay Brick, , Sahara, yellow clay facing brick (Lode Sia) (Europe)</t>
  </si>
  <si>
    <t>S-P-11028</t>
  </si>
  <si>
    <t>https://api.environdec.com/api/v1/EPDLibrary/Files/5f971301-da79-466b-88b2-08dbc3e797a5/Data</t>
  </si>
  <si>
    <t>Clay Brick, , Blanka, yellow clay facing brick (Lode Sia) (Europe)</t>
  </si>
  <si>
    <t>Clay Brick, , Wenus, yellow clay facing brick (Lode Sia) (Europe)</t>
  </si>
  <si>
    <t>Clay Brick, , Tybet, clay brick (reduction firing) (Lode Sia) (Europe)</t>
  </si>
  <si>
    <t>S-P-11054</t>
  </si>
  <si>
    <t>https://api.environdec.com/api/v1/EPDLibrary/Files/b7b7c343-0620-45c7-88d1-08dbc3e797a5/Data</t>
  </si>
  <si>
    <t>Clay Brick, , Syriusz, clay brick (reduction firing) (Lode Sia) (Europe)</t>
  </si>
  <si>
    <t>Clay brick, , Brick (Prayag Clay Products Limited (PCPL) (Global)</t>
  </si>
  <si>
    <t>S-P-06476</t>
  </si>
  <si>
    <t>https://api.environdec.com/api/v1/EPDLibrary/Files/53ffd826-e11c-42dd-90ce-08db0d9b78e5/Data</t>
  </si>
  <si>
    <t>Clay brick, , Block (Prayag Clay Products Limited (PCPL) (Global)</t>
  </si>
  <si>
    <t>Clay brick, , Paver (Prayag Clay Products Limited (PCPL)) (Global)</t>
  </si>
  <si>
    <t>Clay brick, , Clay bricks and Pavers from Bowral (Brickworks) (Australia)</t>
  </si>
  <si>
    <t>EPD-IES-0010930:001</t>
  </si>
  <si>
    <t>https://epd-australasia.com/wp-content/uploads/2024/12/EPD-IES-0010930-Brickworks_Bowral-Bricks-Pavers_2024-11-26.pdf</t>
  </si>
  <si>
    <t>Clay brick, , Clay bricks and Pavers from Golden Grove (Brickworks) (Australia)</t>
  </si>
  <si>
    <t>EPD-IES-0010931:001</t>
  </si>
  <si>
    <t>https://epd-australasia.com/wp-content/uploads/2024/12/EPD-IES-0010931-Brickworks_Golden-Grove-Bricks_2024-11-26.pdf</t>
  </si>
  <si>
    <t>Clay brick, , Clay bricks and Pavers from Horsley Park (Brickworks) (Australia)</t>
  </si>
  <si>
    <t>EPD-IES-0010932:001</t>
  </si>
  <si>
    <t>https://epd-australasia.com/wp-content/uploads/2024/12/EPD-IES-0010932-Brickworks_Horsley-Park-Bricks_2024-11-26.pdf</t>
  </si>
  <si>
    <t>Clay brick, , Clay bricks and Pavers from Austral Bricks and Daniel Robertson (Brickworks) (Australia)</t>
  </si>
  <si>
    <t>EPD-IES-0010933:001</t>
  </si>
  <si>
    <t>https://epd-australasia.com/wp-content/uploads/2024/12/EPD-IES-0010933-Brickworks_Longford-Bricks_2024-11-26.pdf</t>
  </si>
  <si>
    <t>Clay brick, , Clay bricks and Pavers from Austral Bricks Punchbowl (Brickworks) (Australia)</t>
  </si>
  <si>
    <t>EPD-IES-0010934:001</t>
  </si>
  <si>
    <t>https://epd-australasia.com/wp-content/uploads/2024/12/EPD-IES-0010934-Brickworks_Punchbowl-Bricks_2024-11-26.pdf</t>
  </si>
  <si>
    <t>Clay brick, , Clay bricks and Pavers from Austral Bricks Rochedale (Brickworks) (Australia)</t>
  </si>
  <si>
    <t>EPD-IES-0010935:001</t>
  </si>
  <si>
    <t>EPD-IES-0010935-Brickworks_Rochedale-Bricks-Pavers_2024-11-26.pdf (epd-australasia.com)</t>
  </si>
  <si>
    <t>Clay brick, , Clay bricks and Pavers from Austral Bricks Nubrik Wollert (Brickworks) (Australia)</t>
  </si>
  <si>
    <t>EPD-IES-0010936:001</t>
  </si>
  <si>
    <t>https://epd-australasia.com/wp-content/uploads/2024/12/EPD-IES-0010936-Brickworks_Wollert-Bricks_2024-11-26.pdf</t>
  </si>
  <si>
    <t>Timber &amp; engineered woods</t>
  </si>
  <si>
    <t>Particleboard</t>
  </si>
  <si>
    <t>Decorative pb</t>
  </si>
  <si>
    <t>Decorative Pboard, 18 mm E0 &amp; E1 moisture resistant (MR) melamine coated, decorative particleboard, Wood solutions, FWPA, Australia</t>
  </si>
  <si>
    <t>S-P-00562</t>
  </si>
  <si>
    <t>https://epd-australasia.com/wp-content/uploads/2018/04/EDP-3-Particleboard-Dec-2020-1.pdf</t>
  </si>
  <si>
    <t>Decorative Pb, , Min variation 16mm standard, melamine coated particleboard (FWPA) (Australia)</t>
  </si>
  <si>
    <t>8/12/2022*</t>
  </si>
  <si>
    <t>Decorative Pb, , Max variation 16mm moisture resistant, melamine coated particleboard (FWPA) (Australia)</t>
  </si>
  <si>
    <t>Decorative Pb, Global, Decorative Pboard, superfine standard 9mm (Laminex) (New Zealand)</t>
  </si>
  <si>
    <t>S-P-09355</t>
  </si>
  <si>
    <t>https://api.environdec.com/api/v1/EPDLibrary/Files/59be304a-6745-4dd3-f9b7-08dbfcbc4c1b/Data</t>
  </si>
  <si>
    <t>Decorative Pboard, 16 mm E0 &amp; E1 moisture resistant (MR) melamine coated, decorative particleboard, Wood solutions, FWPA, Australia</t>
  </si>
  <si>
    <t>Decorative Pboard, 16 mm E0 &amp; E1 standard melamine coated, decorative particleboard, Wood solutions, FWPA, Australia</t>
  </si>
  <si>
    <t>Decorative Pboard, 18 mm E0 &amp; E1 standard melamine coated, decorative particleboard, Wood solutions, FWPA, Australia</t>
  </si>
  <si>
    <t>Aggregate</t>
  </si>
  <si>
    <t>Aggregates</t>
  </si>
  <si>
    <t>Engineered fill</t>
  </si>
  <si>
    <t>Aggregate, , Aggregates (BCG) (Australia)</t>
  </si>
  <si>
    <t>S-P-05493</t>
  </si>
  <si>
    <t>https://epd-australasia.com/wp-content/uploads/2022/12/SP05493_BGC-EPD_Aggregates_Dec22.pdf</t>
  </si>
  <si>
    <t>Aggregate, , Tylden quarry products (Fulton Hogan) (Australia)</t>
  </si>
  <si>
    <t>S-P-04651</t>
  </si>
  <si>
    <t>https://epd-australasia.com/wp-content/uploads/2022/02/Fulton-Hogan_Quarries-VIC-EPD_SP04651.pdf</t>
  </si>
  <si>
    <t>Aggregate, , Tynong quarry products (Fulton Hogan) (Australia)</t>
  </si>
  <si>
    <t>Aggregate, , Ballast (Holcim) (Australia)</t>
  </si>
  <si>
    <t>S-P-02332</t>
  </si>
  <si>
    <t>Aggregate, , Other
Aggregates (Holcim) (Australia)</t>
  </si>
  <si>
    <t>https://api.environdec.com/api/v1/EPDLibrary/Files/2cf721ee-54a4-4f21-8810-08db523a4d9e/Data</t>
  </si>
  <si>
    <t>Aggregate, , Other
Roadbase (Holcim) (Australia)</t>
  </si>
  <si>
    <t>Aggregate, , Asphalt
Aggregates (Holcim) (Australia)</t>
  </si>
  <si>
    <t>Aggregate, , Sealing
Aggregates (Holcim) (Australia)</t>
  </si>
  <si>
    <t>Aggregate, , Concrete
Aggregates (Holcim) (Australia)</t>
  </si>
  <si>
    <t>Aggregate, , Customer
Spec.
Roadbase (Holcim) (Australia)</t>
  </si>
  <si>
    <t>Ethylene Propylene diene terpolymer</t>
  </si>
  <si>
    <t>EPDM</t>
  </si>
  <si>
    <t>EPDM, , Vi-Pro EPDM Membrane external (Proventuss Polska) (Global)</t>
  </si>
  <si>
    <t>S-P-09066</t>
  </si>
  <si>
    <t>EPDM, , EPDM Membrane (TRC) (Global)</t>
  </si>
  <si>
    <t>S-P-12591</t>
  </si>
  <si>
    <t>https://api.environdec.com/api/v1/EPDLibrary/Files/1f1f1ac4-b306-42c2-520f-08dc2e3a662b/Data</t>
  </si>
  <si>
    <t>EPDM, , EPDM Roofing and waterproofing membranes (Alwitra) (Global)</t>
  </si>
  <si>
    <t>S-P-08369</t>
  </si>
  <si>
    <t>https://api.environdec.com/api/v1/EPDLibrary/Files/35451c5f-3c2c-4e6f-9540-08db0f3b9032/Data</t>
  </si>
  <si>
    <t>Epoxy flooring</t>
  </si>
  <si>
    <t>Epoxy floor, , EFM-105 two component epoxy floor coating (PPG) (Global)</t>
  </si>
  <si>
    <t>S-P-07127</t>
  </si>
  <si>
    <t>EPD International</t>
  </si>
  <si>
    <t>https://api.environdec.com/api/v1/EPDLibrary/Files/4efc65a4-eb44-43b4-4907-08dc4f5c011f/Data</t>
  </si>
  <si>
    <t>Epoxy floor, , Epoxy coatings Durofloor-11 (ISOMAT) (Global)</t>
  </si>
  <si>
    <t>EPD-IES-0016840</t>
  </si>
  <si>
    <t>https://api.environdec.com/api/v1/EPDLibrary/Files/29faa133-9018-4834-b4db-08dcef4f86d4/Data</t>
  </si>
  <si>
    <t>Epoxy floor, , MAPEPOXY L (MAPEI) (Global)</t>
  </si>
  <si>
    <t>S-P-11309</t>
  </si>
  <si>
    <t>https://api.environdec.com/api/v1/EPDLibrary/Files/aaceabd3-6180-4561-53aa-08dbdfa90a02/Data</t>
  </si>
  <si>
    <t>Escalator</t>
  </si>
  <si>
    <t>Escalator, , TravelMaster 140T (KONE) (Global)</t>
  </si>
  <si>
    <t>S-P-05304</t>
  </si>
  <si>
    <t>https://api.environdec.com/api/v1/EPDLibrary/Files/1a720bf2-614c-44cb-dcb2-08da1c754aa8/Data</t>
  </si>
  <si>
    <t>Escalator, , TravelMaster 110 (KONE) (Global)</t>
  </si>
  <si>
    <t>S-P-06533</t>
  </si>
  <si>
    <t>https://api.environdec.com/api/v1/EPDLibrary/Files/40f33ae4-372c-4166-ac50-08da599e304a/Data</t>
  </si>
  <si>
    <t>Escalator, , OTIS Link Escalator (OTIS) (Global)</t>
  </si>
  <si>
    <t>S-P-10848</t>
  </si>
  <si>
    <t>https://api.environdec.com/api/v1/EPDLibrary/Files/d451c0b1-88ad-4516-f715-08dbfcbc4c1b/Data</t>
  </si>
  <si>
    <t>Escalator, , TravelMaster 110T (KONE) (Global)</t>
  </si>
  <si>
    <t>S-P-06370</t>
  </si>
  <si>
    <t>https://api.environdec.com/api/v1/EPDLibrary/Files/1c9f7e9d-5b90-4e86-ac53-08da599e304a/Data</t>
  </si>
  <si>
    <t>Escalator, , TransitMaster 120 (KONE) (Global)</t>
  </si>
  <si>
    <t>S-P-10740</t>
  </si>
  <si>
    <t>https://api.environdec.com/api/v1/EPDLibrary/Files/1812acb5-48dd-4eaa-d087-08dbb4ebef81/Data</t>
  </si>
  <si>
    <t>Fibre cement</t>
  </si>
  <si>
    <t>Fibre cement board</t>
  </si>
  <si>
    <t>Fibre cement board, , Hardie™ Flex Sheet, 4.5 mm thick (James Hardie Australia Pty Ltd) (Australia)</t>
  </si>
  <si>
    <t>17/07/2023</t>
  </si>
  <si>
    <t>17/07/2028</t>
  </si>
  <si>
    <t>S-P-03582</t>
  </si>
  <si>
    <t>https://api.environdec.com/api/v1/EPDLibrary/Files/5a533eab-1e80-46ba-5f96-08db94c6ebcd/Data</t>
  </si>
  <si>
    <t>Fibre cement board, , Hardie™ Flex Sheet, 6 mm thick (James Hardie Australia Pty Ltd) (Australia)</t>
  </si>
  <si>
    <t>Fibre cement board, , Hardie™ Flex Eaves Lining, 4.5 mm thick (James Hardie Australia Pty Ltd) (Australia)</t>
  </si>
  <si>
    <t>Fibre cement board, , EasyLap™ Panel, 9 mm thick (James Hardie Australia Pty Ltd) (Australia)</t>
  </si>
  <si>
    <t>Fibre cement board, , Hardie™ Plank Weatherboard, 7.5 mm thick (James Hardie Australia Pty Ltd) (Australia)</t>
  </si>
  <si>
    <t>Fibre cement board, , ExoTec™ Façade Panel, 9 mm thick (James Hardie Australia Pty Ltd) (Australia)</t>
  </si>
  <si>
    <t>Fibre cement board, , AxonTM Panel, 9 mm thick (James Hardie Australia Pty Ltd) (Australia)</t>
  </si>
  <si>
    <t>Fibre cement board, , StriaTM Cladding, 14 mm thick (James Hardie Australia Pty Ltd) (Australia)</t>
  </si>
  <si>
    <t>Fibre cement board, , Linea™ Weatherboards, 16 mm thick (James Hardie Australia Pty Ltd) (Australia)</t>
  </si>
  <si>
    <t>Fibre cement board, , Linea™ Oblique™ Weatherboards, 14 mm thick (James Hardie Australia Pty Ltd) (Australia)</t>
  </si>
  <si>
    <t>Fibre cement board, , Hardie™ Panel Compressed Sheet, 18 mm thick (James Hardie Australia Pty Ltd) (Australia)</t>
  </si>
  <si>
    <t>Fibre cement board, , Secura™ Interior Flooring, 19 mm thick (James Hardie Australia Pty Ltd) (Australia)</t>
  </si>
  <si>
    <t>Fibre cement board, , Villaboard™ Lining, 6 mm thick (James Hardie Australia Pty Ltd) (Australia)</t>
  </si>
  <si>
    <t>Fibre cement board, , Villaboard™ Lining, 9 mm thick (James Hardie Australia Pty Ltd) (Australia)</t>
  </si>
  <si>
    <t>Fibre cement board, , HomeRAB™ Pre-Cladding, 4.5 mm thick (James Hardie Australia Pty Ltd) (Australia)</t>
  </si>
  <si>
    <t>Fibre cement board, , RAB™ Board, 6 mm thick (James Hardie Australia Pty Ltd) (Australia)</t>
  </si>
  <si>
    <t>Fibre cement board, , RAB™ Board, 9 mm thick (James Hardie Australia Pty Ltd) (Australia)</t>
  </si>
  <si>
    <t>Fibre cement board, , Hardie™ Ceramic Tile Underlay, 6 mm thick (James Hardie Australia Pty Ltd) (Australia)</t>
  </si>
  <si>
    <t>Fibre cement board, , Hardie™ Groove Lining, 7.5 mm thick (James Hardie Australia Pty Ltd) (Australia)</t>
  </si>
  <si>
    <t>Fibre cement flooring</t>
  </si>
  <si>
    <t>Fibre cement, Flooring, Secura™ Interior Flooring 19mm</t>
  </si>
  <si>
    <t>S-P-02052</t>
  </si>
  <si>
    <t>https://epd-australasia.com/wp-content/uploads/2020/10/SP02052-James-Hardie-EPD-AU-vJul23.pdf</t>
  </si>
  <si>
    <t>Fibre cement, Flooring, Secura™ Interior Flooring 22mm</t>
  </si>
  <si>
    <t>Fibre cement lining</t>
  </si>
  <si>
    <t>Fibre cement, Lining, Secura™ Exterior Flooring 22mm</t>
  </si>
  <si>
    <t>Fibre cement, Flooring, Secura™ Exterior Flooring 19mm</t>
  </si>
  <si>
    <t>Fibre cement cladding</t>
  </si>
  <si>
    <t>Fibre cement, Cladding, Hardie™ Fine Texture Cladding 8.5mm</t>
  </si>
  <si>
    <t>Fibre cement, Cladding, Hardie™ Plank Weatherboards 7.5mm</t>
  </si>
  <si>
    <t>Fibre cement, Flooring, Hardie™ Deck 19mm</t>
  </si>
  <si>
    <t>Fibre cement, Cladding, EasyLap™ Panel 8.5mm</t>
  </si>
  <si>
    <t>Fibre cement, Cladding, PrimeLine™ Weatherboards 9mm</t>
  </si>
  <si>
    <t>Fibre cement, Cladding, ExoTec™ Façade Panel 9mm</t>
  </si>
  <si>
    <t>Fibre cement, Lining, Villaboard™ Lining 9mm</t>
  </si>
  <si>
    <t>Fibre cement, Cladding, Linea™ Weatherboards 16mm</t>
  </si>
  <si>
    <t>Fibre cement, Lining, Versilux™ Lining 6mm</t>
  </si>
  <si>
    <t>Fibre cement, Compressed sheet, Hardie™ Panel Compressed Sheet 24mm</t>
  </si>
  <si>
    <t>Fibre cement, Lining, Versilux™ Lining 9 mm</t>
  </si>
  <si>
    <t>Fibre cement, Compressed sheet, Hardie™ Panel Compressed Sheet 18mm</t>
  </si>
  <si>
    <t>Fibre cement, Compressed sheet, Hardie™ Panel Compressed Sheet 15mm</t>
  </si>
  <si>
    <t>Fibre cement, Lining, Villaboard™ Lining 6mm</t>
  </si>
  <si>
    <t>Fibre cement, Cladding, Axon™ Cladding 9mm</t>
  </si>
  <si>
    <t>Fibre cement, Flooring, Hardie™ Groove Lining 7.5mm</t>
  </si>
  <si>
    <t>Fibre cement, Cladding, Hardie™ Flex Eaves Lining 4.5mm</t>
  </si>
  <si>
    <t>Fibre cement, Cladding, Hardie™ Flex Sheet 6mm</t>
  </si>
  <si>
    <t>Fibre cement, Cladding, Hardie™ Flex Sheet 4.5mm</t>
  </si>
  <si>
    <t>Fibre cement, Cladding, Stria™ Cladding 14mm</t>
  </si>
  <si>
    <t>Fibre cement, Cladding, HardieTM ObliqueTM Cladding 14mm</t>
  </si>
  <si>
    <t>Fibre cement, Flooring, RAB™ Board 6mm</t>
  </si>
  <si>
    <t>Fibre cement, Flooring, Ceramic Tire Underlay 6mm</t>
  </si>
  <si>
    <t>Fibre cement, Cladding, Matrix™ Cladding 8mm</t>
  </si>
  <si>
    <t>Fibre cement, Lining, Versilux™ Lining 4.5mm</t>
  </si>
  <si>
    <t>Fibre cement, , Natural coloured 8mm (Valcan) (UK)</t>
  </si>
  <si>
    <t>S-P-03995</t>
  </si>
  <si>
    <t>https://api.environdec.com/api/v1/EPDLibrary/Files/353716a9-d2e5-4b2a-8229-08d941d5f1c9/Data</t>
  </si>
  <si>
    <t>Fibre cement, , Natural coloured 10mm (Valcan) (UK)</t>
  </si>
  <si>
    <t>Fibre cement, , Natural coloured 12mm, painted (Valcan) (UK)</t>
  </si>
  <si>
    <t>Fibre cement board, , Fibre cement Products Ceminseal Compressed sheet - 15mm (Cemintel) (Australia)</t>
  </si>
  <si>
    <t>EPD-IES-0018188:001</t>
  </si>
  <si>
    <t>https://epd-australasia.com/wp-content/uploads/2024/12/EPD-IES-0018188-001_CSR_Cemintel-Trade-Essentials_2024-11-28.pdf</t>
  </si>
  <si>
    <t>Glass</t>
  </si>
  <si>
    <t>Float Glass</t>
  </si>
  <si>
    <t>Glass (treated or untreated)</t>
  </si>
  <si>
    <t>Float Glass, Glazing glass, Unprocessed flat glass (Guardian Glass) (Global)</t>
  </si>
  <si>
    <t>4791213166.101.1</t>
  </si>
  <si>
    <t>https://www.guardianglass.com/us/en/tools-and-resources/product-certifications/product-declarations</t>
  </si>
  <si>
    <t>Float Glass, Glazing glass, Processed glass products heat treated (Guardian Glass) (Global)</t>
  </si>
  <si>
    <t>4791213166.105.1</t>
  </si>
  <si>
    <t>Environmental Product Declaration (EPD) | Guardian Glass</t>
  </si>
  <si>
    <t>Double glazing</t>
  </si>
  <si>
    <t>Double glazing, Glazing glass, Pilkington Suncool Optilam™ range  (4/16/6.8) (Pilkington Group Limited) (Europe)</t>
  </si>
  <si>
    <t>S-P-02492</t>
  </si>
  <si>
    <t>https://api.environdec.com/api/v1/EPDLibrary/Files/51247226-2d6c-4246-508b-08dbd569605a/Data</t>
  </si>
  <si>
    <t>Double glazing, Glazing glass, Pilkington Optilam™ Therm range  (4/16/6.8) (Pilkington Group Limited) (Europe)</t>
  </si>
  <si>
    <t>Double glazing, Glazing glass, Pilkington Optilam K Glass™ S range  (4/16/6.8) (Pilkington Group Limited) (Europe)</t>
  </si>
  <si>
    <t>Double glazing, Glazing glass, Pilkington Mirropane Optilam™ Chrome range  (4/16/6.8) (Pilkington Group Limited) (Europe)</t>
  </si>
  <si>
    <t>Double glazing, Glazing glass, Pilkington Spandrel Glass Laminated range  (4/16/6.8) (Pilkington Group Limited) (Europe)</t>
  </si>
  <si>
    <t>Double glazing, Glazing glass, Pilkington Optifloat™ Clear and Tinted  (4/16/6.8) (Pilkington Group Limited) (Europe)</t>
  </si>
  <si>
    <t>Triple glazing</t>
  </si>
  <si>
    <t>Triple glazing, Glazing glass, Pilkington Suncool™ range (6/12/6/12/8.8) (Pilkington Group Limited) (Europe)</t>
  </si>
  <si>
    <t>S-P-02888</t>
  </si>
  <si>
    <t>https://api.environdec.com/api/v1/EPDLibrary/Files/e7d2bb09-334f-4b04-507e-08dbd569605a/Data</t>
  </si>
  <si>
    <t>Triple glazing, Glazing glass, Pilkington Optitherm™ range (6/12/6/12/8.8) (Pilkington Group Limited) (Europe)</t>
  </si>
  <si>
    <t>Triple glazing, Glazing glass, Pilkington K Glass™ S range (6/12/6/12/8.8) (Pilkington Group Limited) (Europe)</t>
  </si>
  <si>
    <t>Triple glazing, Glazing glass, Pilkington Mirropane™ Chrome range (6/12/6/12/8.8) (Pilkington Group Limited) (Europe)</t>
  </si>
  <si>
    <t>Triple glazing, Glazing glass, Pilkington Spandrel Glass Coated range (6/12/6/12/8.8) (Pilkington Group Limited) (Europe)</t>
  </si>
  <si>
    <t>Triple glazing, Glazing glass, Pilkington Suncool Optilam™ range (6/12/6/12/8.8) (Pilkington Group Limited) (Europe)</t>
  </si>
  <si>
    <t>Triple glazing, Glazing glass, Pilkington Optilam™ Therm range  (6/12/6/12/8.8) (Pilkington Group Limited) (Europe)</t>
  </si>
  <si>
    <t>Triple glazing, Glazing glass, Pilkington Optilam K Glass™ S range  (6/12/6/12/8.8) (Pilkington Group Limited) (Europe)</t>
  </si>
  <si>
    <t>Triple glazing, Glazing glass, Pilkington Mirropane Optilam™ Chrome (6/12/6/12/8.8) (Pilkington Group Limited) (Europe)</t>
  </si>
  <si>
    <t>Triple glazing, Glazing glass, Pilkington Optifloat™ T (6/12/6/12/8.8) (Pilkington Group Limited) (Europe)</t>
  </si>
  <si>
    <t>Triple glazing, Glazing glass, Pilkington Optiwhite™ T (6/12/6/12/8.8) (Pilkington Group Limited) (Europe)</t>
  </si>
  <si>
    <t>Float Glass, Glazing glass, Average float glass 3mm thick (Asahi - India Glass Ltd) (Global)</t>
  </si>
  <si>
    <t>31/10/2023*</t>
  </si>
  <si>
    <t>S-P-01114</t>
  </si>
  <si>
    <t>https://api.environdec.com/api/v1/EPDLibrary/Files/dcbbb399-c22e-407f-941a-05a94fc14953/Data</t>
  </si>
  <si>
    <t>Float Glass, Glazing glass, Average float glass 4mm thick (Asahi - India Glass Ltd) (Global)</t>
  </si>
  <si>
    <t>Float Glass, Glazing glass, Average float glass 3.5mm thick (Asahi - India Glass Ltd) (Global)</t>
  </si>
  <si>
    <t>Float Glass, Glazing glass, Average float glass 5mm thick (Asahi - India Glass Ltd) (Global)</t>
  </si>
  <si>
    <t>Float Glass, Glazing glass, Average float glass 6mm thick (Asahi - India Glass Ltd) (Global)</t>
  </si>
  <si>
    <t>Float Glass, Glazing glass, Average float glass 8mm thick (Asahi - India Glass Ltd) (Global)</t>
  </si>
  <si>
    <t>Float Glass, Glazing glass, Average float glass 10mm thick (Asahi - India Glass Ltd) (Global)</t>
  </si>
  <si>
    <t>Float Glass, Glazing glass, Average float glass 12mm thick (Asahi - India Glass Ltd) (Global)</t>
  </si>
  <si>
    <t>Float Glass, Glazing glass, Laminated float glass 1mm (Pilkington Group Limited) (Global)</t>
  </si>
  <si>
    <t>S-P-08826</t>
  </si>
  <si>
    <t>https://api.environdec.com/api/v1/EPDLibrary/Files/d89694e8-801d-4b08-872d-08db523a4d9e/Data</t>
  </si>
  <si>
    <t>Float Glass, Glazing glass, Guardian glass wet coated glass (Guardian Glass) (North America)</t>
  </si>
  <si>
    <t>4791213166.107.1</t>
  </si>
  <si>
    <t>Float Glass, Glazing glass, Guardian glass heat treated glass (Guardian Glass) (North America)</t>
  </si>
  <si>
    <t>Float Glass, Glazing glass, Guardian glass processed glass AME &amp; I region (coated glass) (Guardian Glass) (Global)</t>
  </si>
  <si>
    <t>478887138.102.1</t>
  </si>
  <si>
    <t>https://www.guardianglass.com/me/en/tools-and-resources/resources/product-declarations</t>
  </si>
  <si>
    <t>Double glazing, Glazing glass, Climalit 4-16-4 (Saint-Gobain) (Global)</t>
  </si>
  <si>
    <t>S-P-00934</t>
  </si>
  <si>
    <t>https://api.environdec.com/api/v1/EPDLibrary/Files/21b433c4-ae50-4c96-1bd6-08da2ccce1bd/Data</t>
  </si>
  <si>
    <t>Double glazing, Glazing glass, Climalit 4-16-44.1 (Saint-Gobain) (Global)</t>
  </si>
  <si>
    <t>Double glazing, Glazing glass, Climalit 4-16-33.1 (Saint-Gobain) (Global)</t>
  </si>
  <si>
    <t>Double glazing, Glazing glass, Pilkington Suncool™ range  (4/16/6.8) (Pilkington Group Limited) (Europe)</t>
  </si>
  <si>
    <t>S-P-02493</t>
  </si>
  <si>
    <t>https://api.environdec.com/api/v1/EPDLibrary/Files/98ee93ed-f49c-4092-5086-08dbd569605a/Data</t>
  </si>
  <si>
    <t>Double glazing, Glazing glass, Pilkington Optitherm™ range  (4/16/6.8) (Pilkington Group Limited) (Europe)</t>
  </si>
  <si>
    <t>Double glazing, Glazing glass, Pilkington K Glass™ S range  (4/16/6.8) (Pilkington Group Limited) (Europe)</t>
  </si>
  <si>
    <t>Double glazing, Glazing glass, Pilkington Mirropane™ Chrome range  (4/16/6.8) (Pilkington Group Limited) (Europe)</t>
  </si>
  <si>
    <t>Double glazing, Glazing glass, Pilkington Spandrel Glass Coated range  (4/16/6.8) (Pilkington Group Limited) (Europe)</t>
  </si>
  <si>
    <t>Double glazing, Glazing glass, Pilkington Optifloat™ Clear and Tinted   (4/16/6.8) (Pilkington Group Limited) (Europe)</t>
  </si>
  <si>
    <t>Glazing glass</t>
  </si>
  <si>
    <t>Float Glass, Glazing glass, Magnetron coated glass on SGG PLANILUX 6 mm (Saint-Gobain India Private Limited) (India)</t>
  </si>
  <si>
    <t>S-P-09807</t>
  </si>
  <si>
    <t>https://api.environdec.com/api/v1/EPDLibrary/Files/b309127f-a302-42ca-8779-08db9e3bfd8a/Data</t>
  </si>
  <si>
    <t>Triple glazing, Glazing glass, Pilkington Suncool™ range  (4/12/4/12/4) (Pilkington Group Limited) (Europe)</t>
  </si>
  <si>
    <t>S-P-02592</t>
  </si>
  <si>
    <t>https://api.environdec.com/api/v1/EPDLibrary/Files/031486b8-1d98-4ee3-5090-08dbd569605a/Data</t>
  </si>
  <si>
    <t>Triple glazing, Glazing glass, Pilkington Optitherm™ range  (4/12/4/12/4) (Pilkington Group Limited) (Europe)</t>
  </si>
  <si>
    <t>Triple glazing, Glazing glass, Pilkington K Glass™ S range  (4/12/4/12/4) (Pilkington Group Limited) (Europe)</t>
  </si>
  <si>
    <t>Triple glazing, Glazing glass, Pilkington Mirropane™ Chrome range  (4/12/4/12/4) (Pilkington Group Limited) (Europe)</t>
  </si>
  <si>
    <t>Triple glazing, Glazing glass, Pilkington Spandrel Glass Coated range  (4/12/4/12/4) (Pilkington Group Limited) (Europe)</t>
  </si>
  <si>
    <t>Triple glazing, Glazing glass, Pilkington Optifloat™ Clear and Tinted  (4/12/4/12/4) (Pilkington Group Limited) (Europe)</t>
  </si>
  <si>
    <t>Float Glass, Glazing glass, Magnetron coated glass On SGG PARSOL 4 mm (Saint-Gobain India Private Limited) (India)</t>
  </si>
  <si>
    <t>S-P-09810</t>
  </si>
  <si>
    <t>https://api.environdec.com/api/v1/EPDLibrary/Files/ef7ee920-5ecf-499e-fa40-08db99345335/Data</t>
  </si>
  <si>
    <t>Double glazing, Glazing glass, Pilkington Activ™ range (4/16/4) (Pilkington Group Limited) (Europe)</t>
  </si>
  <si>
    <t>S-P-02491</t>
  </si>
  <si>
    <t>https://api.environdec.com/api/v1/EPDLibrary/Files/f765c72b-3dc3-440a-508c-08dbd569605a/Data</t>
  </si>
  <si>
    <t>Double glazing, Glazing glass, Pilkington K Glass™ range  (4/16/4) (Pilkington Group Limited) (Europe)</t>
  </si>
  <si>
    <t>Double glazing, Glazing glass, NSG TEC™ range  (4/16/4) (Pilkington Group Limited) (Europe)</t>
  </si>
  <si>
    <t>Double glazing, Glazing glass, Pilkington OptiView™ range  (4/16/4) (Pilkington Group Limited) (Europe)</t>
  </si>
  <si>
    <t>Double glazing, Glazing glass, Pilkington OptiShower™ range  (4/16/4) (Pilkington Group Limited) (Europe)</t>
  </si>
  <si>
    <t>Double glazing, Glazing glass, Pilkington K Glass™ OW range  (4/16/4) (Pilkington Group Limited) (Europe)</t>
  </si>
  <si>
    <t>Double glazing, Glazing glass, Pilkington OptiView™ OW range  (4/16/4) (Pilkington Group Limited) (Europe)</t>
  </si>
  <si>
    <t>Double glazing, Glazing glass, Pilkington OptiShower™ OW range  (4/16/4) (Pilkington Group Limited) (Europe)</t>
  </si>
  <si>
    <t>Double glazing, Glazing glass, Pilkington Anti-condensation Glass  (4/16/4) (Pilkington Group Limited) (Europe)</t>
  </si>
  <si>
    <t>Double glazing, Glazing glass, Pilkington Optifloat™ Clear and Tinted   (4/16/4) (Pilkington Group Limited) (Europe)</t>
  </si>
  <si>
    <t>Float Glass, Glazing glass, Magnetron coated glass on SGG PARSOL 6 mm (Saint-Gobain India Private Limited) (India)</t>
  </si>
  <si>
    <t>S-P-09811</t>
  </si>
  <si>
    <t>https://api.environdec.com/api/v1/EPDLibrary/Files/5b9bb9a8-4a24-4155-fa48-08db99345335/Data</t>
  </si>
  <si>
    <t>Float Glass, Glazing glass, Magnetron coated glass on SGG PARSOL 8 mm (Saint-Gobain India Private Limited) (India)</t>
  </si>
  <si>
    <t>S-P-09812</t>
  </si>
  <si>
    <t>https://api.environdec.com/api/v1/EPDLibrary/Files/97c235aa-457c-4a4c-fa4d-08db99345335/Data</t>
  </si>
  <si>
    <t>GLT&amp;CLT (hw)</t>
  </si>
  <si>
    <t>GLT&amp;CLT (hardwood)</t>
  </si>
  <si>
    <t>GLT&amp;CLT (hw), , Min variaton for  hardwood Glulam FWPA, Australia (FWPA) (Australia)</t>
  </si>
  <si>
    <t>S-P-00565</t>
  </si>
  <si>
    <t>https://epd-australasia.com/wp-content/uploads/2018/03/epd565-Glued-Laminated-Timber-v1.pdf</t>
  </si>
  <si>
    <t>Max variaton for  hardwood Glulam FWPA, Australia</t>
  </si>
  <si>
    <t>Glulam, hw or cypress pine, Wood solutions, FWPA, Australia</t>
  </si>
  <si>
    <t>GLT&amp;CLT (sw)</t>
  </si>
  <si>
    <t>GLT&amp;CLT (softwood)</t>
  </si>
  <si>
    <t>GLT&amp;CLT (sw), Global, CLT (Cross Laminated Timber) (Stora Enso) (Austria)</t>
  </si>
  <si>
    <t>Austria</t>
  </si>
  <si>
    <t>S-P-02033</t>
  </si>
  <si>
    <t xml:space="preserve"> https://api.environdec.com/api/v1/EPDLibrary/Files/186e4440-1809-4e7e-41b3-08d8dc8471b1/Data</t>
  </si>
  <si>
    <t>Max variaton for softwood Glulam FWPA, Australia</t>
  </si>
  <si>
    <t>XLam CLT panels, XLam Australia, Australia</t>
  </si>
  <si>
    <t>S-P-02326</t>
  </si>
  <si>
    <t>Version: 1.1</t>
  </si>
  <si>
    <t>https://epd-australasia.com/wp-content/uploads/2021/03/SP02326-XLam-EPD_v1.1_Jun23.pdf</t>
  </si>
  <si>
    <t>Glulam, sw, Wood solutions, FWPA, Australia</t>
  </si>
  <si>
    <t>Glued laminated timber beams from Spruce and pine (ZAZA TIMBER Production, Ltd) (Europe)</t>
  </si>
  <si>
    <t>S-P-04453</t>
  </si>
  <si>
    <t>https://api.environdec.com/api/v1/EPDLibrary/Files/48e12385-c4bd-450b-be3b-08d99924be73/Data</t>
  </si>
  <si>
    <t>Treated Glued laminated timber beams from Spruce and Pine (ZAZA TIMBER Production, Ltd) (Europe)</t>
  </si>
  <si>
    <t>GLT&amp;CLT (sw), , Min variaton for softwood Glulam FWPA, Australia (FWPA) (Australia)</t>
  </si>
  <si>
    <t>S-P-00564</t>
  </si>
  <si>
    <t>GLT&amp;CLT (sw), Global, KLH® - CLT (Cross Laminated Timber) (KLH Massivholz GmbH) (Austria)</t>
  </si>
  <si>
    <t>S-P-04195</t>
  </si>
  <si>
    <t>https://api.environdec.com/api/v1/EPDLibrary/Files/ecd39d2a-5be5-486b-7527-08dba3f6d3f1/Data</t>
  </si>
  <si>
    <t>GLT&amp;CLT (sw), Global, CLT, H4 CCA (Red Stag) (New Zealand)</t>
  </si>
  <si>
    <t>S-P-03711</t>
  </si>
  <si>
    <t>https://api.environdec.com/api/v1/EPDLibrary/Files/5ebca247-e3e6-4cd9-0efe-08d9f09b841d/Data</t>
  </si>
  <si>
    <t>GLT&amp;CLT (sw), Global, CLT, H4 CCA Re-dried (Red Stag) (New Zealand)</t>
  </si>
  <si>
    <t>GLT&amp;CLT (sw), Global, CLT, H1.2 Boron re-dried (Red Stag) (New Zealand)</t>
  </si>
  <si>
    <t>GLT&amp;CLT (sw), Global, CLT, H3.1 Copper Azole (Red Stag) (New Zealand)</t>
  </si>
  <si>
    <t>GLT&amp;CLT (sw), Global, CLT, H1.2 Boron (Red Stag) (New Zealand)</t>
  </si>
  <si>
    <t>GLT&amp;CLT (sw), Global, CLT, No Treatment (Red Stag) (New Zealand)</t>
  </si>
  <si>
    <t>GLT&amp;CLT (sw), Global, CLT, H3 CCA Re-dried (Red Stag) (New Zealand)</t>
  </si>
  <si>
    <t>GLT&amp;CLT (sw), Global, CLT, H3 CCA (Red Stag) (New Zealand)</t>
  </si>
  <si>
    <t>GLT&amp;CLT (sw), Global, CLT, H3.1 LOSP (Red Stag) (New Zealand)</t>
  </si>
  <si>
    <t>GLT&amp;CLT (sw), NEXTIMBER CLT, Timberlink, Australia</t>
  </si>
  <si>
    <t>S-P-07432</t>
  </si>
  <si>
    <t>https://epd-australasia.com/wp-content/uploads/2023/06/SP07432-Timberlink_EPD_NeXTimber_Jun23.pdf</t>
  </si>
  <si>
    <t>GLT&amp;CLT (sw), NEXTIMBER GLT (UNTREATED), Timberlink, Australia</t>
  </si>
  <si>
    <t>GLT&amp;CLT (sw), NEXTIMBER GLT (TREATED) treated to H3 level, Timberlink, Australia</t>
  </si>
  <si>
    <t>softwood glulam (Abodo Wood Ltd) (New Zealand)</t>
  </si>
  <si>
    <t>S-P-01543</t>
  </si>
  <si>
    <t>Version 1.3</t>
  </si>
  <si>
    <t>https://epd-australasia.com/wp-content/uploads/2020/08/SP01543-AbodoWood-EPD-Mar2023.v1.3.pdf</t>
  </si>
  <si>
    <t>Glued laminated timber (Jures Glulam) (Europe)</t>
  </si>
  <si>
    <t>S-P-07323</t>
  </si>
  <si>
    <t>https://api.environdec.com/api/v1/EPDLibrary/Files/36768563-03b5-4028-15af-08daab5a6b31/Data</t>
  </si>
  <si>
    <t>Glued Laminated Timber (L.A. COST srl) (Global)</t>
  </si>
  <si>
    <t>S-P-04608</t>
  </si>
  <si>
    <t>Ver</t>
  </si>
  <si>
    <t>https://api.environdec.com/api/v1/EPDLibrary/Files/4be6707c-dbd2-46b4-172d-08d972a96257/Data</t>
  </si>
  <si>
    <t>Glass fibre reinforced concrete</t>
  </si>
  <si>
    <t>GRC</t>
  </si>
  <si>
    <t>GRC cladding</t>
  </si>
  <si>
    <t>GRC, , Plain GRC façade panels (Ibstock telling) (Global)</t>
  </si>
  <si>
    <t>BF1805-C-ECOP Rev 0.1</t>
  </si>
  <si>
    <t>Bre</t>
  </si>
  <si>
    <t>https://assets.ctfassets.net/eta2vegx3yuv/Cix5RfrcDZ8exR10U2p4M/205db0194af9b161ae72840b7f035324/BREGENEPD000366.pdf</t>
  </si>
  <si>
    <t>GRC, , Concrete skin and oko skin glass fibre reinforced concrete (Reider Smart Elements GmbH) (Global)</t>
  </si>
  <si>
    <t>28/10/2024*</t>
  </si>
  <si>
    <t>4789090717.101.1</t>
  </si>
  <si>
    <t>https://cdn.sanity.io/files/3f1jzp9g/development/396044cb5b2fed172297434d28878da50068f0bb.pdf?dl=</t>
  </si>
  <si>
    <t>GRC, , Brick faced GRC façade panels (12 mm) (Ibstock telling) (Global)</t>
  </si>
  <si>
    <t>https://assets.ctfassets.net/eta2vegx3yuv/5p7jHx3MOV4BmjIIuBlKg2/ea9a028fd25aafdaeb5f109aaeedca11/BREGENEPD000365.pdf</t>
  </si>
  <si>
    <t>Concrete precast</t>
  </si>
  <si>
    <t>Hollowcore</t>
  </si>
  <si>
    <t>Hollow core - precast concrete</t>
  </si>
  <si>
    <t>Hollowcore concrete, , Hollowcore BGC (HC500) Conc Mix 2  (BGC) (Australia)</t>
  </si>
  <si>
    <t>S-P-05492</t>
  </si>
  <si>
    <t>https://api.environdec.com/api/v1/EPDLibrary/Files/c24082d0-e085-41f7-248b-08db259f9365/Data</t>
  </si>
  <si>
    <t>Hollowcore concrete, , Hollowcore BGC (HC200W) Conc Mix 2  (BGC) (Australia)</t>
  </si>
  <si>
    <t>Hollowcore concrete, , Hollowcore BGC (HC160) Conc Mix 2  (BGC) (Australia)</t>
  </si>
  <si>
    <t>Hollowcore concrete, , Hollowcore BGC (HC250) Conc Mix 2  (BGC) (Australia)</t>
  </si>
  <si>
    <t>Hybrid floor</t>
  </si>
  <si>
    <t>Hybrid flooring</t>
  </si>
  <si>
    <t>Hybrid floor, , Maxwear (Golvabia) (Sweden)</t>
  </si>
  <si>
    <t>Sweden</t>
  </si>
  <si>
    <t>S-P-06406</t>
  </si>
  <si>
    <t>https://api.environdec.com/api/v1/EPDLibrary/Files/ab6050c5-ba34-438c-1bbc-08dc2330a814/Data</t>
  </si>
  <si>
    <t>Laminate floor</t>
  </si>
  <si>
    <t>Laminate flooring</t>
  </si>
  <si>
    <t>Laminate floor, , Laminate flooring (Kronospan) (Turkey)</t>
  </si>
  <si>
    <t>S-P-08742</t>
  </si>
  <si>
    <t>https://api.environdec.com/api/v1/EPDLibrary/Files/0b9279e4-3dee-4a4d-9a5c-08db7e35bd3c/Data</t>
  </si>
  <si>
    <t>Laminate floor, , Laminate flooring (Peli Parke) (Global)</t>
  </si>
  <si>
    <t>S-P-06740</t>
  </si>
  <si>
    <t>https://api.environdec.com/api/v1/EPDLibrary/Files/09339ae6-48cd-4de8-a2c4-08db196e9a1c/Data</t>
  </si>
  <si>
    <t>Linoleum flooring</t>
  </si>
  <si>
    <t>Linoleum Flooring, , Marmoleum sheet 2 mm Resilient Linoleum Floor Covering (Forbo Flooring Systems) (Global)</t>
  </si>
  <si>
    <t>4790859342.101.1</t>
  </si>
  <si>
    <t>https://forbo.blob.core.windows.net/forbodocuments/5b254718-654b-4b95-93ec-98b77f6b69e4/Forbo_Marmoleum%20sheet_2.0%202.5%20and%203.2_EPD_2025.pdf</t>
  </si>
  <si>
    <t>Linoleum Flooring, , DLW Linoleum Compact Sheet Flooring (Gerflor) (North America)</t>
  </si>
  <si>
    <t>4788756650.102.1</t>
  </si>
  <si>
    <t>https://www.gerflor.com/media/epd-linoleum-compact.pdf</t>
  </si>
  <si>
    <t>Linoleum Flooring, , DLW Linoleum Compact Sheet Flooring (Gerflor) (Europe)</t>
  </si>
  <si>
    <t>LVL</t>
  </si>
  <si>
    <t>S-beam LVL (Kerto) (Finland)</t>
  </si>
  <si>
    <t>Finland</t>
  </si>
  <si>
    <t>S-P-02802</t>
  </si>
  <si>
    <t>https://api.environdec.com/api/v1/EPDLibrary/Files/a53edc97-874a-46e3-cddc-08d9df0ea78f/Data</t>
  </si>
  <si>
    <t>Q-panel LVL (Kerto) (Finland)</t>
  </si>
  <si>
    <t>Qp-beam LVL (Kerto) (Finland)</t>
  </si>
  <si>
    <t>Kate LVL (Kerto) (Finland)</t>
  </si>
  <si>
    <t>L-panel LVL (Kerto) (Finland)</t>
  </si>
  <si>
    <t>T-Stud LVL (Kerto) (Finland)</t>
  </si>
  <si>
    <t>LVL (Stora Enso) (Finland)</t>
  </si>
  <si>
    <t>S-P-09942</t>
  </si>
  <si>
    <t>https://api.environdec.com/api/v1/EPDLibrary/Files/43bb8147-f766-4606-86f3-08dbc3e797a5/Data</t>
  </si>
  <si>
    <t>LVL, , LVL produced in North America (North American Laminated Veneer Lumber) (Global)</t>
  </si>
  <si>
    <t>4788424634.105.1</t>
  </si>
  <si>
    <t>https://corrim.org/wp-content/uploads/2020/06/AWC_EPD_NorthAmericanLaminatedVeneerLumber_20200605.pdf</t>
  </si>
  <si>
    <t>Sylva™ LVL Rib (Stora Enso) (Sweden)</t>
  </si>
  <si>
    <t>S-P-06725</t>
  </si>
  <si>
    <t>https://api.environdec.com/api/v1/EPDLibrary/Files/b542a333-263f-4033-86f4-08dbc3e797a5/Data</t>
  </si>
  <si>
    <t>Treated LVL (Carter Holt Harvey) (New Zealand)</t>
  </si>
  <si>
    <t>S-P-05514</t>
  </si>
  <si>
    <t>https://epd-australasia.com/wp-content/uploads/2023/04/SP05514-CHH-EPD_LVL_hyJOIST_Apr23.pdf</t>
  </si>
  <si>
    <t>Untreated LVL (Carter Holt Harvey) (New Zealand)</t>
  </si>
  <si>
    <t>LVL (VMG Lingnum) (Sweden)</t>
  </si>
  <si>
    <t>S-P-10876</t>
  </si>
  <si>
    <t>https://api.environdec.com/api/v1/EPDLibrary/Files/93983208-4427-4b0c-87ca-08dbc3e797a5/Data</t>
  </si>
  <si>
    <t>Masonry (Concrete bricks)</t>
  </si>
  <si>
    <t>Masonry (Concrete bricks), BLOCK Campbellfield (VIC) (Adbri)</t>
  </si>
  <si>
    <t>S-P-05517</t>
  </si>
  <si>
    <t>https://epd-australasia.com/wp-content/uploads/2023/04/SP05517-Adbri-EPD-Masonry_Mar23.pdf</t>
  </si>
  <si>
    <t>Masonry (Concrete bricks), BLOCK Maroochydore (QLD) (Adbri)</t>
  </si>
  <si>
    <t>Masonry (Concrete bricks), BLOCK Stapylton (QLD) (Adbri)</t>
  </si>
  <si>
    <t>Masonry (Concrete bricks), BLOCK Ulverstone (TAS) (Adbri)</t>
  </si>
  <si>
    <t>Masonry (Concrete bricks), BRICK Bendigo Smooth Shot Dark (VIC) (Adbri)</t>
  </si>
  <si>
    <t>Masonry (Concrete bricks), BRICK Bendigo Honed Dark (VIC) (Adbri)</t>
  </si>
  <si>
    <t>Masonry (Concrete bricks), BRICK Bendigo Smooth Shot Light (VIC) (Adbri)</t>
  </si>
  <si>
    <t>Masonry (Concrete bricks), BRICK Bendigo Honed Light (VIC) (Adbri)</t>
  </si>
  <si>
    <t>Masonry (Concrete bricks), BRICK Bendigo Cored Light (VIC) (Adbri)</t>
  </si>
  <si>
    <t>Masonry (Concrete bricks), BRICK Maroochydore (QLD) (Adbri)</t>
  </si>
  <si>
    <t>Masonry (Concrete bricks), BRICK Ulverstone (TAS) (Adbri)</t>
  </si>
  <si>
    <t>Masonry (Concrete bricks), Aura Porcelain (Australia) (Austral)</t>
  </si>
  <si>
    <t>S-P-05476</t>
  </si>
  <si>
    <t>https://epd-australasia.com/wp-content/uploads/2022/04/SP05476-Brickworks-EPDv1.2_Dec-22-1.pdf</t>
  </si>
  <si>
    <t>Masonry (Concrete bricks), Aura Grey (Australia) (Austral)</t>
  </si>
  <si>
    <t>Masonry (Concrete bricks), Aura Oak (Australia) (Austral)</t>
  </si>
  <si>
    <t>Masonry (Concrete bricks), GB Sandstone Rock Face (Australia) (Austral)</t>
  </si>
  <si>
    <t>Masonry (Concrete bricks), GB Sandstone Split Face (Australia) (Austral)</t>
  </si>
  <si>
    <t>Masonry (Concrete bricks), GB Sandstone Smooth (Australia) (Austral)</t>
  </si>
  <si>
    <t>Masonry (Concrete bricks), GB Stone (Australia) (Austral)</t>
  </si>
  <si>
    <t>Masonry (Concrete bricks), GB Split Face (Australia) (Austral)</t>
  </si>
  <si>
    <t>Masonry (Concrete bricks), GB Smooth (Australia) (Austral)</t>
  </si>
  <si>
    <t>Masonry (Concrete bricks), GB Veneer (Australia) (Austral)</t>
  </si>
  <si>
    <t>Masonry (Concrete bricks), Breeze Blocks (Australia) (Austral)</t>
  </si>
  <si>
    <t>Masonry (Concrete bricks), GB Latitude (Australia) (Austral)</t>
  </si>
  <si>
    <t>Masonry (Concrete bricks), 100MM Standard (Australia) (Austral)</t>
  </si>
  <si>
    <t>Masonry (Concrete bricks), 200MM Standard (Australia) (Austral)</t>
  </si>
  <si>
    <t>Masonry (Concrete bricks), 150MM Mortarless (Australia) (Austral)</t>
  </si>
  <si>
    <t>Finishing</t>
  </si>
  <si>
    <t>MDF</t>
  </si>
  <si>
    <t>MDF  (25 mm, E0 and E1, moisture resistant (MR) melamine coated) [from sustainable forest management practices], FWPA, Australian Industry</t>
  </si>
  <si>
    <t>S-P-00563</t>
  </si>
  <si>
    <t>https://epd-australasia.com/wp-content/uploads/2018/04/EDP-4-MDF-Dec-2020-1.pdf</t>
  </si>
  <si>
    <t>MDF  (18 mm, E0 and E1,  melamine coated) [from sustainable forest management practices], FWPA, Australian Industry</t>
  </si>
  <si>
    <t>MDF  (16 mm, E0 and E1, moisture resistant (MR) melamine coated) [from sustainable forest management practices], FWPA, Australian Industry</t>
  </si>
  <si>
    <t>MDF  (25 mm, E0 and E1, melamine coated) [from sustainable forest management practices], FWPA, Australian Industry</t>
  </si>
  <si>
    <t>MDF (16 mm, E0 and E1,  melamine coated) [from sustainable forest management practices], FWPA, Australian Industry</t>
  </si>
  <si>
    <t>MDF  (18 mm, E0 and E1, moisture resistant (MR) melamine coated) [from sustainable forest management practices], FWPA, Australian Industry</t>
  </si>
  <si>
    <t>Max variaton for  MDF, MR 25mm FWPA, Australia</t>
  </si>
  <si>
    <t>MDF, , Min variaton for  MDF, MR 25mm FWPA, Australia (FWPA) (Australia)</t>
  </si>
  <si>
    <t>MDF, , medium density fibreboard wood (Kastamonu) (Global)</t>
  </si>
  <si>
    <t>S-P-01989</t>
  </si>
  <si>
    <t>https://api.environdec.com/api/v1/EPDLibrary/Files/3cfa882f-8705-4918-0023-08dab65855de/Data</t>
  </si>
  <si>
    <t>Not used</t>
  </si>
  <si>
    <t>, REMOVED, Recovered Aggregates (Repurpose It) (Australia)</t>
  </si>
  <si>
    <t>S-P-01546</t>
  </si>
  <si>
    <t>https://epd-australasia.com/wp-content/uploads/2020/03/Repurpose-It-EPD-Recovered-Mineral-Aggregates-v1-0.pdf</t>
  </si>
  <si>
    <t>Fulton Hogan Bushells RidgeCM10 AR450 AS2150</t>
  </si>
  <si>
    <t>Downer Reconophalt South AustraliaAC14 C170 R50</t>
  </si>
  <si>
    <t>22/10/2025</t>
  </si>
  <si>
    <t>S-P-02053</t>
  </si>
  <si>
    <t>https://epd-australasia.com/wp-content/uploads/2020/09/S-P-02053_Downer_Reconophalt-Environmental-Product-Declaration_September-2020_v5.pdf</t>
  </si>
  <si>
    <t>Downer Reconophalt South AustraliaAC10 C320 R10</t>
  </si>
  <si>
    <t>Downer Reconophalt South AustraliaAC10 C320 R30</t>
  </si>
  <si>
    <t>Fibre</t>
  </si>
  <si>
    <t>Fibre products for cement, , K25™ Fibre Cement Pulp (Oji Fibre Solutions) (Global)</t>
  </si>
  <si>
    <t>S-P-05525</t>
  </si>
  <si>
    <t>https://api.environdec.com/api/v1/EPDLibrary/Files/7b0a829d-0bc0-42bf-4698-08dafe2f30a8/Data</t>
  </si>
  <si>
    <t>Concrete, ? MPa,</t>
  </si>
  <si>
    <t>Concrete, ? MPa, in-situ, no reinforcement, (SD160A)(GP) (BCG) (WA), (Perth)</t>
  </si>
  <si>
    <t>Concrete, ? MPa, in-situ, no reinforcement, (BLOCKMIX) (Adbri) (QLD)</t>
  </si>
  <si>
    <t>Concrete, ? MPa, in-situ, no reinforcement, (No Fines) (Adbri) (QLD)</t>
  </si>
  <si>
    <t>Concrete, ? MPa, in-situ, no reinforcement, (10 mm Lean Mix) (Adbri) (QLD)</t>
  </si>
  <si>
    <t>Concrete, ? MPa, in-situ, no reinforcement, (SLUMP CONCRETE) (Adbri) (VIC)</t>
  </si>
  <si>
    <t>Concrete, ? MPa, in-situ, no reinforcement, (Futurecrete® Ultra Low Heat S65 10MM) (Adbri) (NSW)</t>
  </si>
  <si>
    <t>Concrete, ? MPa, in-situ, no reinforcement, (Futurecrete®  S50
SCC 10MM) (Adbri) (NSW)</t>
  </si>
  <si>
    <t>Concrete, ? MPa, in-situ, no reinforcement, (S CLASS 20MM NO FINES 6:1) (Adbri) (NSW)</t>
  </si>
  <si>
    <t>Concrete, ? MPa, in-situ, no reinforcement, Pre-mix Concrete NO FINES 6:1 (Boral) (ACT), (Canberra) NO FINES 6:1</t>
  </si>
  <si>
    <t>Concrete, ? MPa, in-situ, no reinforcement, Pre-mix Concrete NO FINES 6:1 (Boral) (NSW), (Newcastle) NO FINES 6:1</t>
  </si>
  <si>
    <t>Concrete, ? MPa, in-situ, no reinforcement, Pre-mix Concrete NO FINES 6:1 (Boral) (NSW), (Sydney) NO FINES 6:1</t>
  </si>
  <si>
    <t>Concrete, ? MPa, in-situ, no reinforcement, Pre-mix Concrete NO FINES 6:1 (Boral) (NSW), (Wollongong) NO FINES 6:1</t>
  </si>
  <si>
    <t>Concrete, ? MPa, in-situ, no reinforcement, Pre-mix Concrete TfNSW B80 (Boral) (NSW), (Wollongong) TfNSW B80 50MPA 20MM TREMIE B2 EXPOSURE</t>
  </si>
  <si>
    <t>Concrete, ? MPa, in-situ, no reinforcement, Pre-mix Concrete VICROADS VR400 (Boral) (TAS), (Hobart) VICROADS VR400 40 MPa 20MM PUMP B1 EXPOSURE</t>
  </si>
  <si>
    <t>Concrete, ? MPa, in-situ, no reinforcement, Pre-mix Concrete VICROADS VR400 (Boral) (TAS), (Launceston) VICROADS VR400 40 MPa 20MM PUMP B1 EXPOSURE</t>
  </si>
  <si>
    <t>Concrete, ? MPa, in-situ, no reinforcement, PB4400, Special Class (WA Premix) (WA), (Perth)</t>
  </si>
  <si>
    <t>Concrete, ? MPa, in-situ, no reinforcement, SN1200, Special Class (WA Premix) (WA), (Perth)</t>
  </si>
  <si>
    <t>Concrete, ? MPa, in-situ, no reinforcement, SN6206, Special Class (WA Premix) (WA), (Perth)</t>
  </si>
  <si>
    <t>Concrete, ? MPa, in-situ, no reinforcement, SN6306, Special Class (WA Premix) (WA), (Perth)</t>
  </si>
  <si>
    <t>Concrete, Mortar</t>
  </si>
  <si>
    <t>Concrete, Mortar/Grout cement MPa, in-situ, no reinforcement, EV1113, Special Class (WA Premix) (WA), (Perth)</t>
  </si>
  <si>
    <t>Concrete, Mortar/Grout cement MPa, in-situ, no reinforcement, EV1115, Special Class (WA Premix) (WA), (Perth)</t>
  </si>
  <si>
    <t>Concrete, Mortar/Grout cement MPa, in-situ, no reinforcement, EV6113, Special Class (WA Premix) (WA), (Perth)</t>
  </si>
  <si>
    <t>Concrete, Mortar/Grout cement MPa, in-situ, no reinforcement, EV6115, Special Class (WA Premix) (WA), (Perth)</t>
  </si>
  <si>
    <t>Concrete, Mortar/Grout cement MPa, in-situ, no reinforcement, SS1257, Special Class (WA Premix) (WA), (Perth)</t>
  </si>
  <si>
    <t>Concrete, Mortar/Grout cement MPa, in-situ, no reinforcement, SS1425, Special Class (WA Premix) (WA), (Perth)</t>
  </si>
  <si>
    <t>Concrete, Mortar/Grout cement MPa, in-situ, no reinforcement, SS7257, Special Class (WA Premix) (WA), (Perth)</t>
  </si>
  <si>
    <t>Concrete, Mortar/Grout cement MPa, in-situ, no reinforcement, SS7425, Special Class (WA Premix) (WA), (Perth)</t>
  </si>
  <si>
    <t>Concrete, ? MPa, (LCHP) (Concrite) (NSW) (Sydney Region, NSW)</t>
  </si>
  <si>
    <t>Concrete, ? MPa, BURNISHED MIX WITHOUT STEEL FIBRES (Concrite) (NSW) (Sydney Region, NSW)</t>
  </si>
  <si>
    <t>Concrete, ? MPa, NO FINES 6:1 (Concrite) (NSW) (Southern Highlands, NSW)</t>
  </si>
  <si>
    <t>Concrete, ? MPa, BURNISHED MIX WITHOUT FIBRES (Concrite) (NSW) (Southern Highlands, NSW)</t>
  </si>
  <si>
    <t>Concrete, ? MPa, NO FINES 6:1 (Concrite) (ACT) (Canberra, ACT)</t>
  </si>
  <si>
    <t>Concrete, ? MPa, in-situ, no reinforcement, (Futurecrete®  Ultra Low Heat S50 20MM) (Adbri) (NSW)</t>
  </si>
  <si>
    <t>Concrete, ? MPa, in-situ, no reinforcement, (Futurecrete®  S40
SCC 10MM) (Adbri) (NSW)</t>
  </si>
  <si>
    <t>Concrete, ? MPa, in-situ, no reinforcement, (SS100A)(GP) (BCG) (WA), (Perth)</t>
  </si>
  <si>
    <t>Prefabricated concrete</t>
  </si>
  <si>
    <t>Prefabricated concrete, , Prefabricated massive balcony  - Australia worse-case (Calculated) (Australia)</t>
  </si>
  <si>
    <t>Calculated</t>
  </si>
  <si>
    <t>See Other_conc. tab</t>
  </si>
  <si>
    <t>Prefabricated concrete, , Prefabricated concrete massive concrete slab for buildin - Australia worse case (Calculated) (Australia)</t>
  </si>
  <si>
    <t>Curtain wall</t>
  </si>
  <si>
    <t>Curtain wall, , M60 Curtain wall aluminium (IGU) (Alumil) (Global)</t>
  </si>
  <si>
    <t>S-P-07195</t>
  </si>
  <si>
    <t>https://api.environdec.com/api/v1/EPDLibrary/Files/496974cd-02a3-40ca-15a3-08daab5a6b31/Data</t>
  </si>
  <si>
    <t>Curtain wall, , Strugal S52SGi (66.1/20 Arg/44.1 BE) anodised, high secondary material (Strugal) (Global)</t>
  </si>
  <si>
    <t>S-P-05213</t>
  </si>
  <si>
    <t>https://api.environdec.com/api/v1/EPDLibrary/Files/88903aa8-7d0a-46b3-ab11-08d9c4927501/Data</t>
  </si>
  <si>
    <t>Curtain wall, , Strugal S52CRi (66.1/20Arg/44.1 BE) anodised, high secondary material (Strugal) (Global)</t>
  </si>
  <si>
    <t>Curtain wall, , Strugal S52NT (66.1/12 Arg/44.1 BE) anodised, high secondary material (Strugal) (Global)</t>
  </si>
  <si>
    <t>Curtain wall, , Curtain wall systems, R70ST (Riventi) (Global)</t>
  </si>
  <si>
    <t>S-P-01078</t>
  </si>
  <si>
    <t>https://api.environdec.com/api/v1/EPDLibrary/Files/d4d59c33-d066-4431-2abe-08daf54e6438/Data</t>
  </si>
  <si>
    <t>Curtain wall, , Strugal S52CR (66.1/12 Arg/44.1 BE) anodised, high secondary material (Strugal) (Global)</t>
  </si>
  <si>
    <t>Door</t>
  </si>
  <si>
    <t>Door, Wood</t>
  </si>
  <si>
    <t>Door panel, Wood, Outward balcony door ED (Elitfonster) (Sweden)</t>
  </si>
  <si>
    <t>S-P-05384</t>
  </si>
  <si>
    <t>Version 2</t>
  </si>
  <si>
    <t>https://api.environdec.com/api/v1/EPDLibrary/Files/0ce56b1b-ff3e-4e77-2611-08db259f9365/Data</t>
  </si>
  <si>
    <t xml:space="preserve">Door, Glass - aluminium frame  </t>
  </si>
  <si>
    <t>Door panel, Glass - aluminium frame  , ABD - Lyssand 105, outward opening balcony door (Lyssand) (Global)</t>
  </si>
  <si>
    <t>S-P-08017</t>
  </si>
  <si>
    <t>https://api.environdec.com/api/v1/EPDLibrary/Files/a2db30f2-c446-43d3-24e1-08db259f9365/Data</t>
  </si>
  <si>
    <t>Door panel, Glass - aluminium frame  , Aluminium framed single glazed doors (Optima) (UK, Global)</t>
  </si>
  <si>
    <t>UK, Global</t>
  </si>
  <si>
    <t>S-P-05432</t>
  </si>
  <si>
    <t>https://api.environdec.com/api/v1/EPDLibrary/Files/03e7cf25-79b8-4a5d-0eb3-08d9f09b841d/Data</t>
  </si>
  <si>
    <t>Door, Metal</t>
  </si>
  <si>
    <t>Door panel, Metal, Carbon steel door without glazing  Model 1 (Sakumetall) (Estonia)</t>
  </si>
  <si>
    <t>Estonia</t>
  </si>
  <si>
    <t>S-P-04373</t>
  </si>
  <si>
    <t>https://api.environdec.com/api/v1/EPDLibrary/Files/3c5a05e2-11f9-488d-1c18-08da2ccce1bd/Data</t>
  </si>
  <si>
    <t>Door panel, Metal, Carbon steel door without glazing  Model 4 EI60 fire resistant (Sakumetall) (Estonia)</t>
  </si>
  <si>
    <t>Door panel, Metal, Carbon steel door without glazing  Model 7 EI120 fire resistant (Sakumetall) (Estonia)</t>
  </si>
  <si>
    <t>Door panel, Wood, ST11 RW40 RC3 without glass (Dieden ekodoor) (Sweden)</t>
  </si>
  <si>
    <t>S-P-07004</t>
  </si>
  <si>
    <t>https://api.environdec.com/api/v1/EPDLibrary/Files/1fb65f0f-8289-4f64-787e-08da99e2b147/Data</t>
  </si>
  <si>
    <t>Door panel, Wood, ST11 EI30 RW43 without glass (Dieden ekodoor) (Sweden)</t>
  </si>
  <si>
    <t>Door panel, Glass - aluminium frame  , Aluminium doors strugal S72RPC, anodized (Strugal) (Global)</t>
  </si>
  <si>
    <t>S-P-05212</t>
  </si>
  <si>
    <t>https://api.environdec.com/api/v1/EPDLibrary/Files/cc6c9ff9-9df8-4c6d-ab0f-08d9c4927501/Data</t>
  </si>
  <si>
    <t>Door panel, Glass - aluminium frame  , ITESAL 128 ELV aluminim door, coated (ITESAL) (Global)</t>
  </si>
  <si>
    <t>S-P-05709</t>
  </si>
  <si>
    <t>https://api.environdec.com/api/v1/EPDLibrary/Files/b2f94eb5-3deb-4ce3-79f8-08da491c4cdf/Data</t>
  </si>
  <si>
    <t>Door panel, Glass - aluminium frame  , Aluminium doors strugal, S160RP horizon, anodized (Strugal) (Global)</t>
  </si>
  <si>
    <t>Door panel, Wood, Architectural doors - Tubular core door veener (WKS) (Mexico)</t>
  </si>
  <si>
    <t>Mexico</t>
  </si>
  <si>
    <t>S-P-01667</t>
  </si>
  <si>
    <t>api.environdec.com/api/v1/EPDLibrary/Files/0d6ef785-ec1c-406f-bd88-631902056be2/Data</t>
  </si>
  <si>
    <t>Door panel, Wood, Architectural doors - Solid core door veneer (WKS) (Mexico)</t>
  </si>
  <si>
    <t>Door, Mineral core</t>
  </si>
  <si>
    <t>Door panel, Mineral core, Architectural doors - Mineral core door - painted (WKS) (Mexico)</t>
  </si>
  <si>
    <t>Door panel, OUT OF DATE, Wooden door - wood frame (DALOC) (Sweden)</t>
  </si>
  <si>
    <t>S-P-01392</t>
  </si>
  <si>
    <t>https://api.environdec.com/api/v1/EPDLibrary/Files/df481903-a021-4a5b-9548-ec60342d769b/Data</t>
  </si>
  <si>
    <t>Door panel, OUT OF DATE, Wooden door - wood frame - glass inc (DALOC) (Sweden)</t>
  </si>
  <si>
    <t>Door panel, OUT OF DATE, Wooden door - steel frame (DALOC) (Sweden)</t>
  </si>
  <si>
    <t>Door panel, OUT OF DATE, Wooden door - steel frame - glass inc (DALOC) (Sweden)</t>
  </si>
  <si>
    <t>Door, Steel</t>
  </si>
  <si>
    <t>Door panel, OUT OF DATE, Steel door - carbon steel (DALOC) (Sweden)</t>
  </si>
  <si>
    <t>S-P-01393</t>
  </si>
  <si>
    <t>https://api.environdec.com/api/v1/EPDLibrary/Files/52635996-871c-4748-8604-52b562e4b2d0/Data</t>
  </si>
  <si>
    <t>Door panel, OUT OF DATE, Steel door - stainless steel (DALOC) (Sweden)</t>
  </si>
  <si>
    <t>Door panel, OUT OF DATE, Steel door - carbon steel - glass inc (DALOC) (Sweden)</t>
  </si>
  <si>
    <t>Door panel, Glass - aluminium frame  , Aluminium doors strugal, S88RP Elevable, anodized (Strugal) (Global)</t>
  </si>
  <si>
    <t>Door panel, Glass - aluminium frame  , IsoPro Db door aluminium framed glass door (RP Products) (UK, Global)</t>
  </si>
  <si>
    <t>S-P-05543</t>
  </si>
  <si>
    <t>https://api.environdec.com/api/v1/EPDLibrary/Files/c86ba157-93ac-439a-1bbc-08da2ccce1bd/Data</t>
  </si>
  <si>
    <t>Door panel, Glass - aluminium frame  , Aluminium doors strugal, S150RP, anodized (Strugal) (Global)</t>
  </si>
  <si>
    <t>, , Door panel - chipboard (Kastamonu) (Turkey)</t>
  </si>
  <si>
    <t>S-P-02227</t>
  </si>
  <si>
    <t>https://api.environdec.com/api/v1/EPDLibrary/Files/7f400915-e66c-4b13-001b-08dab65855de/Data</t>
  </si>
  <si>
    <t>Duct</t>
  </si>
  <si>
    <t>Ducting, , Folded circular ventilation ducts (Hallstroms) (Global)</t>
  </si>
  <si>
    <t>S-P-07750</t>
  </si>
  <si>
    <t>https://api.environdec.com/api/v1/EPDLibrary/Files/0b01a8df-55e9-41e5-69ba-08dadd20f56d/Data</t>
  </si>
  <si>
    <t>m</t>
  </si>
  <si>
    <t>Ducting, , Altech Circular ventilation ducts (Saint-Gobain) (Global)</t>
  </si>
  <si>
    <t>S-P-10900</t>
  </si>
  <si>
    <t>https://api.environdec.com/api/v1/EPDLibrary/Files/cf371b54-15a6-4b1d-1118-08dbca69748b/Data</t>
  </si>
  <si>
    <t>Ducting, OUT OF DATE, Panel of rigid PU foam and aluminium  (Piral) (Global)</t>
  </si>
  <si>
    <t>S-P-00146</t>
  </si>
  <si>
    <t>https://api.environdec.com/api/v1/EPDLibrary/Files/e4e06a8d-682a-4cdd-bb38-a8a0bfeb902b/Data</t>
  </si>
  <si>
    <t>Ducting, , Climate recovery ducts (Climate recovery) (Global)</t>
  </si>
  <si>
    <t>S-P-02271</t>
  </si>
  <si>
    <t>https://api.environdec.com/api/v1/EPDLibrary/Files/91406196-2e31-4581-b454-08d903bd98d2/Data</t>
  </si>
  <si>
    <t>Fibre cement, OUT OF DATE, Greencor Roofing sheet thickness 6 mm (Ramco Industries) (India)</t>
  </si>
  <si>
    <t>S-P-01410</t>
  </si>
  <si>
    <t>https://api.environdec.com/api/v1/EPDLibrary/Files/dbc7e7af-6ded-475b-93e6-712456128081/Data</t>
  </si>
  <si>
    <t>Fibre cement, OUT OF DATE, Hicem Fibre cement board thickness 4 mm (Ramco Industries) (India)</t>
  </si>
  <si>
    <t>Fibre cement, OUT OF DATE, HiLux Fibre cement Board thickness 6mm (Ramco Industries) (India)</t>
  </si>
  <si>
    <t>Not used, , Academy carpet sheet (Burmatex) (Global)</t>
  </si>
  <si>
    <t>27/03/2029</t>
  </si>
  <si>
    <t>S-P-12372</t>
  </si>
  <si>
    <t>https://api.environdec.com/api/v1/EPDLibrary/Files/f0e65b5f-fb85-4623-3f14-08dc5384dbad/Data</t>
  </si>
  <si>
    <t>Metal treatment</t>
  </si>
  <si>
    <t>Steel, Galvanisers Association of Australia</t>
  </si>
  <si>
    <t>S-P-01166</t>
  </si>
  <si>
    <t>https://epd-australasia.com/wp-content/uploads/2019/10/Environmental-Product-Declaration-for-Galvanisers-Association-of-Australia.pdf</t>
  </si>
  <si>
    <t>Insulation only</t>
  </si>
  <si>
    <t>Insulation decorative/acoustic, , dECO Baffle Platform 26mm Black  (CSR Martini)</t>
  </si>
  <si>
    <t>S-P-01004</t>
  </si>
  <si>
    <t>https://epd-australasia.com/wp-content/uploads/2018/08/168-CSRMartini_EPD_R14.pdf</t>
  </si>
  <si>
    <t>Insulation decorative/acoustic, , dECO Baffle Platform 26mm White  (CSR Martini)</t>
  </si>
  <si>
    <t>Insulation decorative/acoustic, , dECO Baffle Rise 26mm Black  (CSR Martini)</t>
  </si>
  <si>
    <t>Insulation decorative/acoustic, , dECO Baffle Rise 26mm White  (CSR Martini)</t>
  </si>
  <si>
    <t>Insulation decorative/acoustic, , dECO Board 7mm Black  (CSR Martini)</t>
  </si>
  <si>
    <t>Insulation decorative/acoustic, , dECO Board 7mm White  (CSR Martini)</t>
  </si>
  <si>
    <t>Insulation decorative/acoustic, , dECO Board 12mm Black  (CSR Martini)</t>
  </si>
  <si>
    <t>Insulation decorative/acoustic, , dECO Board 12mm White  (CSR Martini)</t>
  </si>
  <si>
    <t>Insulation decorative/acoustic, , dECO Deluxe 7mm  (CSR Martini)</t>
  </si>
  <si>
    <t>Insulation decorative/acoustic, , dECO Deluxe 12mm  (CSR Martini)</t>
  </si>
  <si>
    <t>Insulation decorative/acoustic, , dECO Deluxe 24mm  (CSR Martini)</t>
  </si>
  <si>
    <t>Insulation decorative/acoustic, , dECO Deluxe 48mm  (CSR Martini)</t>
  </si>
  <si>
    <t>Insulation decorative/acoustic, , dECO Deluxe EP 7mm  (CSR Martini)</t>
  </si>
  <si>
    <t>Insulation decorative/acoustic, , dECO Deluxe EP 7mm Black  (CSR Martini)</t>
  </si>
  <si>
    <t>Insulation decorative/acoustic, , dECO Deluxe EP 7mm White  (CSR Martini)</t>
  </si>
  <si>
    <t>Insulation decorative/acoustic, , dECO Deluxe EP 12mm  (CSR Martini)</t>
  </si>
  <si>
    <t>Insulation decorative/acoustic, , dECO Deluxe EP 12mm Black  (CSR Martini)</t>
  </si>
  <si>
    <t>Insulation decorative/acoustic, , dECO Deluxe EP 12mm White  (CSR Martini)</t>
  </si>
  <si>
    <t>Insulation decorative/acoustic, , dECO Deluxe EP 24mm  (CSR Martini)</t>
  </si>
  <si>
    <t>Insulation decorative/acoustic, , dECO Deluxe EP 24mm Black  (CSR Martini)</t>
  </si>
  <si>
    <t>Insulation decorative/acoustic, , dECO Deluxe EP 24mm White  (CSR Martini)</t>
  </si>
  <si>
    <t>Insulation decorative/acoustic, , dECO E Fabric  (CSR Martini)</t>
  </si>
  <si>
    <t>Insulation decorative/acoustic, , dECO Embrace Fabric  (CSR Martini)</t>
  </si>
  <si>
    <t>Insulation decorative/acoustic, , dECO Flex  (CSR Martini)</t>
  </si>
  <si>
    <t>Insulation decorative/acoustic, , dECO Hanging Cloud Black  (CSR Martini)</t>
  </si>
  <si>
    <t>Insulation decorative/acoustic, , dECO Hanging Cloud White  (CSR Martini)</t>
  </si>
  <si>
    <t>Insulation decorative/acoustic, , dECO M Fabric  (CSR Martini)</t>
  </si>
  <si>
    <t>Insulation decorative/acoustic, , dECO Mini Flex  (CSR Martini)</t>
  </si>
  <si>
    <t>Insulation decorative/acoustic, , dECO Panel 8mm Black  (CSR Martini)</t>
  </si>
  <si>
    <t>Insulation decorative/acoustic, , dECO Panel 8mm White  (CSR Martini)</t>
  </si>
  <si>
    <t>Insulation decorative/acoustic, , dECO Panel 13.5mm Black  (CSR Martini)</t>
  </si>
  <si>
    <t>Insulation decorative/acoustic, , dECO Panel 13.5mm White  (CSR Martini)</t>
  </si>
  <si>
    <t>Insulation decorative/acoustic, , dECO Panel 25mm Black  (CSR Martini)</t>
  </si>
  <si>
    <t>Insulation decorative/acoustic, , dECO Panel 25mm White  (CSR Martini)</t>
  </si>
  <si>
    <t>Insulation decorative/acoustic, , dECO Panel 50mm Black  (CSR Martini)</t>
  </si>
  <si>
    <t>Insulation decorative/acoustic, , dECO Panel 50mm White  (CSR Martini)</t>
  </si>
  <si>
    <t>Insulation decorative/acoustic, , dECO Quiet Board 25mm Black  (CSR Martini)</t>
  </si>
  <si>
    <t>Insulation decorative/acoustic, , dECO Quiet Board 25mm White  (CSR Martini)</t>
  </si>
  <si>
    <t>Insulation decorative/acoustic, , dECO Quiet Board 50mm Black  (CSR Martini)</t>
  </si>
  <si>
    <t>Insulation decorative/acoustic, , dECO Quiet Board 50mm White  (CSR Martini)</t>
  </si>
  <si>
    <t>Insulation decorative/acoustic, , dECO Quiet Panel 25mm Black  (CSR Martini)</t>
  </si>
  <si>
    <t>Insulation decorative/acoustic, , dECO Quiet Panel 25mm White  (CSR Martini)</t>
  </si>
  <si>
    <t>Insulation decorative/acoustic, , dECO Quiet Panel 50mm Black  (CSR Martini)</t>
  </si>
  <si>
    <t>Insulation decorative/acoustic, , dECO Quiet Panel 50mm White  (CSR Martini)</t>
  </si>
  <si>
    <t>Insulation decorative/acoustic, , dECO Quiet Panel Export 25mm White  (CSR Martini)</t>
  </si>
  <si>
    <t>Insulation decorative/acoustic, , dECO Quiet Panel Export 50mm White  (CSR Martini)</t>
  </si>
  <si>
    <t>Insulation decorative/acoustic, , dECO Screen 12mm Black  (CSR Martini)</t>
  </si>
  <si>
    <t>Insulation decorative/acoustic, , dECO Screen 12mm White  (CSR Martini)</t>
  </si>
  <si>
    <t>Insulation decorative/acoustic, , dECO Stick It  (CSR Martini)</t>
  </si>
  <si>
    <t>Insulation decorative/acoustic, , dECO Tile 3D ET Wall  (CSR Martini)</t>
  </si>
  <si>
    <t>Insulation decorative/acoustic, , dECO Tile 3D H Ceiling  (CSR Martini)</t>
  </si>
  <si>
    <t>Insulation decorative/acoustic, , dECO Tile 3D H Wall  (CSR Martini)</t>
  </si>
  <si>
    <t>Insulation decorative/acoustic, , dECO Tile 3D WW Ceiling  (CSR Martini)</t>
  </si>
  <si>
    <t>Insulation decorative/acoustic, , dECO Tile 3D WW Wall  (CSR Martini)</t>
  </si>
  <si>
    <t>Insulation decorative/acoustic, , dECO Tile Flat H Ceiling 13mm  (CSR Martini)</t>
  </si>
  <si>
    <t>Insulation decorative/acoustic, , dECO Tile Flat H Ceiling 25mm  (CSR Martini)</t>
  </si>
  <si>
    <t>Insulation decorative/acoustic, , Absorb Black  (CSR Martini)</t>
  </si>
  <si>
    <t>Insulation decorative/acoustic, , Absorb White  (CSR Martini)</t>
  </si>
  <si>
    <t>Insulation decorative/acoustic, , Blanket  (CSR Martini)</t>
  </si>
  <si>
    <t>Insulation decorative/acoustic, , Easy Baffle  (CSR Martini)</t>
  </si>
  <si>
    <t>Insulation decorative/acoustic, , Easy Baffle Black  (CSR Martini)</t>
  </si>
  <si>
    <t>Insulation decorative/acoustic, , MAB Black  (CSR Martini)</t>
  </si>
  <si>
    <t>Insulation decorative/acoustic, , MAB White  (CSR Martini)</t>
  </si>
  <si>
    <t>Insulation decorative/acoustic, , MSB Black  (CSR Martini)</t>
  </si>
  <si>
    <t>Insulation decorative/acoustic, , MSB White  (CSR Martini)</t>
  </si>
  <si>
    <t>Insulation decorative/acoustic, , Polymax Acoustic R1.5  (CSR Martini)</t>
  </si>
  <si>
    <t>Insulation decorative/acoustic, , Polymax Acoustic R2.0 75mm  (CSR Martini)</t>
  </si>
  <si>
    <t>Insulation decorative/acoustic, , Polymax Acoustic R2.0 90mm  (CSR Martini)</t>
  </si>
  <si>
    <t>Insulation decorative/acoustic, , Polymax Acoustic R2.5  (CSR Martini)</t>
  </si>
  <si>
    <t>Insulation decorative/acoustic, , Prime Black  (CSR Martini)</t>
  </si>
  <si>
    <t>Insulation decorative/acoustic, , Prime White  (CSR Martini)</t>
  </si>
  <si>
    <t>Insulation decorative/acoustic, , Flexible Ducting  (CSR Martini)</t>
  </si>
  <si>
    <t>Insulation panels</t>
  </si>
  <si>
    <t>Insulation only, Polystyrene, MetecnoTherm 25mm  (Metecno Pty Ltd t/a MetecnoPIR)</t>
  </si>
  <si>
    <t>S-P-08465</t>
  </si>
  <si>
    <t>https://epd-australasia.com/wp-content/uploads/2023/05/SP08465-Bondor-EPD_MetencnoTherm-Insulation_May23.pdf</t>
  </si>
  <si>
    <t>Insulation only, Polystyrene, MetecnoTherm 80mm  (Metecno Pty Ltd t/a MetecnoPIR)</t>
  </si>
  <si>
    <t>Insulation only, Polystyrene, MetecnoTherm 100mm  (Metecno Pty Ltd t/a MetecnoPIR)</t>
  </si>
  <si>
    <t>Insulation only, Polystyrene, MetecnoTherm 90mm  (Metecno Pty Ltd t/a MetecnoPIR)</t>
  </si>
  <si>
    <t>Insulation only, Polystyrene, MetecnoTherm 70mm  (Metecno Pty Ltd t/a MetecnoPIR)</t>
  </si>
  <si>
    <t>Insulation only, Polystyrene, MetecnoTherm 60mm  (Metecno Pty Ltd t/a MetecnoPIR)</t>
  </si>
  <si>
    <t>Insulation only, Polystyrene, MetecnoTherm 50mm  (Metecno Pty Ltd t/a MetecnoPIR)</t>
  </si>
  <si>
    <t>Insulation only, Polystyrene, MetecnoTherm 40mm  (Metecno Pty Ltd t/a MetecnoPIR)</t>
  </si>
  <si>
    <t>Insulation only, Polystyrene, MetecnoTherm 30mm  (Metecno Pty Ltd t/a MetecnoPIR)</t>
  </si>
  <si>
    <t>Clay Brick</t>
  </si>
  <si>
    <t>Clay brick, OUT OF DATE, Clay brick - Wollert (Brickworks) (Australia)</t>
  </si>
  <si>
    <t>Climate Active</t>
  </si>
  <si>
    <t>https://www.climateactive.org.au/sites/default/files/2024-05/Brickworks_All%20sites_PDS_FY23.pdf</t>
  </si>
  <si>
    <t>Clay brick, OUT OF DATE, Clay brick - Longford (Brickworks) (Australia)</t>
  </si>
  <si>
    <t>Clay brick, OUT OF DATE, Clay brick - Golden Grove (Brickworks) (Australia)</t>
  </si>
  <si>
    <t>Clay brick, OUT OF DATE, Clay brick - Horsley Park Plant 21  (Brickworks) (Australia)</t>
  </si>
  <si>
    <t>Clay brick, OUT OF DATE, Clay brick - Horsley Park Plant 22 (Brickworks) (Australia)</t>
  </si>
  <si>
    <t>Clay brick, OUT OF DATE, Clay brick - Horsley Park Plant 23 (Brickworks) (Australia)</t>
  </si>
  <si>
    <t>Clay brick, OUT OF DATE, Clay brick - Bowral Plant 28 (Brickworks) (Australia)</t>
  </si>
  <si>
    <t>Clay brick, OUT OF DATE, Clay brick - Punchbowl Plant 91 (Brickworks) (Australia)</t>
  </si>
  <si>
    <t>Clay brick, OUT OF DATE, Clay brick - Bellevue Plant 64 (Brickworks) (Australia)</t>
  </si>
  <si>
    <t>Clay brick, OUT OF DATE, Clay brick - Cardup Plant 67 (Brickworks) (Australia)</t>
  </si>
  <si>
    <t>Clay brick, OUT OF DATE, Clay brick - Rochedale Plant 41 (Brickworks) (Australia)</t>
  </si>
  <si>
    <t>Clay brick, OUT OF DATE, Clay facing bricks U masonry units for unprotected masonry walls (perforated) (HISPALYT) (Global)</t>
  </si>
  <si>
    <t>HISPALYT-008-004</t>
  </si>
  <si>
    <t>AENOR</t>
  </si>
  <si>
    <t>HISPALYT - Asociación Española de Fabricantes de Ladrillos y Tejas de Arcilla Cocida - Publicaciones</t>
  </si>
  <si>
    <t>Clay brick, OUT OF DATE, Clay facing bricks U masonry units for unprotected masonry walls (solid) (HISPALYT) (Global)</t>
  </si>
  <si>
    <t>Painting steel , , Painting steel coils (UMC) (Global)</t>
  </si>
  <si>
    <t>S-P-01371</t>
  </si>
  <si>
    <t>EPD_UMC Final Certified.pdf (umcuae.ae)</t>
  </si>
  <si>
    <t>, , Aluminium powder coated add-on (Calculated) (Global)</t>
  </si>
  <si>
    <t>Alum_extr_powdercoat_anodised tab</t>
  </si>
  <si>
    <t>, , Aluminium anodised add-on (Calculated) (Global)</t>
  </si>
  <si>
    <t>Mortar and grout</t>
  </si>
  <si>
    <t>Mortar/Grout, Adhesive, Ultralite mortar zero (MAPEI) (Global)</t>
  </si>
  <si>
    <t>S-P-08605</t>
  </si>
  <si>
    <t>https://api.environdec.com/api/v1/EPDLibrary/Files/ce3e2f25-2c11-4156-0c70-08db3c2e10fb/Data</t>
  </si>
  <si>
    <t>Mortar/Grout, adhesive, Webertherm prime fix adhesive mortar for theraml insulation systems  (Weber Saint Gobain) (Turkey)</t>
  </si>
  <si>
    <t>S-P-06791</t>
  </si>
  <si>
    <t>https://api.environdec.com/api/v1/EPDLibrary/Files/99e2204c-6555-4d53-aa5d-08db4497f421/Data</t>
  </si>
  <si>
    <t>Mortar/Grout, Adhesive, Durocret (ISOMAT) (Global)</t>
  </si>
  <si>
    <t>S-P-09183</t>
  </si>
  <si>
    <t>https://api.environdec.com/api/v1/EPDLibrary/Files/da136426-8457-4a2c-ef91-08db5cc782d3/Data</t>
  </si>
  <si>
    <t>Mortar/Grout, adhesive, MEGACRET-40 repair mortar (Isomat) (Europe)</t>
  </si>
  <si>
    <t>S-P-06172</t>
  </si>
  <si>
    <t>https://api.environdec.com/api/v1/EPDLibrary/Files/5fc10d27-a6bf-4540-a971-08da599e304a/Data</t>
  </si>
  <si>
    <t>Mortar/Grout, cement, Exterior mortar (Readymix industries) (Israel)</t>
  </si>
  <si>
    <t>Israel</t>
  </si>
  <si>
    <t>S-P-06621</t>
  </si>
  <si>
    <t>https://api.environdec.com/api/v1/EPDLibrary/Files/8db42601-7245-40fb-152c-08daf357f6d4/Data</t>
  </si>
  <si>
    <t>Mortar/Grout, adhesive, Marine environment mortar (Ready mix industries) (Israel)</t>
  </si>
  <si>
    <t>S-P-06624</t>
  </si>
  <si>
    <t>https://api.environdec.com/api/v1/EPDLibrary/Files/1e344086-270c-4ed5-1522-08daf357f6d4/Data</t>
  </si>
  <si>
    <t>Mortar/Grout, Adhesive, Morteros de impermeabilización (DRIZORO) (Global)</t>
  </si>
  <si>
    <t>S-P-06117</t>
  </si>
  <si>
    <t>https://api.environdec.com/api/v1/EPDLibrary/Files/80ff4377-fa30-43c1-a941-08da599e304a/Data</t>
  </si>
  <si>
    <t>Pipe conduit</t>
  </si>
  <si>
    <t>PE pipe, , Polyethylene pipes (iplex) (Australia)</t>
  </si>
  <si>
    <t>S-P-00715</t>
  </si>
  <si>
    <t>https://api.environdec.com/api/v1/EPDLibrary/Files/b3665830-d7fa-4dff-e1b1-08dad11ff8e7/Data</t>
  </si>
  <si>
    <t>PVC pipe, , PVC non-pressure pipes - foam core wall (iplex) (Australia)</t>
  </si>
  <si>
    <t>S-P-00713</t>
  </si>
  <si>
    <t>PE pipe, , PE pipe  (vinidex) (Australia)</t>
  </si>
  <si>
    <t>S-P-00719</t>
  </si>
  <si>
    <t>https://api.environdec.com/api/v1/EPDLibrary/Files/0570e2bd-247e-4cb6-cf34-08daa1eb7336/Data</t>
  </si>
  <si>
    <t>PVC pipe, , PVC non-pressure pipes - solid wall (iplex) (Australia)</t>
  </si>
  <si>
    <t>PVC pipe, , PVC pressure pipes PVC-O pressure pipe (vinidex) (Australia)</t>
  </si>
  <si>
    <t>S-P-00718</t>
  </si>
  <si>
    <t>https://api.environdec.com/api/v1/EPDLibrary/Files/827ee963-045a-4a79-cf2e-08daa1eb7336/Data</t>
  </si>
  <si>
    <t>PVC pipe, , PVC pressure pipes PVC-U pressure pipe (vinidex) (Australia)</t>
  </si>
  <si>
    <t>PVC pipe, , PVC pressure pipes PVC-M pressure pipe (vinidex) (Australia)</t>
  </si>
  <si>
    <t>PVC pipe, OUT OF DATE, Non-pressure pipes and conduit (vinidex) (Australia)</t>
  </si>
  <si>
    <t>S-P-00716</t>
  </si>
  <si>
    <t>https://api.environdec.com/api/v1/EPDLibrary/Files/30360b82-5bee-4296-9589-3ec1b30b6136/Data</t>
  </si>
  <si>
    <t>Polyamide</t>
  </si>
  <si>
    <t>Polyamide, , Polyamide  (Beaulieu International Group) (Global)</t>
  </si>
  <si>
    <t>S-P-02416</t>
  </si>
  <si>
    <t>Sand</t>
  </si>
  <si>
    <t>Concrete, Sta MP</t>
  </si>
  <si>
    <t>Concrete, Sta MPa, STABILISED SAND 14:1 (Concrite) (NSW) (Southern Highlands, NSW)</t>
  </si>
  <si>
    <t>Concrete, Sta MPa, STABILISED SAND 8:1 (Concrite) (NSW) (Southern Highlands, NSW)</t>
  </si>
  <si>
    <t>Concrete, Sta MPa, STABILISED SAND 4:1 (Concrite) (ACT) (Canberra, ACT)</t>
  </si>
  <si>
    <t>Concrete, Sta MPa, STABILISED SAND 8:1 (Concrite) (ACT) (Canberra, ACT)</t>
  </si>
  <si>
    <t xml:space="preserve">Steel </t>
  </si>
  <si>
    <t>Non-structural</t>
  </si>
  <si>
    <t>Steel, , Non-Alloy Structural Steel (secondary production route - scrap) (Izmir Demir Celik Sanayi ) (Global)</t>
  </si>
  <si>
    <t>BREG En EPD No.: 000182</t>
  </si>
  <si>
    <t>Eco Platform EPD</t>
  </si>
  <si>
    <t>https://www.greenbooklive.com/filelibrary/EN_15804/EPD/BREGENEPD000182.pdf</t>
  </si>
  <si>
    <t>Galvanising, , Hot Dip Galvanising in Australia (galvanising impact of 1 kg of zinc) (Galavanizers Australia) (Australia)</t>
  </si>
  <si>
    <t>26/09/2024*</t>
  </si>
  <si>
    <t>Steel, , Non-alloy structural steel (direct reduced iron production) (Emirates steel Industries) (Global)</t>
  </si>
  <si>
    <t>ECO EPD 000426</t>
  </si>
  <si>
    <t>https://www.greenbooklive.com/filelibrary/EN_15804/EPD/BREGENEPD000132.pdf</t>
  </si>
  <si>
    <t>Tile</t>
  </si>
  <si>
    <t>Ceramic tiles</t>
  </si>
  <si>
    <t>Ceramic tiles, OUT OF DATE, Ceramic wall tiles (Kaleseramik Canakkale) (Global)</t>
  </si>
  <si>
    <t>S-P-00873</t>
  </si>
  <si>
    <t>https://api.environdec.com/api/v1/EPDLibrary/Files/7278b797-c801-438a-f1b7-08dcff0c12db/Data</t>
  </si>
  <si>
    <t>Terracotta tiles</t>
  </si>
  <si>
    <t>Roof tiles - clay, OUT OF DATE, Clay roofing tiles  (HISPALYT) (Global)</t>
  </si>
  <si>
    <t>HISPALYT-008-001</t>
  </si>
  <si>
    <t>LVL (Laminated Veneer Lumber) (Stora Enso) (Finland)</t>
  </si>
  <si>
    <t>S-P-01730</t>
  </si>
  <si>
    <t>https://api.environdec.com/api/v1/EPDLibrary/Files/e5b39f2f-7029-49f0-b427-4f3108dd95c6/Data</t>
  </si>
  <si>
    <t>Multiple glued LVL G (Stora Enso) (Finland)</t>
  </si>
  <si>
    <t>S-P-01731</t>
  </si>
  <si>
    <t>https://api.environdec.com/api/v1/EPDLibrary/Files/cffcfc6b-d002-4a7c-98fb-f20421ddcc4d/Data</t>
  </si>
  <si>
    <t>LVL Rib panel (Stora Enso) (Finland)</t>
  </si>
  <si>
    <t>https://api.environdec.com/api/v1/EPDLibrary/Files/080a14f9-0808-4b7b-881c-042304f141da/Data</t>
  </si>
  <si>
    <t>Not used, , ORONA NEXT SMART+ S16 LIFT (Usage Cat. 3/4) (Orana) (Global)</t>
  </si>
  <si>
    <t>S-P-04548</t>
  </si>
  <si>
    <t>https://api.environdec.com/api/v1/EPDLibrary/Files/cdac101a-c4cc-4bb6-6959-08d9b3ca1199/Data</t>
  </si>
  <si>
    <t>Not used, , ORONA NEXT SMART+ S18 LIFT (Usage Cat. 3/4) (Orana) (Global)</t>
  </si>
  <si>
    <t>Waterproofing</t>
  </si>
  <si>
    <t>Waterproofing membrane, Waterproofing -PE, PE Waterproofing membrane LPM4 of 140 μm (Watermann Polyworks GmbH) (Global)</t>
  </si>
  <si>
    <t>S-P-10794</t>
  </si>
  <si>
    <t>https://api.environdec.com/api/v1/EPDLibrary/Files/64d264d1-aa05-4904-132c-08dbca69748b/Data</t>
  </si>
  <si>
    <t>Waterproofing membrane, Waterproofing membrane - PP, PP Waterproofing membrane extruded A1 of 200 μm (Watermann Polyworks GmbH) (Global)</t>
  </si>
  <si>
    <t>S-P-10796</t>
  </si>
  <si>
    <t>https://api.environdec.com/api/v1/EPDLibrary/Files/6773c5b5-df45-49ec-132f-08dbca69748b/Data</t>
  </si>
  <si>
    <t>Waterproofing membrane, Waterproofing membrane - PP, PP Waterproofing membrane A1 of 200 μm (Watermann Polyworks GmbH) (Global)</t>
  </si>
  <si>
    <t>S-P-09487</t>
  </si>
  <si>
    <t>https://api.environdec.com/api/v1/EPDLibrary/Files/2073fc30-3d1c-4ea2-9c25-08db7e35bd3c/Data</t>
  </si>
  <si>
    <t>Waterproofing membrane, Waterproofing -PE, PE Waterproofing membrane LPM5 of 200 μm (Watermann Polyworks GmbH) (Global)</t>
  </si>
  <si>
    <t>S-P-09963</t>
  </si>
  <si>
    <t>https://api.environdec.com/api/v1/EPDLibrary/Files/facfda9e-5dd1-4533-1385-08dbca69748b/Data</t>
  </si>
  <si>
    <t>Waterproofing membrane, Waterproofing -PE, PE Waterproofing membrane LPM2 of 100 μm (Watermann Polyworks GmbH) (Global)</t>
  </si>
  <si>
    <t>S-P-10795</t>
  </si>
  <si>
    <t>https://api.environdec.com/api/v1/EPDLibrary/Files/0cc2bf05-02e8-4565-132a-08dbca69748b/Data</t>
  </si>
  <si>
    <t>Waterproofing membrane, Waterproofing membrane - PCV, Mapeplan M Broof t1-t3 (Polyglass SpA) (Global)</t>
  </si>
  <si>
    <t>S-P-00905</t>
  </si>
  <si>
    <t>https://api.environdec.com/api/v1/EPDLibrary/Files/27dc9497-6129-4f29-823f-08d941d5f1c9/Data</t>
  </si>
  <si>
    <t>Waterproofing membrane, Waterproofing membrane - PCV, Mapeplan B (Polyglass SpA) (Global)</t>
  </si>
  <si>
    <t>Waterproofing membrane, Waterproofing membrane - PCV, FATRAFOL 803S (thickness 1,5 mm) (Fatra, a.s) (Global)</t>
  </si>
  <si>
    <t>S-P-10511</t>
  </si>
  <si>
    <t>https://api.environdec.com/api/v1/EPDLibrary/Files/59447d3b-7f77-4859-1333-08dbca69748b/Data</t>
  </si>
  <si>
    <t>Waterproofing membrane, Waterproofing membrane - PCV, AQUAPLAST 805 (thickness 1,5 mm) (Fatra, a.s) (Global)</t>
  </si>
  <si>
    <t>Waterproofing membrane, Waterproofing membrane - PCV, FATRAFOL 911 (thickness 1,5 mm) (Fatra, a.s) (Global)</t>
  </si>
  <si>
    <t>Waterproofing membrane, Waterproofing membrane - PCV, FATRAFOL 810 (thickness 1,5 mm) (Fatra, a.s) (Global)</t>
  </si>
  <si>
    <t>S-P-10510</t>
  </si>
  <si>
    <t>https://api.environdec.com/api/v1/EPDLibrary/Files/d11a5df1-277a-45e7-1334-08dbca69748b/Data</t>
  </si>
  <si>
    <t>Waterproofing membrane, Waterproofing membrane - PCV, FATRAFOL 810/V (thickness 1,5 mm) (Fatra, a.s) (Global)</t>
  </si>
  <si>
    <t>Waterproofing membrane, Waterproofing membrane - PCV, FATRAFOL 818 (thickness 1,5 mm) (Fatra, a.s) (Global)</t>
  </si>
  <si>
    <t>Waterproofing membrane, Waterproofing membrane - PCV, Mapeplan T M (E) (Polyglass SpA) (Global)</t>
  </si>
  <si>
    <t>S-P-00906</t>
  </si>
  <si>
    <t>https://api.environdec.com/api/v1/EPDLibrary/Files/9ca6bbde-5432-4490-8247-08d941d5f1c9/Data</t>
  </si>
  <si>
    <t>Waterproofing membrane, Waterproofing membrane - PCV,  Mapeplan T M Broof t1 (Polyglass SpA) (Global)</t>
  </si>
  <si>
    <t>Waterproofing membrane, Waterproofing membrane - PCV, FATRAFOL 814 (thickness 2,5 mm) (Fatra, a.s) (Global)</t>
  </si>
  <si>
    <t>S-P-10509</t>
  </si>
  <si>
    <t>https://api.environdec.com/api/v1/EPDLibrary/Files/42b1fe9e-f6ec-43fb-1335-08dbca69748b/Data</t>
  </si>
  <si>
    <t>Waterproofing membrane, Waterproofing membrane - PCV,  Mapeplan T B (Polyglass SpA) (Global)</t>
  </si>
  <si>
    <t>Waterproofing membrane, Waterproofing membrane - PCV, Mapeplan T I (Polyglass SpA) (Global)</t>
  </si>
  <si>
    <t>Waterproofing membrane, Waterproofing membrane - PCV,  Mapeplan T M Broof t2-t3 (Polyglass SpA) (Global)</t>
  </si>
  <si>
    <t>Waterproofing membrane, Waterproofing membrane - PCV,  Mapeplan T Af (Polyglass SpA) (Global)</t>
  </si>
  <si>
    <t>Waterproofing membrane, Waterproofing membrane - PCV,  Mapeplan T Af Broof t1 (Polyglass SpA) (Global)</t>
  </si>
  <si>
    <t>Waterproofing membrane, Waterproofing membrane - PCV,  Mapeplan T Af Broof t2 (Polyglass SpA) (Global)</t>
  </si>
  <si>
    <t>Waterproofing membrane, Waterproofing membrane - bitumen, Mataki UnoTech FR (Nordic Waterproofing AB) (Sweden)</t>
  </si>
  <si>
    <t>S-P-01899</t>
  </si>
  <si>
    <t>https://api.environdec.com/api/v1/EPDLibrary/Files/45acaf18-9ab6-408d-b51f-07736e89b1ed/Data</t>
  </si>
  <si>
    <t>Waterproofing membrane, Waterproofing membrane - bitumen, Mataki Ettlags Sveisebelegg (Nordic Waterproofing AB) (Sweden)</t>
  </si>
  <si>
    <t>Waterproofing membrane, Waterproofing membrane - bitumen, Trebolit Elastolit 001 (Nordic Waterproofing AB) (Sweden)</t>
  </si>
  <si>
    <t>Waterproofing membrane, Waterproofing membrane - bitumen, Mataki UnoTech (Nordic Waterproofing AB) (Sweden)</t>
  </si>
  <si>
    <t>Waterproofing membrane, Waterproofing membrane - bitumen, Trebolit Elastolit R01 (Nordic Waterproofing AB) (Sweden)</t>
  </si>
  <si>
    <t>Waterproofing membrane, Waterproofing membrane - bitumen, Mataki Power FR (Nordic Waterproofing AB) (Sweden)</t>
  </si>
  <si>
    <t>Waterproofing membrane, Waterproofing membrane - bitumen, Trebolit E-LIT M (Nordic Waterproofing AB) (Sweden)</t>
  </si>
  <si>
    <t>Waterproofing membrane, Waterproofing membrane - bitumen, Base + Top (BMI Sverige AB) (Scandinavia)</t>
  </si>
  <si>
    <t>Scandinavia</t>
  </si>
  <si>
    <t>S-P-03761</t>
  </si>
  <si>
    <t>https://api.environdec.com/api/v1/EPDLibrary/Files/3dfc1fa2-759b-465c-1d03-08d91e80c3d9/Data</t>
  </si>
  <si>
    <t>Waterproofing membrane, Waterproofing membrane - bitumen, Base SV + Top SV (BMI Sverige AB) (Scandinavia)</t>
  </si>
  <si>
    <t>Waterproofing membrane, Waterproofing membrane - bitumen, Base SV + Base SV (BMI Sverige AB) (Scandinavia)</t>
  </si>
  <si>
    <t>Waterproofing membrane, Waterproofing membrane - bitumen, Base KL + Top KL (BMI Sverige AB) (Scandinavia)</t>
  </si>
  <si>
    <t>Waterproofing membrane, Waterproofing membrane - bitumen, Base K + Top KL (BMI Sverige AB) (Scandinavia)</t>
  </si>
  <si>
    <t>Waterproofing membrane, Waterproofing membrane - bitumen, Base KL + Base KL (BMI Sverige AB) (Scandinavia)</t>
  </si>
  <si>
    <t>Waterproofing membrane, Waterproofing membrane - bitumen, Base K + Base K (BMI Sverige AB) (Scandinavia)</t>
  </si>
  <si>
    <t>Waterproofing membrane, Waterproofing membrane - bitumen, Reinforced bitumen sheets for roof waterproofing (underlayers) (Nordic Waterproofing AB) (Sweden)</t>
  </si>
  <si>
    <t>S-P-01900</t>
  </si>
  <si>
    <t>https://api.environdec.com/api/v1/EPDLibrary/Files/4d46ee5e-e38a-404a-bbfc-9229d794d249/Data</t>
  </si>
  <si>
    <t>Waterproofing membrane, Waterproofing membrane - bitumen, Mono P (BMI Sverige AB) (Europe)</t>
  </si>
  <si>
    <t>S-P-02105</t>
  </si>
  <si>
    <t>https://api.environdec.com/api/v1/EPDLibrary/Files/d48a2c2d-9f8c-4361-1667-08da0fd87809/Data</t>
  </si>
  <si>
    <t>Waterproofing membrane, Waterproofing membrane - bitumen, Mono PC (BMI Sverige AB) (Europe)</t>
  </si>
  <si>
    <t>Waterproofing membrane, Waterproofing membrane - bitumen, Mono PM (BMI Sverige AB) (Europe)</t>
  </si>
  <si>
    <t>Waterproofing membrane, Waterproofing membrane - bitumen, Mono PR (BMI Sverige AB) (Europe)</t>
  </si>
  <si>
    <t>Waterproofing membrane, Waterproofing membrane - bitumen, Mono Noxite (BMI Sverige AB) (Europe)</t>
  </si>
  <si>
    <t>Waterproofing membrane, Waterproofing membrane - bitumen, Primaflex M (BMI Sverige AB) (Europe)</t>
  </si>
  <si>
    <t>Waterproofing membrane, Waterproofing membrane - bitumen, Primaflex R (BMI Sverige AB) (Europe)</t>
  </si>
  <si>
    <t>, Not used, TVA1 Systems (Danosa SA) (Global)</t>
  </si>
  <si>
    <t>S-P-01493</t>
  </si>
  <si>
    <t>https://api.environdec.com/api/v1/EPDLibrary/Files/0aebff21-7154-4f4a-1811-08db312e2dc4/Data</t>
  </si>
  <si>
    <t>, Not used, NTV5 (Danosa SA) (Global)</t>
  </si>
  <si>
    <t>Window</t>
  </si>
  <si>
    <t>Window, Wood frame</t>
  </si>
  <si>
    <t>Window, Wood frame, Ribo wood top guided window (Velfac) (Global)</t>
  </si>
  <si>
    <t>S-P-05381</t>
  </si>
  <si>
    <t>https://api.environdec.com/api/v1/EPDLibrary/Files/7fe0cdcd-a5b1-4d0b-8868-08dbc3e797a5/Data</t>
  </si>
  <si>
    <t>Window, Aluminium frame</t>
  </si>
  <si>
    <t>Window, Aluminium frame, 126T Punched window PVDF (Overgaard) (USA)</t>
  </si>
  <si>
    <t>USA</t>
  </si>
  <si>
    <t>S-P-06516</t>
  </si>
  <si>
    <t>https://api.environdec.com/api/v1/EPDLibrary/Files/e4092be2-63ee-44a3-ad39-08da599e304a/Data</t>
  </si>
  <si>
    <t>Window, Aluminium frame, Aluminium windows Strugal S140RP infinty anodized (Strugal) (Global)</t>
  </si>
  <si>
    <t>S-P-05211</t>
  </si>
  <si>
    <t>https://api.environdec.com/api/v1/EPDLibrary/Files/1112f09e-60a7-40ec-ab0d-08d9c4927501/Data</t>
  </si>
  <si>
    <t>Window, Aluminium frame, Window 45, recycled material (AEA) (Global)</t>
  </si>
  <si>
    <t>S-P-02163</t>
  </si>
  <si>
    <t>https://api.environdec.com/api/v1/EPDLibrary/Files/11ed9f76-c75b-4817-bd94-483f825dd9fd/Data</t>
  </si>
  <si>
    <t>Window, Aluminium frame, Aluminium windows Strugal S53RP+ anodized (Strugal) (Global)</t>
  </si>
  <si>
    <t>Window, Aluminium frame, Aluminium windows Strugal S88RP infinty anodized (Strugal) (Global)</t>
  </si>
  <si>
    <t>Window, Aluminium frame, Window ATS 105 outward opening top swing aluminium, with wood (Lyssand) (Global)</t>
  </si>
  <si>
    <t>S-P-08016</t>
  </si>
  <si>
    <t>https://api.environdec.com/api/v1/EPDLibrary/Files/0e6a8651-ccc0-4a72-2503-08db259f9365/Data</t>
  </si>
  <si>
    <t>Window, Wood frame, Top-swing window wood 105 (Lyssand) (Global)</t>
  </si>
  <si>
    <t>S-P-07884</t>
  </si>
  <si>
    <t>https://api.environdec.com/api/v1/EPDLibrary/Files/0be673c2-c319-47d6-2512-08db259f9365/Data</t>
  </si>
  <si>
    <t>Window, Wood frame, Outward opening top hung wood window (Elitfonster) (Global)</t>
  </si>
  <si>
    <t>S-P-05383</t>
  </si>
  <si>
    <t>OSB</t>
  </si>
  <si>
    <t>Oriented Strand Board (OSB) (Kronospan Orman) (Turkey)</t>
  </si>
  <si>
    <t>S-P-08738</t>
  </si>
  <si>
    <t>https://api.environdec.com/api/v1/EPDLibrary/Files/6af2b676-5a23-43a9-86a6-08db9e3bfd8a/Data</t>
  </si>
  <si>
    <t>OSB, , Egger OSB boards Fritz Egger GmbH and Co. OG (Egger) (Global)</t>
  </si>
  <si>
    <t>EPD-EGG-20240403-IBD2-EN</t>
  </si>
  <si>
    <t>https://www.egger.com/get_download/0b9a6cee-8a7b-47c6-a1e8-a1eb855cce32/Environmental_product_declaration_EGGER+_OSB_EN.pdf</t>
  </si>
  <si>
    <t>OSB, , Oreinted Strand Board (Sonae Arauco) (Global)</t>
  </si>
  <si>
    <t>EPD-SON-20220209-ICCI-EN</t>
  </si>
  <si>
    <t>epd_agepan_osb_ecoboard_osb_ecoboard_.pdf (sonaearauco.com)</t>
  </si>
  <si>
    <t>OSB, Global, Oriented Strand Board (620kg/m3) (Norbord Europe Ltd) (Global)</t>
  </si>
  <si>
    <t>S-P-01850</t>
  </si>
  <si>
    <t>https://api.environdec.com/api/v1/EPDLibrary/Files/b4c3d1cb-ba83-415c-ad77-08dbbea226bc/Data</t>
  </si>
  <si>
    <t>OSB, Global, Oriented Strand Board (600kg/m3) (Norbord Europe Ltd) (Global)</t>
  </si>
  <si>
    <t>Structural Insulated Panel (SIP)</t>
  </si>
  <si>
    <t>Panel - SIP &gt;100mm</t>
  </si>
  <si>
    <t>Panel - SIP &gt;100mm, , InsulWall® - 140mm  (Bondor)</t>
  </si>
  <si>
    <t>S-P-08462</t>
  </si>
  <si>
    <t>https://epd-australasia.com/wp-content/uploads/2023/05/SP08462-Bondor-EPD_EPS-FR_May23.pdf</t>
  </si>
  <si>
    <t>Panel - SIP &gt;100mm, , Equideck® - 250mm  (Bondor)</t>
  </si>
  <si>
    <t>Panel - SIP &gt;100mm, , BondorPanel® 0.6mm steel – 250mm  (Bondor)</t>
  </si>
  <si>
    <t>Panel - SIP &gt;100mm, , Equitilt® 0.7mm steel – 250mm  (Bondor)</t>
  </si>
  <si>
    <t>Panel - SIP &gt;100mm, , Equitilt® 0.6mm steel – 250mm  (Bondor)</t>
  </si>
  <si>
    <t>Panel - SIP &gt;100mm, , BondorPanel® 0.4mm steel – 250mm  (Bondor)</t>
  </si>
  <si>
    <t>Panel - SIP &gt;100mm, , Solaris Ridge® 0.5mm steel - 200mm  (Bondor)</t>
  </si>
  <si>
    <t>Panel - SIP &gt;100mm, , Equideck® - 125mm  (Bondor)</t>
  </si>
  <si>
    <t>Panel - SIP &gt;100mm, , Solaris Ridge® 0.6mm steel - 200mm  (Bondor)</t>
  </si>
  <si>
    <t>Panel - SIP &gt;100mm, , BondorPanel® 0.4mm steel – 200mm  (Bondor)</t>
  </si>
  <si>
    <t>Panel - SIP &gt;100mm, , SolarSpan® - 200mm  (Bondor)</t>
  </si>
  <si>
    <t>Panel - SIP &gt;100mm, , Solaris Corro® 0.5mm steel - 200mm  (Bondor)</t>
  </si>
  <si>
    <t>Panel - SIP &gt;100mm, , Solaris Corro® 0.6mm steel - 125mm  (Bondor)</t>
  </si>
  <si>
    <t>Panel - SIP &gt;100mm, , Solaris Corro® 0.6mm steel - 200mm  (Bondor)</t>
  </si>
  <si>
    <t>Panel - SIP &gt;100mm, , InsulRoof® - 125mm  (Bondor)</t>
  </si>
  <si>
    <t>Panel - SIP &gt;100mm, , Solaris Corro® 0.5mm steel - 125mm  (Bondor)</t>
  </si>
  <si>
    <t>Panel - SIP &gt;100mm, , BondorPanel® 0.4mm steel – 150mm  (Bondor)</t>
  </si>
  <si>
    <t>Panel - SIP &gt;100mm, , InsulRoof® - 200mm  (Bondor)</t>
  </si>
  <si>
    <t>Panel - SIP &gt;100mm, , BondorPanel® 0.6mm steel – 125mm  (Bondor)</t>
  </si>
  <si>
    <t>Panel - SIP &gt;100mm, , Equitilt® 0.7mm steel – 125mm  (Bondor)</t>
  </si>
  <si>
    <t>Panel - SIP &gt;100mm, , Solaris Ridge® 0.6mm steel - 125mm  (Bondor)</t>
  </si>
  <si>
    <t>Panel - SIP &gt;100mm, , Equitilt FlameGuard® 0.6mm steel - 150mm  (Bondor)</t>
  </si>
  <si>
    <t>S-P-08463</t>
  </si>
  <si>
    <t>https://epd-australasia.com/wp-content/uploads/2023/05/SP08463-Bondor-EPD-MW-Core_May23.pdf</t>
  </si>
  <si>
    <t>Panel - SIP &gt;100mm, , Solaris Ridge® 0.5mm steel - 125mm  (Bondor)</t>
  </si>
  <si>
    <t>Panel - SIP &gt;100mm, , Equitilt FlameGuard® 0.7mm steel - 150mm  (Bondor)</t>
  </si>
  <si>
    <t>Panel - SIP &gt;100mm, , Equitilt® 0.6mm steel – 125mm  (Bondor)</t>
  </si>
  <si>
    <t>Panel - SIP &gt;100mm, , BondorPanel® 0.4mm steel – 125mm  (Bondor)</t>
  </si>
  <si>
    <t>Panel - SIP &gt;100mm, , SolarSpan® - 125mm  (Bondor)</t>
  </si>
  <si>
    <t>Panel - SIP &gt;100mm, , KS1000RW Trapezoidal Wall Panel, 120mm thick  (Kingspan)</t>
  </si>
  <si>
    <t>Asia Pacific (Australia, New Zealand, South-East Asia)</t>
  </si>
  <si>
    <t>S-P-05482</t>
  </si>
  <si>
    <t>https://epd-australasia.com/wp-content/uploads/2022/11/SP05482-Kingspan-EPD-wallpanelOct22.pdf</t>
  </si>
  <si>
    <t>Panel - SIP &gt;100mm, , KS1000RW Trapezoidal Roof Panel, 120mm thick  (Kingspan)</t>
  </si>
  <si>
    <t>S-P-00846</t>
  </si>
  <si>
    <t>https://epd-australasia.com/wp-content/uploads/2018/04/SP00846-Kingspan-EPD-roof-panel_Oct22v2.pdf</t>
  </si>
  <si>
    <t>Panel - SIP &gt;100mm, , KS1100/1200CS Coldstore Panel, 125mm thick  (Kingspan)</t>
  </si>
  <si>
    <t>S-P-00845</t>
  </si>
  <si>
    <t>https://epd-australasia.com/wp-content/uploads/2018/04/SP00845-Kingspan-EPD-coldstore-panel_Oct22v2.pdf</t>
  </si>
  <si>
    <t>Panel - SIP &gt;100mm, , KS1100KP Karrier Wall Panel, 125mm thick  (Kingspan)</t>
  </si>
  <si>
    <t>S-P-05483</t>
  </si>
  <si>
    <t>https://epd-australasia.com/wp-content/uploads/2022/11/SP05483-Kingspan-EPD-karrier-wall-panel_Oct22.pdf</t>
  </si>
  <si>
    <t>Panel - SIP &gt;100mm, , KS1100/1200RL Roofliner Panel, 125mm thick  (Kingspan)</t>
  </si>
  <si>
    <t>S-P-05484</t>
  </si>
  <si>
    <t>https://epd-australasia.com/wp-content/uploads/2022/11/SP05484-Kingspan-EPD-roofliner-panel_Oct22.pdf</t>
  </si>
  <si>
    <t>Panel - SIP &gt;100mm, , Architectural Wall Panell, 140mm thick  (Kingspan)</t>
  </si>
  <si>
    <t>S-P-00847</t>
  </si>
  <si>
    <t>https://epd-australasia.com/wp-content/uploads/2018/04/SP00847-Kingspan-EPD-architectural-wall-panel_Oct22v2.pdf</t>
  </si>
  <si>
    <t>Panel - SIP &gt;100mm, , Evolution Panelised Facade, 140mm thick  (Kingspan)</t>
  </si>
  <si>
    <t>S-P-05481</t>
  </si>
  <si>
    <t>https://epd-australasia.com/wp-content/uploads/2022/11/SP005481-Kingspan-EPD-evolution-panelised-facade_Oct22.pdf</t>
  </si>
  <si>
    <t>Panel - SIP &gt;100mm, , KS1100KP Karrier Wall Panel, 150mm thick  (Kingspan)</t>
  </si>
  <si>
    <t>Panel - SIP &gt;100mm, , KS1100/1200RL Roofliner Panel, 150mm thick  (Kingspan)</t>
  </si>
  <si>
    <t>Panel - SIP &gt;100mm, , KS1100/1200RL Roofliner Panel, 200mm thick  (Kingspan)</t>
  </si>
  <si>
    <t>Panel - SIP &gt;100mm, , KS1100KP Karrier Wall Panel, 200mm thick  (Kingspan)</t>
  </si>
  <si>
    <t>Panel - SIP &gt;100mm, , KS1100/1200CS Coldstore Panel, 150mm thick  (Kingspan)</t>
  </si>
  <si>
    <t>Panel - SIP &gt;100mm, , MetecnoPanel® 200mm  (Metecno Pty Ltd t/a MetecnoPIR)</t>
  </si>
  <si>
    <t>S-P-08464</t>
  </si>
  <si>
    <t>https://epd-australasia.com/wp-content/uploads/2023/05/SP08464-Bondor-EPD_PIR_May23.pdf</t>
  </si>
  <si>
    <t>Panel - SIP &gt;100mm, , MetecnoPanel® 150mm  (Metecno Pty Ltd t/a MetecnoPIR)</t>
  </si>
  <si>
    <t>Panel - SIP &gt;100mm, , MetecnoPanel® 125mm  (Metecno Pty Ltd t/a MetecnoPIR)</t>
  </si>
  <si>
    <t>Panel - SIP &gt;100mm, , KS1100/1200CS Coldstore Panel, 200mm thick  (Kingspan)</t>
  </si>
  <si>
    <t>Panel - SIP ≤100mm</t>
  </si>
  <si>
    <t>Panel - SIP ≤100mm, , InsulWall® - 90mm  (Bondor)</t>
  </si>
  <si>
    <t>Panel - SIP ≤100mm, , LuxeWall FlameGuard® 0.7mm steel - 50mm  (Bondor)</t>
  </si>
  <si>
    <t>Panel - SIP ≤100mm, , KS1100/1200RL Roofliner Panel, 50mm thick  (Kingspan)</t>
  </si>
  <si>
    <t>Panel - SIP ≤100mm, , K-Dek Roof Panel with TPO membrane, 70mm thick  (Kingspan)</t>
  </si>
  <si>
    <t>S-P-00848</t>
  </si>
  <si>
    <t>https://epd-australasia.com/wp-content/uploads/2018/04/SP00848-Kingspan-EPD-k-dek-roof-panel_Oct22v2.pdf</t>
  </si>
  <si>
    <t>Panel - SIP ≤100mm, , Equitilt FlameGuard® 0.6mm steel - 75mm  (Bondor)</t>
  </si>
  <si>
    <t>Panel - SIP ≤100mm, , CoolRoof® - 75mm  (Bondor)</t>
  </si>
  <si>
    <t>Panel - SIP ≤100mm, , KS1000RW Trapezoidal Wall Panel, 40mm thick  (Kingspan)</t>
  </si>
  <si>
    <t>Panel - SIP ≤100mm, , KS1000RW Trapezoidal Roof Panel, 40mm thick  (Kingspan)</t>
  </si>
  <si>
    <t>Panel - SIP ≤100mm, , Architectural Wall Panel, 50mm thick  (Kingspan)</t>
  </si>
  <si>
    <t>Panel - SIP ≤100mm, , Equideck® - 50mm  (Bondor)</t>
  </si>
  <si>
    <t>Panel - SIP ≤100mm, , KS1100KP Karrier Wall Panel, 50mm thick  (Kingspan)</t>
  </si>
  <si>
    <t>Panel - SIP ≤100mm, , Evolution Panelised Facade, 50mm thick  (Kingspan)</t>
  </si>
  <si>
    <t>Panel - SIP ≤100mm, , K-Dek Roof Panel with PVC membrane, 70mm thick  (Kingspan)</t>
  </si>
  <si>
    <t>Panel - SIP ≤100mm, , BondorPanel® 0.4mm steel - 100mm  (Bondor)</t>
  </si>
  <si>
    <t>Panel - SIP ≤100mm, , Equitilt FlameGuard® 0.7mm steel - 100mm  (Bondor)</t>
  </si>
  <si>
    <t>Panel - SIP ≤100mm, , K-Dek Roof Panel with TPO membrane, 100mm thick  (Kingspan)</t>
  </si>
  <si>
    <t>Panel - SIP ≤100mm, , LuxeWall FlameGuard® 0.6mm steel - 50mm  (Bondor)</t>
  </si>
  <si>
    <t>Panel - SIP ≤100mm, , LuxeWall FlameGuard® 0.6mm steel - 75mm  (Bondor)</t>
  </si>
  <si>
    <t>Panel - SIP ≤100mm, , Equitilt FlameGuard® 0.7mm steel - 75mm  (Bondor)</t>
  </si>
  <si>
    <t>Panel - SIP ≤100mm, , Solaris Ridge® 0.5mm steel - 50mm  (Bondor)</t>
  </si>
  <si>
    <t>Panel - SIP ≤100mm, , Equitilt FlameGuard® 0.6mm steel - 100mm  (Bondor)</t>
  </si>
  <si>
    <t>Panel - SIP ≤100mm, , LuxeWall FlameGuard® 0.7mm steel - 75mm  (Bondor)</t>
  </si>
  <si>
    <t>Panel - SIP ≤100mm, , Solaris Corro® 0.6mm steel - 50mm  (Bondor)</t>
  </si>
  <si>
    <t>Panel - SIP ≤100mm, , DesignerWall® - 50mm  (Bondor)</t>
  </si>
  <si>
    <t>Panel - SIP ≤100mm, , KS1000RW Trapezoidal Wall Panel, 60mm thick  (Kingspan)</t>
  </si>
  <si>
    <t>Panel - SIP ≤100mm, , KS1000RW Trapezoidal Roof Panel, 60mm thick  (Kingspan)</t>
  </si>
  <si>
    <t>Panel - SIP ≤100mm, , DesignerWall® - 75mm  (Bondor)</t>
  </si>
  <si>
    <t>Panel - SIP ≤100mm, , Equitilt® 0.6mm steel – 50mm  (Bondor)</t>
  </si>
  <si>
    <t>Panel - SIP ≤100mm, , LuxeWall® - 75mm  (Bondor)</t>
  </si>
  <si>
    <t>Panel - SIP ≤100mm, , KS1100/1200CS Coldstore Panel, 50mm thick  (Kingspan)</t>
  </si>
  <si>
    <t>Panel - SIP ≤100mm, , Equitilt FlameGuard® 0.7mm steel - 50mm  (Bondor)</t>
  </si>
  <si>
    <t>Panel - SIP ≤100mm, , KS1000RW Trapezoidal Wall Panel, 70mm thick  (Kingspan)</t>
  </si>
  <si>
    <t>Panel - SIP ≤100mm, , KS1000RW Trapezoidal Roof Panel, 70mm thick  (Kingspan)</t>
  </si>
  <si>
    <t>Panel - SIP ≤100mm, , Architectural Wall Panel, 80mm thick  (Kingspan)</t>
  </si>
  <si>
    <t>Panel - SIP ≤100mm, , Equitilt FlameGuard® 0.6mm steel - 50mm  (Bondor)</t>
  </si>
  <si>
    <t>Panel - SIP ≤100mm, , KS1100KP Karrier Wall Panel, 75mm thick  (Kingspan)</t>
  </si>
  <si>
    <t>Panel - SIP ≤100mm, , KS1100/1200RL Roofliner Panel, 75mm thick  (Kingspan)</t>
  </si>
  <si>
    <t>Panel - SIP ≤100mm, , KS1000RW Trapezoidal Wall Panel, 100mm thick  (Kingspan)</t>
  </si>
  <si>
    <t>Panel - SIP ≤100mm, , KS1000RW Trapezoidal Roof Panel, 100mm thick  (Kingspan)</t>
  </si>
  <si>
    <t>Panel - SIP ≤100mm, , Evolution Panelised Facade, 80mm thick  (Kingspan)</t>
  </si>
  <si>
    <t>Panel - SIP ≤100mm, , K-Dek Roof Panel with PVC membrane, 100mm thick  (Kingspan)</t>
  </si>
  <si>
    <t>Panel - SIP ≤100mm, , KS1100/1200RL Roofliner Panel, 100mm thick  (Kingspan)</t>
  </si>
  <si>
    <t>Panel - SIP ≤100mm, , BondorPanel® 0.6mm steel – 50mm  (Bondor)</t>
  </si>
  <si>
    <t>Panel - SIP ≤100mm, , Solaris Ridge® 0.6mm steel - 50mm  (Bondor)</t>
  </si>
  <si>
    <t>Panel - SIP ≤100mm, , SolarSpan® - 50mm  (Bondor)</t>
  </si>
  <si>
    <t>Panel - SIP ≤100mm, , LuxeWall® - 50mm  (Bondor)</t>
  </si>
  <si>
    <t>Panel - SIP ≤100mm, , CoolRoof® - 50mm  (Bondor)</t>
  </si>
  <si>
    <t>Panel - SIP ≤100mm, , BondorPanel® 0.4mm steel - 50mm  (Bondor)</t>
  </si>
  <si>
    <t>Panel - SIP ≤100mm, , InsulRoof® - 50mm  (Bondor)</t>
  </si>
  <si>
    <t>Panel - SIP ≤100mm, , Solaris Corro® 0.5mm steel - 50mm  (Bondor)</t>
  </si>
  <si>
    <t>Panel - SIP ≤100mm, , BondorPanel® 0.4mm steel - 75mm  (Bondor)</t>
  </si>
  <si>
    <t>Panel - SIP ≤100mm, , Equitilt® 0.7mm steel – 50mm  (Bondor)</t>
  </si>
  <si>
    <t>Panel - SIP ≤100mm, , r KS1100/1200CS Coldstore Panel, 75mm thick  (Kingspan)</t>
  </si>
  <si>
    <t>Panel - SIP ≤100mm, , Architectural Wall Panel, 100mm thick  (Kingspan)</t>
  </si>
  <si>
    <t>Panel - SIP ≤100mm, , KS1100/1200CS Coldstore Panel, 100mm thick  (Kingspan)</t>
  </si>
  <si>
    <t>Panel - SIP ≤100mm, , KS1100KP Karrier Wall Panel, 100mm thick  (Kingspan)</t>
  </si>
  <si>
    <t>Panel - SIP ≤100mm, , Evolution Panelised Facade, 100mm thick  (Kingspan)</t>
  </si>
  <si>
    <t>Panel - SIP ≤100mm, , EconoClad® 25mm  (Metecno Pty Ltd t/a MetecnoPIR)</t>
  </si>
  <si>
    <t>Panel - SIP ≤100mm, , EconoClad® 40mm  (Metecno Pty Ltd t/a MetecnoPIR)</t>
  </si>
  <si>
    <t>Panel - SIP ≤100mm, , EconoClad® 60mm  (Metecno Pty Ltd t/a MetecnoPIR)</t>
  </si>
  <si>
    <t>Panel - SIP ≤100mm, , EconoClad® 80mm  (Metecno Pty Ltd t/a MetecnoPIR)</t>
  </si>
  <si>
    <t>Panel - SIP ≤100mm, , EconoClad® 100mm  (Metecno Pty Ltd t/a MetecnoPIR)</t>
  </si>
  <si>
    <t>Steel, Insulation panel, COLORBOND® steel for insulated panels in 0.40mm base metal thickness (BMT) (Bluescope)</t>
  </si>
  <si>
    <t>S-P-09345</t>
  </si>
  <si>
    <t>https://epd-australasia.com/wp-content/uploads/2023/08/SP09345-Bluescope-EPD-COLORBOND-Insulated-Panels_Jul23.pdf</t>
  </si>
  <si>
    <t>Panel - SIP ≤100mm, , MetecnoPanel® 75mm  (Metecno Pty Ltd t/a MetecnoPIR)</t>
  </si>
  <si>
    <t>Panel - SIP ≤100mm, , MetecnoPanel® 50mm  (Metecno Pty Ltd t/a MetecnoPIR)</t>
  </si>
  <si>
    <t>Cold room panel</t>
  </si>
  <si>
    <t>Steel, Cold room panels, COLORBOND® Intramax® steel in 0.40mm base metal thickness (BMT) (Bluescope)</t>
  </si>
  <si>
    <t>S-P-09346</t>
  </si>
  <si>
    <t>https://epd-australasia.com/wp-content/uploads/2023/08/SP09346-Bluescope-EPD-COLORBOND-Intramax_Jul23.pdf</t>
  </si>
  <si>
    <t>Panel - SIP ≤100mm, , MetecnoInspire® 60mm  (Metecno Pty Ltd t/a MetecnoPIR)</t>
  </si>
  <si>
    <t>Steel, Insulation panel, COLORBOND® steel for insulated panels in 0.50mm base metal thickness (BMT) (Bluescope)</t>
  </si>
  <si>
    <t>Panel - SIP ≤100mm, , MetecnoInspire® 50mm  (Metecno Pty Ltd t/a MetecnoPIR)</t>
  </si>
  <si>
    <t>Steel, Cold room panels, COLORBOND® Intramax® steel in 0.45mm base metal thickness (BMT) (Bluescope)</t>
  </si>
  <si>
    <t>Steel, Cold room panels, COLORBOND® Intramax® steel in 0.50mm base metal thickness (BMT) (Bluescope)</t>
  </si>
  <si>
    <t>Steel, Insulation panel, COLORBOND® steel for insulated panels in 0.60mm base metal thickness (BMT) (Bluescope)</t>
  </si>
  <si>
    <t>Steel, Cold room panels, COLORBOND® Intramax® steel in 0.60mm base metal thickness (BMT) (Bluescope)</t>
  </si>
  <si>
    <t>Panel - SIP ≤100mm, K17 100 mm,  (Kingspan)</t>
  </si>
  <si>
    <t>S-P-07446</t>
  </si>
  <si>
    <t>Panel - SIP ≤100mm, K17 50 mm,  (Kingspan)</t>
  </si>
  <si>
    <t>Panel - SIP ≤100mm, , MetecnoSpan® 100mm  (Metecno Pty Ltd t/a MetecnoPIR)</t>
  </si>
  <si>
    <t>Panel - SIP ≤100mm, , MetecnoInspire® 100mm  (Metecno Pty Ltd t/a MetecnoPIR)</t>
  </si>
  <si>
    <t>Panel - SIP ≤100mm, , MetecnoSpan® 80mm  (Metecno Pty Ltd t/a MetecnoPIR)</t>
  </si>
  <si>
    <t>Panel - SIP ≤100mm, , MetecnoPanel® 100mm  (Metecno Pty Ltd t/a MetecnoPIR)</t>
  </si>
  <si>
    <t>Panel - SIP ≤100mm, K17 25 mm,  (Kingspan)</t>
  </si>
  <si>
    <t>Panel - SIP ≤100mm, , MetecnoInspire® 80mm  (Metecno Pty Ltd t/a MetecnoPIR)</t>
  </si>
  <si>
    <t>Panel - SIP ≤100mm, , MetecnoSpan® 60mm  (Metecno Pty Ltd t/a MetecnoPIR)</t>
  </si>
  <si>
    <t>Panel - SIP ≤100mm, , MetecnoSpan® 40mm  (Metecno Pty Ltd t/a MetecnoPIR)</t>
  </si>
  <si>
    <t>Particleboard, 22 mm flooring, Wood solutions, FWPA, Australia</t>
  </si>
  <si>
    <t>Particleboard, 25 mm flooring, Wood solutions, FWPA, Australia</t>
  </si>
  <si>
    <t>Max variation of 19mm flooring particleboard FWPA, Australia</t>
  </si>
  <si>
    <t>Particleboard, , Min variation 19mm particleboard (FWPA) (Australia)</t>
  </si>
  <si>
    <t>Particleboard, 19 mm flooring, Wood solutions, FWPA, Australia</t>
  </si>
  <si>
    <t>Particleboard, Global, Particleboard 660 kg/m3 (Norbord Europe Ltd) (Global)</t>
  </si>
  <si>
    <t>S-P-01856</t>
  </si>
  <si>
    <t>https://api.environdec.com/api/v1/EPDLibrary/Files/c594ad8b-2072-40a8-ad7b-08dbbea226bc/Data</t>
  </si>
  <si>
    <t>Pavers Ceramic</t>
  </si>
  <si>
    <t>Ceramic tiles, , Ceramic Facade Tile Products (Xiamen Togen Building Products Co.,Ltd) (Global)</t>
  </si>
  <si>
    <t>S-P-10800</t>
  </si>
  <si>
    <t>https://api.environdec.com/api/v1/EPDLibrary/Files/78cb0e72-3625-4e9f-acd5-08dbbea226bc/Data</t>
  </si>
  <si>
    <t>Ceramic tiles, , Ceramic tiles for exterior and interior floor and wall coverings (Exa) (Global)</t>
  </si>
  <si>
    <t>S-P-08006</t>
  </si>
  <si>
    <t>https://api.environdec.com/api/v1/EPDLibrary/Files/9435e4ac-691f-4b28-2314-08daedae32be/Data</t>
  </si>
  <si>
    <t>Ceramic tiles, , Porcelain Stone ware tiles (Saloni) (Global)</t>
  </si>
  <si>
    <t>S-P-01155</t>
  </si>
  <si>
    <t>https://api.environdec.com/api/v1/EPDLibrary/Files/08e8581b-33e7-4738-566c-08da12da9675/Data</t>
  </si>
  <si>
    <t>Pavers ceramic</t>
  </si>
  <si>
    <t>Ceramic tiles, , Spanish Ceramic Tiles (Ascer Spanish Ceramic Tile Manufacturers' Association) (Global)</t>
  </si>
  <si>
    <t>18/03/2019</t>
  </si>
  <si>
    <t>17/03/2024</t>
  </si>
  <si>
    <t>002-042</t>
  </si>
  <si>
    <t>GlobalEPD</t>
  </si>
  <si>
    <t>Plasterboard</t>
  </si>
  <si>
    <t>Plasterboard, Opal 10 mm,  (Siniat)</t>
  </si>
  <si>
    <t>S-P-07445</t>
  </si>
  <si>
    <t>https://epd-australasia.com/wp-content/uploads/2023/06/SP07445-Etex-Siniat-Plasterboard-280623.pdf</t>
  </si>
  <si>
    <t>Plasterboard, trurock 13 mm,  (Siniat)</t>
  </si>
  <si>
    <t>Plasterboard, fireshield 13 mm,  (Siniat)</t>
  </si>
  <si>
    <t>Plasterboard, soundshield 13 mm,  (Siniat)</t>
  </si>
  <si>
    <t>Plasterboard, fireshield H 13 mm,  (Siniat)</t>
  </si>
  <si>
    <t>Plasterboard, fireshield 16 mm,  (Siniat)</t>
  </si>
  <si>
    <t>Plasterboard, , Regular Plasterboard (Knauf Orbond) (Israel)</t>
  </si>
  <si>
    <t>S-P-09656</t>
  </si>
  <si>
    <t>https://api.environdec.com/api/v1/EPDLibrary/Files/43c64dfc-1b96-4881-8e10-08db7203e99c/Data</t>
  </si>
  <si>
    <t>Plasterboard, , Fire Plus+2.0 (Knauf Orbond) (Israel)</t>
  </si>
  <si>
    <t>S-P-09659</t>
  </si>
  <si>
    <t>https://api.environdec.com/api/v1/EPDLibrary/Files/ca4f7e40-3cc3-4d80-8df2-08db7203e99c/Data</t>
  </si>
  <si>
    <t>Plasterboard, , Piano HD Board (Knauf Orbond) (Israel)</t>
  </si>
  <si>
    <t>S-P-09657</t>
  </si>
  <si>
    <t>https://api.environdec.com/api/v1/EPDLibrary/Files/86e1a6f9-6e9e-40ce-8df4-08db7203e99c/Data</t>
  </si>
  <si>
    <t>Plasterboard, , Blue EX Board (Knauf Orbond) (Israel)</t>
  </si>
  <si>
    <t>S-P-09658</t>
  </si>
  <si>
    <t>https://api.environdec.com/api/v1/EPDLibrary/Files/2e7e5134-fc8f-449e-8df3-08db7203e99c/Data</t>
  </si>
  <si>
    <t>Plasterboard, , Fire-Resistant Board - Knauf Orbond (Knauf Orbond) (Israel)</t>
  </si>
  <si>
    <t>S-P-09128</t>
  </si>
  <si>
    <t>https://api.environdec.com/api/v1/EPDLibrary/Files/c68012f9-c42c-4734-8e11-08db7203e99c/Data</t>
  </si>
  <si>
    <t>Plasterboard, , Water-Resistant Board - Knauf Orbond (Knauf Orbond) (Israel)</t>
  </si>
  <si>
    <t>S-P-09491</t>
  </si>
  <si>
    <t>Plasterboard, curveshield
6.5 mm,  (Siniat)</t>
  </si>
  <si>
    <t>Plasterboard, shaftliner/
intershield
25 mm,  (Siniat)</t>
  </si>
  <si>
    <t>Plasterboard, watershield 10 mm,  (Siniat)</t>
  </si>
  <si>
    <t>Plasterboard, watershield 13 mm,  (Siniat)</t>
  </si>
  <si>
    <t>Plasterboard, multishield
13 mm,  (Siniat)</t>
  </si>
  <si>
    <t>Plasterboard, multishield
16 mm,  (Siniat)</t>
  </si>
  <si>
    <t>https://epd-australasia.com/wp-content/uploads/2023/04/SP07446-Kingspan-EPD_Kooltherm_Mar23.pdf</t>
  </si>
  <si>
    <t>Plasterboard, spanshield 10 mm,  (Siniat)</t>
  </si>
  <si>
    <t>Plasterboard, trurock HD
13 mm,  (Siniat)</t>
  </si>
  <si>
    <t>Plasterboard, mastashield 13 mm,  (Siniat)</t>
  </si>
  <si>
    <t>Plasterboard, trurock
16 mm*,  (Siniat)</t>
  </si>
  <si>
    <t>Plasterboard, trurock HD
16 mm,  (Siniat)</t>
  </si>
  <si>
    <t>Plasterboard, mastashield 10 mm,  (Siniat)</t>
  </si>
  <si>
    <t>Plasterboard, soundshield 10 mm*,  (Siniat)</t>
  </si>
  <si>
    <t>Plasterboard, , Sheetrock HD (13 mm) (Knauf Gypsum Pty Ltd) (Australia)</t>
  </si>
  <si>
    <t>EPD-IES-0014138:001</t>
  </si>
  <si>
    <t>https://epd-australasia.com/?s=0014138:001&amp;post_type=epd</t>
  </si>
  <si>
    <t>Plasterboard, , Firestop (13 mm) (Knauf Gypsum Pty Ltd) (Australia)</t>
  </si>
  <si>
    <t>EPD-IES-0014135:001</t>
  </si>
  <si>
    <t>https://epd-australasia.com/?s=0014135:001&amp;post_type=epd</t>
  </si>
  <si>
    <t>Plasterboard, , Sheetrock ONE (10 mm) (Knauf Gypsum Pty Ltd) (Australia)</t>
  </si>
  <si>
    <t>EPD-IES-0014139:001</t>
  </si>
  <si>
    <t>https://epd-australasia.com/?s=0014139:001&amp;post_type=epd</t>
  </si>
  <si>
    <t>Plasterboard, , Wetstop (13 mm) (Knauf Gypsum Pty Ltd) (Australia)</t>
  </si>
  <si>
    <t>EPD-IES-0014136:001</t>
  </si>
  <si>
    <t>https://epd-australasia.com/?s=0014136:001&amp;post_type=epd</t>
  </si>
  <si>
    <t>Plasterboard, , Wetstop (10 mm) (Knauf Gypsum Pty Ltd) (Australia)</t>
  </si>
  <si>
    <t>EPD-IES-0014137:001</t>
  </si>
  <si>
    <t>https://epd-australasia.com/?s=0014137:001&amp;post_type=epd</t>
  </si>
  <si>
    <t>Plasterboard, , Fire Wetstop (13 mm) (Knauf Gypsum Pty Ltd) (Australia)</t>
  </si>
  <si>
    <t>EPD-IES-0014133:001</t>
  </si>
  <si>
    <t>https://epd-australasia.com/?s=0014133:001&amp;post_type=epd</t>
  </si>
  <si>
    <t>Plasterboard, , Soundstop (10 mm) (Knauf Gypsum Pty Ltd) (Australia)</t>
  </si>
  <si>
    <t>EPD-IES-0014131:001</t>
  </si>
  <si>
    <t>https://epd-australasia.com/?s=0014131:001&amp;post_type=epd</t>
  </si>
  <si>
    <t>Plasterboard, , Soundstop (13 mm) (Knauf Gypsum Pty Ltd) (Australia)</t>
  </si>
  <si>
    <t>EPD-IES-0014130:001</t>
  </si>
  <si>
    <t>https://epd-australasia.com/?s=0014130:001&amp;post_type=epd</t>
  </si>
  <si>
    <t>Plasterboard, , Fire Wetstop (16 mm) (Knauf Gypsum Pty Ltd) (Australia)</t>
  </si>
  <si>
    <t>EPD-IES-0014132:001</t>
  </si>
  <si>
    <t>https://epd-australasia.com/?s=0014132:001&amp;post_type=epd</t>
  </si>
  <si>
    <t>Plasterboard, , Firestop (16 mm) (Knauf Gypsum Pty Ltd) (Australia)</t>
  </si>
  <si>
    <t>EPD-IES-0014134:001</t>
  </si>
  <si>
    <t>https://epd-australasia.com/?s=0014134:001&amp;post_type=epd</t>
  </si>
  <si>
    <t>Plasterboard, , Multistop (16mm) (Knauf Gypsum Pty Ltd) (Australia)</t>
  </si>
  <si>
    <t>EPD-IES-0014128:001</t>
  </si>
  <si>
    <t>https://epd-australasia.com/?s=0014128:001&amp;post_type=epd</t>
  </si>
  <si>
    <t>Plasterboard, , Multistop (13mm) (Knauf Gypsum Pty Ltd) (Australia)</t>
  </si>
  <si>
    <t>EPD-IES-0014127:001</t>
  </si>
  <si>
    <t>https://epd-australasia.com/?s=0014127:001&amp;post_type=epd</t>
  </si>
  <si>
    <t>Plasterboard, , Shaftliner (25 mm) (Knauf Gypsum Pty Ltd) (Australia)</t>
  </si>
  <si>
    <t>EPD-IES-0014129:001</t>
  </si>
  <si>
    <t>https://epd-australasia.com/?s=0014129:001&amp;post_type=epd</t>
  </si>
  <si>
    <t>Plastic sheeting</t>
  </si>
  <si>
    <t>Plastic sheeting, , Transparent plastic sheets PMMA Clear H150 (NUDEC) (Global)</t>
  </si>
  <si>
    <t>S-P-05918</t>
  </si>
  <si>
    <t>https://api.environdec.com/api/v1/EPDLibrary/Files/27bd3772-ee58-4947-ef19-08da28305142/Data</t>
  </si>
  <si>
    <t>Plastic sheeting, , Transparent plastic sheets PC Clear 211 UV (NUDEC) (Global)</t>
  </si>
  <si>
    <t>S-P-05906</t>
  </si>
  <si>
    <t>https://api.environdec.com/api/v1/EPDLibrary/Files/f8f1831a-adbf-4f81-ef1f-08da28305142/Data</t>
  </si>
  <si>
    <t>Plastic sheeting, , Transparent plastic sheets PC Opal 4963 (NUDEC) (Global)</t>
  </si>
  <si>
    <t>https://api.environdec.com/api/v1/EPDLibrary/Files/9cedc838-bbd6-4a86-ef1e-08da28305142/Data</t>
  </si>
  <si>
    <t>Plastic sheeting, , 100% Recycled plastic panels (Polygood) (Global)</t>
  </si>
  <si>
    <t>S-P-09636</t>
  </si>
  <si>
    <t>https://api.environdec.com/api/v1/EPDLibrary/Files/4acdcc32-178b-4d0f-605c-08db94c6ebcd/Data</t>
  </si>
  <si>
    <t>Add on aluminium billet - extrusion + anodising</t>
  </si>
  <si>
    <t>plus_alum_extru_anod</t>
  </si>
  <si>
    <t>plus_alum_extru_anod, , Add on if aluminium billet provided_covers prep, extusion, anodising (Calculated) ()</t>
  </si>
  <si>
    <t>Add on aluminium billet - extrusion + powder coating</t>
  </si>
  <si>
    <t>plus_alum_extru_powder</t>
  </si>
  <si>
    <t>plus_alum_extru_powder, , Add on if aluminium billet provided_covers prep, extusion, powder coating (Calculated) ()</t>
  </si>
  <si>
    <t>Plywood</t>
  </si>
  <si>
    <t>Plywood (all)</t>
  </si>
  <si>
    <t>plywood flooring, tongue and groove, A-bond, 25 mm (commercial), FWPA</t>
  </si>
  <si>
    <t>https://epd-australasia.com/epd/plywood/</t>
  </si>
  <si>
    <t>plywood flooring, tongue and groove, A-bond, 15 mm (residential), FWPA</t>
  </si>
  <si>
    <t>Plywood, Global, SELEX Plywood products (CMPC) (Chile)</t>
  </si>
  <si>
    <t>Chile</t>
  </si>
  <si>
    <t>S-P-02010</t>
  </si>
  <si>
    <t>https://api.environdec.com/api/v1/EPDLibrary/Files/4ab1ebc5-aa39-4993-a589-08dae89fe9e4/Data</t>
  </si>
  <si>
    <t>Plywood, Global, SELEX Plywood 9mm (CMPC) (Chile)</t>
  </si>
  <si>
    <t>S-P-02011</t>
  </si>
  <si>
    <t>https://api.environdec.com/api/v1/EPDLibrary/Files/55b09d26-2c80-4a6d-a58f-08dae89fe9e4/Data</t>
  </si>
  <si>
    <t>Plywood, Global, Plywood CHH Ply (Carter Holt Harvey) (New Zealand)</t>
  </si>
  <si>
    <t>S-P-05513</t>
  </si>
  <si>
    <t>https://api.environdec.com/api/v1/EPDLibrary/Files/7a0c4ed1-3747-44a2-0e84-08db3c2e10fb/Data</t>
  </si>
  <si>
    <t>Plywood, Global, Grupo Garnica Plywood (MADERAS) (Spain)</t>
  </si>
  <si>
    <t>Spain</t>
  </si>
  <si>
    <t>S-P-00531</t>
  </si>
  <si>
    <t>https://api.environdec.com/api/v1/EPDLibrary/Files/967dee7b-efeb-472f-8729-08dbc3e797a5/Data</t>
  </si>
  <si>
    <t>Plywood, Global, Plywood C1D (Panguaneta) (Italy)</t>
  </si>
  <si>
    <t>Italy</t>
  </si>
  <si>
    <t>S-P-09388</t>
  </si>
  <si>
    <t>https://api.environdec.com/api/v1/EPDLibrary/Files/a3537711-c006-4118-ed97-08db605618f8/Data</t>
  </si>
  <si>
    <t>Plywood, A-bond 17 mm (formwork),FWPA</t>
  </si>
  <si>
    <t>Plywood, A-bond, 7 mm (bracing), FWPA</t>
  </si>
  <si>
    <t>Plywood, A-bond, 9 mm (structural), FWPA</t>
  </si>
  <si>
    <t>Max variation of Formply A-bond 17mm FWPA, Australia</t>
  </si>
  <si>
    <t>Plywood, , Min variation of Formply A-bond 15mm FWPA, Australia (FWPA) (Australia)</t>
  </si>
  <si>
    <t>https://epd-australasia.com/wp-content/uploads/2018/04/EDP-5-Plywood-Dec-2020-2.pdf</t>
  </si>
  <si>
    <t>Plywood, formply, B-bond, 17 mm (formwork) FWPA</t>
  </si>
  <si>
    <t>Prefabricated concrete, , Prefabricated concrete balcony with connector (AF Prefab) (Sweden)</t>
  </si>
  <si>
    <t>S-P-08665</t>
  </si>
  <si>
    <t>https://api.environdec.com/api/v1/EPDLibrary/Files/74466ed9-877e-4bbf-ce82-08db351f0eff/Data</t>
  </si>
  <si>
    <t>Prefabricated concrete, , Prefabricated massive concrete slab for building (AF Prefab) (Sweden)</t>
  </si>
  <si>
    <t>S-P-08664</t>
  </si>
  <si>
    <t>https://api.environdec.com/api/v1/EPDLibrary/Files/131903ec-0fe2-4bea-ce80-08db351f0eff/Data</t>
  </si>
  <si>
    <t>Prefabricated concrete, , Prefabricated massive balcony  - Australia average-case (Calculated) (Australia)</t>
  </si>
  <si>
    <t>Prefabricated concrete, , Prefabricated concrete massive concrete slab for buildin - Australia average case (Calculated) (Australia)</t>
  </si>
  <si>
    <t>Recycled aggregate</t>
  </si>
  <si>
    <t>Recycled fill material</t>
  </si>
  <si>
    <t>Recycled aggregate, , Recycled Aggregate (ECORR) (Australia)</t>
  </si>
  <si>
    <t>S-P-10944</t>
  </si>
  <si>
    <t>https://epd-australasia.com/wp-content/uploads/2024/06/SP10944-ECCOR-EPD_Recycled-Aggregate_May24.pdf</t>
  </si>
  <si>
    <t>Recycled aggregate, , Recycled densley graded aggregate (ECORR) (Australia)</t>
  </si>
  <si>
    <t>S-P-10942</t>
  </si>
  <si>
    <t>https://epd-australasia.com/wp-content/uploads/2024/06/SP10942-ECCOR-EPD_Recycled-Densely-Graded-Roadbase-Subbase_May24.pdf</t>
  </si>
  <si>
    <t>Recycled aggregate, , Recycled glass sand (ResourceCo) (Australia)</t>
  </si>
  <si>
    <t>EPD-IES-0016608:001</t>
  </si>
  <si>
    <t>https://epd-australasia.com/wp-content/uploads/2024/10/EPD-IES-0016608-ResourceCo_Wingfield-Product-Recycled-Glass-Sand_2024-10-01.pdf</t>
  </si>
  <si>
    <t>Recycled aggregate, , Recycled crushed concrete aggregate (Greenvision) (New Zealand)</t>
  </si>
  <si>
    <t>S-P-05490</t>
  </si>
  <si>
    <t>https://api.environdec.com/api/v1/EPDLibrary/Files/9a6c2d12-0544-4811-ad18-08da599e304a/Data</t>
  </si>
  <si>
    <t>Aggregate, Recycled, 10/20 MM DRAINAGE  AGGREGATES (ResourceCo) (Australia)</t>
  </si>
  <si>
    <t>EPD-IES-0013394:001 (S-P-13394)</t>
  </si>
  <si>
    <t>https://epd-australasia.com/?s=0013394:001&amp;post_type=epd</t>
  </si>
  <si>
    <t>Aggregate, Recycled, 10/20 MM DRAINAGE AGGREGATES (ResourceCo) (Australia)</t>
  </si>
  <si>
    <t>EPD-IES-0013387:001 (S-P-13387)</t>
  </si>
  <si>
    <t>https://epd-australasia.com/?s=0013387:001&amp;post_type=epd</t>
  </si>
  <si>
    <t>Aggregate, Recycled, PM1/20RM - BASE COURSE (ResourceCo) (Australia)</t>
  </si>
  <si>
    <t>EPD-IES-0013391:001 (S-P-13391)</t>
  </si>
  <si>
    <t>https://epd-australasia.com/?s=0013391:001&amp;post_type=epd</t>
  </si>
  <si>
    <t>Aggregate, Recycled, -7 MM RECYCLED SAND (ResourceCo) (Australia)</t>
  </si>
  <si>
    <t>EPD-IES-0013389:001 (S-P-13389)</t>
  </si>
  <si>
    <t>https://epd-australasia.com/?s=0013389:001&amp;post_type=epd</t>
  </si>
  <si>
    <t>Aggregate, Recycled, 20 MM CLASS 2 RUBBLE –SUB BASE (ResourceCo) (Australia)</t>
  </si>
  <si>
    <t>EPD-IES-0013392:001 (S-P-13392)</t>
  </si>
  <si>
    <t>https://epd-australasia.com/?s=0013392:001&amp;post_type=epd</t>
  </si>
  <si>
    <t>Aggregate, Recycled, 40 MM CLASS 2 RUBBLE – SUBBASE (ResourceCo) (Australia)</t>
  </si>
  <si>
    <t>EPD-IES-0013386:001 (S-P-13386)</t>
  </si>
  <si>
    <t>https://epd-australasia.com/?s=0013386:001&amp;post_type=epd</t>
  </si>
  <si>
    <t>Aggregate, Recycled, 40 MM CLASS 2 RUBBLE –SUB BASE (ResourceCo) (Australia)</t>
  </si>
  <si>
    <t>EPD-IES-0013393:001 (S-P-13393)</t>
  </si>
  <si>
    <t>https://epd-australasia.com/?s=0013393:001&amp;post_type=epd</t>
  </si>
  <si>
    <t>Aggregate, Recycled, 20 MM CLASS 1 RUBBLE– BASE COURSE (ResourceCo) (Australia)</t>
  </si>
  <si>
    <t>EPD-IES-0013384:001 (S-P-13384)</t>
  </si>
  <si>
    <t>https://epd-australasia.com/?s=0013384:001&amp;post_type=epd</t>
  </si>
  <si>
    <t>Roller door</t>
  </si>
  <si>
    <t>Roller doors</t>
  </si>
  <si>
    <t>Roller doors, , Sectional door 601 - full vision (Loading Systems) (Europe)</t>
  </si>
  <si>
    <t>S-P-12890</t>
  </si>
  <si>
    <t>https://api.environdec.com/api/v1/EPDLibrary/Files/1cdb805e-831a-4b4d-0d92-08dc5e07fd56/Data</t>
  </si>
  <si>
    <t>Roller doors, , Sectional door 601 (Loading Systems) (Europe)</t>
  </si>
  <si>
    <t>S-P-12445</t>
  </si>
  <si>
    <t>https://api.environdec.com/api/v1/EPDLibrary/Files/376c6a1e-9642-43a8-0d82-08dc5e07fd56/Data</t>
  </si>
  <si>
    <t>Roof tiles - clay</t>
  </si>
  <si>
    <t>Roof tiles - clay, , Terracotta tiles (Sahtas) (Turkey)</t>
  </si>
  <si>
    <t>S-P-02240</t>
  </si>
  <si>
    <t>https://api.environdec.com/api/v1/EPDLibrary/Files/8280064d-71bf-4f2e-abbc-08d9c4927501/Data</t>
  </si>
  <si>
    <t>Roof tiles - clay, , Tile (Prayag Clay Products Limited (PCPL) (Global)</t>
  </si>
  <si>
    <t>Roof tiles - clay, , Clay roofing tile (BMI Sverige AB) (Sweden)</t>
  </si>
  <si>
    <t>S-P-08975</t>
  </si>
  <si>
    <t>https://api.environdec.com/api/v1/EPDLibrary/Files/0cbd0b42-8096-4ad3-74ff-08dba3f6d3f1/Data</t>
  </si>
  <si>
    <t>Rubber floor</t>
  </si>
  <si>
    <t>Rubber flooring</t>
  </si>
  <si>
    <t>Rubber floor, , FLEXXER Resilient rubber flooring 2cm thick (NAR Kauçuk ve Zemin Sistemleri SAN. TİC. A.Ş.) (Turkey)</t>
  </si>
  <si>
    <t>S-P-10630</t>
  </si>
  <si>
    <t>https://api.environdec.com/api/v1/EPDLibrary/Files/d0c3f413-dcb4-4e22-2808-08dc176fe0d5/Data</t>
  </si>
  <si>
    <t>Rubbing Flooring, , Granito Rubber Flooring Technology Resilient Floor Covering (Artigo) (US/Europe/Global)</t>
  </si>
  <si>
    <t>US/Europe/Global</t>
  </si>
  <si>
    <t>4789196803.101.1</t>
  </si>
  <si>
    <t>https://polyflor.no/wp-content/uploads/2019/11/EPD-Artigo-Granito-PRO-2mm.pdf</t>
  </si>
  <si>
    <t>Rubber Floor, , REGUPOL rolls and sheets (REGUPOL BSW GmbH) (Global)</t>
  </si>
  <si>
    <t>24/08/2023</t>
  </si>
  <si>
    <t>23/08/2028</t>
  </si>
  <si>
    <t>EPD-REG-20230194-IBC1-EN</t>
  </si>
  <si>
    <t>https://construction.regupol.com/fileadmin/user_upload/construction/Downloads/Certification/EN/EPD-Environmental-Product-Declaration.pdf</t>
  </si>
  <si>
    <t>Hardwood</t>
  </si>
  <si>
    <t>Sawn hardwood</t>
  </si>
  <si>
    <t>Hardwood, rough sawn, kiln-dried H3 ACQ, Australia</t>
  </si>
  <si>
    <t>S-P-00561</t>
  </si>
  <si>
    <t>https://epd-australasia.com/wp-content/uploads/2018/04/EDP-2-Hardwood-Dec-2020-2.pdf</t>
  </si>
  <si>
    <t>Hardwood, rough sawn, kiln-dried H3 copper, Australia</t>
  </si>
  <si>
    <t>Hardwood, rough sawn, kiln-dried H1, FWPA, Australia</t>
  </si>
  <si>
    <t>Hardwood, rough-sawn, kiln-dried hardwood, Wood solutions, FWPA, Australia</t>
  </si>
  <si>
    <t>Hardwood, dressed, kiln-dried H3 ACQ, Australia</t>
  </si>
  <si>
    <t>Hardwood, dressed, kiln-dried H1, Australia</t>
  </si>
  <si>
    <t>Hardwood, dressed, kiln-dried hardwood, Wood solutions, FWPA, Australia</t>
  </si>
  <si>
    <t>Hardwood, dressed, kiln-dried H3 copper, Australia</t>
  </si>
  <si>
    <t>Max variation, hardwood, dressed, kiln-dried H3 ACQ FWPA, Australia</t>
  </si>
  <si>
    <t>Hardwood, rough-sawn, green hardwood, Wood solutions, FWPA, Australia</t>
  </si>
  <si>
    <t>Hardwood, , Min variation, hardwood, white cypress, roughsawn green (FWPA) (Australia)</t>
  </si>
  <si>
    <t>White Cypress, rough-sawn, green, FWPA</t>
  </si>
  <si>
    <t>S-P-02327</t>
  </si>
  <si>
    <t>https://epd-australasia.com/epd/forest-and-wood-products-australia-australian-sawn-white-cypress-timber/</t>
  </si>
  <si>
    <t>White Cypress, dressed, green, FWPA</t>
  </si>
  <si>
    <t>Softwood</t>
  </si>
  <si>
    <t>Sawn softwood</t>
  </si>
  <si>
    <t>Softwood (Radiata pine), roughsawn, kiln-dried, H3 Copper Azole treated, e.g. framing [majority from sustainable forest management practices] (FWPA)</t>
  </si>
  <si>
    <t>S-P-00560</t>
  </si>
  <si>
    <t>Version 2.0</t>
  </si>
  <si>
    <t>https://epd-australasia.com/wp-content/uploads/2018/04/EPD-1_Softwood_Revised-14-Feb-2022.pdf</t>
  </si>
  <si>
    <t>Softwood (Radiata pine), roughsawn, kiln-dried, untreated, e.g. framing [majority from sustainable forest management practices] (FWPA)</t>
  </si>
  <si>
    <t>Softwood (Radiata pine), roughsawn, kiln-dried, H3 Copper+DDAX treated, e.g. framing [majority from sustainable forest management practices] (FWPA)</t>
  </si>
  <si>
    <t>Softwood (Radiata pine), roughsawn, kiln-dried, H4 CCA treated, e.g. framing [majority from sustainable forest management practices] (FWPA)</t>
  </si>
  <si>
    <t>Softwood (Radiata pine), roughsawn, kiln-dried, H4 Copper Azole treated, e.g. framing [majority from sustainable forest management practices] (FWPA)</t>
  </si>
  <si>
    <t>Softwood (Radiata pine), roughsawn, kiln-dried, H3 LOSP treated, e.g. framing [majority from sustainable forest management practices] (FWPA)</t>
  </si>
  <si>
    <t>Softwood (Radiata pine), roughsawn, kiln-dried, H3 CCA treated, e.g. framing [majority from sustainable forest management practices] (FWPA)</t>
  </si>
  <si>
    <t>Sawn softwood, surfaced timber</t>
  </si>
  <si>
    <t>Softwood (Radiata pine), surfaced, kiln-dried, H2 LOSP treated, [majority from sustainable forest management practices] (FWPA)</t>
  </si>
  <si>
    <t>Softwood (Radiata pine), surfaced, kiln-dried, H3 copper azole  treated,  [majority from sustainable forest management practices] (FWPA)</t>
  </si>
  <si>
    <t>Maximum variaton, Softwood (Radiata pine),surfaced, dressed, kiln-dried, LOSP azole+permethrin), e.g. framing [majority from sustainable forest management practices] (FWPA)</t>
  </si>
  <si>
    <t>Softwood (Radiata pine), surfaced, kiln-dried, untreated  [majority from sustainable forest management practices] (FWPA)</t>
  </si>
  <si>
    <t>Softwood, , Min variaton, Softwood (Radiata pine),surfaced, dressed, kiln-dried, LOSP azole+permethrin), e.g. framing [majority from sustainable forest management practices] (FWPA) (FWPA) (Australia)</t>
  </si>
  <si>
    <t>Softwood (Radiata pine), surfaced, kiln-dried, untreated,  [from sustainable forest management practices] (Timberlink, Australia)</t>
  </si>
  <si>
    <t>S-P-07431</t>
  </si>
  <si>
    <t>https://epd-australasia.com/epd/timberlink-structural-softwood-timber/</t>
  </si>
  <si>
    <t>Softwood (Radiata pine), surfaced, kiln-dried, H3, treated, eg outdoor use, not in contact with ground, non structural [from sustainable forest management practices] (Timberlink, Australia)</t>
  </si>
  <si>
    <t>Softwood (Radiata pine), surfaced, kiln-dried, H2F treated, eg framing [from sustainable forest management practices] (Timberlink, Australia)</t>
  </si>
  <si>
    <t>Softwood (Radiata pine), surfaced, kiln-dried, H3 Copper+DDAX treated,  [majority from sustainable forest management practices] (FWPA)</t>
  </si>
  <si>
    <t>Softwood (Radiata pine), surfaced, kiln-dried, H4 CCA treated, e.g. framing [majority from sustainable forest management practices] (FWPA)</t>
  </si>
  <si>
    <t>Softwood (Radiata pine), surfaced, kiln-dried, H4 Copper Azole treated, e.g. framing [majority from sustainable forest management practices] (FWPA)</t>
  </si>
  <si>
    <t>Softwood (Radiata pine), surfaced, kiln-dried, H3 LOSP treated, e.g. framing [majority from sustainable forest management practices] (FWPA)</t>
  </si>
  <si>
    <t>sawn softwood (Abodo Wood Ltd) (New Zealand)</t>
  </si>
  <si>
    <t>Thermally Modified Timber, surfaced softwood (Abodo Wood Ltd) (New Zealand)</t>
  </si>
  <si>
    <t>Softwood (Radiata pine), surfaced, kiln-dried, H3 CCA treated, [majority from sustainable forest management practices] (FWPA)</t>
  </si>
  <si>
    <t>Sawn sw, surfaced timber</t>
  </si>
  <si>
    <t>Thermally Modified Timber, Finger-Jointed softwood (Abodo Wood Ltd) (New Zealand)</t>
  </si>
  <si>
    <t>Planed and painted softwood product (Latvia Timber International) (Europe)</t>
  </si>
  <si>
    <t>S-P-09144</t>
  </si>
  <si>
    <t>https://api.environdec.com/api/v1/EPDLibrary/Files/c493cf4c-157d-4ea2-ab4f-08db4497f421/Data</t>
  </si>
  <si>
    <t>AAC</t>
  </si>
  <si>
    <t>Solid AAC</t>
  </si>
  <si>
    <t>AAC, , Autoclaved Aerated Concrete (Ytong) (Turkey)</t>
  </si>
  <si>
    <t>S-P-01804</t>
  </si>
  <si>
    <t>https://api.environdec.com/api/v1/EPDLibrary/Files/c0fc05af-13cc-4e92-9887-7b780b714acc/Data</t>
  </si>
  <si>
    <t>AAC, , Autoclaved Aerated Concrete blocks, Active (Gasbeton) (Italy)</t>
  </si>
  <si>
    <t>S-P-03048</t>
  </si>
  <si>
    <t>https://api.environdec.com/api/v1/EPDLibrary/Files/d52c0010-ab02-4fd3-02f3-08d8f01e26c9/Data</t>
  </si>
  <si>
    <t>AAC, , Autoclaved Aerated Concrete blocks, Evolution (Gasbeton) (Italy)</t>
  </si>
  <si>
    <t>AAC, , Autoclaved Aerated Concrete blocks, Sysmic Idro (Gasbeton) (Italy)</t>
  </si>
  <si>
    <t>Stabilised Sand</t>
  </si>
  <si>
    <t>Stabilised sand</t>
  </si>
  <si>
    <t>Concrete, ? MPa, in-situ, no reinforcement, (Stabilised Sand
12:1) (Adbri) (QLD)</t>
  </si>
  <si>
    <t>Concrete, Stabilised Sand, in-situ, no reinforcement, Pre-mix Concrete STABILISED SAND 14:1 (Boral) (ACT), (Canberra) STABILISED SAND 14:1</t>
  </si>
  <si>
    <t>Concrete, Stabilised Sand, in-situ, no reinforcement, Pre-mix Concrete STABILISED SAND 8:1 (Boral) (ACT), (Canberra) STABILISED SAND 8:1</t>
  </si>
  <si>
    <t>Concrete, Stabilised Sand, in-situ, no reinforcement, Pre-mix Concrete STABILISED SAND 4:1 (Boral) (ACT), (Canberra) STABILISED SAND 4:1</t>
  </si>
  <si>
    <t>Concrete, Stabil</t>
  </si>
  <si>
    <t>Concrete, Stabilised Sand, in-situ, no reinforcement, Pre-mix Concrete STABILISED SAND 8:1 (Boral) (NSW), (Newcastle) STABILISED SAND 8:1</t>
  </si>
  <si>
    <t>Concrete, Stabilised Sand, in-situ, no reinforcement, Pre-mix Concrete STABILISED SAND 4:1 (Boral) (NSW), (Newcastle) STABILISED SAND 4:1</t>
  </si>
  <si>
    <t>Concrete, ? MPa, in-situ, no reinforcement, Pre-mix Concrete STABILISED SAND 4:1 (Boral) (NSW), (Sydney) STABILISED SAND 4:1</t>
  </si>
  <si>
    <t>Concrete, Stabilised Sand, in-situ, no reinforcement, Pre-mix Concrete STABILISED SAND 8:1 (Boral) (NSW), (Wollongong) STABILISED SAND 8:1</t>
  </si>
  <si>
    <t>Concrete, Stabilised Sand, in-situ, no reinforcement, Pre-mix Concrete STABILISED SAND 4:1 (Boral) (NSW), (Wollongong) STABILISED SAND 4:1</t>
  </si>
  <si>
    <t>Concrete, Stabilised sand MPa, in-situ, no reinforcement, SS1100, Special Class (WA Premix) (WA), (Perth)</t>
  </si>
  <si>
    <t>Concrete, Stabilised sand MPa, in-situ, no reinforcement, SS1150, Special Class (WA Premix) (WA), (Perth)</t>
  </si>
  <si>
    <t>Concrete, Stabilised sand MPa, in-situ, no reinforcement, SS1250, Special Class (WA Premix) (WA), (Perth)</t>
  </si>
  <si>
    <t>Concrete, Stabilised sand MPa, in-situ, no reinforcement, SS1300, Special Class (WA Premix) (WA), (Perth)</t>
  </si>
  <si>
    <t>Concrete, Stabilised sand MPa, in-situ, no reinforcement, SS2065, Special Class (WA Premix) (WA), (Perth)</t>
  </si>
  <si>
    <t>Concrete, Stabilised sand MPa, in-situ, no reinforcement, SS2110, Special Class (WA Premix) (WA), (Perth)</t>
  </si>
  <si>
    <t>Concrete, Stabilised sand MPa, in-situ, no reinforcement, SS2150, Special Class (WA Premix) (WA), (Perth)</t>
  </si>
  <si>
    <t>Concrete, Stabilised sand MPa, in-situ, no reinforcement, SS2250, Special Class (WA Premix) (WA), (Perth)</t>
  </si>
  <si>
    <t>Concrete, Stabilised sand MPa, in-situ, no reinforcement, SS2300, Special Class (WA Premix) (WA), (Perth)</t>
  </si>
  <si>
    <t>Concrete, Sta MPa, NO FINES 6:1 (Concrite) (NSW) (Sydney Region, NSW)</t>
  </si>
  <si>
    <t>Concrete, Sta MPa, Stabilised Sand 14:1 (Concrite) (NSW) (Sydney Region, NSW)</t>
  </si>
  <si>
    <t>Concrete, Sta MPa, Stabilised Sand 4:1 (Concrite) (NSW) (Sydney Region, NSW)</t>
  </si>
  <si>
    <t>Concrete, Sta MPa, Stabilised Sand 8:1 (Concrite) (NSW) (Sydney Region, NSW)</t>
  </si>
  <si>
    <t>Stainless steel</t>
  </si>
  <si>
    <t>Stainless steel (general)</t>
  </si>
  <si>
    <t>Stainless steel, , Stainless steel long and tube products (BE group) (Global)</t>
  </si>
  <si>
    <t>S-P-07999</t>
  </si>
  <si>
    <t>https://api.environdec.com/api/v1/EPDLibrary/Files/f1805f74-54b1-4bb2-1577-08daf357f6d4/Data</t>
  </si>
  <si>
    <t>Stainless steel, , Stainless steel long and tube products (BE group) (Europe)</t>
  </si>
  <si>
    <t>Stainless steel, Flat, Stainless steel - Cold rolled (Acerinox) (Europe)</t>
  </si>
  <si>
    <t>S-P-08506</t>
  </si>
  <si>
    <t>Stainless steel, Flat, Stainless steel - Hot rolled austenitic stainless steel (Acerinox ) (Europe)</t>
  </si>
  <si>
    <t>S-P-08507</t>
  </si>
  <si>
    <t>https://api.environdec.com/api/v1/EPDLibrary/Files/12ce3410-7e85-462e-0d4f-08dbae79b560/Data</t>
  </si>
  <si>
    <t>Stainless steel, Flat, Stainless steel - ferritic stainless steel hot rolling (Acerinox ) (Europe)</t>
  </si>
  <si>
    <t>S-P-08509</t>
  </si>
  <si>
    <t>https://api.environdec.com/api/v1/EPDLibrary/Files/2b6b4da1-86b6-4caa-0d4b-08dbae79b560/Data</t>
  </si>
  <si>
    <t>Stainless steel, , Stainless steel reinforcing bar (Rebarinox) (Europe)</t>
  </si>
  <si>
    <t>S-P-03902</t>
  </si>
  <si>
    <t>Stainless steel, Flat, Stainless steel - Hot rolled (Marcegaglia Specialties S.p.A.) (Europe)</t>
  </si>
  <si>
    <t>S-P-09699</t>
  </si>
  <si>
    <t>Stainless steel, Flat, Stainless steel - Cold rolled (Marcegaglia Specialties S.p.A.) (Europe)</t>
  </si>
  <si>
    <t>Stainless steel, Flat, Cold rolled Stainless Steel  (Outokumpu Oyj) (Global)</t>
  </si>
  <si>
    <t>EPD-IES-0017271</t>
  </si>
  <si>
    <t>https://api.environdec.com/api/v1/EPDLibrary/Files/ef6e6c9f-084b-43fc-86d1-08dcff0eec42/Data</t>
  </si>
  <si>
    <t>Stainless steel, Flat, Hot rolled Stainless Steel Duplex (Outokumpu Oyj) (Global)</t>
  </si>
  <si>
    <t>EPD-IES-0017270</t>
  </si>
  <si>
    <t>Stainless steel, Flat, Stainless steel flat products (BE group) (Europe)</t>
  </si>
  <si>
    <t>S-P-07998</t>
  </si>
  <si>
    <t>https://api.environdec.com/api/v1/EPDLibrary/Files/a52f73dc-e75a-444c-1576-08daf357f6d4/Data</t>
  </si>
  <si>
    <t>Stainless steel, Flat, Cold-rolled Ferritic stainless steel (Acerinox ) (Europe)</t>
  </si>
  <si>
    <t>S-P-08508</t>
  </si>
  <si>
    <t>https://environdec.com/library/epd8507</t>
  </si>
  <si>
    <t>Steel cladding - metallic coated</t>
  </si>
  <si>
    <t>Steel cladding - metallic coat</t>
  </si>
  <si>
    <t>Steel, Steel cladding - metallic coated, ZINCALUME® steel in 1.20mm base material thickness (BMT), incl. rollforming (Bluescope)</t>
  </si>
  <si>
    <t>S-P-08456</t>
  </si>
  <si>
    <t>https://epd-australasia.com/wp-content/uploads/2023/06/SP08456-Bluescope-EPD_Zincalume_May23.pdf</t>
  </si>
  <si>
    <t>Steel, Steel cladding - metallic coated, ZINCALUME® steel in 1.15mm base material thickness (BMT), incl. rollforming (Bluescope)</t>
  </si>
  <si>
    <t>Steel, Steel cladding - metallic coated, ZINCALUME® steel in 1.00mm base material thickness (BMT), incl. rollforming (Bluescope)</t>
  </si>
  <si>
    <t>Steel, Steel cladding - metallic coated, ZINCALUME® steel in 0.95mm base material thickness (BMT), incl. rollforming (Bluescope)</t>
  </si>
  <si>
    <t>Steel, Steel cladding - metallic coated, ZINCALUME® steel in 0.75mm base material thickness (BMT), incl. rollforming (Bluescope)</t>
  </si>
  <si>
    <t>Steel, Steel cladding - metallic coated, ZINCALUME® steel in 0.70mm base material thickness (BMT), incl. rollforming (Bluescope)</t>
  </si>
  <si>
    <t>Steel, Steel cladding - metallic coated, ZINCALUME® steel in 0.60mm base material thickness (BMT), incl. rollforming (Bluescope)</t>
  </si>
  <si>
    <t>Steel, Steel cladding - metallic coated, ZINCALUME® steel in 0.55mm base material thickness (BMT), incl. rollforming (Bluescope)</t>
  </si>
  <si>
    <t>Steel, Steel cladding - metallic coated, ZINCALUME® steel in 0.50mm base material thickness (BMT), incl. rollforming (Bluescope)</t>
  </si>
  <si>
    <t>Steel, Steel cladding - metallic coated, ZINCALUME® steel in 0.48mm base material thickness (BMT), incl. rollforming (Bluescope)</t>
  </si>
  <si>
    <t>Steel, Steel cladding - metallic coated, ZINCALUME® steel in 0.42mm base material thickness (BMT), incl. rollforming (Bluescope)</t>
  </si>
  <si>
    <t>Steel, Steel cladding - metallic coated, ZINCALUME® steel in 0.38mm base material thickness (BMT), incl. rollforming (Bluescope)</t>
  </si>
  <si>
    <t>Steel, Steel cladding - metallic coated, ZINCALUME® steel in 0.40mm base material thickness (BMT), incl. rollforming (Bluescope)</t>
  </si>
  <si>
    <t>Steel, Steel cladding - metallic coated, ZINCALUME® steel in 0.35mm base material thickness (BMT), incl. rollforming (Bluescope)</t>
  </si>
  <si>
    <t>Steel, Steel cladding - metallic coated, ZINCALUME® steel in 0.30mm base material thickness (BMT), incl. rollforming (Bluescope)</t>
  </si>
  <si>
    <t>Steel cladding - metallic coated, , Galvanised steel product (JSW Steel) (Global)</t>
  </si>
  <si>
    <t>S-P-06487</t>
  </si>
  <si>
    <t>https://api.environdec.com/api/v1/EPDLibrary/Files/48a27610-9f09-45b2-8009-08dbb657dbae/Data</t>
  </si>
  <si>
    <t>Steel, Steel cladding - metallic coated, GALVABOND® steel with a zinc coating class of Z100 in 0.37mm base metal thickness (BMT) (Bluescope)</t>
  </si>
  <si>
    <t>S-P-09342</t>
  </si>
  <si>
    <t>https://epd-australasia.com/wp-content/uploads/2023/08/SP09342-Bluescope-EPD-GALVABOND_Jul23.pdf</t>
  </si>
  <si>
    <t>Steel, Steel cladding - metallic coated, GALVABOND® steel with a zinc coating class of Z100 in 0.40mm base metal thickness (BMT) (Bluescope)</t>
  </si>
  <si>
    <t>Steel, Steel cladding - metallic coated, GALVABOND® steel with a zinc coating class of Z275 in 0.40mm base metal thickness (BMT) (Bluescope)</t>
  </si>
  <si>
    <t>Steel, Steel cladding - metallic coated, GALVABOND® steel with a zinc coating class of Z100 in 0.45mm base metal thickness (BMT) (Bluescope)</t>
  </si>
  <si>
    <t>Steel, Steel cladding - metallic coated, GALVABOND® steel with a zinc coating class of Z100 in 0.50mm base metal thickness (BMT) (Bluescope)</t>
  </si>
  <si>
    <t>Steel, Steel cladding - metallic coated, GALVABOND® steel with a zinc coating class of Z200 in 0.40mm base metal thickness (BMT) (Bluescope)</t>
  </si>
  <si>
    <t>Steel, Steel cladding - metallic coated, GALVABOND® steel with a zinc coating class of Z275 in 0.50mm base metal thickness (BMT) (Bluescope)</t>
  </si>
  <si>
    <t>Steel, Steel cladding - metallic coated, GALVABOND® steel with a zinc coating class of Z100 in 0.55mm base metal thickness (BMT) (Bluescope)</t>
  </si>
  <si>
    <t>Steel, Steel cladding - metallic coated, GALVABOND® steel with a zinc coating class of Z275 in 0.55mm base metal thickness (BMT) (Bluescope)</t>
  </si>
  <si>
    <t>Steel, Steel cladding - metallic coated, GALVABOND® steel with a zinc coating class of Z275 in 0.60mm base metal thickness (BMT) (Bluescope)</t>
  </si>
  <si>
    <t>Steel, Steel cladding - metallic coated, GALVABOND® steel with a zinc coating class of Z200 in 0.50mm base metal thickness (BMT) (Bluescope)</t>
  </si>
  <si>
    <t>Steel, Steel cladding - metallic coated, GALVABOND® steel with a zinc coating class of Z200 in 0.55mm base metal thickness (BMT) (Bluescope)</t>
  </si>
  <si>
    <t>Steel, Steel cladding - metallic coated, GALVABOND® steel with a zinc coating class of Z100 in 0.70mm base metal thickness (BMT) (Bluescope)</t>
  </si>
  <si>
    <t>Steel, Steel cladding - metallic coated, GALVABOND® steel with a zinc coating class of Z275 in 0.70mm base metal thickness (BMT) (Bluescope)</t>
  </si>
  <si>
    <t>Steel, Steel cladding - metallic coated, GALVABOND® steel with a zinc coating class of Z100 in 0.75mm base metal thickness (BMT) (Bluescope)</t>
  </si>
  <si>
    <t>Steel, Steel cladding - metallic coated, GALVABOND® steel with a zinc coating class of Z275 in 0.75mm base metal thickness (BMT) (Bluescope)</t>
  </si>
  <si>
    <t>Steel, Steel cladding - metallic coated, ZINCALUME® steel in 0.30mm base material thickness (BMT) (Bluescope)</t>
  </si>
  <si>
    <t>Steel, Steel cladding - metallic coated, GALVABOND® steel with a zinc coating class of Z275 in 0.80mm base metal thickness (BMT) (Bluescope)</t>
  </si>
  <si>
    <t>Steel, Steel cladding - metallic coated, GALVABOND® steel with a zinc coating class of Z275 in 0.85mm base metal thickness (BMT) (Bluescope)</t>
  </si>
  <si>
    <t>Steel, Steel cladding - metallic coated, ZINCALUME® steel in 0.35mm base material thickness (BMT) (Bluescope)</t>
  </si>
  <si>
    <t>Steel, Steel cladding - metallic coated, GALVABOND® steel with a zinc coating class of Z275 in 0.90mm base metal thickness (BMT) (Bluescope)</t>
  </si>
  <si>
    <t>Steel, Steel cladding - metallic coated, GALVABOND® steel with a zinc coating class of Z275 in 0.95mm base metal thickness (BMT) (Bluescope)</t>
  </si>
  <si>
    <t>Steel, Steel cladding - metallic coated, ZINCALUME® steel in 0.38mm base material thickness (BMT) (Bluescope)</t>
  </si>
  <si>
    <t>Steel, Steel cladding - metallic coated, GALVABOND® steel with a zinc coating class of Z100 in 1.00mm base metal thickness (BMT) (Bluescope)</t>
  </si>
  <si>
    <t>Steel, Steel cladding - metallic coated, GALVABOND® steel with a zinc coating class of Z275 in 1.00mm base metal thickness (BMT) (Bluescope)</t>
  </si>
  <si>
    <t>Steel, Steel cladding - metallic coated, ZINCALUME® steel in 0.40mm base material thickness (BMT) (Bluescope)</t>
  </si>
  <si>
    <t>Steel, Steel cladding - metallic coated, ZINCALUME® steel in 0.42mm base material thickness (BMT) (Bluescope)</t>
  </si>
  <si>
    <t>Steel, Steel cladding - metallic coated, GALVABOND® steel with a zinc coating class of Z275 in 1.10mm base metal thickness (BMT) (Bluescope)</t>
  </si>
  <si>
    <t>Steel, Steel cladding - metallic coated, GALVABOND® steel with a zinc coating class of Z275 in 1.15mm base metal thickness (BMT) (Bluescope)</t>
  </si>
  <si>
    <t>Steel, Steel cladding - metallic coated, ZINCALUME® steel in 0.48mm base material thickness (BMT) (Bluescope)</t>
  </si>
  <si>
    <t>Steel, Steel cladding - metallic coated, GALVABOND® steel with a zinc coating class of Z275 in 1.20mm base metal thickness (BMT) (Bluescope)</t>
  </si>
  <si>
    <t>Steel, Steel cladding - metallic coated, ZINCALUME® steel in 0.50mm base material thickness (BMT) (Bluescope)</t>
  </si>
  <si>
    <t>Steel, Steel cladding - metallic coated, ZINCALUME® steel in 0.55mm base material thickness (BMT) (Bluescope)</t>
  </si>
  <si>
    <t>Steel, Steel cladding - metallic coated, ZINCALUME® steel in 0.60mm base material thickness (BMT) (Bluescope)</t>
  </si>
  <si>
    <t>Steel, Steel cladding - metallic coated, GALVABOND® steel with a zinc coating class of Z275 in 1.50mm base metal thickness (BMT) (Bluescope)</t>
  </si>
  <si>
    <t>Steel, Steel cladding - metallic coated, GALVABOND® steel with a zinc coating class of Z275 in 1.55mm base metal thickness (BMT) (Bluescope)</t>
  </si>
  <si>
    <t>Steel, Steel cladding - metallic coated, GALVABOND® steel with a zinc coating class of Z275 in 1.60mm base metal thickness (BMT) (Bluescope)</t>
  </si>
  <si>
    <t>Steel, Steel cladding - metallic coated, GALVABOND® steel with a zinc coating class of Z200 in 1.40mm base metal thickness (BMT) (Bluescope)</t>
  </si>
  <si>
    <t>Steel, Steel cladding - metallic coated, GALVABOND® steel with a zinc coating class of Z275 in 1.90mm base metal thickness (BMT) (Bluescope)</t>
  </si>
  <si>
    <t>Steel, Steel cladding - metallic coated, GALVABOND® steel with a zinc coating class of Z275 in 1.95mm base metal thickness (BMT) (Bluescope)</t>
  </si>
  <si>
    <t>Steel, Steel cladding - metallic coated, GALVABOND® steel with a zinc coating class of Z275 in 2.40mm base metal thickness (BMT) (Bluescope)</t>
  </si>
  <si>
    <t>Steel, Steel cladding - metallic coated, GALVABOND® steel with a zinc coating class of Z275 in 2.90mm base metal thickness (BMT) (Bluescope)</t>
  </si>
  <si>
    <t>Steel, Steel cladding - metallic coated, ZINCALUME® steel in 0.70mm base material thickness (BMT) (Bluescope)</t>
  </si>
  <si>
    <t>Steel, Steel cladding - metallic coated, ZINCALUME® steel in 0.75mm base material thickness (BMT) (Bluescope)</t>
  </si>
  <si>
    <t>Steel, Steel cladding - metallic coated, ZINCALUME® steel in 0.95mm base material thickness (BMT) (Bluescope)</t>
  </si>
  <si>
    <t>Steel, Steel cladding - metallic coated, ZINCALUME® steel in 1.00mm base material thickness (BMT) (Bluescope)</t>
  </si>
  <si>
    <t>Steel, Steel cladding - metallic coated, ZINCALUME® steel in 1.15mm base material thickness (BMT) (Bluescope)</t>
  </si>
  <si>
    <t>Steel, Steel cladding - metallic coated, ZINCALUME® steel in 1.20mm base material thickness (BMT) (Bluescope)</t>
  </si>
  <si>
    <t>Steel cladding - metallic coated, , Magnaflow 0.42mm - flat (Colorcote) (New Zealand)</t>
  </si>
  <si>
    <t>EPD-IES-0015774:001</t>
  </si>
  <si>
    <t>https://epd-australasia.com/wp-content/uploads/2024/09/EPD-IES-0015774-001_PCC_MagnaFlow_042_AU-v1.0.pdf</t>
  </si>
  <si>
    <t>Steel cladding - metallic coated, , Magnaflow 0.48mm - flat (Colorcote) (New Zealand)</t>
  </si>
  <si>
    <t>EPD-IES-0015775:001</t>
  </si>
  <si>
    <t>https://epd-australasia.com/wp-content/uploads/2024/09/EPD-IES-0015775-001_PCC_MagnaFlow_048_AU-v1.0.pdf</t>
  </si>
  <si>
    <t>Steel cladding - painted, , Zinacore 0.42mm - flat (Colorcote) (New Zealand)</t>
  </si>
  <si>
    <t>EPD-IES-0015772:001</t>
  </si>
  <si>
    <t>https://epd-australasia.com/wp-content/uploads/2024/09/EPD-IES-0015772-001_PCC_ZinaCore_0.42_AU-v1.0.pdf</t>
  </si>
  <si>
    <t>Steel cladding - painted, , Zinacore 0.48mm - flat (Colorcote) (New Zealand)</t>
  </si>
  <si>
    <t>EPD-IES-0015773:001</t>
  </si>
  <si>
    <t>https://epd-australasia.com/wp-content/uploads/2024/09/EPD-IES-0015773-001_PCC_ZinaCore_0.48_AU-v1.0.pdf</t>
  </si>
  <si>
    <t>Steel cladding/roofing, , ZinaCore™/ZinaCore PLUS™ 0.48mm (AU) (Fletcher Steel Ltd.) (Australia)</t>
  </si>
  <si>
    <t>https://epd-australasia.com/?s=0015773:001&amp;post_type=epd</t>
  </si>
  <si>
    <t>Steel cladding/roofing, , ZinaCore™/ZinaCore PLUS™ 0.42mm (AU) (Fletcher Steel Ltd.) (Australia)</t>
  </si>
  <si>
    <t>https://epd-australasia.com/?s=0015772:001&amp;post_type=epd</t>
  </si>
  <si>
    <t>Steel cladding/roofing, , MagnaFlow™/MagnaFlow PLUS™ 0.48mm (AU) (Fletcher Steel Ltd.) (Australia)</t>
  </si>
  <si>
    <t>https://epd-australasia.com/?s=0015775:001&amp;post_type=epd</t>
  </si>
  <si>
    <t>Steel cladding/roofing, , MagnaFlow™/MagnaFlow PLUS™ 0.42mm (AU) (Fletcher Steel Ltd.) (Australia)</t>
  </si>
  <si>
    <t>https://epd-australasia.com/?s=0015774:001&amp;post_type=epd</t>
  </si>
  <si>
    <t>Steel cladding - painted</t>
  </si>
  <si>
    <t>Steel, Steel cladding - painted, COLORBOND® steel in 1.00mm base metal thickness (BMT), incl. rollforming (Bluescope)</t>
  </si>
  <si>
    <t>S-P-00999</t>
  </si>
  <si>
    <t>https://epd-australasia.com/wp-content/uploads/2018/04/SP00999-Bluescope-EPD-Colorbond_EPD_v2_Mar23.pdf</t>
  </si>
  <si>
    <t>Steel, Roofing, COLORBOND® Coolmax® steel in 0.55mm base material thickness (BMT), incl. rollforming (Bluescope)</t>
  </si>
  <si>
    <t>S-P-05199</t>
  </si>
  <si>
    <t>https://epd-australasia.com/wp-content/uploads/2023/03/SP05199-Bluescope-EPD-Colorbond_Coolmax_Mar23.pdf</t>
  </si>
  <si>
    <t>Steel, Steel cladding - painted, COLORBOND® steel in 0.75mm base metal thickness (BMT), incl. rollforming (Bluescope)</t>
  </si>
  <si>
    <t>Steel, Steel cladding - painted, COLORBOND® steel in 0.70mm base metal thickness (BMT), incl. rollforming (Bluescope)</t>
  </si>
  <si>
    <t>Steel, Roofing, COLORBOND® Coolmax® steel in 0.48mm base material thickness (BMT), incl. rollforming (Bluescope)</t>
  </si>
  <si>
    <t>Steel, Steel cladding - painted, COLORBOND® steel in 0.60mm base metal thickness (BMT), incl. rollforming (Bluescope)</t>
  </si>
  <si>
    <t>Steel, Roofing, COLORBOND® Coolmax® steel in 0.42mm base material thickness (BMT), incl. rollforming (Bluescope)</t>
  </si>
  <si>
    <t>Steel, Steel cladding - painted, COLORBOND® steel in 0.55mm base metal thickness (BMT), incl. rollforming (Bluescope)</t>
  </si>
  <si>
    <t>Steel, Steel cladding - painted, COLORBOND® steel in 0.48mm base metal thickness (BMT), incl. rollforming (Bluescope)</t>
  </si>
  <si>
    <t>Steel, Steel cladding - painted, COLORBOND® steel in 0.45mm base metal thickness (BMT), incl. rollforming (Bluescope)</t>
  </si>
  <si>
    <t>Steel, Steel cladding - painted, COLORBOND® steel in 0.42mm base metal thickness (BMT), incl. rollforming (Bluescope)</t>
  </si>
  <si>
    <t>Steel, Steel cladding - painted, COLORBOND® steel in 0.40mm base metal thickness (BMT), incl. rollforming (Bluescope)</t>
  </si>
  <si>
    <t>Steel, Steel cladding - painted, COLORBOND® steel in 0.35mm base metal thickness (BMT), incl. rollforming (Bluescope)</t>
  </si>
  <si>
    <t>Steel, Steel cladding - painted, COLORBOND® steel in 0.30mm base metal thickness (BMT), incl. rollforming (Bluescope)</t>
  </si>
  <si>
    <t>Steel, Roofing, COLORBOND® Coolmax® steel in 0.42mm base material thickness (BMT) (Bluescope)</t>
  </si>
  <si>
    <t>Steel, Steel cladding - painted, COLORBOND® steel Metallic in 0.42mm base metal thickness (BMT) (Bluescope)</t>
  </si>
  <si>
    <t>S-P-09343</t>
  </si>
  <si>
    <t>https://epd-australasia.com/wp-content/uploads/2023/08/SP09343-Bluescope-EPD-COLORBOND-Metallic_Jul23.pdf</t>
  </si>
  <si>
    <t>Steel, Roofing, COLORBOND® Coolmax® steel in 0.48mm base material thickness (BMT) (Bluescope)</t>
  </si>
  <si>
    <t>Steel, Steel cladding - painted, COLORBOND® steel Metallic in 0.48mm base metal thickness (BMT) (Bluescope)</t>
  </si>
  <si>
    <t>Steel, Steel cladding - painted, COLORBOND® steel in 0.30mm base metal thickness (BMT) (Bluescope)</t>
  </si>
  <si>
    <t>Steel, Roofing, COLORBOND® Coolmax® steel in 0.55mm base material thickness (BMT) (Bluescope)</t>
  </si>
  <si>
    <t>Steel, Steel cladding - painted, COLORBOND® steel Metallic in 0.55mm base metal thickness (BMT) (Bluescope)</t>
  </si>
  <si>
    <t>Steel, Steel cladding - painted, COLORBOND® steel in 0.35mm base metal thickness (BMT) (Bluescope)</t>
  </si>
  <si>
    <t>Steel, Steel cladding - painted, COLORBOND® steel Metallic in 0.60mm base metal thickness (BMT) (Bluescope)</t>
  </si>
  <si>
    <t>Steel, Steel cladding - painted, COLORBOND® steel in 0.40mm base metal thickness (BMT) (Bluescope)</t>
  </si>
  <si>
    <t>Steel, Steel cladding - painted, COLORBOND® steel in 0.42mm base metal thickness (BMT) (Bluescope)</t>
  </si>
  <si>
    <t>Steel, Steel cladding - painted, COLORBOND® steel Metallic in 0.70mm base metal thickness (BMT) (Bluescope)</t>
  </si>
  <si>
    <t>Steel, Steel cladding - painted, COLORBOND® steel in 0.45mm base metal thickness (BMT) (Bluescope)</t>
  </si>
  <si>
    <t>Steel, Steel cladding - painted, COLORBOND® steel in 0.48mm base metal thickness (BMT) (Bluescope)</t>
  </si>
  <si>
    <t>Steel, Steel cladding - painted, COLORBOND® steel Metallic in 0.75mm base metal thickness (BMT) (Bluescope)</t>
  </si>
  <si>
    <t>Steel, Steel cladding - painted, COLORBOND® steel in 0.55mm base metal thickness (BMT) (Bluescope)</t>
  </si>
  <si>
    <t>Steel, Steel cladding - painted, COLORBOND® Ultra steel in 0.42mm base metal thickness (BMT) (Bluescope)</t>
  </si>
  <si>
    <t>S-P-09344</t>
  </si>
  <si>
    <t>https://epd-australasia.com/wp-content/uploads/2023/08/SP09344-Bluescope-EPD-COLORBOND-Ultra_Jul23.pdf</t>
  </si>
  <si>
    <t>Steel, Steel cladding - painted, COLORBOND® steel in 0.60mm base metal thickness (BMT) (Bluescope)</t>
  </si>
  <si>
    <t>Steel, Steel cladding - painted, COLORBOND® Ultra steel in 0.48mm base metal thickness (BMT) (Bluescope)</t>
  </si>
  <si>
    <t>Steel, Steel cladding - painted, COLORBOND® steel in 0.70mm base metal thickness (BMT) (Bluescope)</t>
  </si>
  <si>
    <t>Steel, Steel cladding - painted, COLORBOND® Ultra steel in 0.55mm base metal thickness (BMT) (Bluescope)</t>
  </si>
  <si>
    <t>Steel, Steel cladding - painted, COLORBOND® steel in 0.75mm base metal thickness (BMT) (Bluescope)</t>
  </si>
  <si>
    <t>Steel, Steel cladding - painted, COLORBOND® Ultra steel in 0.60mm base metal thickness (BMT) (Bluescope)</t>
  </si>
  <si>
    <t>Steel, Steel cladding - painted, COLORBOND® Ultra steel in 0.70mm base metal thickness (BMT) (Bluescope)</t>
  </si>
  <si>
    <t>Steel, Steel cladding - painted, COLORBOND® Ultra steel in 0.75mm base metal thickness (BMT) (Bluescope)</t>
  </si>
  <si>
    <t>Steel, Steel cladding - painted, COLORBOND® steel in 1.00mm base metal thickness (BMT) (Bluescope)</t>
  </si>
  <si>
    <t>steel cladding - painted</t>
  </si>
  <si>
    <t>steel cladding - painted, , Pre-painted galvanised steel (JSW Steel) (Global)</t>
  </si>
  <si>
    <t>S-P-06489</t>
  </si>
  <si>
    <t>https://api.environdec.com/api/v1/EPDLibrary/Files/7c9c1b88-478c-4c6f-8015-08dbb657dbae/Data</t>
  </si>
  <si>
    <t>steel cladding - painted, , Pre-painted galvalume steel product (JSW Steel) (Global)</t>
  </si>
  <si>
    <t>S-P-06490</t>
  </si>
  <si>
    <t>https://api.environdec.com/api/v1/EPDLibrary/Files/b76fa4b3-9346-41a1-801b-08dbb657dbae/Data</t>
  </si>
  <si>
    <t>Steel</t>
  </si>
  <si>
    <t>Steel, Reinforcing</t>
  </si>
  <si>
    <t>Steel, Reinforcing bar, Steel reinforcement, recycled, bar (ARC), Australia</t>
  </si>
  <si>
    <t>S-P-00858</t>
  </si>
  <si>
    <t>https://epd-australasia.com/wp-content/uploads/2018/04/SP-00858_ARC-Reinforcing-Bar-Mesh-EPD_2022.pdf</t>
  </si>
  <si>
    <t>Steel, Reinforcing mesh, Steel reinforcement, recycled, mesh (ARC)  , Australia</t>
  </si>
  <si>
    <t>S-P-00859</t>
  </si>
  <si>
    <t>Steel, Reinforcing bar, Steel, Reinforcing bar, 10 mm to 50 mm,  (InfraBuild, Australia), Australia</t>
  </si>
  <si>
    <t>S-P-00857</t>
  </si>
  <si>
    <t>https://epd-australasia.com/wp-content/uploads/2018/04/SP-00857_Reinforcing-Bar-and-Mesh-EPD-InfraBuild-Reinforcing_2022.pdf</t>
  </si>
  <si>
    <t>Steel, Reinforcing bar, Steel, reinforcing component of (piles, ground beams, pad footings, columns, beams, arches and lattice girders), (InfraBuild, Australia), Australia</t>
  </si>
  <si>
    <t>Steel, Reinforcing mesh, Steel, Reinforcing carpets (BAMTEC®) (InfraBuild, Australia), Australia</t>
  </si>
  <si>
    <t>Steel, Reinforcing mesh, Steel, Reinforcing Mesh - SL53 to SL81, RL718 to RL1218 (mm) (InfraBuild, Australia), Australia</t>
  </si>
  <si>
    <t>S-P-00860</t>
  </si>
  <si>
    <t>Steel, Reinforcing Prefabricated cages , Steel, Prefabricated cages,  (Ausreo), Australia</t>
  </si>
  <si>
    <t>S-P-08459</t>
  </si>
  <si>
    <t>https://epd-australasia.com/wp-content/uploads/2023/06/SP08459-AUSREO-EPD-Reinforcing-Bar-Prefabricated-Steel-Reinforcement-Cages-260623.pdf</t>
  </si>
  <si>
    <t>Steel, Reinforcing bar, Steel, Bars,  (Ausreo), Australia</t>
  </si>
  <si>
    <t>Steel, reinforcing, Steel reinforcing bar/coil (NatSteel) (Global)</t>
  </si>
  <si>
    <t>Bre-000379</t>
  </si>
  <si>
    <t>https://www.greenbooklive.com/filelibrary/EN_15804/EPD/BREGENEPD000379.pdf</t>
  </si>
  <si>
    <t>Steel, Reinforcing, Carbon steel reinforcing bar (sector average) - maximum (Carbon steel reinforcing bar) (Global)</t>
  </si>
  <si>
    <t>Bre-000125</t>
  </si>
  <si>
    <t>https://www.greenbooklive.com/filelibrary/EN_15804/EPD/BREGENEPD000125.pdf</t>
  </si>
  <si>
    <t>Steel, Reinforcing, Carbon steel reinforcing bar (sector average) - minimum (Carbon steel reinforcing bar) (Global)</t>
  </si>
  <si>
    <t>Steel, Reinforcing wire, Prestressed Concrete Steel Wire Strand (Siam Industrial Wire Co. Ltd) (Global)</t>
  </si>
  <si>
    <t>S-P-05640</t>
  </si>
  <si>
    <t>https://api.environdec.com/api/v1/EPDLibrary/Files/a3e7ac80-e486-43af-4892-08db1f315c5e/Data</t>
  </si>
  <si>
    <t>Steel, Reinforcing, Average reinforcement steel bars (Jindal) (India, Global)</t>
  </si>
  <si>
    <t>India, Global</t>
  </si>
  <si>
    <t>S-P-09805</t>
  </si>
  <si>
    <t>Steel, Reinforcing, Steel Rebar (Raajratna) (India, Global)</t>
  </si>
  <si>
    <t>S-P-09225</t>
  </si>
  <si>
    <t>https://api.environdec.com/api/v1/EPDLibrary/Files/da89e40d-b6a1-4fd3-9abd-08db7e35bd3c/Data</t>
  </si>
  <si>
    <t>Steel, Reinforcing strand, PC Strand (Galcore) (Global)</t>
  </si>
  <si>
    <t>S-P-11535</t>
  </si>
  <si>
    <t>https://api.environdec.com/api/v1/EPDLibrary/Files/34263db7-19ae-4bf1-561c-08dbdfa90a02/Data</t>
  </si>
  <si>
    <t>Steel, Reinforcing strand, Multi-strand post-tensioning system anchorage Type GC (VSL International Ltd.) (Global)</t>
  </si>
  <si>
    <t>S-P-11599</t>
  </si>
  <si>
    <t>https://api.environdec.com/api/v1/EPDLibrary/Files/95f88ffa-808a-4b86-dd8d-08dbf085b35e/Data</t>
  </si>
  <si>
    <t>Steel, Reinforcing, Reinforcing steel in bars and coils (Sidenor) (Greece, Global)</t>
  </si>
  <si>
    <t>Greece, Global</t>
  </si>
  <si>
    <t>S-P-09422</t>
  </si>
  <si>
    <t>https://api.environdec.com/api/v1/EPDLibrary/Files/9e61bba0-ad55-426b-8d68-08db7203e99c/Data</t>
  </si>
  <si>
    <t>Steel, reinforcing, , Steel reinforcement products for concrete (Denmark) (Celsa Steel Service A/S) (Global)</t>
  </si>
  <si>
    <t>22/09/2021</t>
  </si>
  <si>
    <t>29/09/2029</t>
  </si>
  <si>
    <t>S-P-00308</t>
  </si>
  <si>
    <t>https://api.environdec.com/api/v1/EPDLibrary/Files/b8f8bd47-8c39-480b-3a09-08d98fadb225/Data</t>
  </si>
  <si>
    <t>Steel, reinforcing, , Carbon steel reinforcing bar (secondary production route - scrap) (Conares Steel) (Global)</t>
  </si>
  <si>
    <t>23/02/2021</t>
  </si>
  <si>
    <t>22/02/2024</t>
  </si>
  <si>
    <t>BREG EN EPD No.: 000180; ECO EPD Ref. No. 000612</t>
  </si>
  <si>
    <t>Issue 03</t>
  </si>
  <si>
    <t>BRE</t>
  </si>
  <si>
    <t>https://www.greenbooklive.com/pdfdocs/en15804epd/BREGENEPD000180.pdf</t>
  </si>
  <si>
    <t>Steel, reinforcing, , Carbon steel reinforcing bar (secondary production route - scrap) (Kaptan Group) (Global)</t>
  </si>
  <si>
    <t>BREG EN EPD No.: 000276</t>
  </si>
  <si>
    <t>Issue 05</t>
  </si>
  <si>
    <t>https://www.greenbooklive.com/pdfdocs/en15804epd/BREGENEPD000276.pdf</t>
  </si>
  <si>
    <t>Steel, reinforcing, , HOT ROLLED STEEL REINFORCING STEEL IN BARS AND COILS (Pittini Group) (Global)</t>
  </si>
  <si>
    <t>21/12/2021</t>
  </si>
  <si>
    <t>21/12/2025</t>
  </si>
  <si>
    <t>EPDITALY0090</t>
  </si>
  <si>
    <t>EPD Italy</t>
  </si>
  <si>
    <t>https://www.epditaly.it/en/epd-search/?wpv_aux_current_post_id=100003219&amp;wpv_aux_parent_post_id=100003219&amp;wpv_view_count=100003216&amp;wpv-tipologia-epd=steel-products</t>
  </si>
  <si>
    <t>Steel, reinforcing, , Reinforcing steel in Bars (Rebars) (ArcelorMittal Europe) (Global)</t>
  </si>
  <si>
    <t>13/04/2022</t>
  </si>
  <si>
    <t>EPD-ARM-20210338-CBB1-EN</t>
  </si>
  <si>
    <t>https://constructalia.arcelormittal.com/files/Reinforcing%20steel%20-%20standard%20rebars%20-%20ArcelorMittal%20Europe%20Long%20Products--83f444c1ed444acc27f71d4c1d4e4b3e.pdf</t>
  </si>
  <si>
    <t>Steel, reinforcing, , Dramix® Steel fibres for Concrete Reinforcement Bekaert (Bekaert) (Global)</t>
  </si>
  <si>
    <t>No. 215/2021</t>
  </si>
  <si>
    <t>ITB</t>
  </si>
  <si>
    <t>https://www.bekaert.com/content/dam/corporate/en/product-catalog/pdfs/downloads/Dramix-Petrovice-EPD.pdf</t>
  </si>
  <si>
    <t>Steel, reinforcing, , Dramix® Steel fibers for Concrete Reinforcement Karawang (Karawang) (Global)</t>
  </si>
  <si>
    <t>No. 311/2022</t>
  </si>
  <si>
    <t>https://bosfa.com/wp-content/uploads/2022/08/EPD_Dramix_Karawang.pdf</t>
  </si>
  <si>
    <t>Steel, reinforcing, , 1 tonne steel reinforcing bar/coil (NatSteel Holdings Pty Ltd) (Global)</t>
  </si>
  <si>
    <t>24/10/2026</t>
  </si>
  <si>
    <t>BREG EN EPD No.: 000379</t>
  </si>
  <si>
    <t>Issue 02</t>
  </si>
  <si>
    <t>Steel, reinforcing, , High tensile prestressing steel wire and strand for the prestressing of concrete (Primary production route - Iron ore) (Silvery Dragon Prestressed Materials Co., Ltd) (Global)</t>
  </si>
  <si>
    <t>BREG EN EPD No.: 000582</t>
  </si>
  <si>
    <t>https://carescertification.com/files/approvals/2451/sustainability/BREG%20EN%20EPD%20No.%20000582.pdf</t>
  </si>
  <si>
    <t>Steel, reinforcing, , Carbon Steel Reinforcing Bar (secondary production route - scrap) (TATA Steel Manufacturing (Thailand)) (Global)</t>
  </si>
  <si>
    <t>13/06/2024</t>
  </si>
  <si>
    <t>BREG EN EPD No.: 000603</t>
  </si>
  <si>
    <t>https://carescertification.com/files/approvals/2484/sustainability/BREG%20EN%20EPD%20No.%20000603.pdf</t>
  </si>
  <si>
    <t>Steel, reinforcing, , Rebar (Wei Chih Steel) (Global, Taiwan)</t>
  </si>
  <si>
    <t>Global, Taiwan</t>
  </si>
  <si>
    <t>4790852701.102.1</t>
  </si>
  <si>
    <t>https://spot.ul.com/main-app/products/detail/660bad4bca180494b02e8c57?page_type=Products%20Catalog</t>
  </si>
  <si>
    <t>Steel, reinforcing, , Steel Bars and Coil for Concrete Reinforced (Tung Ho Steel Enterprise Group) (Global)</t>
  </si>
  <si>
    <t>21/01/2022</t>
  </si>
  <si>
    <t>21/01/2027</t>
  </si>
  <si>
    <t>4789960100.101.1</t>
  </si>
  <si>
    <t>https://spot.ul.com/main-app/products/detail/61ef67d21e59b99ccb7065e3?page_type=Products%20Catalog</t>
  </si>
  <si>
    <t>Steel, reinforcing, , Carbon steel reinforcing bar (secondary production route - scrap) (SN Seixal - Siderurgica Nacional S.A) (Global)</t>
  </si>
  <si>
    <t>BREG EN EPD No: 000141</t>
  </si>
  <si>
    <t>Issue 08</t>
  </si>
  <si>
    <t>https://carescertification.com/files/approvals/2273/sustainability/BREG%20EN%20EPD%20No.%20000141.pdf</t>
  </si>
  <si>
    <t>Steel, reinforcing, , Carbon steel reinforcing bar (secondary production route - scrap) (Kroman Celik Sanayii A.S) (Global)</t>
  </si>
  <si>
    <t>21/04/2023</t>
  </si>
  <si>
    <t>20/04/2026</t>
  </si>
  <si>
    <t>BREG EN EPD No: 000136</t>
  </si>
  <si>
    <t>Issue 06</t>
  </si>
  <si>
    <t>https://carescertification.com/files/approvals/2269/sustainability/BREG%20EN%20EPD%20No.%20000136.pdf</t>
  </si>
  <si>
    <t>Steel, reinforcing, , Carbon steel reinforcing bar (secondary production route - scrap) (Diler Demir Celik Endustri ve Ticaret A.S) (Global)</t>
  </si>
  <si>
    <t>BREG EN EPD No: 000129</t>
  </si>
  <si>
    <t>Issue 07</t>
  </si>
  <si>
    <t>https://carescertification.com/files/approvals/2259/sustainability/BREG%20EN%20EPD%20No.%20000129.pdf</t>
  </si>
  <si>
    <t>Steel, reinforcing, , Carbon steel reinforcing bar (ArcelorMittal Kryvyi Rih) (Global)</t>
  </si>
  <si>
    <t>14/02/2022</t>
  </si>
  <si>
    <t>13/02/2025</t>
  </si>
  <si>
    <t>BREG EN EPD No: 000198</t>
  </si>
  <si>
    <t>https://carescertification.com/files/approvals/2280/sustainability/BREG%20EN%20EPD%20No.%20000198.pdf</t>
  </si>
  <si>
    <t>Steel, reinforcing, , Carbon steel reinforcing bar (Direct Reduced Iron production route) (Qatar Steel Company (QPSC)) (Global)</t>
  </si>
  <si>
    <t>BREG EN EPD No: 000139</t>
  </si>
  <si>
    <t>Issue 04</t>
  </si>
  <si>
    <t>https://carescertification.com/files/approvals/2270/sustainability/BREG%20EN%20EPD%20No.%20000139.pdf</t>
  </si>
  <si>
    <t>Steel, reinforcing, , Carbon steel reinforcing bar (secondary production route - scrap) (Ekinciler Demir ve Celik San. A.S) (Global)</t>
  </si>
  <si>
    <t>BREG EN EPD No: 000130</t>
  </si>
  <si>
    <t>https://carescertification.com/files/approvals/2261/sustainability/BREG%20EN%20EPD%20No.%20000130.pdf</t>
  </si>
  <si>
    <t>Steel, reinforcing, , Coil rebar (Dongkuk Steel) (Global)</t>
  </si>
  <si>
    <t>S-P-11679</t>
  </si>
  <si>
    <t>EPD South Korea</t>
  </si>
  <si>
    <t>https://api.environdec.com/api/v1/EPDLibrary/Files/c37593dd-b8ed-438d-25b7-08dc176fe0d5/Data</t>
  </si>
  <si>
    <t>Steel, reinforcing, , Carbon steel reinforcing bar (secondary production route - scrap) (ICDAS Celik Enerji Tersane ve Ulasim Sanayi A.S.) (Global)</t>
  </si>
  <si>
    <t>BREG EN EPD No: 000134</t>
  </si>
  <si>
    <t>https://carescertification.com/files/approvals/2263/sustainability/BREG%20EN%20EPD%20No.%20000134.pdf</t>
  </si>
  <si>
    <t>Steel, reinforcing, , Carbon steel reinforcing bar (Direct Reduced Iron production route) (Jindal Shadeed Iron and Steel LLC) (Global)</t>
  </si>
  <si>
    <t>31/03/2022</t>
  </si>
  <si>
    <t>30/03/2025</t>
  </si>
  <si>
    <t>BREG EN EPD No: 000230</t>
  </si>
  <si>
    <t>https://carescertification.com/files/approvals/2284/sustainability/BREG%20EN%20EPD%20No.%20000230.pdf</t>
  </si>
  <si>
    <t>Steel, reinforcing, , Carbon steel reinforcing bar (secondary production route - scrap) (Conares Metal Supply Ltd) (Global)</t>
  </si>
  <si>
    <t>BREG EN EPD No: 000583</t>
  </si>
  <si>
    <t>Issue 01</t>
  </si>
  <si>
    <t>https://carescertification.com/files/approvals/2278/sustainability/BREG%20EN%20EPD%20No.%20000583.pdf</t>
  </si>
  <si>
    <t>Steel, reinforcing, , Carbon steel reinforcing bar (secondary production route - scrap) (HABAS A.S.) (Global)</t>
  </si>
  <si>
    <t>BREG EN EPD No: 000133</t>
  </si>
  <si>
    <t>https://carescertification.com/files/approvals/2486/sustainability/BREG%20EN%20EPD%20No.%20000133.pdf</t>
  </si>
  <si>
    <t>Steel, reinforcing, , TMT Rebar (100% Recycled Scrap) (Jindal Steel &amp; Power) (Global)</t>
  </si>
  <si>
    <t>17/12/2024</t>
  </si>
  <si>
    <t>16/12/2029</t>
  </si>
  <si>
    <t>EPD-IES-0008168</t>
  </si>
  <si>
    <t>https://api.environdec.com/api/v1/EPDLibrary/Files/48dadefe-468c-49e1-504a-08dd1e988e32/Data</t>
  </si>
  <si>
    <t>Steel, reinforcing, , Carbon Steel reinforcing bars from the primary production route (Iron Ore/Blast Furnace) and the secondary production (Shiu Wing Steel Ltd) (Global)</t>
  </si>
  <si>
    <t>BREG EN EPD No: 000641</t>
  </si>
  <si>
    <t>https://carescertification.com/files/approvals/2610/sustainability/BREG%20EN%20EPD%20No.%20000641.pdf</t>
  </si>
  <si>
    <t>Reinforcing steel, , Steel Reinforcing Bar (Stride Reinforcement Pty Ltd) (Australia)</t>
  </si>
  <si>
    <t>EPD-IES-0014125:001</t>
  </si>
  <si>
    <t>https://epd-australasia.com/?s=0014125:001&amp;post_type=epd</t>
  </si>
  <si>
    <t>Reinforcing steel, , Steel deformed Reinforcing Bar (Reozone) (Australia)</t>
  </si>
  <si>
    <t>EPD-IES-0010950:002</t>
  </si>
  <si>
    <t>https://epd-australasia.com/wp-content/uploads/2024/06/EPD-IES-0010950-002-Reozone_Deformed-Reinforcing-Bar_Oct24.pdf</t>
  </si>
  <si>
    <t>Stone</t>
  </si>
  <si>
    <t>Stone brick</t>
  </si>
  <si>
    <t>Stone, , Natural stone products of granite and limestone (flamed or bush hammered granite slab) (Naturestens) (Global)</t>
  </si>
  <si>
    <t>S-P-04621</t>
  </si>
  <si>
    <t>https://api.environdec.com/api/v1/EPDLibrary/Files/9ccc4db8-b66e-4e93-1965-08d972a96257/Data</t>
  </si>
  <si>
    <t>Stone, , Natural stone products of granite and limestone (split surface granite walls) (Naturestens) (Global)</t>
  </si>
  <si>
    <t>Stone, , Natural stone 10 mm (Silkarstone) (Global)</t>
  </si>
  <si>
    <t>S-P-01976</t>
  </si>
  <si>
    <t>https://api.environdec.com/api/v1/EPDLibrary/Files/a87c6d3c-227f-4f93-acc8-08d9952442c5/Data</t>
  </si>
  <si>
    <t>Stone, , Natural stone 20 mm  (Silkarstone) (Global)</t>
  </si>
  <si>
    <t>Stone, , Natural stone 30 mm (Silkarstone) (Global)</t>
  </si>
  <si>
    <t>Stone, , Natural stone 40 mm (Silkarstone) (Global)</t>
  </si>
  <si>
    <t>Stone, , Natural stone 50 mm (Silkarstone) (Global)</t>
  </si>
  <si>
    <t>Stone, , Natural stone products of granite and limestone (pacing stone granite) (Naturestens) (Global)</t>
  </si>
  <si>
    <t>Stone, , Natural stone products of granite and limestone (flamed or planed limestone slab) (Naturestens) (Global)</t>
  </si>
  <si>
    <t>Stone, , Natural stone products of granite and limestone (limestone floor tile) (Naturestens) (Global)</t>
  </si>
  <si>
    <t>Stone, , Quarries Sandstone Products (Gosford) (Australia)</t>
  </si>
  <si>
    <t>EPD-IES-0017801:001</t>
  </si>
  <si>
    <t>https://epd-australasia.com/wp-content/uploads/2024/12/EPD-IES-0017801-001_Gosford_Sawn-Paving_2024-12-12.pdf</t>
  </si>
  <si>
    <t>Steel, Structural purlins and grits (cold - rolled)</t>
  </si>
  <si>
    <t>Structural steel (cold rolled)</t>
  </si>
  <si>
    <t>Steel, Structural purlins and grits (cold - rolled), GALVASPAN® steel in 3.00mm base metal thickness (BMT), incl. rollforming (Bluescope)</t>
  </si>
  <si>
    <t>S-P-09341</t>
  </si>
  <si>
    <t>https://epd-australasia.com/wp-content/uploads/2023/08/SP09341-Bluescope-EPD-GALVASPAN_Jul23.pdf</t>
  </si>
  <si>
    <t>Steel, Structural purlins and grits (cold - rolled), GALVASPAN® steel in 2.40mm base metal thickness (BMT), incl. rollforming (Bluescope)</t>
  </si>
  <si>
    <t>Steel, Structural purlins and grits (cold - rolled), GALVASPAN® steel in 1.90mm base metal thickness (BMT), incl. rollforming (Bluescope)</t>
  </si>
  <si>
    <t>Steel, Structural framing (cold - rolled)</t>
  </si>
  <si>
    <t>Steel, Structural framing (cold - rolled), TRUECORE® steel in 1.60mm base material thickness (BMT), incl. rollforming (Bluescope)</t>
  </si>
  <si>
    <t>S-P-08455</t>
  </si>
  <si>
    <t>https://epd-australasia.com/wp-content/uploads/2023/06/SP08455-Bluescope-EPD_Truecore_May23.pdf</t>
  </si>
  <si>
    <t>Steel, Structural purlins and grits (cold - rolled), GALVASPAN® steel in 1.50mm base metal thickness (BMT), incl. rollforming (Bluescope)</t>
  </si>
  <si>
    <t>Steel, Structural framing (cold - rolled), TRUECORE® steel in 1.50mm base material thickness (BMT), incl. rollforming (Bluescope)</t>
  </si>
  <si>
    <t>Steel, Structural purlins and grits (cold - rolled), GALVASPAN® steel in 1.20mm base metal thickness (BMT), incl. rollforming (Bluescope)</t>
  </si>
  <si>
    <t>Steel, Structural framing (cold - rolled), TRUECORE® steel in 1.20mm base material thickness (BMT), incl. rollforming (Bluescope)</t>
  </si>
  <si>
    <t>Steel, Structural framing (cold - rolled), TRUECORE® steel in 1.15mm base material thickness (BMT), incl. rollforming (Bluescope)</t>
  </si>
  <si>
    <t>Steel, Structural purlins and grits (cold - rolled), GALVASPAN® steel in 1.00mm base metal thickness (BMT), incl. rollforming (Bluescope)</t>
  </si>
  <si>
    <t>Steel, Structural framing (cold - rolled), TRUECORE® steel in 1.00mm base material thickness (BMT), incl. rollforming (Bluescope)</t>
  </si>
  <si>
    <t>Steel, Structural framing (cold - rolled), TRUECORE® steel in 0.95mm base material thickness (BMT), incl. rollforming (Bluescope)</t>
  </si>
  <si>
    <t>Steel, Structural framing (cold - rolled), TRUECORE® steel in 0.75mm base material thickness (BMT), incl. rollforming (Bluescope)</t>
  </si>
  <si>
    <t>Steel, Structural framing (cold - rolled), TRUECORE® steel in 0.60mm base material thickness (BMT), incl. rollforming (Bluescope)</t>
  </si>
  <si>
    <t>Steel, Structural framing (cold - rolled), TRUECORE® steel in 0.55mm base material thickness (BMT), incl. rollforming (Bluescope)</t>
  </si>
  <si>
    <t>Steel, Structural framing (cold - rolled), TRUECORE® steel in 0.48mm base material thickness (BMT), incl. rollforming (Bluescope)</t>
  </si>
  <si>
    <t>Steel, Structural framing (cold - rolled), TRUECORE® steel in 0.42mm base material thickness (BMT), incl. rollforming (Bluescope)</t>
  </si>
  <si>
    <t>Steel, Structural purlins and grits (cold - rolled), GALVASPAN® steel in 1.00mm base metal thickness (BMT) (Bluescope)</t>
  </si>
  <si>
    <t>Steel, Structural purlins and grits (cold - rolled), GALVASPAN® steel in 1.20mm base metal thickness (BMT) (Bluescope)</t>
  </si>
  <si>
    <t>Steel, Structural purlins and grits (cold - rolled), GALVASPAN® steel in 1.50mm base metal thickness (BMT) (Bluescope)</t>
  </si>
  <si>
    <t>Steel, Structural purlins and grits (cold - rolled), GALVASPAN® steel in 1.90mm base metal thickness (BMT) (Bluescope)</t>
  </si>
  <si>
    <t>Steel, Structural purlins and grits (cold - rolled), GALVASPAN® steel in 2.40mm base metal thickness (BMT) (Bluescope)</t>
  </si>
  <si>
    <t>Steel, Structural formwork and decking (cold - rolled)</t>
  </si>
  <si>
    <t>Steel, Structural formwork and decking (cold - rolled), DECKFORM® steel in 0.60mm base material thickness (BMT) (Bluescope)</t>
  </si>
  <si>
    <t>S-P-08457</t>
  </si>
  <si>
    <t>https://epd-australasia.com/wp-content/uploads/2023/06/SP08457-Bluescope-EPD_Deckform_May23.pdf</t>
  </si>
  <si>
    <t>Steel, Structural formwork and decking (cold - rolled), DECKFORM® steel in 0.75mm base material thickness (BMT) (Bluescope)</t>
  </si>
  <si>
    <t>Steel, Structural formwork and decking (cold - rolled), DECKFORM® steel in 0.90mm base material thickness (BMT) (Bluescope)</t>
  </si>
  <si>
    <t>Steel, Structural formwork and decking (cold - rolled), Low Glare DECKFORM® steel in 0.60mm base material thickness (BMT) (Bluescope)</t>
  </si>
  <si>
    <t>Steel, Structural purlins and grits (cold - rolled), GALVASPAN® steel in 3.00mm base metal thickness (BMT) (Bluescope)</t>
  </si>
  <si>
    <t>Steel, Structural formwork and decking (cold - rolled), DECKFORM® steel in 1.00mm base material thickness (BMT) (Bluescope)</t>
  </si>
  <si>
    <t>Steel, Structural formwork and decking (cold - rolled), Low Glare DECKFORM® steel in 1.00mm base material thickness (BMT) (Bluescope)</t>
  </si>
  <si>
    <t>Steel, Structural formwork and decking (cold - rolled), Low Glare DECKFORM® steel in 0.75mm base material thickness (BMT) (Bluescope)</t>
  </si>
  <si>
    <t>Steel, Structural formwork and decking (cold - rolled), Low Glare DECKFORM® steel in 0.90mm base material thickness (BMT) (Bluescope)</t>
  </si>
  <si>
    <t>Steel, Structural framing (cold - rolled), TRUECORE® steel in 0.42mm base material thickness (BMT) (Bluescope)</t>
  </si>
  <si>
    <t>Steel, Structural framing (cold - rolled), TRUECORE® steel in 0.48mm base material thickness (BMT) (Bluescope)</t>
  </si>
  <si>
    <t>Steel, Structural framing (cold - rolled), TRUECORE® steel in 0.55mm base material thickness (BMT) (Bluescope)</t>
  </si>
  <si>
    <t>Steel, Structural framing (cold - rolled), TRUECORE® steel in 0.60mm base material thickness (BMT) (Bluescope)</t>
  </si>
  <si>
    <t>Steel, Structural framing (cold - rolled), TRUECORE® steel in 0.75mm base material thickness (BMT) (Bluescope)</t>
  </si>
  <si>
    <t>Steel, Structural formwork and decking (cold - rolled), DECKFORM® steel in 1.50mm base material thickness (BMT) (Bluescope)</t>
  </si>
  <si>
    <t>Steel, Structural framing (cold - rolled), TRUECORE® steel in 0.95mm base material thickness (BMT) (Bluescope)</t>
  </si>
  <si>
    <t>Steel, Structural formwork and decking (cold - rolled), Low Glare DECKFORM® steel in 1.50mm base material thickness (BMT) (Bluescope)</t>
  </si>
  <si>
    <t>Steel, Structural framing (cold - rolled), TRUECORE® steel in 1.00mm base material thickness (BMT) (Bluescope)</t>
  </si>
  <si>
    <t>Steel, Structural framing (cold - rolled), TRUECORE® steel in 1.15mm base material thickness (BMT) (Bluescope)</t>
  </si>
  <si>
    <t>Steel, Structural framing (cold - rolled), TRUECORE® steel in 1.20mm base material thickness (BMT) (Bluescope)</t>
  </si>
  <si>
    <t>Steel, Structural framing (cold - rolled), TRUECORE® steel in 1.50mm base material thickness (BMT) (Bluescope)</t>
  </si>
  <si>
    <t>Steel, Structural framing (cold - rolled), TRUECORE® steel in 1.60mm base material thickness (BMT) (Bluescope)</t>
  </si>
  <si>
    <t>Steel, Structural steel (cold - rolled)</t>
  </si>
  <si>
    <t>Structural steel , Structural steel (cold - rolled), Representative product 681 (Rondo) (Australia)</t>
  </si>
  <si>
    <t>S-P-01548</t>
  </si>
  <si>
    <t>https://www.rondo.com.au/media/3338/epd-sp01548-rondo.pdf</t>
  </si>
  <si>
    <t>Structural steel , Structural steel (cold - rolled), Representative product 592 (Rondo) (Australia)</t>
  </si>
  <si>
    <t>Structural steel , Structural steel (cold - rolled), Representative product 495 (Rondo) (Australia)</t>
  </si>
  <si>
    <t>Structural steel , Structural steel (cold - rolled), Representative product 107 (Rondo) (Australia)</t>
  </si>
  <si>
    <t>Structural steel , Structural steel (cold - rolled), Representative product 506 (Rondo) (Australia)</t>
  </si>
  <si>
    <t>Steel, Structural sections (hot - rolled)</t>
  </si>
  <si>
    <t>Structural steel (hot rolled)</t>
  </si>
  <si>
    <t>Steel, Structural sections (hot - rolled), XLERPLATE® steel – Low Carbon Steel (Bluescope)</t>
  </si>
  <si>
    <t>S-P-00558</t>
  </si>
  <si>
    <t>https://epd-australasia.com/wp-content/uploads/2018/04/BSS22179-XLER_EPD_2020_Final.pdf</t>
  </si>
  <si>
    <t>Steel, Structural sections (hot - rolled), XLERPLATE® steel – Medium Carbon Steel (Bluescope)</t>
  </si>
  <si>
    <t>S-P-00559</t>
  </si>
  <si>
    <t>Steel, Structural sections (hot - rolled), XLERPLATE® steel – Alloyed Steel (Bluescope)</t>
  </si>
  <si>
    <t>Steel, Structural sections (hot - rolled), Steel – Welded Beams and Columns (Bluescope)</t>
  </si>
  <si>
    <t>https://epd-australasia.com/wp-content/uploads/2018/04/BSS22179-WB_C_EPD_2020_Final.pdf</t>
  </si>
  <si>
    <t>Steel, Structural sections (hot - rolled), Hot Rolled Coil – Low Carbon Steel (Bluescope)</t>
  </si>
  <si>
    <t>S-P-00557</t>
  </si>
  <si>
    <t>https://epd-australasia.com/wp-content/uploads/2018/03/BSS22179-HRC_EPD_2020_Final.pdf</t>
  </si>
  <si>
    <t>Steel, Structural sections (hot - rolled), Hot Rolled Coil – Medium Carbon Steel (Bluescope)</t>
  </si>
  <si>
    <t>Steel, Structural sections (hot - rolled), Hot Rolled Coil – Alloyed Steel (Bluescope)</t>
  </si>
  <si>
    <t>Steel, Structural sections (hot - rolled), Steel, equal angle (EA), structural section, unpainted, 125 x 125 x 8 mm to 200 x 200 x 26 mm,  (InfraBuild via Distributor IBSC), Australia</t>
  </si>
  <si>
    <t>S-P-00856</t>
  </si>
  <si>
    <t>https://epd-australasia.com/wp-content/uploads/2018/04/SP-00856_Hot-Rolled-Structural-and-Merchant-Bar-Products-EPD_IBSC_2022.pdf</t>
  </si>
  <si>
    <t>Steel, Structural sections (hot - rolled), Steel, parallel flange channel (PFC), structural section, unpainted, 180 x 75 mm to 380 x 100 mm,  (InfraBuild via Distributor IBSC), Australia</t>
  </si>
  <si>
    <t>Steel, Structural sections (hot - rolled), Steel, universal beam (UB),  structural section, unpainted, 150 x 75 mm to 612 x 229 mm,  (InfraBuild via Distributor IBSC), Australia</t>
  </si>
  <si>
    <t>Steel, Structural sections (hot - rolled), Steel, universal column (UC), structural section, unpainted, 97 x 99 mm to 327 x 311 mm,  (InfraBuild via Distributor IBSC), Australia</t>
  </si>
  <si>
    <t>Steel, Structural sections (hot - rolled), Steel, equal angle (EA), merchant bar, unpainted, 25 x 25 x 3 mm to 100 x 100 x 12 mm,  (InfraBuild via Distributor IBSC), Australia</t>
  </si>
  <si>
    <t>Steel, Structural sections (hot - rolled), Steel, unequal angles, merchant bar, unpainted, 65 x 50 x 5 mm to 125 x 75 x 12 mm,  (InfraBuild via Distributor IBSC), Australia</t>
  </si>
  <si>
    <t>S-P-00861</t>
  </si>
  <si>
    <t>Steel, Structural sections (hot - rolled), Steel, parallel flange channels (PFC),  merchant bar, unpainted, 180 x 75 mm to 380 x 100 mm,  (InfraBuild via Distributor IBSC), Australia</t>
  </si>
  <si>
    <t>S-P-00862</t>
  </si>
  <si>
    <t>Steel, Structural sections (hot - rolled), Steel, flat Bar (SEF), merchant bar, unpainted, 20 x 10 mm to 150 x 25 mm,  (InfraBuild via Distributor IBSC), Australia</t>
  </si>
  <si>
    <t>S-P-00863</t>
  </si>
  <si>
    <t>Steel, Structural sections (hot - rolled), Steel, square Bar, merchant bar, unpainted, 10 mm to 40 mm,  (InfraBuild via Distributor IBSC), Australia</t>
  </si>
  <si>
    <t>S-P-00864</t>
  </si>
  <si>
    <t>Steel, Structural sections (hot - rolled), Steel, round Bar, merchant bar, unpainted, 10 mm to 90 mm,  (InfraBuild via Distributor IBSC), Australia</t>
  </si>
  <si>
    <t>S-P-00865</t>
  </si>
  <si>
    <t>Steel, Structural sections (hot - rolled), Steel, equal angle (EA), merchant bar, unpainted, 25 x 25 x 3 mm to 100 x 100 x 12 mm,  (InfraBuild, Australia), Australia</t>
  </si>
  <si>
    <t>S-P-00866</t>
  </si>
  <si>
    <t>https://epd-australasia.com/wp-content/uploads/2018/04/SP-00854_Hot-Rolled-Structural-Merchant-Bar-EPD_2022.pdf</t>
  </si>
  <si>
    <t>S-P-00867</t>
  </si>
  <si>
    <t>Steel, Structural sections (hot - rolled), Steel, unequal angles, merchant bar, unpainted, 65 x 50 x 5 mm to 125 x 75 x 12 mm,  (InfraBuild, Australia), Australia</t>
  </si>
  <si>
    <t>S-P-00868</t>
  </si>
  <si>
    <t>Steel, Structural sections (hot - rolled), Steel, flat Bar (SEF), merchant bar, unpainted, 20 x 10 mm to 150 x 25 mm,  (InfraBuild, Australia), Australia</t>
  </si>
  <si>
    <t>S-P-00869</t>
  </si>
  <si>
    <t>Steel, Structural sections (hot - rolled), Steel, square Bar, merchant bar, unpainted, 10 mm to 40 mm,  (InfraBuild, Australia), Australia</t>
  </si>
  <si>
    <t>S-P-00870</t>
  </si>
  <si>
    <t>Steel, Structural sections (hot - rolled), Steel, round Bar, merchant bar, unpainted, 10 mm to 90 mm,  (InfraBuild, Australia), Australia</t>
  </si>
  <si>
    <t>S-P-00871</t>
  </si>
  <si>
    <t>Steel, Structural sections (hot - rolled), Steel, equal angle (EA), structural section, unpainted, 125 x 125 x 8 mm to 200 x 200 x 26 mm,  (Liberty Primary Steel, Australia), Australia</t>
  </si>
  <si>
    <t>S-P-01547</t>
  </si>
  <si>
    <t>https://epd-australasia.com/wp-content/uploads/2016/09/SP-01547_Hot-Rolled-Structural-and-Rail-Products-EPD-Liberty-Primary-Steel_2022.pdf</t>
  </si>
  <si>
    <t>Steel, Structural sections (hot - rolled), Steel, parallel flange channel (PFC), structural section, unpainted, 180 x 75 mm to 380 x 100 mm,  (Liberty Primary Steel, Australia), Australia</t>
  </si>
  <si>
    <t>Steel, Structural sections (hot - rolled), Steel, universal beam (UB),  structural section, unpainted, 150 x 75 mm to 612 x 229 mm,  (Liberty Primary Steel, Australia), Australia</t>
  </si>
  <si>
    <t>Steel, Structural sections (hot - rolled), Steel, universal columns (UC),  structural section, unpainted, 97 x 99 mm to 327 x 311 mm,  (Liberty Primary Steel, Australia), Australia</t>
  </si>
  <si>
    <t>Steel , Structural steel (hot - rolled)</t>
  </si>
  <si>
    <t>Steel, Structural steel (hot - rolled), Steel structural hollow sections (Tata) (India, Global)</t>
  </si>
  <si>
    <t>S-P-05020</t>
  </si>
  <si>
    <t>https://api.environdec.com/api/v1/EPDLibrary/Files/36c98de3-5def-4a53-f0ff-08daa04473b0/Data</t>
  </si>
  <si>
    <t>Steel, Structural steel (hot - rolled), Average structural steel product (Jindal) (India, Global)</t>
  </si>
  <si>
    <t>S-P-09803</t>
  </si>
  <si>
    <t>https://api.environdec.com/api/v1/EPDLibrary/Files/20aeac82-0577-44cc-13f9-08dbca69748b/Data</t>
  </si>
  <si>
    <t>Structural steel (hot rolled), , Hot Rolled Plate (GRP) (Indonesia, Australia, New Zealand)</t>
  </si>
  <si>
    <t>22/02/2022</t>
  </si>
  <si>
    <t>22/02/2027</t>
  </si>
  <si>
    <t>Indonesia, Australia, New Zealand</t>
  </si>
  <si>
    <t>S-P-04682</t>
  </si>
  <si>
    <t>https://api.environdec.com/api/v1/EPDLibrary/Files/5516cdfd-be8f-498c-54d2-08dc2e3a662b/Data</t>
  </si>
  <si>
    <t>Structural steel (hot rolled), , Hot Rolled Sheet Coil Plate (GRP) (Indonesia, Australia, New Zealand)</t>
  </si>
  <si>
    <t>S-P-04683</t>
  </si>
  <si>
    <t>https://api.environdec.com/api/v1/EPDLibrary/Files/d5487b68-df33-41eb-54d5-08dc2e3a662b/Data</t>
  </si>
  <si>
    <t>Structural steel (hot rolled), , Structural Steel Welded I-Section (GRP) (Indonesia, Australia, New Zealand)</t>
  </si>
  <si>
    <t>S-P-04684</t>
  </si>
  <si>
    <t>https://api.environdec.com/api/v1/EPDLibrary/Files/64010bcf-030e-4ca0-54d9-08dc2e3a662b/Data</t>
  </si>
  <si>
    <t>Structural steel (hot rolled), , Hot Rolled Steel Coil (Hyundai Steel Company) (South Korea, Global)</t>
  </si>
  <si>
    <t>South Korea, Global</t>
  </si>
  <si>
    <t>S-P-02215</t>
  </si>
  <si>
    <t>https://api.environdec.com/api/v1/EPDLibrary/Files/d199d43e-3fdb-4cf5-6f0d-08d8c29f7f81/Data</t>
  </si>
  <si>
    <t>Structural steel (hot rolled), , Hot Rolled Steel Plate (Hyundai Steel Company) (South Korea, Global)</t>
  </si>
  <si>
    <t>S-P-02216</t>
  </si>
  <si>
    <t>https://api.environdec.com/api/v1/EPDLibrary/Files/1e6057bd-0008-4cbf-6f0e-08d8c29f7f81/Data</t>
  </si>
  <si>
    <t>Structural steel (hot rolled), , Hot rolled structural steel plate (Tung Ho Steel Enterprise Group) (North America, Europe, Global)</t>
  </si>
  <si>
    <t>North America, Europe, Global</t>
  </si>
  <si>
    <t>4789597922.101.1</t>
  </si>
  <si>
    <t>https://spot.ul.com/main-app/products/catalog/?keywords=tung+ho</t>
  </si>
  <si>
    <t>Structural steel (hot rolled), , Hot rolled structural steel sections (Tung Ho Steel Enterprise Group) (Global)</t>
  </si>
  <si>
    <t>4789960100.102.1</t>
  </si>
  <si>
    <t>Structural steel (hot rolled), , Hot rolled structural steel sections H beams channels (Tung Ho Steel Enterprise Group) (North America, Europe, Global)</t>
  </si>
  <si>
    <t>4789597922.102.1</t>
  </si>
  <si>
    <t>Structural steel (hot rolled), , Non-alloy structural steel (Emirates Steel) (Global)</t>
  </si>
  <si>
    <t>BREG EN EPD No.: 000132 Issue 02; ECO EPD Ref. No. 000426</t>
  </si>
  <si>
    <t>https://www.greenbooklive.com/pdfdocs/en15804epd/BREGENEPD000132.pdf</t>
  </si>
  <si>
    <t>Structural steel (hot rolled), , Hot rolled structural steel section (H- Beams, Angles, Channels) (POSCO YAMATO VINA STEEL JOINT STOCK COMPANY) (Global)</t>
  </si>
  <si>
    <t>4790599058.101.1</t>
  </si>
  <si>
    <t>https://spot.ul.com/main-app/products/detail/66ebf6396912fe1a826f1200?page_type=Products%20Catalog</t>
  </si>
  <si>
    <t>Structural steel (hot rolled), , Structural section steel (Celsa Group) (Global)</t>
  </si>
  <si>
    <t>EPD-CEL-20200277-IBD1-EN</t>
  </si>
  <si>
    <t>https://materials.oneclicklca.com/en/material/structural-steel-sections/6318601beacb8327acb30d19</t>
  </si>
  <si>
    <t>Structural steel (hot rolled), , Steel Plate (POSCO Co., LTD) (South Korea, Global)</t>
  </si>
  <si>
    <t>EPD-IES-0015086:001</t>
  </si>
  <si>
    <t>https://api.environdec.com/api/v1/EPDLibrary/Files/a54cabe9-04a4-4822-8113-08dca0809fab/Data</t>
  </si>
  <si>
    <t>Structural steel (hot rolled), , Angles (Osaka Steel Co LTD) (Japan, Global)</t>
  </si>
  <si>
    <t>21/11/2023</t>
  </si>
  <si>
    <t>20/11/2028</t>
  </si>
  <si>
    <t>Japan, Global</t>
  </si>
  <si>
    <t>JR-AJ-23025E</t>
  </si>
  <si>
    <t>Japan EPD Program by SuMPO</t>
  </si>
  <si>
    <t>https://ecoleaf-label.jp/en/epd/download/1261</t>
  </si>
  <si>
    <t>Structural steel (hot rolled), , Multiple steel products: 
- Deformed bar
- Wire rod
- Deformed bar in coil (Tung Ho Steel Vietnam Corporation) (Global)</t>
  </si>
  <si>
    <t>16/11/2023</t>
  </si>
  <si>
    <t>S-P-04681</t>
  </si>
  <si>
    <t>EPD Southeast Asia</t>
  </si>
  <si>
    <t>https://api.environdec.com/api/v1/EPDLibrary/Files/2394c099-e258-49c5-f718-08dbfcbc4c1b/Data</t>
  </si>
  <si>
    <t>Structural steel (hot rolled), , HOT ROLLED STEEL REINFORCING STEEL IN BARS AND COILS - Jumbo Coils (FERRIERE NORD S.p.A.) (Global)</t>
  </si>
  <si>
    <t>EPDITALY0634</t>
  </si>
  <si>
    <t>https://www.epditaly.it/en/wp-content/uploads/2016/12/EPD-Tondo-Ferriere-Nord-2024.pdf</t>
  </si>
  <si>
    <t>Structural steel (hot rolled), , Welded steel pipe &amp; hollow section (Maruichi Sun Steel Joint Stock Company) (Global)</t>
  </si>
  <si>
    <t>4791184719.101.2</t>
  </si>
  <si>
    <t>https://spot.ul.com/main-app/products/detail/67628f28a51bcdb050ae4ef7?page_type=Products%20Catalog</t>
  </si>
  <si>
    <t>Surfaced timber</t>
  </si>
  <si>
    <t>Surfaced, , KVH structural timber - finger jointed (Stora Enso) (Czech Republic)</t>
  </si>
  <si>
    <t>Czech Republic</t>
  </si>
  <si>
    <t>S-P-02153</t>
  </si>
  <si>
    <t>https://api.environdec.com/api/v1/EPDLibrary/Files/03ef48cc-c644-46ff-802e-08d8e2c71993/Data</t>
  </si>
  <si>
    <t>Thermal break</t>
  </si>
  <si>
    <t>Thermal break, , Warm Edge Spacer SP12, SP13, SP14 (Technoform) (Global)</t>
  </si>
  <si>
    <t>S-P-10425</t>
  </si>
  <si>
    <t>https://api.environdec.com/api/v1/EPDLibrary/Files/03d0f5d1-0321-4714-fbbb-08dbfcbc4c1b/Data</t>
  </si>
  <si>
    <t>Vinyl floor</t>
  </si>
  <si>
    <t>Vinyl flooring</t>
  </si>
  <si>
    <t>Vinyl Flooring, , VINYL FLOORING (LVT, SPC, WPC) (Changzhou Tooyei New Material Co.,ltd) (China)</t>
  </si>
  <si>
    <t>S-P-11629</t>
  </si>
  <si>
    <t>https://api.environdec.com/api/v1/EPDLibrary/Files/4b9164ad-7a7c-408e-cf14-08dc1e81dd8e/Data</t>
  </si>
  <si>
    <t>Vinyl Flooring, , VINYL FLOORING (LVT, SPC, WPC) (BIYORK MATERIALS CANADA INC) (China and Canada)</t>
  </si>
  <si>
    <t>China and Canada</t>
  </si>
  <si>
    <t>S-P-11977</t>
  </si>
  <si>
    <t>https://api.environdec.com/api/v1/EPDLibrary/Files/47a5e32b-c9ff-49c2-936f-08dc3c72202b/Data</t>
  </si>
  <si>
    <t>Vinyl Flooring, , VINYL FLOORING (LVT, SPC, WPC) (REPUBLIC FLOOR GMBH) (China and Europe)</t>
  </si>
  <si>
    <t>China and Europe</t>
  </si>
  <si>
    <t>S-P-11665</t>
  </si>
  <si>
    <t>https://api.environdec.com/api/v1/EPDLibrary/Files/6412041e-5925-4a84-544a-08dc2e3a662b/Data</t>
  </si>
  <si>
    <t>Vinyl Flooring, , DIOCO REGAL PLUS 70 VINYL FLOOR DIOCO GREENFLOORING VINYL FLOOR (DIOCO GLOBAL TRADING, S.L.) (Global)</t>
  </si>
  <si>
    <t>S-P-09979</t>
  </si>
  <si>
    <t>https://api.environdec.com/api/v1/EPDLibrary/Files/c0f1d978-76db-49ca-9ec0-08db7e35bd3c/Data</t>
  </si>
  <si>
    <t>Vinyl Flooring, , VINYL FLOORING (LVT, SPC, WPC) (JIANGSU ZHENGYOUNG FLOORING DECORATION MATERIAL CO., LTD.) (China)</t>
  </si>
  <si>
    <t>27/07/2029</t>
  </si>
  <si>
    <t>S-P-10141</t>
  </si>
  <si>
    <t>https://api.environdec.com/api/v1/EPDLibrary/Files/b42d1076-24b4-4914-e720-08db8f6daa29/Data</t>
  </si>
  <si>
    <t>Vinyl Flooring, , Sphera Resilisent Homogeneous Vinyl Floor Covering (Forbo Flooring Systems) (Global)</t>
  </si>
  <si>
    <t>15/07/2024</t>
  </si>
  <si>
    <t>15/07/2029</t>
  </si>
  <si>
    <t>4791394447.102.1</t>
  </si>
  <si>
    <t>https://forbo.blob.core.windows.net/forbodocuments/0685dcf0-bcbc-4201-802e-cb4789e8f7e1/Forbo_Sphera%20homogeneous%20vinyl_EPD_2024.pdf</t>
  </si>
  <si>
    <t>Vinyl Flooring, , Step Resilient Heterogeneous Vinyl Floor Covering (Forbo Flooring Systems) (Global)</t>
  </si>
  <si>
    <t>4788294459.108.1</t>
  </si>
  <si>
    <t>https://forbo.blob.core.windows.net/forbodocuments/562002/Forbo_Step_safety%20vinyl_EPD%202023.pdf</t>
  </si>
  <si>
    <t>Vinyl Flooring, , Mipolam Evo Homogeneous Commercial Flooring (Gerflor) (North America)</t>
  </si>
  <si>
    <t>4790130460.106.1</t>
  </si>
  <si>
    <t>https://www.gerflor.com/media/virtual-library/gerflor-epd-101.1-mipolam-evo-en.pdf</t>
  </si>
  <si>
    <t>Vinyl Flooring, , Mipolam Evo Homogeneous Commercial Flooring (Gerflor) (Europe)</t>
  </si>
  <si>
    <t>Vinyl Flooring, , Altro Stronghold 30, 3mm (Altro Ltd) (Global)</t>
  </si>
  <si>
    <t>27/02/2024</t>
  </si>
  <si>
    <t>BREG EN EPD No.: 000256</t>
  </si>
  <si>
    <t>https://www.greenbooklive.com/pdfdocs/en15804epd/BREGENEPD000256.pdf</t>
  </si>
  <si>
    <t>Vinyl Flooring, , Excellence (Zeno Project B.V) (Global)</t>
  </si>
  <si>
    <t>17/04/2020</t>
  </si>
  <si>
    <t>17/04/2025</t>
  </si>
  <si>
    <t>NEPD-2143-968-EN</t>
  </si>
  <si>
    <t>EPD Norge</t>
  </si>
  <si>
    <t>https://www.epd-norge.no/epder/byggevarer/gulvbelegg/excellence</t>
  </si>
  <si>
    <t>Vinyl Flooring, , Non-coated slip retardant flooring sheet Accolade Safe, Infinity Safe (Armstrong Flooring Pty Ltd) (Global)</t>
  </si>
  <si>
    <t>17/05/2022</t>
  </si>
  <si>
    <t>17/05/2027</t>
  </si>
  <si>
    <t>ATX AS02 2022EP</t>
  </si>
  <si>
    <t>https://www.globalgreentag.com/certificate/1508/ArmstrongSafetyEPD15804%2BA22019C2F%40Evah17May2022v2%281%29.pdf</t>
  </si>
  <si>
    <t>National material emission factors database</t>
  </si>
  <si>
    <t>Upfront carbon storage</t>
  </si>
  <si>
    <r>
      <rPr>
        <b/>
        <sz val="10"/>
        <color rgb="FF000000"/>
        <rFont val="Arial"/>
        <family val="2"/>
      </rPr>
      <t>Quantity basis (kgCO</t>
    </r>
    <r>
      <rPr>
        <b/>
        <vertAlign val="subscript"/>
        <sz val="10"/>
        <color rgb="FF000000"/>
        <rFont val="Arial"/>
        <family val="2"/>
      </rPr>
      <t>2</t>
    </r>
    <r>
      <rPr>
        <b/>
        <sz val="10"/>
        <color rgb="FF000000"/>
        <rFont val="Arial"/>
        <family val="2"/>
      </rPr>
      <t>e/declared unit)</t>
    </r>
  </si>
  <si>
    <r>
      <t>Mass basis (kgCO</t>
    </r>
    <r>
      <rPr>
        <b/>
        <vertAlign val="subscript"/>
        <sz val="10"/>
        <color theme="1"/>
        <rFont val="Arial"/>
        <family val="2"/>
      </rPr>
      <t>2</t>
    </r>
    <r>
      <rPr>
        <b/>
        <sz val="10"/>
        <color theme="1"/>
        <rFont val="Arial"/>
        <family val="2"/>
      </rPr>
      <t>e/kg)</t>
    </r>
  </si>
  <si>
    <t>Quantity basis (kgCO2e/declared unit)</t>
  </si>
  <si>
    <t>Row</t>
  </si>
  <si>
    <t>Column</t>
  </si>
  <si>
    <t>Life cycle module cradle-to-gate (A1-A3)</t>
  </si>
  <si>
    <t>Further information</t>
  </si>
  <si>
    <t>Quantity basis (kg CO₂e/declared unit)</t>
  </si>
  <si>
    <t>Mass basis (kg CO₂e/kg)</t>
  </si>
  <si>
    <t>Emission Factor material type</t>
  </si>
  <si>
    <t>Emission Factor material category</t>
  </si>
  <si>
    <t>Relevant tab in Technical Workbook</t>
  </si>
  <si>
    <t>Tab description</t>
  </si>
  <si>
    <t>Tab link</t>
  </si>
  <si>
    <t>Average (uncertainty adjusted)</t>
  </si>
  <si>
    <t>Conversion (Based on average EF)</t>
  </si>
  <si>
    <t>Conversion unit</t>
  </si>
  <si>
    <t>Notes</t>
  </si>
  <si>
    <t>Weighted average used (Yes/No)</t>
  </si>
  <si>
    <t>EF material type</t>
  </si>
  <si>
    <t>EF material category</t>
  </si>
  <si>
    <t>EXCLUDE</t>
  </si>
  <si>
    <t>Upfront carbon emission - Max (kgCO2e/declared unit)</t>
  </si>
  <si>
    <t>Upfront carbon emission - Min (kgCO2e/declared unit)</t>
  </si>
  <si>
    <t>Upfront carbon emission - Average (kg CO2e/declared unit)</t>
  </si>
  <si>
    <t>Upfront carbon emission - Average (uncertainty adjusted) (kgCO2e/declared unit)</t>
  </si>
  <si>
    <t>Upfront carbon emission - Default (uncertainty adjusted) (kgCO2e/declared unit)</t>
  </si>
  <si>
    <t>Upfront carbon emission - Max (kgCO2e/kg)</t>
  </si>
  <si>
    <t>Upfront carbon emission - Min (kgCO2e/kg)</t>
  </si>
  <si>
    <t>Upfront carbon emission - Average (kg CO2e/kg)</t>
  </si>
  <si>
    <t>Upfront carbon emission - Average (uncertainty adjusted) (kgCO2e/kg)</t>
  </si>
  <si>
    <t>Upfront carbon emission - Default (uncertainty adjusted) (kgCO2e/kg)</t>
  </si>
  <si>
    <t>Upfront carbon storage - Max (kgCO2e/declared unit)</t>
  </si>
  <si>
    <t>Upfront carbon storage- Average (kg CO2e/declared unit)</t>
  </si>
  <si>
    <t>Upfront carbon storage - Max (kgCO2e/kg)</t>
  </si>
  <si>
    <t>Upfront carbon storage - Average (kg CO2e/kg)</t>
  </si>
  <si>
    <t>Conversion</t>
  </si>
  <si>
    <t>Weighted averaged used?</t>
  </si>
  <si>
    <t>Concrete in-situ</t>
  </si>
  <si>
    <t>Concrete_10MPa</t>
  </si>
  <si>
    <t>Concrete_20MPa</t>
  </si>
  <si>
    <t>Concrete_25MPa</t>
  </si>
  <si>
    <t>Concrete_32MPa</t>
  </si>
  <si>
    <t>Concrete_40MPa</t>
  </si>
  <si>
    <t>Concrete_50MPa</t>
  </si>
  <si>
    <t>Concrete_65MPa</t>
  </si>
  <si>
    <t>Concrete_80MPa</t>
  </si>
  <si>
    <t>Concrete_80upMPa</t>
  </si>
  <si>
    <t>Kerb</t>
  </si>
  <si>
    <t>Concrete precast panel</t>
  </si>
  <si>
    <t>Precast concrete panel (inc. reinforcing)</t>
  </si>
  <si>
    <t>Concrete_precast_panel</t>
  </si>
  <si>
    <t>Hollow core - precast concrete (inc. reinforcing)</t>
  </si>
  <si>
    <t>Concrete_hollowcore</t>
  </si>
  <si>
    <t>Concrete block</t>
  </si>
  <si>
    <t>Concrete block (exc. core fill or reinforcing)</t>
  </si>
  <si>
    <t>Concrete_bricks</t>
  </si>
  <si>
    <t>Solid AAC (no fill or reinforcing)</t>
  </si>
  <si>
    <t>AAC_block</t>
  </si>
  <si>
    <t>Reinforcing steel</t>
  </si>
  <si>
    <t>Bar &amp; mesh reinforcing steel</t>
  </si>
  <si>
    <t>Reinforcing_steel</t>
  </si>
  <si>
    <t>Fibre &amp; strand reinforcing steel</t>
  </si>
  <si>
    <t>Structural steel</t>
  </si>
  <si>
    <t>Structural sections steel (welded beam, columns, angles, plates, piles etc) (hot rolled)</t>
  </si>
  <si>
    <t>Structural_steel_hot</t>
  </si>
  <si>
    <t>Structural formwork and decking steel (cold rolled - light weight)</t>
  </si>
  <si>
    <t>Structural_steel_cold</t>
  </si>
  <si>
    <t>Structural framing steel (cold rolled - lightweight)</t>
  </si>
  <si>
    <t>Galvanised structural sections steel (welded beam, columns, angles, plates, piles etc.) (hot rolled)</t>
  </si>
  <si>
    <t>Structural_steel_hot_gal</t>
  </si>
  <si>
    <t>Painted structural sections steel (welded beam, columns, angles, plates, piles etc.) (hot rolled)</t>
  </si>
  <si>
    <t>Structural_steel_hot_painted</t>
  </si>
  <si>
    <t>Stainless_steel</t>
  </si>
  <si>
    <t>Timber</t>
  </si>
  <si>
    <t>Timber_softwood</t>
  </si>
  <si>
    <t>Timber_hardwood</t>
  </si>
  <si>
    <t>Timber poles - piles</t>
  </si>
  <si>
    <t>Timber (engineered)</t>
  </si>
  <si>
    <t>Eng_Timber_Plywood</t>
  </si>
  <si>
    <t>Eng_Timber_Particleboard</t>
  </si>
  <si>
    <t>GLT &amp; CLT (softwood)</t>
  </si>
  <si>
    <t>Eng_Timber_GLT_CLT_Soft</t>
  </si>
  <si>
    <t>GLT &amp; CLT (hardwood)</t>
  </si>
  <si>
    <t>Eng_Timber_GLT_CLT_Hard</t>
  </si>
  <si>
    <t>Eng_Timber_LVL</t>
  </si>
  <si>
    <t>Eng_Timber_OSB</t>
  </si>
  <si>
    <t>Eng_Timber_MDF</t>
  </si>
  <si>
    <t>Brick</t>
  </si>
  <si>
    <t>Clay_bricks</t>
  </si>
  <si>
    <t xml:space="preserve">Concrete brick </t>
  </si>
  <si>
    <t>Pavers_Stone</t>
  </si>
  <si>
    <t>Quarried fill and base material</t>
  </si>
  <si>
    <t>Fill_base_quarry</t>
  </si>
  <si>
    <t>Recovered_aggregate</t>
  </si>
  <si>
    <t>stabilised_sand</t>
  </si>
  <si>
    <t>Roof tiles</t>
  </si>
  <si>
    <t>Clay and terracotta roof tiles</t>
  </si>
  <si>
    <t>Roof_Tiles_Clay</t>
  </si>
  <si>
    <t>Concrete roof tiles</t>
  </si>
  <si>
    <t>Steel cladding/roofing</t>
  </si>
  <si>
    <t>Steel sheeting - metallic coat</t>
  </si>
  <si>
    <t>steel_cladding_metallic</t>
  </si>
  <si>
    <t>Steel sheeting - painted</t>
  </si>
  <si>
    <t>steel_cladding_painted</t>
  </si>
  <si>
    <t>Aluminium cladding/roofing</t>
  </si>
  <si>
    <t>Aluminium sheeting</t>
  </si>
  <si>
    <t>Aluminium_cladding</t>
  </si>
  <si>
    <t>Cement cladding/roofing</t>
  </si>
  <si>
    <t>Fibre_Cement</t>
  </si>
  <si>
    <t>Plastic cladding/roofing</t>
  </si>
  <si>
    <t>Plastic_sheeting</t>
  </si>
  <si>
    <t>Timber cladding</t>
  </si>
  <si>
    <t>Timber weatherboards</t>
  </si>
  <si>
    <t>Timber_Weatherboard</t>
  </si>
  <si>
    <t>Structural insulated panel</t>
  </si>
  <si>
    <t>Panel_SIP_less_equal_100</t>
  </si>
  <si>
    <t>Panel_SIP_more100</t>
  </si>
  <si>
    <t>Glazing</t>
  </si>
  <si>
    <t>Extruded aluminium</t>
  </si>
  <si>
    <t>Aluminium_extruded</t>
  </si>
  <si>
    <t>Aluminium extruded powder coated</t>
  </si>
  <si>
    <t>Aluminium_extru_powdercoat</t>
  </si>
  <si>
    <t>Aluminium extruded anodised</t>
  </si>
  <si>
    <t>Aluminium_extru_anodised</t>
  </si>
  <si>
    <t>External shading</t>
  </si>
  <si>
    <t>Aluminium louvre</t>
  </si>
  <si>
    <t>Aluminium construction</t>
  </si>
  <si>
    <t>Steel construction</t>
  </si>
  <si>
    <t>Ceilings &amp; walls</t>
  </si>
  <si>
    <t>Steel frame</t>
  </si>
  <si>
    <t>Timber frame</t>
  </si>
  <si>
    <t>AAC panel (inc. reinforced)</t>
  </si>
  <si>
    <t>AAC_panel</t>
  </si>
  <si>
    <t>Ceiling_tile</t>
  </si>
  <si>
    <t>Particleboard wall/ceiling</t>
  </si>
  <si>
    <t>Eng_Timber_Decorative_Pb</t>
  </si>
  <si>
    <t>Fibre cement sheet</t>
  </si>
  <si>
    <t>Pavers/tiles</t>
  </si>
  <si>
    <t>Concrete paver/tile</t>
  </si>
  <si>
    <t>Ceramic paver/tile</t>
  </si>
  <si>
    <t>Pavers_ceramic</t>
  </si>
  <si>
    <t>Stone paver/tile</t>
  </si>
  <si>
    <t>Floors</t>
  </si>
  <si>
    <t>Access_floor</t>
  </si>
  <si>
    <t>Carpet_flooring</t>
  </si>
  <si>
    <t>Vinyl_flooring</t>
  </si>
  <si>
    <t>Rubber_flooring</t>
  </si>
  <si>
    <t>Timber flooring</t>
  </si>
  <si>
    <t>Laminate_flooring</t>
  </si>
  <si>
    <t>Hybrid_flooring</t>
  </si>
  <si>
    <t>Linoleum_flooring</t>
  </si>
  <si>
    <t>Epoxy_flooring</t>
  </si>
  <si>
    <t>Roller_Door</t>
  </si>
  <si>
    <t>Windows &amp; doors</t>
  </si>
  <si>
    <t>Window - aluminium frame - generic</t>
  </si>
  <si>
    <t>Window_doors_generic</t>
  </si>
  <si>
    <t>Window - timber frame - generic</t>
  </si>
  <si>
    <t>Door - timber with glazing - generic</t>
  </si>
  <si>
    <t>Door - steel with glazing - generic</t>
  </si>
  <si>
    <t>Door - fully glazed - minor aluminium frame - generic</t>
  </si>
  <si>
    <t>Door - aluminium with glazing - generic</t>
  </si>
  <si>
    <t>Door - timber solid - generic</t>
  </si>
  <si>
    <t>Door - steel solid - generic</t>
  </si>
  <si>
    <t>Revolving door - glass, aluminium, steel - generic</t>
  </si>
  <si>
    <t>Wall system steel frame - 1 side plasterboard (92mm stud)</t>
  </si>
  <si>
    <t>Ceiling_Wall_generic</t>
  </si>
  <si>
    <t>No</t>
  </si>
  <si>
    <t>Wall system steel frame - 2 sides plasterboard (92mm stud)</t>
  </si>
  <si>
    <t>Wall system steel frame - 2 sides plasterboard (150 mm stud)</t>
  </si>
  <si>
    <t>Wall system steel frame - 1 side plasterboard (150 mm stud)</t>
  </si>
  <si>
    <t xml:space="preserve">Wall system timber frame - 2 sides plasterboard </t>
  </si>
  <si>
    <t xml:space="preserve">Wall system timber frame - 1 side plasterboard </t>
  </si>
  <si>
    <t xml:space="preserve">AAC and steel based system - generic </t>
  </si>
  <si>
    <t>Ceiling system steel frame suspended (plasterboard)</t>
  </si>
  <si>
    <t>Ceiling system steel frame suspended (fibre cement)</t>
  </si>
  <si>
    <t>Ceiling system steel frame suspended (mineral tile)</t>
  </si>
  <si>
    <t>Ceiling system aluminum frame suspended (powder coated aluminium)</t>
  </si>
  <si>
    <t>Aluminium unitised type 1: 100% DGU 8T-16-44.2</t>
  </si>
  <si>
    <t>Curtain_wall</t>
  </si>
  <si>
    <t>Aluminium unitised type 2: aluminium cladding, 50% DGU 8T-16-44.2</t>
  </si>
  <si>
    <t>Aluminium unitised type 3: aluminium cladding with vertical fins, 50% DGU 8T-16-44.2</t>
  </si>
  <si>
    <t>Aluminium unitised type 4: aluminium cladding, 50% TGU 8T-16-6-16-44.2</t>
  </si>
  <si>
    <t>Aluminium unitised type 5: insulated shadow box, 50% DGU 8T-16-44.2</t>
  </si>
  <si>
    <t>Aluminium unitised type 6: GRC cladding, 50% DGU 8T-16-44.2</t>
  </si>
  <si>
    <t>Aluminium unitised type 7: opaque panel, 100% aluminium cladding</t>
  </si>
  <si>
    <t>Double skin type 1: deep cavity aluminium façade, 100% single + DGU 66.2 + 8T-16-44.2</t>
  </si>
  <si>
    <t>Double skin type 2: narrow cavity aluminium façade, 100% single + DGU 66.2 + 8T-16-44.2</t>
  </si>
  <si>
    <t>Lifts</t>
  </si>
  <si>
    <t>Lift_Cat5_6</t>
  </si>
  <si>
    <t>Lift_Cat3_4</t>
  </si>
  <si>
    <t>Lift_Cat1_2</t>
  </si>
  <si>
    <t>Mechanical, electrical, and plumbing (MEP)</t>
  </si>
  <si>
    <t>Low or mid rise office, hotel or retail building (≤10 floors)</t>
  </si>
  <si>
    <t>Building_services</t>
  </si>
  <si>
    <t>Residential building</t>
  </si>
  <si>
    <t>Warehouse or industrial building</t>
  </si>
  <si>
    <t>High rise office, hotel or retail building (&gt;10 floors)</t>
  </si>
  <si>
    <t>Hospital or high services intensity building</t>
  </si>
  <si>
    <t>Other</t>
  </si>
  <si>
    <t xml:space="preserve">Other/miscellaneous material </t>
  </si>
  <si>
    <t>Sub-category description:</t>
  </si>
  <si>
    <t>Autoclaved Aerated Concrete (AAC) blocks without reinforcing or fill.</t>
  </si>
  <si>
    <t>Qualitative assessment:</t>
  </si>
  <si>
    <t xml:space="preserve">No Australian based suppliers. 
2 International EPDs for 4 products. Unsure whether these EPDs represent supply into Australia
Poor representation of the market.
</t>
  </si>
  <si>
    <t>Geographical rating</t>
  </si>
  <si>
    <t>EF source data rating</t>
  </si>
  <si>
    <t>Market coverage rating</t>
  </si>
  <si>
    <t xml:space="preserve">TOTAL </t>
  </si>
  <si>
    <t>Notes:</t>
  </si>
  <si>
    <t>Data sources and statistics:</t>
  </si>
  <si>
    <t>Quantity</t>
  </si>
  <si>
    <t>Max</t>
  </si>
  <si>
    <t>Min</t>
  </si>
  <si>
    <t>Average</t>
  </si>
  <si>
    <t>List</t>
  </si>
  <si>
    <t>Autoclaved Aerated Concrete (AAC) panels including reinforcement</t>
  </si>
  <si>
    <t xml:space="preserve">1 Australian based suppliers. 
Poor representation of the market.
</t>
  </si>
  <si>
    <t>Access floor (raised floor) including pedestal, base, componentry. Excluding finish top layer.</t>
  </si>
  <si>
    <t xml:space="preserve">28 Australian EPD products. From 2 Suppliers with large global presence.
Unknown how large or diverse products on market are. Reasonable number of products.
</t>
  </si>
  <si>
    <t>Aluminium sheeting including range of thicknesses (BMT).</t>
  </si>
  <si>
    <t>Single supplier Australasian EPD.  
Two products. 
Unknown market</t>
  </si>
  <si>
    <t xml:space="preserve">Important to consider in the context of base metal thickness (BMT) and size of sheet not cladding area (shape of sheet i.e. corrugation and overlapping means area of sheet is more than area to be clad). Recommended to use kg CO2e/kg EF when BMT and mass is known. </t>
  </si>
  <si>
    <t>Extruded aluminium (anodised).</t>
  </si>
  <si>
    <t>Australian production represented by industry study other areas well represented by EPDs.
Competitive international marketplace well represented. China biggest exporter to world market.
Market share of import/domestic information is unclear in terms of numbers though facades (in particularly large orders are typically from offshore suppliers - façade workshop Dec 23) strong representation from big global producers.
Weighted average not possible.
Comparison average value is good.
Wide range of manufacturers (internationally)</t>
  </si>
  <si>
    <t xml:space="preserve">Anodised (Max) </t>
  </si>
  <si>
    <t>Powder coated (max)</t>
  </si>
  <si>
    <t>GWPt</t>
  </si>
  <si>
    <t>Sistem</t>
  </si>
  <si>
    <t>Aluminium (uncoated)</t>
  </si>
  <si>
    <t>Aluminium (anodised)</t>
  </si>
  <si>
    <t>Using EFs determined in aluminium_extruded than multiplying by a factor for anodising as determined using additional referenced data</t>
  </si>
  <si>
    <t>Aluminium (powder coated)</t>
  </si>
  <si>
    <t>Kurtoglu</t>
  </si>
  <si>
    <t>EPD, Uncoated_EPD (environdec.com)</t>
  </si>
  <si>
    <t>EPD, Anodised_EPD (environdec.com)</t>
  </si>
  <si>
    <t>POWDER COATED_EPD (environdec.com)</t>
  </si>
  <si>
    <t>Muskita</t>
  </si>
  <si>
    <t>calculated from figures</t>
  </si>
  <si>
    <t>Noting from figure 5% of aluminium production with electricity and fuels</t>
  </si>
  <si>
    <t>Average (Weighted)</t>
  </si>
  <si>
    <t>Noting from figure 4% of aluminium production with electricity and fuels</t>
  </si>
  <si>
    <t>Burak</t>
  </si>
  <si>
    <t>ASAS</t>
  </si>
  <si>
    <t>Tuna Aluminium</t>
  </si>
  <si>
    <t>Spanish Aluminium Association</t>
  </si>
  <si>
    <t>Aluminium (uncoated) - added max variation</t>
  </si>
  <si>
    <t>Aluminium (anodised) - added from max variation</t>
  </si>
  <si>
    <t>Noting from Figure - anodising approx. 14% of impact</t>
  </si>
  <si>
    <t>Aluminium (powder coated) - added from max variation</t>
  </si>
  <si>
    <t>Noting from figure - coating approx. 7% of impact</t>
  </si>
  <si>
    <t>Saray</t>
  </si>
  <si>
    <t>AlTaiseer</t>
  </si>
  <si>
    <t>Mt</t>
  </si>
  <si>
    <t xml:space="preserve">Australian Aluminium production in 2022/23 </t>
  </si>
  <si>
    <t>Excluding scrap and ores</t>
  </si>
  <si>
    <t>https://aluminium.org.au/australian-industry/australian-aluminium/#:~:text=There%20are%20currently%20four%20aluminium,which%201.42%20Mt%20was%20exported.</t>
  </si>
  <si>
    <t>Exported 2022/23</t>
  </si>
  <si>
    <t>Imported 2022/23</t>
  </si>
  <si>
    <t>Domestic use (Australian made) 2022/23</t>
  </si>
  <si>
    <t>https://aluminium.org.au/australian-industry/australian-trade-statistics/</t>
  </si>
  <si>
    <t>Domestic use (Global made) 2022/23</t>
  </si>
  <si>
    <t>Using import export values and data below of China being 50% of global market</t>
  </si>
  <si>
    <t>Domestic use (China made) 2022/23</t>
  </si>
  <si>
    <t>Australian average</t>
  </si>
  <si>
    <t>Global average (exc. China, Australia)</t>
  </si>
  <si>
    <t>As below</t>
  </si>
  <si>
    <t xml:space="preserve">Figure 8, LIFE CYCLE INVENTORY DATA AND ENVIRONMENTAL METRICS FOR THE PRIMARY ALUMINIUM INDUSTRY </t>
  </si>
  <si>
    <t>China average</t>
  </si>
  <si>
    <t xml:space="preserve">China responsible for half of aluminium production </t>
  </si>
  <si>
    <t>SUMIFS (quantity)</t>
  </si>
  <si>
    <t>SUMIFS (kg)</t>
  </si>
  <si>
    <t>COUNTIFS</t>
  </si>
  <si>
    <t>Extruded aluminium (powder coated).</t>
  </si>
  <si>
    <t>Using EFs determined in aluminium_extruded than multiplying by a factor for powder coating as determined using additional referenced data. Note this material sub-category is to act as a proxy for polyviylidene fluoride coating (PVDF coating).</t>
  </si>
  <si>
    <t>Additional</t>
  </si>
  <si>
    <t>Extruded aluminium uncoated.</t>
  </si>
  <si>
    <t>Australian production represented by industry study other areas well represented by EPDs.
Competitive international marketplace well represented. China biggest exporter to world market.
Market share of import/domestic information is unclear. 95% of Australian aluminium is exported. Imports of aluminium as extrusions 85 kt. ADvice is facades (in particularly large orders) are typically from offshore suppliers - façade workshop Dec 23) strong representation from big global producers.
Comparison average value is reasonable compared to reported global average.
Wide range of manufacturers (internationally)</t>
  </si>
  <si>
    <t xml:space="preserve">Used in wide array of applications including in curtain walls, wall and ceiling systems, facades etc. </t>
  </si>
  <si>
    <t>Any asphalt mix</t>
  </si>
  <si>
    <t xml:space="preserve">Good coverage of products from sites across Australia. 
Product ranges include wide array of mixes 
Numerous big suppliers of asphalt. Though remainder of smaller market players missing.
All Australasian EPDs
</t>
  </si>
  <si>
    <t xml:space="preserve">Determination of a generic buildings services rate as named in the material category. Includes mechanical, electrical and heating, ventilation and air conditioning. </t>
  </si>
  <si>
    <t>During consultation it was found that estimating the upfront carbon emissions for Building Services represented a challenge. 
Quantitative data on materials used in a building is not typically available, products are often not identified in sufficient detail to determine material. Appointing the appropriate emission factor and verifying quantities and product types is currently not achievable. Emission factors are also not always available for key components of Building Services i.e. centralised units. 
Building Services emission factors have instead been amalgamated to square meter rates dependent on the type of building. 
Emission factors are based on a detailed study conducted by Carbon Leadership Forum. 
The study is limited to expert agreed commercial residential buildings in America's north west. This may mean some items are oversized for the Australian context i.e. ducting due to predominantly cooler climates in the study's buildings.</t>
  </si>
  <si>
    <t>Geographical rating:</t>
  </si>
  <si>
    <t>EF source data rating;</t>
  </si>
  <si>
    <t>Market coverage rating;</t>
  </si>
  <si>
    <t>Data quality rating:</t>
  </si>
  <si>
    <t>Building services includes electrical, mechanical and plumbing services in a building. It excludes transportation services i.e. lifts and escalators. It does not include use phase of these services i.e. electricity consumption of lighting of the building or leakage of refrigerants.</t>
  </si>
  <si>
    <t>Categories were defined during industry consultation. EFs are based on detailed study conducted by Carbon Leadership Forum. The study is limited to expert agreed commercial residential buildings in America's north west</t>
  </si>
  <si>
    <t>MEP services emissions</t>
  </si>
  <si>
    <t>Sum of GWP [kg CO2e/m2]</t>
  </si>
  <si>
    <t>Sum of GWP [kg CO2e/kg]</t>
  </si>
  <si>
    <r>
      <t xml:space="preserve">Sum of Midpoint of </t>
    </r>
    <r>
      <rPr>
        <b/>
        <sz val="10"/>
        <color theme="1"/>
        <rFont val="Arial"/>
        <family val="2"/>
        <scheme val="minor"/>
      </rPr>
      <t xml:space="preserve">material quantity estimate (calculated) [kg/m2] </t>
    </r>
  </si>
  <si>
    <t>Mechanical, electrical, plumbing services</t>
  </si>
  <si>
    <t>Emissions (kg CO₂e/unit)</t>
  </si>
  <si>
    <t>Emissions (kg CO₂e/kg)</t>
  </si>
  <si>
    <t>Storage (kg CO₂e/unit)</t>
  </si>
  <si>
    <t>Storage (kg CO₂e/kg)</t>
  </si>
  <si>
    <t>Helper</t>
  </si>
  <si>
    <t>Building type</t>
  </si>
  <si>
    <t>Building model</t>
  </si>
  <si>
    <t>Electrical</t>
  </si>
  <si>
    <t>Mechanical</t>
  </si>
  <si>
    <t>Plumbing</t>
  </si>
  <si>
    <t>Grand Total</t>
  </si>
  <si>
    <t>Warehouse non-refrigerated</t>
  </si>
  <si>
    <t>Unit</t>
  </si>
  <si>
    <t>All offices commercial buildings ≤4 floors or ≤7500 sqm GFA</t>
  </si>
  <si>
    <t xml:space="preserve">Standard Office </t>
  </si>
  <si>
    <t>Max value from category ‘Xsmall’</t>
  </si>
  <si>
    <t>Large Standard a</t>
  </si>
  <si>
    <t>Large Standard b</t>
  </si>
  <si>
    <t>Medium Standard a</t>
  </si>
  <si>
    <t xml:space="preserve">All residential buildings </t>
  </si>
  <si>
    <t>Medium Standard b</t>
  </si>
  <si>
    <t>Small Standard a</t>
  </si>
  <si>
    <t>Small Standard b</t>
  </si>
  <si>
    <t>Avg value from category ‘small’ and xsmall low performance, MIN for avg EF</t>
  </si>
  <si>
    <t>XSmall Standard a</t>
  </si>
  <si>
    <t>All non-refrigerated/non-climate controlled warehouses/industrial facilities</t>
  </si>
  <si>
    <t>XSmall Standard b</t>
  </si>
  <si>
    <t xml:space="preserve">Remove all mechanical from total as not required/used. Max of 'small and 'xsmall' low performance, </t>
  </si>
  <si>
    <t>High performance office</t>
  </si>
  <si>
    <t>Large HP a</t>
  </si>
  <si>
    <t>Large HP b</t>
  </si>
  <si>
    <t>All hospitals</t>
  </si>
  <si>
    <t>Medium HP a</t>
  </si>
  <si>
    <t xml:space="preserve">Max value from ‘high performance buildings’ </t>
  </si>
  <si>
    <t>Medium HP b</t>
  </si>
  <si>
    <t>Small HP a</t>
  </si>
  <si>
    <t xml:space="preserve">Small HP b
</t>
  </si>
  <si>
    <t xml:space="preserve">All offices and commercial buildings (&gt;4 floors) &gt;7500 sqm GFA </t>
  </si>
  <si>
    <t>XSmall HP a</t>
  </si>
  <si>
    <t>Max value from ‘large’</t>
  </si>
  <si>
    <t>XSmall HP b</t>
  </si>
  <si>
    <t>Reference:</t>
  </si>
  <si>
    <t>External link - LCA of MEP and TI in Buildings - Carbon Leadership Forum</t>
  </si>
  <si>
    <t>Rodriguez, B.X., Lee H.W., Simonen, K., Huang, M. (2018) Life Cycle Assessment
(LCA) for Low Carbon Construction: Mechanical, Electrical, and Plumbing in
Commercial Office Buildings, Final Report.</t>
  </si>
  <si>
    <t>Rodriguez, B.X., Lee H.W., Simonen, K., Huang, M. (2018) Life Cycle Assessment (LCA) for Low Carbon Construction: Mechanical, Electrical, and Plumbing in Commercial Office Buildings, Data: CLF MEP LCA Calculator.xlsx</t>
  </si>
  <si>
    <t>Carpet for flooring including carpet tiles.</t>
  </si>
  <si>
    <t xml:space="preserve">No Australasian EPDs. 
15 International EPDs, from North America and Europe
Unknown how large or diverse products on market are. Reasonable number of products. 
Main supplier believed to be China. High use of regional proxy data.
</t>
  </si>
  <si>
    <t>Numerous styles of carpet piles and thickness</t>
  </si>
  <si>
    <t>Represents a generic wall or ceiling system as named in the material category. Includes framing and sheeting.</t>
  </si>
  <si>
    <t>EF source data rating:</t>
  </si>
  <si>
    <t>Market coverage rating:</t>
  </si>
  <si>
    <t>Masses have been provided by quantity surveyor estimates and area density data. Assembly assumed to occur onsite with waste not amalgamated into this emission factor but applied as A5 in the calculator according to the waste rate.</t>
  </si>
  <si>
    <t>Assembly calculator</t>
  </si>
  <si>
    <t>Ceiling and wall systems</t>
  </si>
  <si>
    <t>Ref: Unit conversions from Quantity Surveyor estimate and 13 mm plasterboard</t>
  </si>
  <si>
    <t>Ref: Unit conversions from data</t>
  </si>
  <si>
    <t>Ref: Unit conversions from Quantity Surveyor estimate and 9 mm fibre cement</t>
  </si>
  <si>
    <t>Ref: Based on Ultima Ceiling Panels same steel as plasterboard and fibre cement system.</t>
  </si>
  <si>
    <t>Ref: Unit conversions from Quantity Surveyor estimate</t>
  </si>
  <si>
    <t xml:space="preserve">Used as a lay in suspended ceiling systems. Includes various ceiling tile types made from various materials including mineral wool, perlite, clay. </t>
  </si>
  <si>
    <t>Records provided known to be used in Australia as used by pilot projects. Two from international sources, one local. 
Source data EPDs
Some market coverage</t>
  </si>
  <si>
    <t>Masonry bricks made from clay, including fired, perforated, engineering, and facing bricks.</t>
  </si>
  <si>
    <t xml:space="preserve">Brickworks Australia Climate active (now removed as out of date), while EPD (International) have 12 EPDs for clay.
Big companies in clay brick manufacturing are - Brickworks, CSR, BCG.
Small industry - mainly for residential construction - produce face bricks and common bricks - top 4 companies produce 60% of market supply - multiple clay pits across Australia. https://www.ibisworld.com/au/industry/clay-brick-manufacturing/208/#IndustryStatisticsAndTrends
As few local information found, will be using  international EPDs as a large part of market substitute.
</t>
  </si>
  <si>
    <t xml:space="preserve">Any concrete mix with a strength rating of 10 MPa or lower. </t>
  </si>
  <si>
    <t xml:space="preserve">Australian EPDs. From two Aus regions only. NT likely higher than most
Only one supplier. 3 products. 
Average comparison with other databases limited due to low MPa not commonly covered. But compares well to other strength grades 
</t>
  </si>
  <si>
    <t>Any concrete mix with a strength rating of 20 MPa or lower, and greater than 10MPa.</t>
  </si>
  <si>
    <t>Strong market coverage. Only Australasian EPDs well spread throughout Australia and across multiple suppliers.
Average compares well to other sources of EFs. 
No weighted average possible.</t>
  </si>
  <si>
    <t>Any concrete mix with a strength rating of 25 MPa or lower, and greater than 20 MPa.</t>
  </si>
  <si>
    <t>Any concrete mix with a strength rating of 32 MPa or lower, and greater than 25 MPa.</t>
  </si>
  <si>
    <t>Any concrete mix with a strength rating of 40 MPa or lower, and greater than 32 MPa.</t>
  </si>
  <si>
    <t>Any concrete mix with a strength rating of 50 MPa or lower, and greater than 40 MPa.</t>
  </si>
  <si>
    <t>Strong market coverage. Only Australasian EPDs well spread throughout Australia and across multiple suppliers.
Average compares well to other sources of EFs. 
No weighted average possible. Unknown how much SCM based concretes are sold versus GP concrete.</t>
  </si>
  <si>
    <t>Any concrete mix with a strength rating of 65 MPa or lower, and greater than 50 MPa.</t>
  </si>
  <si>
    <t>Reasonable market coverage. Only Australasian EPDs well spread throughout Australia and across multiple suppliers. 
Average compares well to other sources of EFs. 
No weighted average possible. Unknown how much SCM based concretes are sold versus GP concrete.</t>
  </si>
  <si>
    <t>Maximum of data source falls below the maximum for 50 MPa. Likely due to a limited source of market coverage at this strength rating. The max from 50 MPa has been used.</t>
  </si>
  <si>
    <t>Any concrete mix with a strength rating of 80 MPa or lower, and greater than 65 MPa.</t>
  </si>
  <si>
    <t>Smaller number of products than other lower (more typical) strength grades.
Only Australasian EPDs well spread throughout Australia and across multiple suppliers.
Average compares well to other sources of EFs. 
No weighted average possible. Unknown how much SCM based concretes are sold versus GP concrete.</t>
  </si>
  <si>
    <t>Any concrete mix with a strength rating above 80 MPa.</t>
  </si>
  <si>
    <t>A few examples.
Australian EPD.</t>
  </si>
  <si>
    <t>Concrete brick, block and roof tiles i.e. cinder block or concrete finishing brick/tile used in masonry. Not including any core fill material or reinforcing.</t>
  </si>
  <si>
    <t xml:space="preserve">Australian market share believed to be majority Australian producers.
Adbri and Austral represented. No others
2 Australasian EPDs and another 6 proxy EPDs from international sources.
Reasonable representation of the market
</t>
  </si>
  <si>
    <t>Not including any core fill material or reinforcing.</t>
  </si>
  <si>
    <t>Precast hollowcore concrete slabs including reinforcing steel.</t>
  </si>
  <si>
    <t xml:space="preserve">Four Australian products from one supplier EPD. Market coverage poor.
</t>
  </si>
  <si>
    <t>Declared unit is per cubic meters of slab including hollows/voids</t>
  </si>
  <si>
    <t>Any precast concrete panel including reinforcing steel (i.e. wall, deck, or balcony panel).</t>
  </si>
  <si>
    <t>Includes steel reinforcing.</t>
  </si>
  <si>
    <t xml:space="preserve">EPDs have been used to determine typical material masses of different precast panels. The emission factors are calculated using component parts therefore no EPDs are listed and uncertainty rating is 'untiered'. 50MPa concrete and bar and mesh reinforcing steel was assumed as per industry consultation. Energy and waste associated with the off-site assembly manufacturing process is added. </t>
  </si>
  <si>
    <t>Generic windows and doors</t>
  </si>
  <si>
    <t>Waste (%) - (estimated)</t>
  </si>
  <si>
    <t>Energy (GJ) (assumed)</t>
  </si>
  <si>
    <t>Conversion as recorded in EPD</t>
  </si>
  <si>
    <t>Reference EPD used for masses only</t>
  </si>
  <si>
    <t>Prefabricated concrete panel</t>
  </si>
  <si>
    <t>kg/kg</t>
  </si>
  <si>
    <t xml:space="preserve">Assumed energy 0.2 MJ/kg (estimated natural gas energy use) at 65.5 (51.5 +14) kgCO2.e/GJ kg Scope 1 and 3 non-metro NSW/ACT (NGA 2024 factors, national market based value). </t>
  </si>
  <si>
    <t>Represents a generic curtain wall as named in the material category. Includes glass, framing, spandrel/cladding material in one square meter rate.</t>
  </si>
  <si>
    <t xml:space="preserve">Curtain wall systems are highly variable and unique to the building.  
Emission factors available for complete curtain wall systems are limited to a handful of European EPDs - which industry suggests are not applicable to Australia as masses of materials and the supply chain of materials will be different, in particular for aluminium and glass. 
This calculation has been developed to quantify an emission factor for a number of generic curtain wall systems. It uses the quantity of key materials for select generic curtain walls and applies relevant default emission factors. 
</t>
  </si>
  <si>
    <t>Represents a system assembled off-site</t>
  </si>
  <si>
    <t>Generic curtain wall systems were defined using  "Carbon footprint of façades: significance of glass" (2022) by Arup and Saint-Gobain Glass, where material quantities were extrapolated using the materials contribution to the overall embodied carbon of the facade system (page 44 to 59) and the associated emission factor. 
These emission factors are calculated using component parts, and the average or default emission factors associated with the component. No EPDs are listed, uncertainty rating is 'untiered' and hence no maximum in class is reported. Energy and waste associated with the off-site assembly manufacturing process is added, in addition to margin for extra componentry associated with gaskets etc.</t>
  </si>
  <si>
    <t>Generic curtain walls</t>
  </si>
  <si>
    <t>Waste (%)  and extra componentry uplift (estimated)</t>
  </si>
  <si>
    <t>Energy</t>
  </si>
  <si>
    <t>Assumed energy 0.1 kWh/kg (estimated energy use) at 0.92 kg CO₂e/kWh(NGA 2024 factors, national market based value)</t>
  </si>
  <si>
    <t>Particleboard for walling or ceiling purposes (i.e. finished wall panel including coating).</t>
  </si>
  <si>
    <t>Industry EPD covers 50% of the particleboard manufacturing market in Australia. No further EPDs in Australasia entering Aus market.
Laminex NZ EPD used as proxy for international sources.
Average EF compares well with comparison EF (when including particleboard as one group).</t>
  </si>
  <si>
    <t>Import</t>
  </si>
  <si>
    <t>Wood based panels</t>
  </si>
  <si>
    <t>Import average</t>
  </si>
  <si>
    <t xml:space="preserve">The NABERS rating tool will only include carbon storage where a material will be expected to last more than 20 years within the building and where it has been sourced from a sustainable forest. </t>
  </si>
  <si>
    <t>Local</t>
  </si>
  <si>
    <t>Weighted average</t>
  </si>
  <si>
    <t xml:space="preserve">REF: </t>
  </si>
  <si>
    <t xml:space="preserve">https://www.agriculture.gov.au/abares/products/insights/snapshot-of-australias-forest-industry#production-and-consumption-of-final-wood-products </t>
  </si>
  <si>
    <t>Decorative Pb</t>
  </si>
  <si>
    <t>Australia | Imports and Exports | World | Plywood, veneered panels and similar laminated wood | Value (US$) and Value Growth, YoY (%) | 2011 - 2022 (trendeconomy.com)</t>
  </si>
  <si>
    <t>Australian forest and wood products statistics - DAFF (agriculture.gov.au)</t>
  </si>
  <si>
    <t>Figure 6</t>
  </si>
  <si>
    <t>Average (weighted)</t>
  </si>
  <si>
    <t>Hardwood glue laminated timber (GLT) or cross laminated timber (CLT) including treated and untreated.</t>
  </si>
  <si>
    <t>Good representation. Sector average EPDs (FWPA) which covers over 50% of the expected product range wood industry. 
Known to have international suppliers.
No international EPDs for hardwood - cannot conduct weighted average.
Average EF compares well to laminated timber (all) EF from existing database.</t>
  </si>
  <si>
    <t xml:space="preserve">Density </t>
  </si>
  <si>
    <t>Softwood glue laminated timber (GLT) or cross laminated timber (CLT) including treated and untreated.</t>
  </si>
  <si>
    <t>Good representation of market as it is a sector average EPD (FWPA) which covers over 50% of Australian production of the Australian wood industry - no international EPDs available.
Known suppliers - AU, Germany, Italy 
Industry information allows for weighted average. 
Average EF compares well to laminated timber (all) EF from existing database</t>
  </si>
  <si>
    <t>Industry consultation on importers</t>
  </si>
  <si>
    <t>Laminated veneer timber (LVL) including treated and untreated.</t>
  </si>
  <si>
    <t>Understood to be one LVL producer in Australia (no EPD) mostly imported products.
There are 3 NZ EPDs and 12 in EPD (International)
EDP International  from Turkey, Europe (Mainly Finland).
LVL import - China, USA, Russia, Poland, Vietnam, Finland.
From supplier list - AU, NZ, Italy.
Average EF lower than a comparison EF available (comparison EF not exactly LVL but laminated wood for external use).</t>
  </si>
  <si>
    <t>Medium density fibreboard (MDF) for decorative purposes (i.e. finished wall panel including coating).</t>
  </si>
  <si>
    <t>Australian EPD data for MDF products from FWPA Industry average EPD. Which includes three key Australian MDF producers.
One use of Japanese MDF International EPD as proxy for overseas products.
Average EF compares well to  EF from existing database.
Weighted average calculated using engineered wood panel as proxy information on import/export rates.</t>
  </si>
  <si>
    <t>Oriented strand board (OSB).</t>
  </si>
  <si>
    <t>There are no EPDs for AU. EPD (International) has 4 EPD.
Imports according to industry representatives large proportion of market. Asia and Northern Europe believed to be biggest exporters.</t>
  </si>
  <si>
    <t xml:space="preserve">Particleboard including walling and flooring applications </t>
  </si>
  <si>
    <t>Industry EPD covers 50% of the particleboard manufacturing market in Australia. No further EPDs in Australasia entering Aus market.
Norbord Europe EPD used as proxy for international sources.
Average EF compares well with comparison EF (when including decorative Pb as one group).</t>
  </si>
  <si>
    <t xml:space="preserve">Plywood timber for bracing, structural (walling, flooring), formwork purposes. </t>
  </si>
  <si>
    <t xml:space="preserve">Industry EPD covers 100% of the plywood manufacturing market in Australia. International EPDs are resonable proxies for 30% import market. Though none from Asia. </t>
  </si>
  <si>
    <t xml:space="preserve">Epoxy flooring - for use on concrete flooring or similar. </t>
  </si>
  <si>
    <t>Unknown whether products are used in Australia. EPDs used. Limited number of products covered.</t>
  </si>
  <si>
    <t xml:space="preserve">Escalator/travelator. Including all componentry (i.e. truss, stairs, rails and balustrade, drive train etc.) </t>
  </si>
  <si>
    <t>Limited number of suppliers (2). All global. 5 different products.
No Australian specific suppliers.
Market believed to be fulfilled by imported products partly assembled in Australia. 
No comparison EF.</t>
  </si>
  <si>
    <t>Board made from fibre cement including compressed sheet, flooring, cladding, lining and roofing boards. Thickness from 4 mm to 22 mm.</t>
  </si>
  <si>
    <t xml:space="preserve">Cement products are largely produced within Australia and not typically imported -  James Hardie is the #1 producer in Australia and globally. https://topcementcompanies.com/top-10-cement-companies-in-australia/
Australasian EPD for JH.
Missing information from other suppliers in Australian market. Some international boards considered all EPDs. 
</t>
  </si>
  <si>
    <t xml:space="preserve">Important to consider in the context of board thickness and size of sheet not cladding area (shape of sheet overlapping (i.e. when cladding) means area of sheet is more than area to be clad). Recommended to use kg CO2e/kg EF when thickness and mass is known. </t>
  </si>
  <si>
    <t>Various aggregates used as fill including quarry products, road base and ballast of differing size distributions.</t>
  </si>
  <si>
    <t>Covers variety of aggregates and different companies available.
All aggregates from EPD Australasia covered</t>
  </si>
  <si>
    <t>Glass reinforced concrete (GRC) or glass fibre reinforced concrete including all uses (i.e. as cladding or roofing).</t>
  </si>
  <si>
    <t xml:space="preserve">Three EPDs none Australian - or known to be present on Australian market.
International EPDs only.
No market information. No weighted average possible or understanding of supplier or product range. GRC also used in place of steel mesh reinforcing - product not represented. </t>
  </si>
  <si>
    <t>Glass used in windows, doors, curtain wall purposes. Including single, double and triple glazing units.</t>
  </si>
  <si>
    <t xml:space="preserve">No EPDs or data for big importer China. Only four firms represented.
None from China, 1 from India using natural gas, 1 from North America.
EPDs gathered are majority using natural gas. Coal dust and heavy fuel oil furnaces known to operate reasonable portion of market.
No EF for Australian manufacturer (noting 1 manufacturer in Australia).
One EPD for heavy fuel oil based furnaces - Pilkington.
</t>
  </si>
  <si>
    <t>Hybrid flooring.</t>
  </si>
  <si>
    <t>Representative product.</t>
  </si>
  <si>
    <t>Laminate flooring.</t>
  </si>
  <si>
    <t xml:space="preserve">No Australasian EPDs. 
2 International EPDs.
</t>
  </si>
  <si>
    <t>Lift (elevator) classified as category 1 and 2 from ISO 25745. Typically used in low rise (less 4 floors) building. Includes all elements of a lift installation i.e. lift cars, fittings, finishes, drive elements, electronics, guide rails, counterweights, ropes etc.</t>
  </si>
  <si>
    <t>Variety of the big lift suppliers all global.
No Australian specific suppliers.
Market believed to be fulfilled by imported products partly assembled in Australia. 
No comparison EF.</t>
  </si>
  <si>
    <t>Lift (elevator) classified as category 3 and 4 from ISO 25745. Typically used in medium rise (4-10 floor). Includes all elements of a lift installation i.e. lift cars, fittings, finishes, drive elements, electronics, guide rails, counterweights, ropes etc.</t>
  </si>
  <si>
    <t>Lift (elevator) classified as category 5 and 6 from ISO 25745. Typically used in high use environments, shopping centres, high-rise commercial.residential (10+ floors). Includes all elements of a lift installation i.e. lift cars, fittings, finishes, drive elements, electronics, guide rails, counterweights, ropes etc.</t>
  </si>
  <si>
    <t>Linoleum flooring - made from various materials.</t>
  </si>
  <si>
    <t>Products known to be used in Australia (evidence from pilot projects). EPDs used. Limited number of products covered.</t>
  </si>
  <si>
    <t>Structural Insulated Panels (SIP) of thickness less than or equal to 100 mm, including wall and roof panels.</t>
  </si>
  <si>
    <t xml:space="preserve">Multiple suppliers, multiple products.
Australasian EPDs.
Unknown market.
</t>
  </si>
  <si>
    <t xml:space="preserve">Important to consider board thickness. Recommended to use kg CO2e/kg EF when thickness and mass is known. </t>
  </si>
  <si>
    <t>Structural Insulated Panels (SIP) of thickness greater than 100 mm and no thicker than 250 mm including wall and roof panels.</t>
  </si>
  <si>
    <t>Ceramic tiles (wall and floor) and pavers including porcelain tiles.</t>
  </si>
  <si>
    <t>No Aus EPDs.
Limited international market representation. One from China, some Europe.  
China understood to be majority of imports. Domestic supply unknown.</t>
  </si>
  <si>
    <t>Stone tiles (wall and floor) and pavers including porcelain tiles, represented by granite and limestone quarry operations and surface preparation with stabilisation as needed.</t>
  </si>
  <si>
    <t>No Aus EPDs.
Limited international market representation. One from China, some Europe.  
China understood to be majority of imports. Domestic supply unknown.
Limited number of sources all together.
Two stone varieties limestone and granite</t>
  </si>
  <si>
    <t>Board made from plaster typically coated in paper. Thickness from 4 mm to 22 mm.</t>
  </si>
  <si>
    <t xml:space="preserve">Market information limited - though believed that most board used is produced locally. Boral holds strong market share. No EPD for plasterboard.
Siniat Australasian EPD used.  
Knauf present in Australian market no Australasian EPD. International EPD used as proxy.
Average EF lower than other databases. </t>
  </si>
  <si>
    <t>Plastic sheeting - various types of plastic inputs including polycarbonate.</t>
  </si>
  <si>
    <t>Unknown if these are in Australia. EPD sources. Poor market coverage.</t>
  </si>
  <si>
    <t>Aggregates generated from a recycled or recovered resource (e.g. from crushed recycled concrete).</t>
  </si>
  <si>
    <t>One product only. Representative product. Australasian EPD.</t>
  </si>
  <si>
    <t>Steel used to reinforce concrete structures as named in the material category.</t>
  </si>
  <si>
    <t>Annual output</t>
  </si>
  <si>
    <t>unit</t>
  </si>
  <si>
    <t>weighting</t>
  </si>
  <si>
    <t>Comment</t>
  </si>
  <si>
    <t>Reference for output value</t>
  </si>
  <si>
    <t>Australian sourced reo</t>
  </si>
  <si>
    <t xml:space="preserve">based on total steel flows </t>
  </si>
  <si>
    <t xml:space="preserve">https://www.worldsteel.org/en/dam/jcr:66fed386-fd0b-485e-aa23-b8a5e7533435/Position_paper_climate_2018.pdf </t>
  </si>
  <si>
    <t>17 EPD products - 8 from Aus - 3 suppliers.
Average EF compares well against other emission factors.
Weighted average possible based on output.
International EPDs represent known suppliers into Australia market i.e. Singapore/India but no South Korea or China EPDs.
Not enough information to break down between strand/fibre and bar/mesh</t>
  </si>
  <si>
    <t>International sourced reo</t>
  </si>
  <si>
    <t>International example</t>
  </si>
  <si>
    <t>Broad definition of reinforcing steel that includes a mixture of reinforcing bars, mesh, fibre, cages and strand products</t>
  </si>
  <si>
    <t>Steel, reinforcing</t>
  </si>
  <si>
    <t>Roller door (i.e. sectional door or garage door) including all elements steel, electrical drives etc.</t>
  </si>
  <si>
    <t xml:space="preserve">One representative product. 
International EPD. No Australasian EPDs.
</t>
  </si>
  <si>
    <t>Electrical componentry not possible to model in window/door calculator.</t>
  </si>
  <si>
    <t>Clay and terracotta roof tiles.</t>
  </si>
  <si>
    <t xml:space="preserve">No Aus EPDs.
Limited international market representation i.e. one Turkish product with EPD believed to be entering Aus market (facades workshop 12/23).
Limited number of product EPDs.
Terracotta tiles are made of Australian clay - CSR Monier. </t>
  </si>
  <si>
    <t>Rubber flooring.</t>
  </si>
  <si>
    <t xml:space="preserve">No Australasian EPDs. 
1 International EPD.
Unknown how large or diverse products on market are. Reasonable number of products. 
</t>
  </si>
  <si>
    <t>Sand used as fill or for stabilsation purposes, including various rates of stabliser inclusion from 7% to 25%.</t>
  </si>
  <si>
    <t>All stainless steel.</t>
  </si>
  <si>
    <t xml:space="preserve">No Australian based suppliers. Though Australian market is believed to be all imports (no local manufacture)
China biggest manufacturer and exporter globally. Do not have a representative EPD.  
Unsure whether these EPDs, mostly Europe, represent supply into Australia
Poor representation of the market.
</t>
  </si>
  <si>
    <t>Steel cladding with a metallic coating including all base metal thicknesses (BMT) from 0.3 mm to 2.9mm.</t>
  </si>
  <si>
    <t>3 big suppliers - Australian EPD data and Indian EPD data.
Good spread of products
Market dominated by bluescope other EPDs used confirmed to be sold in Australia (industry consultation)</t>
  </si>
  <si>
    <t>Steel cladding that has been painted, including all base metal thicknesses (BMT) from 0.42 mm to 1.0 mm.</t>
  </si>
  <si>
    <t>3 big suppliers - Australian EPD data and Indian EPD data.
Good spread of products
Market dominated by bluescope others confirmed to be sold in Australia (industry consultation)</t>
  </si>
  <si>
    <t>Steel used for structural purposes that has undergone cold-rolled steel production route.</t>
  </si>
  <si>
    <t>Domestic sources majorty of market, though understood some is being imported.
Good spread of products</t>
  </si>
  <si>
    <t>weighting no intl</t>
  </si>
  <si>
    <t>Steel used for structural purposes (unpainted, not galvanised) that has undergone hot-rolled steel production route. Including beams, columns, angles, flange channels, hollow sections.</t>
  </si>
  <si>
    <t>Whyalla (Liberty)</t>
  </si>
  <si>
    <t>About the Steelworks | GFG Alliance</t>
  </si>
  <si>
    <t>Kembla (Bluescope)</t>
  </si>
  <si>
    <t>https://www.steel.org.au/Membership/media/Australian-Steel-Institute/PDFs/Steel-Industry-Capability-document-050623.pdf</t>
  </si>
  <si>
    <t>3 big suppliers - 2 big smelters - comparison  good - weighted average possible - Australian EPD data for most part.
International sources available only as proxies for market i.e. India used to represent Asia/China.
Good spread of products represented</t>
  </si>
  <si>
    <t xml:space="preserve">International </t>
  </si>
  <si>
    <t>Whyalla average</t>
  </si>
  <si>
    <t>Kembla average</t>
  </si>
  <si>
    <t>International</t>
  </si>
  <si>
    <t>Steel (galvanised) used for structural purposes that has undergone hot-rolled steel production route. Including beams, columns, angles, flange channels, hollow sections.</t>
  </si>
  <si>
    <t>3 big suppliers - 2 big smelters - comparison  good - weighted average possible - Australian EPD data for most part.
International sources available only as proxies for market i.e. India used to represent Asia/China.
Good spread of products represented. Galvanizing information from Australian industry EPD.</t>
  </si>
  <si>
    <t>Structural (galvanised) (hot rolled)</t>
  </si>
  <si>
    <t>The GAA EPD provides an indication of the protection provided for a coating on an 8 mm thick piece of steel in a C3 corrosivity category, as described in AS/NZS 2312.2. In this case, the average protection is 61 years. In more corrosive environments the protection will be shorter, while in less corrosive locations, the protection period will be longer.</t>
  </si>
  <si>
    <t>Painted steel</t>
  </si>
  <si>
    <t>Emissions</t>
  </si>
  <si>
    <t>Storage</t>
  </si>
  <si>
    <t>kg of GWP/m2</t>
  </si>
  <si>
    <t>https://www.umcuae.ae/downloads/EPD_UMC%20Final%20Certified.pdf</t>
  </si>
  <si>
    <t>Designation</t>
  </si>
  <si>
    <t>Ratio</t>
  </si>
  <si>
    <r>
      <t>Carbon Footprint
GWP [kg CO</t>
    </r>
    <r>
      <rPr>
        <vertAlign val="subscript"/>
        <sz val="11"/>
        <color theme="1"/>
        <rFont val="Arial"/>
        <family val="2"/>
        <scheme val="minor"/>
      </rPr>
      <t>2</t>
    </r>
    <r>
      <rPr>
        <sz val="11"/>
        <color theme="1"/>
        <rFont val="Arial"/>
        <family val="2"/>
        <scheme val="minor"/>
      </rPr>
      <t>-eq.]</t>
    </r>
  </si>
  <si>
    <r>
      <t xml:space="preserve">Uses </t>
    </r>
    <r>
      <rPr>
        <b/>
        <sz val="11"/>
        <color theme="1"/>
        <rFont val="Arial"/>
        <family val="2"/>
        <scheme val="minor"/>
      </rPr>
      <t xml:space="preserve">max steel </t>
    </r>
    <r>
      <rPr>
        <sz val="11"/>
        <color theme="1"/>
        <rFont val="Arial"/>
        <family val="2"/>
        <scheme val="minor"/>
      </rPr>
      <t>EF as input</t>
    </r>
  </si>
  <si>
    <r>
      <t xml:space="preserve">Uses </t>
    </r>
    <r>
      <rPr>
        <b/>
        <sz val="11"/>
        <color theme="1"/>
        <rFont val="Arial"/>
        <family val="2"/>
        <scheme val="minor"/>
      </rPr>
      <t>Avg</t>
    </r>
    <r>
      <rPr>
        <sz val="11"/>
        <color theme="1"/>
        <rFont val="Arial"/>
        <family val="2"/>
        <scheme val="minor"/>
      </rPr>
      <t xml:space="preserve"> steel EF as input</t>
    </r>
  </si>
  <si>
    <r>
      <t xml:space="preserve">Uses </t>
    </r>
    <r>
      <rPr>
        <b/>
        <sz val="11"/>
        <color theme="1"/>
        <rFont val="Arial"/>
        <family val="2"/>
        <scheme val="minor"/>
      </rPr>
      <t>MIN</t>
    </r>
    <r>
      <rPr>
        <sz val="11"/>
        <color theme="1"/>
        <rFont val="Arial"/>
        <family val="2"/>
        <scheme val="minor"/>
      </rPr>
      <t xml:space="preserve"> steel EF as input</t>
    </r>
  </si>
  <si>
    <r>
      <t xml:space="preserve">EF steel </t>
    </r>
    <r>
      <rPr>
        <b/>
        <sz val="11"/>
        <color theme="1"/>
        <rFont val="Arial"/>
        <family val="2"/>
        <scheme val="minor"/>
      </rPr>
      <t>Max</t>
    </r>
  </si>
  <si>
    <t>EF Zinc</t>
  </si>
  <si>
    <t>Gal steel - Max</t>
  </si>
  <si>
    <r>
      <t xml:space="preserve">EF steel </t>
    </r>
    <r>
      <rPr>
        <b/>
        <sz val="11"/>
        <color theme="1"/>
        <rFont val="Arial"/>
        <family val="2"/>
        <scheme val="minor"/>
      </rPr>
      <t>Avg</t>
    </r>
  </si>
  <si>
    <r>
      <t xml:space="preserve">Gal steel - </t>
    </r>
    <r>
      <rPr>
        <b/>
        <sz val="11"/>
        <color theme="1"/>
        <rFont val="Arial"/>
        <family val="2"/>
        <scheme val="minor"/>
      </rPr>
      <t>Avg</t>
    </r>
  </si>
  <si>
    <r>
      <t xml:space="preserve">EF steel </t>
    </r>
    <r>
      <rPr>
        <b/>
        <sz val="11"/>
        <color theme="1"/>
        <rFont val="Arial"/>
        <family val="2"/>
        <scheme val="minor"/>
      </rPr>
      <t>MIN</t>
    </r>
  </si>
  <si>
    <r>
      <t xml:space="preserve">Gal steel - </t>
    </r>
    <r>
      <rPr>
        <b/>
        <sz val="11"/>
        <color theme="1"/>
        <rFont val="Arial"/>
        <family val="2"/>
        <scheme val="minor"/>
      </rPr>
      <t>Min</t>
    </r>
  </si>
  <si>
    <t>Additional:</t>
  </si>
  <si>
    <t>Zinc</t>
  </si>
  <si>
    <t>Total</t>
  </si>
  <si>
    <t>%HDG</t>
  </si>
  <si>
    <t>GWP - NABERS Steel</t>
  </si>
  <si>
    <t>GWP - NABERS Zinc</t>
  </si>
  <si>
    <t>NABERS - GWP Total</t>
  </si>
  <si>
    <t>NABERS - GWP total</t>
  </si>
  <si>
    <t>GWP</t>
  </si>
  <si>
    <t>Uncertainty adjusted</t>
  </si>
  <si>
    <t>Reference</t>
  </si>
  <si>
    <t>200x200x26 EA</t>
  </si>
  <si>
    <t>https://epd-australasia.com/wp-content/uploads/2019/10/Environmental-Product-Declaration-for-Galvanizers-Association-of-Australia.pdf</t>
  </si>
  <si>
    <t>200x200x20 EA</t>
  </si>
  <si>
    <t>200x200x18 EA</t>
  </si>
  <si>
    <t>200x200x16 EA</t>
  </si>
  <si>
    <t>200x200x13 EA</t>
  </si>
  <si>
    <t>150x150x19 EA</t>
  </si>
  <si>
    <t>150x150x16 EA</t>
  </si>
  <si>
    <t>150x150x12 EA</t>
  </si>
  <si>
    <t>150x150x10 EA</t>
  </si>
  <si>
    <t>125x125x16 EA</t>
  </si>
  <si>
    <t>125x125x12 EA</t>
  </si>
  <si>
    <t>125x125x10 EA</t>
  </si>
  <si>
    <t>125x125x8 EA</t>
  </si>
  <si>
    <t>100x100x12 EA</t>
  </si>
  <si>
    <t>100x100x10 EA</t>
  </si>
  <si>
    <t>100x100x8  EA</t>
  </si>
  <si>
    <t>100x100x6 EA</t>
  </si>
  <si>
    <t>90x90x10 EA</t>
  </si>
  <si>
    <t>90x90x8 EA</t>
  </si>
  <si>
    <t>90x90x6 EA</t>
  </si>
  <si>
    <t>75x75x10 EA</t>
  </si>
  <si>
    <t>75x75x8 EA</t>
  </si>
  <si>
    <t>75x75x6 EA</t>
  </si>
  <si>
    <t>75x75x5 EA</t>
  </si>
  <si>
    <t>65x65x10 EA</t>
  </si>
  <si>
    <t>65x65x8 EA</t>
  </si>
  <si>
    <t>65x65x6 EA</t>
  </si>
  <si>
    <t>65x65x5 EA</t>
  </si>
  <si>
    <t>55x55x6 EA</t>
  </si>
  <si>
    <t>55x55x5 EA</t>
  </si>
  <si>
    <t>50x50x8 EA</t>
  </si>
  <si>
    <t>50x50x6 EA</t>
  </si>
  <si>
    <t>50x50x5 EA</t>
  </si>
  <si>
    <t>50x50x3 EA</t>
  </si>
  <si>
    <t>45x45x6 EA</t>
  </si>
  <si>
    <t>45x45x5 EA</t>
  </si>
  <si>
    <t>45x45x3 EA</t>
  </si>
  <si>
    <t>40x40x6 EA</t>
  </si>
  <si>
    <t>40x40x5 EA</t>
  </si>
  <si>
    <t>40x40x3 EA</t>
  </si>
  <si>
    <t>30x30x6 EA</t>
  </si>
  <si>
    <t>30x30x5 EA</t>
  </si>
  <si>
    <t>30x30x3 EA</t>
  </si>
  <si>
    <t>25x25x6 EA</t>
  </si>
  <si>
    <t>25x25x5 EA</t>
  </si>
  <si>
    <t>25x25x3 EA</t>
  </si>
  <si>
    <t>150x100x12 UA</t>
  </si>
  <si>
    <t>150x100x10 UA</t>
  </si>
  <si>
    <t>150x90x16 UA</t>
  </si>
  <si>
    <t>150x90x12 UA</t>
  </si>
  <si>
    <t>150x90x10 UA</t>
  </si>
  <si>
    <t>150x90x8 UA</t>
  </si>
  <si>
    <t>125x75x12 UA</t>
  </si>
  <si>
    <t>125x75x10 UA</t>
  </si>
  <si>
    <t>125x75x8 UA</t>
  </si>
  <si>
    <t>125x75x6 UA</t>
  </si>
  <si>
    <t>100x75x10 UA</t>
  </si>
  <si>
    <t>100x75x8 UA</t>
  </si>
  <si>
    <t>100x75x6 UA</t>
  </si>
  <si>
    <t>75x50x8 UA</t>
  </si>
  <si>
    <t>75x50x6 UA</t>
  </si>
  <si>
    <t>75x50x5 UA</t>
  </si>
  <si>
    <t>65x50x8 UA</t>
  </si>
  <si>
    <t>65x50x6 UA</t>
  </si>
  <si>
    <t>65x50x5 UA</t>
  </si>
  <si>
    <t>380PFC</t>
  </si>
  <si>
    <t>300PFC</t>
  </si>
  <si>
    <t>250PFC</t>
  </si>
  <si>
    <t>230PFC</t>
  </si>
  <si>
    <t>200PFC</t>
  </si>
  <si>
    <t>180PFC</t>
  </si>
  <si>
    <t>150PFC</t>
  </si>
  <si>
    <t>125PFC</t>
  </si>
  <si>
    <t>100PFC</t>
  </si>
  <si>
    <t>75PFC</t>
  </si>
  <si>
    <t>610UB125</t>
  </si>
  <si>
    <t>610UB113</t>
  </si>
  <si>
    <t>610UB101</t>
  </si>
  <si>
    <t>530UB92.4</t>
  </si>
  <si>
    <t>530UB82.0</t>
  </si>
  <si>
    <t>460UB82.1</t>
  </si>
  <si>
    <t>460UB74.6</t>
  </si>
  <si>
    <t>460UB67.1</t>
  </si>
  <si>
    <t>410UB59.7</t>
  </si>
  <si>
    <t>410UB53.7</t>
  </si>
  <si>
    <t>360UB56.7</t>
  </si>
  <si>
    <t>360UB50.7</t>
  </si>
  <si>
    <t>360UB44.7</t>
  </si>
  <si>
    <t>310UB46.2</t>
  </si>
  <si>
    <t>310UB40.4</t>
  </si>
  <si>
    <t>310UB32.0</t>
  </si>
  <si>
    <t>250UB37.3</t>
  </si>
  <si>
    <t>250UB31.4</t>
  </si>
  <si>
    <t>250UB25.7</t>
  </si>
  <si>
    <t>200UB29.8</t>
  </si>
  <si>
    <t>200UB25.4</t>
  </si>
  <si>
    <t>200UB22.3</t>
  </si>
  <si>
    <t>200UB18.2</t>
  </si>
  <si>
    <t>180UB22.2</t>
  </si>
  <si>
    <t>180UB18.1</t>
  </si>
  <si>
    <t>180UB16.1</t>
  </si>
  <si>
    <t>150UB18.0</t>
  </si>
  <si>
    <t>150UB14.0</t>
  </si>
  <si>
    <t>310UC158</t>
  </si>
  <si>
    <t>310UC137</t>
  </si>
  <si>
    <t>310UC118</t>
  </si>
  <si>
    <t>310UC96.8</t>
  </si>
  <si>
    <t>250UC89.5</t>
  </si>
  <si>
    <t>250UC72.9</t>
  </si>
  <si>
    <t>200UC59.5</t>
  </si>
  <si>
    <t>200UC52.2</t>
  </si>
  <si>
    <t>200UC46.2</t>
  </si>
  <si>
    <t>150UC37.2</t>
  </si>
  <si>
    <t>150UC30.0</t>
  </si>
  <si>
    <t>150UC23.4</t>
  </si>
  <si>
    <t>100UC14.8</t>
  </si>
  <si>
    <t>1200WB455</t>
  </si>
  <si>
    <t>1200WB423</t>
  </si>
  <si>
    <t>1200WB392</t>
  </si>
  <si>
    <t>1200WB342</t>
  </si>
  <si>
    <t>1200WB317</t>
  </si>
  <si>
    <t>1200WB278</t>
  </si>
  <si>
    <t>1200WB249</t>
  </si>
  <si>
    <t>1000WB322</t>
  </si>
  <si>
    <t>1000WB296</t>
  </si>
  <si>
    <t>1000WB258</t>
  </si>
  <si>
    <t>1000WB215</t>
  </si>
  <si>
    <t>900WB282</t>
  </si>
  <si>
    <t>900WB257</t>
  </si>
  <si>
    <t>900WB218</t>
  </si>
  <si>
    <t>900WB175</t>
  </si>
  <si>
    <t>800WB192</t>
  </si>
  <si>
    <t>800WB168</t>
  </si>
  <si>
    <t>800WB146</t>
  </si>
  <si>
    <t>800WB122</t>
  </si>
  <si>
    <t>700WB173</t>
  </si>
  <si>
    <t>700WB150</t>
  </si>
  <si>
    <t>700WB130</t>
  </si>
  <si>
    <t>700WB115</t>
  </si>
  <si>
    <t>500WC440</t>
  </si>
  <si>
    <t>500WC414</t>
  </si>
  <si>
    <t>500WC383</t>
  </si>
  <si>
    <t>500WC340</t>
  </si>
  <si>
    <t>500WC290</t>
  </si>
  <si>
    <t>500WC267</t>
  </si>
  <si>
    <t>500WC228</t>
  </si>
  <si>
    <t>400WC361</t>
  </si>
  <si>
    <t>400WC328</t>
  </si>
  <si>
    <t>400WC303</t>
  </si>
  <si>
    <t>400WC270</t>
  </si>
  <si>
    <t>400WC212</t>
  </si>
  <si>
    <t>400WC181</t>
  </si>
  <si>
    <t>400WC144</t>
  </si>
  <si>
    <t>350WC280</t>
  </si>
  <si>
    <t>350WC258</t>
  </si>
  <si>
    <t>350WC230</t>
  </si>
  <si>
    <t>350WC197</t>
  </si>
  <si>
    <t>300x12</t>
  </si>
  <si>
    <t>300x10</t>
  </si>
  <si>
    <t>300x8</t>
  </si>
  <si>
    <t>300x6</t>
  </si>
  <si>
    <t>250x12</t>
  </si>
  <si>
    <t>250x10</t>
  </si>
  <si>
    <t>250x8</t>
  </si>
  <si>
    <t>250x6</t>
  </si>
  <si>
    <t>200x25</t>
  </si>
  <si>
    <t>200x20</t>
  </si>
  <si>
    <t>200x16</t>
  </si>
  <si>
    <t>200x12</t>
  </si>
  <si>
    <t>200x10</t>
  </si>
  <si>
    <t>200x8</t>
  </si>
  <si>
    <t>200x6</t>
  </si>
  <si>
    <t>180x20</t>
  </si>
  <si>
    <t>180x12</t>
  </si>
  <si>
    <t>180x10</t>
  </si>
  <si>
    <t>180x6</t>
  </si>
  <si>
    <t>150x50</t>
  </si>
  <si>
    <t>150x25</t>
  </si>
  <si>
    <t>150x20</t>
  </si>
  <si>
    <t>150x16</t>
  </si>
  <si>
    <t>150x12</t>
  </si>
  <si>
    <t>150x10</t>
  </si>
  <si>
    <t>150x8</t>
  </si>
  <si>
    <t>150x6</t>
  </si>
  <si>
    <t>150x5</t>
  </si>
  <si>
    <t>130x25</t>
  </si>
  <si>
    <t>130x20</t>
  </si>
  <si>
    <t>130x16</t>
  </si>
  <si>
    <t>130x12</t>
  </si>
  <si>
    <t>130x10</t>
  </si>
  <si>
    <t>130x8</t>
  </si>
  <si>
    <t>130x6</t>
  </si>
  <si>
    <t>130x5</t>
  </si>
  <si>
    <t>110x12</t>
  </si>
  <si>
    <t>110x10</t>
  </si>
  <si>
    <t>110x8</t>
  </si>
  <si>
    <t>110x6</t>
  </si>
  <si>
    <t>100x50</t>
  </si>
  <si>
    <t>100x25</t>
  </si>
  <si>
    <t>100x20</t>
  </si>
  <si>
    <t>100x16</t>
  </si>
  <si>
    <t>100x12</t>
  </si>
  <si>
    <t>100x10</t>
  </si>
  <si>
    <t>100x8</t>
  </si>
  <si>
    <t>100x6</t>
  </si>
  <si>
    <t>100x5</t>
  </si>
  <si>
    <t>90x12</t>
  </si>
  <si>
    <t>90x10</t>
  </si>
  <si>
    <t>90x8</t>
  </si>
  <si>
    <t>90x6</t>
  </si>
  <si>
    <t>75x40</t>
  </si>
  <si>
    <t>75x25</t>
  </si>
  <si>
    <t>75x20</t>
  </si>
  <si>
    <t>75x16</t>
  </si>
  <si>
    <t>75x12</t>
  </si>
  <si>
    <t>75x10</t>
  </si>
  <si>
    <t>75x8</t>
  </si>
  <si>
    <t>75x6</t>
  </si>
  <si>
    <t>75x5</t>
  </si>
  <si>
    <t>65x20</t>
  </si>
  <si>
    <t>65x16</t>
  </si>
  <si>
    <t>65x12</t>
  </si>
  <si>
    <t>65x10</t>
  </si>
  <si>
    <t>65x8</t>
  </si>
  <si>
    <t>65x6</t>
  </si>
  <si>
    <t>65x5</t>
  </si>
  <si>
    <t>50x25</t>
  </si>
  <si>
    <t>50x20</t>
  </si>
  <si>
    <t>50x16</t>
  </si>
  <si>
    <t>50x12</t>
  </si>
  <si>
    <t>50x10</t>
  </si>
  <si>
    <t>50x8</t>
  </si>
  <si>
    <t>50x6</t>
  </si>
  <si>
    <t>50x5</t>
  </si>
  <si>
    <t>40x20</t>
  </si>
  <si>
    <t>40x16</t>
  </si>
  <si>
    <t>40x12</t>
  </si>
  <si>
    <t>40x10</t>
  </si>
  <si>
    <t>40x8</t>
  </si>
  <si>
    <t>40x6</t>
  </si>
  <si>
    <t>40x5</t>
  </si>
  <si>
    <t>32x12</t>
  </si>
  <si>
    <t>32x10</t>
  </si>
  <si>
    <t>32x8</t>
  </si>
  <si>
    <t>32x6</t>
  </si>
  <si>
    <t>32x5</t>
  </si>
  <si>
    <t>25x12</t>
  </si>
  <si>
    <t>25x10</t>
  </si>
  <si>
    <t>25x8</t>
  </si>
  <si>
    <t>25x6</t>
  </si>
  <si>
    <t>25x5</t>
  </si>
  <si>
    <t>20x10</t>
  </si>
  <si>
    <t>18 Rod</t>
  </si>
  <si>
    <t>17 Rod</t>
  </si>
  <si>
    <t>16 Rod</t>
  </si>
  <si>
    <t>15 Rod</t>
  </si>
  <si>
    <t>14 Rod</t>
  </si>
  <si>
    <t>13 Rod</t>
  </si>
  <si>
    <t>12.5 Rod</t>
  </si>
  <si>
    <t>11.2 Rod</t>
  </si>
  <si>
    <t>10 Rod</t>
  </si>
  <si>
    <t>9 Rod</t>
  </si>
  <si>
    <t>8 Rod</t>
  </si>
  <si>
    <t>7 Rod</t>
  </si>
  <si>
    <t>6.5 Rod</t>
  </si>
  <si>
    <t>5.5 Rod</t>
  </si>
  <si>
    <t>100 Round</t>
  </si>
  <si>
    <t>90 Round</t>
  </si>
  <si>
    <t>80 Round</t>
  </si>
  <si>
    <t>75 Round</t>
  </si>
  <si>
    <t>65 Round</t>
  </si>
  <si>
    <t>60 Round</t>
  </si>
  <si>
    <t>56 Round</t>
  </si>
  <si>
    <t>50 Round</t>
  </si>
  <si>
    <t>48 Round</t>
  </si>
  <si>
    <t>45 Round</t>
  </si>
  <si>
    <t>42 Round</t>
  </si>
  <si>
    <t>39 Round</t>
  </si>
  <si>
    <t>36 Round</t>
  </si>
  <si>
    <t>33 Round</t>
  </si>
  <si>
    <t>32 Round</t>
  </si>
  <si>
    <t>30 Round</t>
  </si>
  <si>
    <t>27 Round</t>
  </si>
  <si>
    <t>26 Round</t>
  </si>
  <si>
    <t>24 Round</t>
  </si>
  <si>
    <t>22 Round</t>
  </si>
  <si>
    <t>21 Round</t>
  </si>
  <si>
    <t>20 Round</t>
  </si>
  <si>
    <t>19 Round</t>
  </si>
  <si>
    <t>18 Round</t>
  </si>
  <si>
    <t>17 Round</t>
  </si>
  <si>
    <t>16 Round</t>
  </si>
  <si>
    <t>15 Round</t>
  </si>
  <si>
    <t>14 Round</t>
  </si>
  <si>
    <t>13 Round</t>
  </si>
  <si>
    <t>40 Square</t>
  </si>
  <si>
    <t>25 Square</t>
  </si>
  <si>
    <t>20 Square</t>
  </si>
  <si>
    <t>16 Square</t>
  </si>
  <si>
    <t>12 Square</t>
  </si>
  <si>
    <t>457.0x12.7 CHS</t>
  </si>
  <si>
    <t>457.0x9.5 CHS</t>
  </si>
  <si>
    <t>457.0x6.4 CHS</t>
  </si>
  <si>
    <t>406.4x12.7 CHS</t>
  </si>
  <si>
    <t>406.4x9.5 CHS</t>
  </si>
  <si>
    <t>406.4x 6.4 CHS</t>
  </si>
  <si>
    <t>355.6x12.7 CHS</t>
  </si>
  <si>
    <t>355.6x 9.5 CHS</t>
  </si>
  <si>
    <t>355.6x6.4 CHS</t>
  </si>
  <si>
    <t>323.9x12.7 CHS</t>
  </si>
  <si>
    <t>323.9x9.5 CHS</t>
  </si>
  <si>
    <t>323.9x6.4 CHS</t>
  </si>
  <si>
    <t>273.1x12.7 CHS</t>
  </si>
  <si>
    <t>273.1x9.3 CHS</t>
  </si>
  <si>
    <t>273.1x6.4 CHS</t>
  </si>
  <si>
    <t>273.1x4.8 CHS</t>
  </si>
  <si>
    <t>219.1x8.2 CHS</t>
  </si>
  <si>
    <t>219.1x6.4 CHS</t>
  </si>
  <si>
    <t>219.1x4.8 CHS</t>
  </si>
  <si>
    <t>168.3x7.1 CHS</t>
  </si>
  <si>
    <t>168.3x6.4 CHS</t>
  </si>
  <si>
    <t>168.3x4.8 CHS</t>
  </si>
  <si>
    <t>165.1x5.4 CHS</t>
  </si>
  <si>
    <t>165.1x5.0 CHS</t>
  </si>
  <si>
    <t>165.1x3.5 CHS</t>
  </si>
  <si>
    <t>139.7x5.4 CHS</t>
  </si>
  <si>
    <t>139.7x5.0 CHS</t>
  </si>
  <si>
    <t>139.7x3.5 CHS</t>
  </si>
  <si>
    <t>139.7x3.0 CHS</t>
  </si>
  <si>
    <t>114.3x5.4 CHS</t>
  </si>
  <si>
    <t>114.3x4.5 CHS</t>
  </si>
  <si>
    <t>114.3x3.6 CHS</t>
  </si>
  <si>
    <t>114.3x3.2 CHS</t>
  </si>
  <si>
    <t>101.6x5.0 CHS</t>
  </si>
  <si>
    <t>101.6x4.0 CHS</t>
  </si>
  <si>
    <t>101.6x3.2 CHS</t>
  </si>
  <si>
    <t>101.6x2.6 CHS</t>
  </si>
  <si>
    <t>88.9x5.9 CHS</t>
  </si>
  <si>
    <t>88.9x5.0 CHS</t>
  </si>
  <si>
    <t>88.9x4.0 CHS</t>
  </si>
  <si>
    <t>88.9x3.2 CHS</t>
  </si>
  <si>
    <t>88.9x2.6 CHS</t>
  </si>
  <si>
    <t>76.1x5.9 CHS</t>
  </si>
  <si>
    <t>76.1x4.5 CHS</t>
  </si>
  <si>
    <t>76.1x3.6 CHS</t>
  </si>
  <si>
    <t>76.1x3.2 CHS</t>
  </si>
  <si>
    <t>76.1x2.3 CHS</t>
  </si>
  <si>
    <t>60.3x5.4 CHS</t>
  </si>
  <si>
    <t>60.3x4.5 CHS</t>
  </si>
  <si>
    <t>60.3x3.6 CHS</t>
  </si>
  <si>
    <t>60.3x2.9 CHS</t>
  </si>
  <si>
    <t>60.3x2.3 CHS</t>
  </si>
  <si>
    <t>48.3x5.4 CHS</t>
  </si>
  <si>
    <t>48.3x4.0 CHS</t>
  </si>
  <si>
    <t>48.3x3.2 CHS</t>
  </si>
  <si>
    <t>48.3x2.9 CHS</t>
  </si>
  <si>
    <t>48.3x2.3 CHS</t>
  </si>
  <si>
    <t>42.4x4.0 CHS</t>
  </si>
  <si>
    <t>42.4x3.2 CHS</t>
  </si>
  <si>
    <t>42.4x2.6 CHS</t>
  </si>
  <si>
    <t>42.4x2.0 CHS</t>
  </si>
  <si>
    <t>33.7x4.0 CHS</t>
  </si>
  <si>
    <t>33.7x3.2 CHS</t>
  </si>
  <si>
    <t>33.7x2.6 CHS</t>
  </si>
  <si>
    <t>33.7x2.0 CHS</t>
  </si>
  <si>
    <t>26.9x3.2 CHS</t>
  </si>
  <si>
    <t>26.9x2.6 CHS</t>
  </si>
  <si>
    <t>26.9x2.3 CHS</t>
  </si>
  <si>
    <t>26.9x2.0 CHS</t>
  </si>
  <si>
    <t>21.3x3.2 CHS</t>
  </si>
  <si>
    <t>21.3x2.6 CHS</t>
  </si>
  <si>
    <t>21.3x2.0 CHS</t>
  </si>
  <si>
    <t>250x150x9.0  RHS</t>
  </si>
  <si>
    <t>250x150x6.0  RHS</t>
  </si>
  <si>
    <t>250x150x5.0  RHS</t>
  </si>
  <si>
    <t>200x100x9.0  RHS</t>
  </si>
  <si>
    <t>200x100x6.0  RHS</t>
  </si>
  <si>
    <t>200x100x5.0  RHS</t>
  </si>
  <si>
    <t>200x100x4.0  RHS</t>
  </si>
  <si>
    <t>150x100x9.0  RHS</t>
  </si>
  <si>
    <t>150x100x6.0  RHS</t>
  </si>
  <si>
    <t>150x100x5.0  RHS</t>
  </si>
  <si>
    <t>150x100x4.0  RHS</t>
  </si>
  <si>
    <t>150x50x6.0  RHS</t>
  </si>
  <si>
    <t>150x50x5.0  RHS</t>
  </si>
  <si>
    <t>150x50x4.0  RHS</t>
  </si>
  <si>
    <t>150x50x3.0  RHS</t>
  </si>
  <si>
    <t>150x50x2.5  RHS</t>
  </si>
  <si>
    <t>150x50x2.0  RHS</t>
  </si>
  <si>
    <t>125x75x6.0  RHS</t>
  </si>
  <si>
    <t>125x75x5.0  RHS</t>
  </si>
  <si>
    <t>125x75x4.0  RHS</t>
  </si>
  <si>
    <t>125x75x3.0  RHS</t>
  </si>
  <si>
    <t>125x75x2.5  RHS</t>
  </si>
  <si>
    <t>125x75x2.0  RHS</t>
  </si>
  <si>
    <t>100x50x6.0  RHS</t>
  </si>
  <si>
    <t>100x50x5.0  RHS</t>
  </si>
  <si>
    <t>100x50x4.0  RHS</t>
  </si>
  <si>
    <t>100x50x3.5  RHS</t>
  </si>
  <si>
    <t>100x50x3.0  RHS</t>
  </si>
  <si>
    <t>100x50x2.5  RHS</t>
  </si>
  <si>
    <t>100x50x2.0  RHS</t>
  </si>
  <si>
    <t>100x50x1.6  RHS</t>
  </si>
  <si>
    <t>75x50x6.0  RHS</t>
  </si>
  <si>
    <t>75x50x5.0  RHS</t>
  </si>
  <si>
    <t>75x50x4.0  RHS</t>
  </si>
  <si>
    <t>75x50x3.0  RHS</t>
  </si>
  <si>
    <t>75x50x2.5  RHS</t>
  </si>
  <si>
    <t>75x50x2.0  RHS</t>
  </si>
  <si>
    <t>75x50x1.6  RHS</t>
  </si>
  <si>
    <t>75x25x2.5  RHS</t>
  </si>
  <si>
    <t>75x25x2.0  RHS</t>
  </si>
  <si>
    <t>75x25x1.6  RHS</t>
  </si>
  <si>
    <t>65x35x4.0  RHS</t>
  </si>
  <si>
    <t>65x35x3.0  RHS</t>
  </si>
  <si>
    <t>65x35x2.5  RHS</t>
  </si>
  <si>
    <t>65x35x2.0  RHS</t>
  </si>
  <si>
    <t>50x25x3.0  RHS</t>
  </si>
  <si>
    <t>50x25x2.5  RHS</t>
  </si>
  <si>
    <t>50x25x2.0  RHS</t>
  </si>
  <si>
    <t>50x25x1.6  RHS</t>
  </si>
  <si>
    <t>50x20x3.0  RHS</t>
  </si>
  <si>
    <t>50x20x2.5  RHS</t>
  </si>
  <si>
    <t>50x20x2.0  RHS</t>
  </si>
  <si>
    <t>50x20x1.6  RHS</t>
  </si>
  <si>
    <t>250x250x9.0  SHS</t>
  </si>
  <si>
    <t>250x250x6.0  SHS</t>
  </si>
  <si>
    <t>200x200x9.0  SHS</t>
  </si>
  <si>
    <t>200x200x6.0  SHS</t>
  </si>
  <si>
    <t>200x200x5.0  SHS</t>
  </si>
  <si>
    <t>150x150x9.0  SHS</t>
  </si>
  <si>
    <t>150x150x6.0  SHS</t>
  </si>
  <si>
    <t>150x150x5.0  SHS</t>
  </si>
  <si>
    <t>125x125x9.0  SHS</t>
  </si>
  <si>
    <t>125x125x6.0  SHS</t>
  </si>
  <si>
    <t>125x125x5.0  SHS</t>
  </si>
  <si>
    <t>125x125x4.0  SHS</t>
  </si>
  <si>
    <t>100x100x9.0  SHS</t>
  </si>
  <si>
    <t>100x100x6.0  SHS</t>
  </si>
  <si>
    <t>100x100x5.0  SHS</t>
  </si>
  <si>
    <t>100x100x4.0  SHS</t>
  </si>
  <si>
    <t>100x100x3.0  SHS</t>
  </si>
  <si>
    <t>100x100x2.5  SHS</t>
  </si>
  <si>
    <t>100x100x2.0  SHS</t>
  </si>
  <si>
    <t>89x89x6.0  SHS</t>
  </si>
  <si>
    <t>89x89x5.0  SHS</t>
  </si>
  <si>
    <t>89x89x3.5  SHS</t>
  </si>
  <si>
    <t>75x75x6.0  SHS</t>
  </si>
  <si>
    <t>75x75x5.0  SHS</t>
  </si>
  <si>
    <t>75x75x4.0  SHS</t>
  </si>
  <si>
    <t>75x75x3.5  SHS</t>
  </si>
  <si>
    <t>75x75x3.0  SHS</t>
  </si>
  <si>
    <t>75x75x2.5  SHS</t>
  </si>
  <si>
    <t>75x75x2.0  SHS</t>
  </si>
  <si>
    <t>65x65x6.0  SHS</t>
  </si>
  <si>
    <t>65x65x5.0  SHS</t>
  </si>
  <si>
    <t>65x65x4.0  SHS</t>
  </si>
  <si>
    <t>65x65x3.0  SHS</t>
  </si>
  <si>
    <t>65x65x2.5  SHS</t>
  </si>
  <si>
    <t>65x65x2.0  SHS</t>
  </si>
  <si>
    <t>65x65x1.6  SHS</t>
  </si>
  <si>
    <t>50x50x5.0  SHS</t>
  </si>
  <si>
    <t>50x50x4.0  SHS</t>
  </si>
  <si>
    <t>50x50x3.0  SHS</t>
  </si>
  <si>
    <t>50x50x2.5  SHS</t>
  </si>
  <si>
    <t>50x50x2.0  SHS</t>
  </si>
  <si>
    <t>50x50x1.6  SHS</t>
  </si>
  <si>
    <t>40x40x4.0  SHS</t>
  </si>
  <si>
    <t>40x40x3.0  SHS</t>
  </si>
  <si>
    <t>40x40x2.5  SHS</t>
  </si>
  <si>
    <t>40x40x2.0  SHS</t>
  </si>
  <si>
    <t>40x40x1.6  SHS</t>
  </si>
  <si>
    <t>35x35x3.0  SHS</t>
  </si>
  <si>
    <t>35x35x2.5  SHS</t>
  </si>
  <si>
    <t>35x35x2.0  SHS</t>
  </si>
  <si>
    <t>35x35x1.6  SHS</t>
  </si>
  <si>
    <t>30x30x2.0  SHS</t>
  </si>
  <si>
    <t>30x30x1.6  SHS</t>
  </si>
  <si>
    <t>25x25x3.0  SHS</t>
  </si>
  <si>
    <t>25x25x2.5  SHS</t>
  </si>
  <si>
    <t>25x25x2.0  SHS</t>
  </si>
  <si>
    <t>25x25x1.6  SHS</t>
  </si>
  <si>
    <t>20x20x1.6  SHS</t>
  </si>
  <si>
    <t>Steel (painted) used for structural purposes that has undergone hot-rolled steel production route. Including beams, columns, angles, flange channels, hollow sections.</t>
  </si>
  <si>
    <t>3 big suppliers - 2 big smelters - comparison  good - weighted average possible - Australian EPD data for most part.
International sources available only as proxies for market i.e. India used to represent Asia/China.
Good spread of products represented. Paint used in calculation uses international EF - not a max. Minor contribution to overall EF but considered Tier 2 for market coverage</t>
  </si>
  <si>
    <t xml:space="preserve">Assumptions: </t>
  </si>
  <si>
    <t>Three layers of paint (primer epoxy and hardtop)</t>
  </si>
  <si>
    <t>Impact due to energy used in steel surface preparation and paint application is not included due to lack of data.</t>
  </si>
  <si>
    <t>Assumes blast cleaned steel and protected spray (ie in shop)</t>
  </si>
  <si>
    <t>Paint wastage included.</t>
  </si>
  <si>
    <t>Structural (painted) (hot rolled)</t>
  </si>
  <si>
    <r>
      <t xml:space="preserve">Uses </t>
    </r>
    <r>
      <rPr>
        <b/>
        <sz val="11"/>
        <color theme="1"/>
        <rFont val="Arial"/>
        <family val="2"/>
        <scheme val="minor"/>
      </rPr>
      <t xml:space="preserve">max steel </t>
    </r>
    <r>
      <rPr>
        <sz val="10"/>
        <color theme="1"/>
        <rFont val="Arial"/>
        <family val="2"/>
      </rPr>
      <t>EF as input</t>
    </r>
  </si>
  <si>
    <r>
      <t xml:space="preserve">Uses </t>
    </r>
    <r>
      <rPr>
        <b/>
        <sz val="11"/>
        <color theme="1"/>
        <rFont val="Arial"/>
        <family val="2"/>
        <scheme val="minor"/>
      </rPr>
      <t>Avg</t>
    </r>
    <r>
      <rPr>
        <sz val="10"/>
        <color theme="1"/>
        <rFont val="Arial"/>
        <family val="2"/>
      </rPr>
      <t xml:space="preserve"> steel EF as input</t>
    </r>
  </si>
  <si>
    <r>
      <t xml:space="preserve">Uses </t>
    </r>
    <r>
      <rPr>
        <b/>
        <sz val="11"/>
        <color theme="1"/>
        <rFont val="Arial"/>
        <family val="2"/>
        <scheme val="minor"/>
      </rPr>
      <t>MIN</t>
    </r>
    <r>
      <rPr>
        <sz val="10"/>
        <color theme="1"/>
        <rFont val="Arial"/>
        <family val="2"/>
      </rPr>
      <t xml:space="preserve"> steel EF as input</t>
    </r>
  </si>
  <si>
    <t>Jotun PUR4</t>
  </si>
  <si>
    <t>Coated Area</t>
  </si>
  <si>
    <t>Paint</t>
  </si>
  <si>
    <t xml:space="preserve">GWP </t>
  </si>
  <si>
    <t>Generic</t>
  </si>
  <si>
    <t>Product</t>
  </si>
  <si>
    <t>Nominal Thickness</t>
  </si>
  <si>
    <t>Density</t>
  </si>
  <si>
    <t>Practical Coverage</t>
  </si>
  <si>
    <t>Mass of Paint</t>
  </si>
  <si>
    <t>Carbon footprint</t>
  </si>
  <si>
    <t>Mass</t>
  </si>
  <si>
    <t>mass</t>
  </si>
  <si>
    <t>kg/l</t>
  </si>
  <si>
    <t>m²/l</t>
  </si>
  <si>
    <t>kg/m²</t>
  </si>
  <si>
    <t>kg CO2-eq</t>
  </si>
  <si>
    <t>kg CO2-eq/m2</t>
  </si>
  <si>
    <r>
      <t>m</t>
    </r>
    <r>
      <rPr>
        <vertAlign val="subscript"/>
        <sz val="11"/>
        <color theme="1"/>
        <rFont val="Arial"/>
        <family val="2"/>
        <scheme val="minor"/>
      </rPr>
      <t>s</t>
    </r>
  </si>
  <si>
    <t>Primer</t>
  </si>
  <si>
    <t>Epoxy</t>
  </si>
  <si>
    <t>Hardtop</t>
  </si>
  <si>
    <r>
      <t>Steel</t>
    </r>
    <r>
      <rPr>
        <b/>
        <sz val="11"/>
        <color theme="1"/>
        <rFont val="Arial"/>
        <family val="2"/>
        <scheme val="minor"/>
      </rPr>
      <t xml:space="preserve"> Max</t>
    </r>
  </si>
  <si>
    <t>TOTAL</t>
  </si>
  <si>
    <t>TOTAL steel</t>
  </si>
  <si>
    <r>
      <t xml:space="preserve">Steel </t>
    </r>
    <r>
      <rPr>
        <b/>
        <sz val="11"/>
        <color theme="1"/>
        <rFont val="Arial"/>
        <family val="2"/>
        <scheme val="minor"/>
      </rPr>
      <t>Avg</t>
    </r>
  </si>
  <si>
    <r>
      <t xml:space="preserve">Steel </t>
    </r>
    <r>
      <rPr>
        <b/>
        <sz val="11"/>
        <color theme="1"/>
        <rFont val="Arial"/>
        <family val="2"/>
        <scheme val="minor"/>
      </rPr>
      <t>Min</t>
    </r>
  </si>
  <si>
    <t>GWP kg of CO2.e/kg of painted product</t>
  </si>
  <si>
    <t>Density (kg/l)</t>
  </si>
  <si>
    <t>Zinc rich primer</t>
  </si>
  <si>
    <t>Barrier 80S</t>
  </si>
  <si>
    <t>kg/m</t>
  </si>
  <si>
    <r>
      <t>m</t>
    </r>
    <r>
      <rPr>
        <vertAlign val="superscript"/>
        <sz val="11"/>
        <color theme="1"/>
        <rFont val="Arial"/>
        <family val="2"/>
        <scheme val="minor"/>
      </rPr>
      <t>2</t>
    </r>
    <r>
      <rPr>
        <sz val="10"/>
        <color theme="1"/>
        <rFont val="Arial"/>
        <family val="2"/>
      </rPr>
      <t>/m</t>
    </r>
  </si>
  <si>
    <r>
      <t>m</t>
    </r>
    <r>
      <rPr>
        <vertAlign val="superscript"/>
        <sz val="11"/>
        <color theme="1"/>
        <rFont val="Arial"/>
        <family val="2"/>
        <scheme val="minor"/>
      </rPr>
      <t>2</t>
    </r>
    <r>
      <rPr>
        <sz val="10"/>
        <color theme="1"/>
        <rFont val="Arial"/>
        <family val="2"/>
      </rPr>
      <t>/t</t>
    </r>
  </si>
  <si>
    <r>
      <t>kg/m</t>
    </r>
    <r>
      <rPr>
        <sz val="11"/>
        <color theme="1"/>
        <rFont val="Aptos Narrow"/>
        <family val="2"/>
      </rPr>
      <t>²</t>
    </r>
  </si>
  <si>
    <t>kg/CO2.e/m²</t>
  </si>
  <si>
    <t>kg/CO2.e/kg</t>
  </si>
  <si>
    <t>High build epoxy</t>
  </si>
  <si>
    <t>Penguard Universal</t>
  </si>
  <si>
    <t>Avg</t>
  </si>
  <si>
    <t>Jotamastic 90</t>
  </si>
  <si>
    <t>Polyurethane gloss</t>
  </si>
  <si>
    <t>Hardtop AX</t>
  </si>
  <si>
    <t>Practical coverage (m²/l)</t>
  </si>
  <si>
    <t>Jotun PUR5</t>
  </si>
  <si>
    <t>As above, except increase the 2nd coating to 200 microns from 125</t>
  </si>
  <si>
    <t>Mass of paint (kg/m²)</t>
  </si>
  <si>
    <t>Tier rating</t>
  </si>
  <si>
    <t xml:space="preserve"> 1 g/cm3 = 1 kg/l</t>
  </si>
  <si>
    <t>μm</t>
  </si>
  <si>
    <t>Solids by volume: 67 ± 2 volume%</t>
  </si>
  <si>
    <t>Published A1-A3+A4</t>
  </si>
  <si>
    <t>Dry film thickness: 60 - 100 μm</t>
  </si>
  <si>
    <t>Zinc rich primer, Barrier 80S, JotunPUR4</t>
  </si>
  <si>
    <t>Wet film thickness: 90 - 150 μm</t>
  </si>
  <si>
    <t>Polyurethane gloss, Hardtop AX Jotun PUR4</t>
  </si>
  <si>
    <t>Theoretical spreading rate: 11.1 - 6.7 m²/l</t>
  </si>
  <si>
    <t>High build epoxy, Jotamastic 90</t>
  </si>
  <si>
    <t>Theoretical Coverage (AS 2312.1):</t>
  </si>
  <si>
    <t>Practical Coverage (AS 2312.1):</t>
  </si>
  <si>
    <t>Used, 0.8 for application factor and 0.9 for surface roughness factor</t>
  </si>
  <si>
    <t>Density: 1.4 g/cm³</t>
  </si>
  <si>
    <t>Solids by volume: 72 ± 2 volume%</t>
  </si>
  <si>
    <t>Film thickness per coat:</t>
  </si>
  <si>
    <t>Dry film thickness: 75 - 300 μm</t>
  </si>
  <si>
    <t>Wet film thickness: 105 - 415 μm</t>
  </si>
  <si>
    <t>Theoretical spreading rate: 9.6 - 2.4 m²/l</t>
  </si>
  <si>
    <t>assumes blast cleaned steel and protected spray (ie in shop)</t>
  </si>
  <si>
    <t>Solids by volume: 80 ± 2 volume%</t>
  </si>
  <si>
    <t>Dry film thickness: 100 - 300 μm</t>
  </si>
  <si>
    <t>Wet film thickness: 125 - 375 μm</t>
  </si>
  <si>
    <t>Theoretical spreading rate: 8 - 2.7 m²/l</t>
  </si>
  <si>
    <t>Solids by volume: 63 ± 2 volume%</t>
  </si>
  <si>
    <t>Dry film thickness: 50 - 100 μm</t>
  </si>
  <si>
    <t>Wet film thickness: 80 - 160 μm</t>
  </si>
  <si>
    <t>Theoretical spreading rate: 13 - 6.3 m²/l</t>
  </si>
  <si>
    <t>Based on softwood timber used for weatherboards. Includes finger jointed, thermally modified timber, treated, untreated, surfaced, and sawn products.</t>
  </si>
  <si>
    <t>Australian EPD Data taken from Timberlink and FWPA industry average EPD which covers over 40% of sawn softwood in Australia.
Multiple saw mills across Australia represented.
NZ sawmill included as known to export to Australia. European EPD weatherboard product included.
No representation from Asian timber products.
Average EF compares well to other published sources.
Weighted average possible.</t>
  </si>
  <si>
    <t>Softwood domestic</t>
  </si>
  <si>
    <t>Hardwood timber. Includes treated, untreated, dressed, and sawn products.</t>
  </si>
  <si>
    <t xml:space="preserve">Australian representative as it is a sector EPDs (FWPA) which covers approx. 27% of Aus production of Hardwood (exc cypress).
Australian cypress production EPD covers 64% of total sawn cypress logs harvested in Australia.
Some domestic hardwood not covered.
By volume the majority of Australia's hardwood imports are coming from Brazil, Indonesia, Malaysia, China and the USA.
No need for weighted average &lt;10% of market - assuming most hardwood by weight is in structural rough-sawn beams etc.
Average EF compares well to other EF 
</t>
  </si>
  <si>
    <t>Softwood timber. Most common species radiata pine. Includes treated, untreated, surfaced, and sawn products.</t>
  </si>
  <si>
    <t>Australian EPD Data taken from Timberlink and FWPA industry average EPD which covers over 40% of sawn softwood in Australia.
Multiple saw mills across Australia represented.
NZ sawmill included as known to export to Australia. 
No representation from Asian timber products.
Average EF compares well to other published sources.
Weighted average possible.</t>
  </si>
  <si>
    <t>Vinyl flooring.</t>
  </si>
  <si>
    <t xml:space="preserve">No Australasian EPDs. 
5 International EPDs 4 from China.
Unknown how large or diverse products on market are. Reasonable number of products. 
Main supplier believed to be China. 
</t>
  </si>
  <si>
    <t>Represents a generic window or door as named in the material category. Includes key component materials. Square meter rate.</t>
  </si>
  <si>
    <t>EPDs have been used to determine typical material masses of different window and door systems. The emission factors are calculated using component parts, therefore no EPDs are listed and uncertainty rating is 'untiered'. Energy and waste associated with the off-site assembly manufacturing process is added. Electrical componentry not included.</t>
  </si>
  <si>
    <t>Area density as recorded in EPD</t>
  </si>
  <si>
    <t xml:space="preserve">https://epd-australasia.com/wp-content/uploads/2023/06/SP07452-APL-Window-Solutions_vNov23.pdf </t>
  </si>
  <si>
    <t>https://api.environdec.com/api/v1/EPDLibrary/Files/f5551601-408d-4385-0185-08daab6203a1/Data</t>
  </si>
  <si>
    <t>https://api.environdec.com/api/v1/EPDLibrary/Files/f31919c9-5f2b-42ca-0da2-08dc5e07fd56/Data</t>
  </si>
  <si>
    <t>https://www.assaabloyentrance.com/master-blueprint/market-documents/topics/sustainability/new-epd/automatic-doors/rd/assa-abloy-rd700-revolving-door.pdf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</si>
</sst>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quot;$&quot;* #,##0.00_);_(&quot;$&quot;* \(#,##0.00\);_(&quot;$&quot;* &quot;-&quot;??_);_(@_)"/>
    <numFmt numFmtId="165" formatCode="_(* #,##0.00_);_(* \(#,##0.00\);_(* &quot;-&quot;??_);_(@_)"/>
    <numFmt numFmtId="166" formatCode="0.0"/>
    <numFmt numFmtId="167" formatCode="0.000"/>
    <numFmt numFmtId="168" formatCode="0.0%"/>
    <numFmt numFmtId="169" formatCode="0.0000"/>
    <numFmt numFmtId="170" formatCode="_-* #,##0.0_-;\-* #,##0.0_-;_-* &quot;-&quot;??_-;_-@_-"/>
  </numFmts>
  <fonts count="92" x14ac:knownFonts="1">
    <font>
      <sz val="10"/>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0"/>
      <color theme="1"/>
      <name val="Arial"/>
      <family val="2"/>
      <scheme val="minor"/>
    </font>
    <font>
      <sz val="8"/>
      <name val="Arial"/>
      <family val="2"/>
      <scheme val="minor"/>
    </font>
    <font>
      <b/>
      <sz val="11"/>
      <color theme="0"/>
      <name val="Arial"/>
      <family val="2"/>
      <scheme val="minor"/>
    </font>
    <font>
      <sz val="11"/>
      <color rgb="FF3F3F76"/>
      <name val="Arial"/>
      <family val="2"/>
      <scheme val="minor"/>
    </font>
    <font>
      <b/>
      <sz val="10"/>
      <color theme="1"/>
      <name val="Arial"/>
      <family val="2"/>
    </font>
    <font>
      <sz val="10"/>
      <name val="Arial"/>
      <family val="2"/>
    </font>
    <font>
      <sz val="11"/>
      <color rgb="FF9C5700"/>
      <name val="Arial"/>
      <family val="2"/>
      <scheme val="minor"/>
    </font>
    <font>
      <sz val="10"/>
      <color theme="2"/>
      <name val="Arial"/>
      <family val="2"/>
    </font>
    <font>
      <b/>
      <sz val="10"/>
      <name val="Arial"/>
      <family val="2"/>
    </font>
    <font>
      <sz val="10"/>
      <color rgb="FF000000"/>
      <name val="Arial"/>
      <family val="2"/>
    </font>
    <font>
      <u/>
      <sz val="10"/>
      <color theme="10"/>
      <name val="Arial"/>
      <family val="2"/>
    </font>
    <font>
      <b/>
      <i/>
      <sz val="10"/>
      <color theme="1"/>
      <name val="Arial"/>
      <family val="2"/>
    </font>
    <font>
      <i/>
      <sz val="10"/>
      <color theme="1"/>
      <name val="Arial"/>
      <family val="2"/>
    </font>
    <font>
      <b/>
      <sz val="14"/>
      <color rgb="FF336699"/>
      <name val="Arial"/>
      <family val="2"/>
    </font>
    <font>
      <b/>
      <sz val="12"/>
      <color rgb="FF336699"/>
      <name val="Arial"/>
      <family val="2"/>
    </font>
    <font>
      <b/>
      <sz val="11"/>
      <color rgb="FF336699"/>
      <name val="Arial"/>
      <family val="2"/>
    </font>
    <font>
      <b/>
      <vertAlign val="subscript"/>
      <sz val="10"/>
      <color theme="1"/>
      <name val="Arial"/>
      <family val="2"/>
    </font>
    <font>
      <b/>
      <sz val="10"/>
      <color rgb="FF000000"/>
      <name val="Arial"/>
      <family val="2"/>
    </font>
    <font>
      <sz val="18"/>
      <color theme="3"/>
      <name val="Arial"/>
      <family val="2"/>
      <scheme val="major"/>
    </font>
    <font>
      <sz val="11"/>
      <color rgb="FF006100"/>
      <name val="Arial"/>
      <family val="2"/>
      <scheme val="minor"/>
    </font>
    <font>
      <sz val="11"/>
      <color rgb="FF9C000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color rgb="FFFF0000"/>
      <name val="Arial"/>
      <family val="2"/>
    </font>
    <font>
      <vertAlign val="subscript"/>
      <sz val="11"/>
      <color theme="1"/>
      <name val="Arial"/>
      <family val="2"/>
      <scheme val="minor"/>
    </font>
    <font>
      <vertAlign val="superscript"/>
      <sz val="11"/>
      <color theme="1"/>
      <name val="Arial"/>
      <family val="2"/>
      <scheme val="minor"/>
    </font>
    <font>
      <sz val="11"/>
      <color theme="1"/>
      <name val="Aptos Narrow"/>
      <family val="2"/>
    </font>
    <font>
      <b/>
      <sz val="10"/>
      <color theme="6"/>
      <name val="Arial"/>
      <family val="2"/>
    </font>
    <font>
      <sz val="10"/>
      <color theme="6"/>
      <name val="Arial"/>
      <family val="2"/>
    </font>
    <font>
      <b/>
      <sz val="15"/>
      <color theme="3"/>
      <name val="Arial"/>
      <family val="2"/>
      <scheme val="minor"/>
    </font>
    <font>
      <b/>
      <sz val="13"/>
      <color theme="3"/>
      <name val="Arial"/>
      <family val="2"/>
      <scheme val="minor"/>
    </font>
    <font>
      <b/>
      <sz val="11"/>
      <color theme="3"/>
      <name val="Arial"/>
      <family val="2"/>
      <scheme val="minor"/>
    </font>
    <font>
      <sz val="11"/>
      <color rgb="FF9C6500"/>
      <name val="Arial"/>
      <family val="2"/>
      <scheme val="minor"/>
    </font>
    <font>
      <sz val="10"/>
      <name val="Arial Narrow"/>
      <family val="2"/>
    </font>
    <font>
      <sz val="10"/>
      <color indexed="8"/>
      <name val="Arial"/>
      <family val="2"/>
    </font>
    <font>
      <sz val="11"/>
      <color indexed="8"/>
      <name val="Calibri"/>
      <family val="2"/>
    </font>
    <font>
      <sz val="11"/>
      <color indexed="9"/>
      <name val="Calibri"/>
      <family val="2"/>
    </font>
    <font>
      <b/>
      <sz val="11"/>
      <color indexed="8"/>
      <name val="Calibri"/>
      <family val="2"/>
    </font>
    <font>
      <sz val="11"/>
      <color indexed="14"/>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11"/>
      <color indexed="13"/>
      <name val="Calibri"/>
      <family val="2"/>
    </font>
    <font>
      <b/>
      <sz val="11"/>
      <color indexed="13"/>
      <name val="Calibri"/>
      <family val="2"/>
    </font>
    <font>
      <sz val="10"/>
      <color theme="1"/>
      <name val="Calibri"/>
      <family val="2"/>
    </font>
    <font>
      <sz val="10"/>
      <name val="Aptos Narrow"/>
      <family val="2"/>
    </font>
    <font>
      <i/>
      <sz val="10"/>
      <color theme="6"/>
      <name val="Aptos Narrow"/>
      <family val="2"/>
    </font>
    <font>
      <b/>
      <sz val="14"/>
      <color theme="4"/>
      <name val="Aptos Display"/>
      <family val="2"/>
    </font>
    <font>
      <b/>
      <sz val="10"/>
      <name val="Aptos Display"/>
      <family val="2"/>
    </font>
    <font>
      <b/>
      <sz val="16"/>
      <color theme="4"/>
      <name val="Aptos Display"/>
      <family val="2"/>
    </font>
    <font>
      <b/>
      <sz val="12"/>
      <color theme="3"/>
      <name val="Aptos Display"/>
      <family val="2"/>
    </font>
    <font>
      <u/>
      <sz val="10"/>
      <color theme="10"/>
      <name val="Arial"/>
      <family val="2"/>
      <scheme val="minor"/>
    </font>
    <font>
      <u/>
      <sz val="11"/>
      <color theme="10"/>
      <name val="Arial"/>
      <family val="2"/>
      <scheme val="minor"/>
    </font>
    <font>
      <sz val="11"/>
      <color rgb="FF242424"/>
      <name val="Aptos Narrow"/>
      <family val="2"/>
    </font>
    <font>
      <sz val="10"/>
      <color theme="1"/>
      <name val="Arial"/>
      <family val="2"/>
    </font>
    <font>
      <sz val="9"/>
      <color rgb="FF007299"/>
      <name val="Arial"/>
      <family val="2"/>
    </font>
    <font>
      <sz val="9"/>
      <color rgb="FF0091B3"/>
      <name val="Arial"/>
      <family val="2"/>
    </font>
    <font>
      <b/>
      <sz val="22"/>
      <color rgb="FF0091B3"/>
      <name val="Arial"/>
      <family val="2"/>
    </font>
    <font>
      <b/>
      <sz val="14"/>
      <color rgb="FF0091B3"/>
      <name val="Arial"/>
      <family val="2"/>
    </font>
    <font>
      <b/>
      <sz val="10"/>
      <color rgb="FF0091B3"/>
      <name val="Arial"/>
      <family val="2"/>
    </font>
    <font>
      <b/>
      <sz val="12"/>
      <color rgb="FF0091B3"/>
      <name val="Arial"/>
      <family val="2"/>
    </font>
    <font>
      <i/>
      <sz val="10"/>
      <color rgb="FF000000"/>
      <name val="Arial"/>
      <family val="2"/>
    </font>
    <font>
      <b/>
      <sz val="11"/>
      <color rgb="FF0091B3"/>
      <name val="Arial"/>
      <family val="2"/>
    </font>
    <font>
      <sz val="11"/>
      <color rgb="FF0091B3"/>
      <name val="Constantia"/>
      <family val="1"/>
    </font>
    <font>
      <sz val="8"/>
      <color theme="0" tint="-0.34998626667073579"/>
      <name val="Arial"/>
      <family val="2"/>
    </font>
    <font>
      <sz val="10"/>
      <color theme="0" tint="-0.34998626667073579"/>
      <name val="Arial"/>
      <family val="2"/>
    </font>
    <font>
      <u/>
      <sz val="10"/>
      <color rgb="FF000000"/>
      <name val="Arial"/>
      <family val="2"/>
    </font>
    <font>
      <b/>
      <sz val="10"/>
      <color theme="0"/>
      <name val="Arial"/>
      <family val="2"/>
    </font>
    <font>
      <b/>
      <vertAlign val="subscript"/>
      <sz val="10"/>
      <color rgb="FF000000"/>
      <name val="Arial"/>
      <family val="2"/>
    </font>
    <font>
      <sz val="10"/>
      <color theme="0" tint="-0.249977111117893"/>
      <name val="Arial"/>
      <family val="2"/>
    </font>
    <font>
      <sz val="10"/>
      <color theme="0" tint="-4.9989318521683403E-2"/>
      <name val="Arial"/>
      <family val="2"/>
    </font>
    <font>
      <sz val="10"/>
      <color theme="0"/>
      <name val="Arial"/>
      <family val="2"/>
    </font>
  </fonts>
  <fills count="62">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22"/>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3"/>
      </patternFill>
    </fill>
    <fill>
      <patternFill patternType="solid">
        <fgColor indexed="9"/>
      </patternFill>
    </fill>
    <fill>
      <patternFill patternType="solid">
        <fgColor indexed="55"/>
      </patternFill>
    </fill>
    <fill>
      <patternFill patternType="solid">
        <fgColor theme="5"/>
        <bgColor indexed="64"/>
      </patternFill>
    </fill>
    <fill>
      <patternFill patternType="solid">
        <fgColor theme="0" tint="-4.9989318521683403E-2"/>
        <bgColor indexed="64"/>
      </patternFill>
    </fill>
    <fill>
      <patternFill patternType="solid">
        <fgColor rgb="FFD5E7EE"/>
        <bgColor indexed="64"/>
      </patternFill>
    </fill>
    <fill>
      <patternFill patternType="solid">
        <fgColor rgb="FF0091B3"/>
        <bgColor indexed="64"/>
      </patternFill>
    </fill>
    <fill>
      <patternFill patternType="solid">
        <fgColor rgb="FFCFEAEF"/>
        <bgColor indexed="64"/>
      </patternFill>
    </fill>
    <fill>
      <patternFill patternType="solid">
        <fgColor rgb="FFF2F2F2"/>
        <bgColor indexed="64"/>
      </patternFill>
    </fill>
  </fills>
  <borders count="111">
    <border>
      <left/>
      <right/>
      <top/>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theme="4"/>
      </left>
      <right style="thin">
        <color theme="4"/>
      </right>
      <top style="thin">
        <color theme="4"/>
      </top>
      <bottom style="thin">
        <color theme="4"/>
      </bottom>
      <diagonal/>
    </border>
    <border>
      <left/>
      <right/>
      <top/>
      <bottom style="medium">
        <color theme="5" tint="-9.9948118533890809E-2"/>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theme="0"/>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theme="0"/>
      </left>
      <right/>
      <top/>
      <bottom style="thin">
        <color indexed="64"/>
      </bottom>
      <diagonal/>
    </border>
    <border>
      <left style="thin">
        <color rgb="FF000000"/>
      </left>
      <right style="thin">
        <color indexed="64"/>
      </right>
      <top style="thin">
        <color rgb="FF000000"/>
      </top>
      <bottom/>
      <diagonal/>
    </border>
    <border>
      <left/>
      <right style="thin">
        <color theme="0"/>
      </right>
      <top style="thin">
        <color indexed="64"/>
      </top>
      <bottom style="thin">
        <color indexed="64"/>
      </bottom>
      <diagonal/>
    </border>
    <border>
      <left/>
      <right style="thin">
        <color indexed="64"/>
      </right>
      <top style="thin">
        <color rgb="FF000000"/>
      </top>
      <bottom/>
      <diagonal/>
    </border>
    <border>
      <left style="thin">
        <color rgb="FF000000"/>
      </left>
      <right/>
      <top/>
      <bottom/>
      <diagonal/>
    </border>
    <border>
      <left style="thin">
        <color theme="0"/>
      </left>
      <right style="thin">
        <color rgb="FF000000"/>
      </right>
      <top/>
      <bottom style="thin">
        <color indexed="64"/>
      </bottom>
      <diagonal/>
    </border>
    <border>
      <left style="thin">
        <color theme="0"/>
      </left>
      <right style="thin">
        <color rgb="FF000000"/>
      </right>
      <top style="thin">
        <color indexed="64"/>
      </top>
      <bottom style="thin">
        <color indexed="64"/>
      </bottom>
      <diagonal/>
    </border>
    <border>
      <left style="thin">
        <color theme="0"/>
      </left>
      <right style="thin">
        <color theme="0"/>
      </right>
      <top/>
      <bottom style="thin">
        <color rgb="FF000000"/>
      </bottom>
      <diagonal/>
    </border>
    <border>
      <left style="thin">
        <color theme="0"/>
      </left>
      <right style="thin">
        <color theme="0"/>
      </right>
      <top style="thin">
        <color indexed="64"/>
      </top>
      <bottom style="thin">
        <color rgb="FF000000"/>
      </bottom>
      <diagonal/>
    </border>
    <border>
      <left style="thin">
        <color theme="0"/>
      </left>
      <right style="thin">
        <color rgb="FF000000"/>
      </right>
      <top style="thin">
        <color indexed="64"/>
      </top>
      <bottom style="thin">
        <color rgb="FF000000"/>
      </bottom>
      <diagonal/>
    </border>
    <border>
      <left/>
      <right style="thin">
        <color theme="0"/>
      </right>
      <top/>
      <bottom style="thin">
        <color rgb="FF000000"/>
      </bottom>
      <diagonal/>
    </border>
    <border>
      <left style="thin">
        <color theme="0"/>
      </left>
      <right/>
      <top/>
      <bottom style="thin">
        <color rgb="FF000000"/>
      </bottom>
      <diagonal/>
    </border>
    <border>
      <left/>
      <right style="thin">
        <color theme="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theme="0"/>
      </left>
      <right style="thin">
        <color rgb="FF000000"/>
      </right>
      <top style="thin">
        <color rgb="FF000000"/>
      </top>
      <bottom style="thin">
        <color indexed="64"/>
      </bottom>
      <diagonal/>
    </border>
    <border>
      <left style="thin">
        <color theme="0"/>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rgb="FF000000"/>
      </left>
      <right style="thin">
        <color theme="0"/>
      </right>
      <top style="thin">
        <color rgb="FF000000"/>
      </top>
      <bottom style="thin">
        <color theme="0"/>
      </bottom>
      <diagonal/>
    </border>
    <border>
      <left style="thin">
        <color theme="0"/>
      </left>
      <right style="thin">
        <color theme="0"/>
      </right>
      <top style="thin">
        <color rgb="FF000000"/>
      </top>
      <bottom style="thin">
        <color theme="0"/>
      </bottom>
      <diagonal/>
    </border>
    <border>
      <left style="thin">
        <color rgb="FF000000"/>
      </left>
      <right style="thin">
        <color theme="0"/>
      </right>
      <top style="thin">
        <color theme="0"/>
      </top>
      <bottom style="thin">
        <color theme="0"/>
      </bottom>
      <diagonal/>
    </border>
    <border>
      <left style="thin">
        <color rgb="FF000000"/>
      </left>
      <right/>
      <top style="thin">
        <color theme="0"/>
      </top>
      <bottom style="thin">
        <color theme="0"/>
      </bottom>
      <diagonal/>
    </border>
    <border>
      <left style="thin">
        <color theme="0"/>
      </left>
      <right style="thin">
        <color rgb="FF000000"/>
      </right>
      <top style="thin">
        <color rgb="FF000000"/>
      </top>
      <bottom style="thin">
        <color theme="0"/>
      </bottom>
      <diagonal/>
    </border>
    <border>
      <left style="thin">
        <color theme="0"/>
      </left>
      <right style="thin">
        <color rgb="FF000000"/>
      </right>
      <top style="thin">
        <color theme="0"/>
      </top>
      <bottom style="thin">
        <color theme="0"/>
      </bottom>
      <diagonal/>
    </border>
    <border>
      <left style="thin">
        <color rgb="FF000000"/>
      </left>
      <right style="thin">
        <color theme="0"/>
      </right>
      <top style="thin">
        <color theme="0"/>
      </top>
      <bottom style="thin">
        <color rgb="FF000000"/>
      </bottom>
      <diagonal/>
    </border>
    <border>
      <left style="thin">
        <color theme="0"/>
      </left>
      <right style="thin">
        <color theme="0"/>
      </right>
      <top style="thin">
        <color theme="0"/>
      </top>
      <bottom style="thin">
        <color rgb="FF000000"/>
      </bottom>
      <diagonal/>
    </border>
    <border>
      <left style="thin">
        <color theme="0"/>
      </left>
      <right style="thin">
        <color rgb="FF000000"/>
      </right>
      <top style="thin">
        <color theme="0"/>
      </top>
      <bottom style="thin">
        <color rgb="FF000000"/>
      </bottom>
      <diagonal/>
    </border>
    <border>
      <left style="thin">
        <color rgb="FF000000"/>
      </left>
      <right style="thin">
        <color rgb="FF000000"/>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000000"/>
      </left>
      <right style="thin">
        <color theme="0"/>
      </right>
      <top/>
      <bottom style="thin">
        <color theme="0"/>
      </bottom>
      <diagonal/>
    </border>
    <border>
      <left style="thin">
        <color theme="0"/>
      </left>
      <right style="thin">
        <color rgb="FF000000"/>
      </right>
      <top/>
      <bottom style="thin">
        <color theme="0"/>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theme="0"/>
      </right>
      <top style="thin">
        <color rgb="FF000000"/>
      </top>
      <bottom style="thin">
        <color theme="0"/>
      </bottom>
      <diagonal/>
    </border>
    <border>
      <left style="thin">
        <color theme="0"/>
      </left>
      <right style="thin">
        <color indexed="64"/>
      </right>
      <top style="thin">
        <color rgb="FF000000"/>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s>
  <cellStyleXfs count="147">
    <xf numFmtId="0" fontId="0" fillId="0" borderId="0">
      <alignment vertical="center"/>
    </xf>
    <xf numFmtId="9" fontId="6" fillId="0" borderId="0" applyFont="0" applyFill="0" applyBorder="0" applyAlignment="0" applyProtection="0"/>
    <xf numFmtId="0" fontId="17" fillId="0" borderId="0" applyNumberFormat="0" applyFill="0" applyBorder="0" applyAlignment="0" applyProtection="0"/>
    <xf numFmtId="0" fontId="10" fillId="4" borderId="11" applyNumberFormat="0" applyAlignment="0" applyProtection="0"/>
    <xf numFmtId="0" fontId="13" fillId="5" borderId="0" applyNumberFormat="0" applyBorder="0" applyAlignment="0" applyProtection="0"/>
    <xf numFmtId="0" fontId="20" fillId="0" borderId="0" applyNumberFormat="0" applyFill="0" applyBorder="0" applyAlignment="0" applyProtection="0"/>
    <xf numFmtId="0" fontId="21" fillId="0" borderId="0" applyNumberFormat="0" applyFill="0" applyAlignment="0" applyProtection="0"/>
    <xf numFmtId="0" fontId="22" fillId="0" borderId="0" applyNumberFormat="0" applyFill="0" applyAlignment="0" applyProtection="0"/>
    <xf numFmtId="0" fontId="15" fillId="0" borderId="0" applyNumberFormat="0" applyFill="0" applyBorder="0" applyAlignment="0" applyProtection="0"/>
    <xf numFmtId="0" fontId="25" fillId="0" borderId="0" applyNumberFormat="0" applyFill="0" applyBorder="0" applyAlignment="0" applyProtection="0"/>
    <xf numFmtId="0" fontId="26" fillId="11" borderId="0" applyNumberFormat="0" applyBorder="0" applyAlignment="0" applyProtection="0"/>
    <xf numFmtId="0" fontId="27" fillId="12" borderId="0" applyNumberFormat="0" applyBorder="0" applyAlignment="0" applyProtection="0"/>
    <xf numFmtId="0" fontId="28" fillId="13" borderId="23" applyNumberFormat="0" applyAlignment="0" applyProtection="0"/>
    <xf numFmtId="0" fontId="29" fillId="13" borderId="11" applyNumberFormat="0" applyAlignment="0" applyProtection="0"/>
    <xf numFmtId="0" fontId="30" fillId="0" borderId="24" applyNumberFormat="0" applyFill="0" applyAlignment="0" applyProtection="0"/>
    <xf numFmtId="0" fontId="9" fillId="14" borderId="2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26" applyNumberFormat="0" applyFill="0" applyAlignment="0" applyProtection="0"/>
    <xf numFmtId="0" fontId="34"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34"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34"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34"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34"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34"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9" fontId="3" fillId="0" borderId="0" applyFont="0" applyFill="0" applyBorder="0" applyAlignment="0" applyProtection="0"/>
    <xf numFmtId="0" fontId="3" fillId="6" borderId="16"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0" borderId="0"/>
    <xf numFmtId="0" fontId="41" fillId="0" borderId="27" applyNumberFormat="0" applyFill="0" applyAlignment="0" applyProtection="0"/>
    <xf numFmtId="0" fontId="42" fillId="0" borderId="28" applyNumberFormat="0" applyFill="0" applyAlignment="0" applyProtection="0"/>
    <xf numFmtId="0" fontId="43" fillId="0" borderId="29" applyNumberFormat="0" applyFill="0" applyAlignment="0" applyProtection="0"/>
    <xf numFmtId="0" fontId="43" fillId="0" borderId="0" applyNumberFormat="0" applyFill="0" applyBorder="0" applyAlignment="0" applyProtection="0"/>
    <xf numFmtId="0" fontId="3" fillId="6" borderId="16" applyNumberFormat="0" applyFont="0" applyAlignment="0" applyProtection="0"/>
    <xf numFmtId="0" fontId="44" fillId="5"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0" fontId="13" fillId="5"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44" fillId="5"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0" fontId="16" fillId="0" borderId="0"/>
    <xf numFmtId="0" fontId="16" fillId="0" borderId="0"/>
    <xf numFmtId="0" fontId="47" fillId="40"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43" borderId="0" applyNumberFormat="0" applyBorder="0" applyAlignment="0" applyProtection="0"/>
    <xf numFmtId="0" fontId="47" fillId="46" borderId="0" applyNumberFormat="0" applyBorder="0" applyAlignment="0" applyProtection="0"/>
    <xf numFmtId="0" fontId="47" fillId="42" borderId="0" applyNumberFormat="0" applyBorder="0" applyAlignment="0" applyProtection="0"/>
    <xf numFmtId="0" fontId="47" fillId="47" borderId="0" applyNumberFormat="0" applyBorder="0" applyAlignment="0" applyProtection="0"/>
    <xf numFmtId="0" fontId="47" fillId="41" borderId="0" applyNumberFormat="0" applyBorder="0" applyAlignment="0" applyProtection="0"/>
    <xf numFmtId="0" fontId="47" fillId="46" borderId="0" applyNumberFormat="0" applyBorder="0" applyAlignment="0" applyProtection="0"/>
    <xf numFmtId="0" fontId="47" fillId="43" borderId="0" applyNumberFormat="0" applyBorder="0" applyAlignment="0" applyProtection="0"/>
    <xf numFmtId="0" fontId="48" fillId="46" borderId="0" applyNumberFormat="0" applyBorder="0" applyAlignment="0" applyProtection="0"/>
    <xf numFmtId="0" fontId="48" fillId="49" borderId="0" applyNumberFormat="0" applyBorder="0" applyAlignment="0" applyProtection="0"/>
    <xf numFmtId="0" fontId="48" fillId="48" borderId="0" applyNumberFormat="0" applyBorder="0" applyAlignment="0" applyProtection="0"/>
    <xf numFmtId="0" fontId="48" fillId="41" borderId="0" applyNumberFormat="0" applyBorder="0" applyAlignment="0" applyProtection="0"/>
    <xf numFmtId="0" fontId="48" fillId="46" borderId="0" applyNumberFormat="0" applyBorder="0" applyAlignment="0" applyProtection="0"/>
    <xf numFmtId="0" fontId="48" fillId="42" borderId="0" applyNumberFormat="0" applyBorder="0" applyAlignment="0" applyProtection="0"/>
    <xf numFmtId="0" fontId="48" fillId="51" borderId="0" applyNumberFormat="0" applyBorder="0" applyAlignment="0" applyProtection="0"/>
    <xf numFmtId="0" fontId="48" fillId="49" borderId="0" applyNumberFormat="0" applyBorder="0" applyAlignment="0" applyProtection="0"/>
    <xf numFmtId="0" fontId="48" fillId="48" borderId="0" applyNumberFormat="0" applyBorder="0" applyAlignment="0" applyProtection="0"/>
    <xf numFmtId="0" fontId="48" fillId="52" borderId="0" applyNumberFormat="0" applyBorder="0" applyAlignment="0" applyProtection="0"/>
    <xf numFmtId="0" fontId="48" fillId="50" borderId="0" applyNumberFormat="0" applyBorder="0" applyAlignment="0" applyProtection="0"/>
    <xf numFmtId="0" fontId="48" fillId="53" borderId="0" applyNumberFormat="0" applyBorder="0" applyAlignment="0" applyProtection="0"/>
    <xf numFmtId="0" fontId="50" fillId="44" borderId="0" applyNumberFormat="0" applyBorder="0" applyAlignment="0" applyProtection="0"/>
    <xf numFmtId="0" fontId="63" fillId="54" borderId="30" applyNumberFormat="0" applyAlignment="0" applyProtection="0"/>
    <xf numFmtId="0" fontId="51" fillId="55" borderId="31" applyNumberFormat="0" applyAlignment="0" applyProtection="0"/>
    <xf numFmtId="0" fontId="52" fillId="0" borderId="0" applyNumberFormat="0" applyFill="0" applyBorder="0" applyAlignment="0" applyProtection="0"/>
    <xf numFmtId="0" fontId="53" fillId="46" borderId="0" applyNumberFormat="0" applyBorder="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47" borderId="30" applyNumberFormat="0" applyAlignment="0" applyProtection="0"/>
    <xf numFmtId="0" fontId="62" fillId="0" borderId="35" applyNumberFormat="0" applyFill="0" applyAlignment="0" applyProtection="0"/>
    <xf numFmtId="0" fontId="58" fillId="47" borderId="0" applyNumberFormat="0" applyBorder="0" applyAlignment="0" applyProtection="0"/>
    <xf numFmtId="0" fontId="45" fillId="0" borderId="0">
      <alignment vertical="top" wrapText="1"/>
    </xf>
    <xf numFmtId="0" fontId="46" fillId="0" borderId="0"/>
    <xf numFmtId="0" fontId="46" fillId="0" borderId="0"/>
    <xf numFmtId="0" fontId="46" fillId="0" borderId="0"/>
    <xf numFmtId="0" fontId="64" fillId="0" borderId="0"/>
    <xf numFmtId="0" fontId="45" fillId="0" borderId="0">
      <alignment vertical="top" wrapText="1"/>
    </xf>
    <xf numFmtId="0" fontId="46" fillId="43" borderId="36" applyNumberFormat="0" applyFont="0" applyAlignment="0" applyProtection="0"/>
    <xf numFmtId="0" fontId="59" fillId="54" borderId="37" applyNumberFormat="0" applyAlignment="0" applyProtection="0"/>
    <xf numFmtId="0" fontId="60" fillId="0" borderId="0" applyNumberFormat="0" applyFill="0" applyBorder="0" applyAlignment="0" applyProtection="0"/>
    <xf numFmtId="0" fontId="49" fillId="0" borderId="38" applyNumberFormat="0" applyFill="0" applyAlignment="0" applyProtection="0"/>
    <xf numFmtId="0" fontId="61" fillId="0" borderId="0" applyNumberFormat="0" applyFill="0" applyBorder="0" applyAlignment="0" applyProtection="0"/>
    <xf numFmtId="0" fontId="65" fillId="0" borderId="0">
      <alignment vertical="center"/>
    </xf>
    <xf numFmtId="9" fontId="3" fillId="0" borderId="0" applyFont="0" applyFill="0" applyBorder="0" applyAlignment="0" applyProtection="0"/>
    <xf numFmtId="0" fontId="71" fillId="0" borderId="0" applyNumberFormat="0" applyFill="0" applyBorder="0" applyAlignment="0" applyProtection="0"/>
    <xf numFmtId="0" fontId="69" fillId="0" borderId="40" applyNumberFormat="0" applyFill="0" applyAlignment="0" applyProtection="0"/>
    <xf numFmtId="0" fontId="67" fillId="0" borderId="0" applyNumberFormat="0" applyFill="0" applyAlignment="0" applyProtection="0"/>
    <xf numFmtId="0" fontId="70" fillId="0" borderId="0" applyNumberFormat="0" applyFill="0" applyAlignment="0" applyProtection="0"/>
    <xf numFmtId="0" fontId="68" fillId="0" borderId="0" applyNumberFormat="0" applyFill="0" applyAlignment="0" applyProtection="0"/>
    <xf numFmtId="0" fontId="65" fillId="2" borderId="39">
      <alignment horizontal="center" vertical="center"/>
      <protection locked="0"/>
    </xf>
    <xf numFmtId="3" fontId="65" fillId="3" borderId="39">
      <alignment horizontal="center" vertical="center"/>
      <protection locked="0"/>
    </xf>
    <xf numFmtId="0" fontId="65" fillId="56" borderId="39">
      <alignment horizontal="center" vertical="center"/>
    </xf>
    <xf numFmtId="0" fontId="66" fillId="0" borderId="0">
      <alignment vertical="center"/>
    </xf>
    <xf numFmtId="0" fontId="3" fillId="0" borderId="0"/>
    <xf numFmtId="0" fontId="72" fillId="0" borderId="0" applyNumberFormat="0" applyFill="0" applyBorder="0" applyAlignment="0" applyProtection="0"/>
    <xf numFmtId="164" fontId="74" fillId="0" borderId="0" applyFont="0" applyFill="0" applyBorder="0" applyAlignment="0" applyProtection="0"/>
  </cellStyleXfs>
  <cellXfs count="441">
    <xf numFmtId="0" fontId="0" fillId="0" borderId="0" xfId="0">
      <alignment vertical="center"/>
    </xf>
    <xf numFmtId="0" fontId="14" fillId="0" borderId="4" xfId="0" applyFont="1" applyBorder="1">
      <alignment vertical="center"/>
    </xf>
    <xf numFmtId="0" fontId="14" fillId="0" borderId="3" xfId="0" applyFont="1" applyBorder="1">
      <alignment vertical="center"/>
    </xf>
    <xf numFmtId="0" fontId="0" fillId="0" borderId="0" xfId="0" applyAlignment="1">
      <alignment horizontal="right" vertical="center"/>
    </xf>
    <xf numFmtId="0" fontId="14" fillId="0" borderId="4" xfId="0" applyFont="1" applyBorder="1" applyAlignment="1">
      <alignment vertical="center" wrapText="1"/>
    </xf>
    <xf numFmtId="0" fontId="14" fillId="0" borderId="3" xfId="0" applyFont="1" applyBorder="1" applyAlignment="1">
      <alignment vertical="center" wrapText="1"/>
    </xf>
    <xf numFmtId="0" fontId="14" fillId="0" borderId="12" xfId="0" applyFont="1" applyBorder="1">
      <alignment vertical="center"/>
    </xf>
    <xf numFmtId="0" fontId="14" fillId="0" borderId="10" xfId="0" applyFont="1" applyBorder="1">
      <alignment vertical="center"/>
    </xf>
    <xf numFmtId="3" fontId="14" fillId="0" borderId="0" xfId="0" applyNumberFormat="1" applyFont="1" applyAlignment="1">
      <alignment vertical="top" wrapText="1"/>
    </xf>
    <xf numFmtId="0" fontId="12" fillId="0" borderId="14" xfId="0" applyFont="1" applyBorder="1" applyAlignment="1">
      <alignment vertical="center" wrapText="1"/>
    </xf>
    <xf numFmtId="0" fontId="12" fillId="0" borderId="0" xfId="0" applyFont="1" applyAlignment="1">
      <alignment vertical="center" wrapText="1"/>
    </xf>
    <xf numFmtId="0" fontId="12" fillId="0" borderId="14" xfId="0" quotePrefix="1" applyFont="1" applyBorder="1" applyAlignment="1">
      <alignment horizontal="left" vertical="center"/>
    </xf>
    <xf numFmtId="0" fontId="12" fillId="0" borderId="14" xfId="0" quotePrefix="1" applyFont="1" applyBorder="1" applyAlignment="1">
      <alignment horizontal="left" vertical="center" wrapText="1"/>
    </xf>
    <xf numFmtId="0" fontId="11" fillId="0" borderId="0" xfId="0" applyFont="1">
      <alignment vertical="center"/>
    </xf>
    <xf numFmtId="0" fontId="12" fillId="0" borderId="14" xfId="0" applyFont="1" applyBorder="1">
      <alignment vertical="center"/>
    </xf>
    <xf numFmtId="0" fontId="11" fillId="3" borderId="0" xfId="0" applyFont="1" applyFill="1">
      <alignment vertical="center"/>
    </xf>
    <xf numFmtId="0" fontId="0" fillId="0" borderId="14" xfId="0" applyBorder="1">
      <alignment vertical="center"/>
    </xf>
    <xf numFmtId="0" fontId="0" fillId="0" borderId="14" xfId="0" applyBorder="1" applyAlignment="1">
      <alignment vertical="center" wrapText="1"/>
    </xf>
    <xf numFmtId="0" fontId="0" fillId="0" borderId="0" xfId="0" applyAlignment="1">
      <alignment vertical="center" wrapText="1"/>
    </xf>
    <xf numFmtId="11" fontId="0" fillId="0" borderId="0" xfId="0" applyNumberFormat="1">
      <alignment vertical="center"/>
    </xf>
    <xf numFmtId="0" fontId="16" fillId="0" borderId="0" xfId="0" applyFont="1">
      <alignment vertical="center"/>
    </xf>
    <xf numFmtId="0" fontId="0" fillId="0" borderId="1" xfId="0" applyBorder="1">
      <alignment vertical="center"/>
    </xf>
    <xf numFmtId="0" fontId="0" fillId="0" borderId="2" xfId="0" applyBorder="1">
      <alignment vertical="center"/>
    </xf>
    <xf numFmtId="0" fontId="0" fillId="3" borderId="0" xfId="0" applyFill="1" applyAlignment="1">
      <alignment vertical="top"/>
    </xf>
    <xf numFmtId="0" fontId="0" fillId="3" borderId="0" xfId="0" applyFill="1" applyAlignment="1">
      <alignment vertical="top" wrapText="1"/>
    </xf>
    <xf numFmtId="0" fontId="21" fillId="3" borderId="0" xfId="6" applyFill="1" applyAlignment="1">
      <alignment vertical="top"/>
    </xf>
    <xf numFmtId="0" fontId="0" fillId="3" borderId="0" xfId="0" applyFill="1">
      <alignment vertical="center"/>
    </xf>
    <xf numFmtId="9" fontId="0" fillId="3" borderId="0" xfId="0" applyNumberFormat="1" applyFill="1" applyAlignment="1">
      <alignment wrapText="1"/>
    </xf>
    <xf numFmtId="9" fontId="0" fillId="0" borderId="0" xfId="0" applyNumberFormat="1" applyAlignment="1">
      <alignment vertical="center" wrapText="1"/>
    </xf>
    <xf numFmtId="0" fontId="12" fillId="0" borderId="15" xfId="0" applyFont="1" applyBorder="1">
      <alignment vertical="center"/>
    </xf>
    <xf numFmtId="0" fontId="12" fillId="0" borderId="4" xfId="0" applyFont="1" applyBorder="1">
      <alignment vertical="center"/>
    </xf>
    <xf numFmtId="0" fontId="12" fillId="0" borderId="4" xfId="0" applyFont="1" applyBorder="1" applyAlignment="1">
      <alignment vertical="center" wrapText="1"/>
    </xf>
    <xf numFmtId="9" fontId="12" fillId="0" borderId="4" xfId="1" applyFont="1" applyBorder="1" applyAlignment="1">
      <alignment vertical="center"/>
    </xf>
    <xf numFmtId="0" fontId="12" fillId="0" borderId="12" xfId="0" applyFont="1" applyBorder="1">
      <alignment vertical="center"/>
    </xf>
    <xf numFmtId="3" fontId="14" fillId="0" borderId="0" xfId="0" applyNumberFormat="1" applyFont="1" applyAlignment="1">
      <alignment vertical="center" wrapText="1"/>
    </xf>
    <xf numFmtId="4" fontId="12" fillId="0" borderId="12" xfId="0" applyNumberFormat="1" applyFont="1" applyBorder="1" applyAlignment="1">
      <alignment vertical="center" wrapText="1"/>
    </xf>
    <xf numFmtId="4" fontId="12" fillId="0" borderId="8" xfId="0" applyNumberFormat="1" applyFont="1" applyBorder="1" applyAlignment="1">
      <alignment vertical="center" wrapText="1"/>
    </xf>
    <xf numFmtId="4" fontId="0" fillId="0" borderId="0" xfId="0" applyNumberFormat="1">
      <alignment vertical="center"/>
    </xf>
    <xf numFmtId="4" fontId="0" fillId="0" borderId="0" xfId="0" applyNumberFormat="1" applyAlignment="1">
      <alignment vertical="center" wrapText="1"/>
    </xf>
    <xf numFmtId="0" fontId="17" fillId="0" borderId="4" xfId="2" applyBorder="1" applyAlignment="1">
      <alignment vertical="center"/>
    </xf>
    <xf numFmtId="0" fontId="0" fillId="0" borderId="13" xfId="0" applyBorder="1" applyAlignment="1">
      <alignment vertical="center" wrapText="1"/>
    </xf>
    <xf numFmtId="0" fontId="17" fillId="0" borderId="14" xfId="2" applyBorder="1" applyAlignment="1">
      <alignment vertical="center"/>
    </xf>
    <xf numFmtId="0" fontId="35" fillId="3" borderId="0" xfId="0" applyFont="1" applyFill="1">
      <alignment vertical="center"/>
    </xf>
    <xf numFmtId="0" fontId="0" fillId="3" borderId="0" xfId="0" applyFill="1" applyAlignment="1">
      <alignment horizontal="left" vertical="top" wrapText="1"/>
    </xf>
    <xf numFmtId="0" fontId="16" fillId="3" borderId="0" xfId="0" applyFont="1" applyFill="1">
      <alignment vertical="center"/>
    </xf>
    <xf numFmtId="0" fontId="75" fillId="3" borderId="0" xfId="0" applyFont="1" applyFill="1" applyAlignment="1">
      <alignment vertical="center" wrapText="1"/>
    </xf>
    <xf numFmtId="0" fontId="76" fillId="3" borderId="0" xfId="0" applyFont="1" applyFill="1" applyAlignment="1">
      <alignment vertical="center" wrapText="1"/>
    </xf>
    <xf numFmtId="0" fontId="16" fillId="57" borderId="0" xfId="0" applyFont="1" applyFill="1">
      <alignment vertical="center"/>
    </xf>
    <xf numFmtId="0" fontId="78" fillId="3" borderId="0" xfId="0" applyFont="1" applyFill="1" applyAlignment="1">
      <alignment vertical="top"/>
    </xf>
    <xf numFmtId="0" fontId="16" fillId="3" borderId="0" xfId="0" applyFont="1" applyFill="1" applyAlignment="1">
      <alignment vertical="top" wrapText="1"/>
    </xf>
    <xf numFmtId="0" fontId="79" fillId="3" borderId="0" xfId="0" applyFont="1" applyFill="1" applyAlignment="1">
      <alignment vertical="top" wrapText="1"/>
    </xf>
    <xf numFmtId="166" fontId="16" fillId="3" borderId="0" xfId="0" applyNumberFormat="1" applyFont="1" applyFill="1" applyAlignment="1">
      <alignment vertical="top" wrapText="1"/>
    </xf>
    <xf numFmtId="14" fontId="16" fillId="3" borderId="0" xfId="0" applyNumberFormat="1" applyFont="1" applyFill="1" applyAlignment="1">
      <alignment vertical="top" wrapText="1"/>
    </xf>
    <xf numFmtId="0" fontId="16" fillId="3" borderId="0" xfId="0" applyFont="1" applyFill="1" applyAlignment="1">
      <alignment horizontal="left" vertical="top" wrapText="1"/>
    </xf>
    <xf numFmtId="0" fontId="16" fillId="3" borderId="0" xfId="0" applyFont="1" applyFill="1" applyAlignment="1">
      <alignment vertical="center" wrapText="1"/>
    </xf>
    <xf numFmtId="0" fontId="75" fillId="3" borderId="0" xfId="0" applyFont="1" applyFill="1" applyAlignment="1">
      <alignment horizontal="right" vertical="center" wrapText="1"/>
    </xf>
    <xf numFmtId="0" fontId="77" fillId="57" borderId="0" xfId="0" applyFont="1" applyFill="1">
      <alignment vertical="center"/>
    </xf>
    <xf numFmtId="0" fontId="79" fillId="58" borderId="17" xfId="0" applyFont="1" applyFill="1" applyBorder="1" applyAlignment="1">
      <alignment vertical="center" wrapText="1"/>
    </xf>
    <xf numFmtId="0" fontId="79" fillId="58" borderId="17" xfId="0" applyFont="1" applyFill="1" applyBorder="1" applyAlignment="1">
      <alignment horizontal="left" vertical="center" wrapText="1" readingOrder="1"/>
    </xf>
    <xf numFmtId="0" fontId="15" fillId="57" borderId="18" xfId="0" applyFont="1" applyFill="1" applyBorder="1" applyAlignment="1">
      <alignment horizontal="left" vertical="center" wrapText="1" readingOrder="1"/>
    </xf>
    <xf numFmtId="0" fontId="12" fillId="57" borderId="18" xfId="0" applyFont="1" applyFill="1" applyBorder="1" applyAlignment="1">
      <alignment horizontal="left" vertical="center" wrapText="1" readingOrder="1"/>
    </xf>
    <xf numFmtId="0" fontId="12" fillId="57" borderId="19" xfId="0" applyFont="1" applyFill="1" applyBorder="1" applyAlignment="1">
      <alignment vertical="center" wrapText="1" readingOrder="1"/>
    </xf>
    <xf numFmtId="0" fontId="15" fillId="57" borderId="21" xfId="0" applyFont="1" applyFill="1" applyBorder="1" applyAlignment="1">
      <alignment horizontal="left" vertical="center" wrapText="1" readingOrder="1"/>
    </xf>
    <xf numFmtId="0" fontId="12" fillId="57" borderId="21" xfId="0" applyFont="1" applyFill="1" applyBorder="1" applyAlignment="1">
      <alignment horizontal="left" vertical="center" wrapText="1" readingOrder="1"/>
    </xf>
    <xf numFmtId="0" fontId="12" fillId="57" borderId="21" xfId="0" applyFont="1" applyFill="1" applyBorder="1" applyAlignment="1">
      <alignment horizontal="right" vertical="center" wrapText="1" readingOrder="1"/>
    </xf>
    <xf numFmtId="0" fontId="0" fillId="3" borderId="0" xfId="0" applyFill="1" applyAlignment="1">
      <alignment horizontal="left" vertical="center"/>
    </xf>
    <xf numFmtId="0" fontId="12" fillId="3" borderId="0" xfId="0" applyFont="1" applyFill="1" applyAlignment="1" applyProtection="1">
      <alignment vertical="top" wrapText="1"/>
      <protection hidden="1"/>
    </xf>
    <xf numFmtId="0" fontId="12" fillId="3" borderId="0" xfId="0" applyFont="1" applyFill="1" applyAlignment="1" applyProtection="1">
      <alignment vertical="top"/>
      <protection hidden="1"/>
    </xf>
    <xf numFmtId="0" fontId="0" fillId="57" borderId="0" xfId="0" applyFill="1" applyAlignment="1"/>
    <xf numFmtId="0" fontId="77" fillId="3" borderId="0" xfId="0" applyFont="1" applyFill="1">
      <alignment vertical="center"/>
    </xf>
    <xf numFmtId="14" fontId="12" fillId="0" borderId="42" xfId="0" applyNumberFormat="1" applyFont="1" applyBorder="1" applyAlignment="1" applyProtection="1">
      <alignment horizontal="right" vertical="top" wrapText="1"/>
      <protection hidden="1"/>
    </xf>
    <xf numFmtId="0" fontId="12" fillId="0" borderId="42" xfId="0" applyFont="1" applyBorder="1" applyAlignment="1" applyProtection="1">
      <alignment vertical="top" wrapText="1"/>
      <protection hidden="1"/>
    </xf>
    <xf numFmtId="0" fontId="12" fillId="0" borderId="42" xfId="0" applyFont="1" applyBorder="1" applyAlignment="1" applyProtection="1">
      <alignment vertical="top"/>
      <protection hidden="1"/>
    </xf>
    <xf numFmtId="166" fontId="12" fillId="0" borderId="42" xfId="0" applyNumberFormat="1" applyFont="1" applyBorder="1" applyAlignment="1" applyProtection="1">
      <alignment vertical="top"/>
      <protection hidden="1"/>
    </xf>
    <xf numFmtId="11" fontId="0" fillId="0" borderId="42" xfId="0" applyNumberFormat="1" applyBorder="1" applyAlignment="1">
      <alignment vertical="top"/>
    </xf>
    <xf numFmtId="0" fontId="0" fillId="0" borderId="42" xfId="0" applyBorder="1" applyAlignment="1">
      <alignment vertical="top"/>
    </xf>
    <xf numFmtId="0" fontId="16" fillId="3" borderId="42" xfId="0" applyFont="1" applyFill="1" applyBorder="1" applyAlignment="1">
      <alignment horizontal="right" vertical="center"/>
    </xf>
    <xf numFmtId="0" fontId="16" fillId="3" borderId="42" xfId="0" applyFont="1" applyFill="1" applyBorder="1">
      <alignment vertical="center"/>
    </xf>
    <xf numFmtId="0" fontId="0" fillId="3" borderId="42" xfId="0" applyFill="1" applyBorder="1" applyAlignment="1"/>
    <xf numFmtId="0" fontId="77" fillId="3" borderId="42" xfId="0" applyFont="1" applyFill="1" applyBorder="1" applyAlignment="1">
      <alignment horizontal="right" vertical="center"/>
    </xf>
    <xf numFmtId="0" fontId="77" fillId="3" borderId="42" xfId="0" applyFont="1" applyFill="1" applyBorder="1">
      <alignment vertical="center"/>
    </xf>
    <xf numFmtId="0" fontId="0" fillId="0" borderId="43" xfId="0" applyBorder="1" applyAlignment="1">
      <alignment vertical="top"/>
    </xf>
    <xf numFmtId="0" fontId="0" fillId="3" borderId="43" xfId="0" applyFill="1" applyBorder="1" applyAlignment="1"/>
    <xf numFmtId="0" fontId="0" fillId="0" borderId="42" xfId="0" applyBorder="1" applyAlignment="1">
      <alignment horizontal="right" vertical="top"/>
    </xf>
    <xf numFmtId="0" fontId="12" fillId="0" borderId="10" xfId="0" applyFont="1" applyBorder="1">
      <alignment vertical="center"/>
    </xf>
    <xf numFmtId="0" fontId="12" fillId="0" borderId="3" xfId="0" applyFont="1" applyBorder="1">
      <alignment vertical="center"/>
    </xf>
    <xf numFmtId="0" fontId="12" fillId="0" borderId="3" xfId="0" applyFont="1" applyBorder="1" applyAlignment="1">
      <alignment vertical="center" wrapText="1"/>
    </xf>
    <xf numFmtId="0" fontId="12" fillId="0" borderId="0" xfId="0" applyFont="1">
      <alignment vertical="center"/>
    </xf>
    <xf numFmtId="0" fontId="11" fillId="8" borderId="10" xfId="0" applyFont="1" applyFill="1" applyBorder="1" applyAlignment="1">
      <alignment vertical="top"/>
    </xf>
    <xf numFmtId="0" fontId="11" fillId="8" borderId="3" xfId="0" applyFont="1" applyFill="1" applyBorder="1" applyAlignment="1">
      <alignment vertical="top"/>
    </xf>
    <xf numFmtId="0" fontId="11" fillId="8" borderId="3" xfId="0" applyFont="1" applyFill="1" applyBorder="1" applyAlignment="1">
      <alignment vertical="top" wrapText="1"/>
    </xf>
    <xf numFmtId="0" fontId="11" fillId="8" borderId="5" xfId="0" applyFont="1" applyFill="1" applyBorder="1" applyAlignment="1">
      <alignment horizontal="right" vertical="top" wrapText="1"/>
    </xf>
    <xf numFmtId="0" fontId="11" fillId="8" borderId="10" xfId="0" applyFont="1" applyFill="1" applyBorder="1" applyAlignment="1">
      <alignment horizontal="right" vertical="top" wrapText="1"/>
    </xf>
    <xf numFmtId="0" fontId="11" fillId="8" borderId="3" xfId="0" applyFont="1" applyFill="1" applyBorder="1" applyAlignment="1">
      <alignment horizontal="right" vertical="top" wrapText="1"/>
    </xf>
    <xf numFmtId="0" fontId="11" fillId="8" borderId="6" xfId="0" applyFont="1" applyFill="1" applyBorder="1" applyAlignment="1">
      <alignment horizontal="right" vertical="top" wrapText="1"/>
    </xf>
    <xf numFmtId="4" fontId="11" fillId="8" borderId="6" xfId="0" applyNumberFormat="1" applyFont="1" applyFill="1" applyBorder="1" applyAlignment="1">
      <alignment horizontal="right" vertical="top" wrapText="1"/>
    </xf>
    <xf numFmtId="4" fontId="11" fillId="8" borderId="5" xfId="0" applyNumberFormat="1" applyFont="1" applyFill="1" applyBorder="1" applyAlignment="1">
      <alignment horizontal="right" vertical="top" wrapText="1"/>
    </xf>
    <xf numFmtId="3" fontId="12" fillId="0" borderId="0" xfId="0" applyNumberFormat="1" applyFont="1" applyAlignment="1">
      <alignment vertical="center" wrapText="1"/>
    </xf>
    <xf numFmtId="169" fontId="12" fillId="0" borderId="1" xfId="0" applyNumberFormat="1" applyFont="1" applyBorder="1">
      <alignment vertical="center"/>
    </xf>
    <xf numFmtId="169" fontId="12" fillId="0" borderId="0" xfId="0" applyNumberFormat="1" applyFont="1">
      <alignment vertical="center"/>
    </xf>
    <xf numFmtId="169" fontId="0" fillId="0" borderId="0" xfId="0" applyNumberFormat="1">
      <alignment vertical="center"/>
    </xf>
    <xf numFmtId="169" fontId="11" fillId="8" borderId="8" xfId="0" applyNumberFormat="1" applyFont="1" applyFill="1" applyBorder="1" applyAlignment="1">
      <alignment horizontal="right" vertical="center"/>
    </xf>
    <xf numFmtId="169" fontId="11" fillId="8" borderId="2" xfId="0" applyNumberFormat="1" applyFont="1" applyFill="1" applyBorder="1" applyAlignment="1">
      <alignment horizontal="right" vertical="center"/>
    </xf>
    <xf numFmtId="169" fontId="14" fillId="0" borderId="0" xfId="0" applyNumberFormat="1" applyFont="1" applyAlignment="1">
      <alignment vertical="center" wrapText="1"/>
    </xf>
    <xf numFmtId="169" fontId="12" fillId="0" borderId="12" xfId="0" applyNumberFormat="1" applyFont="1" applyBorder="1">
      <alignment vertical="center"/>
    </xf>
    <xf numFmtId="169" fontId="12" fillId="0" borderId="4" xfId="0" applyNumberFormat="1" applyFont="1" applyBorder="1">
      <alignment vertical="center"/>
    </xf>
    <xf numFmtId="169" fontId="12" fillId="0" borderId="7" xfId="0" applyNumberFormat="1" applyFont="1" applyBorder="1">
      <alignment vertical="center"/>
    </xf>
    <xf numFmtId="169" fontId="12" fillId="0" borderId="13" xfId="0" applyNumberFormat="1" applyFont="1" applyBorder="1">
      <alignment vertical="center"/>
    </xf>
    <xf numFmtId="169" fontId="12" fillId="0" borderId="14" xfId="0" applyNumberFormat="1" applyFont="1" applyBorder="1">
      <alignment vertical="center"/>
    </xf>
    <xf numFmtId="169" fontId="12" fillId="0" borderId="15" xfId="0" applyNumberFormat="1" applyFont="1" applyBorder="1">
      <alignment vertical="center"/>
    </xf>
    <xf numFmtId="169" fontId="0" fillId="0" borderId="1" xfId="0" applyNumberFormat="1" applyBorder="1">
      <alignment vertical="center"/>
    </xf>
    <xf numFmtId="169" fontId="0" fillId="0" borderId="13" xfId="0" applyNumberFormat="1" applyBorder="1">
      <alignment vertical="center"/>
    </xf>
    <xf numFmtId="169" fontId="0" fillId="0" borderId="14" xfId="0" applyNumberFormat="1" applyBorder="1">
      <alignment vertical="center"/>
    </xf>
    <xf numFmtId="169" fontId="0" fillId="0" borderId="15" xfId="0" applyNumberFormat="1" applyBorder="1">
      <alignment vertical="center"/>
    </xf>
    <xf numFmtId="169" fontId="12" fillId="0" borderId="2" xfId="0" applyNumberFormat="1" applyFont="1" applyBorder="1">
      <alignment vertical="center"/>
    </xf>
    <xf numFmtId="0" fontId="12" fillId="0" borderId="9" xfId="0" applyFont="1" applyBorder="1" applyAlignment="1">
      <alignment vertical="center" wrapText="1"/>
    </xf>
    <xf numFmtId="0" fontId="12" fillId="0" borderId="1" xfId="0" applyFont="1" applyBorder="1" applyAlignment="1">
      <alignment vertical="center" wrapText="1"/>
    </xf>
    <xf numFmtId="0" fontId="11" fillId="8" borderId="15" xfId="0" applyFont="1" applyFill="1" applyBorder="1" applyAlignment="1">
      <alignment vertical="top" wrapText="1"/>
    </xf>
    <xf numFmtId="0" fontId="11" fillId="8" borderId="13" xfId="0" applyFont="1" applyFill="1" applyBorder="1" applyAlignment="1">
      <alignment horizontal="right" vertical="top" wrapText="1"/>
    </xf>
    <xf numFmtId="0" fontId="11" fillId="8" borderId="14" xfId="0" applyFont="1" applyFill="1" applyBorder="1" applyAlignment="1">
      <alignment horizontal="right" vertical="top" wrapText="1"/>
    </xf>
    <xf numFmtId="0" fontId="11" fillId="8" borderId="15" xfId="0" applyFont="1" applyFill="1" applyBorder="1" applyAlignment="1">
      <alignment horizontal="right" vertical="top" wrapText="1"/>
    </xf>
    <xf numFmtId="3" fontId="12" fillId="0" borderId="14" xfId="0" applyNumberFormat="1" applyFont="1" applyBorder="1" applyAlignment="1">
      <alignment vertical="center" wrapText="1"/>
    </xf>
    <xf numFmtId="3" fontId="12" fillId="0" borderId="13" xfId="0" applyNumberFormat="1" applyFont="1" applyBorder="1" applyAlignment="1">
      <alignment vertical="center" wrapText="1"/>
    </xf>
    <xf numFmtId="3" fontId="12" fillId="0" borderId="15" xfId="0" applyNumberFormat="1" applyFont="1" applyBorder="1" applyAlignment="1">
      <alignment vertical="center" wrapText="1"/>
    </xf>
    <xf numFmtId="4" fontId="12" fillId="0" borderId="13" xfId="0" applyNumberFormat="1" applyFont="1" applyBorder="1" applyAlignment="1">
      <alignment vertical="center" wrapText="1"/>
    </xf>
    <xf numFmtId="3" fontId="12" fillId="0" borderId="9" xfId="0" applyNumberFormat="1" applyFont="1" applyBorder="1" applyAlignment="1">
      <alignment vertical="center" wrapText="1"/>
    </xf>
    <xf numFmtId="4" fontId="12" fillId="0" borderId="9" xfId="0" applyNumberFormat="1" applyFont="1" applyBorder="1" applyAlignment="1">
      <alignment vertical="center" wrapText="1"/>
    </xf>
    <xf numFmtId="0" fontId="12" fillId="0" borderId="13" xfId="0" applyFont="1" applyBorder="1" applyAlignment="1">
      <alignment vertical="center" wrapText="1"/>
    </xf>
    <xf numFmtId="0" fontId="12" fillId="0" borderId="15" xfId="0" applyFont="1" applyBorder="1" applyAlignment="1">
      <alignment vertical="center" wrapText="1"/>
    </xf>
    <xf numFmtId="0" fontId="0" fillId="0" borderId="45" xfId="0" applyBorder="1">
      <alignment vertical="center"/>
    </xf>
    <xf numFmtId="0" fontId="0" fillId="0" borderId="46" xfId="0" applyBorder="1">
      <alignment vertical="center"/>
    </xf>
    <xf numFmtId="0" fontId="0" fillId="0" borderId="47" xfId="0" applyBorder="1">
      <alignment vertical="center"/>
    </xf>
    <xf numFmtId="0" fontId="0" fillId="0" borderId="42" xfId="0" applyBorder="1">
      <alignment vertical="center"/>
    </xf>
    <xf numFmtId="0" fontId="0" fillId="0" borderId="43" xfId="0" applyBorder="1">
      <alignment vertical="center"/>
    </xf>
    <xf numFmtId="0" fontId="0" fillId="0" borderId="48" xfId="0" applyBorder="1">
      <alignment vertical="center"/>
    </xf>
    <xf numFmtId="0" fontId="0" fillId="0" borderId="44" xfId="0" applyBorder="1">
      <alignment vertical="center"/>
    </xf>
    <xf numFmtId="0" fontId="0" fillId="0" borderId="49" xfId="0" applyBorder="1">
      <alignment vertical="center"/>
    </xf>
    <xf numFmtId="0" fontId="0" fillId="0" borderId="46" xfId="0" applyBorder="1" applyAlignment="1">
      <alignment vertical="center" wrapText="1"/>
    </xf>
    <xf numFmtId="0" fontId="11" fillId="0" borderId="47" xfId="0" applyFont="1" applyBorder="1" applyAlignment="1">
      <alignment horizontal="center" vertical="center"/>
    </xf>
    <xf numFmtId="0" fontId="11" fillId="0" borderId="47" xfId="0" applyFont="1" applyBorder="1" applyAlignment="1">
      <alignment vertical="center" wrapText="1"/>
    </xf>
    <xf numFmtId="2" fontId="0" fillId="0" borderId="47" xfId="0" applyNumberFormat="1" applyBorder="1">
      <alignment vertical="center"/>
    </xf>
    <xf numFmtId="0" fontId="14" fillId="0" borderId="47" xfId="0" applyFont="1" applyBorder="1">
      <alignment vertical="center"/>
    </xf>
    <xf numFmtId="0" fontId="14" fillId="0" borderId="42" xfId="0" applyFont="1" applyBorder="1">
      <alignment vertical="center"/>
    </xf>
    <xf numFmtId="0" fontId="0" fillId="0" borderId="42" xfId="0" applyBorder="1" applyAlignment="1">
      <alignment vertical="center" wrapText="1"/>
    </xf>
    <xf numFmtId="0" fontId="0" fillId="0" borderId="44" xfId="0" applyBorder="1" applyAlignment="1">
      <alignment vertical="center" wrapText="1"/>
    </xf>
    <xf numFmtId="0" fontId="87" fillId="59" borderId="3" xfId="0" applyFont="1" applyFill="1" applyBorder="1" applyAlignment="1">
      <alignment vertical="center" wrapText="1"/>
    </xf>
    <xf numFmtId="0" fontId="87" fillId="59" borderId="10" xfId="0" applyFont="1" applyFill="1" applyBorder="1" applyAlignment="1">
      <alignment vertical="center" wrapText="1"/>
    </xf>
    <xf numFmtId="0" fontId="12" fillId="0" borderId="50" xfId="0" applyFont="1" applyBorder="1">
      <alignment vertical="center"/>
    </xf>
    <xf numFmtId="0" fontId="12" fillId="0" borderId="51" xfId="0" applyFont="1" applyBorder="1">
      <alignment vertical="center"/>
    </xf>
    <xf numFmtId="0" fontId="17" fillId="0" borderId="51" xfId="2" applyBorder="1" applyAlignment="1">
      <alignment vertical="center"/>
    </xf>
    <xf numFmtId="0" fontId="12" fillId="0" borderId="51" xfId="0" applyFont="1" applyBorder="1" applyAlignment="1">
      <alignment vertical="center" wrapText="1"/>
    </xf>
    <xf numFmtId="0" fontId="12" fillId="0" borderId="51" xfId="0" applyFont="1" applyBorder="1" applyAlignment="1">
      <alignment horizontal="right" vertical="center"/>
    </xf>
    <xf numFmtId="0" fontId="12" fillId="0" borderId="52" xfId="0" applyFont="1" applyBorder="1" applyAlignment="1">
      <alignment horizontal="right" vertical="center"/>
    </xf>
    <xf numFmtId="0" fontId="0" fillId="60" borderId="54" xfId="0" applyFill="1" applyBorder="1" applyAlignment="1">
      <alignment horizontal="right" vertical="center" wrapText="1"/>
    </xf>
    <xf numFmtId="0" fontId="0" fillId="60" borderId="59" xfId="0" applyFill="1" applyBorder="1" applyAlignment="1">
      <alignment horizontal="right" vertical="center" wrapText="1"/>
    </xf>
    <xf numFmtId="0" fontId="0" fillId="60" borderId="55" xfId="0" applyFill="1" applyBorder="1" applyAlignment="1">
      <alignment horizontal="right" vertical="center" wrapText="1"/>
    </xf>
    <xf numFmtId="0" fontId="11" fillId="60" borderId="61" xfId="0" applyFont="1" applyFill="1" applyBorder="1" applyAlignment="1">
      <alignment horizontal="right" vertical="center"/>
    </xf>
    <xf numFmtId="0" fontId="11" fillId="60" borderId="62" xfId="0" applyFont="1" applyFill="1" applyBorder="1" applyAlignment="1">
      <alignment horizontal="right" vertical="center"/>
    </xf>
    <xf numFmtId="0" fontId="11" fillId="60" borderId="63" xfId="0" applyFont="1" applyFill="1" applyBorder="1" applyAlignment="1">
      <alignment horizontal="right" vertical="center"/>
    </xf>
    <xf numFmtId="9" fontId="12" fillId="0" borderId="64" xfId="1" applyFont="1" applyBorder="1" applyAlignment="1">
      <alignment vertical="center"/>
    </xf>
    <xf numFmtId="0" fontId="12" fillId="0" borderId="50" xfId="0" applyFont="1" applyBorder="1" applyAlignment="1">
      <alignment horizontal="right" vertical="center"/>
    </xf>
    <xf numFmtId="0" fontId="11" fillId="60" borderId="65" xfId="0" applyFont="1" applyFill="1" applyBorder="1" applyAlignment="1">
      <alignment horizontal="right" vertical="center" wrapText="1"/>
    </xf>
    <xf numFmtId="0" fontId="12" fillId="0" borderId="64" xfId="0" applyFont="1" applyBorder="1" applyAlignment="1">
      <alignment horizontal="right" vertical="center"/>
    </xf>
    <xf numFmtId="0" fontId="12" fillId="0" borderId="66" xfId="0" applyFont="1" applyBorder="1" applyAlignment="1">
      <alignment horizontal="right" vertical="center"/>
    </xf>
    <xf numFmtId="0" fontId="11" fillId="60" borderId="67" xfId="0" applyFont="1" applyFill="1" applyBorder="1" applyAlignment="1">
      <alignment horizontal="right" vertical="center" wrapText="1"/>
    </xf>
    <xf numFmtId="0" fontId="12" fillId="0" borderId="69" xfId="0" applyFont="1" applyBorder="1" applyAlignment="1">
      <alignment horizontal="right" vertical="center"/>
    </xf>
    <xf numFmtId="0" fontId="12" fillId="0" borderId="70" xfId="0" applyFont="1" applyBorder="1" applyAlignment="1">
      <alignment horizontal="right" vertical="center"/>
    </xf>
    <xf numFmtId="0" fontId="12" fillId="0" borderId="71" xfId="0" applyFont="1" applyBorder="1" applyAlignment="1">
      <alignment horizontal="right" vertical="center"/>
    </xf>
    <xf numFmtId="0" fontId="12" fillId="0" borderId="72" xfId="0" applyFont="1" applyBorder="1" applyAlignment="1">
      <alignment horizontal="right" vertical="center"/>
    </xf>
    <xf numFmtId="0" fontId="12" fillId="0" borderId="73" xfId="0" applyFont="1" applyBorder="1" applyAlignment="1">
      <alignment horizontal="right" vertical="center"/>
    </xf>
    <xf numFmtId="0" fontId="12" fillId="0" borderId="69" xfId="146" applyNumberFormat="1" applyFont="1" applyBorder="1" applyAlignment="1">
      <alignment horizontal="right" vertical="center"/>
    </xf>
    <xf numFmtId="0" fontId="12" fillId="0" borderId="74" xfId="0" applyFont="1" applyBorder="1" applyAlignment="1">
      <alignment horizontal="right" vertical="center"/>
    </xf>
    <xf numFmtId="0" fontId="12" fillId="0" borderId="75" xfId="0" applyFont="1" applyBorder="1" applyAlignment="1">
      <alignment horizontal="right" vertical="center"/>
    </xf>
    <xf numFmtId="0" fontId="12" fillId="0" borderId="76" xfId="0" applyFont="1" applyBorder="1" applyAlignment="1">
      <alignment horizontal="right" vertical="center"/>
    </xf>
    <xf numFmtId="0" fontId="87" fillId="59" borderId="77" xfId="0" applyFont="1" applyFill="1" applyBorder="1" applyAlignment="1">
      <alignment vertical="center" wrapText="1"/>
    </xf>
    <xf numFmtId="0" fontId="87" fillId="59" borderId="63" xfId="0" applyFont="1" applyFill="1" applyBorder="1" applyAlignment="1">
      <alignment vertical="center" wrapText="1"/>
    </xf>
    <xf numFmtId="0" fontId="87" fillId="59" borderId="78" xfId="0" applyFont="1" applyFill="1" applyBorder="1" applyAlignment="1">
      <alignment vertical="center" wrapText="1"/>
    </xf>
    <xf numFmtId="0" fontId="12" fillId="0" borderId="55" xfId="0" applyFont="1" applyBorder="1" applyAlignment="1">
      <alignment horizontal="right" vertical="center"/>
    </xf>
    <xf numFmtId="0" fontId="12" fillId="0" borderId="41" xfId="0" applyFont="1" applyBorder="1">
      <alignment vertical="center"/>
    </xf>
    <xf numFmtId="4" fontId="12" fillId="0" borderId="41" xfId="0" applyNumberFormat="1" applyFont="1" applyBorder="1" applyAlignment="1">
      <alignment vertical="center" wrapText="1"/>
    </xf>
    <xf numFmtId="4" fontId="12" fillId="0" borderId="60" xfId="0" applyNumberFormat="1" applyFont="1" applyBorder="1" applyAlignment="1">
      <alignment vertical="center" wrapText="1"/>
    </xf>
    <xf numFmtId="0" fontId="12" fillId="0" borderId="79" xfId="0" applyFont="1" applyBorder="1" applyAlignment="1">
      <alignment horizontal="right" vertical="center"/>
    </xf>
    <xf numFmtId="0" fontId="12" fillId="0" borderId="80" xfId="0" applyFont="1" applyBorder="1">
      <alignment vertical="center"/>
    </xf>
    <xf numFmtId="4" fontId="12" fillId="0" borderId="80" xfId="0" applyNumberFormat="1" applyFont="1" applyBorder="1" applyAlignment="1">
      <alignment vertical="center" wrapText="1"/>
    </xf>
    <xf numFmtId="4" fontId="12" fillId="0" borderId="81" xfId="0" applyNumberFormat="1" applyFont="1" applyBorder="1" applyAlignment="1">
      <alignment vertical="center" wrapText="1"/>
    </xf>
    <xf numFmtId="0" fontId="12" fillId="0" borderId="82" xfId="0" applyFont="1" applyBorder="1" applyAlignment="1">
      <alignment horizontal="right" vertical="center"/>
    </xf>
    <xf numFmtId="0" fontId="12" fillId="0" borderId="83" xfId="0" applyFont="1" applyBorder="1" applyAlignment="1">
      <alignment horizontal="right" vertical="center"/>
    </xf>
    <xf numFmtId="0" fontId="0" fillId="60" borderId="57" xfId="0" applyFill="1" applyBorder="1" applyAlignment="1">
      <alignment horizontal="right" vertical="center" wrapText="1"/>
    </xf>
    <xf numFmtId="0" fontId="89" fillId="0" borderId="42" xfId="0" applyFont="1" applyBorder="1" applyAlignment="1">
      <alignment vertical="center" wrapText="1"/>
    </xf>
    <xf numFmtId="0" fontId="89" fillId="0" borderId="0" xfId="0" applyFont="1" applyAlignment="1">
      <alignment vertical="center" wrapText="1"/>
    </xf>
    <xf numFmtId="0" fontId="89" fillId="0" borderId="47" xfId="0" applyFont="1" applyBorder="1" applyAlignment="1">
      <alignment vertical="center" wrapText="1"/>
    </xf>
    <xf numFmtId="3" fontId="89" fillId="0" borderId="0" xfId="0" applyNumberFormat="1" applyFont="1" applyAlignment="1">
      <alignment vertical="center" wrapText="1"/>
    </xf>
    <xf numFmtId="4" fontId="89" fillId="0" borderId="0" xfId="0" applyNumberFormat="1" applyFont="1" applyAlignment="1">
      <alignment vertical="center" wrapText="1"/>
    </xf>
    <xf numFmtId="0" fontId="90" fillId="0" borderId="47" xfId="0" applyFont="1" applyBorder="1">
      <alignment vertical="center"/>
    </xf>
    <xf numFmtId="0" fontId="11" fillId="0" borderId="86" xfId="0" applyFont="1" applyBorder="1">
      <alignment vertical="center"/>
    </xf>
    <xf numFmtId="0" fontId="0" fillId="0" borderId="87" xfId="0" applyBorder="1">
      <alignment vertical="center"/>
    </xf>
    <xf numFmtId="2" fontId="0" fillId="0" borderId="87" xfId="0" applyNumberFormat="1" applyBorder="1">
      <alignment vertical="center"/>
    </xf>
    <xf numFmtId="0" fontId="11" fillId="0" borderId="88" xfId="0" applyFont="1" applyBorder="1">
      <alignment vertical="center"/>
    </xf>
    <xf numFmtId="2" fontId="0" fillId="0" borderId="42" xfId="0" applyNumberFormat="1" applyBorder="1">
      <alignment vertical="center"/>
    </xf>
    <xf numFmtId="0" fontId="11" fillId="0" borderId="88" xfId="0" applyFont="1" applyBorder="1" applyAlignment="1">
      <alignment horizontal="left"/>
    </xf>
    <xf numFmtId="0" fontId="0" fillId="0" borderId="42" xfId="0" applyBorder="1" applyAlignment="1">
      <alignment wrapText="1"/>
    </xf>
    <xf numFmtId="0" fontId="19" fillId="0" borderId="42" xfId="0" applyFont="1" applyBorder="1">
      <alignment vertical="center"/>
    </xf>
    <xf numFmtId="0" fontId="11" fillId="0" borderId="42" xfId="0" applyFont="1" applyBorder="1">
      <alignment vertical="center"/>
    </xf>
    <xf numFmtId="0" fontId="0" fillId="0" borderId="88" xfId="0" applyBorder="1" applyAlignment="1">
      <alignment horizontal="left"/>
    </xf>
    <xf numFmtId="0" fontId="0" fillId="0" borderId="88" xfId="0" applyBorder="1">
      <alignment vertical="center"/>
    </xf>
    <xf numFmtId="0" fontId="0" fillId="0" borderId="89" xfId="0" applyBorder="1">
      <alignment vertical="center"/>
    </xf>
    <xf numFmtId="0" fontId="11" fillId="0" borderId="46" xfId="0" applyFont="1" applyBorder="1">
      <alignment vertical="center"/>
    </xf>
    <xf numFmtId="2" fontId="0" fillId="0" borderId="46" xfId="0" applyNumberFormat="1" applyBorder="1">
      <alignment vertical="center"/>
    </xf>
    <xf numFmtId="2" fontId="11" fillId="60" borderId="41" xfId="0" applyNumberFormat="1" applyFont="1" applyFill="1" applyBorder="1" applyAlignment="1" applyProtection="1">
      <alignment horizontal="center" vertical="center" wrapText="1"/>
      <protection hidden="1"/>
    </xf>
    <xf numFmtId="11" fontId="11" fillId="60" borderId="41" xfId="0" applyNumberFormat="1" applyFont="1" applyFill="1" applyBorder="1" applyAlignment="1" applyProtection="1">
      <alignment horizontal="center" vertical="center" wrapText="1"/>
      <protection hidden="1"/>
    </xf>
    <xf numFmtId="2" fontId="0" fillId="0" borderId="44" xfId="0" applyNumberFormat="1" applyBorder="1">
      <alignment vertical="center"/>
    </xf>
    <xf numFmtId="0" fontId="11" fillId="0" borderId="86" xfId="0" applyFont="1" applyBorder="1" applyAlignment="1">
      <alignment wrapText="1"/>
    </xf>
    <xf numFmtId="0" fontId="11" fillId="0" borderId="87" xfId="0" applyFont="1" applyBorder="1">
      <alignment vertical="center"/>
    </xf>
    <xf numFmtId="2" fontId="0" fillId="0" borderId="90" xfId="0" applyNumberFormat="1" applyBorder="1">
      <alignment vertical="center"/>
    </xf>
    <xf numFmtId="0" fontId="11" fillId="0" borderId="88" xfId="0" applyFont="1" applyBorder="1" applyAlignment="1">
      <alignment wrapText="1"/>
    </xf>
    <xf numFmtId="2" fontId="0" fillId="0" borderId="91" xfId="0" applyNumberFormat="1" applyBorder="1">
      <alignment vertical="center"/>
    </xf>
    <xf numFmtId="0" fontId="0" fillId="0" borderId="91" xfId="0" applyBorder="1">
      <alignment vertical="center"/>
    </xf>
    <xf numFmtId="0" fontId="0" fillId="0" borderId="92" xfId="0" applyBorder="1">
      <alignment vertical="center"/>
    </xf>
    <xf numFmtId="0" fontId="0" fillId="0" borderId="93" xfId="0" applyBorder="1">
      <alignment vertical="center"/>
    </xf>
    <xf numFmtId="2" fontId="0" fillId="0" borderId="93" xfId="0" applyNumberFormat="1" applyBorder="1">
      <alignment vertical="center"/>
    </xf>
    <xf numFmtId="2" fontId="0" fillId="0" borderId="94" xfId="0" applyNumberFormat="1" applyBorder="1">
      <alignment vertical="center"/>
    </xf>
    <xf numFmtId="0" fontId="0" fillId="0" borderId="43" xfId="0" applyBorder="1" applyAlignment="1">
      <alignment wrapText="1"/>
    </xf>
    <xf numFmtId="0" fontId="0" fillId="0" borderId="47" xfId="0" applyBorder="1" applyAlignment="1">
      <alignment wrapText="1"/>
    </xf>
    <xf numFmtId="0" fontId="90" fillId="59" borderId="61" xfId="3" applyFont="1" applyFill="1" applyBorder="1"/>
    <xf numFmtId="0" fontId="11" fillId="60" borderId="61" xfId="0" applyFont="1" applyFill="1" applyBorder="1" applyAlignment="1" applyProtection="1">
      <alignment horizontal="center" vertical="center" wrapText="1"/>
      <protection hidden="1"/>
    </xf>
    <xf numFmtId="2" fontId="11" fillId="60" borderId="95" xfId="0" applyNumberFormat="1" applyFont="1" applyFill="1" applyBorder="1" applyAlignment="1" applyProtection="1">
      <alignment horizontal="center" vertical="center" wrapText="1"/>
      <protection hidden="1"/>
    </xf>
    <xf numFmtId="11" fontId="11" fillId="60" borderId="95" xfId="0" applyNumberFormat="1" applyFont="1" applyFill="1" applyBorder="1" applyAlignment="1" applyProtection="1">
      <alignment horizontal="center" vertical="center" wrapText="1"/>
      <protection hidden="1"/>
    </xf>
    <xf numFmtId="0" fontId="11" fillId="0" borderId="42" xfId="0" applyFont="1" applyBorder="1" applyAlignment="1">
      <alignment horizontal="left"/>
    </xf>
    <xf numFmtId="0" fontId="0" fillId="0" borderId="42" xfId="0" applyBorder="1" applyAlignment="1">
      <alignment horizontal="left"/>
    </xf>
    <xf numFmtId="2" fontId="0" fillId="10" borderId="42" xfId="0" applyNumberFormat="1" applyFill="1" applyBorder="1">
      <alignment vertical="center"/>
    </xf>
    <xf numFmtId="2" fontId="0" fillId="8" borderId="42" xfId="0" applyNumberFormat="1" applyFill="1" applyBorder="1">
      <alignment vertical="center"/>
    </xf>
    <xf numFmtId="0" fontId="18" fillId="0" borderId="42" xfId="0" applyFont="1" applyBorder="1">
      <alignment vertical="center"/>
    </xf>
    <xf numFmtId="0" fontId="0" fillId="0" borderId="42" xfId="0" applyBorder="1" applyAlignment="1">
      <alignment vertical="top" wrapText="1"/>
    </xf>
    <xf numFmtId="0" fontId="0" fillId="39" borderId="42" xfId="0" applyFill="1" applyBorder="1">
      <alignment vertical="center"/>
    </xf>
    <xf numFmtId="0" fontId="39" fillId="0" borderId="42" xfId="0" applyFont="1" applyBorder="1">
      <alignment vertical="center"/>
    </xf>
    <xf numFmtId="0" fontId="0" fillId="39" borderId="42" xfId="0" applyFill="1" applyBorder="1" applyAlignment="1">
      <alignment horizontal="right" vertical="top" wrapText="1"/>
    </xf>
    <xf numFmtId="0" fontId="0" fillId="39" borderId="42" xfId="0" applyFill="1" applyBorder="1" applyAlignment="1">
      <alignment horizontal="left" vertical="top" wrapText="1"/>
    </xf>
    <xf numFmtId="0" fontId="0" fillId="39" borderId="42" xfId="0" applyFill="1" applyBorder="1" applyAlignment="1">
      <alignment vertical="top"/>
    </xf>
    <xf numFmtId="0" fontId="40" fillId="0" borderId="42" xfId="0" applyFont="1" applyBorder="1">
      <alignment vertical="center"/>
    </xf>
    <xf numFmtId="0" fontId="0" fillId="0" borderId="42" xfId="0" applyBorder="1" applyAlignment="1">
      <alignment horizontal="right" vertical="center"/>
    </xf>
    <xf numFmtId="9" fontId="0" fillId="0" borderId="42" xfId="0" applyNumberFormat="1" applyBorder="1">
      <alignment vertical="center"/>
    </xf>
    <xf numFmtId="0" fontId="17" fillId="0" borderId="42" xfId="2" applyBorder="1" applyAlignment="1">
      <alignment vertical="center"/>
    </xf>
    <xf numFmtId="168" fontId="0" fillId="0" borderId="42" xfId="1" applyNumberFormat="1" applyFont="1" applyBorder="1"/>
    <xf numFmtId="0" fontId="17" fillId="0" borderId="42" xfId="2" applyBorder="1"/>
    <xf numFmtId="0" fontId="0" fillId="7" borderId="42" xfId="0" applyFill="1" applyBorder="1">
      <alignment vertical="center"/>
    </xf>
    <xf numFmtId="0" fontId="11" fillId="8" borderId="42" xfId="0" applyFont="1" applyFill="1" applyBorder="1">
      <alignment vertical="center"/>
    </xf>
    <xf numFmtId="10" fontId="11" fillId="0" borderId="42" xfId="0" applyNumberFormat="1" applyFont="1" applyBorder="1">
      <alignment vertical="center"/>
    </xf>
    <xf numFmtId="0" fontId="19" fillId="0" borderId="42" xfId="0" applyFont="1" applyBorder="1" applyAlignment="1">
      <alignment vertical="center" wrapText="1"/>
    </xf>
    <xf numFmtId="0" fontId="11" fillId="0" borderId="42" xfId="0" applyFont="1" applyBorder="1" applyAlignment="1">
      <alignment vertical="center" wrapText="1"/>
    </xf>
    <xf numFmtId="0" fontId="0" fillId="8" borderId="42" xfId="0" applyFill="1" applyBorder="1">
      <alignment vertical="center"/>
    </xf>
    <xf numFmtId="0" fontId="0" fillId="0" borderId="42" xfId="0" applyBorder="1" applyAlignment="1">
      <alignment horizontal="center" wrapText="1"/>
    </xf>
    <xf numFmtId="0" fontId="33" fillId="0" borderId="42" xfId="0" applyFont="1" applyBorder="1">
      <alignment vertical="center"/>
    </xf>
    <xf numFmtId="4" fontId="33" fillId="0" borderId="42" xfId="0" applyNumberFormat="1" applyFont="1" applyBorder="1">
      <alignment vertical="center"/>
    </xf>
    <xf numFmtId="3" fontId="33" fillId="0" borderId="42" xfId="0" applyNumberFormat="1" applyFont="1" applyBorder="1">
      <alignment vertical="center"/>
    </xf>
    <xf numFmtId="168" fontId="0" fillId="0" borderId="42" xfId="0" applyNumberFormat="1" applyBorder="1">
      <alignment vertical="center"/>
    </xf>
    <xf numFmtId="0" fontId="0" fillId="0" borderId="42" xfId="0" applyBorder="1" applyAlignment="1">
      <alignment horizontal="right"/>
    </xf>
    <xf numFmtId="0" fontId="0" fillId="0" borderId="42" xfId="0" applyBorder="1" applyAlignment="1">
      <alignment horizontal="right" wrapText="1"/>
    </xf>
    <xf numFmtId="170" fontId="0" fillId="0" borderId="42" xfId="0" applyNumberFormat="1" applyBorder="1" applyAlignment="1">
      <alignment horizontal="right"/>
    </xf>
    <xf numFmtId="0" fontId="0" fillId="0" borderId="42" xfId="0" applyBorder="1" applyAlignment="1"/>
    <xf numFmtId="10" fontId="0" fillId="0" borderId="42" xfId="0" applyNumberFormat="1" applyBorder="1" applyAlignment="1">
      <alignment horizontal="right"/>
    </xf>
    <xf numFmtId="0" fontId="33" fillId="0" borderId="42" xfId="0" applyFont="1" applyBorder="1" applyAlignment="1"/>
    <xf numFmtId="0" fontId="0" fillId="0" borderId="42" xfId="0" applyBorder="1" applyAlignment="1">
      <alignment horizontal="left" wrapText="1"/>
    </xf>
    <xf numFmtId="4" fontId="33" fillId="0" borderId="42" xfId="0" applyNumberFormat="1" applyFont="1" applyBorder="1" applyAlignment="1"/>
    <xf numFmtId="11" fontId="0" fillId="0" borderId="42" xfId="0" applyNumberFormat="1" applyBorder="1" applyAlignment="1"/>
    <xf numFmtId="3" fontId="33" fillId="0" borderId="42" xfId="0" applyNumberFormat="1" applyFont="1" applyBorder="1" applyAlignment="1"/>
    <xf numFmtId="165" fontId="0" fillId="0" borderId="42" xfId="0" applyNumberFormat="1" applyBorder="1" applyAlignment="1"/>
    <xf numFmtId="167" fontId="0" fillId="0" borderId="42" xfId="0" applyNumberFormat="1" applyBorder="1" applyAlignment="1"/>
    <xf numFmtId="166" fontId="0" fillId="0" borderId="42" xfId="0" applyNumberFormat="1" applyBorder="1" applyAlignment="1">
      <alignment horizontal="right"/>
    </xf>
    <xf numFmtId="167" fontId="0" fillId="0" borderId="42" xfId="0" applyNumberFormat="1" applyBorder="1" applyAlignment="1">
      <alignment horizontal="right"/>
    </xf>
    <xf numFmtId="9" fontId="0" fillId="0" borderId="42" xfId="0" applyNumberFormat="1" applyBorder="1" applyAlignment="1"/>
    <xf numFmtId="2" fontId="0" fillId="0" borderId="42" xfId="0" applyNumberFormat="1" applyBorder="1" applyAlignment="1">
      <alignment horizontal="right"/>
    </xf>
    <xf numFmtId="2" fontId="17" fillId="0" borderId="42" xfId="2" applyNumberFormat="1" applyBorder="1"/>
    <xf numFmtId="167" fontId="0" fillId="0" borderId="42" xfId="0" applyNumberFormat="1" applyBorder="1">
      <alignment vertical="center"/>
    </xf>
    <xf numFmtId="1" fontId="0" fillId="0" borderId="42" xfId="0" applyNumberFormat="1" applyBorder="1">
      <alignment vertical="center"/>
    </xf>
    <xf numFmtId="166" fontId="0" fillId="0" borderId="42" xfId="0" applyNumberFormat="1" applyBorder="1">
      <alignment vertical="center"/>
    </xf>
    <xf numFmtId="9" fontId="0" fillId="0" borderId="42" xfId="1" applyFont="1" applyBorder="1"/>
    <xf numFmtId="9" fontId="0" fillId="0" borderId="42" xfId="1" applyFont="1" applyBorder="1" applyAlignment="1">
      <alignment vertical="center"/>
    </xf>
    <xf numFmtId="0" fontId="11" fillId="0" borderId="42" xfId="0" applyFont="1" applyBorder="1" applyAlignment="1">
      <alignment horizontal="left" vertical="top"/>
    </xf>
    <xf numFmtId="0" fontId="16" fillId="0" borderId="42" xfId="0" applyFont="1" applyBorder="1" applyAlignment="1">
      <alignment vertical="top" wrapText="1"/>
    </xf>
    <xf numFmtId="0" fontId="16" fillId="0" borderId="42" xfId="0" applyFont="1" applyBorder="1" applyAlignment="1">
      <alignment vertical="center" wrapText="1"/>
    </xf>
    <xf numFmtId="0" fontId="0" fillId="0" borderId="42" xfId="0" applyBorder="1" applyAlignment="1">
      <alignment horizontal="right" vertical="top" wrapText="1"/>
    </xf>
    <xf numFmtId="0" fontId="17" fillId="0" borderId="42" xfId="2" applyBorder="1" applyAlignment="1"/>
    <xf numFmtId="0" fontId="11" fillId="0" borderId="42" xfId="0" applyFont="1" applyBorder="1" applyAlignment="1">
      <alignment vertical="top"/>
    </xf>
    <xf numFmtId="0" fontId="91" fillId="59" borderId="41" xfId="0" applyFont="1" applyFill="1" applyBorder="1">
      <alignment vertical="center"/>
    </xf>
    <xf numFmtId="0" fontId="11" fillId="60" borderId="41" xfId="0" applyFont="1" applyFill="1" applyBorder="1">
      <alignment vertical="center"/>
    </xf>
    <xf numFmtId="0" fontId="0" fillId="0" borderId="46" xfId="0" applyBorder="1" applyAlignment="1">
      <alignment horizontal="right" vertical="center"/>
    </xf>
    <xf numFmtId="0" fontId="87" fillId="59" borderId="53" xfId="0" applyFont="1" applyFill="1" applyBorder="1">
      <alignment vertical="center"/>
    </xf>
    <xf numFmtId="0" fontId="91" fillId="59" borderId="55" xfId="0" applyFont="1" applyFill="1" applyBorder="1">
      <alignment vertical="center"/>
    </xf>
    <xf numFmtId="0" fontId="91" fillId="59" borderId="54" xfId="0" applyFont="1" applyFill="1" applyBorder="1">
      <alignment vertical="center"/>
    </xf>
    <xf numFmtId="0" fontId="0" fillId="0" borderId="87" xfId="0" applyBorder="1" applyAlignment="1">
      <alignment horizontal="right" vertical="center"/>
    </xf>
    <xf numFmtId="0" fontId="0" fillId="0" borderId="90" xfId="0" applyBorder="1" applyAlignment="1">
      <alignment horizontal="right" vertical="center"/>
    </xf>
    <xf numFmtId="0" fontId="0" fillId="0" borderId="91" xfId="0" applyBorder="1" applyAlignment="1">
      <alignment horizontal="right" vertical="center"/>
    </xf>
    <xf numFmtId="0" fontId="11" fillId="0" borderId="92" xfId="0" applyFont="1" applyBorder="1">
      <alignment vertical="center"/>
    </xf>
    <xf numFmtId="0" fontId="0" fillId="0" borderId="94" xfId="0" applyBorder="1">
      <alignment vertical="center"/>
    </xf>
    <xf numFmtId="0" fontId="91" fillId="59" borderId="61" xfId="0" applyFont="1" applyFill="1" applyBorder="1">
      <alignment vertical="center"/>
    </xf>
    <xf numFmtId="0" fontId="11" fillId="60" borderId="95" xfId="0" applyFont="1" applyFill="1" applyBorder="1">
      <alignment vertical="center"/>
    </xf>
    <xf numFmtId="0" fontId="87" fillId="59" borderId="61" xfId="0" applyFont="1" applyFill="1" applyBorder="1" applyAlignment="1">
      <alignment vertical="center" wrapText="1"/>
    </xf>
    <xf numFmtId="0" fontId="87" fillId="59" borderId="41" xfId="0" applyFont="1" applyFill="1" applyBorder="1" applyAlignment="1">
      <alignment vertical="center" wrapText="1"/>
    </xf>
    <xf numFmtId="0" fontId="11" fillId="0" borderId="44" xfId="0" applyFont="1" applyBorder="1" applyAlignment="1">
      <alignment horizontal="left"/>
    </xf>
    <xf numFmtId="0" fontId="87" fillId="59" borderId="56" xfId="0" applyFont="1" applyFill="1" applyBorder="1">
      <alignment vertical="center"/>
    </xf>
    <xf numFmtId="0" fontId="91" fillId="59" borderId="57" xfId="0" applyFont="1" applyFill="1" applyBorder="1">
      <alignment vertical="center"/>
    </xf>
    <xf numFmtId="0" fontId="91" fillId="59" borderId="58" xfId="0" applyFont="1" applyFill="1" applyBorder="1">
      <alignment vertical="center"/>
    </xf>
    <xf numFmtId="2" fontId="0" fillId="8" borderId="91" xfId="0" applyNumberFormat="1" applyFill="1" applyBorder="1">
      <alignment vertical="center"/>
    </xf>
    <xf numFmtId="0" fontId="0" fillId="0" borderId="96" xfId="0" applyBorder="1">
      <alignment vertical="center"/>
    </xf>
    <xf numFmtId="9" fontId="0" fillId="0" borderId="96" xfId="1" applyFont="1" applyBorder="1"/>
    <xf numFmtId="0" fontId="0" fillId="0" borderId="96" xfId="0" applyBorder="1" applyAlignment="1">
      <alignment wrapText="1"/>
    </xf>
    <xf numFmtId="0" fontId="0" fillId="0" borderId="96" xfId="0" applyBorder="1" applyAlignment="1"/>
    <xf numFmtId="9" fontId="0" fillId="0" borderId="96" xfId="1" applyFont="1" applyBorder="1" applyAlignment="1">
      <alignment vertical="center"/>
    </xf>
    <xf numFmtId="0" fontId="0" fillId="0" borderId="96" xfId="0" applyBorder="1" applyAlignment="1">
      <alignment vertical="center" wrapText="1"/>
    </xf>
    <xf numFmtId="2" fontId="0" fillId="0" borderId="96" xfId="0" applyNumberFormat="1" applyBorder="1">
      <alignment vertical="center"/>
    </xf>
    <xf numFmtId="0" fontId="91" fillId="59" borderId="41" xfId="3" applyFont="1" applyFill="1" applyBorder="1"/>
    <xf numFmtId="0" fontId="87" fillId="59" borderId="41" xfId="0" applyFont="1" applyFill="1" applyBorder="1" applyAlignment="1" applyProtection="1">
      <alignment horizontal="center" vertical="center" wrapText="1"/>
      <protection hidden="1"/>
    </xf>
    <xf numFmtId="0" fontId="91" fillId="59" borderId="61" xfId="3" applyFont="1" applyFill="1" applyBorder="1"/>
    <xf numFmtId="0" fontId="87" fillId="59" borderId="56" xfId="0" applyFont="1" applyFill="1" applyBorder="1" applyAlignment="1" applyProtection="1">
      <alignment horizontal="center" vertical="center" wrapText="1"/>
      <protection hidden="1"/>
    </xf>
    <xf numFmtId="2" fontId="11" fillId="60" borderId="61" xfId="0" applyNumberFormat="1" applyFont="1" applyFill="1" applyBorder="1" applyAlignment="1" applyProtection="1">
      <alignment horizontal="center" vertical="center" wrapText="1"/>
      <protection hidden="1"/>
    </xf>
    <xf numFmtId="11" fontId="11" fillId="60" borderId="61" xfId="0" applyNumberFormat="1" applyFont="1" applyFill="1" applyBorder="1" applyAlignment="1" applyProtection="1">
      <alignment horizontal="center" vertical="center" wrapText="1"/>
      <protection hidden="1"/>
    </xf>
    <xf numFmtId="0" fontId="87" fillId="59" borderId="61" xfId="0" applyFont="1" applyFill="1" applyBorder="1" applyAlignment="1" applyProtection="1">
      <alignment horizontal="center" vertical="center" wrapText="1"/>
      <protection hidden="1"/>
    </xf>
    <xf numFmtId="0" fontId="11" fillId="0" borderId="97" xfId="0" applyFont="1" applyBorder="1" applyAlignment="1">
      <alignment wrapText="1"/>
    </xf>
    <xf numFmtId="2" fontId="0" fillId="0" borderId="98" xfId="0" applyNumberFormat="1" applyBorder="1">
      <alignment vertical="center"/>
    </xf>
    <xf numFmtId="0" fontId="91" fillId="59" borderId="41" xfId="3" applyFont="1" applyFill="1" applyBorder="1" applyAlignment="1">
      <alignment vertical="center"/>
    </xf>
    <xf numFmtId="0" fontId="91" fillId="59" borderId="61" xfId="3" applyFont="1" applyFill="1" applyBorder="1" applyAlignment="1">
      <alignment vertical="center"/>
    </xf>
    <xf numFmtId="0" fontId="0" fillId="0" borderId="90" xfId="0" applyBorder="1">
      <alignment vertical="center"/>
    </xf>
    <xf numFmtId="1" fontId="0" fillId="0" borderId="91" xfId="0" applyNumberFormat="1" applyBorder="1">
      <alignment vertical="center"/>
    </xf>
    <xf numFmtId="1" fontId="0" fillId="0" borderId="94" xfId="0" applyNumberFormat="1" applyBorder="1">
      <alignment vertical="center"/>
    </xf>
    <xf numFmtId="1" fontId="0" fillId="0" borderId="46" xfId="0" applyNumberFormat="1" applyBorder="1">
      <alignment vertical="center"/>
    </xf>
    <xf numFmtId="0" fontId="0" fillId="0" borderId="98" xfId="0" applyBorder="1">
      <alignment vertical="center"/>
    </xf>
    <xf numFmtId="166" fontId="0" fillId="0" borderId="91" xfId="0" applyNumberFormat="1" applyBorder="1">
      <alignment vertical="center"/>
    </xf>
    <xf numFmtId="167" fontId="0" fillId="0" borderId="91" xfId="0" applyNumberFormat="1" applyBorder="1">
      <alignment vertical="center"/>
    </xf>
    <xf numFmtId="167" fontId="0" fillId="0" borderId="94" xfId="0" applyNumberFormat="1" applyBorder="1">
      <alignment vertical="center"/>
    </xf>
    <xf numFmtId="1" fontId="0" fillId="0" borderId="47" xfId="0" applyNumberFormat="1" applyBorder="1">
      <alignment vertical="center"/>
    </xf>
    <xf numFmtId="167" fontId="0" fillId="0" borderId="46" xfId="0" applyNumberFormat="1" applyBorder="1">
      <alignment vertical="center"/>
    </xf>
    <xf numFmtId="167" fontId="11" fillId="60" borderId="41" xfId="0" applyNumberFormat="1" applyFont="1" applyFill="1" applyBorder="1" applyAlignment="1" applyProtection="1">
      <alignment horizontal="center" vertical="center" wrapText="1"/>
      <protection hidden="1"/>
    </xf>
    <xf numFmtId="167" fontId="0" fillId="0" borderId="44" xfId="0" applyNumberFormat="1" applyBorder="1">
      <alignment vertical="center"/>
    </xf>
    <xf numFmtId="167" fontId="0" fillId="0" borderId="98" xfId="0" applyNumberFormat="1" applyBorder="1">
      <alignment vertical="center"/>
    </xf>
    <xf numFmtId="0" fontId="0" fillId="0" borderId="86" xfId="0" applyBorder="1" applyAlignment="1">
      <alignment wrapText="1"/>
    </xf>
    <xf numFmtId="0" fontId="0" fillId="0" borderId="88" xfId="0" applyBorder="1" applyAlignment="1">
      <alignment wrapText="1"/>
    </xf>
    <xf numFmtId="0" fontId="0" fillId="0" borderId="92" xfId="0" applyBorder="1" applyAlignment="1">
      <alignment wrapText="1"/>
    </xf>
    <xf numFmtId="0" fontId="11" fillId="8" borderId="93" xfId="0" applyFont="1" applyFill="1" applyBorder="1">
      <alignment vertical="center"/>
    </xf>
    <xf numFmtId="2" fontId="0" fillId="8" borderId="93" xfId="0" applyNumberFormat="1" applyFill="1" applyBorder="1">
      <alignment vertical="center"/>
    </xf>
    <xf numFmtId="2" fontId="0" fillId="8" borderId="94" xfId="0" applyNumberFormat="1" applyFill="1" applyBorder="1">
      <alignment vertical="center"/>
    </xf>
    <xf numFmtId="0" fontId="11" fillId="0" borderId="43" xfId="0" applyFont="1" applyBorder="1" applyAlignment="1">
      <alignment horizontal="left"/>
    </xf>
    <xf numFmtId="0" fontId="0" fillId="0" borderId="46" xfId="0" applyBorder="1" applyAlignment="1">
      <alignment wrapText="1"/>
    </xf>
    <xf numFmtId="0" fontId="0" fillId="0" borderId="44" xfId="0" applyBorder="1" applyAlignment="1">
      <alignment wrapText="1"/>
    </xf>
    <xf numFmtId="0" fontId="0" fillId="0" borderId="97" xfId="0" applyBorder="1" applyAlignment="1">
      <alignment wrapText="1"/>
    </xf>
    <xf numFmtId="0" fontId="73" fillId="0" borderId="46" xfId="0" applyFont="1" applyBorder="1">
      <alignment vertical="center"/>
    </xf>
    <xf numFmtId="2" fontId="11" fillId="60" borderId="55" xfId="0" applyNumberFormat="1" applyFont="1" applyFill="1" applyBorder="1" applyAlignment="1" applyProtection="1">
      <alignment horizontal="center" vertical="center" wrapText="1"/>
      <protection hidden="1"/>
    </xf>
    <xf numFmtId="0" fontId="11" fillId="0" borderId="97" xfId="0" applyFont="1" applyBorder="1">
      <alignment vertical="center"/>
    </xf>
    <xf numFmtId="0" fontId="0" fillId="0" borderId="98" xfId="0" applyBorder="1" applyAlignment="1">
      <alignment horizontal="right" vertical="center"/>
    </xf>
    <xf numFmtId="0" fontId="87" fillId="59" borderId="57" xfId="0" applyFont="1" applyFill="1" applyBorder="1">
      <alignment vertical="center"/>
    </xf>
    <xf numFmtId="0" fontId="91" fillId="59" borderId="99" xfId="0" applyFont="1" applyFill="1" applyBorder="1">
      <alignment vertical="center"/>
    </xf>
    <xf numFmtId="0" fontId="87" fillId="59" borderId="62" xfId="0" applyFont="1" applyFill="1" applyBorder="1" applyAlignment="1">
      <alignment vertical="center" wrapText="1"/>
    </xf>
    <xf numFmtId="0" fontId="11" fillId="60" borderId="62" xfId="0" applyFont="1" applyFill="1" applyBorder="1">
      <alignment vertical="center"/>
    </xf>
    <xf numFmtId="0" fontId="11" fillId="60" borderId="100" xfId="0" applyFont="1" applyFill="1" applyBorder="1">
      <alignment vertical="center"/>
    </xf>
    <xf numFmtId="0" fontId="11" fillId="0" borderId="101" xfId="0" applyFont="1" applyBorder="1">
      <alignment vertical="center"/>
    </xf>
    <xf numFmtId="0" fontId="0" fillId="0" borderId="102" xfId="0" applyBorder="1" applyAlignment="1">
      <alignment horizontal="right" vertical="center"/>
    </xf>
    <xf numFmtId="0" fontId="0" fillId="0" borderId="103" xfId="0" applyBorder="1">
      <alignment vertical="center"/>
    </xf>
    <xf numFmtId="0" fontId="0" fillId="0" borderId="104" xfId="0" applyBorder="1">
      <alignment vertical="center"/>
    </xf>
    <xf numFmtId="0" fontId="11" fillId="0" borderId="103" xfId="0" applyFont="1" applyBorder="1">
      <alignment vertical="center"/>
    </xf>
    <xf numFmtId="0" fontId="0" fillId="0" borderId="104" xfId="0" applyBorder="1" applyAlignment="1">
      <alignment horizontal="right" vertical="center"/>
    </xf>
    <xf numFmtId="0" fontId="0" fillId="0" borderId="105" xfId="0" applyBorder="1">
      <alignment vertical="center"/>
    </xf>
    <xf numFmtId="0" fontId="0" fillId="0" borderId="106" xfId="0" applyBorder="1">
      <alignment vertical="center"/>
    </xf>
    <xf numFmtId="166" fontId="0" fillId="0" borderId="106" xfId="0" applyNumberFormat="1" applyBorder="1">
      <alignment vertical="center"/>
    </xf>
    <xf numFmtId="0" fontId="0" fillId="0" borderId="107" xfId="0" applyBorder="1">
      <alignment vertical="center"/>
    </xf>
    <xf numFmtId="0" fontId="91" fillId="59" borderId="108" xfId="0" applyFont="1" applyFill="1" applyBorder="1">
      <alignment vertical="center"/>
    </xf>
    <xf numFmtId="0" fontId="11" fillId="60" borderId="63" xfId="0" applyFont="1" applyFill="1" applyBorder="1">
      <alignment vertical="center"/>
    </xf>
    <xf numFmtId="0" fontId="11" fillId="60" borderId="78" xfId="0" applyFont="1" applyFill="1" applyBorder="1">
      <alignment vertical="center"/>
    </xf>
    <xf numFmtId="0" fontId="11" fillId="0" borderId="109" xfId="0" applyFont="1" applyBorder="1">
      <alignment vertical="center"/>
    </xf>
    <xf numFmtId="0" fontId="0" fillId="0" borderId="110" xfId="0" applyBorder="1" applyAlignment="1">
      <alignment horizontal="right" vertical="center"/>
    </xf>
    <xf numFmtId="0" fontId="12" fillId="3" borderId="0" xfId="0" applyFont="1" applyFill="1" applyAlignment="1" applyProtection="1">
      <alignment vertical="center" wrapText="1"/>
      <protection hidden="1"/>
    </xf>
    <xf numFmtId="0" fontId="12" fillId="3" borderId="0" xfId="0" applyFont="1" applyFill="1" applyProtection="1">
      <alignment vertical="center"/>
      <protection hidden="1"/>
    </xf>
    <xf numFmtId="0" fontId="12" fillId="0" borderId="0" xfId="0" applyFont="1" applyProtection="1">
      <alignment vertical="center"/>
      <protection hidden="1"/>
    </xf>
    <xf numFmtId="166" fontId="12" fillId="0" borderId="0" xfId="0" applyNumberFormat="1" applyFont="1" applyProtection="1">
      <alignment vertical="center"/>
      <protection hidden="1"/>
    </xf>
    <xf numFmtId="0" fontId="16" fillId="3" borderId="0" xfId="0" applyFont="1" applyFill="1" applyAlignment="1">
      <alignment horizontal="right" vertical="center"/>
    </xf>
    <xf numFmtId="0" fontId="77" fillId="3" borderId="0" xfId="0" applyFont="1" applyFill="1" applyAlignment="1">
      <alignment horizontal="right" vertical="center"/>
    </xf>
    <xf numFmtId="0" fontId="11" fillId="59" borderId="0" xfId="0" applyFont="1" applyFill="1" applyAlignment="1" applyProtection="1">
      <alignment vertical="center" wrapText="1"/>
      <protection hidden="1"/>
    </xf>
    <xf numFmtId="14" fontId="11" fillId="59" borderId="0" xfId="0" applyNumberFormat="1" applyFont="1" applyFill="1" applyAlignment="1" applyProtection="1">
      <alignment horizontal="right" vertical="center" wrapText="1"/>
      <protection hidden="1"/>
    </xf>
    <xf numFmtId="0" fontId="11" fillId="59" borderId="0" xfId="0" applyFont="1" applyFill="1" applyAlignment="1" applyProtection="1">
      <alignment horizontal="right" vertical="center" wrapText="1"/>
      <protection hidden="1"/>
    </xf>
    <xf numFmtId="11" fontId="11" fillId="59" borderId="0" xfId="0" applyNumberFormat="1" applyFont="1" applyFill="1" applyAlignment="1" applyProtection="1">
      <alignment horizontal="right" vertical="center" wrapText="1"/>
      <protection hidden="1"/>
    </xf>
    <xf numFmtId="0" fontId="16" fillId="0" borderId="0" xfId="0" applyFont="1" applyProtection="1">
      <alignment vertical="center"/>
      <protection hidden="1"/>
    </xf>
    <xf numFmtId="14" fontId="16" fillId="0" borderId="0" xfId="0" applyNumberFormat="1" applyFont="1" applyAlignment="1">
      <alignment horizontal="right" vertical="center"/>
    </xf>
    <xf numFmtId="11" fontId="16" fillId="0" borderId="0" xfId="0" applyNumberFormat="1" applyFont="1" applyAlignment="1" applyProtection="1">
      <alignment horizontal="right" vertical="center"/>
      <protection hidden="1"/>
    </xf>
    <xf numFmtId="11" fontId="16" fillId="0" borderId="0" xfId="0" applyNumberFormat="1" applyFont="1" applyAlignment="1">
      <alignment horizontal="right" vertical="center"/>
    </xf>
    <xf numFmtId="11" fontId="24" fillId="0" borderId="0" xfId="0" applyNumberFormat="1" applyFont="1" applyAlignment="1">
      <alignment horizontal="right" vertical="center"/>
    </xf>
    <xf numFmtId="15" fontId="16" fillId="0" borderId="0" xfId="0" applyNumberFormat="1" applyFont="1">
      <alignment vertical="center"/>
    </xf>
    <xf numFmtId="14" fontId="16" fillId="0" borderId="0" xfId="0" applyNumberFormat="1" applyFont="1" applyAlignment="1" applyProtection="1">
      <alignment horizontal="right" vertical="center"/>
      <protection hidden="1"/>
    </xf>
    <xf numFmtId="14" fontId="16" fillId="0" borderId="0" xfId="0" applyNumberFormat="1" applyFont="1" applyProtection="1">
      <alignment vertical="center"/>
      <protection hidden="1"/>
    </xf>
    <xf numFmtId="11" fontId="16" fillId="0" borderId="0" xfId="0" applyNumberFormat="1" applyFont="1" applyAlignment="1">
      <alignment horizontal="left" vertical="center"/>
    </xf>
    <xf numFmtId="166" fontId="16" fillId="0" borderId="0" xfId="0" applyNumberFormat="1" applyFont="1" applyAlignment="1" applyProtection="1">
      <alignment horizontal="right" vertical="center"/>
      <protection hidden="1"/>
    </xf>
    <xf numFmtId="0" fontId="86" fillId="0" borderId="0" xfId="2" applyFont="1" applyFill="1" applyBorder="1" applyAlignment="1" applyProtection="1">
      <alignment vertical="center"/>
      <protection hidden="1"/>
    </xf>
    <xf numFmtId="14" fontId="12" fillId="0" borderId="0" xfId="0" applyNumberFormat="1" applyFont="1" applyAlignment="1" applyProtection="1">
      <alignment horizontal="right" vertical="center"/>
      <protection hidden="1"/>
    </xf>
    <xf numFmtId="14" fontId="12" fillId="3" borderId="0" xfId="0" applyNumberFormat="1" applyFont="1" applyFill="1" applyAlignment="1" applyProtection="1">
      <alignment horizontal="right" vertical="center" wrapText="1"/>
      <protection hidden="1"/>
    </xf>
    <xf numFmtId="166" fontId="12" fillId="3" borderId="0" xfId="0" applyNumberFormat="1" applyFont="1" applyFill="1" applyProtection="1">
      <alignment vertical="center"/>
      <protection hidden="1"/>
    </xf>
    <xf numFmtId="11" fontId="0" fillId="3" borderId="0" xfId="0" applyNumberFormat="1" applyFill="1">
      <alignment vertical="center"/>
    </xf>
    <xf numFmtId="0" fontId="16" fillId="61" borderId="0" xfId="0" applyFont="1" applyFill="1">
      <alignment vertical="center"/>
    </xf>
    <xf numFmtId="0" fontId="0" fillId="61" borderId="0" xfId="0" applyFill="1">
      <alignment vertical="center"/>
    </xf>
    <xf numFmtId="0" fontId="11" fillId="60" borderId="68" xfId="0" applyFont="1" applyFill="1" applyBorder="1" applyAlignment="1">
      <alignment horizontal="center" vertical="center" wrapText="1"/>
    </xf>
    <xf numFmtId="0" fontId="0" fillId="60" borderId="41" xfId="0" applyFill="1" applyBorder="1" applyAlignment="1">
      <alignment horizontal="right" vertical="center" wrapText="1"/>
    </xf>
    <xf numFmtId="0" fontId="11" fillId="60" borderId="95" xfId="0" applyFont="1" applyFill="1" applyBorder="1" applyAlignment="1">
      <alignment horizontal="center" vertical="center" wrapText="1"/>
    </xf>
    <xf numFmtId="168" fontId="2" fillId="0" borderId="42" xfId="0" applyNumberFormat="1" applyFont="1" applyBorder="1" applyAlignment="1">
      <alignment horizontal="right"/>
    </xf>
    <xf numFmtId="10" fontId="2" fillId="0" borderId="42" xfId="0" applyNumberFormat="1" applyFont="1" applyBorder="1" applyAlignment="1">
      <alignment horizontal="right"/>
    </xf>
    <xf numFmtId="170" fontId="2" fillId="0" borderId="42" xfId="0" applyNumberFormat="1" applyFont="1" applyBorder="1" applyAlignment="1">
      <alignment horizontal="right"/>
    </xf>
    <xf numFmtId="168" fontId="2" fillId="0" borderId="42" xfId="0" applyNumberFormat="1" applyFont="1" applyBorder="1">
      <alignment vertical="center"/>
    </xf>
    <xf numFmtId="0" fontId="16" fillId="3" borderId="0" xfId="0" applyFont="1" applyFill="1" applyAlignment="1">
      <alignment vertical="top" wrapText="1"/>
    </xf>
    <xf numFmtId="0" fontId="78" fillId="3" borderId="0" xfId="0" applyFont="1" applyFill="1" applyAlignment="1">
      <alignment vertical="top"/>
    </xf>
    <xf numFmtId="0" fontId="75" fillId="3" borderId="0" xfId="0" applyFont="1" applyFill="1" applyAlignment="1">
      <alignment vertical="center" wrapText="1"/>
    </xf>
    <xf numFmtId="0" fontId="77" fillId="57" borderId="0" xfId="0" applyFont="1" applyFill="1" applyAlignment="1">
      <alignment horizontal="left" vertical="center"/>
    </xf>
    <xf numFmtId="0" fontId="0" fillId="57" borderId="0" xfId="0" applyFill="1" applyAlignment="1">
      <alignment horizontal="left" vertical="top" wrapText="1"/>
    </xf>
    <xf numFmtId="0" fontId="80" fillId="57" borderId="0" xfId="0" applyFont="1" applyFill="1" applyAlignment="1">
      <alignment vertical="top"/>
    </xf>
    <xf numFmtId="0" fontId="16" fillId="57" borderId="0" xfId="0" applyFont="1" applyFill="1" applyAlignment="1">
      <alignment vertical="top" wrapText="1"/>
    </xf>
    <xf numFmtId="0" fontId="16" fillId="57" borderId="0" xfId="0" applyFont="1" applyFill="1" applyAlignment="1">
      <alignment vertical="center" wrapText="1"/>
    </xf>
    <xf numFmtId="0" fontId="16" fillId="3" borderId="0" xfId="0" applyFont="1" applyFill="1" applyAlignment="1">
      <alignment vertical="center" wrapText="1"/>
    </xf>
    <xf numFmtId="0" fontId="78" fillId="3" borderId="0" xfId="0" applyFont="1" applyFill="1">
      <alignment vertical="center"/>
    </xf>
    <xf numFmtId="0" fontId="12" fillId="57" borderId="22" xfId="0" applyFont="1" applyFill="1" applyBorder="1" applyAlignment="1">
      <alignment horizontal="left" vertical="center" wrapText="1" readingOrder="1"/>
    </xf>
    <xf numFmtId="0" fontId="12" fillId="57" borderId="20" xfId="0" applyFont="1" applyFill="1" applyBorder="1" applyAlignment="1">
      <alignment horizontal="left" vertical="center" wrapText="1" readingOrder="1"/>
    </xf>
    <xf numFmtId="0" fontId="0" fillId="3" borderId="0" xfId="0" applyFill="1" applyAlignment="1">
      <alignment horizontal="left" vertical="top" wrapText="1"/>
    </xf>
    <xf numFmtId="0" fontId="82" fillId="3" borderId="0" xfId="0" applyFont="1" applyFill="1" applyAlignment="1">
      <alignment vertical="top"/>
    </xf>
    <xf numFmtId="0" fontId="16" fillId="3" borderId="0" xfId="0" applyFont="1" applyFill="1" applyAlignment="1">
      <alignment horizontal="left" vertical="top" wrapText="1"/>
    </xf>
    <xf numFmtId="0" fontId="74" fillId="3" borderId="0" xfId="0" applyFont="1" applyFill="1" applyAlignment="1">
      <alignment horizontal="left" vertical="top" wrapText="1"/>
    </xf>
    <xf numFmtId="0" fontId="0" fillId="0" borderId="0" xfId="0" applyAlignment="1">
      <alignment horizontal="left" wrapText="1"/>
    </xf>
    <xf numFmtId="0" fontId="83" fillId="57" borderId="0" xfId="0" applyFont="1" applyFill="1" applyAlignment="1">
      <alignment horizontal="center" vertical="center" wrapText="1"/>
    </xf>
    <xf numFmtId="0" fontId="84" fillId="3" borderId="0" xfId="0" applyFont="1" applyFill="1" applyAlignment="1">
      <alignment horizontal="right" vertical="top" wrapText="1"/>
    </xf>
    <xf numFmtId="0" fontId="85" fillId="3" borderId="0" xfId="0" applyFont="1" applyFill="1" applyAlignment="1">
      <alignment horizontal="right" vertical="top" wrapText="1"/>
    </xf>
    <xf numFmtId="0" fontId="77" fillId="61" borderId="0" xfId="0" applyFont="1" applyFill="1" applyAlignment="1">
      <alignment horizontal="left" vertical="center"/>
    </xf>
    <xf numFmtId="0" fontId="87" fillId="59" borderId="53" xfId="0" applyFont="1" applyFill="1" applyBorder="1" applyAlignment="1">
      <alignment horizontal="center" vertical="center"/>
    </xf>
    <xf numFmtId="0" fontId="87" fillId="59" borderId="55" xfId="0" applyFont="1" applyFill="1" applyBorder="1" applyAlignment="1">
      <alignment horizontal="center" vertical="center"/>
    </xf>
    <xf numFmtId="0" fontId="24" fillId="60" borderId="53" xfId="0" applyFont="1" applyFill="1" applyBorder="1" applyAlignment="1">
      <alignment horizontal="center" vertical="center" wrapText="1"/>
    </xf>
    <xf numFmtId="0" fontId="24" fillId="60" borderId="54" xfId="0" applyFont="1" applyFill="1" applyBorder="1" applyAlignment="1">
      <alignment horizontal="center" vertical="center" wrapText="1"/>
    </xf>
    <xf numFmtId="0" fontId="11" fillId="60" borderId="84" xfId="0" applyFont="1" applyFill="1" applyBorder="1" applyAlignment="1">
      <alignment horizontal="center" vertical="center" wrapText="1"/>
    </xf>
    <xf numFmtId="0" fontId="11" fillId="60" borderId="85" xfId="0" applyFont="1" applyFill="1" applyBorder="1" applyAlignment="1">
      <alignment horizontal="center" vertical="center" wrapText="1"/>
    </xf>
    <xf numFmtId="0" fontId="11" fillId="60" borderId="77" xfId="0" applyFont="1" applyFill="1" applyBorder="1" applyAlignment="1">
      <alignment horizontal="center" vertical="center" wrapText="1"/>
    </xf>
    <xf numFmtId="0" fontId="87" fillId="59" borderId="56" xfId="0" applyFont="1" applyFill="1" applyBorder="1" applyAlignment="1">
      <alignment horizontal="center" vertical="center" wrapText="1"/>
    </xf>
    <xf numFmtId="0" fontId="87" fillId="59" borderId="57" xfId="0" applyFont="1" applyFill="1" applyBorder="1" applyAlignment="1">
      <alignment horizontal="center" vertical="center" wrapText="1"/>
    </xf>
    <xf numFmtId="0" fontId="87" fillId="59" borderId="58" xfId="0" applyFont="1" applyFill="1" applyBorder="1" applyAlignment="1">
      <alignment horizontal="center" vertical="center" wrapText="1"/>
    </xf>
    <xf numFmtId="0" fontId="11" fillId="9" borderId="13" xfId="0" applyFont="1" applyFill="1" applyBorder="1" applyAlignment="1">
      <alignment horizontal="center" vertical="center"/>
    </xf>
    <xf numFmtId="0" fontId="11" fillId="9" borderId="14" xfId="0" applyFont="1" applyFill="1" applyBorder="1" applyAlignment="1">
      <alignment horizontal="center" vertical="center"/>
    </xf>
    <xf numFmtId="0" fontId="11" fillId="9" borderId="15" xfId="0" applyFont="1" applyFill="1" applyBorder="1" applyAlignment="1">
      <alignment horizontal="center" vertical="center"/>
    </xf>
    <xf numFmtId="0" fontId="11" fillId="8" borderId="13" xfId="0" applyFont="1" applyFill="1" applyBorder="1" applyAlignment="1">
      <alignment horizontal="center" vertical="center"/>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0" fillId="0" borderId="42" xfId="0" applyBorder="1" applyAlignment="1">
      <alignment horizontal="center" wrapText="1"/>
    </xf>
    <xf numFmtId="0" fontId="0" fillId="0" borderId="42" xfId="0" applyBorder="1" applyAlignment="1">
      <alignment horizontal="center"/>
    </xf>
  </cellXfs>
  <cellStyles count="147">
    <cellStyle name="20% - Accent1" xfId="20" builtinId="30" customBuiltin="1"/>
    <cellStyle name="20% - Accent1 2" xfId="86" xr:uid="{4566B175-87AD-4A57-A5EE-E3282BC8FD81}"/>
    <cellStyle name="20% - Accent1 3" xfId="45" xr:uid="{43C05564-796B-42F0-A3FE-FBFCE34A28D7}"/>
    <cellStyle name="20% - Accent2" xfId="23" builtinId="34" customBuiltin="1"/>
    <cellStyle name="20% - Accent2 2" xfId="87" xr:uid="{AA6C6154-8EDF-4B59-8ADE-DB0988494D57}"/>
    <cellStyle name="20% - Accent2 3" xfId="47" xr:uid="{DA0CB71E-F0BE-4444-9693-9D82375B08CB}"/>
    <cellStyle name="20% - Accent3" xfId="26" builtinId="38" customBuiltin="1"/>
    <cellStyle name="20% - Accent3 2" xfId="88" xr:uid="{80F9E1B5-71D1-474D-9364-0D779E653BC7}"/>
    <cellStyle name="20% - Accent3 3" xfId="49" xr:uid="{394ED31F-F371-409E-B26D-8E7441186168}"/>
    <cellStyle name="20% - Accent4" xfId="29" builtinId="42" customBuiltin="1"/>
    <cellStyle name="20% - Accent4 2" xfId="89" xr:uid="{3F0256E4-4BFC-48C1-BA34-CAE0AE159868}"/>
    <cellStyle name="20% - Accent4 3" xfId="51" xr:uid="{E9018BB9-0D7B-463A-877F-0AFFFB299A0A}"/>
    <cellStyle name="20% - Accent5" xfId="32" builtinId="46" customBuiltin="1"/>
    <cellStyle name="20% - Accent5 2" xfId="90" xr:uid="{294CD38A-7711-4321-8188-CF5F7027E1D0}"/>
    <cellStyle name="20% - Accent5 3" xfId="53" xr:uid="{508B45C5-DBED-4BF1-B367-5877113A0317}"/>
    <cellStyle name="20% - Accent6" xfId="35" builtinId="50" customBuiltin="1"/>
    <cellStyle name="20% - Accent6 2" xfId="91" xr:uid="{5F8494C7-8FD5-4AD1-8E09-6BD5EB56EAF1}"/>
    <cellStyle name="20% - Accent6 3" xfId="55" xr:uid="{DF38BFA9-998C-4F1D-AE55-1EC50B02CA4B}"/>
    <cellStyle name="40% - Accent1" xfId="21" builtinId="31" customBuiltin="1"/>
    <cellStyle name="40% - Accent1 2" xfId="92" xr:uid="{AF02AA31-D80F-4EEA-BD33-1717477CDE9C}"/>
    <cellStyle name="40% - Accent1 3" xfId="46" xr:uid="{7E74601C-B977-470A-9923-9270C37129D9}"/>
    <cellStyle name="40% - Accent2" xfId="24" builtinId="35" customBuiltin="1"/>
    <cellStyle name="40% - Accent2 2" xfId="93" xr:uid="{6FEFB77E-0595-4F4D-957F-C9E5EEB78D59}"/>
    <cellStyle name="40% - Accent2 3" xfId="48" xr:uid="{52C6A0DC-567C-41FD-9C68-A13EADB267CF}"/>
    <cellStyle name="40% - Accent3" xfId="27" builtinId="39" customBuiltin="1"/>
    <cellStyle name="40% - Accent3 2" xfId="94" xr:uid="{A42FF187-A753-4A2D-8742-B83D5C831AB7}"/>
    <cellStyle name="40% - Accent3 3" xfId="50" xr:uid="{D052A6E0-1AF9-444E-A1D2-68F0F028A362}"/>
    <cellStyle name="40% - Accent4" xfId="30" builtinId="43" customBuiltin="1"/>
    <cellStyle name="40% - Accent4 2" xfId="95" xr:uid="{464D0FE3-9D5C-4DB7-B923-F382E9036690}"/>
    <cellStyle name="40% - Accent4 3" xfId="52" xr:uid="{7500DEEB-0385-43B1-982E-255166ECE8FE}"/>
    <cellStyle name="40% - Accent5" xfId="33" builtinId="47" customBuiltin="1"/>
    <cellStyle name="40% - Accent5 2" xfId="96" xr:uid="{E93B4780-18FF-477D-8FEA-5A43260A2AC9}"/>
    <cellStyle name="40% - Accent5 3" xfId="54" xr:uid="{922F26A6-CA6A-4825-8300-1C570BA14F83}"/>
    <cellStyle name="40% - Accent6" xfId="36" builtinId="51" customBuiltin="1"/>
    <cellStyle name="40% - Accent6 2" xfId="97" xr:uid="{FA2D920F-C5B4-485D-A2CE-BE7A8B4357ED}"/>
    <cellStyle name="40% - Accent6 3" xfId="56" xr:uid="{FC2A2605-7DB4-4FAA-B5E5-FAF5FFCCD4FA}"/>
    <cellStyle name="60% - Accent1" xfId="37" builtinId="32" customBuiltin="1"/>
    <cellStyle name="60% - Accent1 2" xfId="78" xr:uid="{52D02351-C0CF-40C1-9F07-237C415D1990}"/>
    <cellStyle name="60% - Accent1 2 2" xfId="98" xr:uid="{F8760EE0-6495-4FF3-A8E3-698BF396860B}"/>
    <cellStyle name="60% - Accent1 3" xfId="71" xr:uid="{07E1FF8E-FD2D-4FEC-B661-C1C777A37928}"/>
    <cellStyle name="60% - Accent1 4" xfId="64" xr:uid="{5D2E69AC-057B-4E94-B361-A722925B1F78}"/>
    <cellStyle name="60% - Accent2" xfId="38" builtinId="36" customBuiltin="1"/>
    <cellStyle name="60% - Accent2 2" xfId="79" xr:uid="{3FFF5A41-71D0-4523-80C2-7FA7FFFAB23D}"/>
    <cellStyle name="60% - Accent2 2 2" xfId="99" xr:uid="{2F43DF7E-2F90-45A7-8C01-52DDD16B7069}"/>
    <cellStyle name="60% - Accent2 3" xfId="72" xr:uid="{07FA8E57-C278-4649-B162-AB727DAEA6F7}"/>
    <cellStyle name="60% - Accent2 4" xfId="65" xr:uid="{14BA0F8F-7769-4FE5-8328-1C0ECC6D140B}"/>
    <cellStyle name="60% - Accent3" xfId="39" builtinId="40" customBuiltin="1"/>
    <cellStyle name="60% - Accent3 2" xfId="80" xr:uid="{395EBB86-CED8-4693-8421-3885C9C95D62}"/>
    <cellStyle name="60% - Accent3 2 2" xfId="100" xr:uid="{2EE213BB-8A60-4AAF-A5D6-8C016B63D061}"/>
    <cellStyle name="60% - Accent3 3" xfId="73" xr:uid="{68B21E10-8689-4008-AF3F-270DC9CC53EE}"/>
    <cellStyle name="60% - Accent3 4" xfId="66" xr:uid="{68CE9B9C-3E06-455F-8172-FF08ABD70DCA}"/>
    <cellStyle name="60% - Accent4" xfId="40" builtinId="44" customBuiltin="1"/>
    <cellStyle name="60% - Accent4 2" xfId="81" xr:uid="{D2691F3D-A86C-44DB-91CF-3C282B605D25}"/>
    <cellStyle name="60% - Accent4 2 2" xfId="101" xr:uid="{B06046CD-8607-47E9-89EF-D61F1318EC9C}"/>
    <cellStyle name="60% - Accent4 3" xfId="74" xr:uid="{93AFE0B1-C993-42CC-9D9E-388E87E7CC92}"/>
    <cellStyle name="60% - Accent4 4" xfId="67" xr:uid="{81CAF3BB-7902-4675-A5BA-BDB8B4CFC261}"/>
    <cellStyle name="60% - Accent5" xfId="41" builtinId="48" customBuiltin="1"/>
    <cellStyle name="60% - Accent5 2" xfId="82" xr:uid="{EE5FE366-4715-486F-9344-42E4C172752F}"/>
    <cellStyle name="60% - Accent5 2 2" xfId="102" xr:uid="{4440C135-9A1B-4C87-952F-B38AAD8437DC}"/>
    <cellStyle name="60% - Accent5 3" xfId="75" xr:uid="{D740F762-7E7E-4006-8E6B-962387FB8F5F}"/>
    <cellStyle name="60% - Accent5 4" xfId="68" xr:uid="{ACF3209D-222A-4E91-86EB-C33AD1FD299C}"/>
    <cellStyle name="60% - Accent6" xfId="42" builtinId="52" customBuiltin="1"/>
    <cellStyle name="60% - Accent6 2" xfId="83" xr:uid="{21F2F059-CCE3-4350-85EA-427684C35A99}"/>
    <cellStyle name="60% - Accent6 2 2" xfId="103" xr:uid="{78E50158-8A2C-4B7A-8D75-0DF1CDD227FC}"/>
    <cellStyle name="60% - Accent6 3" xfId="76" xr:uid="{5E0C4E50-6D39-4D0C-B07F-95AAE0D39569}"/>
    <cellStyle name="60% - Accent6 4" xfId="69" xr:uid="{65C18D4B-051C-42B1-8E9E-D5689653161E}"/>
    <cellStyle name="Accent1" xfId="19" builtinId="29" customBuiltin="1"/>
    <cellStyle name="Accent1 2" xfId="104" xr:uid="{9DACD33B-025D-4FC9-B7BE-98D5FDA513FA}"/>
    <cellStyle name="Accent2" xfId="22" builtinId="33" customBuiltin="1"/>
    <cellStyle name="Accent2 2" xfId="105" xr:uid="{563F830A-33DC-473E-B712-4E3279C274D0}"/>
    <cellStyle name="Accent3" xfId="25" builtinId="37" customBuiltin="1"/>
    <cellStyle name="Accent3 2" xfId="106" xr:uid="{96D12D4B-5E90-4752-8560-E3DBEE2E2A14}"/>
    <cellStyle name="Accent4" xfId="28" builtinId="41" customBuiltin="1"/>
    <cellStyle name="Accent4 2" xfId="107" xr:uid="{42A38588-5438-4479-B48F-07CF2F227E07}"/>
    <cellStyle name="Accent5" xfId="31" builtinId="45" customBuiltin="1"/>
    <cellStyle name="Accent5 2" xfId="108" xr:uid="{13BA77AF-528B-4C5A-8B5E-C858A28BB045}"/>
    <cellStyle name="Accent6" xfId="34" builtinId="49" customBuiltin="1"/>
    <cellStyle name="Accent6 2" xfId="109" xr:uid="{3C2415EE-1752-4884-B566-4E79661A3D73}"/>
    <cellStyle name="Bad" xfId="11" builtinId="27" customBuiltin="1"/>
    <cellStyle name="Bad 2" xfId="110" xr:uid="{A6944009-4FE2-47BC-84C1-A26577629EC0}"/>
    <cellStyle name="Calculation" xfId="13" builtinId="22" customBuiltin="1"/>
    <cellStyle name="Calculation 2" xfId="111" xr:uid="{E7ADF68E-0CD1-42B8-AB5B-F4817EBC49D3}"/>
    <cellStyle name="Check Cell" xfId="15" builtinId="23" customBuiltin="1"/>
    <cellStyle name="Check Cell 2" xfId="112" xr:uid="{17DD4735-A62F-47B0-B7E9-3FE521D4E5EC}"/>
    <cellStyle name="Currency" xfId="146" builtinId="4"/>
    <cellStyle name="Explanatory Text" xfId="17" builtinId="53" customBuiltin="1"/>
    <cellStyle name="Explanatory Text 2" xfId="113" xr:uid="{B81BC1D5-3924-4B8D-8C18-13EF70D266A6}"/>
    <cellStyle name="Good" xfId="10" builtinId="26" customBuiltin="1"/>
    <cellStyle name="Good 2" xfId="114" xr:uid="{B7956D98-532E-410D-8F69-AC81A94BDF9A}"/>
    <cellStyle name="Heading 1" xfId="5" builtinId="16" customBuiltin="1"/>
    <cellStyle name="Heading 1 2" xfId="115" xr:uid="{54CBC38E-32B8-409E-A896-88D939B9FBB5}"/>
    <cellStyle name="Heading 1 3" xfId="58" xr:uid="{BF56CFEC-658E-4689-8E0C-9D9FD245D50B}"/>
    <cellStyle name="Heading 1 4" xfId="136" xr:uid="{A451F701-5718-4FE1-A348-ECF59F250A4A}"/>
    <cellStyle name="Heading 2" xfId="6" builtinId="17" customBuiltin="1"/>
    <cellStyle name="Heading 2 2" xfId="116" xr:uid="{CDABBBE9-8E9A-4CF2-91C1-7C405F9D2E2D}"/>
    <cellStyle name="Heading 2 3" xfId="59" xr:uid="{8CBA6B44-B003-4842-BCAA-4C308727BF3C}"/>
    <cellStyle name="Heading 2 4" xfId="137" xr:uid="{085B202D-6E37-482F-BDFF-BB3FF31877D3}"/>
    <cellStyle name="Heading 3" xfId="7" builtinId="18" customBuiltin="1"/>
    <cellStyle name="Heading 3 2" xfId="117" xr:uid="{772C67C8-F7A9-4F57-8A3E-7EFDEC18F5B1}"/>
    <cellStyle name="Heading 3 3" xfId="60" xr:uid="{6E1584DD-E682-44BC-8FCE-D9FF2B9BB472}"/>
    <cellStyle name="Heading 3 4" xfId="138" xr:uid="{0ABAD67B-34B4-4056-A775-96B21B9DB322}"/>
    <cellStyle name="Heading 4" xfId="8" builtinId="19" customBuiltin="1"/>
    <cellStyle name="Heading 4 2" xfId="118" xr:uid="{06AFAFFE-4F78-4F78-A23D-E97EE26C424D}"/>
    <cellStyle name="Heading 4 3" xfId="61" xr:uid="{1BB2F892-F0C9-4C09-8025-55A1BC534CF1}"/>
    <cellStyle name="Heading 4 4" xfId="139" xr:uid="{C052D09B-C8E5-45FC-BE1C-5BE87E6A8701}"/>
    <cellStyle name="Hyperlink" xfId="2" builtinId="8" customBuiltin="1"/>
    <cellStyle name="Hyperlink 2" xfId="135" xr:uid="{E09F3907-6A84-4E89-BB63-6C3970F9B7CD}"/>
    <cellStyle name="Hyperlink 3" xfId="145" xr:uid="{64F7D245-DFD4-470D-856C-F47E23986551}"/>
    <cellStyle name="Input" xfId="3" builtinId="20" customBuiltin="1"/>
    <cellStyle name="Input (optional)" xfId="141" xr:uid="{4C94EFA9-7019-48C0-8847-4AC53041AD41}"/>
    <cellStyle name="Input (required)" xfId="140" xr:uid="{7BF61763-DB63-49BC-9829-C0F0278EC0F6}"/>
    <cellStyle name="Input 2" xfId="119" xr:uid="{1A0C7A3D-CA7E-4013-AFE4-B0F3353DBA98}"/>
    <cellStyle name="Linked Cell" xfId="14" builtinId="24" customBuiltin="1"/>
    <cellStyle name="Linked Cell 2" xfId="120" xr:uid="{A40626BF-CAA5-4B36-8DAE-00EFF1894F6C}"/>
    <cellStyle name="Neutral" xfId="4" builtinId="28" customBuiltin="1"/>
    <cellStyle name="Neutral 2" xfId="77" xr:uid="{1EA2FE83-1F6E-41E4-99FD-926F51924875}"/>
    <cellStyle name="Neutral 2 2" xfId="121" xr:uid="{E38A06D7-3E35-4C25-BAA7-A28FB1F3F5DF}"/>
    <cellStyle name="Neutral 3" xfId="70" xr:uid="{73054CDF-F3F8-40CF-9B35-5FB5802E5D21}"/>
    <cellStyle name="Neutral 4" xfId="63" xr:uid="{0B34360B-D7AD-4A1B-84CC-0568FEBC5E3D}"/>
    <cellStyle name="Normal" xfId="0" builtinId="0" customBuiltin="1"/>
    <cellStyle name="Normal 2" xfId="84" xr:uid="{54DED29E-392A-4CF7-AA12-E1CC268EE970}"/>
    <cellStyle name="Normal 2 2" xfId="123" xr:uid="{0C363A36-A528-40FE-BA42-54FB6484D000}"/>
    <cellStyle name="Normal 2 3" xfId="124" xr:uid="{46FA0EEF-743E-4912-AD65-F279465FB4C5}"/>
    <cellStyle name="Normal 2 4" xfId="125" xr:uid="{A7D1394F-40E7-4842-AAB7-8D67570F8DD2}"/>
    <cellStyle name="Normal 2 5" xfId="122" xr:uid="{21DE2038-02E5-4838-9502-B042276A913C}"/>
    <cellStyle name="Normal 3" xfId="85" xr:uid="{6920351A-5DD8-4F88-9F80-02AE39A457EC}"/>
    <cellStyle name="Normal 3 2" xfId="126" xr:uid="{15B75FB0-DDBB-4929-91EF-AD8ADDD010D4}"/>
    <cellStyle name="Normal 4" xfId="127" xr:uid="{87EA8F36-48C4-4705-9FC8-9D5EEE5FECBB}"/>
    <cellStyle name="Normal 5" xfId="57" xr:uid="{770BFE45-8E98-41A4-89B7-F236F97FAC27}"/>
    <cellStyle name="Normal 6" xfId="133" xr:uid="{815D4E2F-29A0-47F3-8539-E8522F1EC48A}"/>
    <cellStyle name="Normal 7" xfId="144" xr:uid="{66F07CB5-EFCC-4405-8AC2-3FD139755796}"/>
    <cellStyle name="Note 2" xfId="128" xr:uid="{BBE5764E-3488-4241-8EA5-682238C11021}"/>
    <cellStyle name="Note 3" xfId="62" xr:uid="{E50CBF9C-19A5-421A-8A6C-85DD54F8734F}"/>
    <cellStyle name="Note 4" xfId="44" xr:uid="{74680ADF-8B65-42A5-AE1A-168583397792}"/>
    <cellStyle name="Notes" xfId="143" xr:uid="{3D3B904E-1F3E-4980-B254-828E2B68EE9E}"/>
    <cellStyle name="Output" xfId="12" builtinId="21" customBuiltin="1"/>
    <cellStyle name="Output (formula)" xfId="142" xr:uid="{2C0EC8B8-C318-457C-AAAE-22EC2CEF791C}"/>
    <cellStyle name="Output 2" xfId="129" xr:uid="{105368B6-20E1-43AF-B245-A0FAF9E141F0}"/>
    <cellStyle name="Percent" xfId="1" builtinId="5"/>
    <cellStyle name="Percent 2" xfId="134" xr:uid="{52FEB593-F99A-4A44-8D52-213C3B0302E9}"/>
    <cellStyle name="Percent 3" xfId="43" xr:uid="{60759349-8386-40B2-8F2E-32D76CA25B84}"/>
    <cellStyle name="Title" xfId="9" builtinId="15" customBuiltin="1"/>
    <cellStyle name="Title 2" xfId="130" xr:uid="{087D4F76-484A-4687-B788-5ECB92B01324}"/>
    <cellStyle name="Total" xfId="18" builtinId="25" customBuiltin="1"/>
    <cellStyle name="Total 2" xfId="131" xr:uid="{DE994CE8-0CA0-42E2-BEDB-9444687ADD88}"/>
    <cellStyle name="Warning Text" xfId="16" builtinId="11" customBuiltin="1"/>
    <cellStyle name="Warning Text 2" xfId="132" xr:uid="{80297D02-9974-4436-9510-CD9A66E01BF6}"/>
  </cellStyles>
  <dxfs count="47">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5" formatCode="0.00E+00"/>
    </dxf>
    <dxf>
      <numFmt numFmtId="171" formatCode="0.00000"/>
    </dxf>
    <dxf>
      <numFmt numFmtId="169" formatCode="0.0000"/>
    </dxf>
    <dxf>
      <numFmt numFmtId="4" formatCode="#,##0.00"/>
    </dxf>
    <dxf>
      <numFmt numFmtId="172" formatCode="#,##0.0"/>
    </dxf>
    <dxf>
      <numFmt numFmtId="3" formatCode="#,##0"/>
    </dxf>
    <dxf>
      <numFmt numFmtId="15" formatCode="0.00E+00"/>
    </dxf>
    <dxf>
      <numFmt numFmtId="173" formatCode="&quot;0&quot;"/>
    </dxf>
    <dxf>
      <font>
        <color rgb="FF9C0006"/>
      </font>
      <fill>
        <patternFill>
          <bgColor rgb="FFFFC7CE"/>
        </patternFill>
      </fill>
    </dxf>
    <dxf>
      <font>
        <color rgb="FF000000"/>
      </font>
      <numFmt numFmtId="15" formatCode="0.00E+00"/>
      <alignment horizontal="right" vertical="center"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5" formatCode="0.00E+00"/>
      <alignment horizontal="right" vertical="center"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5" formatCode="0.00E+00"/>
      <alignment horizontal="right" vertical="center" textRotation="0" wrapText="0" indent="0" justifyLastLine="0" shrinkToFit="0" readingOrder="0"/>
    </dxf>
    <dxf>
      <font>
        <color rgb="FF000000"/>
      </font>
      <numFmt numFmtId="15" formatCode="0.00E+00"/>
      <alignment horizontal="right" vertical="center" textRotation="0" wrapText="0" indent="0" justifyLastLine="0" shrinkToFit="0" readingOrder="0"/>
    </dxf>
    <dxf>
      <font>
        <color rgb="FF000000"/>
      </font>
      <numFmt numFmtId="15" formatCode="0.00E+00"/>
      <alignment horizontal="right" vertical="center" textRotation="0" wrapText="0" indent="0" justifyLastLine="0" shrinkToFit="0" readingOrder="0"/>
    </dxf>
    <dxf>
      <font>
        <color rgb="FF000000"/>
      </font>
      <numFmt numFmtId="15" formatCode="0.00E+00"/>
      <alignment horizontal="right" vertical="center" textRotation="0" wrapText="0" indent="0" justifyLastLine="0" shrinkToFit="0" readingOrder="0"/>
    </dxf>
    <dxf>
      <font>
        <color rgb="FF000000"/>
      </font>
      <numFmt numFmtId="15" formatCode="0.00E+00"/>
      <alignment horizontal="right" vertical="center" textRotation="0" wrapText="0" indent="0" justifyLastLine="0" shrinkToFit="0" readingOrder="0"/>
    </dxf>
    <dxf>
      <font>
        <color rgb="FF000000"/>
      </font>
      <numFmt numFmtId="15" formatCode="0.00E+00"/>
      <alignment horizontal="right" vertical="center"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5" formatCode="0.00E+00"/>
      <alignment horizontal="right" vertical="center"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5" formatCode="0.00E+00"/>
      <alignment horizontal="right" vertical="center" textRotation="0" wrapText="0" indent="0" justifyLastLine="0" shrinkToFit="0" readingOrder="0"/>
    </dxf>
    <dxf>
      <font>
        <color rgb="FF000000"/>
      </font>
      <numFmt numFmtId="15" formatCode="0.00E+00"/>
      <alignment horizontal="right" vertical="center" textRotation="0" wrapText="0" indent="0" justifyLastLine="0" shrinkToFit="0" readingOrder="0"/>
    </dxf>
    <dxf>
      <font>
        <color rgb="FF000000"/>
      </font>
      <numFmt numFmtId="15" formatCode="0.00E+00"/>
      <alignment horizontal="right" vertical="center" textRotation="0" wrapText="0" indent="0" justifyLastLine="0" shrinkToFit="0" readingOrder="0"/>
    </dxf>
    <dxf>
      <font>
        <color rgb="FF000000"/>
      </font>
      <numFmt numFmtId="15" formatCode="0.00E+00"/>
      <alignment horizontal="right" vertical="center" textRotation="0" wrapText="0" indent="0" justifyLastLine="0" shrinkToFit="0" readingOrder="0"/>
    </dxf>
    <dxf>
      <font>
        <color rgb="FF000000"/>
      </font>
      <numFmt numFmtId="15" formatCode="0.00E+00"/>
      <alignment horizontal="right" vertical="center" textRotation="0" wrapText="0" indent="0" justifyLastLine="0" shrinkToFit="0" readingOrder="0"/>
    </dxf>
    <dxf>
      <font>
        <color rgb="FF000000"/>
      </font>
      <numFmt numFmtId="15" formatCode="0.00E+00"/>
      <alignment horizontal="right" vertical="center" textRotation="0" wrapText="0" indent="0" justifyLastLine="0" shrinkToFit="0" readingOrder="0"/>
    </dxf>
    <dxf>
      <font>
        <color rgb="FF000000"/>
      </font>
      <numFmt numFmtId="15" formatCode="0.00E+00"/>
      <alignment horizontal="right" vertical="center" textRotation="0" wrapText="0" indent="0" justifyLastLine="0" shrinkToFit="0" readingOrder="0"/>
      <protection locked="1" hidden="1"/>
    </dxf>
    <dxf>
      <font>
        <color rgb="FF000000"/>
      </font>
      <numFmt numFmtId="15" formatCode="0.00E+00"/>
      <alignment horizontal="right" vertical="center" textRotation="0" wrapText="0" indent="0" justifyLastLine="0" shrinkToFit="0" readingOrder="0"/>
      <protection locked="1" hidden="1"/>
    </dxf>
    <dxf>
      <font>
        <color rgb="FF000000"/>
      </font>
      <numFmt numFmtId="15" formatCode="0.00E+00"/>
      <alignment horizontal="right" vertical="center" textRotation="0" wrapText="0" indent="0" justifyLastLine="0" shrinkToFit="0" readingOrder="0"/>
      <protection locked="1" hidden="1"/>
    </dxf>
    <dxf>
      <font>
        <color rgb="FF000000"/>
      </font>
      <numFmt numFmtId="15" formatCode="0.00E+00"/>
      <alignment horizontal="right" vertical="center" textRotation="0" wrapText="0" indent="0" justifyLastLine="0" shrinkToFit="0" readingOrder="0"/>
      <protection locked="1" hidden="1"/>
    </dxf>
    <dxf>
      <font>
        <color rgb="FF000000"/>
      </font>
      <alignment horizontal="general"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family val="2"/>
        <scheme val="none"/>
      </font>
      <alignment horizontal="general" vertical="center" textRotation="0" wrapText="0" indent="0" justifyLastLine="0" shrinkToFit="0" readingOrder="0"/>
      <protection locked="1" hidden="1"/>
    </dxf>
    <dxf>
      <font>
        <color rgb="FF000000"/>
      </font>
      <alignment horizontal="general"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center" textRotation="0" wrapText="0" indent="0" justifyLastLine="0" shrinkToFit="0" readingOrder="0"/>
      <protection locked="1" hidden="1"/>
    </dxf>
    <dxf>
      <font>
        <color rgb="FF000000"/>
      </font>
      <alignment horizontal="general"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family val="2"/>
        <scheme val="none"/>
      </font>
      <numFmt numFmtId="174" formatCode="m/d/yyyy"/>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family val="2"/>
        <scheme val="none"/>
      </font>
      <numFmt numFmtId="174" formatCode="m/d/yyyy"/>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family val="2"/>
        <scheme val="none"/>
      </font>
      <alignment horizontal="general" vertical="center" textRotation="0" wrapText="0" indent="0" justifyLastLine="0" shrinkToFit="0" readingOrder="0"/>
      <protection locked="1" hidden="1"/>
    </dxf>
    <dxf>
      <font>
        <color rgb="FF000000"/>
      </font>
      <alignment horizontal="general" vertical="center" textRotation="0" wrapText="0" indent="0" justifyLastLine="0" shrinkToFit="0" readingOrder="0"/>
    </dxf>
    <dxf>
      <font>
        <color rgb="FF000000"/>
      </font>
      <alignment horizontal="general" vertical="center" textRotation="0" wrapText="0" indent="0" justifyLastLine="0" shrinkToFit="0" readingOrder="0"/>
    </dxf>
    <dxf>
      <font>
        <color rgb="FF000000"/>
      </font>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color rgb="FF000000"/>
        <family val="2"/>
      </font>
      <numFmt numFmtId="15" formatCode="0.00E+00"/>
      <alignment horizontal="righ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Arial"/>
        <family val="2"/>
        <scheme val="none"/>
      </font>
      <numFmt numFmtId="15" formatCode="0.00E+00"/>
      <fill>
        <patternFill patternType="solid">
          <fgColor indexed="64"/>
          <bgColor rgb="FF0091B3"/>
        </patternFill>
      </fill>
      <alignment horizontal="right" vertical="center" textRotation="0" wrapText="1" indent="0" justifyLastLine="0" shrinkToFit="0" readingOrder="0"/>
      <protection locked="1" hidden="1"/>
    </dxf>
  </dxfs>
  <tableStyles count="1" defaultTableStyle="TableStyleMedium2" defaultPivotStyle="PivotStyleLight16">
    <tableStyle name="Invisible" pivot="0" table="0" count="0" xr9:uid="{ED9F430A-8C0B-4336-AF3D-3F53D2D552D2}"/>
  </tableStyles>
  <colors>
    <mruColors>
      <color rgb="FFF2F2F2"/>
      <color rgb="FF0091B3"/>
      <color rgb="FFCFEAEF"/>
      <color rgb="FF007299"/>
      <color rgb="FF0099CC"/>
      <color rgb="FF336699"/>
      <color rgb="FF00CCFF"/>
      <color rgb="FF3366FF"/>
      <color rgb="FF99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703580</xdr:colOff>
      <xdr:row>5</xdr:row>
      <xdr:rowOff>40640</xdr:rowOff>
    </xdr:to>
    <xdr:pic>
      <xdr:nvPicPr>
        <xdr:cNvPr id="2" name="Picture 1">
          <a:extLst>
            <a:ext uri="{FF2B5EF4-FFF2-40B4-BE49-F238E27FC236}">
              <a16:creationId xmlns:a16="http://schemas.microsoft.com/office/drawing/2014/main" id="{4A47968F-DA8F-4289-B544-CFCE4F8286EC}"/>
            </a:ext>
          </a:extLst>
        </xdr:cNvPr>
        <xdr:cNvPicPr>
          <a:picLocks noChangeAspect="1"/>
        </xdr:cNvPicPr>
      </xdr:nvPicPr>
      <xdr:blipFill>
        <a:blip xmlns:r="http://schemas.openxmlformats.org/officeDocument/2006/relationships" r:embed="rId1"/>
        <a:stretch>
          <a:fillRect/>
        </a:stretch>
      </xdr:blipFill>
      <xdr:spPr>
        <a:xfrm>
          <a:off x="609600" y="161925"/>
          <a:ext cx="2103755" cy="68834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023AB8-05F2-491F-B4A3-82453B24C3A7}" name="Table3" displayName="Table3" ref="A7:AE3537" totalsRowShown="0" headerRowDxfId="46" dataDxfId="44" headerRowBorderDxfId="45" tableBorderDxfId="43">
  <autoFilter ref="A7:AE3537" xr:uid="{5A023AB8-05F2-491F-B4A3-82453B24C3A7}"/>
  <sortState xmlns:xlrd2="http://schemas.microsoft.com/office/spreadsheetml/2017/richdata2" ref="A8:AE3537">
    <sortCondition ref="C7:C3537"/>
  </sortState>
  <tableColumns count="31">
    <tableColumn id="1" xr3:uid="{6B7909FA-673F-4C81-8697-0AEEDB7413E1}" name="Material type" dataDxfId="42"/>
    <tableColumn id="2" xr3:uid="{2FCDF997-3F7C-4499-9872-07FBCC109BA6}" name="Material classification" dataDxfId="41"/>
    <tableColumn id="3" xr3:uid="{24C0EBAC-62FC-435B-BF34-1D8979007EED}" name="Material category for matching emission factor" dataDxfId="40"/>
    <tableColumn id="4" xr3:uid="{6C60CF60-FD45-41B9-ACD0-26D20133879A}" name="Material long name" dataDxfId="39"/>
    <tableColumn id="6" xr3:uid="{B0D9EFE5-14B7-4A91-B115-34AD6C79E67D}" name="Data valid (start)" dataDxfId="38"/>
    <tableColumn id="7" xr3:uid="{0927A5C2-B351-4CA6-BFB8-D2FFBF759E9C}" name="Data valid (end)" dataDxfId="37"/>
    <tableColumn id="8" xr3:uid="{E92DF09E-6D29-4113-ACFB-4D9C02EAB8ED}" name="Location" dataDxfId="36"/>
    <tableColumn id="9" xr3:uid="{5F44B956-7BF9-4E37-98C3-8501BB36A201}" name="Registration number" dataDxfId="35"/>
    <tableColumn id="10" xr3:uid="{97A2570B-D942-4ACE-B802-706D9CF33E80}" name="Version" dataDxfId="34"/>
    <tableColumn id="11" xr3:uid="{720FA39D-7886-4646-B599-A645C79AEC0A}" name="Program" dataDxfId="33"/>
    <tableColumn id="12" xr3:uid="{D3F3D7BB-FFC4-4FA9-A0BA-0F67B3F4A3A2}" name="Reference link - Website" dataDxfId="32"/>
    <tableColumn id="13" xr3:uid="{3C94F152-68F7-405A-8429-4BEBE6AB1305}" name="Declared unit" dataDxfId="31"/>
    <tableColumn id="14" xr3:uid="{0A5A4917-FCB5-42DF-9956-B36F5F514B32}" name="Density (kg/m3)" dataDxfId="30"/>
    <tableColumn id="15" xr3:uid="{FB23CD38-BE61-4F7D-8F91-DB67F016F729}" name="Area density (kg/m2)" dataDxfId="29"/>
    <tableColumn id="16" xr3:uid="{C6F1F844-256B-4952-810E-9BAAFA3AEB22}" name="Mass per m (kg/m)" dataDxfId="28"/>
    <tableColumn id="17" xr3:uid="{8AE5C904-F592-4A06-B24F-44D683B2F8F9}" name="Mass per unit (kg/unit)" dataDxfId="27"/>
    <tableColumn id="18" xr3:uid="{DA48A404-E11B-4360-AA1E-D24315CD03E2}" name="GWP-total (kg CO2e/quanity)" dataDxfId="26"/>
    <tableColumn id="19" xr3:uid="{68BCB9E3-EAE2-4794-BD79-FC328083319B}" name="GWP-fossil (kg CO2e/quanity)" dataDxfId="25"/>
    <tableColumn id="20" xr3:uid="{2A6CA621-6F84-4D4B-9C50-D86B7A17E863}" name="GWP-biogenic (kg CO2e/quanity)" dataDxfId="24"/>
    <tableColumn id="21" xr3:uid="{D6FFB1F4-3354-4955-A4C7-83A9BB6C74C8}" name="GWP-luluc (kg CO2e/quanity)" dataDxfId="23"/>
    <tableColumn id="22" xr3:uid="{47B16138-0399-4D0C-A715-6719D9D868BA}" name="GWP-stored (kg CO2e/quantity)" dataDxfId="22"/>
    <tableColumn id="23" xr3:uid="{91061E3B-177A-4A23-990C-B2878D5FD13D}" name="Upfront carbon emissions (kg CO2e/quantity" dataDxfId="21"/>
    <tableColumn id="24" xr3:uid="{D23AF2F9-0934-4C3E-9274-F3D11F42AA5D}" name="Upfront carbon storage (kg CO2e/quantity" dataDxfId="20"/>
    <tableColumn id="25" xr3:uid="{786B305B-6DC1-41FA-B9D5-91A315E34054}" name="GWP-total (kg CO2e/kg)" dataDxfId="19"/>
    <tableColumn id="26" xr3:uid="{D9F91955-A354-4E33-8360-CFA1FE36FA3C}" name="GWP-fossil (kg CO2e/kg)" dataDxfId="18"/>
    <tableColumn id="27" xr3:uid="{FA09998B-A012-47D7-B1D8-2353A177DD51}" name="GWP-biogenic (kg CO2e/kg)" dataDxfId="17"/>
    <tableColumn id="28" xr3:uid="{8DE825A9-94E0-42AF-AEBF-4C4ED02530F7}" name="GWP-luluc (kg CO2e/kg)" dataDxfId="16"/>
    <tableColumn id="29" xr3:uid="{BCDF95D5-789F-45FA-9571-593F29018982}" name="GWP-stored (kg CO2e/kg)" dataDxfId="15"/>
    <tableColumn id="30" xr3:uid="{B03EB037-785D-496A-845A-96F6A211E3E5}" name="Upfront carbon emissions (kg CO2e/kg)" dataDxfId="14"/>
    <tableColumn id="31" xr3:uid="{456AF835-D9DB-4C1C-9588-5E5AA9B23257}" name="Upfront carbon storage (kg CO2e/kg)" dataDxfId="13"/>
    <tableColumn id="32" xr3:uid="{6A32CD74-401A-4C21-95BE-094C6E0D539C}" name="Record added to database" dataDxfId="12"/>
  </tableColumns>
  <tableStyleInfo name="TableStyleMedium4"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arbonleadershipforum.org/office-buildings-lca/"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epd-australasia.com/wp-content/uploads/2023/04/SP05522-Adbri-EPD-Concrete_NT_Mar23.pdf" TargetMode="External"/><Relationship Id="rId2" Type="http://schemas.openxmlformats.org/officeDocument/2006/relationships/hyperlink" Target="https://epd-australasia.com/wp-content/uploads/2023/04/SP05522-Adbri-EPD-Concrete_NT_Mar23.pdf" TargetMode="External"/><Relationship Id="rId1" Type="http://schemas.openxmlformats.org/officeDocument/2006/relationships/hyperlink" Target="https://epd-australasia.com/wp-content/uploads/2022/07/SP-05479_WA-Premix-Ready-Mix-Concrete-EPD-v1.0.pdf" TargetMode="External"/><Relationship Id="rId5" Type="http://schemas.openxmlformats.org/officeDocument/2006/relationships/table" Target="../tables/table1.x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api.environdec.com/api/v1/EPDLibrary/Files/131903ec-0fe2-4bea-ce80-08db351f0eff/Data"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agriculture.gov.au/abares/research-topics/forests/forest-economics/forest-wood-products-statistics" TargetMode="External"/><Relationship Id="rId1" Type="http://schemas.openxmlformats.org/officeDocument/2006/relationships/hyperlink" Target="https://www.agriculture.gov.au/abares/products/insights/snapshot-of-australias-forest-industry"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agriculture.gov.au/abares/research-topics/forests/forest-economics/forest-wood-products-statistics" TargetMode="External"/><Relationship Id="rId1" Type="http://schemas.openxmlformats.org/officeDocument/2006/relationships/hyperlink" Target="https://www.agriculture.gov.au/abares/products/insights/snapshot-of-australias-forest-industry"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www.agriculture.gov.au/abares/research-topics/forests/forest-economics/forest-wood-products-statistics" TargetMode="External"/><Relationship Id="rId1" Type="http://schemas.openxmlformats.org/officeDocument/2006/relationships/hyperlink" Target="https://www.agriculture.gov.au/abares/products/insights/snapshot-of-australias-forest-industry"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agriculture.gov.au/abares/research-topics/forests/forest-economics/forest-wood-products-statistics" TargetMode="External"/><Relationship Id="rId1" Type="http://schemas.openxmlformats.org/officeDocument/2006/relationships/hyperlink" Target="https://www.agriculture.gov.au/abares/products/insights/snapshot-of-australias-forest-industry"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hyperlink" Target="https://www.worldsteel.org/en/dam/jcr:66fed386-fd0b-485e-aa23-b8a5e7533435/Position_paper_climate_2018.pdf" TargetMode="External"/><Relationship Id="rId2" Type="http://schemas.openxmlformats.org/officeDocument/2006/relationships/hyperlink" Target="https://www.steel.org.au/Membership/media/Australian-Steel-Institute/PDFs/Steel-Industry-Capability-document-050623.pdf" TargetMode="External"/><Relationship Id="rId1" Type="http://schemas.openxmlformats.org/officeDocument/2006/relationships/hyperlink" Target="https://www.steel.org.au/Membership/media/Australian-Steel-Institute/PDFs/Steel-Industry-Capability-document-050623.pdf" TargetMode="External"/><Relationship Id="rId5" Type="http://schemas.openxmlformats.org/officeDocument/2006/relationships/printerSettings" Target="../printerSettings/printerSettings60.bin"/><Relationship Id="rId4" Type="http://schemas.openxmlformats.org/officeDocument/2006/relationships/hyperlink" Target="https://www.worldsteel.org/en/dam/jcr:66fed386-fd0b-485e-aa23-b8a5e7533435/Position_paper_climate_2018.pdf"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s://www.gfgalliance.com/whyalla-transformation/about-the-steelworks/" TargetMode="External"/><Relationship Id="rId1" Type="http://schemas.openxmlformats.org/officeDocument/2006/relationships/hyperlink" Target="https://www.steel.org.au/Membership/media/Australian-Steel-Institute/PDFs/Steel-Industry-Capability-document-050623.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s://www.umcuae.ae/downloads/EPD_UMC%20Final%20Certified.pdf" TargetMode="External"/><Relationship Id="rId1" Type="http://schemas.openxmlformats.org/officeDocument/2006/relationships/hyperlink" Target="https://epd-australasia.com/wp-content/uploads/2019/10/Environmental-Product-Declaration-for-Galvanizers-Association-of-Australia.pdf"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s://www.agriculture.gov.au/abares/research-topics/forests/forest-economics/forest-wood-products-statistics"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s://www.agriculture.gov.au/abares/research-topics/forests/forest-economics/forest-wood-products-statistics"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8" Type="http://schemas.openxmlformats.org/officeDocument/2006/relationships/hyperlink" Target="https://api.environdec.com/api/v1/EPDLibrary/Files/52635996-871c-4748-8604-52b562e4b2d0/Data" TargetMode="External"/><Relationship Id="rId3" Type="http://schemas.openxmlformats.org/officeDocument/2006/relationships/hyperlink" Target="https://api.environdec.com/api/v1/EPDLibrary/Files/f5551601-408d-4385-0185-08daab6203a1/Data" TargetMode="External"/><Relationship Id="rId7" Type="http://schemas.openxmlformats.org/officeDocument/2006/relationships/hyperlink" Target="https://api.environdec.com/api/v1/EPDLibrary/Files/df481903-a021-4a5b-9548-ec60342d769b/Data" TargetMode="External"/><Relationship Id="rId2" Type="http://schemas.openxmlformats.org/officeDocument/2006/relationships/hyperlink" Target="https://api.environdec.com/api/v1/EPDLibrary/Files/df481903-a021-4a5b-9548-ec60342d769b/Data" TargetMode="External"/><Relationship Id="rId1" Type="http://schemas.openxmlformats.org/officeDocument/2006/relationships/hyperlink" Target="https://epd-australasia.com/wp-content/uploads/2023/06/SP07452-APL-Window-Solutions_vNov23.pdf" TargetMode="External"/><Relationship Id="rId6" Type="http://schemas.openxmlformats.org/officeDocument/2006/relationships/hyperlink" Target="https://epd-australasia.com/wp-content/uploads/2023/06/SP07452-APL-Window-Solutions_vNov23.pdf" TargetMode="External"/><Relationship Id="rId5" Type="http://schemas.openxmlformats.org/officeDocument/2006/relationships/hyperlink" Target="https://epd-australasia.com/wp-content/uploads/2023/06/SP07452-APL-Window-Solutions_vNov23.pdf" TargetMode="External"/><Relationship Id="rId10" Type="http://schemas.openxmlformats.org/officeDocument/2006/relationships/printerSettings" Target="../printerSettings/printerSettings76.bin"/><Relationship Id="rId4" Type="http://schemas.openxmlformats.org/officeDocument/2006/relationships/hyperlink" Target="https://api.environdec.com/api/v1/EPDLibrary/Files/f31919c9-5f2b-42ca-0da2-08dc5e07fd56/Data" TargetMode="External"/><Relationship Id="rId9" Type="http://schemas.openxmlformats.org/officeDocument/2006/relationships/hyperlink" Target="https://www.assaabloyentrance.com/master-blueprint/market-documents/topics/sustainability/new-epd/automatic-doors/rd/assa-abloy-rd700-revolving-door.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5A245-68CF-4676-B312-30C1DF2F5A5B}">
  <sheetPr codeName="Sheet14"/>
  <dimension ref="A1:N71"/>
  <sheetViews>
    <sheetView tabSelected="1" workbookViewId="0"/>
  </sheetViews>
  <sheetFormatPr defaultColWidth="10.54296875" defaultRowHeight="12.5" x14ac:dyDescent="0.25"/>
  <cols>
    <col min="1" max="16384" width="10.54296875" style="26"/>
  </cols>
  <sheetData>
    <row r="1" spans="1:14" x14ac:dyDescent="0.25">
      <c r="A1" s="44"/>
      <c r="B1" s="44"/>
      <c r="C1" s="44"/>
      <c r="D1" s="44"/>
      <c r="E1" s="44"/>
      <c r="F1" s="44"/>
      <c r="G1" s="44"/>
      <c r="H1" s="44"/>
      <c r="I1" s="44"/>
      <c r="J1" s="44"/>
      <c r="K1" s="404" t="s">
        <v>0</v>
      </c>
      <c r="L1" s="404"/>
      <c r="M1" s="46"/>
    </row>
    <row r="2" spans="1:14" x14ac:dyDescent="0.25">
      <c r="A2" s="44"/>
      <c r="B2"/>
      <c r="C2" s="44"/>
      <c r="D2" s="44"/>
      <c r="E2" s="44"/>
      <c r="F2" s="44"/>
      <c r="G2" s="44"/>
      <c r="H2" s="44"/>
      <c r="I2" s="44"/>
      <c r="J2" s="44"/>
      <c r="K2" s="404"/>
      <c r="L2" s="404"/>
      <c r="M2" s="46"/>
    </row>
    <row r="3" spans="1:14" x14ac:dyDescent="0.25">
      <c r="A3" s="44"/>
      <c r="B3" s="44"/>
      <c r="C3" s="44"/>
      <c r="D3" s="44"/>
      <c r="E3" s="44"/>
      <c r="F3" s="44"/>
      <c r="G3" s="44"/>
      <c r="H3" s="44"/>
      <c r="I3" s="44"/>
      <c r="J3" s="44"/>
      <c r="K3" s="404"/>
      <c r="L3" s="404"/>
      <c r="M3" s="46"/>
    </row>
    <row r="4" spans="1:14" x14ac:dyDescent="0.25">
      <c r="A4" s="44"/>
      <c r="B4" s="44"/>
      <c r="C4" s="44"/>
      <c r="D4" s="44"/>
      <c r="E4" s="44"/>
      <c r="F4" s="44"/>
      <c r="G4" s="44"/>
      <c r="H4" s="44"/>
      <c r="I4" s="44"/>
      <c r="J4" s="44"/>
      <c r="K4" s="404"/>
      <c r="L4" s="404"/>
      <c r="M4" s="46"/>
    </row>
    <row r="5" spans="1:14" x14ac:dyDescent="0.25">
      <c r="A5" s="44"/>
      <c r="B5" s="44"/>
      <c r="C5" s="44"/>
      <c r="D5" s="44"/>
      <c r="E5" s="44"/>
      <c r="F5" s="44"/>
      <c r="G5" s="44"/>
      <c r="H5" s="44"/>
      <c r="I5" s="44"/>
      <c r="J5" s="44"/>
      <c r="K5" s="404"/>
      <c r="L5" s="404"/>
      <c r="M5" s="46"/>
    </row>
    <row r="6" spans="1:14" x14ac:dyDescent="0.25">
      <c r="A6" s="44"/>
      <c r="B6" s="44"/>
      <c r="C6" s="44"/>
      <c r="D6" s="44"/>
      <c r="E6" s="44"/>
      <c r="F6" s="44"/>
      <c r="G6" s="44"/>
      <c r="H6" s="44"/>
      <c r="I6" s="44"/>
      <c r="J6" s="44"/>
      <c r="K6" s="404"/>
      <c r="L6" s="404"/>
      <c r="M6" s="46"/>
    </row>
    <row r="7" spans="1:14" x14ac:dyDescent="0.25">
      <c r="A7" s="47"/>
      <c r="B7" s="47"/>
      <c r="C7" s="47"/>
      <c r="D7" s="47"/>
      <c r="E7" s="47"/>
      <c r="F7" s="47"/>
      <c r="G7" s="47"/>
      <c r="H7" s="47"/>
      <c r="I7" s="47"/>
      <c r="J7" s="47"/>
      <c r="K7" s="47"/>
      <c r="L7" s="47"/>
      <c r="M7" s="47"/>
      <c r="N7" s="47"/>
    </row>
    <row r="8" spans="1:14" ht="28" x14ac:dyDescent="0.25">
      <c r="A8" s="47"/>
      <c r="B8" s="405" t="s">
        <v>1</v>
      </c>
      <c r="C8" s="405"/>
      <c r="D8" s="405"/>
      <c r="E8" s="405"/>
      <c r="F8" s="405"/>
      <c r="G8" s="405"/>
      <c r="H8" s="405"/>
      <c r="I8" s="405"/>
      <c r="J8" s="405"/>
      <c r="K8" s="405"/>
      <c r="L8" s="405"/>
      <c r="M8" s="405"/>
      <c r="N8" s="47"/>
    </row>
    <row r="9" spans="1:14" x14ac:dyDescent="0.25">
      <c r="A9" s="47"/>
      <c r="B9" s="47"/>
      <c r="C9" s="47"/>
      <c r="D9" s="47"/>
      <c r="E9" s="47"/>
      <c r="F9" s="47"/>
      <c r="G9" s="47"/>
      <c r="H9" s="47"/>
      <c r="I9" s="47"/>
      <c r="J9" s="47"/>
      <c r="K9" s="47"/>
      <c r="L9" s="47"/>
      <c r="M9" s="47"/>
      <c r="N9" s="47"/>
    </row>
    <row r="10" spans="1:14" x14ac:dyDescent="0.25">
      <c r="A10" s="44"/>
      <c r="B10" s="44"/>
      <c r="C10" s="44"/>
      <c r="D10" s="44"/>
      <c r="E10" s="44"/>
      <c r="F10" s="44"/>
      <c r="G10" s="44"/>
      <c r="H10" s="44"/>
      <c r="I10" s="44"/>
      <c r="J10" s="44"/>
      <c r="K10" s="44"/>
      <c r="L10" s="44"/>
      <c r="M10" s="44"/>
    </row>
    <row r="11" spans="1:14" ht="18" x14ac:dyDescent="0.25">
      <c r="A11" s="44"/>
      <c r="B11" s="403" t="s">
        <v>2</v>
      </c>
      <c r="C11" s="403"/>
      <c r="D11" s="403"/>
      <c r="E11" s="403"/>
      <c r="F11" s="403"/>
      <c r="G11" s="403"/>
      <c r="H11" s="403"/>
      <c r="I11" s="403"/>
      <c r="J11" s="403"/>
      <c r="K11" s="403"/>
      <c r="L11" s="403"/>
      <c r="M11" s="44"/>
    </row>
    <row r="12" spans="1:14" x14ac:dyDescent="0.25">
      <c r="A12" s="44"/>
      <c r="B12" s="49"/>
      <c r="C12" s="49"/>
      <c r="D12" s="49"/>
      <c r="E12" s="49"/>
      <c r="F12" s="49"/>
      <c r="G12" s="49"/>
      <c r="H12" s="49"/>
      <c r="I12" s="49"/>
      <c r="J12" s="49"/>
      <c r="K12" s="49"/>
      <c r="L12" s="49"/>
      <c r="M12" s="44"/>
    </row>
    <row r="13" spans="1:14" ht="13" x14ac:dyDescent="0.25">
      <c r="A13" s="44"/>
      <c r="B13" s="50" t="s">
        <v>3</v>
      </c>
      <c r="C13" s="51">
        <v>2025.1</v>
      </c>
      <c r="D13" s="49"/>
      <c r="E13" s="49"/>
      <c r="F13" s="49"/>
      <c r="G13" s="49"/>
      <c r="H13" s="49"/>
      <c r="I13" s="49"/>
      <c r="J13" s="49"/>
      <c r="K13" s="49"/>
      <c r="L13" s="49"/>
      <c r="M13" s="54"/>
    </row>
    <row r="14" spans="1:14" ht="13" x14ac:dyDescent="0.25">
      <c r="A14" s="44"/>
      <c r="B14" s="50" t="s">
        <v>4</v>
      </c>
      <c r="C14" s="52">
        <v>45775</v>
      </c>
      <c r="D14" s="49"/>
      <c r="E14" s="49"/>
      <c r="F14" s="49"/>
      <c r="G14" s="49"/>
      <c r="H14" s="49"/>
      <c r="I14" s="49"/>
      <c r="J14" s="49"/>
      <c r="K14" s="49"/>
      <c r="L14" s="49"/>
      <c r="M14" s="54"/>
    </row>
    <row r="15" spans="1:14" x14ac:dyDescent="0.25">
      <c r="A15" s="44"/>
      <c r="B15" s="49"/>
      <c r="C15" s="49"/>
      <c r="D15" s="49"/>
      <c r="E15" s="49"/>
      <c r="F15" s="49"/>
      <c r="G15" s="49"/>
      <c r="H15" s="49"/>
      <c r="I15" s="49"/>
      <c r="J15" s="49"/>
      <c r="K15" s="49"/>
      <c r="L15" s="49"/>
      <c r="M15" s="54"/>
    </row>
    <row r="16" spans="1:14" ht="47.25" customHeight="1" x14ac:dyDescent="0.25">
      <c r="A16" s="44"/>
      <c r="B16" s="402" t="s">
        <v>5</v>
      </c>
      <c r="C16" s="402"/>
      <c r="D16" s="402"/>
      <c r="E16" s="402"/>
      <c r="F16" s="402"/>
      <c r="G16" s="402"/>
      <c r="H16" s="402"/>
      <c r="I16" s="402"/>
      <c r="J16" s="402"/>
      <c r="K16" s="402"/>
      <c r="L16" s="402"/>
      <c r="M16" s="44"/>
    </row>
    <row r="17" spans="1:13" ht="18" x14ac:dyDescent="0.25">
      <c r="A17" s="44"/>
      <c r="B17" s="403"/>
      <c r="C17" s="403"/>
      <c r="D17" s="403"/>
      <c r="E17" s="403"/>
      <c r="F17" s="403"/>
      <c r="G17" s="403"/>
      <c r="H17" s="403"/>
      <c r="I17" s="403"/>
      <c r="J17" s="403"/>
      <c r="K17" s="403"/>
      <c r="L17" s="403"/>
      <c r="M17" s="44"/>
    </row>
    <row r="18" spans="1:13" ht="18" x14ac:dyDescent="0.25">
      <c r="A18" s="44"/>
      <c r="B18" s="403" t="s">
        <v>6</v>
      </c>
      <c r="C18" s="403"/>
      <c r="D18" s="403"/>
      <c r="E18" s="403"/>
      <c r="F18" s="403"/>
      <c r="G18" s="403"/>
      <c r="H18" s="403"/>
      <c r="I18" s="403"/>
      <c r="J18" s="403"/>
      <c r="K18" s="403"/>
      <c r="L18" s="403"/>
      <c r="M18" s="44"/>
    </row>
    <row r="19" spans="1:13" ht="36" customHeight="1" x14ac:dyDescent="0.25">
      <c r="A19" s="44"/>
      <c r="B19" s="402" t="s">
        <v>7</v>
      </c>
      <c r="C19" s="402"/>
      <c r="D19" s="402"/>
      <c r="E19" s="402"/>
      <c r="F19" s="402"/>
      <c r="G19" s="402"/>
      <c r="H19" s="402"/>
      <c r="I19" s="402"/>
      <c r="J19" s="402"/>
      <c r="K19" s="402"/>
      <c r="L19" s="402"/>
      <c r="M19" s="42"/>
    </row>
    <row r="20" spans="1:13" ht="18" x14ac:dyDescent="0.25">
      <c r="A20" s="44"/>
      <c r="B20" s="403"/>
      <c r="C20" s="403"/>
      <c r="D20" s="403"/>
      <c r="E20" s="403"/>
      <c r="F20" s="403"/>
      <c r="G20" s="403"/>
      <c r="H20" s="403"/>
      <c r="I20" s="403"/>
      <c r="J20" s="403"/>
      <c r="K20" s="403"/>
      <c r="L20" s="403"/>
      <c r="M20" s="44"/>
    </row>
    <row r="21" spans="1:13" ht="18" x14ac:dyDescent="0.25">
      <c r="A21" s="44"/>
      <c r="B21" s="403" t="s">
        <v>8</v>
      </c>
      <c r="C21" s="403"/>
      <c r="D21" s="403"/>
      <c r="E21" s="403"/>
      <c r="F21" s="403"/>
      <c r="G21" s="403"/>
      <c r="H21" s="403"/>
      <c r="I21" s="403"/>
      <c r="J21" s="403"/>
      <c r="K21" s="403"/>
      <c r="L21" s="403"/>
      <c r="M21" s="44"/>
    </row>
    <row r="22" spans="1:13" x14ac:dyDescent="0.25">
      <c r="A22" s="44"/>
      <c r="B22" s="402" t="s">
        <v>9</v>
      </c>
      <c r="C22" s="402"/>
      <c r="D22" s="402"/>
      <c r="E22" s="402"/>
      <c r="F22" s="402"/>
      <c r="G22" s="402"/>
      <c r="H22" s="402"/>
      <c r="I22" s="402"/>
      <c r="J22" s="402"/>
      <c r="K22" s="402"/>
      <c r="L22" s="402"/>
      <c r="M22" s="44"/>
    </row>
    <row r="23" spans="1:13" ht="18" x14ac:dyDescent="0.25">
      <c r="A23" s="44"/>
      <c r="B23" s="403"/>
      <c r="C23" s="403"/>
      <c r="D23" s="403"/>
      <c r="E23" s="403"/>
      <c r="F23" s="403"/>
      <c r="G23" s="403"/>
      <c r="H23" s="403"/>
      <c r="I23" s="403"/>
      <c r="J23" s="403"/>
      <c r="K23" s="403"/>
      <c r="L23" s="403"/>
      <c r="M23" s="44"/>
    </row>
    <row r="24" spans="1:13" ht="15.5" x14ac:dyDescent="0.25">
      <c r="A24" s="44"/>
      <c r="B24" s="407" t="s">
        <v>10</v>
      </c>
      <c r="C24" s="407"/>
      <c r="D24" s="407"/>
      <c r="E24" s="407"/>
      <c r="F24" s="407"/>
      <c r="G24" s="407"/>
      <c r="H24" s="407"/>
      <c r="I24" s="407"/>
      <c r="J24" s="407"/>
      <c r="K24" s="407"/>
      <c r="L24" s="407"/>
      <c r="M24" s="44"/>
    </row>
    <row r="25" spans="1:13" ht="47.25" customHeight="1" x14ac:dyDescent="0.25">
      <c r="A25" s="44"/>
      <c r="B25" s="408" t="s">
        <v>11</v>
      </c>
      <c r="C25" s="408"/>
      <c r="D25" s="408"/>
      <c r="E25" s="408"/>
      <c r="F25" s="408"/>
      <c r="G25" s="408"/>
      <c r="H25" s="408"/>
      <c r="I25" s="408"/>
      <c r="J25" s="408"/>
      <c r="K25" s="408"/>
      <c r="L25" s="408"/>
      <c r="M25" s="44"/>
    </row>
    <row r="26" spans="1:13" x14ac:dyDescent="0.25">
      <c r="A26" s="44"/>
      <c r="B26" s="408"/>
      <c r="C26" s="408"/>
      <c r="D26" s="408"/>
      <c r="E26" s="408"/>
      <c r="F26" s="408"/>
      <c r="G26" s="408"/>
      <c r="H26" s="408"/>
      <c r="I26" s="408"/>
      <c r="J26" s="408"/>
      <c r="K26" s="408"/>
      <c r="L26" s="408"/>
      <c r="M26" s="44"/>
    </row>
    <row r="27" spans="1:13" ht="15.5" x14ac:dyDescent="0.25">
      <c r="A27" s="44"/>
      <c r="B27" s="407" t="s">
        <v>12</v>
      </c>
      <c r="C27" s="407"/>
      <c r="D27" s="407"/>
      <c r="E27" s="407"/>
      <c r="F27" s="407"/>
      <c r="G27" s="407"/>
      <c r="H27" s="407"/>
      <c r="I27" s="407"/>
      <c r="J27" s="407"/>
      <c r="K27" s="407"/>
      <c r="L27" s="407"/>
      <c r="M27" s="44"/>
    </row>
    <row r="28" spans="1:13" ht="34.5" customHeight="1" x14ac:dyDescent="0.25">
      <c r="A28" s="44"/>
      <c r="B28" s="408" t="s">
        <v>13</v>
      </c>
      <c r="C28" s="408"/>
      <c r="D28" s="408"/>
      <c r="E28" s="408"/>
      <c r="F28" s="408"/>
      <c r="G28" s="408"/>
      <c r="H28" s="408"/>
      <c r="I28" s="408"/>
      <c r="J28" s="408"/>
      <c r="K28" s="408"/>
      <c r="L28" s="408"/>
      <c r="M28" s="44"/>
    </row>
    <row r="29" spans="1:13" x14ac:dyDescent="0.25">
      <c r="A29" s="44"/>
      <c r="B29" s="408"/>
      <c r="C29" s="408"/>
      <c r="D29" s="408"/>
      <c r="E29" s="408"/>
      <c r="F29" s="408"/>
      <c r="G29" s="408"/>
      <c r="H29" s="408"/>
      <c r="I29" s="408"/>
      <c r="J29" s="408"/>
      <c r="K29" s="408"/>
      <c r="L29" s="408"/>
      <c r="M29" s="44"/>
    </row>
    <row r="30" spans="1:13" ht="15.5" x14ac:dyDescent="0.25">
      <c r="A30" s="44"/>
      <c r="B30" s="407" t="s">
        <v>14</v>
      </c>
      <c r="C30" s="407"/>
      <c r="D30" s="407"/>
      <c r="E30" s="407"/>
      <c r="F30" s="407"/>
      <c r="G30" s="407"/>
      <c r="H30" s="407"/>
      <c r="I30" s="407"/>
      <c r="J30" s="407"/>
      <c r="K30" s="407"/>
      <c r="L30" s="407"/>
      <c r="M30" s="44"/>
    </row>
    <row r="31" spans="1:13" ht="35.25" customHeight="1" x14ac:dyDescent="0.25">
      <c r="A31" s="44"/>
      <c r="B31" s="406" t="s">
        <v>15</v>
      </c>
      <c r="C31" s="406"/>
      <c r="D31" s="406"/>
      <c r="E31" s="406"/>
      <c r="F31" s="406"/>
      <c r="G31" s="406"/>
      <c r="H31" s="406"/>
      <c r="I31" s="406"/>
      <c r="J31" s="406"/>
      <c r="K31" s="406"/>
      <c r="L31" s="406"/>
      <c r="M31" s="44"/>
    </row>
    <row r="32" spans="1:13" x14ac:dyDescent="0.25">
      <c r="A32" s="44"/>
      <c r="B32" s="409"/>
      <c r="C32" s="409"/>
      <c r="D32" s="409"/>
      <c r="E32" s="409"/>
      <c r="F32" s="409"/>
      <c r="G32" s="409"/>
      <c r="H32" s="409"/>
      <c r="I32" s="409"/>
      <c r="J32" s="409"/>
      <c r="K32" s="409"/>
      <c r="L32" s="409"/>
      <c r="M32" s="44"/>
    </row>
    <row r="33" spans="1:13" ht="15.5" x14ac:dyDescent="0.25">
      <c r="A33" s="44"/>
      <c r="B33" s="407" t="s">
        <v>16</v>
      </c>
      <c r="C33" s="407"/>
      <c r="D33" s="407"/>
      <c r="E33" s="407"/>
      <c r="F33" s="407"/>
      <c r="G33" s="407"/>
      <c r="H33" s="407"/>
      <c r="I33" s="407"/>
      <c r="J33" s="407"/>
      <c r="K33" s="407"/>
      <c r="L33" s="407"/>
      <c r="M33" s="44"/>
    </row>
    <row r="34" spans="1:13" x14ac:dyDescent="0.25">
      <c r="A34" s="44"/>
      <c r="B34" s="406" t="s">
        <v>17</v>
      </c>
      <c r="C34" s="406"/>
      <c r="D34" s="406"/>
      <c r="E34" s="406"/>
      <c r="F34" s="406"/>
      <c r="G34" s="406"/>
      <c r="H34" s="406"/>
      <c r="I34" s="406"/>
      <c r="J34" s="406"/>
      <c r="K34" s="406"/>
      <c r="L34" s="406"/>
      <c r="M34" s="44"/>
    </row>
    <row r="35" spans="1:13" x14ac:dyDescent="0.25">
      <c r="A35" s="44"/>
      <c r="B35" s="409"/>
      <c r="C35" s="409"/>
      <c r="D35" s="409"/>
      <c r="E35" s="409"/>
      <c r="F35" s="409"/>
      <c r="G35" s="409"/>
      <c r="H35" s="409"/>
      <c r="I35" s="409"/>
      <c r="J35" s="409"/>
      <c r="K35" s="409"/>
      <c r="L35" s="409"/>
      <c r="M35" s="44"/>
    </row>
    <row r="36" spans="1:13" ht="15.5" x14ac:dyDescent="0.25">
      <c r="A36" s="44"/>
      <c r="B36" s="407" t="s">
        <v>18</v>
      </c>
      <c r="C36" s="407"/>
      <c r="D36" s="407"/>
      <c r="E36" s="407"/>
      <c r="F36" s="407"/>
      <c r="G36" s="407"/>
      <c r="H36" s="407"/>
      <c r="I36" s="407"/>
      <c r="J36" s="407"/>
      <c r="K36" s="407"/>
      <c r="L36" s="407"/>
      <c r="M36" s="44"/>
    </row>
    <row r="37" spans="1:13" ht="58.5" customHeight="1" x14ac:dyDescent="0.25">
      <c r="A37" s="44"/>
      <c r="B37" s="408" t="s">
        <v>19</v>
      </c>
      <c r="C37" s="408"/>
      <c r="D37" s="408"/>
      <c r="E37" s="408"/>
      <c r="F37" s="408"/>
      <c r="G37" s="408"/>
      <c r="H37" s="408"/>
      <c r="I37" s="408"/>
      <c r="J37" s="408"/>
      <c r="K37" s="408"/>
      <c r="L37" s="408"/>
      <c r="M37" s="44"/>
    </row>
    <row r="38" spans="1:13" x14ac:dyDescent="0.25">
      <c r="A38" s="44"/>
      <c r="B38" s="410"/>
      <c r="C38" s="410"/>
      <c r="D38" s="410"/>
      <c r="E38" s="410"/>
      <c r="F38" s="410"/>
      <c r="G38" s="410"/>
      <c r="H38" s="410"/>
      <c r="I38" s="410"/>
      <c r="J38" s="410"/>
      <c r="K38" s="410"/>
      <c r="L38" s="410"/>
      <c r="M38" s="44"/>
    </row>
    <row r="39" spans="1:13" ht="18" x14ac:dyDescent="0.25">
      <c r="A39" s="44"/>
      <c r="B39" s="411"/>
      <c r="C39" s="411"/>
      <c r="D39" s="411"/>
      <c r="E39" s="411"/>
      <c r="F39" s="411"/>
      <c r="G39" s="411"/>
      <c r="H39" s="411"/>
      <c r="I39" s="411"/>
      <c r="J39" s="411"/>
      <c r="K39" s="411"/>
      <c r="L39" s="411"/>
      <c r="M39" s="44"/>
    </row>
    <row r="40" spans="1:13" ht="18" x14ac:dyDescent="0.25">
      <c r="A40" s="44"/>
      <c r="B40" s="403" t="s">
        <v>20</v>
      </c>
      <c r="C40" s="403"/>
      <c r="D40" s="403"/>
      <c r="E40" s="403"/>
      <c r="F40" s="403"/>
      <c r="G40" s="403"/>
      <c r="H40" s="403"/>
      <c r="I40" s="403"/>
      <c r="J40" s="403"/>
      <c r="K40" s="403"/>
      <c r="L40" s="403"/>
      <c r="M40" s="44"/>
    </row>
    <row r="41" spans="1:13" x14ac:dyDescent="0.25">
      <c r="A41" s="44"/>
      <c r="B41" s="402" t="s">
        <v>21</v>
      </c>
      <c r="C41" s="402"/>
      <c r="D41" s="402"/>
      <c r="E41" s="402"/>
      <c r="F41" s="402"/>
      <c r="G41" s="402"/>
      <c r="H41" s="402"/>
      <c r="I41" s="402"/>
      <c r="J41" s="402"/>
      <c r="K41" s="402"/>
      <c r="L41" s="402"/>
      <c r="M41" s="44"/>
    </row>
    <row r="42" spans="1:13" ht="18" x14ac:dyDescent="0.25">
      <c r="A42" s="44"/>
      <c r="B42" s="403"/>
      <c r="C42" s="403"/>
      <c r="D42" s="403"/>
      <c r="E42" s="403"/>
      <c r="F42" s="403"/>
      <c r="G42" s="403"/>
      <c r="H42" s="403"/>
      <c r="I42" s="403"/>
      <c r="J42" s="403"/>
      <c r="K42" s="403"/>
      <c r="L42" s="403"/>
      <c r="M42" s="44"/>
    </row>
    <row r="43" spans="1:13" ht="15.75" customHeight="1" x14ac:dyDescent="0.25">
      <c r="A43" s="44"/>
      <c r="B43" s="407" t="s">
        <v>22</v>
      </c>
      <c r="C43" s="407"/>
      <c r="D43" s="407"/>
      <c r="E43" s="407"/>
      <c r="F43" s="407"/>
      <c r="G43" s="407"/>
      <c r="H43" s="407"/>
      <c r="I43" s="407"/>
      <c r="J43" s="407"/>
      <c r="K43" s="407"/>
      <c r="L43" s="407"/>
      <c r="M43" s="44"/>
    </row>
    <row r="44" spans="1:13" ht="47.25" customHeight="1" x14ac:dyDescent="0.25">
      <c r="A44" s="44"/>
      <c r="B44" s="408" t="s">
        <v>23</v>
      </c>
      <c r="C44" s="408"/>
      <c r="D44" s="408"/>
      <c r="E44" s="408"/>
      <c r="F44" s="408"/>
      <c r="G44" s="408"/>
      <c r="H44" s="408"/>
      <c r="I44" s="408"/>
      <c r="J44" s="408"/>
      <c r="K44" s="408"/>
      <c r="L44" s="408"/>
      <c r="M44" s="44"/>
    </row>
    <row r="45" spans="1:13" ht="12.75" customHeight="1" x14ac:dyDescent="0.25">
      <c r="A45" s="44"/>
      <c r="B45" s="409"/>
      <c r="C45" s="409"/>
      <c r="D45" s="409"/>
      <c r="E45" s="409"/>
      <c r="F45" s="409"/>
      <c r="G45" s="409"/>
      <c r="H45" s="409"/>
      <c r="I45" s="409"/>
      <c r="J45" s="409"/>
      <c r="K45" s="409"/>
      <c r="L45" s="409"/>
      <c r="M45" s="44"/>
    </row>
    <row r="46" spans="1:13" ht="15.5" x14ac:dyDescent="0.25">
      <c r="A46" s="44"/>
      <c r="B46" s="407" t="s">
        <v>24</v>
      </c>
      <c r="C46" s="407"/>
      <c r="D46" s="407"/>
      <c r="E46" s="407"/>
      <c r="F46" s="407"/>
      <c r="G46" s="407"/>
      <c r="H46" s="407"/>
      <c r="I46" s="407"/>
      <c r="J46" s="407"/>
      <c r="K46" s="407"/>
      <c r="L46" s="407"/>
      <c r="M46" s="44"/>
    </row>
    <row r="47" spans="1:13" ht="48.75" customHeight="1" x14ac:dyDescent="0.25">
      <c r="A47" s="44"/>
      <c r="B47" s="408" t="s">
        <v>25</v>
      </c>
      <c r="C47" s="408"/>
      <c r="D47" s="408"/>
      <c r="E47" s="408"/>
      <c r="F47" s="408"/>
      <c r="G47" s="408"/>
      <c r="H47" s="408"/>
      <c r="I47" s="408"/>
      <c r="J47" s="408"/>
      <c r="K47" s="408"/>
      <c r="L47" s="408"/>
      <c r="M47" s="44"/>
    </row>
    <row r="48" spans="1:13" x14ac:dyDescent="0.25">
      <c r="A48" s="44"/>
      <c r="B48" s="408"/>
      <c r="C48" s="408"/>
      <c r="D48" s="408"/>
      <c r="E48" s="408"/>
      <c r="F48" s="408"/>
      <c r="G48" s="408"/>
      <c r="H48" s="408"/>
      <c r="I48" s="408"/>
      <c r="J48" s="408"/>
      <c r="K48" s="408"/>
      <c r="L48" s="408"/>
      <c r="M48" s="44"/>
    </row>
    <row r="49" spans="1:13" ht="15.5" x14ac:dyDescent="0.25">
      <c r="A49" s="44"/>
      <c r="B49" s="407" t="s">
        <v>26</v>
      </c>
      <c r="C49" s="407"/>
      <c r="D49" s="407"/>
      <c r="E49" s="407"/>
      <c r="F49" s="407"/>
      <c r="G49" s="407"/>
      <c r="H49" s="407"/>
      <c r="I49" s="407"/>
      <c r="J49" s="407"/>
      <c r="K49" s="407"/>
      <c r="L49" s="407"/>
      <c r="M49" s="44"/>
    </row>
    <row r="50" spans="1:13" ht="46.5" customHeight="1" x14ac:dyDescent="0.25">
      <c r="A50" s="44"/>
      <c r="B50" s="408" t="s">
        <v>27</v>
      </c>
      <c r="C50" s="408"/>
      <c r="D50" s="408"/>
      <c r="E50" s="408"/>
      <c r="F50" s="408"/>
      <c r="G50" s="408"/>
      <c r="H50" s="408"/>
      <c r="I50" s="408"/>
      <c r="J50" s="408"/>
      <c r="K50" s="408"/>
      <c r="L50" s="408"/>
      <c r="M50" s="44"/>
    </row>
    <row r="51" spans="1:13" x14ac:dyDescent="0.25">
      <c r="A51" s="44"/>
      <c r="B51" s="408"/>
      <c r="C51" s="408"/>
      <c r="D51" s="408"/>
      <c r="E51" s="408"/>
      <c r="F51" s="408"/>
      <c r="G51" s="408"/>
      <c r="H51" s="408"/>
      <c r="I51" s="408"/>
      <c r="J51" s="408"/>
      <c r="K51" s="408"/>
      <c r="L51" s="408"/>
      <c r="M51" s="44"/>
    </row>
    <row r="52" spans="1:13" ht="15.5" x14ac:dyDescent="0.25">
      <c r="B52" s="407" t="s">
        <v>28</v>
      </c>
      <c r="C52" s="407"/>
      <c r="D52" s="407"/>
      <c r="E52" s="407"/>
      <c r="F52" s="407"/>
      <c r="G52" s="407"/>
      <c r="H52" s="407"/>
      <c r="I52" s="407"/>
      <c r="J52" s="407"/>
      <c r="K52" s="407"/>
      <c r="L52" s="407"/>
    </row>
    <row r="53" spans="1:13" x14ac:dyDescent="0.25">
      <c r="B53" s="408" t="s">
        <v>29</v>
      </c>
      <c r="C53" s="408"/>
      <c r="D53" s="408"/>
      <c r="E53" s="408"/>
      <c r="F53" s="408"/>
      <c r="G53" s="408"/>
      <c r="H53" s="408"/>
      <c r="I53" s="408"/>
      <c r="J53" s="408"/>
      <c r="K53" s="408"/>
      <c r="L53" s="408"/>
    </row>
    <row r="54" spans="1:13" x14ac:dyDescent="0.25">
      <c r="B54" s="409"/>
      <c r="C54" s="409"/>
      <c r="D54" s="409"/>
      <c r="E54" s="409"/>
      <c r="F54" s="409"/>
      <c r="G54" s="409"/>
      <c r="H54" s="409"/>
      <c r="I54" s="409"/>
      <c r="J54" s="409"/>
      <c r="K54" s="409"/>
      <c r="L54" s="409"/>
    </row>
    <row r="55" spans="1:13" ht="15.5" x14ac:dyDescent="0.25">
      <c r="B55" s="407" t="s">
        <v>30</v>
      </c>
      <c r="C55" s="407"/>
      <c r="D55" s="407"/>
      <c r="E55" s="407"/>
      <c r="F55" s="407"/>
      <c r="G55" s="407"/>
      <c r="H55" s="407"/>
      <c r="I55" s="407"/>
      <c r="J55" s="407"/>
      <c r="K55" s="407"/>
      <c r="L55" s="407"/>
    </row>
    <row r="56" spans="1:13" ht="58.5" customHeight="1" x14ac:dyDescent="0.25">
      <c r="B56" s="408" t="s">
        <v>31</v>
      </c>
      <c r="C56" s="408"/>
      <c r="D56" s="408"/>
      <c r="E56" s="408"/>
      <c r="F56" s="408"/>
      <c r="G56" s="408"/>
      <c r="H56" s="408"/>
      <c r="I56" s="408"/>
      <c r="J56" s="408"/>
      <c r="K56" s="408"/>
      <c r="L56" s="408"/>
    </row>
    <row r="57" spans="1:13" x14ac:dyDescent="0.25">
      <c r="B57" s="408"/>
      <c r="C57" s="408"/>
      <c r="D57" s="408"/>
      <c r="E57" s="408"/>
      <c r="F57" s="408"/>
      <c r="G57" s="408"/>
      <c r="H57" s="408"/>
      <c r="I57" s="408"/>
      <c r="J57" s="408"/>
      <c r="K57" s="408"/>
      <c r="L57" s="408"/>
    </row>
    <row r="58" spans="1:13" ht="15.5" x14ac:dyDescent="0.25">
      <c r="B58" s="407" t="s">
        <v>32</v>
      </c>
      <c r="C58" s="407"/>
      <c r="D58" s="407"/>
      <c r="E58" s="407"/>
      <c r="F58" s="407"/>
      <c r="G58" s="407"/>
      <c r="H58" s="407"/>
      <c r="I58" s="407"/>
      <c r="J58" s="407"/>
      <c r="K58" s="407"/>
      <c r="L58" s="407"/>
    </row>
    <row r="59" spans="1:13" ht="12.75" customHeight="1" x14ac:dyDescent="0.25">
      <c r="B59" s="408" t="s">
        <v>33</v>
      </c>
      <c r="C59" s="408"/>
      <c r="D59" s="408"/>
      <c r="E59" s="408"/>
      <c r="F59" s="408"/>
      <c r="G59" s="408"/>
      <c r="H59" s="408"/>
      <c r="I59" s="408"/>
      <c r="J59" s="408"/>
      <c r="K59" s="408"/>
      <c r="L59" s="408"/>
    </row>
    <row r="60" spans="1:13" x14ac:dyDescent="0.25">
      <c r="B60" s="408"/>
      <c r="C60" s="408"/>
      <c r="D60" s="408"/>
      <c r="E60" s="408"/>
      <c r="F60" s="408"/>
      <c r="G60" s="408"/>
      <c r="H60" s="408"/>
      <c r="I60" s="408"/>
      <c r="J60" s="408"/>
      <c r="K60" s="408"/>
      <c r="L60" s="408"/>
    </row>
    <row r="61" spans="1:13" ht="15.5" x14ac:dyDescent="0.25">
      <c r="B61" s="407" t="s">
        <v>34</v>
      </c>
      <c r="C61" s="407"/>
      <c r="D61" s="407"/>
      <c r="E61" s="407"/>
      <c r="F61" s="407"/>
      <c r="G61" s="407"/>
      <c r="H61" s="407"/>
      <c r="I61" s="407"/>
      <c r="J61" s="407"/>
      <c r="K61" s="407"/>
      <c r="L61" s="407"/>
    </row>
    <row r="62" spans="1:13" ht="12.75" customHeight="1" x14ac:dyDescent="0.25">
      <c r="B62" s="408" t="s">
        <v>35</v>
      </c>
      <c r="C62" s="408"/>
      <c r="D62" s="408"/>
      <c r="E62" s="408"/>
      <c r="F62" s="408"/>
      <c r="G62" s="408"/>
      <c r="H62" s="408"/>
      <c r="I62" s="408"/>
      <c r="J62" s="408"/>
      <c r="K62" s="408"/>
      <c r="L62" s="408"/>
    </row>
    <row r="63" spans="1:13" x14ac:dyDescent="0.25">
      <c r="B63" s="408"/>
      <c r="C63" s="408"/>
      <c r="D63" s="408"/>
      <c r="E63" s="408"/>
      <c r="F63" s="408"/>
      <c r="G63" s="408"/>
      <c r="H63" s="408"/>
      <c r="I63" s="408"/>
      <c r="J63" s="408"/>
      <c r="K63" s="408"/>
      <c r="L63" s="408"/>
    </row>
    <row r="64" spans="1:13" ht="15.5" x14ac:dyDescent="0.25">
      <c r="B64" s="407" t="s">
        <v>36</v>
      </c>
      <c r="C64" s="407"/>
      <c r="D64" s="407"/>
      <c r="E64" s="407"/>
      <c r="F64" s="407"/>
      <c r="G64" s="407"/>
      <c r="H64" s="407"/>
      <c r="I64" s="407"/>
      <c r="J64" s="407"/>
      <c r="K64" s="407"/>
      <c r="L64" s="407"/>
    </row>
    <row r="65" spans="2:12" ht="36.75" customHeight="1" x14ac:dyDescent="0.25">
      <c r="B65" s="408" t="s">
        <v>37</v>
      </c>
      <c r="C65" s="408"/>
      <c r="D65" s="408"/>
      <c r="E65" s="408"/>
      <c r="F65" s="408"/>
      <c r="G65" s="408"/>
      <c r="H65" s="408"/>
      <c r="I65" s="408"/>
      <c r="J65" s="408"/>
      <c r="K65" s="408"/>
      <c r="L65" s="408"/>
    </row>
    <row r="66" spans="2:12" x14ac:dyDescent="0.25">
      <c r="B66" s="409"/>
      <c r="C66" s="409"/>
      <c r="D66" s="409"/>
      <c r="E66" s="409"/>
      <c r="F66" s="409"/>
      <c r="G66" s="409"/>
      <c r="H66" s="409"/>
      <c r="I66" s="409"/>
      <c r="J66" s="409"/>
      <c r="K66" s="409"/>
      <c r="L66" s="409"/>
    </row>
    <row r="67" spans="2:12" ht="15.5" x14ac:dyDescent="0.25">
      <c r="B67" s="407" t="s">
        <v>38</v>
      </c>
      <c r="C67" s="407"/>
      <c r="D67" s="407"/>
      <c r="E67" s="407"/>
      <c r="F67" s="407"/>
      <c r="G67" s="407"/>
      <c r="H67" s="407"/>
      <c r="I67" s="407"/>
      <c r="J67" s="407"/>
      <c r="K67" s="407"/>
      <c r="L67" s="407"/>
    </row>
    <row r="68" spans="2:12" x14ac:dyDescent="0.25">
      <c r="B68" s="408" t="s">
        <v>39</v>
      </c>
      <c r="C68" s="408"/>
      <c r="D68" s="408"/>
      <c r="E68" s="408"/>
      <c r="F68" s="408"/>
      <c r="G68" s="408"/>
      <c r="H68" s="408"/>
      <c r="I68" s="408"/>
      <c r="J68" s="408"/>
      <c r="K68" s="408"/>
      <c r="L68" s="408"/>
    </row>
    <row r="70" spans="2:12" ht="18" x14ac:dyDescent="0.25">
      <c r="B70" s="403" t="s">
        <v>40</v>
      </c>
      <c r="C70" s="403"/>
      <c r="D70" s="403"/>
      <c r="E70" s="403"/>
      <c r="F70" s="403"/>
      <c r="G70" s="403"/>
      <c r="H70" s="403"/>
      <c r="I70" s="403"/>
      <c r="J70" s="403"/>
      <c r="K70" s="403"/>
      <c r="L70" s="403"/>
    </row>
    <row r="71" spans="2:12" ht="324" customHeight="1" x14ac:dyDescent="0.25">
      <c r="B71" s="402" t="s">
        <v>41</v>
      </c>
      <c r="C71" s="402"/>
      <c r="D71" s="402"/>
      <c r="E71" s="402"/>
      <c r="F71" s="402"/>
      <c r="G71" s="402"/>
      <c r="H71" s="402"/>
      <c r="I71" s="402"/>
      <c r="J71" s="402"/>
      <c r="K71" s="402"/>
      <c r="L71" s="402"/>
    </row>
  </sheetData>
  <mergeCells count="58">
    <mergeCell ref="B68:L68"/>
    <mergeCell ref="B17:L17"/>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L44"/>
    <mergeCell ref="B45:L45"/>
    <mergeCell ref="B46:L46"/>
    <mergeCell ref="B47:L47"/>
    <mergeCell ref="B48:L48"/>
    <mergeCell ref="B49:L49"/>
    <mergeCell ref="B27:L27"/>
    <mergeCell ref="B28:L28"/>
    <mergeCell ref="B29:L29"/>
    <mergeCell ref="B30:L30"/>
    <mergeCell ref="B43:L43"/>
    <mergeCell ref="B32:L32"/>
    <mergeCell ref="B33:L33"/>
    <mergeCell ref="B34:L34"/>
    <mergeCell ref="B35:L35"/>
    <mergeCell ref="B36:L36"/>
    <mergeCell ref="B37:L37"/>
    <mergeCell ref="B38:L38"/>
    <mergeCell ref="B39:L39"/>
    <mergeCell ref="B40:L40"/>
    <mergeCell ref="B41:L41"/>
    <mergeCell ref="B42:L42"/>
    <mergeCell ref="B19:L19"/>
    <mergeCell ref="B70:L70"/>
    <mergeCell ref="B71:L71"/>
    <mergeCell ref="K1:L6"/>
    <mergeCell ref="B8:M8"/>
    <mergeCell ref="B11:L11"/>
    <mergeCell ref="B16:L16"/>
    <mergeCell ref="B18:L18"/>
    <mergeCell ref="B31:L31"/>
    <mergeCell ref="B20:L20"/>
    <mergeCell ref="B21:L21"/>
    <mergeCell ref="B22:L22"/>
    <mergeCell ref="B23:L23"/>
    <mergeCell ref="B24:L24"/>
    <mergeCell ref="B25:L25"/>
    <mergeCell ref="B26:L26"/>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7A57-3B28-42D2-A90A-E21B91D08BE4}">
  <sheetPr codeName="Sheet29">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16384" width="9.1796875" style="132"/>
  </cols>
  <sheetData>
    <row r="1" spans="1:8" ht="13" x14ac:dyDescent="0.25">
      <c r="A1" s="202" t="str">
        <f>B16</f>
        <v>Aluminium cladding</v>
      </c>
    </row>
    <row r="2" spans="1:8" ht="13" x14ac:dyDescent="0.25">
      <c r="A2" s="202"/>
    </row>
    <row r="3" spans="1:8" ht="13" x14ac:dyDescent="0.3">
      <c r="A3" s="227" t="s">
        <v>5626</v>
      </c>
      <c r="B3" s="132" t="s">
        <v>5645</v>
      </c>
    </row>
    <row r="4" spans="1:8" ht="13" x14ac:dyDescent="0.25">
      <c r="A4" s="202"/>
    </row>
    <row r="5" spans="1:8" ht="73.5" customHeight="1" x14ac:dyDescent="0.3">
      <c r="A5" s="227" t="s">
        <v>5628</v>
      </c>
      <c r="B5" s="200" t="s">
        <v>5646</v>
      </c>
    </row>
    <row r="6" spans="1:8" ht="13" x14ac:dyDescent="0.3">
      <c r="A6" s="227" t="s">
        <v>5630</v>
      </c>
      <c r="B6" s="201" t="s">
        <v>73</v>
      </c>
    </row>
    <row r="7" spans="1:8" ht="13" x14ac:dyDescent="0.3">
      <c r="A7" s="227" t="s">
        <v>5631</v>
      </c>
      <c r="B7" s="201" t="s">
        <v>74</v>
      </c>
    </row>
    <row r="8" spans="1:8" ht="13" x14ac:dyDescent="0.3">
      <c r="A8" s="227" t="s">
        <v>5632</v>
      </c>
      <c r="B8" s="201" t="s">
        <v>74</v>
      </c>
    </row>
    <row r="9" spans="1:8" ht="13" x14ac:dyDescent="0.3">
      <c r="A9" s="227" t="s">
        <v>5633</v>
      </c>
      <c r="B9" s="202" t="s">
        <v>74</v>
      </c>
    </row>
    <row r="10" spans="1:8" ht="25.5" x14ac:dyDescent="0.3">
      <c r="A10" s="227"/>
      <c r="B10" s="200" t="s">
        <v>5647</v>
      </c>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2827</v>
      </c>
      <c r="C16" s="311" t="s">
        <v>24</v>
      </c>
      <c r="D16" s="208" t="s">
        <v>146</v>
      </c>
      <c r="E16" s="209" t="s">
        <v>153</v>
      </c>
      <c r="F16" s="208" t="s">
        <v>147</v>
      </c>
      <c r="G16" s="208" t="s">
        <v>154</v>
      </c>
      <c r="H16" s="131"/>
    </row>
    <row r="17" spans="1:8" ht="13" x14ac:dyDescent="0.3">
      <c r="A17" s="133"/>
      <c r="B17" s="317"/>
      <c r="C17" s="206" t="s">
        <v>5636</v>
      </c>
      <c r="D17" s="207" t="str" cm="1">
        <f t="array" ref="D17">IF(AND(_xlfn.ANCHORARRAY(C23)=C23),C23,"Mixed")</f>
        <v>kg</v>
      </c>
      <c r="E17" s="207" t="s">
        <v>2774</v>
      </c>
      <c r="F17" s="207" t="str" cm="1">
        <f t="array" ref="F17">IF(AND(_xlfn.ANCHORARRAY(C23)=C23),C23,"Mixed")</f>
        <v>kg</v>
      </c>
      <c r="G17" s="318" t="s">
        <v>2774</v>
      </c>
      <c r="H17" s="131"/>
    </row>
    <row r="18" spans="1:8" s="200" customFormat="1" ht="13" x14ac:dyDescent="0.3">
      <c r="A18" s="221"/>
      <c r="B18" s="214"/>
      <c r="C18" s="202" t="s">
        <v>5637</v>
      </c>
      <c r="D18" s="198">
        <f t="shared" ref="D18:G18" si="0">MAX(_xlfn.ANCHORARRAY(D23))</f>
        <v>17.357723577235774</v>
      </c>
      <c r="E18" s="198">
        <f t="shared" si="0"/>
        <v>17.357723577235774</v>
      </c>
      <c r="F18" s="198">
        <f t="shared" si="0"/>
        <v>0</v>
      </c>
      <c r="G18" s="215">
        <f t="shared" si="0"/>
        <v>0</v>
      </c>
      <c r="H18" s="131"/>
    </row>
    <row r="19" spans="1:8" ht="13" x14ac:dyDescent="0.25">
      <c r="A19" s="133"/>
      <c r="B19" s="204"/>
      <c r="C19" s="202" t="s">
        <v>5638</v>
      </c>
      <c r="D19" s="198">
        <f>MIN(_xlfn.ANCHORARRAY(D23))</f>
        <v>5.4803333333333333</v>
      </c>
      <c r="E19" s="198">
        <f t="shared" ref="E19:G19" si="1">MIN(_xlfn.ANCHORARRAY(E23))</f>
        <v>5.4803333333333333</v>
      </c>
      <c r="F19" s="198">
        <f t="shared" si="1"/>
        <v>0</v>
      </c>
      <c r="G19" s="215">
        <f t="shared" si="1"/>
        <v>0</v>
      </c>
      <c r="H19" s="131"/>
    </row>
    <row r="20" spans="1:8" ht="13" x14ac:dyDescent="0.25">
      <c r="A20" s="133"/>
      <c r="B20" s="204"/>
      <c r="C20" s="202" t="s">
        <v>5639</v>
      </c>
      <c r="D20" s="198">
        <f>AVERAGE(_xlfn.ANCHORARRAY(D23))</f>
        <v>11.812553252032522</v>
      </c>
      <c r="E20" s="198">
        <f t="shared" ref="E20:G20" si="2">AVERAGE(_xlfn.ANCHORARRAY(E23))</f>
        <v>11.812553252032522</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26">_xlfn.UNIQUE(_xlfn._xlws.FILTER('EPD List'!D:D,ISNUMBER(SEARCH(B16,'EPD List'!C:C)),0))</f>
        <v>Aluminium cladding, , Alumigard plus 0.90mm (Colorcote) (New Zealand)</v>
      </c>
      <c r="C23" s="132" t="str" cm="1">
        <f t="array" ref="C23:C26">_xlfn.IFNA(INDEX('EPD List'!$A:$AB,MATCH(_xlfn.ANCHORARRAY(B23),'EPD List'!$D:$D,0),MATCH(C$16,'EPD List'!$7:$7,0)),"")</f>
        <v>kg</v>
      </c>
      <c r="D23" s="198" cm="1">
        <f t="array" ref="D23:D26">_xlfn.IFNA(VALUE((INDEX('EPD List'!$A:$AD,MATCH(_xlfn.ANCHORARRAY($B23),'EPD List'!$D:$D,0),MATCH(D$16,'EPD List'!$7:$7,0)))),"")</f>
        <v>17.357723577235774</v>
      </c>
      <c r="E23" s="198" cm="1">
        <f t="array" ref="E23:E26">_xlfn.IFNA(VALUE((INDEX('EPD List'!$A:$AD,MATCH(_xlfn.ANCHORARRAY($B23),'EPD List'!$D:$D,0),MATCH(E$16,'EPD List'!$7:$7,0)))),"")</f>
        <v>17.357723577235774</v>
      </c>
      <c r="F23" s="198" cm="1">
        <f t="array" ref="F23:F26">_xlfn.IFNA(VALUE((INDEX('EPD List'!$A:$AD,MATCH(_xlfn.ANCHORARRAY($B23),'EPD List'!$D:$D,0),MATCH(F$16,'EPD List'!$7:$7,0)))),"")</f>
        <v>0</v>
      </c>
      <c r="G23" s="215" cm="1">
        <f t="array" ref="G23:G26">_xlfn.IFNA(VALUE((INDEX('EPD List'!$A:$AD,MATCH(_xlfn.ANCHORARRAY($B23),'EPD List'!$D:$D,0),MATCH(G$16,'EPD List'!$7:$7,0)))),"")</f>
        <v>0</v>
      </c>
      <c r="H23" s="131"/>
    </row>
    <row r="24" spans="1:8" x14ac:dyDescent="0.25">
      <c r="A24" s="133"/>
      <c r="B24" s="204" t="str">
        <v>Aluminium cladding, , Alumigard 0.90mm (Colorcote) (New Zealand)</v>
      </c>
      <c r="C24" s="132" t="str">
        <v>kg</v>
      </c>
      <c r="D24" s="198">
        <v>17.276422764227643</v>
      </c>
      <c r="E24" s="198">
        <v>17.276422764227643</v>
      </c>
      <c r="F24" s="198">
        <v>0</v>
      </c>
      <c r="G24" s="215">
        <v>0</v>
      </c>
      <c r="H24" s="131"/>
    </row>
    <row r="25" spans="1:8" x14ac:dyDescent="0.25">
      <c r="A25" s="133"/>
      <c r="B25" s="204" t="str">
        <v>Aluminium cladding, , Aluminium cladding - anodised - Boards Ripple-200 (Nu-Wall) (Global)</v>
      </c>
      <c r="C25" s="132" t="str">
        <v>kg</v>
      </c>
      <c r="D25" s="198">
        <v>7.1357333333333344</v>
      </c>
      <c r="E25" s="198">
        <v>7.1357333333333344</v>
      </c>
      <c r="F25" s="198">
        <v>0</v>
      </c>
      <c r="G25" s="215">
        <v>0</v>
      </c>
      <c r="H25" s="131"/>
    </row>
    <row r="26" spans="1:8" x14ac:dyDescent="0.25">
      <c r="A26" s="133"/>
      <c r="B26" s="217" t="str">
        <v>Aluminium cladding, , Aluminium cladding - powder coated - Boards Ripple-200 (Nu-Wall) (Global)</v>
      </c>
      <c r="C26" s="218" t="str">
        <v>kg</v>
      </c>
      <c r="D26" s="219">
        <v>5.4803333333333333</v>
      </c>
      <c r="E26" s="219">
        <v>5.4803333333333333</v>
      </c>
      <c r="F26" s="219">
        <v>0</v>
      </c>
      <c r="G26" s="220">
        <v>0</v>
      </c>
      <c r="H26" s="131"/>
    </row>
    <row r="27" spans="1:8" x14ac:dyDescent="0.25">
      <c r="B27" s="130"/>
      <c r="C27" s="130"/>
      <c r="D27" s="207"/>
      <c r="E27" s="207"/>
      <c r="F27" s="207"/>
      <c r="G27" s="207"/>
    </row>
    <row r="90" spans="9:9" x14ac:dyDescent="0.25">
      <c r="I90" s="198"/>
    </row>
  </sheetData>
  <dataValidations count="1">
    <dataValidation type="list" allowBlank="1" showInputMessage="1" showErrorMessage="1" sqref="B6:B9" xr:uid="{93EDCF1C-832E-4BD8-BADB-148897A148C7}">
      <formula1>"Tier 1,Tier 2,Tier 3,Tier 4"</formula1>
    </dataValidation>
  </dataValidation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E098-2B56-44BD-A77C-598205CE3F0E}">
  <sheetPr codeName="Sheet104">
    <tabColor rgb="FF00CCFF"/>
  </sheetPr>
  <dimension ref="A1:S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0" width="9.1796875" style="132"/>
    <col min="11" max="11" width="31.1796875" style="132" customWidth="1"/>
    <col min="12" max="12" width="53.453125" style="132" customWidth="1"/>
    <col min="13" max="13" width="42.54296875" style="132" customWidth="1"/>
    <col min="14" max="17" width="9.1796875" style="132"/>
    <col min="18" max="18" width="68.54296875" style="132" customWidth="1"/>
    <col min="19" max="16384" width="9.1796875" style="132"/>
  </cols>
  <sheetData>
    <row r="1" spans="1:19" ht="13" x14ac:dyDescent="0.25">
      <c r="A1" s="202" t="str">
        <f>B16</f>
        <v>Aluminium extruded uncoated</v>
      </c>
    </row>
    <row r="2" spans="1:19" ht="13" x14ac:dyDescent="0.25">
      <c r="A2" s="202"/>
      <c r="C2" s="202"/>
    </row>
    <row r="3" spans="1:19" ht="13" x14ac:dyDescent="0.3">
      <c r="A3" s="227" t="s">
        <v>5626</v>
      </c>
      <c r="B3" s="132" t="s">
        <v>5648</v>
      </c>
    </row>
    <row r="4" spans="1:19" ht="13" x14ac:dyDescent="0.25">
      <c r="A4" s="202"/>
    </row>
    <row r="5" spans="1:19" ht="92.25" customHeight="1" x14ac:dyDescent="0.3">
      <c r="A5" s="227" t="s">
        <v>5628</v>
      </c>
      <c r="B5" s="200" t="s">
        <v>5649</v>
      </c>
      <c r="D5" s="200"/>
      <c r="E5" s="271"/>
      <c r="K5" s="135"/>
      <c r="L5" s="135"/>
      <c r="M5" s="135"/>
      <c r="N5" s="135"/>
      <c r="O5" s="135"/>
      <c r="P5" s="135"/>
      <c r="Q5" s="135"/>
      <c r="R5" s="135"/>
    </row>
    <row r="6" spans="1:19" ht="13" x14ac:dyDescent="0.3">
      <c r="A6" s="227" t="s">
        <v>5630</v>
      </c>
      <c r="B6" s="201" t="s">
        <v>72</v>
      </c>
      <c r="D6" s="132"/>
      <c r="J6" s="133"/>
      <c r="K6" s="303" t="s">
        <v>5650</v>
      </c>
      <c r="L6" s="303">
        <f>MAX(P10,P15,P19,P23,P27,P31,P35,P39,P43)</f>
        <v>1.9000000000000004</v>
      </c>
      <c r="M6" s="303"/>
      <c r="N6" s="303"/>
      <c r="O6" s="303"/>
      <c r="P6" s="303"/>
      <c r="Q6" s="303"/>
      <c r="R6" s="303"/>
      <c r="S6" s="131"/>
    </row>
    <row r="7" spans="1:19" ht="13" x14ac:dyDescent="0.3">
      <c r="A7" s="227" t="s">
        <v>5631</v>
      </c>
      <c r="B7" s="201" t="s">
        <v>72</v>
      </c>
      <c r="J7" s="133"/>
      <c r="K7" s="303" t="s">
        <v>5651</v>
      </c>
      <c r="L7" s="303">
        <f>MAX(P11,P16,P20,P24,P28,P32,P36,P40,P44)</f>
        <v>0.83000000000000007</v>
      </c>
      <c r="M7" s="303"/>
      <c r="N7" s="303"/>
      <c r="O7" s="303"/>
      <c r="P7" s="303"/>
      <c r="Q7" s="303"/>
      <c r="R7" s="303"/>
      <c r="S7" s="131"/>
    </row>
    <row r="8" spans="1:19" ht="13" x14ac:dyDescent="0.3">
      <c r="A8" s="227" t="s">
        <v>5632</v>
      </c>
      <c r="B8" s="201" t="s">
        <v>72</v>
      </c>
      <c r="J8" s="133"/>
      <c r="K8" s="303"/>
      <c r="L8" s="303"/>
      <c r="M8" s="303"/>
      <c r="N8" s="303" t="s">
        <v>5652</v>
      </c>
      <c r="O8" s="303"/>
      <c r="P8" s="303"/>
      <c r="Q8" s="303"/>
      <c r="R8" s="303"/>
      <c r="S8" s="131"/>
    </row>
    <row r="9" spans="1:19" ht="13" x14ac:dyDescent="0.3">
      <c r="A9" s="227" t="s">
        <v>5633</v>
      </c>
      <c r="B9" s="202" t="s">
        <v>72</v>
      </c>
      <c r="J9" s="133"/>
      <c r="K9" s="303" t="s">
        <v>5653</v>
      </c>
      <c r="L9" s="303" t="s">
        <v>5654</v>
      </c>
      <c r="M9" s="303" t="s">
        <v>2854</v>
      </c>
      <c r="N9" s="303">
        <v>12.9</v>
      </c>
      <c r="O9" s="303"/>
      <c r="P9" s="303"/>
      <c r="Q9" s="303"/>
      <c r="R9" s="303"/>
      <c r="S9" s="131"/>
    </row>
    <row r="10" spans="1:19" ht="13" x14ac:dyDescent="0.3">
      <c r="A10" s="227"/>
      <c r="B10" s="202"/>
      <c r="J10" s="133"/>
      <c r="K10" s="303" t="s">
        <v>5653</v>
      </c>
      <c r="L10" s="303" t="s">
        <v>5655</v>
      </c>
      <c r="M10" s="303" t="s">
        <v>2854</v>
      </c>
      <c r="N10" s="303">
        <v>13.7</v>
      </c>
      <c r="O10" s="304">
        <f>N10/$N$9</f>
        <v>1.0620155038759689</v>
      </c>
      <c r="P10" s="303">
        <f>N10-$N$9</f>
        <v>0.79999999999999893</v>
      </c>
      <c r="Q10" s="303"/>
      <c r="R10" s="303"/>
      <c r="S10" s="131"/>
    </row>
    <row r="11" spans="1:19" ht="13" x14ac:dyDescent="0.3">
      <c r="A11" s="227" t="s">
        <v>5634</v>
      </c>
      <c r="B11" s="200" t="s">
        <v>5656</v>
      </c>
      <c r="J11" s="133"/>
      <c r="K11" s="303" t="s">
        <v>5653</v>
      </c>
      <c r="L11" s="303" t="s">
        <v>5657</v>
      </c>
      <c r="M11" s="303" t="s">
        <v>2854</v>
      </c>
      <c r="N11" s="303">
        <v>13.2</v>
      </c>
      <c r="O11" s="304">
        <f>N11/$N$9</f>
        <v>1.0232558139534882</v>
      </c>
      <c r="P11" s="303">
        <f>N11-$N$9</f>
        <v>0.29999999999999893</v>
      </c>
      <c r="Q11" s="303"/>
      <c r="R11" s="303"/>
      <c r="S11" s="131"/>
    </row>
    <row r="12" spans="1:19" x14ac:dyDescent="0.25">
      <c r="A12" s="228"/>
      <c r="J12" s="133"/>
      <c r="K12" s="303"/>
      <c r="L12" s="303"/>
      <c r="M12" s="303"/>
      <c r="N12" s="303"/>
      <c r="O12" s="303"/>
      <c r="P12" s="303"/>
      <c r="Q12" s="303"/>
      <c r="R12" s="303"/>
      <c r="S12" s="131"/>
    </row>
    <row r="13" spans="1:19" x14ac:dyDescent="0.25">
      <c r="A13" s="228"/>
      <c r="J13" s="133"/>
      <c r="K13" s="303"/>
      <c r="L13" s="303"/>
      <c r="M13" s="303"/>
      <c r="N13" s="303"/>
      <c r="O13" s="303"/>
      <c r="P13" s="303"/>
      <c r="Q13" s="303"/>
      <c r="R13" s="303"/>
      <c r="S13" s="131"/>
    </row>
    <row r="14" spans="1:19" ht="13" x14ac:dyDescent="0.3">
      <c r="A14" s="227" t="s">
        <v>5635</v>
      </c>
      <c r="J14" s="133"/>
      <c r="K14" s="303" t="s">
        <v>5658</v>
      </c>
      <c r="L14" s="303" t="s">
        <v>5654</v>
      </c>
      <c r="M14" s="303" t="s">
        <v>5659</v>
      </c>
      <c r="N14" s="303">
        <v>5.17</v>
      </c>
      <c r="O14" s="303"/>
      <c r="P14" s="303"/>
      <c r="Q14" s="303"/>
      <c r="R14" s="303"/>
      <c r="S14" s="131"/>
    </row>
    <row r="15" spans="1:19" ht="13" x14ac:dyDescent="0.3">
      <c r="A15" s="227"/>
      <c r="B15" s="135"/>
      <c r="C15" s="135"/>
      <c r="D15" s="299" t="s">
        <v>77</v>
      </c>
      <c r="E15" s="300"/>
      <c r="F15" s="299" t="s">
        <v>5424</v>
      </c>
      <c r="G15" s="301"/>
      <c r="J15" s="133"/>
      <c r="K15" s="303" t="s">
        <v>5658</v>
      </c>
      <c r="L15" s="303" t="s">
        <v>5655</v>
      </c>
      <c r="M15" s="303" t="s">
        <v>5660</v>
      </c>
      <c r="N15" s="303">
        <v>6.54</v>
      </c>
      <c r="O15" s="304">
        <f>N15/$N$14</f>
        <v>1.2649903288201161</v>
      </c>
      <c r="P15" s="303">
        <f>N15-$N$14</f>
        <v>1.37</v>
      </c>
      <c r="Q15" s="303"/>
      <c r="R15" s="303"/>
      <c r="S15" s="131"/>
    </row>
    <row r="16" spans="1:19" ht="39" x14ac:dyDescent="0.25">
      <c r="A16" s="133"/>
      <c r="B16" s="310" t="s">
        <v>2843</v>
      </c>
      <c r="C16" s="311" t="s">
        <v>24</v>
      </c>
      <c r="D16" s="208" t="s">
        <v>146</v>
      </c>
      <c r="E16" s="209" t="s">
        <v>153</v>
      </c>
      <c r="F16" s="208" t="s">
        <v>147</v>
      </c>
      <c r="G16" s="208" t="s">
        <v>154</v>
      </c>
      <c r="H16" s="131"/>
      <c r="J16" s="133"/>
      <c r="K16" s="303" t="s">
        <v>5658</v>
      </c>
      <c r="L16" s="303" t="s">
        <v>5657</v>
      </c>
      <c r="M16" s="303" t="s">
        <v>5661</v>
      </c>
      <c r="N16" s="303">
        <v>6</v>
      </c>
      <c r="O16" s="304">
        <f>N16/$N$14</f>
        <v>1.1605415860735009</v>
      </c>
      <c r="P16" s="303">
        <f>N16-$N$14</f>
        <v>0.83000000000000007</v>
      </c>
      <c r="Q16" s="303"/>
      <c r="R16" s="303"/>
      <c r="S16" s="131"/>
    </row>
    <row r="17" spans="1:19" ht="13" x14ac:dyDescent="0.3">
      <c r="A17" s="133"/>
      <c r="B17" s="317"/>
      <c r="C17" s="206" t="s">
        <v>5636</v>
      </c>
      <c r="D17" s="207" t="str" cm="1">
        <f t="array" ref="D17">IF(AND(_xlfn.ANCHORARRAY(C23)=C23),C23,"Mixed")</f>
        <v>tonne</v>
      </c>
      <c r="E17" s="207" t="s">
        <v>2774</v>
      </c>
      <c r="F17" s="207" t="str" cm="1">
        <f t="array" ref="F17">IF(AND(_xlfn.ANCHORARRAY(C23)=C23),C23,"Mixed")</f>
        <v>tonne</v>
      </c>
      <c r="G17" s="318" t="s">
        <v>2774</v>
      </c>
      <c r="H17" s="131"/>
      <c r="J17" s="133"/>
      <c r="K17" s="303"/>
      <c r="L17" s="303"/>
      <c r="M17" s="303"/>
      <c r="N17" s="303"/>
      <c r="O17" s="303"/>
      <c r="P17" s="303"/>
      <c r="Q17" s="303"/>
      <c r="R17" s="303"/>
      <c r="S17" s="131"/>
    </row>
    <row r="18" spans="1:19" s="200" customFormat="1" ht="13" x14ac:dyDescent="0.3">
      <c r="A18" s="221"/>
      <c r="B18" s="214"/>
      <c r="C18" s="202" t="s">
        <v>5637</v>
      </c>
      <c r="D18" s="198">
        <f>MAX(_xlfn.ANCHORARRAY(D23))+($L$6*1000)</f>
        <v>32600</v>
      </c>
      <c r="E18" s="198">
        <f>MAX(_xlfn.ANCHORARRAY(E23))+$L$6</f>
        <v>32.6</v>
      </c>
      <c r="F18" s="198">
        <f t="shared" ref="F18:G18" si="0">MAX(_xlfn.ANCHORARRAY(F23))</f>
        <v>0</v>
      </c>
      <c r="G18" s="215">
        <f t="shared" si="0"/>
        <v>0</v>
      </c>
      <c r="H18" s="131"/>
      <c r="I18" s="132"/>
      <c r="J18" s="221"/>
      <c r="K18" s="305" t="s">
        <v>5662</v>
      </c>
      <c r="L18" s="305" t="s">
        <v>5654</v>
      </c>
      <c r="M18" s="305" t="s">
        <v>5663</v>
      </c>
      <c r="N18" s="305">
        <v>17.670000000000002</v>
      </c>
      <c r="O18" s="303"/>
      <c r="P18" s="303"/>
      <c r="Q18" s="305"/>
      <c r="R18" s="305"/>
      <c r="S18" s="222"/>
    </row>
    <row r="19" spans="1:19" ht="13" x14ac:dyDescent="0.25">
      <c r="A19" s="133"/>
      <c r="B19" s="204"/>
      <c r="C19" s="202" t="s">
        <v>5638</v>
      </c>
      <c r="D19" s="198">
        <f>MIN(_xlfn.ANCHORARRAY(D23))+($L$6*1000)</f>
        <v>7294.1500000000015</v>
      </c>
      <c r="E19" s="198">
        <f>MIN(_xlfn.ANCHORARRAY(E23))+$L$6</f>
        <v>7.294150000000001</v>
      </c>
      <c r="F19" s="198">
        <f t="shared" ref="F19:G19" si="1">MIN(_xlfn.ANCHORARRAY(F23))</f>
        <v>0</v>
      </c>
      <c r="G19" s="215">
        <f t="shared" si="1"/>
        <v>0</v>
      </c>
      <c r="H19" s="131"/>
      <c r="J19" s="133"/>
      <c r="K19" s="303" t="s">
        <v>5662</v>
      </c>
      <c r="L19" s="303" t="s">
        <v>5655</v>
      </c>
      <c r="M19" s="303" t="s">
        <v>2854</v>
      </c>
      <c r="N19" s="303">
        <v>18.600000000000001</v>
      </c>
      <c r="O19" s="304">
        <f>N19/$N$18</f>
        <v>1.0526315789473684</v>
      </c>
      <c r="P19" s="303">
        <f>N19-$N$18</f>
        <v>0.92999999999999972</v>
      </c>
      <c r="Q19" s="303"/>
      <c r="R19" s="303" t="s">
        <v>5664</v>
      </c>
      <c r="S19" s="131"/>
    </row>
    <row r="20" spans="1:19" ht="13" x14ac:dyDescent="0.25">
      <c r="A20" s="133"/>
      <c r="B20" s="204"/>
      <c r="C20" s="245" t="s">
        <v>5665</v>
      </c>
      <c r="D20" s="230">
        <f>SUMPRODUCT($K$52:$K$54,K57:K59)</f>
        <v>19299.677663043476</v>
      </c>
      <c r="E20" s="230">
        <f>SUMPRODUCT($K$52:$K$54,L57:L59)</f>
        <v>19.299677663043479</v>
      </c>
      <c r="F20" s="230">
        <f t="shared" ref="F20:G20" si="2">AVERAGE(_xlfn.ANCHORARRAY(F23))</f>
        <v>0</v>
      </c>
      <c r="G20" s="302">
        <f t="shared" si="2"/>
        <v>0</v>
      </c>
      <c r="H20" s="131"/>
      <c r="J20" s="133"/>
      <c r="K20" s="303" t="s">
        <v>5662</v>
      </c>
      <c r="L20" s="303" t="s">
        <v>5657</v>
      </c>
      <c r="M20" s="303" t="s">
        <v>2854</v>
      </c>
      <c r="N20" s="303">
        <v>18.5</v>
      </c>
      <c r="O20" s="304">
        <f>N20/$N$18</f>
        <v>1.0469722693831351</v>
      </c>
      <c r="P20" s="303">
        <f>N20-$N$18</f>
        <v>0.82999999999999829</v>
      </c>
      <c r="Q20" s="303"/>
      <c r="R20" s="303" t="s">
        <v>5666</v>
      </c>
      <c r="S20" s="131"/>
    </row>
    <row r="21" spans="1:19" ht="13" x14ac:dyDescent="0.25">
      <c r="A21" s="133"/>
      <c r="B21" s="204"/>
      <c r="C21" s="202" t="s">
        <v>5639</v>
      </c>
      <c r="D21" s="198">
        <f>AVERAGE(_xlfn.ANCHORARRAY(D23))</f>
        <v>16351.611818181816</v>
      </c>
      <c r="E21" s="198">
        <f t="shared" ref="E21:G21" si="3">AVERAGE(_xlfn.ANCHORARRAY(E23))</f>
        <v>16.351611818181819</v>
      </c>
      <c r="F21" s="198">
        <f t="shared" si="3"/>
        <v>0</v>
      </c>
      <c r="G21" s="215">
        <f t="shared" si="3"/>
        <v>0</v>
      </c>
      <c r="H21" s="131"/>
      <c r="J21" s="133"/>
      <c r="K21" s="303"/>
      <c r="L21" s="303"/>
      <c r="M21" s="303"/>
      <c r="N21" s="303"/>
      <c r="O21" s="303"/>
      <c r="P21" s="303"/>
      <c r="Q21" s="303"/>
      <c r="R21" s="303"/>
      <c r="S21" s="131"/>
    </row>
    <row r="22" spans="1:19" ht="13" x14ac:dyDescent="0.25">
      <c r="A22" s="133"/>
      <c r="B22" s="197" t="s">
        <v>5640</v>
      </c>
      <c r="D22" s="132"/>
      <c r="E22" s="132"/>
      <c r="F22" s="132"/>
      <c r="G22" s="216"/>
      <c r="H22" s="131"/>
      <c r="J22" s="133"/>
      <c r="K22" s="303" t="s">
        <v>5667</v>
      </c>
      <c r="L22" s="303" t="s">
        <v>5654</v>
      </c>
      <c r="M22" s="303" t="s">
        <v>2854</v>
      </c>
      <c r="N22" s="303">
        <v>11.7</v>
      </c>
      <c r="O22" s="303"/>
      <c r="P22" s="303"/>
      <c r="Q22" s="303"/>
      <c r="R22" s="303"/>
      <c r="S22" s="131"/>
    </row>
    <row r="23" spans="1:19" x14ac:dyDescent="0.25">
      <c r="A23" s="133"/>
      <c r="B23" s="204" t="str" cm="1">
        <f t="array" ref="B23:B44">_xlfn.UNIQUE(_xlfn._xlws.FILTER('EPD List'!D:D,ISNUMBER(SEARCH(B16,'EPD List'!C:C)),0))</f>
        <v>Aluminium, China, Hyperion Aluminium Profiles manufactured in China  (Envirobuild) (China)</v>
      </c>
      <c r="C23" s="132" t="str" cm="1">
        <f t="array" ref="C23:C44">_xlfn.IFNA(INDEX('EPD List'!$A:$AB,MATCH(_xlfn.ANCHORARRAY(B23),'EPD List'!$D:$D,0),MATCH(C$16,'EPD List'!$7:$7,0)),"")</f>
        <v>tonne</v>
      </c>
      <c r="D23" s="198" cm="1">
        <f t="array" ref="D23:D44">_xlfn.IFNA(VALUE((INDEX('EPD List'!$A:$AD,MATCH(_xlfn.ANCHORARRAY($B23),'EPD List'!$D:$D,0),MATCH(D$16,'EPD List'!$7:$7,0)))),"")+($L$6*1000)</f>
        <v>24362</v>
      </c>
      <c r="E23" s="198" cm="1">
        <f t="array" ref="E23:E44">IFERROR(VALUE((INDEX('EPD List'!$A:$AD,MATCH(_xlfn.ANCHORARRAY($B23),'EPD List'!$D:$D,0),MATCH(E$16,'EPD List'!$7:$7,0)))),"")+$L$6</f>
        <v>24.362000000000002</v>
      </c>
      <c r="F23" s="198" cm="1">
        <f t="array" ref="F23:F44">_xlfn.IFNA(VALUE((INDEX('EPD List'!$A:$AD,MATCH(_xlfn.ANCHORARRAY($B23),'EPD List'!$D:$D,0),MATCH(F$16,'EPD List'!$7:$7,0)))),"")</f>
        <v>0</v>
      </c>
      <c r="G23" s="215" cm="1">
        <f t="array" ref="G23:G44">IFERROR(VALUE((INDEX('EPD List'!$A:$AD,MATCH(_xlfn.ANCHORARRAY($B23),'EPD List'!$D:$D,0),MATCH(G$16,'EPD List'!$7:$7,0)))),"")</f>
        <v>0</v>
      </c>
      <c r="H23" s="131"/>
      <c r="J23" s="133"/>
      <c r="K23" s="303" t="s">
        <v>5667</v>
      </c>
      <c r="L23" s="303" t="s">
        <v>5655</v>
      </c>
      <c r="M23" s="303" t="s">
        <v>2854</v>
      </c>
      <c r="N23" s="303">
        <v>13.6</v>
      </c>
      <c r="O23" s="304">
        <f>N23/$N$22</f>
        <v>1.1623931623931625</v>
      </c>
      <c r="P23" s="303">
        <f>N23-$N$22</f>
        <v>1.9000000000000004</v>
      </c>
      <c r="Q23" s="303"/>
      <c r="R23" s="303"/>
      <c r="S23" s="131"/>
    </row>
    <row r="24" spans="1:19" x14ac:dyDescent="0.25">
      <c r="A24" s="133"/>
      <c r="B24" s="204" t="str">
        <v>Aluminium, China, Extruded aluminium out of China (Jiangyin Jianbang) (China)</v>
      </c>
      <c r="C24" s="132" t="str">
        <v>tonne</v>
      </c>
      <c r="D24" s="198">
        <v>26561.3</v>
      </c>
      <c r="E24" s="198">
        <v>26.561300000000003</v>
      </c>
      <c r="F24" s="198">
        <v>0</v>
      </c>
      <c r="G24" s="215">
        <v>0</v>
      </c>
      <c r="H24" s="131"/>
      <c r="J24" s="133"/>
      <c r="K24" s="303" t="s">
        <v>5667</v>
      </c>
      <c r="L24" s="303" t="s">
        <v>5657</v>
      </c>
      <c r="M24" s="303" t="s">
        <v>2854</v>
      </c>
      <c r="N24" s="303">
        <v>12.1</v>
      </c>
      <c r="O24" s="304">
        <f>N24/$N$22</f>
        <v>1.0341880341880343</v>
      </c>
      <c r="P24" s="303">
        <f>N24-$N$22</f>
        <v>0.40000000000000036</v>
      </c>
      <c r="Q24" s="303"/>
      <c r="R24" s="303"/>
      <c r="S24" s="131"/>
    </row>
    <row r="25" spans="1:19" x14ac:dyDescent="0.25">
      <c r="A25" s="133"/>
      <c r="B25" s="204" t="str">
        <v>Aluminium, China, Thermal break aluminium profile out of China (Jiangyin Jianbang) (China)</v>
      </c>
      <c r="C25" s="132" t="str">
        <v>tonne</v>
      </c>
      <c r="D25" s="198">
        <v>26860.2</v>
      </c>
      <c r="E25" s="198">
        <v>26.860199999999999</v>
      </c>
      <c r="F25" s="198">
        <v>0</v>
      </c>
      <c r="G25" s="215">
        <v>0</v>
      </c>
      <c r="H25" s="131"/>
      <c r="J25" s="133"/>
      <c r="K25" s="303"/>
      <c r="L25" s="303"/>
      <c r="M25" s="303"/>
      <c r="N25" s="303"/>
      <c r="O25" s="303"/>
      <c r="P25" s="303"/>
      <c r="Q25" s="303"/>
      <c r="R25" s="303"/>
      <c r="S25" s="131"/>
    </row>
    <row r="26" spans="1:19" x14ac:dyDescent="0.25">
      <c r="A26" s="133"/>
      <c r="B26" s="204" t="str">
        <v>Aluminium, Global, Hydro recycled low carbon aluminium profiles (Hydro) (Europe)</v>
      </c>
      <c r="C26" s="132" t="str">
        <v>tonne</v>
      </c>
      <c r="D26" s="198">
        <v>5567.5400000000009</v>
      </c>
      <c r="E26" s="198">
        <v>5.567540000000001</v>
      </c>
      <c r="F26" s="198">
        <v>0</v>
      </c>
      <c r="G26" s="215">
        <v>0</v>
      </c>
      <c r="H26" s="131"/>
      <c r="J26" s="133"/>
      <c r="K26" s="303" t="s">
        <v>5668</v>
      </c>
      <c r="L26" s="303" t="s">
        <v>5654</v>
      </c>
      <c r="M26" s="303" t="s">
        <v>2854</v>
      </c>
      <c r="N26" s="303">
        <v>13.9</v>
      </c>
      <c r="O26" s="303"/>
      <c r="P26" s="303"/>
      <c r="Q26" s="303"/>
      <c r="R26" s="303"/>
      <c r="S26" s="131"/>
    </row>
    <row r="27" spans="1:19" x14ac:dyDescent="0.25">
      <c r="A27" s="133"/>
      <c r="B27" s="204" t="str">
        <v>Aluminium, Global, Extruded aluminium profile 70% recycled aluminium out of Greece (Sanlev) (Greece)</v>
      </c>
      <c r="C27" s="132" t="str">
        <v>tonne</v>
      </c>
      <c r="D27" s="198">
        <v>10936.2</v>
      </c>
      <c r="E27" s="198">
        <v>10.936199999999999</v>
      </c>
      <c r="F27" s="198">
        <v>0</v>
      </c>
      <c r="G27" s="215">
        <v>0</v>
      </c>
      <c r="H27" s="131"/>
      <c r="J27" s="133"/>
      <c r="K27" s="303" t="s">
        <v>5668</v>
      </c>
      <c r="L27" s="303" t="s">
        <v>5655</v>
      </c>
      <c r="M27" s="303" t="s">
        <v>2854</v>
      </c>
      <c r="N27" s="303">
        <v>15.2</v>
      </c>
      <c r="O27" s="304">
        <f>N27/$N$26</f>
        <v>1.093525179856115</v>
      </c>
      <c r="P27" s="303">
        <f>N27-$N$26</f>
        <v>1.2999999999999989</v>
      </c>
      <c r="Q27" s="303"/>
      <c r="R27" s="303"/>
      <c r="S27" s="131"/>
    </row>
    <row r="28" spans="1:19" x14ac:dyDescent="0.25">
      <c r="A28" s="133"/>
      <c r="B28" s="204" t="str">
        <v>Aluminium, Global, Primary aluminium out of India (Vedanta) (India)</v>
      </c>
      <c r="C28" s="132" t="str">
        <v>tonne</v>
      </c>
      <c r="D28" s="198">
        <v>26507.57</v>
      </c>
      <c r="E28" s="198">
        <v>26.507570000000001</v>
      </c>
      <c r="F28" s="198">
        <v>0</v>
      </c>
      <c r="G28" s="215">
        <v>0</v>
      </c>
      <c r="H28" s="131"/>
      <c r="J28" s="133"/>
      <c r="K28" s="303" t="s">
        <v>5668</v>
      </c>
      <c r="L28" s="303" t="s">
        <v>5657</v>
      </c>
      <c r="M28" s="303" t="s">
        <v>2854</v>
      </c>
      <c r="N28" s="303">
        <v>14.3</v>
      </c>
      <c r="O28" s="304">
        <f>N28/$N$26</f>
        <v>1.0287769784172662</v>
      </c>
      <c r="P28" s="303">
        <f>N28-$N$26</f>
        <v>0.40000000000000036</v>
      </c>
      <c r="Q28" s="303"/>
      <c r="R28" s="303"/>
      <c r="S28" s="131"/>
    </row>
    <row r="29" spans="1:19" x14ac:dyDescent="0.25">
      <c r="A29" s="133"/>
      <c r="B29" s="204" t="str">
        <v>Aluminium, China, CNA-CNA-CNA (China) extruded aluminium (Industry wide) (China)</v>
      </c>
      <c r="C29" s="132" t="str">
        <v>tonne</v>
      </c>
      <c r="D29" s="198">
        <v>23641.300000000003</v>
      </c>
      <c r="E29" s="198">
        <v>23.641300000000001</v>
      </c>
      <c r="F29" s="198">
        <v>0</v>
      </c>
      <c r="G29" s="215">
        <v>0</v>
      </c>
      <c r="H29" s="131"/>
      <c r="J29" s="133"/>
      <c r="K29" s="303"/>
      <c r="L29" s="303"/>
      <c r="M29" s="303"/>
      <c r="N29" s="303"/>
      <c r="O29" s="303"/>
      <c r="P29" s="303"/>
      <c r="Q29" s="303"/>
      <c r="R29" s="303"/>
      <c r="S29" s="131"/>
    </row>
    <row r="30" spans="1:19" x14ac:dyDescent="0.25">
      <c r="A30" s="133"/>
      <c r="B30" s="204" t="str">
        <v>Aluminium, Global, OCA-OCA-GCC scenario (Oceania &gt; Gulf cooperation council) extruded aluminium (Industry wide) (Oceania)</v>
      </c>
      <c r="C30" s="132" t="str">
        <v>tonne</v>
      </c>
      <c r="D30" s="198">
        <v>14641.300000000001</v>
      </c>
      <c r="E30" s="198">
        <v>14.641300000000001</v>
      </c>
      <c r="F30" s="198">
        <v>0</v>
      </c>
      <c r="G30" s="215">
        <v>0</v>
      </c>
      <c r="H30" s="131"/>
      <c r="J30" s="133"/>
      <c r="K30" s="303" t="s">
        <v>5669</v>
      </c>
      <c r="L30" s="303" t="s">
        <v>5654</v>
      </c>
      <c r="M30" s="303" t="s">
        <v>2854</v>
      </c>
      <c r="N30" s="303">
        <v>19.100000000000001</v>
      </c>
      <c r="O30" s="303"/>
      <c r="P30" s="303"/>
      <c r="Q30" s="303"/>
      <c r="R30" s="303"/>
      <c r="S30" s="131"/>
    </row>
    <row r="31" spans="1:19" x14ac:dyDescent="0.25">
      <c r="A31" s="133"/>
      <c r="B31" s="204" t="str">
        <v>Aluminium, Global, AFR-EUR-EUR scenario (Africa &gt; Europe) extruded aluminium (Industry wide) (Africa)</v>
      </c>
      <c r="C31" s="132" t="str">
        <v>tonne</v>
      </c>
      <c r="D31" s="198">
        <v>10741.300000000001</v>
      </c>
      <c r="E31" s="198">
        <v>10.741300000000001</v>
      </c>
      <c r="F31" s="198">
        <v>0</v>
      </c>
      <c r="G31" s="215">
        <v>0</v>
      </c>
      <c r="H31" s="131"/>
      <c r="J31" s="133"/>
      <c r="K31" s="303" t="s">
        <v>5669</v>
      </c>
      <c r="L31" s="303" t="s">
        <v>5655</v>
      </c>
      <c r="M31" s="303" t="s">
        <v>2854</v>
      </c>
      <c r="N31" s="303">
        <v>20.100000000000001</v>
      </c>
      <c r="O31" s="304">
        <f>N31/$N$30</f>
        <v>1.0523560209424083</v>
      </c>
      <c r="P31" s="303">
        <f>N31-$N$30</f>
        <v>1</v>
      </c>
      <c r="Q31" s="303"/>
      <c r="R31" s="303"/>
      <c r="S31" s="131"/>
    </row>
    <row r="32" spans="1:19" x14ac:dyDescent="0.25">
      <c r="A32" s="133"/>
      <c r="B32" s="204" t="str">
        <v>Aluminium, Global, SAM-SAM-CAN scenario (South America &gt; Canada) extruded aluminium (Industry wide) (South America)</v>
      </c>
      <c r="C32" s="132" t="str">
        <v>tonne</v>
      </c>
      <c r="D32" s="198">
        <v>8741.3000000000011</v>
      </c>
      <c r="E32" s="198">
        <v>8.7413000000000007</v>
      </c>
      <c r="F32" s="198">
        <v>0</v>
      </c>
      <c r="G32" s="215">
        <v>0</v>
      </c>
      <c r="H32" s="131"/>
      <c r="J32" s="133"/>
      <c r="K32" s="303" t="s">
        <v>5669</v>
      </c>
      <c r="L32" s="303" t="s">
        <v>5657</v>
      </c>
      <c r="M32" s="303" t="s">
        <v>2854</v>
      </c>
      <c r="N32" s="303">
        <v>19.7</v>
      </c>
      <c r="O32" s="304">
        <f>N32/$N$30</f>
        <v>1.0314136125654449</v>
      </c>
      <c r="P32" s="303">
        <f>N32-$N$30</f>
        <v>0.59999999999999787</v>
      </c>
      <c r="Q32" s="303"/>
      <c r="R32" s="303"/>
      <c r="S32" s="131"/>
    </row>
    <row r="33" spans="1:19" x14ac:dyDescent="0.25">
      <c r="A33" s="133"/>
      <c r="B33" s="204" t="str">
        <v>Aluminium, Australia, Proxy for Australia using oceania value extruded aluminium (Industry wide) (Australia)</v>
      </c>
      <c r="C33" s="132" t="str">
        <v>tonne</v>
      </c>
      <c r="D33" s="198">
        <v>14641.300000000001</v>
      </c>
      <c r="E33" s="198">
        <v>14.641300000000001</v>
      </c>
      <c r="F33" s="198">
        <v>0</v>
      </c>
      <c r="G33" s="215">
        <v>0</v>
      </c>
      <c r="H33" s="131"/>
      <c r="J33" s="133"/>
      <c r="K33" s="303"/>
      <c r="L33" s="303"/>
      <c r="M33" s="303"/>
      <c r="N33" s="303"/>
      <c r="O33" s="303"/>
      <c r="P33" s="303"/>
      <c r="Q33" s="303"/>
      <c r="R33" s="303"/>
      <c r="S33" s="131"/>
    </row>
    <row r="34" spans="1:19" x14ac:dyDescent="0.25">
      <c r="A34" s="133"/>
      <c r="B34" s="204" t="str">
        <v>Aluminium, Extruded, Extruded aluminium and extruded thermal break extruded aluminium (Galuminium) (China)</v>
      </c>
      <c r="C34" s="132" t="str">
        <v>tonne</v>
      </c>
      <c r="D34" s="198">
        <v>30700</v>
      </c>
      <c r="E34" s="198">
        <v>30.700000000000003</v>
      </c>
      <c r="F34" s="198">
        <v>0</v>
      </c>
      <c r="G34" s="215">
        <v>0</v>
      </c>
      <c r="H34" s="131"/>
      <c r="J34" s="133"/>
      <c r="K34" s="303" t="s">
        <v>5670</v>
      </c>
      <c r="L34" s="303" t="s">
        <v>5671</v>
      </c>
      <c r="M34" s="303" t="s">
        <v>5663</v>
      </c>
      <c r="N34" s="303">
        <v>7.4304000000000006</v>
      </c>
      <c r="O34" s="303"/>
      <c r="P34" s="303"/>
      <c r="Q34" s="303"/>
      <c r="R34" s="303"/>
      <c r="S34" s="131"/>
    </row>
    <row r="35" spans="1:19" x14ac:dyDescent="0.25">
      <c r="A35" s="133"/>
      <c r="B35" s="204" t="str">
        <v>Aluminium, Global, Hydro recycled low carbon aluminium profiles - UK (Hydro) (UK)</v>
      </c>
      <c r="C35" s="132" t="str">
        <v>tonne</v>
      </c>
      <c r="D35" s="198">
        <v>5394.1500000000005</v>
      </c>
      <c r="E35" s="198">
        <v>5.3941500000000007</v>
      </c>
      <c r="F35" s="198">
        <v>0</v>
      </c>
      <c r="G35" s="215">
        <v>0</v>
      </c>
      <c r="H35" s="131"/>
      <c r="J35" s="133"/>
      <c r="K35" s="303" t="s">
        <v>5670</v>
      </c>
      <c r="L35" s="303" t="s">
        <v>5672</v>
      </c>
      <c r="M35" s="303" t="s">
        <v>2854</v>
      </c>
      <c r="N35" s="303">
        <v>8.64</v>
      </c>
      <c r="O35" s="304">
        <f>N35/$N$34</f>
        <v>1.1627906976744187</v>
      </c>
      <c r="P35" s="303">
        <f>N35-$N$34</f>
        <v>1.2096</v>
      </c>
      <c r="Q35" s="303"/>
      <c r="R35" s="303" t="s">
        <v>5673</v>
      </c>
      <c r="S35" s="131"/>
    </row>
    <row r="36" spans="1:19" x14ac:dyDescent="0.25">
      <c r="A36" s="133"/>
      <c r="B36" s="204" t="str">
        <v>Aluminium, Extruded, Extruded aluminium (uncoated) (Sistem) (Turkey)</v>
      </c>
      <c r="C36" s="132" t="str">
        <v>tonne</v>
      </c>
      <c r="D36" s="198">
        <v>14800</v>
      </c>
      <c r="E36" s="198">
        <v>14.8</v>
      </c>
      <c r="F36" s="198">
        <v>0</v>
      </c>
      <c r="G36" s="215">
        <v>0</v>
      </c>
      <c r="H36" s="131"/>
      <c r="J36" s="133"/>
      <c r="K36" s="303" t="s">
        <v>5670</v>
      </c>
      <c r="L36" s="303" t="s">
        <v>5674</v>
      </c>
      <c r="M36" s="303" t="s">
        <v>2854</v>
      </c>
      <c r="N36" s="303">
        <v>7.84</v>
      </c>
      <c r="O36" s="304">
        <f>N36/$N$34</f>
        <v>1.0551248923341945</v>
      </c>
      <c r="P36" s="303">
        <f>N36-$N$34</f>
        <v>0.4095999999999993</v>
      </c>
      <c r="Q36" s="303"/>
      <c r="R36" s="303" t="s">
        <v>5675</v>
      </c>
      <c r="S36" s="131"/>
    </row>
    <row r="37" spans="1:19" x14ac:dyDescent="0.25">
      <c r="A37" s="133"/>
      <c r="B37" s="204" t="str">
        <v>Aluminium, Extruded, Extruded aluminium (uncoated) (Kurtoglu) (Turkey)</v>
      </c>
      <c r="C37" s="132" t="str">
        <v>tonne</v>
      </c>
      <c r="D37" s="198">
        <v>7070</v>
      </c>
      <c r="E37" s="198">
        <v>7.07</v>
      </c>
      <c r="F37" s="198">
        <v>0</v>
      </c>
      <c r="G37" s="215">
        <v>0</v>
      </c>
      <c r="H37" s="131"/>
      <c r="J37" s="133"/>
      <c r="K37" s="303"/>
      <c r="L37" s="303"/>
      <c r="M37" s="303"/>
      <c r="N37" s="303"/>
      <c r="O37" s="303"/>
      <c r="P37" s="303"/>
      <c r="Q37" s="303"/>
      <c r="R37" s="303"/>
      <c r="S37" s="131"/>
    </row>
    <row r="38" spans="1:19" x14ac:dyDescent="0.25">
      <c r="A38" s="133"/>
      <c r="B38" s="204" t="str">
        <v>Aluminium, Extruded, Extruded aluminium (uncoated) (Muskita) (Global)</v>
      </c>
      <c r="C38" s="132" t="str">
        <v>tonne</v>
      </c>
      <c r="D38" s="198">
        <v>19570</v>
      </c>
      <c r="E38" s="198">
        <v>19.57</v>
      </c>
      <c r="F38" s="198">
        <v>0</v>
      </c>
      <c r="G38" s="215">
        <v>0</v>
      </c>
      <c r="H38" s="131"/>
      <c r="J38" s="133"/>
      <c r="K38" s="303" t="s">
        <v>5676</v>
      </c>
      <c r="L38" s="303" t="s">
        <v>5654</v>
      </c>
      <c r="M38" s="303" t="s">
        <v>2854</v>
      </c>
      <c r="N38" s="303">
        <v>9.8699999999999992</v>
      </c>
      <c r="O38" s="303"/>
      <c r="P38" s="303"/>
      <c r="Q38" s="303"/>
      <c r="R38" s="303"/>
      <c r="S38" s="131"/>
    </row>
    <row r="39" spans="1:19" x14ac:dyDescent="0.25">
      <c r="A39" s="133"/>
      <c r="B39" s="204" t="str">
        <v>Aluminium, Extruded, Extruded aluminium (uncoated) (Burak) (Turkey)</v>
      </c>
      <c r="C39" s="132" t="str">
        <v>tonne</v>
      </c>
      <c r="D39" s="198">
        <v>13600</v>
      </c>
      <c r="E39" s="198">
        <v>13.6</v>
      </c>
      <c r="F39" s="198">
        <v>0</v>
      </c>
      <c r="G39" s="215">
        <v>0</v>
      </c>
      <c r="H39" s="131"/>
      <c r="J39" s="133"/>
      <c r="K39" s="303" t="s">
        <v>5676</v>
      </c>
      <c r="L39" s="303" t="s">
        <v>5655</v>
      </c>
      <c r="M39" s="303" t="s">
        <v>2854</v>
      </c>
      <c r="N39" s="303">
        <v>9.91</v>
      </c>
      <c r="O39" s="304">
        <f>N39/$N$38</f>
        <v>1.0040526849037488</v>
      </c>
      <c r="P39" s="303">
        <f>N39-$N$38</f>
        <v>4.0000000000000924E-2</v>
      </c>
      <c r="Q39" s="303"/>
      <c r="R39" s="303"/>
      <c r="S39" s="131"/>
    </row>
    <row r="40" spans="1:19" x14ac:dyDescent="0.25">
      <c r="A40" s="133"/>
      <c r="B40" s="204" t="str">
        <v>Aluminium, Extruded, Extruded aluminium (uncoated) (ASAS) (Turkey)</v>
      </c>
      <c r="C40" s="132" t="str">
        <v>tonne</v>
      </c>
      <c r="D40" s="198">
        <v>15800</v>
      </c>
      <c r="E40" s="198">
        <v>15.8</v>
      </c>
      <c r="F40" s="198">
        <v>0</v>
      </c>
      <c r="G40" s="215">
        <v>0</v>
      </c>
      <c r="H40" s="131"/>
      <c r="J40" s="133"/>
      <c r="K40" s="303" t="s">
        <v>5676</v>
      </c>
      <c r="L40" s="303" t="s">
        <v>5657</v>
      </c>
      <c r="M40" s="303" t="s">
        <v>2854</v>
      </c>
      <c r="N40" s="303">
        <v>10</v>
      </c>
      <c r="O40" s="304">
        <f>N40/$N$38</f>
        <v>1.0131712259371835</v>
      </c>
      <c r="P40" s="303">
        <f>N40-$N$38</f>
        <v>0.13000000000000078</v>
      </c>
      <c r="Q40" s="303"/>
      <c r="R40" s="303"/>
      <c r="S40" s="131"/>
    </row>
    <row r="41" spans="1:19" x14ac:dyDescent="0.25">
      <c r="A41" s="133"/>
      <c r="B41" s="204" t="str">
        <v>Aluminium, Extruded, Extruded aluminium (uncoated) (Tuna Aluminium) (Global)</v>
      </c>
      <c r="C41" s="132" t="str">
        <v>tonne</v>
      </c>
      <c r="D41" s="198">
        <v>21000</v>
      </c>
      <c r="E41" s="198">
        <v>21</v>
      </c>
      <c r="F41" s="198">
        <v>0</v>
      </c>
      <c r="G41" s="215">
        <v>0</v>
      </c>
      <c r="H41" s="131"/>
      <c r="J41" s="133"/>
      <c r="K41" s="303"/>
      <c r="L41" s="303"/>
      <c r="M41" s="303"/>
      <c r="N41" s="303"/>
      <c r="O41" s="303"/>
      <c r="P41" s="303"/>
      <c r="Q41" s="303"/>
      <c r="R41" s="303"/>
      <c r="S41" s="131"/>
    </row>
    <row r="42" spans="1:19" x14ac:dyDescent="0.25">
      <c r="A42" s="133"/>
      <c r="B42" s="204" t="str">
        <v>Aluminium, Extruded, Extruded aluminium (uncoated) (Spanish Aluminium Association) (Spanish)</v>
      </c>
      <c r="C42" s="132" t="str">
        <v>tonne</v>
      </c>
      <c r="D42" s="198">
        <v>9330</v>
      </c>
      <c r="E42" s="198">
        <v>9.33</v>
      </c>
      <c r="F42" s="198">
        <v>0</v>
      </c>
      <c r="G42" s="215">
        <v>0</v>
      </c>
      <c r="H42" s="131"/>
      <c r="J42" s="133"/>
      <c r="K42" s="303" t="s">
        <v>5677</v>
      </c>
      <c r="L42" s="303" t="s">
        <v>5654</v>
      </c>
      <c r="M42" s="303" t="s">
        <v>2854</v>
      </c>
      <c r="N42" s="303">
        <v>15.6</v>
      </c>
      <c r="O42" s="303"/>
      <c r="P42" s="303"/>
      <c r="Q42" s="303"/>
      <c r="R42" s="303"/>
      <c r="S42" s="131"/>
    </row>
    <row r="43" spans="1:19" x14ac:dyDescent="0.25">
      <c r="A43" s="133"/>
      <c r="B43" s="204" t="str">
        <v>Aluminium, Extruded, Extruded aluminium (uncoated) (Saray) (Turkey)</v>
      </c>
      <c r="C43" s="132" t="str">
        <v>tonne</v>
      </c>
      <c r="D43" s="198">
        <v>11770</v>
      </c>
      <c r="E43" s="198">
        <v>11.77</v>
      </c>
      <c r="F43" s="198">
        <v>0</v>
      </c>
      <c r="G43" s="215">
        <v>0</v>
      </c>
      <c r="H43" s="131"/>
      <c r="J43" s="133"/>
      <c r="K43" s="303" t="s">
        <v>5677</v>
      </c>
      <c r="L43" s="303" t="s">
        <v>5655</v>
      </c>
      <c r="M43" s="303" t="s">
        <v>2854</v>
      </c>
      <c r="N43" s="303">
        <v>17.399999999999999</v>
      </c>
      <c r="O43" s="304">
        <f>N43/$N$42</f>
        <v>1.1153846153846154</v>
      </c>
      <c r="P43" s="303">
        <f>N43-$N$42</f>
        <v>1.7999999999999989</v>
      </c>
      <c r="Q43" s="303"/>
      <c r="R43" s="303"/>
      <c r="S43" s="131"/>
    </row>
    <row r="44" spans="1:19" x14ac:dyDescent="0.25">
      <c r="A44" s="133"/>
      <c r="B44" s="217" t="str">
        <v>Aluminium, Extruded, Extruded aluminium (uncoated) (Al Taiseer) (Saudi Arabia)</v>
      </c>
      <c r="C44" s="218" t="str">
        <v>tonne</v>
      </c>
      <c r="D44" s="219">
        <v>17500</v>
      </c>
      <c r="E44" s="219">
        <v>17.5</v>
      </c>
      <c r="F44" s="219">
        <v>0</v>
      </c>
      <c r="G44" s="220">
        <v>0</v>
      </c>
      <c r="H44" s="131"/>
      <c r="J44" s="133"/>
      <c r="K44" s="303" t="s">
        <v>5677</v>
      </c>
      <c r="L44" s="303" t="s">
        <v>5657</v>
      </c>
      <c r="M44" s="303" t="s">
        <v>2854</v>
      </c>
      <c r="N44" s="303">
        <v>16.3</v>
      </c>
      <c r="O44" s="304">
        <f>N44/$N$42</f>
        <v>1.0448717948717949</v>
      </c>
      <c r="P44" s="303">
        <f>N44-$N$42</f>
        <v>0.70000000000000107</v>
      </c>
      <c r="Q44" s="303"/>
      <c r="R44" s="303"/>
      <c r="S44" s="131"/>
    </row>
    <row r="45" spans="1:19" x14ac:dyDescent="0.25">
      <c r="B45" s="130"/>
      <c r="C45" s="130"/>
      <c r="D45" s="207"/>
      <c r="E45" s="207"/>
      <c r="F45" s="207"/>
      <c r="G45" s="207"/>
      <c r="J45" s="133"/>
      <c r="K45" s="303"/>
      <c r="L45" s="303"/>
      <c r="M45" s="303"/>
      <c r="N45" s="303"/>
      <c r="O45" s="303"/>
      <c r="P45" s="303"/>
      <c r="Q45" s="303"/>
      <c r="R45" s="303"/>
      <c r="S45" s="131"/>
    </row>
    <row r="46" spans="1:19" x14ac:dyDescent="0.25">
      <c r="J46" s="133"/>
      <c r="K46" s="303">
        <v>1.51</v>
      </c>
      <c r="L46" s="303" t="s">
        <v>5678</v>
      </c>
      <c r="M46" s="303" t="s">
        <v>5679</v>
      </c>
      <c r="N46" s="303" t="s">
        <v>5680</v>
      </c>
      <c r="O46" s="303" t="s">
        <v>5681</v>
      </c>
      <c r="P46" s="303"/>
      <c r="Q46" s="303"/>
      <c r="R46" s="303"/>
      <c r="S46" s="131"/>
    </row>
    <row r="47" spans="1:19" x14ac:dyDescent="0.25">
      <c r="J47" s="133"/>
      <c r="K47" s="303">
        <v>1.42</v>
      </c>
      <c r="L47" s="303" t="s">
        <v>5678</v>
      </c>
      <c r="M47" s="303" t="s">
        <v>5682</v>
      </c>
      <c r="N47" s="303" t="s">
        <v>5680</v>
      </c>
      <c r="O47" s="303" t="s">
        <v>5681</v>
      </c>
      <c r="P47" s="303"/>
      <c r="Q47" s="303"/>
      <c r="R47" s="303"/>
      <c r="S47" s="131"/>
    </row>
    <row r="48" spans="1:19" x14ac:dyDescent="0.25">
      <c r="J48" s="133"/>
      <c r="K48" s="303">
        <v>0.73799999999999999</v>
      </c>
      <c r="L48" s="303" t="s">
        <v>5678</v>
      </c>
      <c r="M48" s="303" t="s">
        <v>5683</v>
      </c>
      <c r="N48" s="303" t="s">
        <v>5680</v>
      </c>
      <c r="O48" s="303" t="s">
        <v>5681</v>
      </c>
      <c r="P48" s="303"/>
      <c r="Q48" s="303"/>
      <c r="R48" s="303"/>
      <c r="S48" s="131"/>
    </row>
    <row r="49" spans="10:19" x14ac:dyDescent="0.25">
      <c r="J49" s="133"/>
      <c r="K49" s="303"/>
      <c r="L49" s="303"/>
      <c r="M49" s="303"/>
      <c r="N49" s="303"/>
      <c r="O49" s="303"/>
      <c r="P49" s="303"/>
      <c r="Q49" s="303"/>
      <c r="R49" s="303"/>
      <c r="S49" s="131"/>
    </row>
    <row r="50" spans="10:19" x14ac:dyDescent="0.25">
      <c r="J50" s="133"/>
      <c r="K50" s="303">
        <f>K46-K47</f>
        <v>9.000000000000008E-2</v>
      </c>
      <c r="L50" s="303" t="s">
        <v>5678</v>
      </c>
      <c r="M50" s="303" t="s">
        <v>5684</v>
      </c>
      <c r="N50" s="303"/>
      <c r="O50" s="303" t="s">
        <v>5685</v>
      </c>
      <c r="P50" s="303"/>
      <c r="Q50" s="303"/>
      <c r="R50" s="303"/>
      <c r="S50" s="131"/>
    </row>
    <row r="51" spans="10:19" x14ac:dyDescent="0.25">
      <c r="J51" s="133"/>
      <c r="K51" s="306">
        <f>K48</f>
        <v>0.73799999999999999</v>
      </c>
      <c r="L51" s="303" t="s">
        <v>5678</v>
      </c>
      <c r="M51" s="306" t="s">
        <v>5686</v>
      </c>
      <c r="N51" s="306"/>
      <c r="O51" s="303" t="s">
        <v>5685</v>
      </c>
      <c r="P51" s="303"/>
      <c r="Q51" s="303"/>
      <c r="R51" s="303"/>
      <c r="S51" s="131"/>
    </row>
    <row r="52" spans="10:19" x14ac:dyDescent="0.25">
      <c r="J52" s="133"/>
      <c r="K52" s="307">
        <f>K50/(SUM($K$50:$K$51))</f>
        <v>0.10869565217391314</v>
      </c>
      <c r="L52" s="303"/>
      <c r="M52" s="303" t="s">
        <v>5684</v>
      </c>
      <c r="N52" s="303"/>
      <c r="O52" s="303" t="s">
        <v>5685</v>
      </c>
      <c r="P52" s="303"/>
      <c r="Q52" s="303"/>
      <c r="R52" s="303"/>
      <c r="S52" s="131"/>
    </row>
    <row r="53" spans="10:19" x14ac:dyDescent="0.25">
      <c r="J53" s="133"/>
      <c r="K53" s="307">
        <f>K51/(SUM($K$50:$K$51))*0.5</f>
        <v>0.44565217391304346</v>
      </c>
      <c r="L53" s="303"/>
      <c r="M53" s="306" t="s">
        <v>5686</v>
      </c>
      <c r="N53" s="306" t="s">
        <v>5687</v>
      </c>
      <c r="O53" s="303" t="s">
        <v>5685</v>
      </c>
      <c r="P53" s="303"/>
      <c r="Q53" s="303"/>
      <c r="R53" s="303"/>
      <c r="S53" s="131"/>
    </row>
    <row r="54" spans="10:19" x14ac:dyDescent="0.25">
      <c r="J54" s="133"/>
      <c r="K54" s="307">
        <f>K51/(SUM($K$50:$K$51))*0.5</f>
        <v>0.44565217391304346</v>
      </c>
      <c r="L54" s="303"/>
      <c r="M54" s="303" t="s">
        <v>5688</v>
      </c>
      <c r="N54" s="306" t="s">
        <v>5687</v>
      </c>
      <c r="O54" s="303"/>
      <c r="P54" s="303"/>
      <c r="Q54" s="303"/>
      <c r="R54" s="303"/>
      <c r="S54" s="131"/>
    </row>
    <row r="55" spans="10:19" x14ac:dyDescent="0.25">
      <c r="J55" s="133"/>
      <c r="K55" s="303"/>
      <c r="L55" s="303"/>
      <c r="M55" s="303"/>
      <c r="N55" s="303"/>
      <c r="O55" s="303"/>
      <c r="P55" s="303"/>
      <c r="Q55" s="303"/>
      <c r="R55" s="303"/>
      <c r="S55" s="131"/>
    </row>
    <row r="56" spans="10:19" ht="25" x14ac:dyDescent="0.25">
      <c r="J56" s="133"/>
      <c r="K56" s="308" t="s">
        <v>146</v>
      </c>
      <c r="L56" s="308" t="s">
        <v>153</v>
      </c>
      <c r="M56" s="303"/>
      <c r="N56" s="303"/>
      <c r="O56" s="305"/>
      <c r="P56" s="303"/>
      <c r="Q56" s="303"/>
      <c r="R56" s="303"/>
      <c r="S56" s="131"/>
    </row>
    <row r="57" spans="10:19" x14ac:dyDescent="0.25">
      <c r="J57" s="133"/>
      <c r="K57" s="303">
        <f>$M62/$O62</f>
        <v>14641.300000000001</v>
      </c>
      <c r="L57" s="303">
        <f>$N62/$O62</f>
        <v>14.641300000000001</v>
      </c>
      <c r="M57" s="305" t="s">
        <v>5689</v>
      </c>
      <c r="N57" s="305"/>
      <c r="O57" s="305"/>
      <c r="P57" s="303"/>
      <c r="Q57" s="303"/>
      <c r="R57" s="303"/>
      <c r="S57" s="131"/>
    </row>
    <row r="58" spans="10:19" x14ac:dyDescent="0.25">
      <c r="J58" s="133"/>
      <c r="K58" s="303">
        <f>$M63/$O63</f>
        <v>13310.584999999999</v>
      </c>
      <c r="L58" s="303">
        <f t="shared" ref="L58:L59" si="4">$N63/$O63</f>
        <v>13.310585000000003</v>
      </c>
      <c r="M58" s="306" t="s">
        <v>5690</v>
      </c>
      <c r="N58" s="303" t="s">
        <v>5691</v>
      </c>
      <c r="O58" s="303" t="s">
        <v>5692</v>
      </c>
      <c r="P58" s="303"/>
      <c r="Q58" s="303"/>
      <c r="R58" s="303"/>
      <c r="S58" s="131"/>
    </row>
    <row r="59" spans="10:19" x14ac:dyDescent="0.25">
      <c r="J59" s="133"/>
      <c r="K59" s="303">
        <f>$M64/$O64</f>
        <v>26424.959999999999</v>
      </c>
      <c r="L59" s="303">
        <f t="shared" si="4"/>
        <v>26.424959999999999</v>
      </c>
      <c r="M59" s="303" t="s">
        <v>5693</v>
      </c>
      <c r="N59" s="303" t="s">
        <v>5694</v>
      </c>
      <c r="O59" s="303" t="s">
        <v>5692</v>
      </c>
      <c r="P59" s="303"/>
      <c r="Q59" s="303"/>
      <c r="R59" s="303"/>
      <c r="S59" s="131"/>
    </row>
    <row r="60" spans="10:19" x14ac:dyDescent="0.25">
      <c r="J60" s="133"/>
      <c r="K60" s="303"/>
      <c r="L60" s="303"/>
      <c r="M60" s="303"/>
      <c r="N60" s="303"/>
      <c r="O60" s="303"/>
      <c r="P60" s="303"/>
      <c r="Q60" s="303"/>
      <c r="R60" s="303"/>
      <c r="S60" s="131"/>
    </row>
    <row r="61" spans="10:19" x14ac:dyDescent="0.25">
      <c r="J61" s="133"/>
      <c r="K61" s="303"/>
      <c r="L61" s="303"/>
      <c r="M61" s="303" t="s">
        <v>5695</v>
      </c>
      <c r="N61" s="303" t="s">
        <v>5696</v>
      </c>
      <c r="O61" s="303" t="s">
        <v>5697</v>
      </c>
      <c r="P61" s="303"/>
      <c r="Q61" s="303"/>
      <c r="R61" s="303"/>
      <c r="S61" s="131"/>
    </row>
    <row r="62" spans="10:19" x14ac:dyDescent="0.25">
      <c r="J62" s="133"/>
      <c r="K62" s="303"/>
      <c r="L62" s="303"/>
      <c r="M62" s="303">
        <f>SUMIFS(_xlfn.ANCHORARRAY($D$23),_xlfn.ANCHORARRAY($B$23),"*"&amp;"Australia"&amp;"*")</f>
        <v>14641.300000000001</v>
      </c>
      <c r="N62" s="303">
        <f>SUMIFS(_xlfn.ANCHORARRAY(E$23),_xlfn.ANCHORARRAY($B$23),"*"&amp;"Australia"&amp;"*")</f>
        <v>14.641300000000001</v>
      </c>
      <c r="O62" s="303">
        <f>COUNTIFS(_xlfn.ANCHORARRAY($B$23),"*"&amp;"Australia"&amp;"*")</f>
        <v>1</v>
      </c>
      <c r="P62" s="303"/>
      <c r="Q62" s="303"/>
      <c r="R62" s="303"/>
      <c r="S62" s="131"/>
    </row>
    <row r="63" spans="10:19" x14ac:dyDescent="0.25">
      <c r="J63" s="133"/>
      <c r="K63" s="303"/>
      <c r="L63" s="303"/>
      <c r="M63" s="309">
        <f>SUM(_xlfn.ANCHORARRAY(D23))-M62-M64</f>
        <v>212969.36</v>
      </c>
      <c r="N63" s="309">
        <f>SUM(_xlfn.ANCHORARRAY(E$23))-N62-N64</f>
        <v>212.96936000000005</v>
      </c>
      <c r="O63" s="303">
        <f>COUNT(_xlfn.ANCHORARRAY(E23))-O62-O64</f>
        <v>16</v>
      </c>
      <c r="P63" s="303"/>
      <c r="Q63" s="303"/>
      <c r="R63" s="303"/>
      <c r="S63" s="131"/>
    </row>
    <row r="64" spans="10:19" x14ac:dyDescent="0.25">
      <c r="J64" s="133"/>
      <c r="K64" s="303"/>
      <c r="L64" s="303"/>
      <c r="M64" s="303">
        <f>SUMIFS(_xlfn.ANCHORARRAY($D$23),_xlfn.ANCHORARRAY($B$23),"*"&amp;"China"&amp;"*")</f>
        <v>132124.79999999999</v>
      </c>
      <c r="N64" s="303">
        <f>SUMIFS(_xlfn.ANCHORARRAY(E$23),_xlfn.ANCHORARRAY($B$23),"*"&amp;"China"&amp;"*")</f>
        <v>132.12479999999999</v>
      </c>
      <c r="O64" s="303">
        <f>COUNTIFS(_xlfn.ANCHORARRAY($B$23),"*"&amp;"China"&amp;"*")</f>
        <v>5</v>
      </c>
      <c r="P64" s="303"/>
      <c r="Q64" s="303"/>
      <c r="R64" s="303"/>
      <c r="S64" s="131"/>
    </row>
    <row r="65" spans="11:18" x14ac:dyDescent="0.25">
      <c r="K65" s="130"/>
      <c r="L65" s="130"/>
      <c r="M65" s="130"/>
      <c r="N65" s="130"/>
      <c r="O65" s="130"/>
      <c r="P65" s="130"/>
      <c r="Q65" s="130"/>
      <c r="R65" s="130"/>
    </row>
    <row r="90" spans="9:9" x14ac:dyDescent="0.25">
      <c r="I90" s="198"/>
    </row>
  </sheetData>
  <dataValidations count="1">
    <dataValidation type="list" allowBlank="1" showInputMessage="1" showErrorMessage="1" sqref="B6:B9" xr:uid="{B8A52654-A341-4F6C-BA36-D3D27F2C5F82}">
      <formula1>"Tier 1,Tier 2,Tier 3,Tier 4"</formula1>
    </dataValidation>
  </dataValidation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90107-A4A5-4345-BFD2-9C744741695A}">
  <sheetPr codeName="Sheet103">
    <tabColor rgb="FF00CCFF"/>
  </sheetPr>
  <dimension ref="A1:R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0" width="9.1796875" style="132"/>
    <col min="11" max="11" width="31.1796875" style="132" customWidth="1"/>
    <col min="12" max="12" width="53.453125" style="132" customWidth="1"/>
    <col min="13" max="13" width="42.54296875" style="132" customWidth="1"/>
    <col min="14" max="14" width="13.26953125" style="132" customWidth="1"/>
    <col min="15" max="17" width="9.1796875" style="132"/>
    <col min="18" max="18" width="68.54296875" style="132" customWidth="1"/>
    <col min="19" max="16384" width="9.1796875" style="132"/>
  </cols>
  <sheetData>
    <row r="1" spans="1:16" ht="13" x14ac:dyDescent="0.25">
      <c r="A1" s="202" t="str">
        <f>B16</f>
        <v>Aluminium extruded uncoated</v>
      </c>
    </row>
    <row r="2" spans="1:16" ht="13" x14ac:dyDescent="0.25">
      <c r="A2" s="202"/>
      <c r="C2" s="202"/>
    </row>
    <row r="3" spans="1:16" ht="13" x14ac:dyDescent="0.3">
      <c r="A3" s="227" t="s">
        <v>5626</v>
      </c>
      <c r="B3" s="132" t="s">
        <v>5698</v>
      </c>
    </row>
    <row r="4" spans="1:16" ht="13" x14ac:dyDescent="0.25">
      <c r="A4" s="202"/>
    </row>
    <row r="5" spans="1:16" ht="92.25" customHeight="1" x14ac:dyDescent="0.3">
      <c r="A5" s="227" t="s">
        <v>5628</v>
      </c>
      <c r="B5" s="200" t="s">
        <v>5649</v>
      </c>
      <c r="D5" s="200"/>
      <c r="E5" s="271"/>
    </row>
    <row r="6" spans="1:16" ht="13" x14ac:dyDescent="0.3">
      <c r="A6" s="227" t="s">
        <v>5630</v>
      </c>
      <c r="B6" s="201" t="s">
        <v>72</v>
      </c>
      <c r="D6" s="132"/>
      <c r="K6" s="132" t="s">
        <v>5650</v>
      </c>
      <c r="L6" s="132">
        <f>MAX(P10,P15,P19,P23,P27,P31,P35,P39,P43)</f>
        <v>1.9000000000000004</v>
      </c>
    </row>
    <row r="7" spans="1:16" ht="13" x14ac:dyDescent="0.3">
      <c r="A7" s="227" t="s">
        <v>5631</v>
      </c>
      <c r="B7" s="201" t="s">
        <v>72</v>
      </c>
      <c r="K7" s="132" t="s">
        <v>5651</v>
      </c>
      <c r="L7" s="132">
        <f>MAX(P11,P16,P20,P24,P28,P32,P36,P40,P44)</f>
        <v>0.83000000000000007</v>
      </c>
    </row>
    <row r="8" spans="1:16" ht="13" x14ac:dyDescent="0.3">
      <c r="A8" s="227" t="s">
        <v>5632</v>
      </c>
      <c r="B8" s="201" t="s">
        <v>72</v>
      </c>
      <c r="N8" s="132" t="s">
        <v>5652</v>
      </c>
    </row>
    <row r="9" spans="1:16" ht="13" x14ac:dyDescent="0.3">
      <c r="A9" s="227" t="s">
        <v>5633</v>
      </c>
      <c r="B9" s="202" t="s">
        <v>72</v>
      </c>
      <c r="K9" s="132" t="s">
        <v>5653</v>
      </c>
      <c r="L9" s="132" t="s">
        <v>5654</v>
      </c>
      <c r="M9" s="132" t="s">
        <v>2854</v>
      </c>
      <c r="N9" s="132">
        <v>12.9</v>
      </c>
    </row>
    <row r="10" spans="1:16" ht="13" x14ac:dyDescent="0.3">
      <c r="A10" s="227"/>
      <c r="B10" s="202"/>
      <c r="K10" s="132" t="s">
        <v>5653</v>
      </c>
      <c r="L10" s="132" t="s">
        <v>5655</v>
      </c>
      <c r="M10" s="132" t="s">
        <v>2854</v>
      </c>
      <c r="N10" s="132">
        <v>13.7</v>
      </c>
      <c r="O10" s="275">
        <f>N10/$N$9</f>
        <v>1.0620155038759689</v>
      </c>
      <c r="P10" s="132">
        <f>N10-$N$9</f>
        <v>0.79999999999999893</v>
      </c>
    </row>
    <row r="11" spans="1:16" ht="25.5" x14ac:dyDescent="0.3">
      <c r="A11" s="227" t="s">
        <v>5634</v>
      </c>
      <c r="B11" s="200" t="s">
        <v>5699</v>
      </c>
      <c r="K11" s="132" t="s">
        <v>5653</v>
      </c>
      <c r="L11" s="132" t="s">
        <v>5657</v>
      </c>
      <c r="M11" s="132" t="s">
        <v>2854</v>
      </c>
      <c r="N11" s="132">
        <v>13.2</v>
      </c>
      <c r="O11" s="275">
        <f>N11/$N$9</f>
        <v>1.0232558139534882</v>
      </c>
      <c r="P11" s="132">
        <f>N11-$N$9</f>
        <v>0.29999999999999893</v>
      </c>
    </row>
    <row r="12" spans="1:16" x14ac:dyDescent="0.25">
      <c r="A12" s="228"/>
    </row>
    <row r="13" spans="1:16" x14ac:dyDescent="0.25">
      <c r="A13" s="228"/>
    </row>
    <row r="14" spans="1:16" ht="13" x14ac:dyDescent="0.3">
      <c r="A14" s="227" t="s">
        <v>5635</v>
      </c>
      <c r="K14" s="132" t="s">
        <v>5658</v>
      </c>
      <c r="L14" s="132" t="s">
        <v>5654</v>
      </c>
      <c r="M14" s="132" t="s">
        <v>5659</v>
      </c>
      <c r="N14" s="132">
        <v>5.17</v>
      </c>
    </row>
    <row r="15" spans="1:16" ht="13" x14ac:dyDescent="0.3">
      <c r="A15" s="227"/>
      <c r="B15" s="135"/>
      <c r="C15" s="135"/>
      <c r="D15" s="299" t="s">
        <v>77</v>
      </c>
      <c r="E15" s="300"/>
      <c r="F15" s="299" t="s">
        <v>5424</v>
      </c>
      <c r="G15" s="301"/>
      <c r="K15" s="132" t="s">
        <v>5658</v>
      </c>
      <c r="L15" s="132" t="s">
        <v>5655</v>
      </c>
      <c r="M15" s="132" t="s">
        <v>5660</v>
      </c>
      <c r="N15" s="132">
        <v>6.54</v>
      </c>
      <c r="O15" s="275">
        <f>N15/$N$14</f>
        <v>1.2649903288201161</v>
      </c>
      <c r="P15" s="132">
        <f>N15-$N$14</f>
        <v>1.37</v>
      </c>
    </row>
    <row r="16" spans="1:16" ht="39" x14ac:dyDescent="0.25">
      <c r="A16" s="133"/>
      <c r="B16" s="312" t="s">
        <v>2843</v>
      </c>
      <c r="C16" s="313" t="s">
        <v>24</v>
      </c>
      <c r="D16" s="314" t="s">
        <v>146</v>
      </c>
      <c r="E16" s="315" t="s">
        <v>153</v>
      </c>
      <c r="F16" s="314" t="s">
        <v>147</v>
      </c>
      <c r="G16" s="314" t="s">
        <v>154</v>
      </c>
      <c r="H16" s="131"/>
      <c r="K16" s="132" t="s">
        <v>5658</v>
      </c>
      <c r="L16" s="132" t="s">
        <v>5657</v>
      </c>
      <c r="M16" s="132" t="s">
        <v>5661</v>
      </c>
      <c r="N16" s="132">
        <v>6</v>
      </c>
      <c r="O16" s="275">
        <f>N16/$N$14</f>
        <v>1.1605415860735009</v>
      </c>
      <c r="P16" s="132">
        <f>N16-$N$14</f>
        <v>0.83000000000000007</v>
      </c>
    </row>
    <row r="17" spans="1:18" ht="13" x14ac:dyDescent="0.3">
      <c r="A17" s="133"/>
      <c r="B17" s="211"/>
      <c r="C17" s="212" t="s">
        <v>5636</v>
      </c>
      <c r="D17" s="196" t="str" cm="1">
        <f t="array" ref="D17">IF(AND(_xlfn.ANCHORARRAY(C23)=C23),C23,"Mixed")</f>
        <v>tonne</v>
      </c>
      <c r="E17" s="196" t="s">
        <v>2774</v>
      </c>
      <c r="F17" s="196" t="str" cm="1">
        <f t="array" ref="F17">IF(AND(_xlfn.ANCHORARRAY(C23)=C23),C23,"Mixed")</f>
        <v>tonne</v>
      </c>
      <c r="G17" s="213" t="s">
        <v>2774</v>
      </c>
      <c r="H17" s="131"/>
    </row>
    <row r="18" spans="1:18" s="200" customFormat="1" ht="13" x14ac:dyDescent="0.3">
      <c r="A18" s="221"/>
      <c r="B18" s="214"/>
      <c r="C18" s="202" t="s">
        <v>5637</v>
      </c>
      <c r="D18" s="198">
        <f>MAX(_xlfn.ANCHORARRAY(D23))+($L$7*1000)</f>
        <v>30460</v>
      </c>
      <c r="E18" s="198">
        <f>MAX(_xlfn.ANCHORARRAY(E23))+$L$7</f>
        <v>30.46</v>
      </c>
      <c r="F18" s="198">
        <f t="shared" ref="F18:G18" si="0">MAX(_xlfn.ANCHORARRAY(F23))</f>
        <v>0</v>
      </c>
      <c r="G18" s="215">
        <f t="shared" si="0"/>
        <v>0</v>
      </c>
      <c r="H18" s="131"/>
      <c r="I18" s="132"/>
      <c r="K18" s="200" t="s">
        <v>5662</v>
      </c>
      <c r="L18" s="200" t="s">
        <v>5654</v>
      </c>
      <c r="M18" s="200" t="s">
        <v>5663</v>
      </c>
      <c r="N18" s="200">
        <v>17.670000000000002</v>
      </c>
      <c r="O18" s="132"/>
      <c r="P18" s="132"/>
    </row>
    <row r="19" spans="1:18" ht="13" x14ac:dyDescent="0.25">
      <c r="A19" s="133"/>
      <c r="B19" s="204"/>
      <c r="C19" s="202" t="s">
        <v>5638</v>
      </c>
      <c r="D19" s="198">
        <f>MIN(_xlfn.ANCHORARRAY(D23))+($L$7*1000)</f>
        <v>5154.1500000000005</v>
      </c>
      <c r="E19" s="198">
        <f>MIN(_xlfn.ANCHORARRAY(E23))+$L$7</f>
        <v>5.1541500000000005</v>
      </c>
      <c r="F19" s="198">
        <f t="shared" ref="F19:G19" si="1">MIN(_xlfn.ANCHORARRAY(F23))</f>
        <v>0</v>
      </c>
      <c r="G19" s="215">
        <f t="shared" si="1"/>
        <v>0</v>
      </c>
      <c r="H19" s="131"/>
      <c r="K19" s="132" t="s">
        <v>5662</v>
      </c>
      <c r="L19" s="132" t="s">
        <v>5655</v>
      </c>
      <c r="M19" s="132" t="s">
        <v>2854</v>
      </c>
      <c r="N19" s="132">
        <v>18.600000000000001</v>
      </c>
      <c r="O19" s="275">
        <f>N19/$N$18</f>
        <v>1.0526315789473684</v>
      </c>
      <c r="P19" s="132">
        <f>N19-$N$18</f>
        <v>0.92999999999999972</v>
      </c>
      <c r="R19" s="132" t="s">
        <v>5664</v>
      </c>
    </row>
    <row r="20" spans="1:18" ht="13" x14ac:dyDescent="0.25">
      <c r="A20" s="133"/>
      <c r="B20" s="204"/>
      <c r="C20" s="245" t="s">
        <v>5665</v>
      </c>
      <c r="D20" s="230">
        <f>SUMPRODUCT($K$52:$K$54,K57:K59)</f>
        <v>18229.677663043476</v>
      </c>
      <c r="E20" s="230">
        <f>SUMPRODUCT($K$52:$K$54,L57:L59)</f>
        <v>18.229677663043478</v>
      </c>
      <c r="F20" s="230"/>
      <c r="G20" s="302"/>
      <c r="H20" s="131"/>
      <c r="K20" s="132" t="s">
        <v>5662</v>
      </c>
      <c r="L20" s="132" t="s">
        <v>5657</v>
      </c>
      <c r="M20" s="132" t="s">
        <v>2854</v>
      </c>
      <c r="N20" s="132">
        <v>18.5</v>
      </c>
      <c r="O20" s="275">
        <f>N20/$N$18</f>
        <v>1.0469722693831351</v>
      </c>
      <c r="P20" s="132">
        <f>N20-$N$18</f>
        <v>0.82999999999999829</v>
      </c>
      <c r="R20" s="132" t="s">
        <v>5666</v>
      </c>
    </row>
    <row r="21" spans="1:18" ht="13" x14ac:dyDescent="0.25">
      <c r="A21" s="133"/>
      <c r="B21" s="204"/>
      <c r="C21" s="202" t="s">
        <v>5639</v>
      </c>
      <c r="D21" s="230">
        <f>AVERAGE(_xlfn.ANCHORARRAY(D23))</f>
        <v>15281.611818181816</v>
      </c>
      <c r="E21" s="230">
        <f t="shared" ref="E21:G21" si="2">AVERAGE(_xlfn.ANCHORARRAY(E23))</f>
        <v>15.281611818181819</v>
      </c>
      <c r="F21" s="230">
        <f t="shared" si="2"/>
        <v>0</v>
      </c>
      <c r="G21" s="302">
        <f t="shared" si="2"/>
        <v>0</v>
      </c>
      <c r="H21" s="131"/>
    </row>
    <row r="22" spans="1:18" ht="13" x14ac:dyDescent="0.25">
      <c r="A22" s="133"/>
      <c r="B22" s="197" t="s">
        <v>5640</v>
      </c>
      <c r="D22" s="132"/>
      <c r="E22" s="132"/>
      <c r="F22" s="132"/>
      <c r="G22" s="216"/>
      <c r="H22" s="131"/>
      <c r="K22" s="132" t="s">
        <v>5667</v>
      </c>
      <c r="L22" s="132" t="s">
        <v>5654</v>
      </c>
      <c r="M22" s="132" t="s">
        <v>2854</v>
      </c>
      <c r="N22" s="132">
        <v>11.7</v>
      </c>
    </row>
    <row r="23" spans="1:18" x14ac:dyDescent="0.25">
      <c r="A23" s="133"/>
      <c r="B23" s="204" t="str" cm="1">
        <f t="array" ref="B23:B44">_xlfn.UNIQUE(_xlfn._xlws.FILTER('EPD List'!D:D,ISNUMBER(SEARCH(B16,'EPD List'!C:C)),0))</f>
        <v>Aluminium, China, Hyperion Aluminium Profiles manufactured in China  (Envirobuild) (China)</v>
      </c>
      <c r="C23" s="132" t="str" cm="1">
        <f t="array" ref="C23:C44">_xlfn.IFNA(INDEX('EPD List'!$A:$AB,MATCH(_xlfn.ANCHORARRAY(B23),'EPD List'!$D:$D,0),MATCH(C$16,'EPD List'!$7:$7,0)),"")</f>
        <v>tonne</v>
      </c>
      <c r="D23" s="198" cm="1">
        <f t="array" ref="D23:D44">_xlfn.IFNA(VALUE((INDEX('EPD List'!$A:$AD,MATCH(_xlfn.ANCHORARRAY($B23),'EPD List'!$D:$D,0),MATCH(D$16,'EPD List'!$7:$7,0)))),"")+($L$7*1000)</f>
        <v>23292</v>
      </c>
      <c r="E23" s="198" cm="1">
        <f t="array" ref="E23:E44">IFERROR(VALUE((INDEX('EPD List'!$A:$AD,MATCH(_xlfn.ANCHORARRAY($B23),'EPD List'!$D:$D,0),MATCH(E$16,'EPD List'!$7:$7,0)))),"")+$L$7</f>
        <v>23.292000000000002</v>
      </c>
      <c r="F23" s="198" cm="1">
        <f t="array" ref="F23:F44">_xlfn.IFNA(VALUE((INDEX('EPD List'!$A:$AD,MATCH(_xlfn.ANCHORARRAY($B23),'EPD List'!$D:$D,0),MATCH(F$16,'EPD List'!$7:$7,0)))),"")</f>
        <v>0</v>
      </c>
      <c r="G23" s="215" cm="1">
        <f t="array" ref="G23:G44">IFERROR(VALUE((INDEX('EPD List'!$A:$AD,MATCH(_xlfn.ANCHORARRAY($B23),'EPD List'!$D:$D,0),MATCH(G$16,'EPD List'!$7:$7,0)))),"")</f>
        <v>0</v>
      </c>
      <c r="H23" s="131"/>
      <c r="K23" s="132" t="s">
        <v>5667</v>
      </c>
      <c r="L23" s="132" t="s">
        <v>5655</v>
      </c>
      <c r="M23" s="132" t="s">
        <v>2854</v>
      </c>
      <c r="N23" s="132">
        <v>13.6</v>
      </c>
      <c r="O23" s="275">
        <f>N23/$N$22</f>
        <v>1.1623931623931625</v>
      </c>
      <c r="P23" s="132">
        <f>N23-$N$22</f>
        <v>1.9000000000000004</v>
      </c>
    </row>
    <row r="24" spans="1:18" x14ac:dyDescent="0.25">
      <c r="A24" s="133"/>
      <c r="B24" s="204" t="str">
        <v>Aluminium, China, Extruded aluminium out of China (Jiangyin Jianbang) (China)</v>
      </c>
      <c r="C24" s="132" t="str">
        <v>tonne</v>
      </c>
      <c r="D24" s="198">
        <v>25491.3</v>
      </c>
      <c r="E24" s="198">
        <v>25.491300000000003</v>
      </c>
      <c r="F24" s="198">
        <v>0</v>
      </c>
      <c r="G24" s="215">
        <v>0</v>
      </c>
      <c r="H24" s="131"/>
      <c r="K24" s="132" t="s">
        <v>5667</v>
      </c>
      <c r="L24" s="132" t="s">
        <v>5657</v>
      </c>
      <c r="M24" s="132" t="s">
        <v>2854</v>
      </c>
      <c r="N24" s="132">
        <v>12.1</v>
      </c>
      <c r="O24" s="275">
        <f>N24/$N$22</f>
        <v>1.0341880341880343</v>
      </c>
      <c r="P24" s="132">
        <f>N24-$N$22</f>
        <v>0.40000000000000036</v>
      </c>
    </row>
    <row r="25" spans="1:18" x14ac:dyDescent="0.25">
      <c r="A25" s="133"/>
      <c r="B25" s="204" t="str">
        <v>Aluminium, China, Thermal break aluminium profile out of China (Jiangyin Jianbang) (China)</v>
      </c>
      <c r="C25" s="132" t="str">
        <v>tonne</v>
      </c>
      <c r="D25" s="198">
        <v>25790.2</v>
      </c>
      <c r="E25" s="198">
        <v>25.790199999999999</v>
      </c>
      <c r="F25" s="198">
        <v>0</v>
      </c>
      <c r="G25" s="215">
        <v>0</v>
      </c>
      <c r="H25" s="131"/>
    </row>
    <row r="26" spans="1:18" x14ac:dyDescent="0.25">
      <c r="A26" s="133"/>
      <c r="B26" s="204" t="str">
        <v>Aluminium, Global, Hydro recycled low carbon aluminium profiles (Hydro) (Europe)</v>
      </c>
      <c r="C26" s="132" t="str">
        <v>tonne</v>
      </c>
      <c r="D26" s="198">
        <v>4497.54</v>
      </c>
      <c r="E26" s="198">
        <v>4.4975400000000008</v>
      </c>
      <c r="F26" s="198">
        <v>0</v>
      </c>
      <c r="G26" s="215">
        <v>0</v>
      </c>
      <c r="H26" s="131"/>
      <c r="K26" s="132" t="s">
        <v>5668</v>
      </c>
      <c r="L26" s="132" t="s">
        <v>5654</v>
      </c>
      <c r="M26" s="132" t="s">
        <v>2854</v>
      </c>
      <c r="N26" s="132">
        <v>13.9</v>
      </c>
    </row>
    <row r="27" spans="1:18" x14ac:dyDescent="0.25">
      <c r="A27" s="133"/>
      <c r="B27" s="204" t="str">
        <v>Aluminium, Global, Extruded aluminium profile 70% recycled aluminium out of Greece (Sanlev) (Greece)</v>
      </c>
      <c r="C27" s="132" t="str">
        <v>tonne</v>
      </c>
      <c r="D27" s="198">
        <v>9866.2000000000007</v>
      </c>
      <c r="E27" s="198">
        <v>9.8661999999999992</v>
      </c>
      <c r="F27" s="198">
        <v>0</v>
      </c>
      <c r="G27" s="215">
        <v>0</v>
      </c>
      <c r="H27" s="131"/>
      <c r="K27" s="132" t="s">
        <v>5668</v>
      </c>
      <c r="L27" s="132" t="s">
        <v>5655</v>
      </c>
      <c r="M27" s="132" t="s">
        <v>2854</v>
      </c>
      <c r="N27" s="132">
        <v>15.2</v>
      </c>
      <c r="O27" s="275">
        <f>N27/$N$26</f>
        <v>1.093525179856115</v>
      </c>
      <c r="P27" s="132">
        <f>N27-$N$26</f>
        <v>1.2999999999999989</v>
      </c>
    </row>
    <row r="28" spans="1:18" x14ac:dyDescent="0.25">
      <c r="A28" s="133"/>
      <c r="B28" s="204" t="str">
        <v>Aluminium, Global, Primary aluminium out of India (Vedanta) (India)</v>
      </c>
      <c r="C28" s="132" t="str">
        <v>tonne</v>
      </c>
      <c r="D28" s="198">
        <v>25437.57</v>
      </c>
      <c r="E28" s="198">
        <v>25.437570000000001</v>
      </c>
      <c r="F28" s="198">
        <v>0</v>
      </c>
      <c r="G28" s="215">
        <v>0</v>
      </c>
      <c r="H28" s="131"/>
      <c r="K28" s="132" t="s">
        <v>5668</v>
      </c>
      <c r="L28" s="132" t="s">
        <v>5657</v>
      </c>
      <c r="M28" s="132" t="s">
        <v>2854</v>
      </c>
      <c r="N28" s="132">
        <v>14.3</v>
      </c>
      <c r="O28" s="275">
        <f>N28/$N$26</f>
        <v>1.0287769784172662</v>
      </c>
      <c r="P28" s="132">
        <f>N28-$N$26</f>
        <v>0.40000000000000036</v>
      </c>
    </row>
    <row r="29" spans="1:18" x14ac:dyDescent="0.25">
      <c r="A29" s="133"/>
      <c r="B29" s="204" t="str">
        <v>Aluminium, China, CNA-CNA-CNA (China) extruded aluminium (Industry wide) (China)</v>
      </c>
      <c r="C29" s="132" t="str">
        <v>tonne</v>
      </c>
      <c r="D29" s="198">
        <v>22571.300000000003</v>
      </c>
      <c r="E29" s="198">
        <v>22.571300000000001</v>
      </c>
      <c r="F29" s="198">
        <v>0</v>
      </c>
      <c r="G29" s="215">
        <v>0</v>
      </c>
      <c r="H29" s="131"/>
    </row>
    <row r="30" spans="1:18" x14ac:dyDescent="0.25">
      <c r="A30" s="133"/>
      <c r="B30" s="204" t="str">
        <v>Aluminium, Global, OCA-OCA-GCC scenario (Oceania &gt; Gulf cooperation council) extruded aluminium (Industry wide) (Oceania)</v>
      </c>
      <c r="C30" s="132" t="str">
        <v>tonne</v>
      </c>
      <c r="D30" s="198">
        <v>13571.300000000001</v>
      </c>
      <c r="E30" s="198">
        <v>13.571300000000001</v>
      </c>
      <c r="F30" s="198">
        <v>0</v>
      </c>
      <c r="G30" s="215">
        <v>0</v>
      </c>
      <c r="H30" s="131"/>
      <c r="K30" s="132" t="s">
        <v>5669</v>
      </c>
      <c r="L30" s="132" t="s">
        <v>5654</v>
      </c>
      <c r="M30" s="132" t="s">
        <v>2854</v>
      </c>
      <c r="N30" s="132">
        <v>19.100000000000001</v>
      </c>
    </row>
    <row r="31" spans="1:18" x14ac:dyDescent="0.25">
      <c r="A31" s="133"/>
      <c r="B31" s="204" t="str">
        <v>Aluminium, Global, AFR-EUR-EUR scenario (Africa &gt; Europe) extruded aluminium (Industry wide) (Africa)</v>
      </c>
      <c r="C31" s="132" t="str">
        <v>tonne</v>
      </c>
      <c r="D31" s="198">
        <v>9671.3000000000011</v>
      </c>
      <c r="E31" s="198">
        <v>9.6713000000000005</v>
      </c>
      <c r="F31" s="198">
        <v>0</v>
      </c>
      <c r="G31" s="215">
        <v>0</v>
      </c>
      <c r="H31" s="131"/>
      <c r="K31" s="132" t="s">
        <v>5669</v>
      </c>
      <c r="L31" s="132" t="s">
        <v>5655</v>
      </c>
      <c r="M31" s="132" t="s">
        <v>2854</v>
      </c>
      <c r="N31" s="132">
        <v>20.100000000000001</v>
      </c>
      <c r="O31" s="275">
        <f>N31/$N$30</f>
        <v>1.0523560209424083</v>
      </c>
      <c r="P31" s="132">
        <f>N31-$N$30</f>
        <v>1</v>
      </c>
    </row>
    <row r="32" spans="1:18" x14ac:dyDescent="0.25">
      <c r="A32" s="133"/>
      <c r="B32" s="204" t="str">
        <v>Aluminium, Global, SAM-SAM-CAN scenario (South America &gt; Canada) extruded aluminium (Industry wide) (South America)</v>
      </c>
      <c r="C32" s="132" t="str">
        <v>tonne</v>
      </c>
      <c r="D32" s="198">
        <v>7671.3</v>
      </c>
      <c r="E32" s="198">
        <v>7.6713000000000005</v>
      </c>
      <c r="F32" s="198">
        <v>0</v>
      </c>
      <c r="G32" s="215">
        <v>0</v>
      </c>
      <c r="H32" s="131"/>
      <c r="K32" s="132" t="s">
        <v>5669</v>
      </c>
      <c r="L32" s="132" t="s">
        <v>5657</v>
      </c>
      <c r="M32" s="132" t="s">
        <v>2854</v>
      </c>
      <c r="N32" s="132">
        <v>19.7</v>
      </c>
      <c r="O32" s="275">
        <f>N32/$N$30</f>
        <v>1.0314136125654449</v>
      </c>
      <c r="P32" s="132">
        <f>N32-$N$30</f>
        <v>0.59999999999999787</v>
      </c>
    </row>
    <row r="33" spans="1:18" x14ac:dyDescent="0.25">
      <c r="A33" s="133"/>
      <c r="B33" s="204" t="str">
        <v>Aluminium, Australia, Proxy for Australia using oceania value extruded aluminium (Industry wide) (Australia)</v>
      </c>
      <c r="C33" s="132" t="str">
        <v>tonne</v>
      </c>
      <c r="D33" s="198">
        <v>13571.300000000001</v>
      </c>
      <c r="E33" s="198">
        <v>13.571300000000001</v>
      </c>
      <c r="F33" s="198">
        <v>0</v>
      </c>
      <c r="G33" s="215">
        <v>0</v>
      </c>
      <c r="H33" s="131"/>
    </row>
    <row r="34" spans="1:18" x14ac:dyDescent="0.25">
      <c r="A34" s="133"/>
      <c r="B34" s="204" t="str">
        <v>Aluminium, Extruded, Extruded aluminium and extruded thermal break extruded aluminium (Galuminium) (China)</v>
      </c>
      <c r="C34" s="132" t="str">
        <v>tonne</v>
      </c>
      <c r="D34" s="198">
        <v>29630</v>
      </c>
      <c r="E34" s="198">
        <v>29.630000000000003</v>
      </c>
      <c r="F34" s="198">
        <v>0</v>
      </c>
      <c r="G34" s="215">
        <v>0</v>
      </c>
      <c r="H34" s="131"/>
      <c r="K34" s="132" t="s">
        <v>5670</v>
      </c>
      <c r="L34" s="132" t="s">
        <v>5671</v>
      </c>
      <c r="M34" s="132" t="s">
        <v>5663</v>
      </c>
      <c r="N34" s="132">
        <v>7.4304000000000006</v>
      </c>
    </row>
    <row r="35" spans="1:18" x14ac:dyDescent="0.25">
      <c r="A35" s="133"/>
      <c r="B35" s="204" t="str">
        <v>Aluminium, Global, Hydro recycled low carbon aluminium profiles - UK (Hydro) (UK)</v>
      </c>
      <c r="C35" s="132" t="str">
        <v>tonne</v>
      </c>
      <c r="D35" s="198">
        <v>4324.1500000000005</v>
      </c>
      <c r="E35" s="198">
        <v>4.3241500000000004</v>
      </c>
      <c r="F35" s="198">
        <v>0</v>
      </c>
      <c r="G35" s="215">
        <v>0</v>
      </c>
      <c r="H35" s="131"/>
      <c r="K35" s="132" t="s">
        <v>5670</v>
      </c>
      <c r="L35" s="132" t="s">
        <v>5672</v>
      </c>
      <c r="M35" s="132" t="s">
        <v>2854</v>
      </c>
      <c r="N35" s="132">
        <v>8.64</v>
      </c>
      <c r="O35" s="275">
        <f>N35/$N$34</f>
        <v>1.1627906976744187</v>
      </c>
      <c r="P35" s="132">
        <f>N35-$N$34</f>
        <v>1.2096</v>
      </c>
      <c r="R35" s="132" t="s">
        <v>5673</v>
      </c>
    </row>
    <row r="36" spans="1:18" x14ac:dyDescent="0.25">
      <c r="A36" s="133"/>
      <c r="B36" s="204" t="str">
        <v>Aluminium, Extruded, Extruded aluminium (uncoated) (Sistem) (Turkey)</v>
      </c>
      <c r="C36" s="132" t="str">
        <v>tonne</v>
      </c>
      <c r="D36" s="198">
        <v>13730</v>
      </c>
      <c r="E36" s="198">
        <v>13.73</v>
      </c>
      <c r="F36" s="198">
        <v>0</v>
      </c>
      <c r="G36" s="215">
        <v>0</v>
      </c>
      <c r="H36" s="131"/>
      <c r="K36" s="132" t="s">
        <v>5670</v>
      </c>
      <c r="L36" s="132" t="s">
        <v>5674</v>
      </c>
      <c r="M36" s="132" t="s">
        <v>2854</v>
      </c>
      <c r="N36" s="132">
        <v>7.84</v>
      </c>
      <c r="O36" s="275">
        <f>N36/$N$34</f>
        <v>1.0551248923341945</v>
      </c>
      <c r="P36" s="132">
        <f>N36-$N$34</f>
        <v>0.4095999999999993</v>
      </c>
      <c r="R36" s="132" t="s">
        <v>5675</v>
      </c>
    </row>
    <row r="37" spans="1:18" x14ac:dyDescent="0.25">
      <c r="A37" s="133"/>
      <c r="B37" s="204" t="str">
        <v>Aluminium, Extruded, Extruded aluminium (uncoated) (Kurtoglu) (Turkey)</v>
      </c>
      <c r="C37" s="132" t="str">
        <v>tonne</v>
      </c>
      <c r="D37" s="198">
        <v>6000</v>
      </c>
      <c r="E37" s="198">
        <v>6</v>
      </c>
      <c r="F37" s="198">
        <v>0</v>
      </c>
      <c r="G37" s="215">
        <v>0</v>
      </c>
      <c r="H37" s="131"/>
    </row>
    <row r="38" spans="1:18" x14ac:dyDescent="0.25">
      <c r="A38" s="133"/>
      <c r="B38" s="204" t="str">
        <v>Aluminium, Extruded, Extruded aluminium (uncoated) (Muskita) (Global)</v>
      </c>
      <c r="C38" s="132" t="str">
        <v>tonne</v>
      </c>
      <c r="D38" s="198">
        <v>18500</v>
      </c>
      <c r="E38" s="198">
        <v>18.5</v>
      </c>
      <c r="F38" s="198">
        <v>0</v>
      </c>
      <c r="G38" s="215">
        <v>0</v>
      </c>
      <c r="H38" s="131"/>
      <c r="K38" s="132" t="s">
        <v>5676</v>
      </c>
      <c r="L38" s="132" t="s">
        <v>5654</v>
      </c>
      <c r="M38" s="132" t="s">
        <v>2854</v>
      </c>
      <c r="N38" s="132">
        <v>9.8699999999999992</v>
      </c>
    </row>
    <row r="39" spans="1:18" x14ac:dyDescent="0.25">
      <c r="A39" s="133"/>
      <c r="B39" s="204" t="str">
        <v>Aluminium, Extruded, Extruded aluminium (uncoated) (Burak) (Turkey)</v>
      </c>
      <c r="C39" s="132" t="str">
        <v>tonne</v>
      </c>
      <c r="D39" s="198">
        <v>12530</v>
      </c>
      <c r="E39" s="198">
        <v>12.53</v>
      </c>
      <c r="F39" s="198">
        <v>0</v>
      </c>
      <c r="G39" s="215">
        <v>0</v>
      </c>
      <c r="H39" s="131"/>
      <c r="K39" s="132" t="s">
        <v>5676</v>
      </c>
      <c r="L39" s="132" t="s">
        <v>5655</v>
      </c>
      <c r="M39" s="132" t="s">
        <v>2854</v>
      </c>
      <c r="N39" s="132">
        <v>9.91</v>
      </c>
      <c r="O39" s="275">
        <f>N39/$N$38</f>
        <v>1.0040526849037488</v>
      </c>
      <c r="P39" s="132">
        <f>N39-$N$38</f>
        <v>4.0000000000000924E-2</v>
      </c>
    </row>
    <row r="40" spans="1:18" x14ac:dyDescent="0.25">
      <c r="A40" s="133"/>
      <c r="B40" s="204" t="str">
        <v>Aluminium, Extruded, Extruded aluminium (uncoated) (ASAS) (Turkey)</v>
      </c>
      <c r="C40" s="132" t="str">
        <v>tonne</v>
      </c>
      <c r="D40" s="198">
        <v>14730</v>
      </c>
      <c r="E40" s="198">
        <v>14.73</v>
      </c>
      <c r="F40" s="198">
        <v>0</v>
      </c>
      <c r="G40" s="215">
        <v>0</v>
      </c>
      <c r="H40" s="131"/>
      <c r="K40" s="132" t="s">
        <v>5676</v>
      </c>
      <c r="L40" s="132" t="s">
        <v>5657</v>
      </c>
      <c r="M40" s="132" t="s">
        <v>2854</v>
      </c>
      <c r="N40" s="132">
        <v>10</v>
      </c>
      <c r="O40" s="275">
        <f>N40/$N$38</f>
        <v>1.0131712259371835</v>
      </c>
      <c r="P40" s="132">
        <f>N40-$N$38</f>
        <v>0.13000000000000078</v>
      </c>
    </row>
    <row r="41" spans="1:18" x14ac:dyDescent="0.25">
      <c r="A41" s="133"/>
      <c r="B41" s="204" t="str">
        <v>Aluminium, Extruded, Extruded aluminium (uncoated) (Tuna Aluminium) (Global)</v>
      </c>
      <c r="C41" s="132" t="str">
        <v>tonne</v>
      </c>
      <c r="D41" s="198">
        <v>19930</v>
      </c>
      <c r="E41" s="198">
        <v>19.93</v>
      </c>
      <c r="F41" s="198">
        <v>0</v>
      </c>
      <c r="G41" s="215">
        <v>0</v>
      </c>
      <c r="H41" s="131"/>
    </row>
    <row r="42" spans="1:18" x14ac:dyDescent="0.25">
      <c r="A42" s="133"/>
      <c r="B42" s="204" t="str">
        <v>Aluminium, Extruded, Extruded aluminium (uncoated) (Spanish Aluminium Association) (Spanish)</v>
      </c>
      <c r="C42" s="132" t="str">
        <v>tonne</v>
      </c>
      <c r="D42" s="198">
        <v>8260</v>
      </c>
      <c r="E42" s="198">
        <v>8.26</v>
      </c>
      <c r="F42" s="198">
        <v>0</v>
      </c>
      <c r="G42" s="215">
        <v>0</v>
      </c>
      <c r="H42" s="131"/>
      <c r="K42" s="132" t="s">
        <v>5677</v>
      </c>
      <c r="L42" s="132" t="s">
        <v>5654</v>
      </c>
      <c r="M42" s="132" t="s">
        <v>2854</v>
      </c>
      <c r="N42" s="132">
        <v>15.6</v>
      </c>
    </row>
    <row r="43" spans="1:18" x14ac:dyDescent="0.25">
      <c r="A43" s="133"/>
      <c r="B43" s="204" t="str">
        <v>Aluminium, Extruded, Extruded aluminium (uncoated) (Saray) (Turkey)</v>
      </c>
      <c r="C43" s="132" t="str">
        <v>tonne</v>
      </c>
      <c r="D43" s="198">
        <v>10700</v>
      </c>
      <c r="E43" s="198">
        <v>10.7</v>
      </c>
      <c r="F43" s="198">
        <v>0</v>
      </c>
      <c r="G43" s="215">
        <v>0</v>
      </c>
      <c r="H43" s="131"/>
      <c r="K43" s="132" t="s">
        <v>5677</v>
      </c>
      <c r="L43" s="132" t="s">
        <v>5655</v>
      </c>
      <c r="M43" s="132" t="s">
        <v>2854</v>
      </c>
      <c r="N43" s="132">
        <v>17.399999999999999</v>
      </c>
      <c r="O43" s="275">
        <f>N43/$N$42</f>
        <v>1.1153846153846154</v>
      </c>
      <c r="P43" s="132">
        <f>N43-$N$42</f>
        <v>1.7999999999999989</v>
      </c>
    </row>
    <row r="44" spans="1:18" x14ac:dyDescent="0.25">
      <c r="A44" s="133"/>
      <c r="B44" s="217" t="str">
        <v>Aluminium, Extruded, Extruded aluminium (uncoated) (Al Taiseer) (Saudi Arabia)</v>
      </c>
      <c r="C44" s="218" t="str">
        <v>tonne</v>
      </c>
      <c r="D44" s="219">
        <v>16430</v>
      </c>
      <c r="E44" s="219">
        <v>16.43</v>
      </c>
      <c r="F44" s="219">
        <v>0</v>
      </c>
      <c r="G44" s="220">
        <v>0</v>
      </c>
      <c r="H44" s="131"/>
      <c r="K44" s="132" t="s">
        <v>5677</v>
      </c>
      <c r="L44" s="132" t="s">
        <v>5657</v>
      </c>
      <c r="M44" s="132" t="s">
        <v>2854</v>
      </c>
      <c r="N44" s="132">
        <v>16.3</v>
      </c>
      <c r="O44" s="275">
        <f>N44/$N$42</f>
        <v>1.0448717948717949</v>
      </c>
      <c r="P44" s="132">
        <f>N44-$N$42</f>
        <v>0.70000000000000107</v>
      </c>
    </row>
    <row r="45" spans="1:18" x14ac:dyDescent="0.25">
      <c r="B45" s="130"/>
      <c r="C45" s="130"/>
      <c r="D45" s="207"/>
      <c r="E45" s="207"/>
      <c r="F45" s="207"/>
      <c r="G45" s="207"/>
    </row>
    <row r="46" spans="1:18" x14ac:dyDescent="0.25">
      <c r="K46" s="132">
        <v>1.51</v>
      </c>
      <c r="L46" s="132" t="s">
        <v>5678</v>
      </c>
      <c r="M46" s="132" t="s">
        <v>5679</v>
      </c>
      <c r="N46" s="132" t="s">
        <v>5680</v>
      </c>
      <c r="O46" s="132" t="s">
        <v>5681</v>
      </c>
    </row>
    <row r="47" spans="1:18" x14ac:dyDescent="0.25">
      <c r="K47" s="132">
        <v>1.42</v>
      </c>
      <c r="L47" s="132" t="s">
        <v>5678</v>
      </c>
      <c r="M47" s="132" t="s">
        <v>5682</v>
      </c>
      <c r="N47" s="132" t="s">
        <v>5680</v>
      </c>
      <c r="O47" s="132" t="s">
        <v>5681</v>
      </c>
    </row>
    <row r="48" spans="1:18" x14ac:dyDescent="0.25">
      <c r="K48" s="132">
        <v>0.73799999999999999</v>
      </c>
      <c r="L48" s="132" t="s">
        <v>5678</v>
      </c>
      <c r="M48" s="132" t="s">
        <v>5683</v>
      </c>
      <c r="N48" s="132" t="s">
        <v>5680</v>
      </c>
      <c r="O48" s="132" t="s">
        <v>5681</v>
      </c>
    </row>
    <row r="50" spans="11:15" x14ac:dyDescent="0.25">
      <c r="K50" s="132">
        <f>K46-K47</f>
        <v>9.000000000000008E-2</v>
      </c>
      <c r="L50" s="132" t="s">
        <v>5678</v>
      </c>
      <c r="M50" s="132" t="s">
        <v>5684</v>
      </c>
      <c r="O50" s="132" t="s">
        <v>5685</v>
      </c>
    </row>
    <row r="51" spans="11:15" x14ac:dyDescent="0.25">
      <c r="K51" s="258">
        <f>K48</f>
        <v>0.73799999999999999</v>
      </c>
      <c r="L51" s="132" t="s">
        <v>5678</v>
      </c>
      <c r="M51" s="258" t="s">
        <v>5686</v>
      </c>
      <c r="N51" s="258"/>
      <c r="O51" s="132" t="s">
        <v>5685</v>
      </c>
    </row>
    <row r="52" spans="11:15" x14ac:dyDescent="0.25">
      <c r="K52" s="276">
        <f>K50/(SUM($K$50:$K$51))</f>
        <v>0.10869565217391314</v>
      </c>
      <c r="M52" s="132" t="s">
        <v>5684</v>
      </c>
      <c r="O52" s="132" t="s">
        <v>5685</v>
      </c>
    </row>
    <row r="53" spans="11:15" x14ac:dyDescent="0.25">
      <c r="K53" s="276">
        <f>K51/(SUM($K$50:$K$51))*0.5</f>
        <v>0.44565217391304346</v>
      </c>
      <c r="M53" s="258" t="s">
        <v>5686</v>
      </c>
      <c r="N53" s="258" t="s">
        <v>5687</v>
      </c>
      <c r="O53" s="132" t="s">
        <v>5685</v>
      </c>
    </row>
    <row r="54" spans="11:15" x14ac:dyDescent="0.25">
      <c r="K54" s="276">
        <f>K51/(SUM($K$50:$K$51))*0.5</f>
        <v>0.44565217391304346</v>
      </c>
      <c r="M54" s="132" t="s">
        <v>5688</v>
      </c>
      <c r="N54" s="258" t="s">
        <v>5687</v>
      </c>
    </row>
    <row r="56" spans="11:15" ht="25" x14ac:dyDescent="0.25">
      <c r="K56" s="143" t="s">
        <v>146</v>
      </c>
      <c r="L56" s="143" t="s">
        <v>153</v>
      </c>
      <c r="O56" s="200"/>
    </row>
    <row r="57" spans="11:15" x14ac:dyDescent="0.25">
      <c r="K57" s="132">
        <f>$M62/$O62</f>
        <v>13571.300000000001</v>
      </c>
      <c r="L57" s="132">
        <f>$N62/$O62</f>
        <v>13.571300000000001</v>
      </c>
      <c r="M57" s="200" t="s">
        <v>5689</v>
      </c>
      <c r="N57" s="200"/>
      <c r="O57" s="200"/>
    </row>
    <row r="58" spans="11:15" x14ac:dyDescent="0.25">
      <c r="K58" s="132">
        <f>$M63/$O63</f>
        <v>12240.584999999999</v>
      </c>
      <c r="L58" s="132">
        <f t="shared" ref="L58:L59" si="3">$N63/$O63</f>
        <v>12.240585000000001</v>
      </c>
      <c r="M58" s="258" t="s">
        <v>5690</v>
      </c>
      <c r="N58" s="132" t="s">
        <v>5691</v>
      </c>
      <c r="O58" s="132" t="s">
        <v>5692</v>
      </c>
    </row>
    <row r="59" spans="11:15" x14ac:dyDescent="0.25">
      <c r="K59" s="132">
        <f>$M64/$O64</f>
        <v>25354.959999999999</v>
      </c>
      <c r="L59" s="132">
        <f t="shared" si="3"/>
        <v>25.354959999999998</v>
      </c>
      <c r="M59" s="132" t="s">
        <v>5693</v>
      </c>
      <c r="N59" s="132" t="s">
        <v>5694</v>
      </c>
      <c r="O59" s="132" t="s">
        <v>5692</v>
      </c>
    </row>
    <row r="61" spans="11:15" x14ac:dyDescent="0.25">
      <c r="M61" s="132" t="s">
        <v>5695</v>
      </c>
      <c r="N61" s="132" t="s">
        <v>5696</v>
      </c>
      <c r="O61" s="132" t="s">
        <v>5697</v>
      </c>
    </row>
    <row r="62" spans="11:15" x14ac:dyDescent="0.25">
      <c r="M62" s="132">
        <f>SUMIFS(_xlfn.ANCHORARRAY($D$23),_xlfn.ANCHORARRAY($B$23),"*"&amp;"Australia"&amp;"*")</f>
        <v>13571.300000000001</v>
      </c>
      <c r="N62" s="132">
        <f>SUMIFS(_xlfn.ANCHORARRAY(E$23),_xlfn.ANCHORARRAY($B$23),"*"&amp;"Australia"&amp;"*")</f>
        <v>13.571300000000001</v>
      </c>
      <c r="O62" s="132">
        <f>COUNTIFS(_xlfn.ANCHORARRAY($B$23),"*"&amp;"Australia"&amp;"*")</f>
        <v>1</v>
      </c>
    </row>
    <row r="63" spans="11:15" x14ac:dyDescent="0.25">
      <c r="M63" s="198">
        <f>SUM(_xlfn.ANCHORARRAY(D23))-M62-M64</f>
        <v>195849.36</v>
      </c>
      <c r="N63" s="198">
        <f>SUM(_xlfn.ANCHORARRAY(E$23))-N62-N64</f>
        <v>195.84936000000002</v>
      </c>
      <c r="O63" s="132">
        <f>COUNT(_xlfn.ANCHORARRAY(E23))-O62-O64</f>
        <v>16</v>
      </c>
    </row>
    <row r="64" spans="11:15" x14ac:dyDescent="0.25">
      <c r="M64" s="132">
        <f>SUMIFS(_xlfn.ANCHORARRAY($D$23),_xlfn.ANCHORARRAY($B$23),"*"&amp;"China"&amp;"*")</f>
        <v>126774.8</v>
      </c>
      <c r="N64" s="132">
        <f>SUMIFS(_xlfn.ANCHORARRAY(E$23),_xlfn.ANCHORARRAY($B$23),"*"&amp;"China"&amp;"*")</f>
        <v>126.7748</v>
      </c>
      <c r="O64" s="132">
        <f>COUNTIFS(_xlfn.ANCHORARRAY($B$23),"*"&amp;"China"&amp;"*")</f>
        <v>5</v>
      </c>
    </row>
    <row r="90" spans="9:9" x14ac:dyDescent="0.25">
      <c r="I90" s="198"/>
    </row>
  </sheetData>
  <dataValidations count="1">
    <dataValidation type="list" allowBlank="1" showInputMessage="1" showErrorMessage="1" sqref="B6:B9" xr:uid="{E5EF5932-F5EB-4D8D-A0AA-9290B8097AED}">
      <formula1>"Tier 1,Tier 2,Tier 3,Tier 4"</formula1>
    </dataValidation>
  </dataValidation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CA19F-830C-49EE-AF30-E6A370D118D9}">
  <sheetPr codeName="Sheet101">
    <tabColor rgb="FF00CCFF"/>
  </sheetPr>
  <dimension ref="A1:P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0" width="9.1796875" style="132"/>
    <col min="11" max="11" width="12.453125" style="132" customWidth="1"/>
    <col min="12" max="13" width="14.26953125" style="132" customWidth="1"/>
    <col min="14" max="14" width="39.81640625" style="132" bestFit="1" customWidth="1"/>
    <col min="15" max="15" width="39.81640625" style="132" customWidth="1"/>
    <col min="16" max="16" width="152" style="132" bestFit="1" customWidth="1"/>
    <col min="17" max="16384" width="9.1796875" style="132"/>
  </cols>
  <sheetData>
    <row r="1" spans="1:16" ht="13" x14ac:dyDescent="0.25">
      <c r="A1" s="202" t="str">
        <f>B16</f>
        <v>Aluminium extruded uncoated</v>
      </c>
      <c r="K1" s="202" t="s">
        <v>5700</v>
      </c>
    </row>
    <row r="2" spans="1:16" ht="13" x14ac:dyDescent="0.25">
      <c r="A2" s="202"/>
      <c r="C2" s="202"/>
      <c r="L2" s="132">
        <v>1.51</v>
      </c>
      <c r="M2" s="132" t="s">
        <v>5678</v>
      </c>
      <c r="N2" s="132" t="s">
        <v>5679</v>
      </c>
      <c r="O2" s="132" t="s">
        <v>5680</v>
      </c>
      <c r="P2" s="132" t="s">
        <v>5681</v>
      </c>
    </row>
    <row r="3" spans="1:16" ht="13" x14ac:dyDescent="0.3">
      <c r="A3" s="227" t="s">
        <v>5626</v>
      </c>
      <c r="B3" s="132" t="s">
        <v>5701</v>
      </c>
      <c r="L3" s="132">
        <v>1.42</v>
      </c>
      <c r="M3" s="132" t="s">
        <v>5678</v>
      </c>
      <c r="N3" s="132" t="s">
        <v>5682</v>
      </c>
      <c r="O3" s="132" t="s">
        <v>5680</v>
      </c>
      <c r="P3" s="132" t="s">
        <v>5681</v>
      </c>
    </row>
    <row r="4" spans="1:16" ht="13" x14ac:dyDescent="0.25">
      <c r="A4" s="202"/>
      <c r="L4" s="132">
        <v>0.73799999999999999</v>
      </c>
      <c r="M4" s="132" t="s">
        <v>5678</v>
      </c>
      <c r="N4" s="132" t="s">
        <v>5683</v>
      </c>
      <c r="O4" s="132" t="s">
        <v>5680</v>
      </c>
      <c r="P4" s="132" t="s">
        <v>5681</v>
      </c>
    </row>
    <row r="5" spans="1:16" ht="92.25" customHeight="1" x14ac:dyDescent="0.3">
      <c r="A5" s="227" t="s">
        <v>5628</v>
      </c>
      <c r="B5" s="200" t="s">
        <v>5702</v>
      </c>
      <c r="D5" s="200"/>
      <c r="E5" s="271"/>
    </row>
    <row r="6" spans="1:16" ht="13" x14ac:dyDescent="0.3">
      <c r="A6" s="227" t="s">
        <v>5630</v>
      </c>
      <c r="B6" s="201" t="s">
        <v>72</v>
      </c>
      <c r="D6" s="132"/>
      <c r="L6" s="132">
        <f>L2-L3</f>
        <v>9.000000000000008E-2</v>
      </c>
      <c r="M6" s="132" t="s">
        <v>5678</v>
      </c>
      <c r="N6" s="132" t="s">
        <v>5684</v>
      </c>
      <c r="P6" s="132" t="s">
        <v>5685</v>
      </c>
    </row>
    <row r="7" spans="1:16" ht="13" x14ac:dyDescent="0.3">
      <c r="A7" s="227" t="s">
        <v>5631</v>
      </c>
      <c r="B7" s="201" t="s">
        <v>72</v>
      </c>
      <c r="L7" s="258">
        <f>L4</f>
        <v>0.73799999999999999</v>
      </c>
      <c r="M7" s="132" t="s">
        <v>5678</v>
      </c>
      <c r="N7" s="258" t="s">
        <v>5686</v>
      </c>
      <c r="O7" s="258"/>
      <c r="P7" s="132" t="s">
        <v>5685</v>
      </c>
    </row>
    <row r="8" spans="1:16" ht="13" x14ac:dyDescent="0.3">
      <c r="A8" s="227" t="s">
        <v>5632</v>
      </c>
      <c r="B8" s="201" t="s">
        <v>72</v>
      </c>
      <c r="L8" s="276">
        <f>L6/(SUM($L$6:$L$7))</f>
        <v>0.10869565217391314</v>
      </c>
      <c r="N8" s="132" t="s">
        <v>5684</v>
      </c>
      <c r="P8" s="132" t="s">
        <v>5685</v>
      </c>
    </row>
    <row r="9" spans="1:16" ht="13" x14ac:dyDescent="0.3">
      <c r="A9" s="227" t="s">
        <v>5633</v>
      </c>
      <c r="B9" s="202" t="s">
        <v>72</v>
      </c>
      <c r="L9" s="276">
        <f>L7/(SUM($L$6:$L$7))*0.5</f>
        <v>0.44565217391304346</v>
      </c>
      <c r="N9" s="258" t="s">
        <v>5686</v>
      </c>
      <c r="O9" s="258" t="s">
        <v>5687</v>
      </c>
      <c r="P9" s="132" t="s">
        <v>5685</v>
      </c>
    </row>
    <row r="10" spans="1:16" ht="13" x14ac:dyDescent="0.3">
      <c r="A10" s="227"/>
      <c r="B10" s="202"/>
      <c r="L10" s="276">
        <f>L7/(SUM($L$6:$L$7))*0.5</f>
        <v>0.44565217391304346</v>
      </c>
      <c r="N10" s="132" t="s">
        <v>5688</v>
      </c>
      <c r="O10" s="258" t="s">
        <v>5687</v>
      </c>
    </row>
    <row r="11" spans="1:16" ht="13" x14ac:dyDescent="0.3">
      <c r="A11" s="227" t="s">
        <v>5634</v>
      </c>
      <c r="B11" s="200" t="s">
        <v>5703</v>
      </c>
    </row>
    <row r="12" spans="1:16" ht="37.5" x14ac:dyDescent="0.25">
      <c r="A12" s="228"/>
      <c r="K12" s="200"/>
      <c r="L12" s="143" t="s">
        <v>146</v>
      </c>
      <c r="M12" s="143" t="s">
        <v>153</v>
      </c>
      <c r="P12" s="200"/>
    </row>
    <row r="13" spans="1:16" x14ac:dyDescent="0.25">
      <c r="A13" s="228"/>
      <c r="L13" s="132">
        <f>$N18/$P18</f>
        <v>12741.300000000001</v>
      </c>
      <c r="M13" s="132">
        <f>$O18/$P18</f>
        <v>12.741300000000001</v>
      </c>
      <c r="N13" s="200" t="s">
        <v>5689</v>
      </c>
      <c r="O13" s="200"/>
      <c r="P13" s="200"/>
    </row>
    <row r="14" spans="1:16" ht="13" x14ac:dyDescent="0.3">
      <c r="A14" s="227" t="s">
        <v>5635</v>
      </c>
      <c r="L14" s="132">
        <f>$N19/$P19</f>
        <v>11410.584999999999</v>
      </c>
      <c r="M14" s="132">
        <f>$O19/$P19</f>
        <v>11.410584999999998</v>
      </c>
      <c r="N14" s="258" t="s">
        <v>5690</v>
      </c>
      <c r="O14" s="132" t="s">
        <v>5691</v>
      </c>
      <c r="P14" s="132" t="s">
        <v>5692</v>
      </c>
    </row>
    <row r="15" spans="1:16" ht="13" x14ac:dyDescent="0.3">
      <c r="A15" s="227"/>
      <c r="B15" s="135"/>
      <c r="C15" s="135"/>
      <c r="D15" s="299" t="s">
        <v>77</v>
      </c>
      <c r="E15" s="300"/>
      <c r="F15" s="299" t="s">
        <v>5424</v>
      </c>
      <c r="G15" s="301"/>
      <c r="L15" s="132">
        <f>$N20/$P20</f>
        <v>24524.959999999999</v>
      </c>
      <c r="M15" s="132">
        <f>$O20/$P20</f>
        <v>24.52496</v>
      </c>
      <c r="N15" s="132" t="s">
        <v>5693</v>
      </c>
      <c r="O15" s="132" t="s">
        <v>5694</v>
      </c>
      <c r="P15" s="132" t="s">
        <v>5692</v>
      </c>
    </row>
    <row r="16" spans="1:16" ht="39" x14ac:dyDescent="0.25">
      <c r="A16" s="133"/>
      <c r="B16" s="312" t="s">
        <v>2843</v>
      </c>
      <c r="C16" s="316" t="s">
        <v>24</v>
      </c>
      <c r="D16" s="314" t="s">
        <v>146</v>
      </c>
      <c r="E16" s="315" t="s">
        <v>153</v>
      </c>
      <c r="F16" s="314" t="s">
        <v>147</v>
      </c>
      <c r="G16" s="314" t="s">
        <v>154</v>
      </c>
      <c r="H16" s="131"/>
    </row>
    <row r="17" spans="1:16" ht="13" x14ac:dyDescent="0.3">
      <c r="A17" s="133"/>
      <c r="B17" s="211"/>
      <c r="C17" s="212" t="s">
        <v>5636</v>
      </c>
      <c r="D17" s="196" t="str" cm="1">
        <f t="array" ref="D17">IF(AND(_xlfn.ANCHORARRAY(C23)=C23),C23,"Mixed")</f>
        <v>tonne</v>
      </c>
      <c r="E17" s="196" t="s">
        <v>2774</v>
      </c>
      <c r="F17" s="196" t="str" cm="1">
        <f t="array" ref="F17">IF(AND(_xlfn.ANCHORARRAY(C23)=C23),C23,"Mixed")</f>
        <v>tonne</v>
      </c>
      <c r="G17" s="213" t="s">
        <v>2774</v>
      </c>
      <c r="H17" s="131"/>
      <c r="N17" s="132" t="s">
        <v>5695</v>
      </c>
      <c r="O17" s="132" t="s">
        <v>5696</v>
      </c>
      <c r="P17" s="132" t="s">
        <v>5697</v>
      </c>
    </row>
    <row r="18" spans="1:16" s="200" customFormat="1" ht="13" x14ac:dyDescent="0.3">
      <c r="A18" s="221"/>
      <c r="B18" s="214"/>
      <c r="C18" s="202" t="s">
        <v>5637</v>
      </c>
      <c r="D18" s="198">
        <f>MAX(_xlfn.ANCHORARRAY(D23))</f>
        <v>28800</v>
      </c>
      <c r="E18" s="198">
        <f t="shared" ref="E18:G18" si="0">MAX(_xlfn.ANCHORARRAY(E23))</f>
        <v>28.8</v>
      </c>
      <c r="F18" s="198">
        <f t="shared" si="0"/>
        <v>0</v>
      </c>
      <c r="G18" s="215">
        <f t="shared" si="0"/>
        <v>0</v>
      </c>
      <c r="H18" s="131"/>
      <c r="I18" s="132"/>
      <c r="K18" s="132"/>
      <c r="L18" s="132"/>
      <c r="M18" s="132"/>
      <c r="N18" s="132">
        <f>SUMIFS(_xlfn.ANCHORARRAY(D$23),_xlfn.ANCHORARRAY($B$23),"*"&amp;"Australia"&amp;"*")</f>
        <v>12741.300000000001</v>
      </c>
      <c r="O18" s="132">
        <f>SUMIFS(_xlfn.ANCHORARRAY(E$23),_xlfn.ANCHORARRAY($B$23),"*"&amp;"Australia"&amp;"*")</f>
        <v>12.741300000000001</v>
      </c>
      <c r="P18" s="132">
        <f>COUNTIFS(_xlfn.ANCHORARRAY($B$23),"*"&amp;"Australia"&amp;"*")</f>
        <v>1</v>
      </c>
    </row>
    <row r="19" spans="1:16" ht="13" x14ac:dyDescent="0.25">
      <c r="A19" s="133"/>
      <c r="B19" s="204"/>
      <c r="C19" s="202" t="s">
        <v>5638</v>
      </c>
      <c r="D19" s="198">
        <f>MIN(_xlfn.ANCHORARRAY(D23))</f>
        <v>3494.15</v>
      </c>
      <c r="E19" s="198">
        <f t="shared" ref="E19:G19" si="1">MIN(_xlfn.ANCHORARRAY(E23))</f>
        <v>3.4941500000000003</v>
      </c>
      <c r="F19" s="198">
        <f t="shared" si="1"/>
        <v>0</v>
      </c>
      <c r="G19" s="215">
        <f t="shared" si="1"/>
        <v>0</v>
      </c>
      <c r="H19" s="131"/>
      <c r="N19" s="198">
        <f>SUM(_xlfn.ANCHORARRAY(D$23))-N18-N20</f>
        <v>182569.36</v>
      </c>
      <c r="O19" s="198">
        <f>SUM(_xlfn.ANCHORARRAY(E$23))-O18-O20</f>
        <v>182.56935999999996</v>
      </c>
      <c r="P19" s="198">
        <f>COUNT(_xlfn.ANCHORARRAY(D23))-P18-P20</f>
        <v>16</v>
      </c>
    </row>
    <row r="20" spans="1:16" ht="13" x14ac:dyDescent="0.25">
      <c r="A20" s="133"/>
      <c r="B20" s="204"/>
      <c r="C20" s="245" t="s">
        <v>5665</v>
      </c>
      <c r="D20" s="230">
        <f>SUMPRODUCT($L$8:$L$10,L13:L15)</f>
        <v>17399.67766304348</v>
      </c>
      <c r="E20" s="230">
        <f>SUMPRODUCT($L$8:$L$10,M13:M15)</f>
        <v>17.399677663043477</v>
      </c>
      <c r="F20" s="230">
        <f>SUMPRODUCT($L$8:$L$10,N13:N15)</f>
        <v>0</v>
      </c>
      <c r="G20" s="302">
        <f>SUMPRODUCT($L$8:$L$10,O13:O15)</f>
        <v>0</v>
      </c>
      <c r="H20" s="131"/>
      <c r="N20" s="132">
        <f>SUMIFS(_xlfn.ANCHORARRAY(D$23),_xlfn.ANCHORARRAY($B$23),"*"&amp;"China"&amp;"*")</f>
        <v>122624.8</v>
      </c>
      <c r="O20" s="132">
        <f>SUMIFS(_xlfn.ANCHORARRAY(E$23),_xlfn.ANCHORARRAY($B$23),"*"&amp;"China"&amp;"*")</f>
        <v>122.62480000000001</v>
      </c>
      <c r="P20" s="132">
        <f>COUNTIFS(_xlfn.ANCHORARRAY($B$23),"*"&amp;"China"&amp;"*")</f>
        <v>5</v>
      </c>
    </row>
    <row r="21" spans="1:16" ht="13" x14ac:dyDescent="0.25">
      <c r="A21" s="133"/>
      <c r="B21" s="204"/>
      <c r="C21" s="202" t="s">
        <v>5639</v>
      </c>
      <c r="D21" s="198">
        <f>AVERAGE(_xlfn.ANCHORARRAY(D23))</f>
        <v>14451.611818181816</v>
      </c>
      <c r="E21" s="198">
        <f t="shared" ref="E21:G21" si="2">AVERAGE(_xlfn.ANCHORARRAY(E23))</f>
        <v>14.451611818181817</v>
      </c>
      <c r="F21" s="198">
        <f t="shared" si="2"/>
        <v>0</v>
      </c>
      <c r="G21" s="215">
        <f t="shared" si="2"/>
        <v>0</v>
      </c>
      <c r="H21" s="131"/>
    </row>
    <row r="22" spans="1:16" ht="13" x14ac:dyDescent="0.25">
      <c r="A22" s="133"/>
      <c r="B22" s="197" t="s">
        <v>5640</v>
      </c>
      <c r="D22" s="132"/>
      <c r="E22" s="132"/>
      <c r="F22" s="132"/>
      <c r="G22" s="216"/>
      <c r="H22" s="131"/>
    </row>
    <row r="23" spans="1:16" x14ac:dyDescent="0.25">
      <c r="A23" s="133"/>
      <c r="B23" s="204" t="str" cm="1">
        <f t="array" ref="B23:B44">_xlfn.UNIQUE(_xlfn._xlws.FILTER('EPD List'!D:D,ISNUMBER(SEARCH(B16,'EPD List'!C:C)),0))</f>
        <v>Aluminium, China, Hyperion Aluminium Profiles manufactured in China  (Envirobuild) (China)</v>
      </c>
      <c r="C23" s="132" t="str" cm="1">
        <f t="array" ref="C23:C44">_xlfn.IFNA(INDEX('EPD List'!$A:$AB,MATCH(_xlfn.ANCHORARRAY(B23),'EPD List'!$D:$D,0),MATCH(C$16,'EPD List'!$7:$7,0)),"")</f>
        <v>tonne</v>
      </c>
      <c r="D23" s="198" cm="1">
        <f t="array" ref="D23:D44">_xlfn.IFNA(VALUE((INDEX('EPD List'!$A:$AD,MATCH(_xlfn.ANCHORARRAY($B23),'EPD List'!$D:$D,0),MATCH(D$16,'EPD List'!$7:$7,0)))),"")</f>
        <v>22462</v>
      </c>
      <c r="E23" s="198" cm="1">
        <f t="array" ref="E23:E44">IFERROR(VALUE((INDEX('EPD List'!$A:$AD,MATCH(_xlfn.ANCHORARRAY($B23),'EPD List'!$D:$D,0),MATCH(E$16,'EPD List'!$7:$7,0)))),"")</f>
        <v>22.462</v>
      </c>
      <c r="F23" s="198" cm="1">
        <f t="array" ref="F23:F44">_xlfn.IFNA(VALUE((INDEX('EPD List'!$A:$AD,MATCH(_xlfn.ANCHORARRAY($B23),'EPD List'!$D:$D,0),MATCH(F$16,'EPD List'!$7:$7,0)))),"")</f>
        <v>0</v>
      </c>
      <c r="G23" s="215" cm="1">
        <f t="array" ref="G23:G44">IFERROR(VALUE((INDEX('EPD List'!$A:$AD,MATCH(_xlfn.ANCHORARRAY($B23),'EPD List'!$D:$D,0),MATCH(G$16,'EPD List'!$7:$7,0)))),"")</f>
        <v>0</v>
      </c>
      <c r="H23" s="131"/>
    </row>
    <row r="24" spans="1:16" x14ac:dyDescent="0.25">
      <c r="A24" s="133"/>
      <c r="B24" s="204" t="str">
        <v>Aluminium, China, Extruded aluminium out of China (Jiangyin Jianbang) (China)</v>
      </c>
      <c r="C24" s="132" t="str">
        <v>tonne</v>
      </c>
      <c r="D24" s="198">
        <v>24661.3</v>
      </c>
      <c r="E24" s="198">
        <v>24.661300000000001</v>
      </c>
      <c r="F24" s="198">
        <v>0</v>
      </c>
      <c r="G24" s="215">
        <v>0</v>
      </c>
      <c r="H24" s="131"/>
    </row>
    <row r="25" spans="1:16" x14ac:dyDescent="0.25">
      <c r="A25" s="133"/>
      <c r="B25" s="204" t="str">
        <v>Aluminium, China, Thermal break aluminium profile out of China (Jiangyin Jianbang) (China)</v>
      </c>
      <c r="C25" s="132" t="str">
        <v>tonne</v>
      </c>
      <c r="D25" s="198">
        <v>24960.2</v>
      </c>
      <c r="E25" s="198">
        <v>24.960199999999997</v>
      </c>
      <c r="F25" s="198">
        <v>0</v>
      </c>
      <c r="G25" s="215">
        <v>0</v>
      </c>
      <c r="H25" s="131"/>
    </row>
    <row r="26" spans="1:16" x14ac:dyDescent="0.25">
      <c r="A26" s="133"/>
      <c r="B26" s="204" t="str">
        <v>Aluminium, Global, Hydro recycled low carbon aluminium profiles (Hydro) (Europe)</v>
      </c>
      <c r="C26" s="132" t="str">
        <v>tonne</v>
      </c>
      <c r="D26" s="198">
        <v>3667.54</v>
      </c>
      <c r="E26" s="198">
        <v>3.6675400000000002</v>
      </c>
      <c r="F26" s="198">
        <v>0</v>
      </c>
      <c r="G26" s="215">
        <v>0</v>
      </c>
      <c r="H26" s="131"/>
    </row>
    <row r="27" spans="1:16" x14ac:dyDescent="0.25">
      <c r="A27" s="133"/>
      <c r="B27" s="204" t="str">
        <v>Aluminium, Global, Extruded aluminium profile 70% recycled aluminium out of Greece (Sanlev) (Greece)</v>
      </c>
      <c r="C27" s="132" t="str">
        <v>tonne</v>
      </c>
      <c r="D27" s="198">
        <v>9036.2000000000007</v>
      </c>
      <c r="E27" s="198">
        <v>9.0361999999999991</v>
      </c>
      <c r="F27" s="198">
        <v>0</v>
      </c>
      <c r="G27" s="215">
        <v>0</v>
      </c>
      <c r="H27" s="131"/>
    </row>
    <row r="28" spans="1:16" x14ac:dyDescent="0.25">
      <c r="A28" s="133"/>
      <c r="B28" s="204" t="str">
        <v>Aluminium, Global, Primary aluminium out of India (Vedanta) (India)</v>
      </c>
      <c r="C28" s="132" t="str">
        <v>tonne</v>
      </c>
      <c r="D28" s="198">
        <v>24607.57</v>
      </c>
      <c r="E28" s="198">
        <v>24.607570000000003</v>
      </c>
      <c r="F28" s="198">
        <v>0</v>
      </c>
      <c r="G28" s="215">
        <v>0</v>
      </c>
      <c r="H28" s="131"/>
    </row>
    <row r="29" spans="1:16" x14ac:dyDescent="0.25">
      <c r="A29" s="133"/>
      <c r="B29" s="204" t="str">
        <v>Aluminium, China, CNA-CNA-CNA (China) extruded aluminium (Industry wide) (China)</v>
      </c>
      <c r="C29" s="132" t="str">
        <v>tonne</v>
      </c>
      <c r="D29" s="198">
        <v>21741.300000000003</v>
      </c>
      <c r="E29" s="198">
        <v>21.741300000000003</v>
      </c>
      <c r="F29" s="198">
        <v>0</v>
      </c>
      <c r="G29" s="215">
        <v>0</v>
      </c>
      <c r="H29" s="131"/>
    </row>
    <row r="30" spans="1:16" x14ac:dyDescent="0.25">
      <c r="A30" s="133"/>
      <c r="B30" s="204" t="str">
        <v>Aluminium, Global, OCA-OCA-GCC scenario (Oceania &gt; Gulf cooperation council) extruded aluminium (Industry wide) (Oceania)</v>
      </c>
      <c r="C30" s="132" t="str">
        <v>tonne</v>
      </c>
      <c r="D30" s="198">
        <v>12741.300000000001</v>
      </c>
      <c r="E30" s="198">
        <v>12.741300000000001</v>
      </c>
      <c r="F30" s="198">
        <v>0</v>
      </c>
      <c r="G30" s="215">
        <v>0</v>
      </c>
      <c r="H30" s="131"/>
    </row>
    <row r="31" spans="1:16" x14ac:dyDescent="0.25">
      <c r="A31" s="133"/>
      <c r="B31" s="204" t="str">
        <v>Aluminium, Global, AFR-EUR-EUR scenario (Africa &gt; Europe) extruded aluminium (Industry wide) (Africa)</v>
      </c>
      <c r="C31" s="132" t="str">
        <v>tonne</v>
      </c>
      <c r="D31" s="198">
        <v>8841.3000000000011</v>
      </c>
      <c r="E31" s="198">
        <v>8.8413000000000004</v>
      </c>
      <c r="F31" s="198">
        <v>0</v>
      </c>
      <c r="G31" s="215">
        <v>0</v>
      </c>
      <c r="H31" s="131"/>
    </row>
    <row r="32" spans="1:16" x14ac:dyDescent="0.25">
      <c r="A32" s="133"/>
      <c r="B32" s="204" t="str">
        <v>Aluminium, Global, SAM-SAM-CAN scenario (South America &gt; Canada) extruded aluminium (Industry wide) (South America)</v>
      </c>
      <c r="C32" s="132" t="str">
        <v>tonne</v>
      </c>
      <c r="D32" s="198">
        <v>6841.3</v>
      </c>
      <c r="E32" s="198">
        <v>6.8413000000000004</v>
      </c>
      <c r="F32" s="198">
        <v>0</v>
      </c>
      <c r="G32" s="215">
        <v>0</v>
      </c>
      <c r="H32" s="131"/>
    </row>
    <row r="33" spans="1:8" x14ac:dyDescent="0.25">
      <c r="A33" s="133"/>
      <c r="B33" s="204" t="str">
        <v>Aluminium, Australia, Proxy for Australia using oceania value extruded aluminium (Industry wide) (Australia)</v>
      </c>
      <c r="C33" s="132" t="str">
        <v>tonne</v>
      </c>
      <c r="D33" s="198">
        <v>12741.300000000001</v>
      </c>
      <c r="E33" s="198">
        <v>12.741300000000001</v>
      </c>
      <c r="F33" s="198">
        <v>0</v>
      </c>
      <c r="G33" s="215">
        <v>0</v>
      </c>
      <c r="H33" s="131"/>
    </row>
    <row r="34" spans="1:8" x14ac:dyDescent="0.25">
      <c r="A34" s="133"/>
      <c r="B34" s="204" t="str">
        <v>Aluminium, Extruded, Extruded aluminium and extruded thermal break extruded aluminium (Galuminium) (China)</v>
      </c>
      <c r="C34" s="132" t="str">
        <v>tonne</v>
      </c>
      <c r="D34" s="198">
        <v>28800</v>
      </c>
      <c r="E34" s="198">
        <v>28.8</v>
      </c>
      <c r="F34" s="198">
        <v>0</v>
      </c>
      <c r="G34" s="215">
        <v>0</v>
      </c>
      <c r="H34" s="131"/>
    </row>
    <row r="35" spans="1:8" x14ac:dyDescent="0.25">
      <c r="A35" s="133"/>
      <c r="B35" s="204" t="str">
        <v>Aluminium, Global, Hydro recycled low carbon aluminium profiles - UK (Hydro) (UK)</v>
      </c>
      <c r="C35" s="132" t="str">
        <v>tonne</v>
      </c>
      <c r="D35" s="198">
        <v>3494.15</v>
      </c>
      <c r="E35" s="198">
        <v>3.4941500000000003</v>
      </c>
      <c r="F35" s="198">
        <v>0</v>
      </c>
      <c r="G35" s="215">
        <v>0</v>
      </c>
      <c r="H35" s="131"/>
    </row>
    <row r="36" spans="1:8" x14ac:dyDescent="0.25">
      <c r="A36" s="133"/>
      <c r="B36" s="204" t="str">
        <v>Aluminium, Extruded, Extruded aluminium (uncoated) (Sistem) (Turkey)</v>
      </c>
      <c r="C36" s="132" t="str">
        <v>tonne</v>
      </c>
      <c r="D36" s="198">
        <v>12900</v>
      </c>
      <c r="E36" s="198">
        <v>12.9</v>
      </c>
      <c r="F36" s="198">
        <v>0</v>
      </c>
      <c r="G36" s="215">
        <v>0</v>
      </c>
      <c r="H36" s="131"/>
    </row>
    <row r="37" spans="1:8" x14ac:dyDescent="0.25">
      <c r="A37" s="133"/>
      <c r="B37" s="204" t="str">
        <v>Aluminium, Extruded, Extruded aluminium (uncoated) (Kurtoglu) (Turkey)</v>
      </c>
      <c r="C37" s="132" t="str">
        <v>tonne</v>
      </c>
      <c r="D37" s="198">
        <v>5170</v>
      </c>
      <c r="E37" s="198">
        <v>5.17</v>
      </c>
      <c r="F37" s="198">
        <v>0</v>
      </c>
      <c r="G37" s="215">
        <v>0</v>
      </c>
      <c r="H37" s="131"/>
    </row>
    <row r="38" spans="1:8" x14ac:dyDescent="0.25">
      <c r="A38" s="133"/>
      <c r="B38" s="204" t="str">
        <v>Aluminium, Extruded, Extruded aluminium (uncoated) (Muskita) (Global)</v>
      </c>
      <c r="C38" s="132" t="str">
        <v>tonne</v>
      </c>
      <c r="D38" s="198">
        <v>17670</v>
      </c>
      <c r="E38" s="198">
        <v>17.670000000000002</v>
      </c>
      <c r="F38" s="198">
        <v>0</v>
      </c>
      <c r="G38" s="215">
        <v>0</v>
      </c>
      <c r="H38" s="131"/>
    </row>
    <row r="39" spans="1:8" x14ac:dyDescent="0.25">
      <c r="A39" s="133"/>
      <c r="B39" s="204" t="str">
        <v>Aluminium, Extruded, Extruded aluminium (uncoated) (Burak) (Turkey)</v>
      </c>
      <c r="C39" s="132" t="str">
        <v>tonne</v>
      </c>
      <c r="D39" s="198">
        <v>11700</v>
      </c>
      <c r="E39" s="198">
        <v>11.7</v>
      </c>
      <c r="F39" s="198">
        <v>0</v>
      </c>
      <c r="G39" s="215">
        <v>0</v>
      </c>
      <c r="H39" s="131"/>
    </row>
    <row r="40" spans="1:8" x14ac:dyDescent="0.25">
      <c r="A40" s="133"/>
      <c r="B40" s="204" t="str">
        <v>Aluminium, Extruded, Extruded aluminium (uncoated) (ASAS) (Turkey)</v>
      </c>
      <c r="C40" s="132" t="str">
        <v>tonne</v>
      </c>
      <c r="D40" s="198">
        <v>13900</v>
      </c>
      <c r="E40" s="198">
        <v>13.9</v>
      </c>
      <c r="F40" s="198">
        <v>0</v>
      </c>
      <c r="G40" s="215">
        <v>0</v>
      </c>
      <c r="H40" s="131"/>
    </row>
    <row r="41" spans="1:8" x14ac:dyDescent="0.25">
      <c r="A41" s="133"/>
      <c r="B41" s="204" t="str">
        <v>Aluminium, Extruded, Extruded aluminium (uncoated) (Tuna Aluminium) (Global)</v>
      </c>
      <c r="C41" s="132" t="str">
        <v>tonne</v>
      </c>
      <c r="D41" s="198">
        <v>19100</v>
      </c>
      <c r="E41" s="198">
        <v>19.100000000000001</v>
      </c>
      <c r="F41" s="198">
        <v>0</v>
      </c>
      <c r="G41" s="215">
        <v>0</v>
      </c>
      <c r="H41" s="131"/>
    </row>
    <row r="42" spans="1:8" x14ac:dyDescent="0.25">
      <c r="A42" s="133"/>
      <c r="B42" s="204" t="str">
        <v>Aluminium, Extruded, Extruded aluminium (uncoated) (Spanish Aluminium Association) (Spanish)</v>
      </c>
      <c r="C42" s="132" t="str">
        <v>tonne</v>
      </c>
      <c r="D42" s="198">
        <v>7430</v>
      </c>
      <c r="E42" s="198">
        <v>7.43</v>
      </c>
      <c r="F42" s="198">
        <v>0</v>
      </c>
      <c r="G42" s="215">
        <v>0</v>
      </c>
      <c r="H42" s="131"/>
    </row>
    <row r="43" spans="1:8" x14ac:dyDescent="0.25">
      <c r="A43" s="133"/>
      <c r="B43" s="204" t="str">
        <v>Aluminium, Extruded, Extruded aluminium (uncoated) (Saray) (Turkey)</v>
      </c>
      <c r="C43" s="132" t="str">
        <v>tonne</v>
      </c>
      <c r="D43" s="198">
        <v>9870</v>
      </c>
      <c r="E43" s="198">
        <v>9.8699999999999992</v>
      </c>
      <c r="F43" s="198">
        <v>0</v>
      </c>
      <c r="G43" s="215">
        <v>0</v>
      </c>
      <c r="H43" s="131"/>
    </row>
    <row r="44" spans="1:8" x14ac:dyDescent="0.25">
      <c r="A44" s="133"/>
      <c r="B44" s="217" t="str">
        <v>Aluminium, Extruded, Extruded aluminium (uncoated) (Al Taiseer) (Saudi Arabia)</v>
      </c>
      <c r="C44" s="218" t="str">
        <v>tonne</v>
      </c>
      <c r="D44" s="219">
        <v>15600</v>
      </c>
      <c r="E44" s="219">
        <v>15.6</v>
      </c>
      <c r="F44" s="219">
        <v>0</v>
      </c>
      <c r="G44" s="220">
        <v>0</v>
      </c>
      <c r="H44" s="131"/>
    </row>
    <row r="45" spans="1:8" x14ac:dyDescent="0.25">
      <c r="B45" s="130"/>
      <c r="C45" s="130"/>
      <c r="D45" s="207"/>
      <c r="E45" s="207"/>
      <c r="F45" s="207"/>
      <c r="G45" s="207"/>
    </row>
    <row r="90" spans="9:9" x14ac:dyDescent="0.25">
      <c r="I90" s="198"/>
    </row>
  </sheetData>
  <dataValidations count="1">
    <dataValidation type="list" allowBlank="1" showInputMessage="1" showErrorMessage="1" sqref="B6:B9" xr:uid="{F6B4B510-3DDB-465E-8CAF-D933312A721F}">
      <formula1>"Tier 1,Tier 2,Tier 3,Tier 4"</formula1>
    </dataValidation>
  </dataValidation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AF66-907D-4E09-95C6-40623BE6CFAE}">
  <sheetPr codeName="Sheet16">
    <tabColor rgb="FF00CCFF"/>
  </sheetPr>
  <dimension ref="A1:H320"/>
  <sheetViews>
    <sheetView workbookViewId="0"/>
  </sheetViews>
  <sheetFormatPr defaultColWidth="9.1796875" defaultRowHeight="12.5" x14ac:dyDescent="0.25"/>
  <cols>
    <col min="1" max="1" width="26.26953125" style="132" customWidth="1"/>
    <col min="2" max="2" width="109.179687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Asphalt</v>
      </c>
    </row>
    <row r="2" spans="1:8" ht="13" x14ac:dyDescent="0.25">
      <c r="A2" s="202"/>
    </row>
    <row r="3" spans="1:8" ht="13" x14ac:dyDescent="0.3">
      <c r="A3" s="227" t="s">
        <v>5626</v>
      </c>
      <c r="B3" s="132" t="s">
        <v>5704</v>
      </c>
    </row>
    <row r="4" spans="1:8" ht="13" x14ac:dyDescent="0.3">
      <c r="A4" s="227"/>
    </row>
    <row r="5" spans="1:8" ht="73.5" customHeight="1" x14ac:dyDescent="0.3">
      <c r="A5" s="227" t="s">
        <v>5628</v>
      </c>
      <c r="B5" s="200" t="s">
        <v>5705</v>
      </c>
    </row>
    <row r="6" spans="1:8" ht="13" x14ac:dyDescent="0.3">
      <c r="A6" s="227" t="s">
        <v>5630</v>
      </c>
      <c r="B6" s="201" t="s">
        <v>71</v>
      </c>
    </row>
    <row r="7" spans="1:8" ht="13" x14ac:dyDescent="0.3">
      <c r="A7" s="227" t="s">
        <v>5631</v>
      </c>
      <c r="B7" s="201" t="s">
        <v>71</v>
      </c>
    </row>
    <row r="8" spans="1:8" ht="13" x14ac:dyDescent="0.3">
      <c r="A8" s="227" t="s">
        <v>5632</v>
      </c>
      <c r="B8" s="201" t="s">
        <v>72</v>
      </c>
    </row>
    <row r="9" spans="1:8" ht="13" x14ac:dyDescent="0.3">
      <c r="A9" s="227" t="s">
        <v>5633</v>
      </c>
      <c r="B9" s="202" t="s">
        <v>72</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2913</v>
      </c>
      <c r="C16" s="311" t="s">
        <v>24</v>
      </c>
      <c r="D16" s="208" t="s">
        <v>146</v>
      </c>
      <c r="E16" s="209" t="s">
        <v>153</v>
      </c>
      <c r="F16" s="208" t="s">
        <v>147</v>
      </c>
      <c r="G16" s="208" t="s">
        <v>154</v>
      </c>
      <c r="H16" s="131"/>
    </row>
    <row r="17" spans="1:8" ht="13" x14ac:dyDescent="0.3">
      <c r="A17" s="133"/>
      <c r="B17" s="317"/>
      <c r="C17" s="206" t="s">
        <v>5636</v>
      </c>
      <c r="D17" s="207" t="str" cm="1">
        <f t="array" ref="D17">IF(AND(_xlfn.ANCHORARRAY(C23)=C23),C23,"Mixed")</f>
        <v>tonne</v>
      </c>
      <c r="E17" s="207" t="s">
        <v>2774</v>
      </c>
      <c r="F17" s="207" t="str" cm="1">
        <f t="array" ref="F17">IF(AND(_xlfn.ANCHORARRAY(C23)=C23),C23,"Mixed")</f>
        <v>tonne</v>
      </c>
      <c r="G17" s="318" t="s">
        <v>2774</v>
      </c>
      <c r="H17" s="131"/>
    </row>
    <row r="18" spans="1:8" s="200" customFormat="1" ht="13" x14ac:dyDescent="0.3">
      <c r="A18" s="221"/>
      <c r="B18" s="214"/>
      <c r="C18" s="202" t="s">
        <v>5637</v>
      </c>
      <c r="D18" s="198">
        <f t="shared" ref="D18:G18" si="0">MAX(_xlfn.ANCHORARRAY(D23))</f>
        <v>134.00033099999999</v>
      </c>
      <c r="E18" s="198">
        <f t="shared" si="0"/>
        <v>0.134000331</v>
      </c>
      <c r="F18" s="198">
        <f t="shared" si="0"/>
        <v>0</v>
      </c>
      <c r="G18" s="215">
        <f t="shared" si="0"/>
        <v>0</v>
      </c>
      <c r="H18" s="222"/>
    </row>
    <row r="19" spans="1:8" ht="13" x14ac:dyDescent="0.25">
      <c r="A19" s="133"/>
      <c r="B19" s="204"/>
      <c r="C19" s="202" t="s">
        <v>5638</v>
      </c>
      <c r="D19" s="198">
        <f>MIN(_xlfn.ANCHORARRAY(D23))</f>
        <v>5.832650000000001</v>
      </c>
      <c r="E19" s="198">
        <f t="shared" ref="E19:G19" si="1">MIN(_xlfn.ANCHORARRAY(E23))</f>
        <v>5.8326500000000009E-3</v>
      </c>
      <c r="F19" s="198">
        <f t="shared" si="1"/>
        <v>0</v>
      </c>
      <c r="G19" s="215">
        <f t="shared" si="1"/>
        <v>0</v>
      </c>
      <c r="H19" s="131"/>
    </row>
    <row r="20" spans="1:8" ht="13" x14ac:dyDescent="0.25">
      <c r="A20" s="133"/>
      <c r="B20" s="204"/>
      <c r="C20" s="202" t="s">
        <v>5639</v>
      </c>
      <c r="D20" s="198">
        <f>AVERAGE(_xlfn.ANCHORARRAY(D23))</f>
        <v>71.362136612339754</v>
      </c>
      <c r="E20" s="198">
        <f t="shared" ref="E20:G20" si="2">AVERAGE(_xlfn.ANCHORARRAY(E23))</f>
        <v>7.1362136612339686E-2</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319">_xlfn.UNIQUE(_xlfn._xlws.FILTER('EPD List'!D:D,ISNUMBER(SEARCH(B16,'EPD List'!C:C)),0))</f>
        <v>Downer Reconophalt NSWAC20 AR450</v>
      </c>
      <c r="C23" s="132" t="str" cm="1">
        <f t="array" ref="C23:C319">_xlfn.IFNA(INDEX('EPD List'!$A:$AB,MATCH(_xlfn.ANCHORARRAY(B23),'EPD List'!$D:$D,0),MATCH(C$16,'EPD List'!$7:$7,0)),"")</f>
        <v>tonne</v>
      </c>
      <c r="D23" s="198" cm="1">
        <f t="array" ref="D23:D319">_xlfn.IFNA(VALUE((INDEX('EPD List'!$A:$AD,MATCH(_xlfn.ANCHORARRAY($B23),'EPD List'!$D:$D,0),MATCH(D$16,'EPD List'!$7:$7,0)))),"")</f>
        <v>74.997439999999997</v>
      </c>
      <c r="E23" s="198" cm="1">
        <f t="array" ref="E23:E319">_xlfn.IFNA(VALUE((INDEX('EPD List'!$A:$AD,MATCH(_xlfn.ANCHORARRAY($B23),'EPD List'!$D:$D,0),MATCH(E$16,'EPD List'!$7:$7,0)))),"")</f>
        <v>7.4997439999999999E-2</v>
      </c>
      <c r="F23" s="198" cm="1">
        <f t="array" ref="F23:F319">_xlfn.IFNA(VALUE((INDEX('EPD List'!$A:$AD,MATCH(_xlfn.ANCHORARRAY($B23),'EPD List'!$D:$D,0),MATCH(F$16,'EPD List'!$7:$7,0)))),"")</f>
        <v>0</v>
      </c>
      <c r="G23" s="215" cm="1">
        <f t="array" ref="G23:G319">_xlfn.IFNA(VALUE((INDEX('EPD List'!$A:$AD,MATCH(_xlfn.ANCHORARRAY($B23),'EPD List'!$D:$D,0),MATCH(G$16,'EPD List'!$7:$7,0)))),"")</f>
        <v>0</v>
      </c>
      <c r="H23" s="131"/>
    </row>
    <row r="24" spans="1:8" x14ac:dyDescent="0.25">
      <c r="A24" s="133"/>
      <c r="B24" s="204" t="str">
        <v>Downer Reconophalt NSWAC14 AR 450</v>
      </c>
      <c r="C24" s="132" t="str">
        <v>tonne</v>
      </c>
      <c r="D24" s="198">
        <v>68.099767999999997</v>
      </c>
      <c r="E24" s="198">
        <v>6.8099767999999991E-2</v>
      </c>
      <c r="F24" s="198">
        <v>0</v>
      </c>
      <c r="G24" s="215">
        <v>0</v>
      </c>
      <c r="H24" s="131"/>
    </row>
    <row r="25" spans="1:8" x14ac:dyDescent="0.25">
      <c r="A25" s="133"/>
      <c r="B25" s="204" t="str">
        <v>Downer Reconophalt NSWAC14H AR450</v>
      </c>
      <c r="C25" s="132" t="str">
        <v>tonne</v>
      </c>
      <c r="D25" s="198">
        <v>83.499844999999993</v>
      </c>
      <c r="E25" s="198">
        <v>8.3499845000000003E-2</v>
      </c>
      <c r="F25" s="198">
        <v>0</v>
      </c>
      <c r="G25" s="215">
        <v>0</v>
      </c>
      <c r="H25" s="131"/>
    </row>
    <row r="26" spans="1:8" x14ac:dyDescent="0.25">
      <c r="A26" s="133"/>
      <c r="B26" s="204" t="str">
        <v>Downer Berrimah Asphalt Manufacturing FacilityAC20 A15E Type 4</v>
      </c>
      <c r="C26" s="132" t="str">
        <v>tonne</v>
      </c>
      <c r="D26" s="198">
        <v>110.262137</v>
      </c>
      <c r="E26" s="198">
        <v>0.110262137</v>
      </c>
      <c r="F26" s="198">
        <v>0</v>
      </c>
      <c r="G26" s="215">
        <v>0</v>
      </c>
      <c r="H26" s="131"/>
    </row>
    <row r="27" spans="1:8" x14ac:dyDescent="0.25">
      <c r="A27" s="133"/>
      <c r="B27" s="204" t="str">
        <v>Downer Berrimah Asphalt Manufacturing FacilityAC14 A15E Type 5</v>
      </c>
      <c r="C27" s="132" t="str">
        <v>tonne</v>
      </c>
      <c r="D27" s="198">
        <v>114.26715</v>
      </c>
      <c r="E27" s="198">
        <v>0.11426715000000001</v>
      </c>
      <c r="F27" s="198">
        <v>0</v>
      </c>
      <c r="G27" s="215">
        <v>0</v>
      </c>
      <c r="H27" s="131"/>
    </row>
    <row r="28" spans="1:8" x14ac:dyDescent="0.25">
      <c r="A28" s="133"/>
      <c r="B28" s="204" t="str">
        <v>Downer Berrimah Asphalt Manufacturing FacilityAC10 A15E Type 2</v>
      </c>
      <c r="C28" s="132" t="str">
        <v>tonne</v>
      </c>
      <c r="D28" s="198">
        <v>116.27015399999999</v>
      </c>
      <c r="E28" s="198">
        <v>0.11627015400000001</v>
      </c>
      <c r="F28" s="198">
        <v>0</v>
      </c>
      <c r="G28" s="215">
        <v>0</v>
      </c>
      <c r="H28" s="131"/>
    </row>
    <row r="29" spans="1:8" x14ac:dyDescent="0.25">
      <c r="A29" s="133"/>
      <c r="B29" s="204" t="str">
        <v>Downer Reconophalt NSWAC14H A15E</v>
      </c>
      <c r="C29" s="132" t="str">
        <v>tonne</v>
      </c>
      <c r="D29" s="198">
        <v>90.699940800000007</v>
      </c>
      <c r="E29" s="198">
        <v>9.0699940800000003E-2</v>
      </c>
      <c r="F29" s="198">
        <v>0</v>
      </c>
      <c r="G29" s="215">
        <v>0</v>
      </c>
      <c r="H29" s="131"/>
    </row>
    <row r="30" spans="1:8" x14ac:dyDescent="0.25">
      <c r="A30" s="133"/>
      <c r="B30" s="204" t="str">
        <v>Downer Lindisfarne Asphalt Manufacturing FacilityAC07 Type L,N</v>
      </c>
      <c r="C30" s="132" t="str">
        <v>tonne</v>
      </c>
      <c r="D30" s="198">
        <v>63.696106</v>
      </c>
      <c r="E30" s="198">
        <v>6.3696106000000002E-2</v>
      </c>
      <c r="F30" s="198">
        <v>0</v>
      </c>
      <c r="G30" s="215">
        <v>0</v>
      </c>
      <c r="H30" s="131"/>
    </row>
    <row r="31" spans="1:8" x14ac:dyDescent="0.25">
      <c r="A31" s="133"/>
      <c r="B31" s="204" t="str">
        <v xml:space="preserve">Downer Mackay Asphalt Manufacturing FacilityAC20 A15E H 4907 </v>
      </c>
      <c r="C31" s="132" t="str">
        <v>tonne</v>
      </c>
      <c r="D31" s="198">
        <v>100.12017</v>
      </c>
      <c r="E31" s="198">
        <v>0.10012016999999999</v>
      </c>
      <c r="F31" s="198">
        <v>0</v>
      </c>
      <c r="G31" s="215">
        <v>0</v>
      </c>
      <c r="H31" s="131"/>
    </row>
    <row r="32" spans="1:8" x14ac:dyDescent="0.25">
      <c r="A32" s="133"/>
      <c r="B32" s="204" t="str">
        <v xml:space="preserve">Downer Mackay Asphalt Manufacturing FacilityAC14 A15E 4906 </v>
      </c>
      <c r="C32" s="132" t="str">
        <v>tonne</v>
      </c>
      <c r="D32" s="198">
        <v>102.122176</v>
      </c>
      <c r="E32" s="198">
        <v>0.102122176</v>
      </c>
      <c r="F32" s="198">
        <v>0</v>
      </c>
      <c r="G32" s="215">
        <v>0</v>
      </c>
      <c r="H32" s="131"/>
    </row>
    <row r="33" spans="1:8" x14ac:dyDescent="0.25">
      <c r="A33" s="133"/>
      <c r="B33" s="204" t="str">
        <v>Fulton Hogan LaraSize 10, 14mm Plastiphalt®</v>
      </c>
      <c r="C33" s="132" t="str">
        <v>tonne</v>
      </c>
      <c r="D33" s="198">
        <v>73.482908000000009</v>
      </c>
      <c r="E33" s="198">
        <v>7.3482908000000013E-2</v>
      </c>
      <c r="F33" s="198">
        <v>0</v>
      </c>
      <c r="G33" s="215">
        <v>0</v>
      </c>
      <c r="H33" s="131"/>
    </row>
    <row r="34" spans="1:8" x14ac:dyDescent="0.25">
      <c r="A34" s="133"/>
      <c r="B34" s="204" t="str">
        <v>Fulton Hogan LaraSize 10, 14mm DGA Type N 10% RAP ≤5% Glass</v>
      </c>
      <c r="C34" s="132" t="str">
        <v>tonne</v>
      </c>
      <c r="D34" s="198">
        <v>58.666124999999994</v>
      </c>
      <c r="E34" s="198">
        <v>5.8666125E-2</v>
      </c>
      <c r="F34" s="198">
        <v>0</v>
      </c>
      <c r="G34" s="215">
        <v>0</v>
      </c>
      <c r="H34" s="131"/>
    </row>
    <row r="35" spans="1:8" x14ac:dyDescent="0.25">
      <c r="A35" s="133"/>
      <c r="B35" s="204" t="str">
        <v>Downer Bli Bli Asphalt Manufacturing FacilityOG14 A15E</v>
      </c>
      <c r="C35" s="132" t="str">
        <v>tonne</v>
      </c>
      <c r="D35" s="198">
        <v>84.895539999999997</v>
      </c>
      <c r="E35" s="198">
        <v>8.4895539999999992E-2</v>
      </c>
      <c r="F35" s="198">
        <v>0</v>
      </c>
      <c r="G35" s="215">
        <v>0</v>
      </c>
      <c r="H35" s="131"/>
    </row>
    <row r="36" spans="1:8" x14ac:dyDescent="0.25">
      <c r="A36" s="133"/>
      <c r="B36" s="204" t="str">
        <v>Downer Shepparton Asphalt Manufacturing FacilityAC20 R20 SI</v>
      </c>
      <c r="C36" s="132" t="str">
        <v>tonne</v>
      </c>
      <c r="D36" s="198">
        <v>71.880485799999988</v>
      </c>
      <c r="E36" s="198">
        <v>7.1880485799999991E-2</v>
      </c>
      <c r="F36" s="198">
        <v>0</v>
      </c>
      <c r="G36" s="215">
        <v>0</v>
      </c>
      <c r="H36" s="131"/>
    </row>
    <row r="37" spans="1:8" x14ac:dyDescent="0.25">
      <c r="A37" s="133"/>
      <c r="B37" s="204" t="str">
        <v>Downer Bathurst Asphalt Manufacturing FacilityAC14 A15E H S</v>
      </c>
      <c r="C37" s="132" t="str">
        <v>tonne</v>
      </c>
      <c r="D37" s="198">
        <v>127.141182</v>
      </c>
      <c r="E37" s="198">
        <v>0.12714118199999999</v>
      </c>
      <c r="F37" s="198">
        <v>0</v>
      </c>
      <c r="G37" s="215">
        <v>0</v>
      </c>
      <c r="H37" s="131"/>
    </row>
    <row r="38" spans="1:8" x14ac:dyDescent="0.25">
      <c r="A38" s="133"/>
      <c r="B38" s="204" t="str">
        <v>Downer Bayswater Asphalt Manufacturing FacilitySMA10 A10E H Castella 302176C</v>
      </c>
      <c r="C38" s="132" t="str">
        <v>tonne</v>
      </c>
      <c r="D38" s="198">
        <v>91.100317999999987</v>
      </c>
      <c r="E38" s="198">
        <v>9.1100318E-2</v>
      </c>
      <c r="F38" s="198">
        <v>0</v>
      </c>
      <c r="G38" s="215">
        <v>0</v>
      </c>
      <c r="H38" s="131"/>
    </row>
    <row r="39" spans="1:8" x14ac:dyDescent="0.25">
      <c r="A39" s="133"/>
      <c r="B39" s="204" t="str">
        <v>Fulton Hogan Bushells RidgeDG10 A15E R116</v>
      </c>
      <c r="C39" s="132" t="str">
        <v>tonne</v>
      </c>
      <c r="D39" s="198">
        <v>103.112219</v>
      </c>
      <c r="E39" s="198">
        <v>0.10311221899999999</v>
      </c>
      <c r="F39" s="198">
        <v>0</v>
      </c>
      <c r="G39" s="215">
        <v>0</v>
      </c>
      <c r="H39" s="131"/>
    </row>
    <row r="40" spans="1:8" x14ac:dyDescent="0.25">
      <c r="A40" s="133"/>
      <c r="B40" s="204" t="str">
        <v>Downer Shepparton Asphalt Manufacturing FacilityAC07 R9 NH</v>
      </c>
      <c r="C40" s="132" t="str">
        <v>tonne</v>
      </c>
      <c r="D40" s="198">
        <v>78.183108999999988</v>
      </c>
      <c r="E40" s="198">
        <v>7.8183108999999987E-2</v>
      </c>
      <c r="F40" s="198">
        <v>0</v>
      </c>
      <c r="G40" s="215">
        <v>0</v>
      </c>
      <c r="H40" s="131"/>
    </row>
    <row r="41" spans="1:8" x14ac:dyDescent="0.25">
      <c r="A41" s="133"/>
      <c r="B41" s="204" t="str">
        <v>Fulton Hogan Eastern CreekBC14 A10E AIRPORT</v>
      </c>
      <c r="C41" s="132" t="str">
        <v>tonne</v>
      </c>
      <c r="D41" s="198">
        <v>110.113218</v>
      </c>
      <c r="E41" s="198">
        <v>0.110113218</v>
      </c>
      <c r="F41" s="198">
        <v>0</v>
      </c>
      <c r="G41" s="215">
        <v>0</v>
      </c>
      <c r="H41" s="131"/>
    </row>
    <row r="42" spans="1:8" x14ac:dyDescent="0.25">
      <c r="A42" s="133"/>
      <c r="B42" s="204" t="str">
        <v xml:space="preserve">Fulton Hogan Kembla GrangeSMA10 A15E R121 EVO </v>
      </c>
      <c r="C42" s="132" t="str">
        <v>tonne</v>
      </c>
      <c r="D42" s="198">
        <v>98.500341000000006</v>
      </c>
      <c r="E42" s="198">
        <v>9.8500341000000005E-2</v>
      </c>
      <c r="F42" s="198">
        <v>0</v>
      </c>
      <c r="G42" s="215">
        <v>0</v>
      </c>
      <c r="H42" s="131"/>
    </row>
    <row r="43" spans="1:8" x14ac:dyDescent="0.25">
      <c r="A43" s="133"/>
      <c r="B43" s="204" t="str">
        <v>Downer Albany Asphalt Manufacturing FacilityAC10</v>
      </c>
      <c r="C43" s="132" t="str">
        <v>tonne</v>
      </c>
      <c r="D43" s="198">
        <v>70.471712000000011</v>
      </c>
      <c r="E43" s="198">
        <v>7.0471712000000006E-2</v>
      </c>
      <c r="F43" s="198">
        <v>0</v>
      </c>
      <c r="G43" s="215">
        <v>0</v>
      </c>
      <c r="H43" s="131"/>
    </row>
    <row r="44" spans="1:8" x14ac:dyDescent="0.25">
      <c r="A44" s="133"/>
      <c r="B44" s="204" t="str">
        <v>Downer Hope Valley Asphalt Manufacturing FacilityAC10 R10 1E0B00</v>
      </c>
      <c r="C44" s="132" t="str">
        <v>tonne</v>
      </c>
      <c r="D44" s="198">
        <v>60.861292399999996</v>
      </c>
      <c r="E44" s="198">
        <v>6.0861292399999996E-2</v>
      </c>
      <c r="F44" s="198">
        <v>0</v>
      </c>
      <c r="G44" s="215">
        <v>0</v>
      </c>
      <c r="H44" s="131"/>
    </row>
    <row r="45" spans="1:8" x14ac:dyDescent="0.25">
      <c r="A45" s="133"/>
      <c r="B45" s="204" t="str">
        <v>Downer Lismore Asphalt Manufacturing FacilityAC14</v>
      </c>
      <c r="C45" s="132" t="str">
        <v>tonne</v>
      </c>
      <c r="D45" s="198">
        <v>66.26571100000001</v>
      </c>
      <c r="E45" s="198">
        <v>6.6265711000000005E-2</v>
      </c>
      <c r="F45" s="198">
        <v>0</v>
      </c>
      <c r="G45" s="215">
        <v>0</v>
      </c>
      <c r="H45" s="131"/>
    </row>
    <row r="46" spans="1:8" x14ac:dyDescent="0.25">
      <c r="A46" s="133"/>
      <c r="B46" s="204" t="str">
        <v>Fulton Hogan Kembla GrangeDG10 AR450 AS2150 R30% G2.5%</v>
      </c>
      <c r="C46" s="132" t="str">
        <v>tonne</v>
      </c>
      <c r="D46" s="198">
        <v>59.659090999999997</v>
      </c>
      <c r="E46" s="198">
        <v>5.9659091000000004E-2</v>
      </c>
      <c r="F46" s="198">
        <v>0</v>
      </c>
      <c r="G46" s="215">
        <v>0</v>
      </c>
      <c r="H46" s="131"/>
    </row>
    <row r="47" spans="1:8" x14ac:dyDescent="0.25">
      <c r="A47" s="133"/>
      <c r="B47" s="204" t="str">
        <v>Downer Lismore Asphalt Manufacturing FacilityAC20 R15</v>
      </c>
      <c r="C47" s="132" t="str">
        <v>tonne</v>
      </c>
      <c r="D47" s="198">
        <v>58.858189099999997</v>
      </c>
      <c r="E47" s="198">
        <v>5.88581891E-2</v>
      </c>
      <c r="F47" s="198">
        <v>0</v>
      </c>
      <c r="G47" s="215">
        <v>0</v>
      </c>
      <c r="H47" s="131"/>
    </row>
    <row r="48" spans="1:8" x14ac:dyDescent="0.25">
      <c r="A48" s="133"/>
      <c r="B48" s="204" t="str">
        <v>Downer Hope Valley Asphalt Manufacturing FacilityAC10 R20 1E0D00</v>
      </c>
      <c r="C48" s="132" t="str">
        <v>tonne</v>
      </c>
      <c r="D48" s="198">
        <v>57.656884900000001</v>
      </c>
      <c r="E48" s="198">
        <v>5.7656884900000004E-2</v>
      </c>
      <c r="F48" s="198">
        <v>0</v>
      </c>
      <c r="G48" s="215">
        <v>0</v>
      </c>
      <c r="H48" s="131"/>
    </row>
    <row r="49" spans="1:8" x14ac:dyDescent="0.25">
      <c r="A49" s="133"/>
      <c r="B49" s="204" t="str">
        <v>Downer Bayswater Asphalt Manufacturing FacilityAC20 R29 SI 302313</v>
      </c>
      <c r="C49" s="132" t="str">
        <v>tonne</v>
      </c>
      <c r="D49" s="198">
        <v>51.848855299999997</v>
      </c>
      <c r="E49" s="198">
        <v>5.1848855300000003E-2</v>
      </c>
      <c r="F49" s="198">
        <v>0</v>
      </c>
      <c r="G49" s="215">
        <v>0</v>
      </c>
      <c r="H49" s="131"/>
    </row>
    <row r="50" spans="1:8" x14ac:dyDescent="0.25">
      <c r="A50" s="133"/>
      <c r="B50" s="204" t="str">
        <v>Fulton Hogan DandenongSize 14mm DGA Type VP</v>
      </c>
      <c r="C50" s="132" t="str">
        <v>tonne</v>
      </c>
      <c r="D50" s="198">
        <v>79.775075999999999</v>
      </c>
      <c r="E50" s="198">
        <v>7.9775076E-2</v>
      </c>
      <c r="F50" s="198">
        <v>0</v>
      </c>
      <c r="G50" s="215">
        <v>0</v>
      </c>
      <c r="H50" s="131"/>
    </row>
    <row r="51" spans="1:8" x14ac:dyDescent="0.25">
      <c r="A51" s="133"/>
      <c r="B51" s="204" t="str">
        <v>Downer Lismore Asphalt Manufacturing FacilityAC07</v>
      </c>
      <c r="C51" s="132" t="str">
        <v>tonne</v>
      </c>
      <c r="D51" s="198">
        <v>67.961714000000001</v>
      </c>
      <c r="E51" s="198">
        <v>6.7961713999999993E-2</v>
      </c>
      <c r="F51" s="198">
        <v>0</v>
      </c>
      <c r="G51" s="215">
        <v>0</v>
      </c>
      <c r="H51" s="131"/>
    </row>
    <row r="52" spans="1:8" x14ac:dyDescent="0.25">
      <c r="A52" s="133"/>
      <c r="B52" s="204" t="str">
        <v>Downer Hope Valley Asphalt Manufacturing FacilityAC20 R23 2C0E00</v>
      </c>
      <c r="C52" s="132" t="str">
        <v>tonne</v>
      </c>
      <c r="D52" s="198">
        <v>65.757668999999993</v>
      </c>
      <c r="E52" s="198">
        <v>6.5757669000000019E-2</v>
      </c>
      <c r="F52" s="198">
        <v>0</v>
      </c>
      <c r="G52" s="215">
        <v>0</v>
      </c>
      <c r="H52" s="131"/>
    </row>
    <row r="53" spans="1:8" x14ac:dyDescent="0.25">
      <c r="A53" s="133"/>
      <c r="B53" s="204" t="str">
        <v>Downer Sydney Sustainable Road Resource Centre, RosehillAC14 R30</v>
      </c>
      <c r="C53" s="132" t="str">
        <v>tonne</v>
      </c>
      <c r="D53" s="198">
        <v>59.1516722</v>
      </c>
      <c r="E53" s="198">
        <v>5.9151672199999998E-2</v>
      </c>
      <c r="F53" s="198">
        <v>0</v>
      </c>
      <c r="G53" s="215">
        <v>0</v>
      </c>
      <c r="H53" s="131"/>
    </row>
    <row r="54" spans="1:8" x14ac:dyDescent="0.25">
      <c r="A54" s="133"/>
      <c r="B54" s="204" t="str">
        <v>Downer Somerton Asphalt Manufacturing FacilityAC14 V 303235</v>
      </c>
      <c r="C54" s="132" t="str">
        <v>tonne</v>
      </c>
      <c r="D54" s="198">
        <v>60.652784100000005</v>
      </c>
      <c r="E54" s="198">
        <v>6.0652784100000003E-2</v>
      </c>
      <c r="F54" s="198">
        <v>0</v>
      </c>
      <c r="G54" s="215">
        <v>0</v>
      </c>
      <c r="H54" s="131"/>
    </row>
    <row r="55" spans="1:8" x14ac:dyDescent="0.25">
      <c r="A55" s="133"/>
      <c r="B55" s="204" t="str">
        <v>Downer Teralba Asphalt Manufacturing FacilityAC14 R10 H Reconophalt</v>
      </c>
      <c r="C55" s="132" t="str">
        <v>tonne</v>
      </c>
      <c r="D55" s="198">
        <v>78.367492499999997</v>
      </c>
      <c r="E55" s="198">
        <v>7.8367492499999997E-2</v>
      </c>
      <c r="F55" s="198">
        <v>0</v>
      </c>
      <c r="G55" s="215">
        <v>0</v>
      </c>
      <c r="H55" s="131"/>
    </row>
    <row r="56" spans="1:8" x14ac:dyDescent="0.25">
      <c r="A56" s="133"/>
      <c r="B56" s="204" t="str">
        <v>Downer Teralba Asphalt Manufacturing FacilityAC14 R10 H DG</v>
      </c>
      <c r="C56" s="132" t="str">
        <v>tonne</v>
      </c>
      <c r="D56" s="198">
        <v>78.667094199999994</v>
      </c>
      <c r="E56" s="198">
        <v>7.8667094199999982E-2</v>
      </c>
      <c r="F56" s="198">
        <v>0</v>
      </c>
      <c r="G56" s="215">
        <v>0</v>
      </c>
      <c r="H56" s="131"/>
    </row>
    <row r="57" spans="1:8" x14ac:dyDescent="0.25">
      <c r="A57" s="133"/>
      <c r="B57" s="204" t="str">
        <v>Downer Sydney Sustainable Road Resource Centre, RosehillAC10 R30</v>
      </c>
      <c r="C57" s="132" t="str">
        <v>tonne</v>
      </c>
      <c r="D57" s="198">
        <v>63.3531841</v>
      </c>
      <c r="E57" s="198">
        <v>6.3353184100000001E-2</v>
      </c>
      <c r="F57" s="198">
        <v>0</v>
      </c>
      <c r="G57" s="215">
        <v>0</v>
      </c>
      <c r="H57" s="131"/>
    </row>
    <row r="58" spans="1:8" x14ac:dyDescent="0.25">
      <c r="A58" s="133"/>
      <c r="B58" s="204" t="str">
        <v>Downer Somerton Asphalt Manufacturing FacilityAC20 R38 SF 303324</v>
      </c>
      <c r="C58" s="132" t="str">
        <v>tonne</v>
      </c>
      <c r="D58" s="198">
        <v>49.641469800000003</v>
      </c>
      <c r="E58" s="198">
        <v>4.9641469799999997E-2</v>
      </c>
      <c r="F58" s="198">
        <v>0</v>
      </c>
      <c r="G58" s="215">
        <v>0</v>
      </c>
      <c r="H58" s="131"/>
    </row>
    <row r="59" spans="1:8" x14ac:dyDescent="0.25">
      <c r="A59" s="133"/>
      <c r="B59" s="204" t="str">
        <v>Downer Adelaide Sustainable Road Resource Centre, WingfieldAC10 R30 Reconophalt Fine</v>
      </c>
      <c r="C59" s="132" t="str">
        <v>tonne</v>
      </c>
      <c r="D59" s="198">
        <v>60.149386200000002</v>
      </c>
      <c r="E59" s="198">
        <v>6.0149386200000002E-2</v>
      </c>
      <c r="F59" s="198">
        <v>0</v>
      </c>
      <c r="G59" s="215">
        <v>0</v>
      </c>
      <c r="H59" s="131"/>
    </row>
    <row r="60" spans="1:8" x14ac:dyDescent="0.25">
      <c r="A60" s="133"/>
      <c r="B60" s="204" t="str">
        <v>Downer Wodonga Asphalt Manufacturing FacilityAC14 R10 H</v>
      </c>
      <c r="C60" s="132" t="str">
        <v>tonne</v>
      </c>
      <c r="D60" s="198">
        <v>79.662905999999992</v>
      </c>
      <c r="E60" s="198">
        <v>7.9662905999999992E-2</v>
      </c>
      <c r="F60" s="198">
        <v>0</v>
      </c>
      <c r="G60" s="215">
        <v>0</v>
      </c>
      <c r="H60" s="131"/>
    </row>
    <row r="61" spans="1:8" x14ac:dyDescent="0.25">
      <c r="A61" s="133"/>
      <c r="B61" s="204" t="str">
        <v>Downer Wodonga Asphalt Manufacturing FacilityAC14 R10 H G</v>
      </c>
      <c r="C61" s="132" t="str">
        <v>tonne</v>
      </c>
      <c r="D61" s="198">
        <v>79.662905999999992</v>
      </c>
      <c r="E61" s="198">
        <v>7.9662905999999992E-2</v>
      </c>
      <c r="F61" s="198">
        <v>0</v>
      </c>
      <c r="G61" s="215">
        <v>0</v>
      </c>
      <c r="H61" s="131"/>
    </row>
    <row r="62" spans="1:8" x14ac:dyDescent="0.25">
      <c r="A62" s="133"/>
      <c r="B62" s="204" t="str">
        <v>Downer Wodonga Asphalt Manufacturing FacilityAC10 R15 H</v>
      </c>
      <c r="C62" s="132" t="str">
        <v>tonne</v>
      </c>
      <c r="D62" s="198">
        <v>77.960705000000004</v>
      </c>
      <c r="E62" s="198">
        <v>7.7960705000000005E-2</v>
      </c>
      <c r="F62" s="198">
        <v>0</v>
      </c>
      <c r="G62" s="215">
        <v>0</v>
      </c>
      <c r="H62" s="131"/>
    </row>
    <row r="63" spans="1:8" x14ac:dyDescent="0.25">
      <c r="A63" s="133"/>
      <c r="B63" s="204" t="str">
        <v>Downer Wodonga Asphalt Manufacturing FacilityAC20 R20</v>
      </c>
      <c r="C63" s="132" t="str">
        <v>tonne</v>
      </c>
      <c r="D63" s="198">
        <v>78.460905000000011</v>
      </c>
      <c r="E63" s="198">
        <v>7.8460905000000011E-2</v>
      </c>
      <c r="F63" s="198">
        <v>0</v>
      </c>
      <c r="G63" s="215">
        <v>0</v>
      </c>
      <c r="H63" s="131"/>
    </row>
    <row r="64" spans="1:8" x14ac:dyDescent="0.25">
      <c r="A64" s="133"/>
      <c r="B64" s="204" t="str">
        <v>Downer Gippsland Asphalt Manufacturing FacilityAC20</v>
      </c>
      <c r="C64" s="132" t="str">
        <v>tonne</v>
      </c>
      <c r="D64" s="198">
        <v>73.456395400000005</v>
      </c>
      <c r="E64" s="198">
        <v>7.3456395399999999E-2</v>
      </c>
      <c r="F64" s="198">
        <v>0</v>
      </c>
      <c r="G64" s="215">
        <v>0</v>
      </c>
      <c r="H64" s="131"/>
    </row>
    <row r="65" spans="1:8" x14ac:dyDescent="0.25">
      <c r="A65" s="133"/>
      <c r="B65" s="204" t="str">
        <v>Downer Mowbray Asphalt Manufacturing FacilityAC14 Type H</v>
      </c>
      <c r="C65" s="132" t="str">
        <v>tonne</v>
      </c>
      <c r="D65" s="198">
        <v>57.944081699999998</v>
      </c>
      <c r="E65" s="198">
        <v>5.7944081699999997E-2</v>
      </c>
      <c r="F65" s="198">
        <v>0</v>
      </c>
      <c r="G65" s="215">
        <v>0</v>
      </c>
      <c r="H65" s="131"/>
    </row>
    <row r="66" spans="1:8" x14ac:dyDescent="0.25">
      <c r="A66" s="133"/>
      <c r="B66" s="204" t="str">
        <v>Downer Mowbray Asphalt Manufacturing FacilityAC14 Type N</v>
      </c>
      <c r="C66" s="132" t="str">
        <v>tonne</v>
      </c>
      <c r="D66" s="198">
        <v>57.944081699999998</v>
      </c>
      <c r="E66" s="198">
        <v>5.7944081699999997E-2</v>
      </c>
      <c r="F66" s="198">
        <v>0</v>
      </c>
      <c r="G66" s="215">
        <v>0</v>
      </c>
      <c r="H66" s="131"/>
    </row>
    <row r="67" spans="1:8" x14ac:dyDescent="0.25">
      <c r="A67" s="133"/>
      <c r="B67" s="204" t="str">
        <v>Downer Mowbray Asphalt Manufacturing FacilityAC10 Type L</v>
      </c>
      <c r="C67" s="132" t="str">
        <v>tonne</v>
      </c>
      <c r="D67" s="198">
        <v>55.542086300000001</v>
      </c>
      <c r="E67" s="198">
        <v>5.5542086300000001E-2</v>
      </c>
      <c r="F67" s="198">
        <v>0</v>
      </c>
      <c r="G67" s="215">
        <v>0</v>
      </c>
      <c r="H67" s="131"/>
    </row>
    <row r="68" spans="1:8" x14ac:dyDescent="0.25">
      <c r="A68" s="133"/>
      <c r="B68" s="204" t="str">
        <v xml:space="preserve">Downer Mackay Asphalt Manufacturing FacilityAC20 H 4907 </v>
      </c>
      <c r="C68" s="132" t="str">
        <v>tonne</v>
      </c>
      <c r="D68" s="198">
        <v>84.763807</v>
      </c>
      <c r="E68" s="198">
        <v>8.4763806999999997E-2</v>
      </c>
      <c r="F68" s="198">
        <v>0</v>
      </c>
      <c r="G68" s="215">
        <v>0</v>
      </c>
      <c r="H68" s="131"/>
    </row>
    <row r="69" spans="1:8" x14ac:dyDescent="0.25">
      <c r="A69" s="133"/>
      <c r="B69" s="204" t="str">
        <v>Downer Mackay Asphalt Manufacturing FacilityAC20 C600 H 4097</v>
      </c>
      <c r="C69" s="132" t="str">
        <v>tonne</v>
      </c>
      <c r="D69" s="198">
        <v>84.763807</v>
      </c>
      <c r="E69" s="198">
        <v>8.4763806999999997E-2</v>
      </c>
      <c r="F69" s="198">
        <v>0</v>
      </c>
      <c r="G69" s="215">
        <v>0</v>
      </c>
      <c r="H69" s="131"/>
    </row>
    <row r="70" spans="1:8" x14ac:dyDescent="0.25">
      <c r="A70" s="133"/>
      <c r="B70" s="204" t="str">
        <v>Downer Gippsland Asphalt Manufacturing FacilityAC14</v>
      </c>
      <c r="C70" s="132" t="str">
        <v>tonne</v>
      </c>
      <c r="D70" s="198">
        <v>74.956201000000007</v>
      </c>
      <c r="E70" s="198">
        <v>7.4956201000000014E-2</v>
      </c>
      <c r="F70" s="198">
        <v>0</v>
      </c>
      <c r="G70" s="215">
        <v>0</v>
      </c>
      <c r="H70" s="131"/>
    </row>
    <row r="71" spans="1:8" x14ac:dyDescent="0.25">
      <c r="A71" s="133"/>
      <c r="B71" s="204" t="str">
        <v>Downer Somerton Asphalt Manufacturing FacilityAC10 R19 H N 303152</v>
      </c>
      <c r="C71" s="132" t="str">
        <v>tonne</v>
      </c>
      <c r="D71" s="198">
        <v>65.048681099999996</v>
      </c>
      <c r="E71" s="198">
        <v>6.5048681099999991E-2</v>
      </c>
      <c r="F71" s="198">
        <v>0</v>
      </c>
      <c r="G71" s="215">
        <v>0</v>
      </c>
      <c r="H71" s="131"/>
    </row>
    <row r="72" spans="1:8" x14ac:dyDescent="0.25">
      <c r="A72" s="133"/>
      <c r="B72" s="204" t="str">
        <v>Downer Mowbray Asphalt Manufacturing FacilityAC07 Type L,N</v>
      </c>
      <c r="C72" s="132" t="str">
        <v>tonne</v>
      </c>
      <c r="D72" s="198">
        <v>60.143096900000003</v>
      </c>
      <c r="E72" s="198">
        <v>6.0143096899999998E-2</v>
      </c>
      <c r="F72" s="198">
        <v>0</v>
      </c>
      <c r="G72" s="215">
        <v>0</v>
      </c>
      <c r="H72" s="131"/>
    </row>
    <row r="73" spans="1:8" x14ac:dyDescent="0.25">
      <c r="A73" s="133"/>
      <c r="B73" s="204" t="str">
        <v>Downer Bathurst Asphalt Manufacturing FacilityAC10 R10</v>
      </c>
      <c r="C73" s="132" t="str">
        <v>tonne</v>
      </c>
      <c r="D73" s="198">
        <v>79.356415999999996</v>
      </c>
      <c r="E73" s="198">
        <v>7.9356415999999985E-2</v>
      </c>
      <c r="F73" s="198">
        <v>0</v>
      </c>
      <c r="G73" s="215">
        <v>0</v>
      </c>
      <c r="H73" s="131"/>
    </row>
    <row r="74" spans="1:8" x14ac:dyDescent="0.25">
      <c r="A74" s="133"/>
      <c r="B74" s="204" t="str">
        <v>Downer Mowbray Asphalt Manufacturing FacilityAC10 Type N</v>
      </c>
      <c r="C74" s="132" t="str">
        <v>tonne</v>
      </c>
      <c r="D74" s="198">
        <v>61.143087200000004</v>
      </c>
      <c r="E74" s="198">
        <v>6.1143087199999994E-2</v>
      </c>
      <c r="F74" s="198">
        <v>0</v>
      </c>
      <c r="G74" s="215">
        <v>0</v>
      </c>
      <c r="H74" s="131"/>
    </row>
    <row r="75" spans="1:8" x14ac:dyDescent="0.25">
      <c r="A75" s="133"/>
      <c r="B75" s="204" t="str">
        <v>Downer Bathurst Asphalt Manufacturing FacilityAC07</v>
      </c>
      <c r="C75" s="132" t="str">
        <v>tonne</v>
      </c>
      <c r="D75" s="198">
        <v>87.161130999999997</v>
      </c>
      <c r="E75" s="198">
        <v>8.7161131000000003E-2</v>
      </c>
      <c r="F75" s="198">
        <v>0</v>
      </c>
      <c r="G75" s="215">
        <v>0</v>
      </c>
      <c r="H75" s="131"/>
    </row>
    <row r="76" spans="1:8" x14ac:dyDescent="0.25">
      <c r="A76" s="133"/>
      <c r="B76" s="204" t="str">
        <v>Downer Swanbank Asphalt Manufacturing FacilityAC10 R12</v>
      </c>
      <c r="C76" s="132" t="str">
        <v>tonne</v>
      </c>
      <c r="D76" s="198">
        <v>76.753708000000003</v>
      </c>
      <c r="E76" s="198">
        <v>7.6753708000000004E-2</v>
      </c>
      <c r="F76" s="198">
        <v>0</v>
      </c>
      <c r="G76" s="215">
        <v>0</v>
      </c>
      <c r="H76" s="131"/>
    </row>
    <row r="77" spans="1:8" x14ac:dyDescent="0.25">
      <c r="A77" s="133"/>
      <c r="B77" s="204" t="str">
        <v>Fulton Hogan DandenongSize 10mm DGA Type N 10-20% RAP</v>
      </c>
      <c r="C77" s="132" t="str">
        <v>tonne</v>
      </c>
      <c r="D77" s="198">
        <v>73.249341999999999</v>
      </c>
      <c r="E77" s="198">
        <v>7.3249341999999995E-2</v>
      </c>
      <c r="F77" s="198">
        <v>0</v>
      </c>
      <c r="G77" s="215">
        <v>0</v>
      </c>
      <c r="H77" s="131"/>
    </row>
    <row r="78" spans="1:8" x14ac:dyDescent="0.25">
      <c r="A78" s="133"/>
      <c r="B78" s="204" t="str">
        <v xml:space="preserve">Downer Archerfield Asphalt Manufacturing FacilityAC20 R15 </v>
      </c>
      <c r="C78" s="132" t="str">
        <v>tonne</v>
      </c>
      <c r="D78" s="198">
        <v>74.449890000000011</v>
      </c>
      <c r="E78" s="198">
        <v>7.4449890000000005E-2</v>
      </c>
      <c r="F78" s="198">
        <v>0</v>
      </c>
      <c r="G78" s="215">
        <v>0</v>
      </c>
      <c r="H78" s="131"/>
    </row>
    <row r="79" spans="1:8" x14ac:dyDescent="0.25">
      <c r="A79" s="133"/>
      <c r="B79" s="204" t="str">
        <v>Downer Brisbane Sustainable Road Resource Centre, BrendaleAC10 R20 BCC</v>
      </c>
      <c r="C79" s="132" t="str">
        <v>tonne</v>
      </c>
      <c r="D79" s="198">
        <v>64.643296699999993</v>
      </c>
      <c r="E79" s="198">
        <v>6.4643296699999978E-2</v>
      </c>
      <c r="F79" s="198">
        <v>0</v>
      </c>
      <c r="G79" s="215">
        <v>0</v>
      </c>
      <c r="H79" s="131"/>
    </row>
    <row r="80" spans="1:8" x14ac:dyDescent="0.25">
      <c r="A80" s="133"/>
      <c r="B80" s="204" t="str">
        <v>Fulton Hogan Kembla GrangeDG10 AR450 FINE AUSPEC R10%</v>
      </c>
      <c r="C80" s="132" t="str">
        <v>tonne</v>
      </c>
      <c r="D80" s="198">
        <v>63.341906999999999</v>
      </c>
      <c r="E80" s="198">
        <v>6.3341906999999989E-2</v>
      </c>
      <c r="F80" s="198">
        <v>0</v>
      </c>
      <c r="G80" s="215">
        <v>0</v>
      </c>
      <c r="H80" s="131"/>
    </row>
    <row r="81" spans="1:8" x14ac:dyDescent="0.25">
      <c r="A81" s="133"/>
      <c r="B81" s="204" t="str">
        <v>Fulton Hogan Kembla GrangeDG28 AR450 AS2150 R25%</v>
      </c>
      <c r="C81" s="132" t="str">
        <v>tonne</v>
      </c>
      <c r="D81" s="198">
        <v>54.335568499999994</v>
      </c>
      <c r="E81" s="198">
        <v>5.4335568499999994E-2</v>
      </c>
      <c r="F81" s="198">
        <v>0</v>
      </c>
      <c r="G81" s="215">
        <v>0</v>
      </c>
      <c r="H81" s="131"/>
    </row>
    <row r="82" spans="1:8" x14ac:dyDescent="0.25">
      <c r="A82" s="133"/>
      <c r="B82" s="204" t="str">
        <v>Downer Bathurst Asphalt Manufacturing FacilityAC20 R10</v>
      </c>
      <c r="C82" s="132" t="str">
        <v>tonne</v>
      </c>
      <c r="D82" s="198">
        <v>85.055500000000009</v>
      </c>
      <c r="E82" s="198">
        <v>8.5055500000000006E-2</v>
      </c>
      <c r="F82" s="198">
        <v>0</v>
      </c>
      <c r="G82" s="215">
        <v>0</v>
      </c>
      <c r="H82" s="131"/>
    </row>
    <row r="83" spans="1:8" x14ac:dyDescent="0.25">
      <c r="A83" s="133"/>
      <c r="B83" s="204" t="str">
        <v>Downer Bathurst Asphalt Manufacturing FacilityAC14 R10 H</v>
      </c>
      <c r="C83" s="132" t="str">
        <v>tonne</v>
      </c>
      <c r="D83" s="198">
        <v>86.255402000000004</v>
      </c>
      <c r="E83" s="198">
        <v>8.6255401999999995E-2</v>
      </c>
      <c r="F83" s="198">
        <v>0</v>
      </c>
      <c r="G83" s="215">
        <v>0</v>
      </c>
      <c r="H83" s="131"/>
    </row>
    <row r="84" spans="1:8" x14ac:dyDescent="0.25">
      <c r="A84" s="133"/>
      <c r="B84" s="204" t="str">
        <v>Fulton Hogan Kembla GrangeDG20 AR450 AS2150 R30%</v>
      </c>
      <c r="C84" s="132" t="str">
        <v>tonne</v>
      </c>
      <c r="D84" s="198">
        <v>55.735273800000009</v>
      </c>
      <c r="E84" s="198">
        <v>5.5735273799999999E-2</v>
      </c>
      <c r="F84" s="198">
        <v>0</v>
      </c>
      <c r="G84" s="215">
        <v>0</v>
      </c>
      <c r="H84" s="131"/>
    </row>
    <row r="85" spans="1:8" x14ac:dyDescent="0.25">
      <c r="A85" s="133"/>
      <c r="B85" s="204" t="str">
        <v>Downer Hume Asphalt Manufacturing FacilityAC14 R15</v>
      </c>
      <c r="C85" s="132" t="str">
        <v>tonne</v>
      </c>
      <c r="D85" s="198">
        <v>71.444664999999986</v>
      </c>
      <c r="E85" s="198">
        <v>7.1444664999999991E-2</v>
      </c>
      <c r="F85" s="198">
        <v>0</v>
      </c>
      <c r="G85" s="215">
        <v>0</v>
      </c>
      <c r="H85" s="131"/>
    </row>
    <row r="86" spans="1:8" x14ac:dyDescent="0.25">
      <c r="A86" s="133"/>
      <c r="B86" s="204" t="str">
        <v>Downer Hume Asphalt Manufacturing FacilityAC10 R20 Reconophalt</v>
      </c>
      <c r="C86" s="132" t="str">
        <v>tonne</v>
      </c>
      <c r="D86" s="198">
        <v>76.34668400000001</v>
      </c>
      <c r="E86" s="198">
        <v>7.6346683999999998E-2</v>
      </c>
      <c r="F86" s="198">
        <v>0</v>
      </c>
      <c r="G86" s="215">
        <v>0</v>
      </c>
      <c r="H86" s="131"/>
    </row>
    <row r="87" spans="1:8" x14ac:dyDescent="0.25">
      <c r="A87" s="133"/>
      <c r="B87" s="204" t="str">
        <v xml:space="preserve">Downer Bli Bli Asphalt Manufacturing FacilityAC14 R15 </v>
      </c>
      <c r="C87" s="132" t="str">
        <v>tonne</v>
      </c>
      <c r="D87" s="198">
        <v>75.944591000000003</v>
      </c>
      <c r="E87" s="198">
        <v>7.5944591000000006E-2</v>
      </c>
      <c r="F87" s="198">
        <v>0</v>
      </c>
      <c r="G87" s="215">
        <v>0</v>
      </c>
      <c r="H87" s="131"/>
    </row>
    <row r="88" spans="1:8" x14ac:dyDescent="0.25">
      <c r="A88" s="133"/>
      <c r="B88" s="204" t="str">
        <v>Fulton Hogan Kembla GrangeDG10 AR450 AS2150 R30% SLAG DUST</v>
      </c>
      <c r="C88" s="132" t="str">
        <v>tonne</v>
      </c>
      <c r="D88" s="198">
        <v>61.135390899999997</v>
      </c>
      <c r="E88" s="198">
        <v>6.1135390900000003E-2</v>
      </c>
      <c r="F88" s="198">
        <v>0</v>
      </c>
      <c r="G88" s="215">
        <v>0</v>
      </c>
      <c r="H88" s="131"/>
    </row>
    <row r="89" spans="1:8" x14ac:dyDescent="0.25">
      <c r="A89" s="133"/>
      <c r="B89" s="204" t="str">
        <v xml:space="preserve">Downer Bli Bli Asphalt Manufacturing FacilityAC20 R15 </v>
      </c>
      <c r="C89" s="132" t="str">
        <v>tonne</v>
      </c>
      <c r="D89" s="198">
        <v>72.742085200000005</v>
      </c>
      <c r="E89" s="198">
        <v>7.2742085200000001E-2</v>
      </c>
      <c r="F89" s="198">
        <v>0</v>
      </c>
      <c r="G89" s="215">
        <v>0</v>
      </c>
      <c r="H89" s="131"/>
    </row>
    <row r="90" spans="1:8" x14ac:dyDescent="0.25">
      <c r="A90" s="133"/>
      <c r="B90" s="204" t="str">
        <v>Fulton Hogan Kembla GrangeGG10 AR450 AS2510 R10%</v>
      </c>
      <c r="C90" s="132" t="str">
        <v>tonne</v>
      </c>
      <c r="D90" s="198">
        <v>80.044916999999998</v>
      </c>
      <c r="E90" s="198">
        <v>8.0044916999999993E-2</v>
      </c>
      <c r="F90" s="198">
        <v>0</v>
      </c>
      <c r="G90" s="215">
        <v>0</v>
      </c>
      <c r="H90" s="131"/>
    </row>
    <row r="91" spans="1:8" x14ac:dyDescent="0.25">
      <c r="A91" s="133"/>
      <c r="B91" s="204" t="str">
        <v>Fulton Hogan Bushells RidgeDG07 AR450 AS2150</v>
      </c>
      <c r="C91" s="132" t="str">
        <v>tonne</v>
      </c>
      <c r="D91" s="198">
        <v>71.937925000000007</v>
      </c>
      <c r="E91" s="198">
        <v>7.1937925000000014E-2</v>
      </c>
      <c r="F91" s="198">
        <v>0</v>
      </c>
      <c r="G91" s="215">
        <v>0</v>
      </c>
      <c r="H91" s="131"/>
    </row>
    <row r="92" spans="1:8" x14ac:dyDescent="0.25">
      <c r="A92" s="133"/>
      <c r="B92" s="204" t="str">
        <v>Fulton Hogan Bushells RidgeDG10 AR450 FINE AUSPEC</v>
      </c>
      <c r="C92" s="132" t="str">
        <v>tonne</v>
      </c>
      <c r="D92" s="198">
        <v>71.737121000000002</v>
      </c>
      <c r="E92" s="198">
        <v>7.1737121000000001E-2</v>
      </c>
      <c r="F92" s="198">
        <v>0</v>
      </c>
      <c r="G92" s="215">
        <v>0</v>
      </c>
      <c r="H92" s="131"/>
    </row>
    <row r="93" spans="1:8" x14ac:dyDescent="0.25">
      <c r="A93" s="133"/>
      <c r="B93" s="204" t="str">
        <v>Fulton Hogan Bushells RidgeDG10 AR450 AS2150 R10%</v>
      </c>
      <c r="C93" s="132" t="str">
        <v>tonne</v>
      </c>
      <c r="D93" s="198">
        <v>69.034213999999992</v>
      </c>
      <c r="E93" s="198">
        <v>6.9034213999999997E-2</v>
      </c>
      <c r="F93" s="198">
        <v>0</v>
      </c>
      <c r="G93" s="215">
        <v>0</v>
      </c>
      <c r="H93" s="131"/>
    </row>
    <row r="94" spans="1:8" x14ac:dyDescent="0.25">
      <c r="A94" s="133"/>
      <c r="B94" s="204" t="str">
        <v>Fulton Hogan DandenongSize 14mm GG CR</v>
      </c>
      <c r="C94" s="132" t="str">
        <v>tonne</v>
      </c>
      <c r="D94" s="198">
        <v>70.534925999999999</v>
      </c>
      <c r="E94" s="198">
        <v>7.0534925999999998E-2</v>
      </c>
      <c r="F94" s="198">
        <v>0</v>
      </c>
      <c r="G94" s="215">
        <v>0</v>
      </c>
      <c r="H94" s="131"/>
    </row>
    <row r="95" spans="1:8" x14ac:dyDescent="0.25">
      <c r="A95" s="133"/>
      <c r="B95" s="204" t="str">
        <v xml:space="preserve">Fulton Hogan Bushells RidgeEME2 </v>
      </c>
      <c r="C95" s="132" t="str">
        <v>tonne</v>
      </c>
      <c r="D95" s="198">
        <v>78.638513999999986</v>
      </c>
      <c r="E95" s="198">
        <v>7.8638513999999979E-2</v>
      </c>
      <c r="F95" s="198">
        <v>0</v>
      </c>
      <c r="G95" s="215">
        <v>0</v>
      </c>
      <c r="H95" s="131"/>
    </row>
    <row r="96" spans="1:8" x14ac:dyDescent="0.25">
      <c r="A96" s="133"/>
      <c r="B96" s="204" t="str">
        <v>Fulton Hogan LaraSize 20mm DGA Type SF</v>
      </c>
      <c r="C96" s="132" t="str">
        <v>tonne</v>
      </c>
      <c r="D96" s="198">
        <v>61.729751000000007</v>
      </c>
      <c r="E96" s="198">
        <v>6.1729750999999999E-2</v>
      </c>
      <c r="F96" s="198">
        <v>0</v>
      </c>
      <c r="G96" s="215">
        <v>0</v>
      </c>
      <c r="H96" s="131"/>
    </row>
    <row r="97" spans="1:8" x14ac:dyDescent="0.25">
      <c r="A97" s="133"/>
      <c r="B97" s="204" t="str">
        <v>Fulton Hogan DandenongSize 20mm DGA Type SF 20% RAP ≤5% Glass</v>
      </c>
      <c r="C97" s="132" t="str">
        <v>tonne</v>
      </c>
      <c r="D97" s="198">
        <v>59.628169</v>
      </c>
      <c r="E97" s="198">
        <v>5.9628169000000002E-2</v>
      </c>
      <c r="F97" s="198">
        <v>0</v>
      </c>
      <c r="G97" s="215">
        <v>0</v>
      </c>
      <c r="H97" s="131"/>
    </row>
    <row r="98" spans="1:8" x14ac:dyDescent="0.25">
      <c r="A98" s="133"/>
      <c r="B98" s="204" t="str">
        <v>Fulton Hogan Bushells RidgeDG14 AR450 AS2150 R15%</v>
      </c>
      <c r="C98" s="132" t="str">
        <v>tonne</v>
      </c>
      <c r="D98" s="198">
        <v>65.630897599999997</v>
      </c>
      <c r="E98" s="198">
        <v>6.5630897599999988E-2</v>
      </c>
      <c r="F98" s="198">
        <v>0</v>
      </c>
      <c r="G98" s="215">
        <v>0</v>
      </c>
      <c r="H98" s="131"/>
    </row>
    <row r="99" spans="1:8" x14ac:dyDescent="0.25">
      <c r="A99" s="133"/>
      <c r="B99" s="204" t="str">
        <v>Fulton Hogan LaraSize 20mm DGA Type SS</v>
      </c>
      <c r="C99" s="132" t="str">
        <v>tonne</v>
      </c>
      <c r="D99" s="198">
        <v>58.327434999999994</v>
      </c>
      <c r="E99" s="198">
        <v>5.8327434999999997E-2</v>
      </c>
      <c r="F99" s="198">
        <v>0</v>
      </c>
      <c r="G99" s="215">
        <v>0</v>
      </c>
      <c r="H99" s="131"/>
    </row>
    <row r="100" spans="1:8" x14ac:dyDescent="0.25">
      <c r="A100" s="133"/>
      <c r="B100" s="204" t="str">
        <v>Fulton Hogan LaraSize 14, 20mm DGA Type SI ≤10% RAP</v>
      </c>
      <c r="C100" s="132" t="str">
        <v>tonne</v>
      </c>
      <c r="D100" s="198">
        <v>59.027740000000001</v>
      </c>
      <c r="E100" s="198">
        <v>5.9027740000000002E-2</v>
      </c>
      <c r="F100" s="198">
        <v>0</v>
      </c>
      <c r="G100" s="215">
        <v>0</v>
      </c>
      <c r="H100" s="131"/>
    </row>
    <row r="101" spans="1:8" x14ac:dyDescent="0.25">
      <c r="A101" s="133"/>
      <c r="B101" s="204" t="str">
        <v>Fulton Hogan LaraSize 10, 14mm DGA Type H 10% RAP</v>
      </c>
      <c r="C101" s="132" t="str">
        <v>tonne</v>
      </c>
      <c r="D101" s="198">
        <v>58.226621999999999</v>
      </c>
      <c r="E101" s="198">
        <v>5.8226621999999999E-2</v>
      </c>
      <c r="F101" s="198">
        <v>0</v>
      </c>
      <c r="G101" s="215">
        <v>0</v>
      </c>
      <c r="H101" s="131"/>
    </row>
    <row r="102" spans="1:8" x14ac:dyDescent="0.25">
      <c r="A102" s="133"/>
      <c r="B102" s="204" t="str">
        <v>Fulton Hogan LaraSize 10, 14mm DGA Type V</v>
      </c>
      <c r="C102" s="132" t="str">
        <v>tonne</v>
      </c>
      <c r="D102" s="198">
        <v>60.127446999999997</v>
      </c>
      <c r="E102" s="198">
        <v>6.0127447000000001E-2</v>
      </c>
      <c r="F102" s="198">
        <v>0</v>
      </c>
      <c r="G102" s="215">
        <v>0</v>
      </c>
      <c r="H102" s="131"/>
    </row>
    <row r="103" spans="1:8" x14ac:dyDescent="0.25">
      <c r="A103" s="133"/>
      <c r="B103" s="204" t="str">
        <v>Fulton Hogan Bushells RidgeDG20 AR450 AS2150 R20%</v>
      </c>
      <c r="C103" s="132" t="str">
        <v>tonne</v>
      </c>
      <c r="D103" s="198">
        <v>63.328787699999999</v>
      </c>
      <c r="E103" s="198">
        <v>6.33287877E-2</v>
      </c>
      <c r="F103" s="198">
        <v>0</v>
      </c>
      <c r="G103" s="215">
        <v>0</v>
      </c>
      <c r="H103" s="131"/>
    </row>
    <row r="104" spans="1:8" x14ac:dyDescent="0.25">
      <c r="A104" s="133"/>
      <c r="B104" s="204" t="str">
        <v>Fulton Hogan LaraSize 14, 20mm DGA Type SI 10-20% RAP</v>
      </c>
      <c r="C104" s="132" t="str">
        <v>tonne</v>
      </c>
      <c r="D104" s="198">
        <v>55.225004000000006</v>
      </c>
      <c r="E104" s="198">
        <v>5.5225004000000008E-2</v>
      </c>
      <c r="F104" s="198">
        <v>0</v>
      </c>
      <c r="G104" s="215">
        <v>0</v>
      </c>
      <c r="H104" s="131"/>
    </row>
    <row r="105" spans="1:8" x14ac:dyDescent="0.25">
      <c r="A105" s="133"/>
      <c r="B105" s="204" t="str">
        <v>Fulton Hogan LaraSize 7, 10, 14mm DGA Type H</v>
      </c>
      <c r="C105" s="132" t="str">
        <v>tonne</v>
      </c>
      <c r="D105" s="198">
        <v>62.328158999999992</v>
      </c>
      <c r="E105" s="198">
        <v>6.2328158999999994E-2</v>
      </c>
      <c r="F105" s="198">
        <v>0</v>
      </c>
      <c r="G105" s="215">
        <v>0</v>
      </c>
      <c r="H105" s="131"/>
    </row>
    <row r="106" spans="1:8" x14ac:dyDescent="0.25">
      <c r="A106" s="133"/>
      <c r="B106" s="204" t="str">
        <v>Fulton Hogan Eastern CreekEME2</v>
      </c>
      <c r="C106" s="132" t="str">
        <v>tonne</v>
      </c>
      <c r="D106" s="198">
        <v>87.439118000000008</v>
      </c>
      <c r="E106" s="198">
        <v>8.7439117999999996E-2</v>
      </c>
      <c r="F106" s="198">
        <v>0</v>
      </c>
      <c r="G106" s="215">
        <v>0</v>
      </c>
      <c r="H106" s="131"/>
    </row>
    <row r="107" spans="1:8" x14ac:dyDescent="0.25">
      <c r="A107" s="133"/>
      <c r="B107" s="204" t="str">
        <v>Fulton Hogan Bushells RidgeDG14 AR450 R116 R15%</v>
      </c>
      <c r="C107" s="132" t="str">
        <v>tonne</v>
      </c>
      <c r="D107" s="198">
        <v>77.733002999999997</v>
      </c>
      <c r="E107" s="198">
        <v>7.7733003000000009E-2</v>
      </c>
      <c r="F107" s="198">
        <v>0</v>
      </c>
      <c r="G107" s="215">
        <v>0</v>
      </c>
      <c r="H107" s="131"/>
    </row>
    <row r="108" spans="1:8" x14ac:dyDescent="0.25">
      <c r="A108" s="133"/>
      <c r="B108" s="204" t="str">
        <v>Fulton Hogan Eastern CreekDG07 AR450 AS2150</v>
      </c>
      <c r="C108" s="132" t="str">
        <v>tonne</v>
      </c>
      <c r="D108" s="198">
        <v>92.238731000000001</v>
      </c>
      <c r="E108" s="198">
        <v>9.2238731000000004E-2</v>
      </c>
      <c r="F108" s="198">
        <v>0</v>
      </c>
      <c r="G108" s="215">
        <v>0</v>
      </c>
      <c r="H108" s="131"/>
    </row>
    <row r="109" spans="1:8" x14ac:dyDescent="0.25">
      <c r="A109" s="133"/>
      <c r="B109" s="204" t="str">
        <v>Fulton Hogan Bushells RidgeDG28 AR450 R116 R15%</v>
      </c>
      <c r="C109" s="132" t="str">
        <v>tonne</v>
      </c>
      <c r="D109" s="198">
        <v>72.729678100000001</v>
      </c>
      <c r="E109" s="198">
        <v>7.27296781E-2</v>
      </c>
      <c r="F109" s="198">
        <v>0</v>
      </c>
      <c r="G109" s="215">
        <v>0</v>
      </c>
      <c r="H109" s="131"/>
    </row>
    <row r="110" spans="1:8" x14ac:dyDescent="0.25">
      <c r="A110" s="133"/>
      <c r="B110" s="204" t="str">
        <v>Fulton Hogan Bushells RidgeDG20 AR450 R116 R20%</v>
      </c>
      <c r="C110" s="132" t="str">
        <v>tonne</v>
      </c>
      <c r="D110" s="198">
        <v>74.830189599999997</v>
      </c>
      <c r="E110" s="198">
        <v>7.4830189599999999E-2</v>
      </c>
      <c r="F110" s="198">
        <v>0</v>
      </c>
      <c r="G110" s="215">
        <v>0</v>
      </c>
      <c r="H110" s="131"/>
    </row>
    <row r="111" spans="1:8" x14ac:dyDescent="0.25">
      <c r="A111" s="133"/>
      <c r="B111" s="204" t="str">
        <v>Fulton Hogan Eastern CreekGG10 AR450 AS2150 R10%</v>
      </c>
      <c r="C111" s="132" t="str">
        <v>tonne</v>
      </c>
      <c r="D111" s="198">
        <v>89.234722000000005</v>
      </c>
      <c r="E111" s="198">
        <v>8.9234722000000002E-2</v>
      </c>
      <c r="F111" s="198">
        <v>0</v>
      </c>
      <c r="G111" s="215">
        <v>0</v>
      </c>
      <c r="H111" s="131"/>
    </row>
    <row r="112" spans="1:8" x14ac:dyDescent="0.25">
      <c r="A112" s="133"/>
      <c r="B112" s="204" t="str">
        <v>Fulton Hogan DandenongDoT - Section 422 Light Traffic Crumb Rubber Asphalt (LTCRA)</v>
      </c>
      <c r="C112" s="132" t="str">
        <v>tonne</v>
      </c>
      <c r="D112" s="198">
        <v>64.324176999999992</v>
      </c>
      <c r="E112" s="198">
        <v>6.4324176999999996E-2</v>
      </c>
      <c r="F112" s="198">
        <v>0</v>
      </c>
      <c r="G112" s="215">
        <v>0</v>
      </c>
      <c r="H112" s="131"/>
    </row>
    <row r="113" spans="1:8" x14ac:dyDescent="0.25">
      <c r="A113" s="133"/>
      <c r="B113" s="204" t="str">
        <v>Fulton Hogan Bushells RidgeDG14 AR450 R116 SLAG</v>
      </c>
      <c r="C113" s="132" t="str">
        <v>tonne</v>
      </c>
      <c r="D113" s="198">
        <v>77.928703999999996</v>
      </c>
      <c r="E113" s="198">
        <v>7.7928704000000015E-2</v>
      </c>
      <c r="F113" s="198">
        <v>0</v>
      </c>
      <c r="G113" s="215">
        <v>0</v>
      </c>
      <c r="H113" s="131"/>
    </row>
    <row r="114" spans="1:8" x14ac:dyDescent="0.25">
      <c r="A114" s="133"/>
      <c r="B114" s="204" t="str">
        <v>Fulton Hogan DandenongSize 7mm DGA Fine</v>
      </c>
      <c r="C114" s="132" t="str">
        <v>tonne</v>
      </c>
      <c r="D114" s="198">
        <v>63.522313000000004</v>
      </c>
      <c r="E114" s="198">
        <v>6.3522312999999997E-2</v>
      </c>
      <c r="F114" s="198">
        <v>0</v>
      </c>
      <c r="G114" s="215">
        <v>0</v>
      </c>
      <c r="H114" s="131"/>
    </row>
    <row r="115" spans="1:8" x14ac:dyDescent="0.25">
      <c r="A115" s="133"/>
      <c r="B115" s="204" t="str">
        <v>Fulton Hogan DandenongSize 7, 10mm DGA Type L</v>
      </c>
      <c r="C115" s="132" t="str">
        <v>tonne</v>
      </c>
      <c r="D115" s="198">
        <v>61.821621</v>
      </c>
      <c r="E115" s="198">
        <v>6.1821620999999993E-2</v>
      </c>
      <c r="F115" s="198">
        <v>0</v>
      </c>
      <c r="G115" s="215">
        <v>0</v>
      </c>
      <c r="H115" s="131"/>
    </row>
    <row r="116" spans="1:8" x14ac:dyDescent="0.25">
      <c r="A116" s="133"/>
      <c r="B116" s="204" t="str">
        <v>Fulton Hogan Eastern CreekDG20 Port_x0002_Phalt®</v>
      </c>
      <c r="C116" s="132" t="str">
        <v>tonne</v>
      </c>
      <c r="D116" s="198">
        <v>82.327688600000002</v>
      </c>
      <c r="E116" s="198">
        <v>8.2327688600000004E-2</v>
      </c>
      <c r="F116" s="198">
        <v>0</v>
      </c>
      <c r="G116" s="215">
        <v>0</v>
      </c>
      <c r="H116" s="131"/>
    </row>
    <row r="117" spans="1:8" x14ac:dyDescent="0.25">
      <c r="A117" s="133"/>
      <c r="B117" s="204" t="str">
        <v>Fulton Hogan DandenongSize 10mm DGA Type L 10-20% RAP</v>
      </c>
      <c r="C117" s="132" t="str">
        <v>tonne</v>
      </c>
      <c r="D117" s="198">
        <v>56.118777000000001</v>
      </c>
      <c r="E117" s="198">
        <v>5.6118777000000002E-2</v>
      </c>
      <c r="F117" s="198">
        <v>0</v>
      </c>
      <c r="G117" s="215">
        <v>0</v>
      </c>
      <c r="H117" s="131"/>
    </row>
    <row r="118" spans="1:8" x14ac:dyDescent="0.25">
      <c r="A118" s="133"/>
      <c r="B118" s="204" t="str">
        <v>Fulton Hogan DandenongSize 7, 10, 14mm DGA Type N</v>
      </c>
      <c r="C118" s="132" t="str">
        <v>tonne</v>
      </c>
      <c r="D118" s="198">
        <v>62.120511</v>
      </c>
      <c r="E118" s="198">
        <v>6.2120511000000003E-2</v>
      </c>
      <c r="F118" s="198">
        <v>0</v>
      </c>
      <c r="G118" s="215">
        <v>0</v>
      </c>
      <c r="H118" s="131"/>
    </row>
    <row r="119" spans="1:8" x14ac:dyDescent="0.25">
      <c r="A119" s="133"/>
      <c r="B119" s="204" t="str">
        <v>Fulton Hogan DandenongSize 7, 10, 14mm DGA Type H</v>
      </c>
      <c r="C119" s="132" t="str">
        <v>tonne</v>
      </c>
      <c r="D119" s="198">
        <v>64.820810999999992</v>
      </c>
      <c r="E119" s="198">
        <v>6.4820810999999992E-2</v>
      </c>
      <c r="F119" s="198">
        <v>0</v>
      </c>
      <c r="G119" s="215">
        <v>0</v>
      </c>
      <c r="H119" s="131"/>
    </row>
    <row r="120" spans="1:8" x14ac:dyDescent="0.25">
      <c r="A120" s="133"/>
      <c r="B120" s="204" t="str">
        <v>Downer Gosnells Asphalt Manufacturing FacilityAC14 A15E 4B1A00</v>
      </c>
      <c r="C120" s="132" t="str">
        <v>tonne</v>
      </c>
      <c r="D120" s="198">
        <v>79.32513800000001</v>
      </c>
      <c r="E120" s="198">
        <v>7.9325138000000003E-2</v>
      </c>
      <c r="F120" s="198">
        <v>0</v>
      </c>
      <c r="G120" s="215">
        <v>0</v>
      </c>
      <c r="H120" s="131"/>
    </row>
    <row r="121" spans="1:8" x14ac:dyDescent="0.25">
      <c r="A121" s="133"/>
      <c r="B121" s="204" t="str">
        <v>Downer Bayswater Asphalt Manufacturing FacilityAC14 A10E HP 302278</v>
      </c>
      <c r="C121" s="132" t="str">
        <v>tonne</v>
      </c>
      <c r="D121" s="198">
        <v>82.726163999999997</v>
      </c>
      <c r="E121" s="198">
        <v>8.2726163999999991E-2</v>
      </c>
      <c r="F121" s="198">
        <v>0</v>
      </c>
      <c r="G121" s="215">
        <v>0</v>
      </c>
      <c r="H121" s="131"/>
    </row>
    <row r="122" spans="1:8" x14ac:dyDescent="0.25">
      <c r="A122" s="133"/>
      <c r="B122" s="204" t="str">
        <v>Fulton Hogan DandenongSize 10, 14mm DGA Type V</v>
      </c>
      <c r="C122" s="132" t="str">
        <v>tonne</v>
      </c>
      <c r="D122" s="198">
        <v>61.219302000000006</v>
      </c>
      <c r="E122" s="198">
        <v>6.1219302000000003E-2</v>
      </c>
      <c r="F122" s="198">
        <v>0</v>
      </c>
      <c r="G122" s="215">
        <v>0</v>
      </c>
      <c r="H122" s="131"/>
    </row>
    <row r="123" spans="1:8" x14ac:dyDescent="0.25">
      <c r="A123" s="133"/>
      <c r="B123" s="204" t="str">
        <v>Fulton Hogan DandenongSize 20mm DGA Type SF</v>
      </c>
      <c r="C123" s="132" t="str">
        <v>tonne</v>
      </c>
      <c r="D123" s="198">
        <v>66.320708999999994</v>
      </c>
      <c r="E123" s="198">
        <v>6.6320709000000005E-2</v>
      </c>
      <c r="F123" s="198">
        <v>0</v>
      </c>
      <c r="G123" s="215">
        <v>0</v>
      </c>
      <c r="H123" s="131"/>
    </row>
    <row r="124" spans="1:8" x14ac:dyDescent="0.25">
      <c r="A124" s="133"/>
      <c r="B124" s="204" t="str">
        <v>Fulton Hogan Bushells RidgePortPhalt®*</v>
      </c>
      <c r="C124" s="132" t="str">
        <v>tonne</v>
      </c>
      <c r="D124" s="198">
        <v>82.225491000000005</v>
      </c>
      <c r="E124" s="198">
        <v>8.2225490999999998E-2</v>
      </c>
      <c r="F124" s="198">
        <v>0</v>
      </c>
      <c r="G124" s="215">
        <v>0</v>
      </c>
      <c r="H124" s="131"/>
    </row>
    <row r="125" spans="1:8" x14ac:dyDescent="0.25">
      <c r="A125" s="133"/>
      <c r="B125" s="204" t="str">
        <v>Fulton Hogan DandenongSize 14mm DGA Type SI 10% RAP</v>
      </c>
      <c r="C125" s="132" t="str">
        <v>tonne</v>
      </c>
      <c r="D125" s="198">
        <v>61.417976000000003</v>
      </c>
      <c r="E125" s="198">
        <v>6.1417975999999992E-2</v>
      </c>
      <c r="F125" s="198">
        <v>0</v>
      </c>
      <c r="G125" s="215">
        <v>0</v>
      </c>
      <c r="H125" s="131"/>
    </row>
    <row r="126" spans="1:8" x14ac:dyDescent="0.25">
      <c r="A126" s="133"/>
      <c r="B126" s="204" t="str">
        <v>Fulton Hogan DandenongSize 20mm DGA Type SS</v>
      </c>
      <c r="C126" s="132" t="str">
        <v>tonne</v>
      </c>
      <c r="D126" s="198">
        <v>62.918292999999998</v>
      </c>
      <c r="E126" s="198">
        <v>6.2918292999999986E-2</v>
      </c>
      <c r="F126" s="198">
        <v>0</v>
      </c>
      <c r="G126" s="215">
        <v>0</v>
      </c>
      <c r="H126" s="131"/>
    </row>
    <row r="127" spans="1:8" x14ac:dyDescent="0.25">
      <c r="A127" s="133"/>
      <c r="B127" s="204" t="str">
        <v>Downer Adelaide Sustainable Road Resource Centre, WingfieldAC10 A5E R10 M</v>
      </c>
      <c r="C127" s="132" t="str">
        <v>tonne</v>
      </c>
      <c r="D127" s="198">
        <v>83.424177999999998</v>
      </c>
      <c r="E127" s="198">
        <v>8.3424178000000002E-2</v>
      </c>
      <c r="F127" s="198">
        <v>0</v>
      </c>
      <c r="G127" s="215">
        <v>0</v>
      </c>
      <c r="H127" s="131"/>
    </row>
    <row r="128" spans="1:8" x14ac:dyDescent="0.25">
      <c r="A128" s="133"/>
      <c r="B128" s="204" t="str">
        <v>Fulton Hogan DandenongSize 14mm DGA Type H 10-20% RAP</v>
      </c>
      <c r="C128" s="132" t="str">
        <v>tonne</v>
      </c>
      <c r="D128" s="198">
        <v>60.517471</v>
      </c>
      <c r="E128" s="198">
        <v>6.0517470999999996E-2</v>
      </c>
      <c r="F128" s="198">
        <v>0</v>
      </c>
      <c r="G128" s="215">
        <v>0</v>
      </c>
      <c r="H128" s="131"/>
    </row>
    <row r="129" spans="1:8" x14ac:dyDescent="0.25">
      <c r="A129" s="133"/>
      <c r="B129" s="204" t="str">
        <v>Fulton Hogan DandenongSize 10mm PlastiPhalt ®</v>
      </c>
      <c r="C129" s="132" t="str">
        <v>tonne</v>
      </c>
      <c r="D129" s="198">
        <v>62.217872</v>
      </c>
      <c r="E129" s="198">
        <v>6.2217872000000007E-2</v>
      </c>
      <c r="F129" s="198">
        <v>0</v>
      </c>
      <c r="G129" s="215">
        <v>0</v>
      </c>
      <c r="H129" s="131"/>
    </row>
    <row r="130" spans="1:8" x14ac:dyDescent="0.25">
      <c r="A130" s="133"/>
      <c r="B130" s="204" t="str">
        <v>Fulton Hogan DandenongSize 14mm DGA Type N 10-20% RAP</v>
      </c>
      <c r="C130" s="132" t="str">
        <v>tonne</v>
      </c>
      <c r="D130" s="198">
        <v>59.016562</v>
      </c>
      <c r="E130" s="198">
        <v>5.9016561999999995E-2</v>
      </c>
      <c r="F130" s="198">
        <v>0</v>
      </c>
      <c r="G130" s="215">
        <v>0</v>
      </c>
      <c r="H130" s="131"/>
    </row>
    <row r="131" spans="1:8" x14ac:dyDescent="0.25">
      <c r="A131" s="133"/>
      <c r="B131" s="204" t="str">
        <v>Fulton Hogan Eastern CreekDG14 Port_x0002_Phalt®</v>
      </c>
      <c r="C131" s="132" t="str">
        <v>tonne</v>
      </c>
      <c r="D131" s="198">
        <v>86.923795800000008</v>
      </c>
      <c r="E131" s="198">
        <v>8.6923795800000009E-2</v>
      </c>
      <c r="F131" s="198">
        <v>0</v>
      </c>
      <c r="G131" s="215">
        <v>0</v>
      </c>
      <c r="H131" s="131"/>
    </row>
    <row r="132" spans="1:8" x14ac:dyDescent="0.25">
      <c r="A132" s="133"/>
      <c r="B132" s="204" t="str">
        <v>Fulton Hogan DandenongSize 20mm DGA Type SF 30-40% RAP</v>
      </c>
      <c r="C132" s="132" t="str">
        <v>tonne</v>
      </c>
      <c r="D132" s="198">
        <v>55.014237999999999</v>
      </c>
      <c r="E132" s="198">
        <v>5.5014238E-2</v>
      </c>
      <c r="F132" s="198">
        <v>0</v>
      </c>
      <c r="G132" s="215">
        <v>0</v>
      </c>
      <c r="H132" s="131"/>
    </row>
    <row r="133" spans="1:8" x14ac:dyDescent="0.25">
      <c r="A133" s="133"/>
      <c r="B133" s="204" t="str">
        <v>Fulton Hogan DandenongSize 20mm DGA Type SS 30% RAP</v>
      </c>
      <c r="C133" s="132" t="str">
        <v>tonne</v>
      </c>
      <c r="D133" s="198">
        <v>52.812826000000001</v>
      </c>
      <c r="E133" s="198">
        <v>5.2812826E-2</v>
      </c>
      <c r="F133" s="198">
        <v>0</v>
      </c>
      <c r="G133" s="215">
        <v>0</v>
      </c>
      <c r="H133" s="131"/>
    </row>
    <row r="134" spans="1:8" x14ac:dyDescent="0.25">
      <c r="A134" s="133"/>
      <c r="B134" s="204" t="str">
        <v>Fulton Hogan DandenongSize 20 mm DGA Type SI 30% RAP</v>
      </c>
      <c r="C134" s="132" t="str">
        <v>tonne</v>
      </c>
      <c r="D134" s="198">
        <v>52.712631000000009</v>
      </c>
      <c r="E134" s="198">
        <v>5.2712631000000003E-2</v>
      </c>
      <c r="F134" s="198">
        <v>0</v>
      </c>
      <c r="G134" s="215">
        <v>0</v>
      </c>
      <c r="H134" s="131"/>
    </row>
    <row r="135" spans="1:8" x14ac:dyDescent="0.25">
      <c r="A135" s="133"/>
      <c r="B135" s="204" t="str">
        <v>Downer Adelaide Sustainable Road Resource Centre, WingfieldAC10 A5E R20 M</v>
      </c>
      <c r="C135" s="132" t="str">
        <v>tonne</v>
      </c>
      <c r="D135" s="198">
        <v>79.718169999999986</v>
      </c>
      <c r="E135" s="198">
        <v>7.9718169999999977E-2</v>
      </c>
      <c r="F135" s="198">
        <v>0</v>
      </c>
      <c r="G135" s="215">
        <v>0</v>
      </c>
      <c r="H135" s="131"/>
    </row>
    <row r="136" spans="1:8" x14ac:dyDescent="0.25">
      <c r="A136" s="133"/>
      <c r="B136" s="204" t="str">
        <v>Fulton Hogan Eastern CreekDG14, DG20 and DG28 AR450 AS2150/AUSPEC/R117 R25% G≤10%*</v>
      </c>
      <c r="C136" s="132" t="str">
        <v>tonne</v>
      </c>
      <c r="D136" s="198">
        <v>63.613087399999998</v>
      </c>
      <c r="E136" s="198">
        <v>6.3613087400000004E-2</v>
      </c>
      <c r="F136" s="198">
        <v>0</v>
      </c>
      <c r="G136" s="215">
        <v>0</v>
      </c>
      <c r="H136" s="131"/>
    </row>
    <row r="137" spans="1:8" x14ac:dyDescent="0.25">
      <c r="A137" s="133"/>
      <c r="B137" s="204" t="str">
        <v>Fulton Hogan Eastern CreekDG20 AR450 R116 R25% G≤10%*</v>
      </c>
      <c r="C137" s="132" t="str">
        <v>tonne</v>
      </c>
      <c r="D137" s="198">
        <v>73.515088700000007</v>
      </c>
      <c r="E137" s="198">
        <v>7.3515088699999995E-2</v>
      </c>
      <c r="F137" s="198">
        <v>0</v>
      </c>
      <c r="G137" s="215">
        <v>0</v>
      </c>
      <c r="H137" s="131"/>
    </row>
    <row r="138" spans="1:8" x14ac:dyDescent="0.25">
      <c r="A138" s="133"/>
      <c r="B138" s="204" t="str">
        <v>Downer Bathurst Asphalt Manufacturing FacilityCM07 Cold Mix</v>
      </c>
      <c r="C138" s="132" t="str">
        <v>tonne</v>
      </c>
      <c r="D138" s="198">
        <v>58.210095799999998</v>
      </c>
      <c r="E138" s="198">
        <v>5.82100958E-2</v>
      </c>
      <c r="F138" s="198">
        <v>0</v>
      </c>
      <c r="G138" s="215">
        <v>0</v>
      </c>
      <c r="H138" s="131"/>
    </row>
    <row r="139" spans="1:8" x14ac:dyDescent="0.25">
      <c r="A139" s="133"/>
      <c r="B139" s="204" t="str">
        <v>Downer Adelaide Sustainable Road Resource Centre, WingfieldAC10 A5E R20 L</v>
      </c>
      <c r="C139" s="132" t="str">
        <v>tonne</v>
      </c>
      <c r="D139" s="198">
        <v>76.413157999999996</v>
      </c>
      <c r="E139" s="198">
        <v>7.6413157999999995E-2</v>
      </c>
      <c r="F139" s="198">
        <v>0</v>
      </c>
      <c r="G139" s="215">
        <v>0</v>
      </c>
      <c r="H139" s="131"/>
    </row>
    <row r="140" spans="1:8" x14ac:dyDescent="0.25">
      <c r="A140" s="133"/>
      <c r="B140" s="204" t="str">
        <v>Downer Sydney Sustainable Road Resource Centre, RosehillAC14 A15E R30 H</v>
      </c>
      <c r="C140" s="132" t="str">
        <v>tonne</v>
      </c>
      <c r="D140" s="198">
        <v>94.116155000000006</v>
      </c>
      <c r="E140" s="198">
        <v>9.4116155000000007E-2</v>
      </c>
      <c r="F140" s="198">
        <v>0</v>
      </c>
      <c r="G140" s="215">
        <v>0</v>
      </c>
      <c r="H140" s="131"/>
    </row>
    <row r="141" spans="1:8" x14ac:dyDescent="0.25">
      <c r="A141" s="133"/>
      <c r="B141" s="204" t="str">
        <v>Fulton Hogan Eastern CreekDG28 AR450 R116 R30% G≤10%*</v>
      </c>
      <c r="C141" s="132" t="str">
        <v>tonne</v>
      </c>
      <c r="D141" s="198">
        <v>70.512077000000005</v>
      </c>
      <c r="E141" s="198">
        <v>7.0512076999999992E-2</v>
      </c>
      <c r="F141" s="198">
        <v>0</v>
      </c>
      <c r="G141" s="215">
        <v>0</v>
      </c>
      <c r="H141" s="131"/>
    </row>
    <row r="142" spans="1:8" x14ac:dyDescent="0.25">
      <c r="A142" s="133"/>
      <c r="B142" s="204" t="str">
        <v>Downer Brisbane Sustainable Road Resource Centre, BrendaleAC14 R50 Reconophalt</v>
      </c>
      <c r="C142" s="132" t="str">
        <v>tonne</v>
      </c>
      <c r="D142" s="198">
        <v>48.407636000000004</v>
      </c>
      <c r="E142" s="198">
        <v>4.8407636000000004E-2</v>
      </c>
      <c r="F142" s="198">
        <v>0</v>
      </c>
      <c r="G142" s="215">
        <v>0</v>
      </c>
      <c r="H142" s="131"/>
    </row>
    <row r="143" spans="1:8" x14ac:dyDescent="0.25">
      <c r="A143" s="133"/>
      <c r="B143" s="204" t="str">
        <v xml:space="preserve">Fulton Hogan Bushells RidgeBC14 A10E AIRPORT </v>
      </c>
      <c r="C143" s="132" t="str">
        <v>tonne</v>
      </c>
      <c r="D143" s="198">
        <v>99.212217999999993</v>
      </c>
      <c r="E143" s="198">
        <v>9.9212217999999991E-2</v>
      </c>
      <c r="F143" s="198">
        <v>0</v>
      </c>
      <c r="G143" s="215">
        <v>0</v>
      </c>
      <c r="H143" s="131"/>
    </row>
    <row r="144" spans="1:8" x14ac:dyDescent="0.25">
      <c r="A144" s="133"/>
      <c r="B144" s="204" t="str">
        <v>Fulton Hogan Eastern CreekDG14 A15E R116 R10% G≤2.5%*</v>
      </c>
      <c r="C144" s="132" t="str">
        <v>tonne</v>
      </c>
      <c r="D144" s="198">
        <v>94.711176000000009</v>
      </c>
      <c r="E144" s="198">
        <v>9.4711176000000022E-2</v>
      </c>
      <c r="F144" s="198">
        <v>0</v>
      </c>
      <c r="G144" s="215">
        <v>0</v>
      </c>
      <c r="H144" s="131"/>
    </row>
    <row r="145" spans="1:8" x14ac:dyDescent="0.25">
      <c r="A145" s="133"/>
      <c r="B145" s="204" t="str">
        <v>Downer Hume Asphalt Manufacturing FacilityAC14 AE15 R10</v>
      </c>
      <c r="C145" s="132" t="str">
        <v>tonne</v>
      </c>
      <c r="D145" s="198">
        <v>90.708742000000001</v>
      </c>
      <c r="E145" s="198">
        <v>9.0708741999999995E-2</v>
      </c>
      <c r="F145" s="198">
        <v>0</v>
      </c>
      <c r="G145" s="215">
        <v>0</v>
      </c>
      <c r="H145" s="131"/>
    </row>
    <row r="146" spans="1:8" x14ac:dyDescent="0.25">
      <c r="A146" s="133"/>
      <c r="B146" s="204" t="str">
        <v>Fulton Hogan DandenongSize 14, 20mm PortPhalt®</v>
      </c>
      <c r="C146" s="132" t="str">
        <v>tonne</v>
      </c>
      <c r="D146" s="198">
        <v>69.506293999999997</v>
      </c>
      <c r="E146" s="198">
        <v>6.9506293999999996E-2</v>
      </c>
      <c r="F146" s="198">
        <v>0</v>
      </c>
      <c r="G146" s="215">
        <v>0</v>
      </c>
      <c r="H146" s="131"/>
    </row>
    <row r="147" spans="1:8" x14ac:dyDescent="0.25">
      <c r="A147" s="133"/>
      <c r="B147" s="204" t="str">
        <v>Downer Adelaide Sustainable Road Resource Centre, WingfieldAC10 A15E R10 M</v>
      </c>
      <c r="C147" s="132" t="str">
        <v>tonne</v>
      </c>
      <c r="D147" s="198">
        <v>77.606142999999989</v>
      </c>
      <c r="E147" s="198">
        <v>7.7606142999999989E-2</v>
      </c>
      <c r="F147" s="198">
        <v>0</v>
      </c>
      <c r="G147" s="215">
        <v>0</v>
      </c>
      <c r="H147" s="131"/>
    </row>
    <row r="148" spans="1:8" x14ac:dyDescent="0.25">
      <c r="A148" s="133"/>
      <c r="B148" s="204" t="str">
        <v>Downer Bathurst Asphalt Manufacturing FacilityAC14 A15E R10 H</v>
      </c>
      <c r="C148" s="132" t="str">
        <v>tonne</v>
      </c>
      <c r="D148" s="198">
        <v>99.206158999999985</v>
      </c>
      <c r="E148" s="198">
        <v>9.9206158999999988E-2</v>
      </c>
      <c r="F148" s="198">
        <v>0</v>
      </c>
      <c r="G148" s="215">
        <v>0</v>
      </c>
      <c r="H148" s="131"/>
    </row>
    <row r="149" spans="1:8" x14ac:dyDescent="0.25">
      <c r="A149" s="133"/>
      <c r="B149" s="204" t="str">
        <v xml:space="preserve">Downer Archerfield Asphalt Manufacturing FacilityAC10 A15E R20 BCC </v>
      </c>
      <c r="C149" s="132" t="str">
        <v>tonne</v>
      </c>
      <c r="D149" s="198">
        <v>87.805170000000004</v>
      </c>
      <c r="E149" s="198">
        <v>8.7805169999999988E-2</v>
      </c>
      <c r="F149" s="198">
        <v>0</v>
      </c>
      <c r="G149" s="215">
        <v>0</v>
      </c>
      <c r="H149" s="131"/>
    </row>
    <row r="150" spans="1:8" x14ac:dyDescent="0.25">
      <c r="A150" s="133"/>
      <c r="B150" s="204" t="str">
        <v>Downer Archerfield Asphalt Manufacturing FacilityAC15 A15E R15 A</v>
      </c>
      <c r="C150" s="132" t="str">
        <v>tonne</v>
      </c>
      <c r="D150" s="198">
        <v>90.202153999999993</v>
      </c>
      <c r="E150" s="198">
        <v>9.0202154000000007E-2</v>
      </c>
      <c r="F150" s="198">
        <v>0</v>
      </c>
      <c r="G150" s="215">
        <v>0</v>
      </c>
      <c r="H150" s="131"/>
    </row>
    <row r="151" spans="1:8" x14ac:dyDescent="0.25">
      <c r="A151" s="133"/>
      <c r="B151" s="204" t="str">
        <v>Fulton Hogan Kembla GrangeOG10 A15E R119</v>
      </c>
      <c r="C151" s="132" t="str">
        <v>tonne</v>
      </c>
      <c r="D151" s="198">
        <v>82.501172000000011</v>
      </c>
      <c r="E151" s="198">
        <v>8.2501172000000011E-2</v>
      </c>
      <c r="F151" s="198">
        <v>0</v>
      </c>
      <c r="G151" s="215">
        <v>0</v>
      </c>
      <c r="H151" s="131"/>
    </row>
    <row r="152" spans="1:8" x14ac:dyDescent="0.25">
      <c r="A152" s="133"/>
      <c r="B152" s="204" t="str">
        <v>Fulton Hogan DandenongDoT - Section 404 Stone Mastic Asphalt (SMA) or AS2150</v>
      </c>
      <c r="C152" s="132" t="str">
        <v>tonne</v>
      </c>
      <c r="D152" s="198">
        <v>79.000421000000003</v>
      </c>
      <c r="E152" s="198">
        <v>7.9000421000000001E-2</v>
      </c>
      <c r="F152" s="198">
        <v>0</v>
      </c>
      <c r="G152" s="215">
        <v>0</v>
      </c>
      <c r="H152" s="131"/>
    </row>
    <row r="153" spans="1:8" x14ac:dyDescent="0.25">
      <c r="A153" s="133"/>
      <c r="B153" s="204" t="str">
        <v>Fulton Hogan LaraSize 10mm SMA Type H/N</v>
      </c>
      <c r="C153" s="132" t="str">
        <v>tonne</v>
      </c>
      <c r="D153" s="198">
        <v>83.100347999999997</v>
      </c>
      <c r="E153" s="198">
        <v>8.3100347999999991E-2</v>
      </c>
      <c r="F153" s="198">
        <v>0</v>
      </c>
      <c r="G153" s="215">
        <v>0</v>
      </c>
      <c r="H153" s="131"/>
    </row>
    <row r="154" spans="1:8" x14ac:dyDescent="0.25">
      <c r="A154" s="133"/>
      <c r="B154" s="204" t="str">
        <v>Fulton Hogan Kembla GrangeTHTAS10</v>
      </c>
      <c r="C154" s="132" t="str">
        <v>tonne</v>
      </c>
      <c r="D154" s="198">
        <v>98.500341000000006</v>
      </c>
      <c r="E154" s="198">
        <v>9.8500341000000005E-2</v>
      </c>
      <c r="F154" s="198">
        <v>0</v>
      </c>
      <c r="G154" s="215">
        <v>0</v>
      </c>
      <c r="H154" s="131"/>
    </row>
    <row r="155" spans="1:8" x14ac:dyDescent="0.25">
      <c r="A155" s="133"/>
      <c r="B155" s="204" t="str">
        <v>Fulton Hogan Eastern CreekSMA07 A15E</v>
      </c>
      <c r="C155" s="132" t="str">
        <v>tonne</v>
      </c>
      <c r="D155" s="198">
        <v>107.00035099999999</v>
      </c>
      <c r="E155" s="198">
        <v>0.10700035099999999</v>
      </c>
      <c r="F155" s="198">
        <v>0</v>
      </c>
      <c r="G155" s="215">
        <v>0</v>
      </c>
      <c r="H155" s="131"/>
    </row>
    <row r="156" spans="1:8" x14ac:dyDescent="0.25">
      <c r="A156" s="133"/>
      <c r="B156" s="204" t="str">
        <v>Fulton Hogan Eastern CreekSMA10 A15E R121</v>
      </c>
      <c r="C156" s="132" t="str">
        <v>tonne</v>
      </c>
      <c r="D156" s="198">
        <v>108.00034599999999</v>
      </c>
      <c r="E156" s="198">
        <v>0.108000346</v>
      </c>
      <c r="F156" s="198">
        <v>0</v>
      </c>
      <c r="G156" s="215">
        <v>0</v>
      </c>
      <c r="H156" s="131"/>
    </row>
    <row r="157" spans="1:8" x14ac:dyDescent="0.25">
      <c r="A157" s="133"/>
      <c r="B157" s="204" t="str">
        <v xml:space="preserve">Downer Archerfield Asphalt Manufacturing FacilitySMA14 A15E </v>
      </c>
      <c r="C157" s="132" t="str">
        <v>tonne</v>
      </c>
      <c r="D157" s="198">
        <v>134.00033099999999</v>
      </c>
      <c r="E157" s="198">
        <v>0.134000331</v>
      </c>
      <c r="F157" s="198">
        <v>0</v>
      </c>
      <c r="G157" s="215">
        <v>0</v>
      </c>
      <c r="H157" s="131"/>
    </row>
    <row r="158" spans="1:8" x14ac:dyDescent="0.25">
      <c r="A158" s="133"/>
      <c r="B158" s="204" t="str">
        <v>Boral CanberraDG10 10% RAP</v>
      </c>
      <c r="C158" s="132" t="str">
        <v>tonne</v>
      </c>
      <c r="D158" s="198">
        <v>56.4</v>
      </c>
      <c r="E158" s="198">
        <v>5.6399999999999999E-2</v>
      </c>
      <c r="F158" s="198">
        <v>0</v>
      </c>
      <c r="G158" s="215">
        <v>0</v>
      </c>
      <c r="H158" s="131"/>
    </row>
    <row r="159" spans="1:8" x14ac:dyDescent="0.25">
      <c r="A159" s="133"/>
      <c r="B159" s="204" t="str">
        <v xml:space="preserve">Boral CanberraDG10 INNOVO </v>
      </c>
      <c r="C159" s="132" t="str">
        <v>tonne</v>
      </c>
      <c r="D159" s="198">
        <v>57.2</v>
      </c>
      <c r="E159" s="198">
        <v>5.7200000000000001E-2</v>
      </c>
      <c r="F159" s="198">
        <v>0</v>
      </c>
      <c r="G159" s="215">
        <v>0</v>
      </c>
      <c r="H159" s="131"/>
    </row>
    <row r="160" spans="1:8" x14ac:dyDescent="0.25">
      <c r="A160" s="133"/>
      <c r="B160" s="204" t="str">
        <v>Boral CanberraDG14</v>
      </c>
      <c r="C160" s="132" t="str">
        <v>tonne</v>
      </c>
      <c r="D160" s="198">
        <v>64.599999999999994</v>
      </c>
      <c r="E160" s="198">
        <v>6.4599999999999991E-2</v>
      </c>
      <c r="F160" s="198">
        <v>0</v>
      </c>
      <c r="G160" s="215">
        <v>0</v>
      </c>
      <c r="H160" s="131"/>
    </row>
    <row r="161" spans="1:8" x14ac:dyDescent="0.25">
      <c r="A161" s="133"/>
      <c r="B161" s="204" t="str">
        <v>Boral EnfieldDG14 C450 AUSP 30% RAP</v>
      </c>
      <c r="C161" s="132" t="str">
        <v>tonne</v>
      </c>
      <c r="D161" s="198">
        <v>56.4</v>
      </c>
      <c r="E161" s="198">
        <v>5.6399999999999999E-2</v>
      </c>
      <c r="F161" s="198">
        <v>0</v>
      </c>
      <c r="G161" s="215">
        <v>0</v>
      </c>
      <c r="H161" s="131"/>
    </row>
    <row r="162" spans="1:8" x14ac:dyDescent="0.25">
      <c r="A162" s="133"/>
      <c r="B162" s="204" t="str">
        <v>Boral EnfieldDG14 HD A15E HFA</v>
      </c>
      <c r="C162" s="132" t="str">
        <v>tonne</v>
      </c>
      <c r="D162" s="198">
        <v>81</v>
      </c>
      <c r="E162" s="198">
        <v>8.1000000000000003E-2</v>
      </c>
      <c r="F162" s="198">
        <v>0</v>
      </c>
      <c r="G162" s="215">
        <v>0</v>
      </c>
      <c r="H162" s="131"/>
    </row>
    <row r="163" spans="1:8" x14ac:dyDescent="0.25">
      <c r="A163" s="133"/>
      <c r="B163" s="204" t="str">
        <v>Boral Allens' Asphalt CabooltureAC10, AC14, AC20</v>
      </c>
      <c r="C163" s="132" t="str">
        <v>tonne</v>
      </c>
      <c r="D163" s="198">
        <v>63.8</v>
      </c>
      <c r="E163" s="198">
        <v>6.3799999999999996E-2</v>
      </c>
      <c r="F163" s="198">
        <v>0</v>
      </c>
      <c r="G163" s="215">
        <v>0</v>
      </c>
      <c r="H163" s="131"/>
    </row>
    <row r="164" spans="1:8" x14ac:dyDescent="0.25">
      <c r="A164" s="133"/>
      <c r="B164" s="204" t="str">
        <v>Boral Allens' Asphalt CabooltureCOUNCIL SPECIFIC MIX</v>
      </c>
      <c r="C164" s="132" t="str">
        <v>tonne</v>
      </c>
      <c r="D164" s="198">
        <v>54.4</v>
      </c>
      <c r="E164" s="198">
        <v>5.4399999999999997E-2</v>
      </c>
      <c r="F164" s="198">
        <v>0</v>
      </c>
      <c r="G164" s="215">
        <v>0</v>
      </c>
      <c r="H164" s="131"/>
    </row>
    <row r="165" spans="1:8" x14ac:dyDescent="0.25">
      <c r="A165" s="133"/>
      <c r="B165" s="204" t="str">
        <v>Boral Allens' Asphalt CabooltureEME2</v>
      </c>
      <c r="C165" s="132" t="str">
        <v>tonne</v>
      </c>
      <c r="D165" s="198">
        <v>54.4</v>
      </c>
      <c r="E165" s="198">
        <v>5.4399999999999997E-2</v>
      </c>
      <c r="F165" s="198">
        <v>0</v>
      </c>
      <c r="G165" s="215">
        <v>0</v>
      </c>
      <c r="H165" s="131"/>
    </row>
    <row r="166" spans="1:8" x14ac:dyDescent="0.25">
      <c r="A166" s="133"/>
      <c r="B166" s="204" t="str">
        <v>Boral Charlton2232.20.AC14H</v>
      </c>
      <c r="C166" s="132" t="str">
        <v>tonne</v>
      </c>
      <c r="D166" s="198">
        <v>70.5</v>
      </c>
      <c r="E166" s="198">
        <v>7.0499999999999993E-2</v>
      </c>
      <c r="F166" s="198">
        <v>0</v>
      </c>
      <c r="G166" s="215">
        <v>0</v>
      </c>
      <c r="H166" s="131"/>
    </row>
    <row r="167" spans="1:8" x14ac:dyDescent="0.25">
      <c r="A167" s="133"/>
      <c r="B167" s="204" t="str">
        <v>Boral Charlton2235.20.AC20H</v>
      </c>
      <c r="C167" s="132" t="str">
        <v>tonne</v>
      </c>
      <c r="D167" s="198">
        <v>69.400000000000006</v>
      </c>
      <c r="E167" s="198">
        <v>6.9400000000000003E-2</v>
      </c>
      <c r="F167" s="198">
        <v>0</v>
      </c>
      <c r="G167" s="215">
        <v>0</v>
      </c>
      <c r="H167" s="131"/>
    </row>
    <row r="168" spans="1:8" x14ac:dyDescent="0.25">
      <c r="A168" s="133"/>
      <c r="B168" s="204" t="str">
        <v>Boral CharltonEME2</v>
      </c>
      <c r="C168" s="132" t="str">
        <v>tonne</v>
      </c>
      <c r="D168" s="198">
        <v>62.7</v>
      </c>
      <c r="E168" s="198">
        <v>6.2700000000000006E-2</v>
      </c>
      <c r="F168" s="198">
        <v>0</v>
      </c>
      <c r="G168" s="215">
        <v>0</v>
      </c>
      <c r="H168" s="131"/>
    </row>
    <row r="169" spans="1:8" x14ac:dyDescent="0.25">
      <c r="A169" s="133"/>
      <c r="B169" s="204" t="str">
        <v>Boral Ispwich2143.19.EME2</v>
      </c>
      <c r="C169" s="132" t="str">
        <v>tonne</v>
      </c>
      <c r="D169" s="198">
        <v>72.5</v>
      </c>
      <c r="E169" s="198">
        <v>7.2499999999999995E-2</v>
      </c>
      <c r="F169" s="198">
        <v>0</v>
      </c>
      <c r="G169" s="215">
        <v>0</v>
      </c>
      <c r="H169" s="131"/>
    </row>
    <row r="170" spans="1:8" x14ac:dyDescent="0.25">
      <c r="A170" s="133"/>
      <c r="B170" s="204" t="str">
        <v>Boral Ispwich2179.19.AC14H</v>
      </c>
      <c r="C170" s="132" t="str">
        <v>tonne</v>
      </c>
      <c r="D170" s="198">
        <v>79.400000000000006</v>
      </c>
      <c r="E170" s="198">
        <v>7.9400000000000012E-2</v>
      </c>
      <c r="F170" s="198">
        <v>0</v>
      </c>
      <c r="G170" s="215">
        <v>0</v>
      </c>
      <c r="H170" s="131"/>
    </row>
    <row r="171" spans="1:8" x14ac:dyDescent="0.25">
      <c r="A171" s="133"/>
      <c r="B171" s="204" t="str">
        <v>Boral Ispwich2187.19.AC20H</v>
      </c>
      <c r="C171" s="132" t="str">
        <v>tonne</v>
      </c>
      <c r="D171" s="198">
        <v>77.599999999999994</v>
      </c>
      <c r="E171" s="198">
        <v>7.7599999999999988E-2</v>
      </c>
      <c r="F171" s="198">
        <v>0</v>
      </c>
      <c r="G171" s="215">
        <v>0</v>
      </c>
      <c r="H171" s="131"/>
    </row>
    <row r="172" spans="1:8" x14ac:dyDescent="0.25">
      <c r="A172" s="133"/>
      <c r="B172" s="204" t="str">
        <v>Boral West Burleigh10mm Cold Mix</v>
      </c>
      <c r="C172" s="132" t="str">
        <v>tonne</v>
      </c>
      <c r="D172" s="198">
        <v>55.8</v>
      </c>
      <c r="E172" s="198">
        <v>5.5799999999999995E-2</v>
      </c>
      <c r="F172" s="198">
        <v>0</v>
      </c>
      <c r="G172" s="215">
        <v>0</v>
      </c>
      <c r="H172" s="131"/>
    </row>
    <row r="173" spans="1:8" x14ac:dyDescent="0.25">
      <c r="A173" s="133"/>
      <c r="B173" s="204" t="str">
        <v>Boral West Burleigh2008.15. AC14H</v>
      </c>
      <c r="C173" s="132" t="str">
        <v>tonne</v>
      </c>
      <c r="D173" s="198">
        <v>67.900000000000006</v>
      </c>
      <c r="E173" s="198">
        <v>6.7900000000000002E-2</v>
      </c>
      <c r="F173" s="198">
        <v>0</v>
      </c>
      <c r="G173" s="215">
        <v>0</v>
      </c>
      <c r="H173" s="131"/>
    </row>
    <row r="174" spans="1:8" x14ac:dyDescent="0.25">
      <c r="A174" s="133"/>
      <c r="B174" s="204" t="str">
        <v>Boral West Burleigh2009.15. AC20H</v>
      </c>
      <c r="C174" s="132" t="str">
        <v>tonne</v>
      </c>
      <c r="D174" s="198">
        <v>66.7</v>
      </c>
      <c r="E174" s="198">
        <v>6.6700000000000009E-2</v>
      </c>
      <c r="F174" s="198">
        <v>0</v>
      </c>
      <c r="G174" s="215">
        <v>0</v>
      </c>
      <c r="H174" s="131"/>
    </row>
    <row r="175" spans="1:8" x14ac:dyDescent="0.25">
      <c r="A175" s="133"/>
      <c r="B175" s="204" t="str">
        <v>Boral West Burleigh2120.19. EME2</v>
      </c>
      <c r="C175" s="132" t="str">
        <v>tonne</v>
      </c>
      <c r="D175" s="198">
        <v>68.7</v>
      </c>
      <c r="E175" s="198">
        <v>6.8699999999999997E-2</v>
      </c>
      <c r="F175" s="198">
        <v>0</v>
      </c>
      <c r="G175" s="215">
        <v>0</v>
      </c>
      <c r="H175" s="131"/>
    </row>
    <row r="176" spans="1:8" x14ac:dyDescent="0.25">
      <c r="A176" s="133"/>
      <c r="B176" s="204" t="str">
        <v>Boral Gepps CrossA10E RAP10%</v>
      </c>
      <c r="C176" s="132" t="str">
        <v>tonne</v>
      </c>
      <c r="D176" s="198">
        <v>67.5</v>
      </c>
      <c r="E176" s="198">
        <v>6.7500000000000004E-2</v>
      </c>
      <c r="F176" s="198">
        <v>0</v>
      </c>
      <c r="G176" s="215">
        <v>0</v>
      </c>
      <c r="H176" s="131"/>
    </row>
    <row r="177" spans="1:8" x14ac:dyDescent="0.25">
      <c r="A177" s="133"/>
      <c r="B177" s="204" t="str">
        <v>Boral Gepps CrossDG10 RAP10%</v>
      </c>
      <c r="C177" s="132" t="str">
        <v>tonne</v>
      </c>
      <c r="D177" s="198">
        <v>52.5</v>
      </c>
      <c r="E177" s="198">
        <v>5.2499999999999998E-2</v>
      </c>
      <c r="F177" s="198">
        <v>0</v>
      </c>
      <c r="G177" s="215">
        <v>0</v>
      </c>
      <c r="H177" s="131"/>
    </row>
    <row r="178" spans="1:8" x14ac:dyDescent="0.25">
      <c r="A178" s="133"/>
      <c r="B178" s="204" t="str">
        <v>Boral Gepps CrossDG14 RAP15%</v>
      </c>
      <c r="C178" s="132" t="str">
        <v>tonne</v>
      </c>
      <c r="D178" s="198">
        <v>42.4</v>
      </c>
      <c r="E178" s="198">
        <v>4.24E-2</v>
      </c>
      <c r="F178" s="198">
        <v>0</v>
      </c>
      <c r="G178" s="215">
        <v>0</v>
      </c>
      <c r="H178" s="131"/>
    </row>
    <row r="179" spans="1:8" x14ac:dyDescent="0.25">
      <c r="A179" s="133"/>
      <c r="B179" s="204" t="str">
        <v>Boral Gepps CrossCold mix</v>
      </c>
      <c r="C179" s="132" t="str">
        <v>tonne</v>
      </c>
      <c r="D179" s="198">
        <v>41.1</v>
      </c>
      <c r="E179" s="198">
        <v>4.1100000000000005E-2</v>
      </c>
      <c r="F179" s="198">
        <v>0</v>
      </c>
      <c r="G179" s="215">
        <v>0</v>
      </c>
      <c r="H179" s="131"/>
    </row>
    <row r="180" spans="1:8" x14ac:dyDescent="0.25">
      <c r="A180" s="133"/>
      <c r="B180" s="204" t="str">
        <v>Boral Gepps CrossInnovo 2</v>
      </c>
      <c r="C180" s="132" t="str">
        <v>tonne</v>
      </c>
      <c r="D180" s="198">
        <v>46.1</v>
      </c>
      <c r="E180" s="198">
        <v>4.6100000000000002E-2</v>
      </c>
      <c r="F180" s="198">
        <v>0</v>
      </c>
      <c r="G180" s="215">
        <v>0</v>
      </c>
      <c r="H180" s="131"/>
    </row>
    <row r="181" spans="1:8" x14ac:dyDescent="0.25">
      <c r="A181" s="133"/>
      <c r="B181" s="204" t="str">
        <v>Boral Gepps CrossInnovo 3</v>
      </c>
      <c r="C181" s="132" t="str">
        <v>tonne</v>
      </c>
      <c r="D181" s="198">
        <v>51.4</v>
      </c>
      <c r="E181" s="198">
        <v>5.1400000000000001E-2</v>
      </c>
      <c r="F181" s="198">
        <v>0</v>
      </c>
      <c r="G181" s="215">
        <v>0</v>
      </c>
      <c r="H181" s="131"/>
    </row>
    <row r="182" spans="1:8" x14ac:dyDescent="0.25">
      <c r="A182" s="133"/>
      <c r="B182" s="204" t="str">
        <v>Boral BallaratBCRA</v>
      </c>
      <c r="C182" s="132" t="str">
        <v>tonne</v>
      </c>
      <c r="D182" s="198">
        <v>81.900000000000006</v>
      </c>
      <c r="E182" s="198">
        <v>8.1900000000000001E-2</v>
      </c>
      <c r="F182" s="198">
        <v>0</v>
      </c>
      <c r="G182" s="215">
        <v>0</v>
      </c>
      <c r="H182" s="131"/>
    </row>
    <row r="183" spans="1:8" x14ac:dyDescent="0.25">
      <c r="A183" s="133"/>
      <c r="B183" s="204" t="str">
        <v>Boral BallaratC320 20Si</v>
      </c>
      <c r="C183" s="132" t="str">
        <v>tonne</v>
      </c>
      <c r="D183" s="198">
        <v>59</v>
      </c>
      <c r="E183" s="198">
        <v>5.8999999999999997E-2</v>
      </c>
      <c r="F183" s="198">
        <v>0</v>
      </c>
      <c r="G183" s="215">
        <v>0</v>
      </c>
      <c r="H183" s="131"/>
    </row>
    <row r="184" spans="1:8" x14ac:dyDescent="0.25">
      <c r="A184" s="133"/>
      <c r="B184" s="204" t="str">
        <v>Boral BallaratC320 20Si 10% RAP</v>
      </c>
      <c r="C184" s="132" t="str">
        <v>tonne</v>
      </c>
      <c r="D184" s="198">
        <v>56.6</v>
      </c>
      <c r="E184" s="198">
        <v>5.6600000000000004E-2</v>
      </c>
      <c r="F184" s="198">
        <v>0</v>
      </c>
      <c r="G184" s="215">
        <v>0</v>
      </c>
      <c r="H184" s="131"/>
    </row>
    <row r="185" spans="1:8" x14ac:dyDescent="0.25">
      <c r="A185" s="133"/>
      <c r="B185" s="204" t="str">
        <v>Boral Deer ParkBCRA</v>
      </c>
      <c r="C185" s="132" t="str">
        <v>tonne</v>
      </c>
      <c r="D185" s="198">
        <v>67.400000000000006</v>
      </c>
      <c r="E185" s="198">
        <v>6.7400000000000002E-2</v>
      </c>
      <c r="F185" s="198">
        <v>0</v>
      </c>
      <c r="G185" s="215">
        <v>0</v>
      </c>
      <c r="H185" s="131"/>
    </row>
    <row r="186" spans="1:8" x14ac:dyDescent="0.25">
      <c r="A186" s="133"/>
      <c r="B186" s="204" t="str">
        <v>Boral Deer ParkC320 20Si</v>
      </c>
      <c r="C186" s="132" t="str">
        <v>tonne</v>
      </c>
      <c r="D186" s="198">
        <v>49.5</v>
      </c>
      <c r="E186" s="198">
        <v>4.9500000000000002E-2</v>
      </c>
      <c r="F186" s="198">
        <v>0</v>
      </c>
      <c r="G186" s="215">
        <v>0</v>
      </c>
      <c r="H186" s="131"/>
    </row>
    <row r="187" spans="1:8" x14ac:dyDescent="0.25">
      <c r="A187" s="133"/>
      <c r="B187" s="204" t="str">
        <v>Boral Deer ParkC320 20Si 10% RAP</v>
      </c>
      <c r="C187" s="132" t="str">
        <v>tonne</v>
      </c>
      <c r="D187" s="198">
        <v>46.9</v>
      </c>
      <c r="E187" s="198">
        <v>4.6899999999999997E-2</v>
      </c>
      <c r="F187" s="198">
        <v>0</v>
      </c>
      <c r="G187" s="215">
        <v>0</v>
      </c>
      <c r="H187" s="131"/>
    </row>
    <row r="188" spans="1:8" x14ac:dyDescent="0.25">
      <c r="A188" s="133"/>
      <c r="B188" s="204" t="str">
        <v>Boral MontroseBCRA</v>
      </c>
      <c r="C188" s="132" t="str">
        <v>tonne</v>
      </c>
      <c r="D188" s="198">
        <v>55.9</v>
      </c>
      <c r="E188" s="198">
        <v>5.5899999999999998E-2</v>
      </c>
      <c r="F188" s="198">
        <v>0</v>
      </c>
      <c r="G188" s="215">
        <v>0</v>
      </c>
      <c r="H188" s="131"/>
    </row>
    <row r="189" spans="1:8" x14ac:dyDescent="0.25">
      <c r="A189" s="133"/>
      <c r="B189" s="204" t="str">
        <v>Boral MontroseC320 20Si</v>
      </c>
      <c r="C189" s="132" t="str">
        <v>tonne</v>
      </c>
      <c r="D189" s="198">
        <v>45.2</v>
      </c>
      <c r="E189" s="198">
        <v>4.5200000000000004E-2</v>
      </c>
      <c r="F189" s="198">
        <v>0</v>
      </c>
      <c r="G189" s="215">
        <v>0</v>
      </c>
      <c r="H189" s="131"/>
    </row>
    <row r="190" spans="1:8" x14ac:dyDescent="0.25">
      <c r="A190" s="133"/>
      <c r="B190" s="204" t="str">
        <v>Boral MontroseC320 20Si 10% RAP</v>
      </c>
      <c r="C190" s="132" t="str">
        <v>tonne</v>
      </c>
      <c r="D190" s="198">
        <v>46.3</v>
      </c>
      <c r="E190" s="198">
        <v>4.6299999999999994E-2</v>
      </c>
      <c r="F190" s="198">
        <v>0</v>
      </c>
      <c r="G190" s="215">
        <v>0</v>
      </c>
      <c r="H190" s="131"/>
    </row>
    <row r="191" spans="1:8" x14ac:dyDescent="0.25">
      <c r="A191" s="133"/>
      <c r="B191" s="204" t="str">
        <v xml:space="preserve">Boral WelshpoolBitupack </v>
      </c>
      <c r="C191" s="132" t="str">
        <v>tonne</v>
      </c>
      <c r="D191" s="198">
        <v>11.3</v>
      </c>
      <c r="E191" s="198">
        <v>1.1300000000000001E-2</v>
      </c>
      <c r="F191" s="198">
        <v>0</v>
      </c>
      <c r="G191" s="215">
        <v>0</v>
      </c>
      <c r="H191" s="131"/>
    </row>
    <row r="192" spans="1:8" x14ac:dyDescent="0.25">
      <c r="A192" s="133"/>
      <c r="B192" s="204" t="str">
        <v xml:space="preserve">Boral WelshpoolDG14 JM45 </v>
      </c>
      <c r="C192" s="132" t="str">
        <v>tonne</v>
      </c>
      <c r="D192" s="198">
        <v>58.3</v>
      </c>
      <c r="E192" s="198">
        <v>5.8299999999999998E-2</v>
      </c>
      <c r="F192" s="198">
        <v>0</v>
      </c>
      <c r="G192" s="215">
        <v>0</v>
      </c>
      <c r="H192" s="131"/>
    </row>
    <row r="193" spans="1:8" x14ac:dyDescent="0.25">
      <c r="A193" s="133"/>
      <c r="B193" s="204" t="str">
        <v xml:space="preserve">Boral WelshpoolDG14 JM50 </v>
      </c>
      <c r="C193" s="132" t="str">
        <v>tonne</v>
      </c>
      <c r="D193" s="198">
        <v>74.8</v>
      </c>
      <c r="E193" s="198">
        <v>7.4799999999999991E-2</v>
      </c>
      <c r="F193" s="198">
        <v>0</v>
      </c>
      <c r="G193" s="215">
        <v>0</v>
      </c>
      <c r="H193" s="131"/>
    </row>
    <row r="194" spans="1:8" x14ac:dyDescent="0.25">
      <c r="A194" s="133"/>
      <c r="B194" s="204" t="str">
        <v>Boral WelshpoolDG20 JM49</v>
      </c>
      <c r="C194" s="132" t="str">
        <v>tonne</v>
      </c>
      <c r="D194" s="198">
        <v>58.2</v>
      </c>
      <c r="E194" s="198">
        <v>5.8200000000000002E-2</v>
      </c>
      <c r="F194" s="198">
        <v>0</v>
      </c>
      <c r="G194" s="215">
        <v>0</v>
      </c>
      <c r="H194" s="131"/>
    </row>
    <row r="195" spans="1:8" x14ac:dyDescent="0.25">
      <c r="A195" s="133"/>
      <c r="B195" s="204" t="str">
        <v xml:space="preserve">Downer Bli Bli Asphalt Manufacturing FacilityAC14 A15E </v>
      </c>
      <c r="C195" s="132" t="str">
        <v>tonne</v>
      </c>
      <c r="D195" s="198">
        <v>93.899957999999998</v>
      </c>
      <c r="E195" s="198">
        <v>9.3899957999999992E-2</v>
      </c>
      <c r="F195" s="198">
        <v>0</v>
      </c>
      <c r="G195" s="215">
        <v>0</v>
      </c>
      <c r="H195" s="131"/>
    </row>
    <row r="196" spans="1:8" x14ac:dyDescent="0.25">
      <c r="A196" s="133"/>
      <c r="B196" s="204" t="str">
        <v>Fulton Hogan Kembla GrangeDG14 A15E R116 R10%</v>
      </c>
      <c r="C196" s="132" t="str">
        <v>tonne</v>
      </c>
      <c r="D196" s="198">
        <v>76.09797300000001</v>
      </c>
      <c r="E196" s="198">
        <v>7.6097972999999999E-2</v>
      </c>
      <c r="F196" s="198">
        <v>0</v>
      </c>
      <c r="G196" s="215">
        <v>0</v>
      </c>
      <c r="H196" s="131"/>
    </row>
    <row r="197" spans="1:8" x14ac:dyDescent="0.25">
      <c r="A197" s="133"/>
      <c r="B197" s="204" t="str">
        <v xml:space="preserve">Downer Archerfield Asphalt Manufacturing FacilityAC20 A15E R15 </v>
      </c>
      <c r="C197" s="132" t="str">
        <v>tonne</v>
      </c>
      <c r="D197" s="198">
        <v>86.296542000000002</v>
      </c>
      <c r="E197" s="198">
        <v>8.629654199999999E-2</v>
      </c>
      <c r="F197" s="198">
        <v>0</v>
      </c>
      <c r="G197" s="215">
        <v>0</v>
      </c>
      <c r="H197" s="131"/>
    </row>
    <row r="198" spans="1:8" x14ac:dyDescent="0.25">
      <c r="A198" s="133"/>
      <c r="B198" s="204" t="str">
        <v>Downer Brisbane Sustainable Road Resource Centre, BrendaleAC10 A15E R20 BCC</v>
      </c>
      <c r="C198" s="132" t="str">
        <v>tonne</v>
      </c>
      <c r="D198" s="198">
        <v>77.895454999999998</v>
      </c>
      <c r="E198" s="198">
        <v>7.7895455000000002E-2</v>
      </c>
      <c r="F198" s="198">
        <v>0</v>
      </c>
      <c r="G198" s="215">
        <v>0</v>
      </c>
      <c r="H198" s="131"/>
    </row>
    <row r="199" spans="1:8" x14ac:dyDescent="0.25">
      <c r="A199" s="133"/>
      <c r="B199" s="204" t="str">
        <v>Downer Lindisfarne Asphalt Manufacturing FacilityAC14 Type H</v>
      </c>
      <c r="C199" s="132" t="str">
        <v>tonne</v>
      </c>
      <c r="D199" s="198">
        <v>61.8960887</v>
      </c>
      <c r="E199" s="198">
        <v>6.1896088700000004E-2</v>
      </c>
      <c r="F199" s="198">
        <v>0</v>
      </c>
      <c r="G199" s="215">
        <v>0</v>
      </c>
      <c r="H199" s="131"/>
    </row>
    <row r="200" spans="1:8" x14ac:dyDescent="0.25">
      <c r="A200" s="133"/>
      <c r="B200" s="204" t="str">
        <v>Downer Lindisfarne Asphalt Manufacturing FacilityAC10 Type L</v>
      </c>
      <c r="C200" s="132" t="str">
        <v>tonne</v>
      </c>
      <c r="D200" s="198">
        <v>60.3960966</v>
      </c>
      <c r="E200" s="198">
        <v>6.0396096600000004E-2</v>
      </c>
      <c r="F200" s="198">
        <v>0</v>
      </c>
      <c r="G200" s="215">
        <v>0</v>
      </c>
      <c r="H200" s="131"/>
    </row>
    <row r="201" spans="1:8" x14ac:dyDescent="0.25">
      <c r="A201" s="133"/>
      <c r="B201" s="204" t="str">
        <v>Downer Sydney Sustainable Road Resource Centre, RosehillAC14 A15E R10 H DG</v>
      </c>
      <c r="C201" s="132" t="str">
        <v>tonne</v>
      </c>
      <c r="D201" s="198">
        <v>93.993735000000001</v>
      </c>
      <c r="E201" s="198">
        <v>9.3993734999999995E-2</v>
      </c>
      <c r="F201" s="198">
        <v>0</v>
      </c>
      <c r="G201" s="215">
        <v>0</v>
      </c>
      <c r="H201" s="131"/>
    </row>
    <row r="202" spans="1:8" x14ac:dyDescent="0.25">
      <c r="A202" s="133"/>
      <c r="B202" s="204" t="str">
        <v>Fulton Hogan LaraSize 10mm OGA (A20E)</v>
      </c>
      <c r="C202" s="132" t="str">
        <v>tonne</v>
      </c>
      <c r="D202" s="198">
        <v>80.593913999999998</v>
      </c>
      <c r="E202" s="198">
        <v>8.0593914000000003E-2</v>
      </c>
      <c r="F202" s="198">
        <v>0</v>
      </c>
      <c r="G202" s="215">
        <v>0</v>
      </c>
      <c r="H202" s="131"/>
    </row>
    <row r="203" spans="1:8" x14ac:dyDescent="0.25">
      <c r="A203" s="133"/>
      <c r="B203" s="204" t="str">
        <v>Fulton Hogan Kembla GrangeDG14 A15E R116 SLAG</v>
      </c>
      <c r="C203" s="132" t="str">
        <v>tonne</v>
      </c>
      <c r="D203" s="198">
        <v>92.692380999999997</v>
      </c>
      <c r="E203" s="198">
        <v>9.269238099999999E-2</v>
      </c>
      <c r="F203" s="198">
        <v>0</v>
      </c>
      <c r="G203" s="215">
        <v>0</v>
      </c>
      <c r="H203" s="131"/>
    </row>
    <row r="204" spans="1:8" x14ac:dyDescent="0.25">
      <c r="A204" s="133"/>
      <c r="B204" s="204" t="str">
        <v>Downer Lindisfarne Asphalt Manufacturing FacilityAC14 Type L</v>
      </c>
      <c r="C204" s="132" t="str">
        <v>tonne</v>
      </c>
      <c r="D204" s="198">
        <v>58.095088099999998</v>
      </c>
      <c r="E204" s="198">
        <v>5.8095088099999997E-2</v>
      </c>
      <c r="F204" s="198">
        <v>0</v>
      </c>
      <c r="G204" s="215">
        <v>0</v>
      </c>
      <c r="H204" s="131"/>
    </row>
    <row r="205" spans="1:8" x14ac:dyDescent="0.25">
      <c r="A205" s="133"/>
      <c r="B205" s="204" t="str">
        <v xml:space="preserve">Fulton Hogan Bushells RidgeOG10 A15E R119 </v>
      </c>
      <c r="C205" s="132" t="str">
        <v>tonne</v>
      </c>
      <c r="D205" s="198">
        <v>92.091375999999997</v>
      </c>
      <c r="E205" s="198">
        <v>9.2091376000000003E-2</v>
      </c>
      <c r="F205" s="198">
        <v>0</v>
      </c>
      <c r="G205" s="215">
        <v>0</v>
      </c>
      <c r="H205" s="131"/>
    </row>
    <row r="206" spans="1:8" x14ac:dyDescent="0.25">
      <c r="A206" s="133"/>
      <c r="B206" s="204" t="str">
        <v>Fulton Hogan Bushells RidgeDG14 A15E R116 R10%</v>
      </c>
      <c r="C206" s="132" t="str">
        <v>tonne</v>
      </c>
      <c r="D206" s="198">
        <v>95.089979999999997</v>
      </c>
      <c r="E206" s="198">
        <v>9.5089980000000005E-2</v>
      </c>
      <c r="F206" s="198">
        <v>0</v>
      </c>
      <c r="G206" s="215">
        <v>0</v>
      </c>
      <c r="H206" s="131"/>
    </row>
    <row r="207" spans="1:8" x14ac:dyDescent="0.25">
      <c r="A207" s="133"/>
      <c r="B207" s="204" t="str">
        <v>Fulton Hogan Eastern CreekOG10 A15E R119</v>
      </c>
      <c r="C207" s="132" t="str">
        <v>tonne</v>
      </c>
      <c r="D207" s="198">
        <v>90.490276000000009</v>
      </c>
      <c r="E207" s="198">
        <v>9.0490276000000008E-2</v>
      </c>
      <c r="F207" s="198">
        <v>0</v>
      </c>
      <c r="G207" s="215">
        <v>0</v>
      </c>
      <c r="H207" s="131"/>
    </row>
    <row r="208" spans="1:8" x14ac:dyDescent="0.25">
      <c r="A208" s="133"/>
      <c r="B208" s="204" t="str">
        <v>Fulton Hogan Kembla GrangeOG10 A15E SLAG R119</v>
      </c>
      <c r="C208" s="132" t="str">
        <v>tonne</v>
      </c>
      <c r="D208" s="198">
        <v>96.989176</v>
      </c>
      <c r="E208" s="198">
        <v>9.698917600000001E-2</v>
      </c>
      <c r="F208" s="198">
        <v>0</v>
      </c>
      <c r="G208" s="215">
        <v>0</v>
      </c>
      <c r="H208" s="131"/>
    </row>
    <row r="209" spans="1:8" x14ac:dyDescent="0.25">
      <c r="A209" s="133"/>
      <c r="B209" s="204" t="str">
        <v xml:space="preserve">Downer Bli Bli Asphalt Manufacturing FacilityAC14 A15E R15 </v>
      </c>
      <c r="C209" s="132" t="str">
        <v>tonne</v>
      </c>
      <c r="D209" s="198">
        <v>87.490142000000006</v>
      </c>
      <c r="E209" s="198">
        <v>8.7490142000000007E-2</v>
      </c>
      <c r="F209" s="198">
        <v>0</v>
      </c>
      <c r="G209" s="215">
        <v>0</v>
      </c>
      <c r="H209" s="131"/>
    </row>
    <row r="210" spans="1:8" x14ac:dyDescent="0.25">
      <c r="A210" s="133"/>
      <c r="B210" s="204" t="str">
        <v>Downer Brisbane Sustainable Road Resource Centre, BrendaleAC14 A15E R15</v>
      </c>
      <c r="C210" s="132" t="str">
        <v>tonne</v>
      </c>
      <c r="D210" s="198">
        <v>78.190333999999993</v>
      </c>
      <c r="E210" s="198">
        <v>7.8190333999999986E-2</v>
      </c>
      <c r="F210" s="198">
        <v>0</v>
      </c>
      <c r="G210" s="215">
        <v>0</v>
      </c>
      <c r="H210" s="131"/>
    </row>
    <row r="211" spans="1:8" x14ac:dyDescent="0.25">
      <c r="A211" s="133"/>
      <c r="B211" s="204" t="str">
        <v>Fulton Hogan LaraSize 10, 14mm DGA Type HP</v>
      </c>
      <c r="C211" s="132" t="str">
        <v>tonne</v>
      </c>
      <c r="D211" s="198">
        <v>78.389038999999997</v>
      </c>
      <c r="E211" s="198">
        <v>7.8389038999999994E-2</v>
      </c>
      <c r="F211" s="198">
        <v>0</v>
      </c>
      <c r="G211" s="215">
        <v>0</v>
      </c>
      <c r="H211" s="131"/>
    </row>
    <row r="212" spans="1:8" x14ac:dyDescent="0.25">
      <c r="A212" s="133"/>
      <c r="B212" s="204" t="str">
        <v>Fulton Hogan Eastern CreekDG14 A15E R116 SLAG</v>
      </c>
      <c r="C212" s="132" t="str">
        <v>tonne</v>
      </c>
      <c r="D212" s="198">
        <v>95.384783999999996</v>
      </c>
      <c r="E212" s="198">
        <v>9.5384784E-2</v>
      </c>
      <c r="F212" s="198">
        <v>0</v>
      </c>
      <c r="G212" s="215">
        <v>0</v>
      </c>
      <c r="H212" s="131"/>
    </row>
    <row r="213" spans="1:8" x14ac:dyDescent="0.25">
      <c r="A213" s="133"/>
      <c r="B213" s="204" t="str">
        <v>Fulton Hogan Bushells RidgeDG14 A15E R116 SLAG</v>
      </c>
      <c r="C213" s="132" t="str">
        <v>tonne</v>
      </c>
      <c r="D213" s="198">
        <v>94.984581000000006</v>
      </c>
      <c r="E213" s="198">
        <v>9.4984581000000012E-2</v>
      </c>
      <c r="F213" s="198">
        <v>0</v>
      </c>
      <c r="G213" s="215">
        <v>0</v>
      </c>
      <c r="H213" s="131"/>
    </row>
    <row r="214" spans="1:8" x14ac:dyDescent="0.25">
      <c r="A214" s="133"/>
      <c r="B214" s="204" t="str">
        <v>Fulton Hogan Eastern CreekDG14 A15E AS2150 R15%</v>
      </c>
      <c r="C214" s="132" t="str">
        <v>tonne</v>
      </c>
      <c r="D214" s="198">
        <v>84.685973000000004</v>
      </c>
      <c r="E214" s="198">
        <v>8.4685972999999998E-2</v>
      </c>
      <c r="F214" s="198">
        <v>0</v>
      </c>
      <c r="G214" s="215">
        <v>0</v>
      </c>
      <c r="H214" s="131"/>
    </row>
    <row r="215" spans="1:8" x14ac:dyDescent="0.25">
      <c r="A215" s="133"/>
      <c r="B215" s="204" t="str">
        <v>Fulton Hogan DandenongDoT - Section 417 Open Graded Asphalt (OGA)</v>
      </c>
      <c r="C215" s="132" t="str">
        <v>tonne</v>
      </c>
      <c r="D215" s="198">
        <v>83.885619000000005</v>
      </c>
      <c r="E215" s="198">
        <v>8.3885618999999995E-2</v>
      </c>
      <c r="F215" s="198">
        <v>0</v>
      </c>
      <c r="G215" s="215">
        <v>0</v>
      </c>
      <c r="H215" s="131"/>
    </row>
    <row r="216" spans="1:8" x14ac:dyDescent="0.25">
      <c r="A216" s="133"/>
      <c r="B216" s="204" t="str">
        <v xml:space="preserve">Downer Bli Bli Asphalt Manufacturing FacilityAC20 A15E </v>
      </c>
      <c r="C216" s="132" t="str">
        <v>tonne</v>
      </c>
      <c r="D216" s="198">
        <v>83.484331999999995</v>
      </c>
      <c r="E216" s="198">
        <v>8.3484332000000008E-2</v>
      </c>
      <c r="F216" s="198">
        <v>0</v>
      </c>
      <c r="G216" s="215">
        <v>0</v>
      </c>
      <c r="H216" s="131"/>
    </row>
    <row r="217" spans="1:8" x14ac:dyDescent="0.25">
      <c r="A217" s="133"/>
      <c r="B217" s="204" t="str">
        <v>Fulton Hogan DandenongSize 10mm DGA Fine</v>
      </c>
      <c r="C217" s="132" t="str">
        <v>tonne</v>
      </c>
      <c r="D217" s="198">
        <v>87.183494999999994</v>
      </c>
      <c r="E217" s="198">
        <v>8.7183495E-2</v>
      </c>
      <c r="F217" s="198">
        <v>0</v>
      </c>
      <c r="G217" s="215">
        <v>0</v>
      </c>
      <c r="H217" s="131"/>
    </row>
    <row r="218" spans="1:8" x14ac:dyDescent="0.25">
      <c r="A218" s="133"/>
      <c r="B218" s="204" t="str">
        <v>Downer Brisbane Sustainable Road Resource Centre, BrendaleAC10 R40 Reconophalt</v>
      </c>
      <c r="C218" s="132" t="str">
        <v>tonne</v>
      </c>
      <c r="D218" s="198">
        <v>51.889219999999995</v>
      </c>
      <c r="E218" s="198">
        <v>5.188922E-2</v>
      </c>
      <c r="F218" s="198">
        <v>0</v>
      </c>
      <c r="G218" s="215">
        <v>0</v>
      </c>
      <c r="H218" s="131"/>
    </row>
    <row r="219" spans="1:8" x14ac:dyDescent="0.25">
      <c r="A219" s="133"/>
      <c r="B219" s="204" t="str">
        <v>Fulton Hogan DandenongSize 10, 14mm DGA Type HP</v>
      </c>
      <c r="C219" s="132" t="str">
        <v>tonne</v>
      </c>
      <c r="D219" s="198">
        <v>80.082596000000009</v>
      </c>
      <c r="E219" s="198">
        <v>8.0082595999999992E-2</v>
      </c>
      <c r="F219" s="198">
        <v>0</v>
      </c>
      <c r="G219" s="215">
        <v>0</v>
      </c>
      <c r="H219" s="131"/>
    </row>
    <row r="220" spans="1:8" x14ac:dyDescent="0.25">
      <c r="A220" s="133"/>
      <c r="B220" s="204" t="str">
        <v>Downer Brisbane Sustainable Road Resource Centre, BrendaleAC14 A15E R20 BCC</v>
      </c>
      <c r="C220" s="132" t="str">
        <v>tonne</v>
      </c>
      <c r="D220" s="198">
        <v>68.784027000000009</v>
      </c>
      <c r="E220" s="198">
        <v>6.8784026999999998E-2</v>
      </c>
      <c r="F220" s="198">
        <v>0</v>
      </c>
      <c r="G220" s="215">
        <v>0</v>
      </c>
      <c r="H220" s="131"/>
    </row>
    <row r="221" spans="1:8" x14ac:dyDescent="0.25">
      <c r="A221" s="133"/>
      <c r="B221" s="204" t="str">
        <v>Downer Shepparton Asphalt Manufacturing FacilityAC10 R10 NH</v>
      </c>
      <c r="C221" s="132" t="str">
        <v>tonne</v>
      </c>
      <c r="D221" s="198">
        <v>74.381095500000001</v>
      </c>
      <c r="E221" s="198">
        <v>7.4381095499999994E-2</v>
      </c>
      <c r="F221" s="198">
        <v>0</v>
      </c>
      <c r="G221" s="215">
        <v>0</v>
      </c>
      <c r="H221" s="131"/>
    </row>
    <row r="222" spans="1:8" x14ac:dyDescent="0.25">
      <c r="A222" s="133"/>
      <c r="B222" s="204" t="str">
        <v>Downer Shepparton Asphalt Manufacturing FacilityAC14 R10 H</v>
      </c>
      <c r="C222" s="132" t="str">
        <v>tonne</v>
      </c>
      <c r="D222" s="198">
        <v>73.781190800000005</v>
      </c>
      <c r="E222" s="198">
        <v>7.3781190800000007E-2</v>
      </c>
      <c r="F222" s="198">
        <v>0</v>
      </c>
      <c r="G222" s="215">
        <v>0</v>
      </c>
      <c r="H222" s="131"/>
    </row>
    <row r="223" spans="1:8" x14ac:dyDescent="0.25">
      <c r="A223" s="133"/>
      <c r="B223" s="204" t="str">
        <v>Fulton Hogan Kembla GrangeDG14 AR450 R118 CR</v>
      </c>
      <c r="C223" s="132" t="str">
        <v>tonne</v>
      </c>
      <c r="D223" s="198">
        <v>92.773347000000001</v>
      </c>
      <c r="E223" s="198">
        <v>9.2773347000000006E-2</v>
      </c>
      <c r="F223" s="198">
        <v>0</v>
      </c>
      <c r="G223" s="215">
        <v>0</v>
      </c>
      <c r="H223" s="131"/>
    </row>
    <row r="224" spans="1:8" x14ac:dyDescent="0.25">
      <c r="A224" s="133"/>
      <c r="B224" s="204" t="str">
        <v>Downer Hume Asphalt Manufacturing FacilityAC10 H</v>
      </c>
      <c r="C224" s="132" t="str">
        <v>tonne</v>
      </c>
      <c r="D224" s="198">
        <v>78.275803999999994</v>
      </c>
      <c r="E224" s="198">
        <v>7.8275804000000004E-2</v>
      </c>
      <c r="F224" s="198">
        <v>0</v>
      </c>
      <c r="G224" s="215">
        <v>0</v>
      </c>
      <c r="H224" s="131"/>
    </row>
    <row r="225" spans="1:8" x14ac:dyDescent="0.25">
      <c r="A225" s="133"/>
      <c r="B225" s="204" t="str">
        <v>Downer Hume Asphalt Manufacturing FacilityAC14 H</v>
      </c>
      <c r="C225" s="132" t="str">
        <v>tonne</v>
      </c>
      <c r="D225" s="198">
        <v>76.374797100000009</v>
      </c>
      <c r="E225" s="198">
        <v>7.6374797099999989E-2</v>
      </c>
      <c r="F225" s="198">
        <v>0</v>
      </c>
      <c r="G225" s="215">
        <v>0</v>
      </c>
      <c r="H225" s="131"/>
    </row>
    <row r="226" spans="1:8" x14ac:dyDescent="0.25">
      <c r="A226" s="133"/>
      <c r="B226" s="204" t="str">
        <v>Downer Teralba Asphalt Manufacturing FacilityAC14</v>
      </c>
      <c r="C226" s="132" t="str">
        <v>tonne</v>
      </c>
      <c r="D226" s="198">
        <v>82.072203000000002</v>
      </c>
      <c r="E226" s="198">
        <v>8.207220300000001E-2</v>
      </c>
      <c r="F226" s="198">
        <v>0</v>
      </c>
      <c r="G226" s="215">
        <v>0</v>
      </c>
      <c r="H226" s="131"/>
    </row>
    <row r="227" spans="1:8" x14ac:dyDescent="0.25">
      <c r="A227" s="133"/>
      <c r="B227" s="204" t="str">
        <v>Downer Hume Asphalt Manufacturing FacilityAC10 R15 H</v>
      </c>
      <c r="C227" s="132" t="str">
        <v>tonne</v>
      </c>
      <c r="D227" s="198">
        <v>77.372403999999989</v>
      </c>
      <c r="E227" s="198">
        <v>7.7372403999999992E-2</v>
      </c>
      <c r="F227" s="198">
        <v>0</v>
      </c>
      <c r="G227" s="215">
        <v>0</v>
      </c>
      <c r="H227" s="131"/>
    </row>
    <row r="228" spans="1:8" x14ac:dyDescent="0.25">
      <c r="A228" s="133"/>
      <c r="B228" s="204" t="str">
        <v xml:space="preserve">Downer Mackay Asphalt Manufacturing FacilityAC10 H 4098 </v>
      </c>
      <c r="C228" s="132" t="str">
        <v>tonne</v>
      </c>
      <c r="D228" s="198">
        <v>91.366024999999993</v>
      </c>
      <c r="E228" s="198">
        <v>9.136602499999999E-2</v>
      </c>
      <c r="F228" s="198">
        <v>0</v>
      </c>
      <c r="G228" s="215">
        <v>0</v>
      </c>
      <c r="H228" s="131"/>
    </row>
    <row r="229" spans="1:8" x14ac:dyDescent="0.25">
      <c r="A229" s="133"/>
      <c r="B229" s="204" t="str">
        <v>Fulton Hogan Bushells RidgeDG14 AR450 R118 CR</v>
      </c>
      <c r="C229" s="132" t="str">
        <v>tonne</v>
      </c>
      <c r="D229" s="198">
        <v>97.262847000000008</v>
      </c>
      <c r="E229" s="198">
        <v>9.7262847000000013E-2</v>
      </c>
      <c r="F229" s="198">
        <v>0</v>
      </c>
      <c r="G229" s="215">
        <v>0</v>
      </c>
      <c r="H229" s="131"/>
    </row>
    <row r="230" spans="1:8" x14ac:dyDescent="0.25">
      <c r="A230" s="133"/>
      <c r="B230" s="204" t="str">
        <v xml:space="preserve">Downer Mackay Asphalt Manufacturing FacilityAC10 </v>
      </c>
      <c r="C230" s="132" t="str">
        <v>tonne</v>
      </c>
      <c r="D230" s="198">
        <v>89.265630000000002</v>
      </c>
      <c r="E230" s="198">
        <v>8.9265629999999999E-2</v>
      </c>
      <c r="F230" s="198">
        <v>0</v>
      </c>
      <c r="G230" s="215">
        <v>0</v>
      </c>
      <c r="H230" s="131"/>
    </row>
    <row r="231" spans="1:8" x14ac:dyDescent="0.25">
      <c r="A231" s="133"/>
      <c r="B231" s="204" t="str">
        <v>Downer Albany Asphalt Manufacturing FacilityAC 07</v>
      </c>
      <c r="C231" s="132" t="str">
        <v>tonne</v>
      </c>
      <c r="D231" s="198">
        <v>70.972014000000001</v>
      </c>
      <c r="E231" s="198">
        <v>7.0972014E-2</v>
      </c>
      <c r="F231" s="198">
        <v>0</v>
      </c>
      <c r="G231" s="215">
        <v>0</v>
      </c>
      <c r="H231" s="131"/>
    </row>
    <row r="232" spans="1:8" x14ac:dyDescent="0.25">
      <c r="A232" s="133"/>
      <c r="B232" s="204" t="str">
        <v>Downer Hope Valley Asphalt Manufacturing FacilityEME2 14</v>
      </c>
      <c r="C232" s="132" t="str">
        <v>tonne</v>
      </c>
      <c r="D232" s="198">
        <v>72.371112999999994</v>
      </c>
      <c r="E232" s="198">
        <v>7.2371113000000001E-2</v>
      </c>
      <c r="F232" s="198">
        <v>0</v>
      </c>
      <c r="G232" s="215">
        <v>0</v>
      </c>
      <c r="H232" s="131"/>
    </row>
    <row r="233" spans="1:8" x14ac:dyDescent="0.25">
      <c r="A233" s="133"/>
      <c r="B233" s="204" t="str">
        <v>Downer Teralba Asphalt Manufacturing FacilityAC14 R10 H</v>
      </c>
      <c r="C233" s="132" t="str">
        <v>tonne</v>
      </c>
      <c r="D233" s="198">
        <v>78.967294300000006</v>
      </c>
      <c r="E233" s="198">
        <v>7.8967294300000018E-2</v>
      </c>
      <c r="F233" s="198">
        <v>0</v>
      </c>
      <c r="G233" s="215">
        <v>0</v>
      </c>
      <c r="H233" s="131"/>
    </row>
    <row r="234" spans="1:8" x14ac:dyDescent="0.25">
      <c r="A234" s="133"/>
      <c r="B234" s="204" t="str">
        <v xml:space="preserve">Downer Mackay Asphalt Manufacturing FacilityAC14 4906 </v>
      </c>
      <c r="C234" s="132" t="str">
        <v>tonne</v>
      </c>
      <c r="D234" s="198">
        <v>86.364110999999994</v>
      </c>
      <c r="E234" s="198">
        <v>8.6364110999999993E-2</v>
      </c>
      <c r="F234" s="198">
        <v>0</v>
      </c>
      <c r="G234" s="215">
        <v>0</v>
      </c>
      <c r="H234" s="131"/>
    </row>
    <row r="235" spans="1:8" x14ac:dyDescent="0.25">
      <c r="A235" s="133"/>
      <c r="B235" s="204" t="str">
        <v>Downer Teralba Asphalt Manufacturing FacilityAC10 R20</v>
      </c>
      <c r="C235" s="132" t="str">
        <v>tonne</v>
      </c>
      <c r="D235" s="198">
        <v>80.866202999999999</v>
      </c>
      <c r="E235" s="198">
        <v>8.0866202999999998E-2</v>
      </c>
      <c r="F235" s="198">
        <v>0</v>
      </c>
      <c r="G235" s="215">
        <v>0</v>
      </c>
      <c r="H235" s="131"/>
    </row>
    <row r="236" spans="1:8" x14ac:dyDescent="0.25">
      <c r="A236" s="133"/>
      <c r="B236" s="204" t="str">
        <v xml:space="preserve">Downer Mackay Asphalt Manufacturing FacilityAC14 </v>
      </c>
      <c r="C236" s="132" t="str">
        <v>tonne</v>
      </c>
      <c r="D236" s="198">
        <v>83.264213999999996</v>
      </c>
      <c r="E236" s="198">
        <v>8.3264213999999989E-2</v>
      </c>
      <c r="F236" s="198">
        <v>0</v>
      </c>
      <c r="G236" s="215">
        <v>0</v>
      </c>
      <c r="H236" s="131"/>
    </row>
    <row r="237" spans="1:8" x14ac:dyDescent="0.25">
      <c r="A237" s="133"/>
      <c r="B237" s="204" t="str">
        <v>Fulton Hogan DandenongSize 14mm PlastiPhalt ®</v>
      </c>
      <c r="C237" s="132" t="str">
        <v>tonne</v>
      </c>
      <c r="D237" s="198">
        <v>73.468236000000005</v>
      </c>
      <c r="E237" s="198">
        <v>7.3468236000000006E-2</v>
      </c>
      <c r="F237" s="198">
        <v>0</v>
      </c>
      <c r="G237" s="215">
        <v>0</v>
      </c>
      <c r="H237" s="131"/>
    </row>
    <row r="238" spans="1:8" x14ac:dyDescent="0.25">
      <c r="A238" s="133"/>
      <c r="B238" s="204" t="str">
        <v>Downer Teralba Asphalt Manufacturing FacilityAC14 R20 H</v>
      </c>
      <c r="C238" s="132" t="str">
        <v>tonne</v>
      </c>
      <c r="D238" s="198">
        <v>76.564487500000013</v>
      </c>
      <c r="E238" s="198">
        <v>7.65644875E-2</v>
      </c>
      <c r="F238" s="198">
        <v>0</v>
      </c>
      <c r="G238" s="215">
        <v>0</v>
      </c>
      <c r="H238" s="131"/>
    </row>
    <row r="239" spans="1:8" x14ac:dyDescent="0.25">
      <c r="A239" s="133"/>
      <c r="B239" s="204" t="str">
        <v>Downer Lismore Asphalt Manufacturing FacilityAC10 H</v>
      </c>
      <c r="C239" s="132" t="str">
        <v>tonne</v>
      </c>
      <c r="D239" s="198">
        <v>74.765012999999996</v>
      </c>
      <c r="E239" s="198">
        <v>7.4765013000000005E-2</v>
      </c>
      <c r="F239" s="198">
        <v>0</v>
      </c>
      <c r="G239" s="215">
        <v>0</v>
      </c>
      <c r="H239" s="131"/>
    </row>
    <row r="240" spans="1:8" x14ac:dyDescent="0.25">
      <c r="A240" s="133"/>
      <c r="B240" s="204" t="str">
        <v>Downer Gosnells Asphalt Manufacturing FacilityAC20 C600 R9 2C4B00</v>
      </c>
      <c r="C240" s="132" t="str">
        <v>tonne</v>
      </c>
      <c r="D240" s="198">
        <v>62.970272099999995</v>
      </c>
      <c r="E240" s="198">
        <v>6.2970272100000002E-2</v>
      </c>
      <c r="F240" s="198">
        <v>0</v>
      </c>
      <c r="G240" s="215">
        <v>0</v>
      </c>
      <c r="H240" s="131"/>
    </row>
    <row r="241" spans="1:8" x14ac:dyDescent="0.25">
      <c r="A241" s="133"/>
      <c r="B241" s="204" t="str">
        <v>Downer Albany Asphalt Manufacturing FacilityAC14</v>
      </c>
      <c r="C241" s="132" t="str">
        <v>tonne</v>
      </c>
      <c r="D241" s="198">
        <v>65.168694700000003</v>
      </c>
      <c r="E241" s="198">
        <v>6.5168694699999988E-2</v>
      </c>
      <c r="F241" s="198">
        <v>0</v>
      </c>
      <c r="G241" s="215">
        <v>0</v>
      </c>
      <c r="H241" s="131"/>
    </row>
    <row r="242" spans="1:8" x14ac:dyDescent="0.25">
      <c r="A242" s="133"/>
      <c r="B242" s="204" t="str">
        <v>Downer Wodonga Asphalt Manufacturing FacilityAC10 R10 Reconophalt</v>
      </c>
      <c r="C242" s="132" t="str">
        <v>tonne</v>
      </c>
      <c r="D242" s="198">
        <v>78.661805000000001</v>
      </c>
      <c r="E242" s="198">
        <v>7.8661804999999987E-2</v>
      </c>
      <c r="F242" s="198">
        <v>0</v>
      </c>
      <c r="G242" s="215">
        <v>0</v>
      </c>
      <c r="H242" s="131"/>
    </row>
    <row r="243" spans="1:8" x14ac:dyDescent="0.25">
      <c r="A243" s="133"/>
      <c r="B243" s="204" t="str">
        <v>Fulton Hogan LaraSize 10mm LTCRA ≤10% RAP ≤5% Glass</v>
      </c>
      <c r="C243" s="132" t="str">
        <v>tonne</v>
      </c>
      <c r="D243" s="198">
        <v>60.770132000000004</v>
      </c>
      <c r="E243" s="198">
        <v>6.0770132000000004E-2</v>
      </c>
      <c r="F243" s="198">
        <v>0</v>
      </c>
      <c r="G243" s="215">
        <v>0</v>
      </c>
      <c r="H243" s="131"/>
    </row>
    <row r="244" spans="1:8" x14ac:dyDescent="0.25">
      <c r="A244" s="133"/>
      <c r="B244" s="204" t="str">
        <v>Downer Lismore Asphalt Manufacturing FacilityAC10</v>
      </c>
      <c r="C244" s="132" t="str">
        <v>tonne</v>
      </c>
      <c r="D244" s="198">
        <v>67.765217000000007</v>
      </c>
      <c r="E244" s="198">
        <v>6.7765216999999989E-2</v>
      </c>
      <c r="F244" s="198">
        <v>0</v>
      </c>
      <c r="G244" s="215">
        <v>0</v>
      </c>
      <c r="H244" s="131"/>
    </row>
    <row r="245" spans="1:8" x14ac:dyDescent="0.25">
      <c r="A245" s="133"/>
      <c r="B245" s="204" t="str">
        <v>Downer Wodonga Asphalt Manufacturing FacilityAC14 R20 H</v>
      </c>
      <c r="C245" s="132" t="str">
        <v>tonne</v>
      </c>
      <c r="D245" s="198">
        <v>77.559905000000001</v>
      </c>
      <c r="E245" s="198">
        <v>7.7559904999999998E-2</v>
      </c>
      <c r="F245" s="198">
        <v>0</v>
      </c>
      <c r="G245" s="215">
        <v>0</v>
      </c>
      <c r="H245" s="131"/>
    </row>
    <row r="246" spans="1:8" x14ac:dyDescent="0.25">
      <c r="A246" s="133"/>
      <c r="B246" s="204" t="str">
        <v>Fulton Hogan Bushells RidgeDG14 AR450 R116 G2.5%</v>
      </c>
      <c r="C246" s="132" t="str">
        <v>tonne</v>
      </c>
      <c r="D246" s="198">
        <v>80.358109999999996</v>
      </c>
      <c r="E246" s="198">
        <v>8.0358109999999983E-2</v>
      </c>
      <c r="F246" s="198">
        <v>0</v>
      </c>
      <c r="G246" s="215">
        <v>0</v>
      </c>
      <c r="H246" s="131"/>
    </row>
    <row r="247" spans="1:8" x14ac:dyDescent="0.25">
      <c r="A247" s="133"/>
      <c r="B247" s="204" t="str">
        <v>Downer Teralba Asphalt Manufacturing FacilityAC20 R25 H</v>
      </c>
      <c r="C247" s="132" t="str">
        <v>tonne</v>
      </c>
      <c r="D247" s="198">
        <v>73.161578699999993</v>
      </c>
      <c r="E247" s="198">
        <v>7.3161578700000007E-2</v>
      </c>
      <c r="F247" s="198">
        <v>0</v>
      </c>
      <c r="G247" s="215">
        <v>0</v>
      </c>
      <c r="H247" s="131"/>
    </row>
    <row r="248" spans="1:8" x14ac:dyDescent="0.25">
      <c r="A248" s="133"/>
      <c r="B248" s="204" t="str">
        <v>Fulton Hogan Kembla GrangeDG14 AR450 R116 R15% G≤10%*</v>
      </c>
      <c r="C248" s="132" t="str">
        <v>tonne</v>
      </c>
      <c r="D248" s="198">
        <v>69.463091800000015</v>
      </c>
      <c r="E248" s="198">
        <v>6.9463091800000001E-2</v>
      </c>
      <c r="F248" s="198">
        <v>0</v>
      </c>
      <c r="G248" s="215">
        <v>0</v>
      </c>
      <c r="H248" s="131"/>
    </row>
    <row r="249" spans="1:8" x14ac:dyDescent="0.25">
      <c r="A249" s="133"/>
      <c r="B249" s="204" t="str">
        <v>Downer Swanbank Asphalt Manufacturing FacilityAC14</v>
      </c>
      <c r="C249" s="132" t="str">
        <v>tonne</v>
      </c>
      <c r="D249" s="198">
        <v>79.956705000000014</v>
      </c>
      <c r="E249" s="198">
        <v>7.9956705000000003E-2</v>
      </c>
      <c r="F249" s="198">
        <v>0</v>
      </c>
      <c r="G249" s="215">
        <v>0</v>
      </c>
      <c r="H249" s="131"/>
    </row>
    <row r="250" spans="1:8" x14ac:dyDescent="0.25">
      <c r="A250" s="133"/>
      <c r="B250" s="204" t="str">
        <v>Downer Gippsland Asphalt Manufacturing FacilityAC10</v>
      </c>
      <c r="C250" s="132" t="str">
        <v>tonne</v>
      </c>
      <c r="D250" s="198">
        <v>77.557811999999998</v>
      </c>
      <c r="E250" s="198">
        <v>7.755781199999999E-2</v>
      </c>
      <c r="F250" s="198">
        <v>0</v>
      </c>
      <c r="G250" s="215">
        <v>0</v>
      </c>
      <c r="H250" s="131"/>
    </row>
    <row r="251" spans="1:8" x14ac:dyDescent="0.25">
      <c r="A251" s="133"/>
      <c r="B251" s="204" t="str">
        <v>Downer Hope Valley Asphalt Manufacturing FacilityAC10 1E0A00</v>
      </c>
      <c r="C251" s="132" t="str">
        <v>tonne</v>
      </c>
      <c r="D251" s="198">
        <v>63.465297999999997</v>
      </c>
      <c r="E251" s="198">
        <v>6.3465298000000003E-2</v>
      </c>
      <c r="F251" s="198">
        <v>0</v>
      </c>
      <c r="G251" s="215">
        <v>0</v>
      </c>
      <c r="H251" s="131"/>
    </row>
    <row r="252" spans="1:8" x14ac:dyDescent="0.25">
      <c r="A252" s="133"/>
      <c r="B252" s="204" t="str">
        <v>Fulton Hogan Eastern CreekDG10 AR450 R116 R15% G≤2.5%*</v>
      </c>
      <c r="C252" s="132" t="str">
        <v>tonne</v>
      </c>
      <c r="D252" s="198">
        <v>81.655117000000004</v>
      </c>
      <c r="E252" s="198">
        <v>8.1655116999999999E-2</v>
      </c>
      <c r="F252" s="198">
        <v>0</v>
      </c>
      <c r="G252" s="215">
        <v>0</v>
      </c>
      <c r="H252" s="131"/>
    </row>
    <row r="253" spans="1:8" x14ac:dyDescent="0.25">
      <c r="A253" s="133"/>
      <c r="B253" s="204" t="str">
        <v>Downer Gosnells Asphalt Manufacturing FacilityAC20 R24 2C0E00</v>
      </c>
      <c r="C253" s="132" t="str">
        <v>tonne</v>
      </c>
      <c r="D253" s="198">
        <v>60.566167199999995</v>
      </c>
      <c r="E253" s="198">
        <v>6.05661672E-2</v>
      </c>
      <c r="F253" s="198">
        <v>0</v>
      </c>
      <c r="G253" s="215">
        <v>0</v>
      </c>
      <c r="H253" s="131"/>
    </row>
    <row r="254" spans="1:8" x14ac:dyDescent="0.25">
      <c r="A254" s="133"/>
      <c r="B254" s="204" t="str">
        <v>Downer Sydney Sustainable Road Resource Centre, RosehillAC14 R20 HD</v>
      </c>
      <c r="C254" s="132" t="str">
        <v>tonne</v>
      </c>
      <c r="D254" s="198">
        <v>75.657483200000001</v>
      </c>
      <c r="E254" s="198">
        <v>7.56574832E-2</v>
      </c>
      <c r="F254" s="198">
        <v>0</v>
      </c>
      <c r="G254" s="215">
        <v>0</v>
      </c>
      <c r="H254" s="131"/>
    </row>
    <row r="255" spans="1:8" x14ac:dyDescent="0.25">
      <c r="A255" s="133"/>
      <c r="B255" s="204" t="str">
        <v>Downer Swanbank Asphalt Manufacturing FacilityAC20</v>
      </c>
      <c r="C255" s="132" t="str">
        <v>tonne</v>
      </c>
      <c r="D255" s="198">
        <v>77.856099999999998</v>
      </c>
      <c r="E255" s="198">
        <v>7.7856099999999998E-2</v>
      </c>
      <c r="F255" s="198">
        <v>0</v>
      </c>
      <c r="G255" s="215">
        <v>0</v>
      </c>
      <c r="H255" s="131"/>
    </row>
    <row r="256" spans="1:8" x14ac:dyDescent="0.25">
      <c r="A256" s="133"/>
      <c r="B256" s="204" t="str">
        <v>Downer Adelaide Sustainable Road Resource Centre, WingfieldAC7 R10</v>
      </c>
      <c r="C256" s="132" t="str">
        <v>tonne</v>
      </c>
      <c r="D256" s="198">
        <v>72.257209000000003</v>
      </c>
      <c r="E256" s="198">
        <v>7.2257209000000003E-2</v>
      </c>
      <c r="F256" s="198">
        <v>0</v>
      </c>
      <c r="G256" s="215">
        <v>0</v>
      </c>
      <c r="H256" s="131"/>
    </row>
    <row r="257" spans="1:8" x14ac:dyDescent="0.25">
      <c r="A257" s="133"/>
      <c r="B257" s="204" t="str">
        <v>Fulton Hogan LaraSize 20mm DGA Type SF 10-20% RAP</v>
      </c>
      <c r="C257" s="132" t="str">
        <v>tonne</v>
      </c>
      <c r="D257" s="198">
        <v>56.466112999999993</v>
      </c>
      <c r="E257" s="198">
        <v>5.6466112999999998E-2</v>
      </c>
      <c r="F257" s="198">
        <v>0</v>
      </c>
      <c r="G257" s="215">
        <v>0</v>
      </c>
      <c r="H257" s="131"/>
    </row>
    <row r="258" spans="1:8" x14ac:dyDescent="0.25">
      <c r="A258" s="133"/>
      <c r="B258" s="204" t="str">
        <v>Downer Reconophalt NSWAC20 AR450 A</v>
      </c>
      <c r="C258" s="132" t="str">
        <v>tonne</v>
      </c>
      <c r="D258" s="198">
        <v>62.960511000000004</v>
      </c>
      <c r="E258" s="198">
        <v>6.2960510999999997E-2</v>
      </c>
      <c r="F258" s="198">
        <v>0</v>
      </c>
      <c r="G258" s="215">
        <v>0</v>
      </c>
      <c r="H258" s="131"/>
    </row>
    <row r="259" spans="1:8" x14ac:dyDescent="0.25">
      <c r="A259" s="133"/>
      <c r="B259" s="204" t="str">
        <v xml:space="preserve">Downer Bli Bli Asphalt Manufacturing FacilityAC14 </v>
      </c>
      <c r="C259" s="132" t="str">
        <v>tonne</v>
      </c>
      <c r="D259" s="198">
        <v>80.848900999999998</v>
      </c>
      <c r="E259" s="198">
        <v>8.0848901000000001E-2</v>
      </c>
      <c r="F259" s="198">
        <v>0</v>
      </c>
      <c r="G259" s="215">
        <v>0</v>
      </c>
      <c r="H259" s="131"/>
    </row>
    <row r="260" spans="1:8" x14ac:dyDescent="0.25">
      <c r="A260" s="133"/>
      <c r="B260" s="204" t="str">
        <v>Fulton Hogan Kembla GrangeDG07 AR450 AS2150</v>
      </c>
      <c r="C260" s="132" t="str">
        <v>tonne</v>
      </c>
      <c r="D260" s="198">
        <v>79.249724000000001</v>
      </c>
      <c r="E260" s="198">
        <v>7.9249724000000007E-2</v>
      </c>
      <c r="F260" s="198">
        <v>0</v>
      </c>
      <c r="G260" s="215">
        <v>0</v>
      </c>
      <c r="H260" s="131"/>
    </row>
    <row r="261" spans="1:8" x14ac:dyDescent="0.25">
      <c r="A261" s="133"/>
      <c r="B261" s="204" t="str">
        <v xml:space="preserve">Downer Archerfield Asphalt Manufacturing FacilityC14 R15 </v>
      </c>
      <c r="C261" s="132" t="str">
        <v>tonne</v>
      </c>
      <c r="D261" s="198">
        <v>77.150897499999985</v>
      </c>
      <c r="E261" s="198">
        <v>7.7150897499999996E-2</v>
      </c>
      <c r="F261" s="198">
        <v>0</v>
      </c>
      <c r="G261" s="215">
        <v>0</v>
      </c>
      <c r="H261" s="131"/>
    </row>
    <row r="262" spans="1:8" x14ac:dyDescent="0.25">
      <c r="A262" s="133"/>
      <c r="B262" s="204" t="str">
        <v>Fulton Hogan Eastern CreekDG10 AR450 AS2150/AUSPEC/R117 R20% G≤2.5%*</v>
      </c>
      <c r="C262" s="132" t="str">
        <v>tonne</v>
      </c>
      <c r="D262" s="198">
        <v>71.853118999999992</v>
      </c>
      <c r="E262" s="198">
        <v>7.1853119000000007E-2</v>
      </c>
      <c r="F262" s="198">
        <v>0</v>
      </c>
      <c r="G262" s="215">
        <v>0</v>
      </c>
      <c r="H262" s="131"/>
    </row>
    <row r="263" spans="1:8" x14ac:dyDescent="0.25">
      <c r="A263" s="133"/>
      <c r="B263" s="204" t="str">
        <v>Fulton Hogan Eastern CreekDG14 AR450 R116 R20% G≤2.5%*</v>
      </c>
      <c r="C263" s="132" t="str">
        <v>tonne</v>
      </c>
      <c r="D263" s="198">
        <v>74.75109040000001</v>
      </c>
      <c r="E263" s="198">
        <v>7.4751090399999998E-2</v>
      </c>
      <c r="F263" s="198">
        <v>0</v>
      </c>
      <c r="G263" s="215">
        <v>0</v>
      </c>
      <c r="H263" s="131"/>
    </row>
    <row r="264" spans="1:8" x14ac:dyDescent="0.25">
      <c r="A264" s="133"/>
      <c r="B264" s="204" t="str">
        <v>Downer Sydney Sustainable Road Resource Centre, RosehillAC20 R30</v>
      </c>
      <c r="C264" s="132" t="str">
        <v>tonne</v>
      </c>
      <c r="D264" s="198">
        <v>69.352870699999997</v>
      </c>
      <c r="E264" s="198">
        <v>6.9352870699999999E-2</v>
      </c>
      <c r="F264" s="198">
        <v>0</v>
      </c>
      <c r="G264" s="215">
        <v>0</v>
      </c>
      <c r="H264" s="131"/>
    </row>
    <row r="265" spans="1:8" x14ac:dyDescent="0.25">
      <c r="A265" s="133"/>
      <c r="B265" s="204" t="str">
        <v>Fulton Hogan Bushells RidgeDG07 AR450 R116</v>
      </c>
      <c r="C265" s="132" t="str">
        <v>tonne</v>
      </c>
      <c r="D265" s="198">
        <v>87.640128000000004</v>
      </c>
      <c r="E265" s="198">
        <v>8.7640127999999998E-2</v>
      </c>
      <c r="F265" s="198">
        <v>0</v>
      </c>
      <c r="G265" s="215">
        <v>0</v>
      </c>
      <c r="H265" s="131"/>
    </row>
    <row r="266" spans="1:8" x14ac:dyDescent="0.25">
      <c r="A266" s="133"/>
      <c r="B266" s="204" t="str">
        <v>Fulton Hogan Kembla GrangeEME2</v>
      </c>
      <c r="C266" s="132" t="str">
        <v>tonne</v>
      </c>
      <c r="D266" s="198">
        <v>70.948710000000005</v>
      </c>
      <c r="E266" s="198">
        <v>7.0948709999999998E-2</v>
      </c>
      <c r="F266" s="198">
        <v>0</v>
      </c>
      <c r="G266" s="215">
        <v>0</v>
      </c>
      <c r="H266" s="131"/>
    </row>
    <row r="267" spans="1:8" x14ac:dyDescent="0.25">
      <c r="A267" s="133"/>
      <c r="B267" s="204" t="str">
        <v>Downer Sydney Sustainable Road Resource Centre, RosehillAC28 R30</v>
      </c>
      <c r="C267" s="132" t="str">
        <v>tonne</v>
      </c>
      <c r="D267" s="198">
        <v>66.351762099999988</v>
      </c>
      <c r="E267" s="198">
        <v>6.6351762100000003E-2</v>
      </c>
      <c r="F267" s="198">
        <v>0</v>
      </c>
      <c r="G267" s="215">
        <v>0</v>
      </c>
      <c r="H267" s="131"/>
    </row>
    <row r="268" spans="1:8" x14ac:dyDescent="0.25">
      <c r="A268" s="133"/>
      <c r="B268" s="204" t="str">
        <v>Fulton Hogan DandenongSize 14, 20mm DGA Type SI 20% RAP ≤5% Glass</v>
      </c>
      <c r="C268" s="132" t="str">
        <v>tonne</v>
      </c>
      <c r="D268" s="198">
        <v>57.258157000000004</v>
      </c>
      <c r="E268" s="198">
        <v>5.7258156999999997E-2</v>
      </c>
      <c r="F268" s="198">
        <v>0</v>
      </c>
      <c r="G268" s="215">
        <v>0</v>
      </c>
      <c r="H268" s="131"/>
    </row>
    <row r="269" spans="1:8" x14ac:dyDescent="0.25">
      <c r="A269" s="133"/>
      <c r="B269" s="204" t="str">
        <v>Downer Hume Asphalt Manufacturing FacilityAC14 R20 HD</v>
      </c>
      <c r="C269" s="132" t="str">
        <v>tonne</v>
      </c>
      <c r="D269" s="198">
        <v>73.245671999999999</v>
      </c>
      <c r="E269" s="198">
        <v>7.3245671999999998E-2</v>
      </c>
      <c r="F269" s="198">
        <v>0</v>
      </c>
      <c r="G269" s="215">
        <v>0</v>
      </c>
      <c r="H269" s="131"/>
    </row>
    <row r="270" spans="1:8" x14ac:dyDescent="0.25">
      <c r="A270" s="133"/>
      <c r="B270" s="204" t="str">
        <v>Fulton Hogan Bushells RidgeGG10 AR450 AS2150 R10%</v>
      </c>
      <c r="C270" s="132" t="str">
        <v>tonne</v>
      </c>
      <c r="D270" s="198">
        <v>82.136022999999994</v>
      </c>
      <c r="E270" s="198">
        <v>8.2136023000000002E-2</v>
      </c>
      <c r="F270" s="198">
        <v>0</v>
      </c>
      <c r="G270" s="215">
        <v>0</v>
      </c>
      <c r="H270" s="131"/>
    </row>
    <row r="271" spans="1:8" x14ac:dyDescent="0.25">
      <c r="A271" s="133"/>
      <c r="B271" s="204" t="str">
        <v>Downer Bayswater Asphalt Manufacturing FacilityAC14 H N 302252</v>
      </c>
      <c r="C271" s="132" t="str">
        <v>tonne</v>
      </c>
      <c r="D271" s="198">
        <v>58.753772900000001</v>
      </c>
      <c r="E271" s="198">
        <v>5.8753772900000001E-2</v>
      </c>
      <c r="F271" s="198">
        <v>0</v>
      </c>
      <c r="G271" s="215">
        <v>0</v>
      </c>
      <c r="H271" s="131"/>
    </row>
    <row r="272" spans="1:8" x14ac:dyDescent="0.25">
      <c r="A272" s="133"/>
      <c r="B272" s="204" t="str">
        <v>Downer Bayswater Asphalt Manufacturing FacilityAC10 R19 H N 302151</v>
      </c>
      <c r="C272" s="132" t="str">
        <v>tonne</v>
      </c>
      <c r="D272" s="198">
        <v>58.953574499999995</v>
      </c>
      <c r="E272" s="198">
        <v>5.8953574500000001E-2</v>
      </c>
      <c r="F272" s="198">
        <v>0</v>
      </c>
      <c r="G272" s="215">
        <v>0</v>
      </c>
      <c r="H272" s="131"/>
    </row>
    <row r="273" spans="1:8" x14ac:dyDescent="0.25">
      <c r="A273" s="133"/>
      <c r="B273" s="204" t="str">
        <v>Fulton Hogan Kembla GrangeDG10 AR450 R116 R15%</v>
      </c>
      <c r="C273" s="132" t="str">
        <v>tonne</v>
      </c>
      <c r="D273" s="198">
        <v>71.942801000000003</v>
      </c>
      <c r="E273" s="198">
        <v>7.1942801000000015E-2</v>
      </c>
      <c r="F273" s="198">
        <v>0</v>
      </c>
      <c r="G273" s="215">
        <v>0</v>
      </c>
      <c r="H273" s="131"/>
    </row>
    <row r="274" spans="1:8" x14ac:dyDescent="0.25">
      <c r="A274" s="133"/>
      <c r="B274" s="204" t="str">
        <v>Downer Brisbane Sustainable Road Resource Centre, BrendaleEME14 R15</v>
      </c>
      <c r="C274" s="132" t="str">
        <v>tonne</v>
      </c>
      <c r="D274" s="198">
        <v>64.548196000000004</v>
      </c>
      <c r="E274" s="198">
        <v>6.4548196000000002E-2</v>
      </c>
      <c r="F274" s="198">
        <v>0</v>
      </c>
      <c r="G274" s="215">
        <v>0</v>
      </c>
      <c r="H274" s="131"/>
    </row>
    <row r="275" spans="1:8" x14ac:dyDescent="0.25">
      <c r="A275" s="133"/>
      <c r="B275" s="204" t="str">
        <v>Downer Brisbane Sustainable Road Resource Centre, BrendaleAC14 R15</v>
      </c>
      <c r="C275" s="132" t="str">
        <v>tonne</v>
      </c>
      <c r="D275" s="198">
        <v>66.845784399999999</v>
      </c>
      <c r="E275" s="198">
        <v>6.6845784399999997E-2</v>
      </c>
      <c r="F275" s="198">
        <v>0</v>
      </c>
      <c r="G275" s="215">
        <v>0</v>
      </c>
      <c r="H275" s="131"/>
    </row>
    <row r="276" spans="1:8" x14ac:dyDescent="0.25">
      <c r="A276" s="133"/>
      <c r="B276" s="204" t="str">
        <v>Downer Somerton Asphalt Manufacturing FacilityAC20 C600 SS 303316</v>
      </c>
      <c r="C276" s="132" t="str">
        <v>tonne</v>
      </c>
      <c r="D276" s="198">
        <v>56.4538808</v>
      </c>
      <c r="E276" s="198">
        <v>5.6453880800000002E-2</v>
      </c>
      <c r="F276" s="198">
        <v>0</v>
      </c>
      <c r="G276" s="215">
        <v>0</v>
      </c>
      <c r="H276" s="131"/>
    </row>
    <row r="277" spans="1:8" x14ac:dyDescent="0.25">
      <c r="A277" s="133"/>
      <c r="B277" s="204" t="str">
        <v>Fulton Hogan Bushells RidgeDG10 AR450 R116 R10%</v>
      </c>
      <c r="C277" s="132" t="str">
        <v>tonne</v>
      </c>
      <c r="D277" s="198">
        <v>79.234808999999998</v>
      </c>
      <c r="E277" s="198">
        <v>7.9234809000000003E-2</v>
      </c>
      <c r="F277" s="198">
        <v>0</v>
      </c>
      <c r="G277" s="215">
        <v>0</v>
      </c>
      <c r="H277" s="131"/>
    </row>
    <row r="278" spans="1:8" x14ac:dyDescent="0.25">
      <c r="A278" s="133"/>
      <c r="B278" s="204" t="str">
        <v>Fulton Hogan Kembla GrangeDG14 AR450 R116 SLAG</v>
      </c>
      <c r="C278" s="132" t="str">
        <v>tonne</v>
      </c>
      <c r="D278" s="198">
        <v>73.639302999999984</v>
      </c>
      <c r="E278" s="198">
        <v>7.3639303000000003E-2</v>
      </c>
      <c r="F278" s="198">
        <v>0</v>
      </c>
      <c r="G278" s="215">
        <v>0</v>
      </c>
      <c r="H278" s="131"/>
    </row>
    <row r="279" spans="1:8" x14ac:dyDescent="0.25">
      <c r="A279" s="133"/>
      <c r="B279" s="204" t="str">
        <v>Downer Somerton Asphalt Manufacturing FacilityAC14 R19 N H 303252</v>
      </c>
      <c r="C279" s="132" t="str">
        <v>tonne</v>
      </c>
      <c r="D279" s="198">
        <v>60.347870399999998</v>
      </c>
      <c r="E279" s="198">
        <v>6.0347870400000003E-2</v>
      </c>
      <c r="F279" s="198">
        <v>0</v>
      </c>
      <c r="G279" s="215">
        <v>0</v>
      </c>
      <c r="H279" s="131"/>
    </row>
    <row r="280" spans="1:8" x14ac:dyDescent="0.25">
      <c r="A280" s="133"/>
      <c r="B280" s="204" t="str">
        <v>Downer Mowbray Asphalt Manufacturing FacilityAC14 PSV 54 Type H</v>
      </c>
      <c r="C280" s="132" t="str">
        <v>tonne</v>
      </c>
      <c r="D280" s="198">
        <v>61.746089900000001</v>
      </c>
      <c r="E280" s="198">
        <v>6.1746089900000002E-2</v>
      </c>
      <c r="F280" s="198">
        <v>0</v>
      </c>
      <c r="G280" s="215">
        <v>0</v>
      </c>
      <c r="H280" s="131"/>
    </row>
    <row r="281" spans="1:8" x14ac:dyDescent="0.25">
      <c r="A281" s="133"/>
      <c r="B281" s="204" t="str">
        <v>Downer Mowbray Asphalt Manufacturing FacilityAC14 PSV54 Type N</v>
      </c>
      <c r="C281" s="132" t="str">
        <v>tonne</v>
      </c>
      <c r="D281" s="198">
        <v>61.746089900000001</v>
      </c>
      <c r="E281" s="198">
        <v>6.1746089900000002E-2</v>
      </c>
      <c r="F281" s="198">
        <v>0</v>
      </c>
      <c r="G281" s="215">
        <v>0</v>
      </c>
      <c r="H281" s="131"/>
    </row>
    <row r="282" spans="1:8" x14ac:dyDescent="0.25">
      <c r="A282" s="133"/>
      <c r="B282" s="204" t="str">
        <v>Downer Bayswater Asphalt Manufacturing FacilityAC20 R37 SF 302324</v>
      </c>
      <c r="C282" s="132" t="str">
        <v>tonne</v>
      </c>
      <c r="D282" s="198">
        <v>54.749170300000003</v>
      </c>
      <c r="E282" s="198">
        <v>5.4749170300000011E-2</v>
      </c>
      <c r="F282" s="198">
        <v>0</v>
      </c>
      <c r="G282" s="215">
        <v>0</v>
      </c>
      <c r="H282" s="131"/>
    </row>
    <row r="283" spans="1:8" x14ac:dyDescent="0.25">
      <c r="A283" s="133"/>
      <c r="B283" s="204" t="str">
        <v>Fulton Hogan Kembla GrangeDG10 AR450 AS2150 R15%</v>
      </c>
      <c r="C283" s="132" t="str">
        <v>tonne</v>
      </c>
      <c r="D283" s="198">
        <v>61.342000999999996</v>
      </c>
      <c r="E283" s="198">
        <v>6.1342001E-2</v>
      </c>
      <c r="F283" s="198">
        <v>0</v>
      </c>
      <c r="G283" s="215">
        <v>0</v>
      </c>
      <c r="H283" s="131"/>
    </row>
    <row r="284" spans="1:8" x14ac:dyDescent="0.25">
      <c r="A284" s="133"/>
      <c r="B284" s="204" t="str">
        <v>Fulton Hogan Kembla GrangeDG28 AR450 R116 R25%</v>
      </c>
      <c r="C284" s="132" t="str">
        <v>tonne</v>
      </c>
      <c r="D284" s="198">
        <v>64.537068300000001</v>
      </c>
      <c r="E284" s="198">
        <v>6.45370683E-2</v>
      </c>
      <c r="F284" s="198">
        <v>0</v>
      </c>
      <c r="G284" s="215">
        <v>0</v>
      </c>
      <c r="H284" s="131"/>
    </row>
    <row r="285" spans="1:8" x14ac:dyDescent="0.25">
      <c r="A285" s="133"/>
      <c r="B285" s="204" t="str">
        <v>Downer Brisbane Sustainable Road Resource Centre, BrendaleAC14 R20 BCC</v>
      </c>
      <c r="C285" s="132" t="str">
        <v>tonne</v>
      </c>
      <c r="D285" s="198">
        <v>57.941580099999996</v>
      </c>
      <c r="E285" s="198">
        <v>5.7941580100000001E-2</v>
      </c>
      <c r="F285" s="198">
        <v>0</v>
      </c>
      <c r="G285" s="215">
        <v>0</v>
      </c>
      <c r="H285" s="131"/>
    </row>
    <row r="286" spans="1:8" x14ac:dyDescent="0.25">
      <c r="A286" s="133"/>
      <c r="B286" s="204" t="str">
        <v>Fulton Hogan Kembla GrangeDG14 AR450 AS2150 R20%</v>
      </c>
      <c r="C286" s="132" t="str">
        <v>tonne</v>
      </c>
      <c r="D286" s="198">
        <v>57.9392864</v>
      </c>
      <c r="E286" s="198">
        <v>5.7939286400000005E-2</v>
      </c>
      <c r="F286" s="198">
        <v>0</v>
      </c>
      <c r="G286" s="215">
        <v>0</v>
      </c>
      <c r="H286" s="131"/>
    </row>
    <row r="287" spans="1:8" x14ac:dyDescent="0.25">
      <c r="A287" s="133"/>
      <c r="B287" s="204" t="str">
        <v>Downer Adelaide Sustainable Road Resource Centre, WingfieldAC10 R50 Reconophalt Fine</v>
      </c>
      <c r="C287" s="132" t="str">
        <v>tonne</v>
      </c>
      <c r="D287" s="198">
        <v>53.543171400000006</v>
      </c>
      <c r="E287" s="198">
        <v>5.3543171399999999E-2</v>
      </c>
      <c r="F287" s="198">
        <v>0</v>
      </c>
      <c r="G287" s="215">
        <v>0</v>
      </c>
      <c r="H287" s="131"/>
    </row>
    <row r="288" spans="1:8" x14ac:dyDescent="0.25">
      <c r="A288" s="133"/>
      <c r="B288" s="204" t="str">
        <v>Fulton Hogan LaraSize 7, 10mm DGA Type L</v>
      </c>
      <c r="C288" s="132" t="str">
        <v>tonne</v>
      </c>
      <c r="D288" s="198">
        <v>64.628970999999993</v>
      </c>
      <c r="E288" s="198">
        <v>6.462897099999998E-2</v>
      </c>
      <c r="F288" s="198">
        <v>0</v>
      </c>
      <c r="G288" s="215">
        <v>0</v>
      </c>
      <c r="H288" s="131"/>
    </row>
    <row r="289" spans="1:8" x14ac:dyDescent="0.25">
      <c r="A289" s="133"/>
      <c r="B289" s="204" t="str">
        <v>Fulton Hogan LaraSize 7, 10, 14mm DGA Type N</v>
      </c>
      <c r="C289" s="132" t="str">
        <v>tonne</v>
      </c>
      <c r="D289" s="198">
        <v>62.328158999999992</v>
      </c>
      <c r="E289" s="198">
        <v>6.2328158999999994E-2</v>
      </c>
      <c r="F289" s="198">
        <v>0</v>
      </c>
      <c r="G289" s="215">
        <v>0</v>
      </c>
      <c r="H289" s="131"/>
    </row>
    <row r="290" spans="1:8" x14ac:dyDescent="0.25">
      <c r="A290" s="133"/>
      <c r="B290" s="204" t="str">
        <v>Downer Lindisfarne Asphalt Manufacturing FacilityAC10 R10 Reconophalt</v>
      </c>
      <c r="C290" s="132" t="str">
        <v>tonne</v>
      </c>
      <c r="D290" s="198">
        <v>63.825209999999998</v>
      </c>
      <c r="E290" s="198">
        <v>6.3825210000000007E-2</v>
      </c>
      <c r="F290" s="198">
        <v>0</v>
      </c>
      <c r="G290" s="215">
        <v>0</v>
      </c>
      <c r="H290" s="131"/>
    </row>
    <row r="291" spans="1:8" x14ac:dyDescent="0.25">
      <c r="A291" s="133"/>
      <c r="B291" s="204" t="str">
        <v>Downer Somerton Asphalt Manufacturing FacilityAC20 R29 SI 303313</v>
      </c>
      <c r="C291" s="132" t="str">
        <v>tonne</v>
      </c>
      <c r="D291" s="198">
        <v>49.041158899999999</v>
      </c>
      <c r="E291" s="198">
        <v>4.9041158900000006E-2</v>
      </c>
      <c r="F291" s="198">
        <v>0</v>
      </c>
      <c r="G291" s="215">
        <v>0</v>
      </c>
      <c r="H291" s="131"/>
    </row>
    <row r="292" spans="1:8" x14ac:dyDescent="0.25">
      <c r="A292" s="133"/>
      <c r="B292" s="204" t="str">
        <v>Fulton Hogan LaraSize 10mm DGA Type L 10% RAP</v>
      </c>
      <c r="C292" s="132" t="str">
        <v>tonne</v>
      </c>
      <c r="D292" s="198">
        <v>60.127633000000003</v>
      </c>
      <c r="E292" s="198">
        <v>6.0127633E-2</v>
      </c>
      <c r="F292" s="198">
        <v>0</v>
      </c>
      <c r="G292" s="215">
        <v>0</v>
      </c>
      <c r="H292" s="131"/>
    </row>
    <row r="293" spans="1:8" x14ac:dyDescent="0.25">
      <c r="A293" s="133"/>
      <c r="B293" s="204" t="str">
        <v>Fulton Hogan DandenongSize 14, 20mm DGA Type SI</v>
      </c>
      <c r="C293" s="132" t="str">
        <v>tonne</v>
      </c>
      <c r="D293" s="198">
        <v>63.819096999999999</v>
      </c>
      <c r="E293" s="198">
        <v>6.3819096999999991E-2</v>
      </c>
      <c r="F293" s="198">
        <v>0</v>
      </c>
      <c r="G293" s="215">
        <v>0</v>
      </c>
      <c r="H293" s="131"/>
    </row>
    <row r="294" spans="1:8" x14ac:dyDescent="0.25">
      <c r="A294" s="133"/>
      <c r="B294" s="204" t="str">
        <v>Fulton Hogan DandenongSize 10mm DGA Type H 10-20% RAP</v>
      </c>
      <c r="C294" s="132" t="str">
        <v>tonne</v>
      </c>
      <c r="D294" s="198">
        <v>63.418875</v>
      </c>
      <c r="E294" s="198">
        <v>6.3418875E-2</v>
      </c>
      <c r="F294" s="198">
        <v>0</v>
      </c>
      <c r="G294" s="215">
        <v>0</v>
      </c>
      <c r="H294" s="131"/>
    </row>
    <row r="295" spans="1:8" x14ac:dyDescent="0.25">
      <c r="A295" s="133"/>
      <c r="B295" s="204" t="str">
        <v>Fulton Hogan DandenongDoT - Section 405 Regulation Gap Graded Asphalt (RGG)</v>
      </c>
      <c r="C295" s="132" t="str">
        <v>tonne</v>
      </c>
      <c r="D295" s="198">
        <v>60.720917999999998</v>
      </c>
      <c r="E295" s="198">
        <v>6.0720918000000006E-2</v>
      </c>
      <c r="F295" s="198">
        <v>0</v>
      </c>
      <c r="G295" s="215">
        <v>0</v>
      </c>
      <c r="H295" s="131"/>
    </row>
    <row r="296" spans="1:8" x14ac:dyDescent="0.25">
      <c r="A296" s="133"/>
      <c r="B296" s="204" t="str">
        <v>Fulton Hogan Kembla GrangeDG20 AR450 R116 R20% G≤10%*</v>
      </c>
      <c r="C296" s="132" t="str">
        <v>tonne</v>
      </c>
      <c r="D296" s="198">
        <v>68.109087000000002</v>
      </c>
      <c r="E296" s="198">
        <v>6.8109086999999999E-2</v>
      </c>
      <c r="F296" s="198">
        <v>0</v>
      </c>
      <c r="G296" s="215">
        <v>0</v>
      </c>
      <c r="H296" s="131"/>
    </row>
    <row r="297" spans="1:8" x14ac:dyDescent="0.25">
      <c r="A297" s="133"/>
      <c r="B297" s="204" t="str">
        <v>Downer Sydney Sustainable Road Resource Centre, RosehillAC20 R30 G10</v>
      </c>
      <c r="C297" s="132" t="str">
        <v>tonne</v>
      </c>
      <c r="D297" s="198">
        <v>69.162390000000002</v>
      </c>
      <c r="E297" s="198">
        <v>6.9162390000000004E-2</v>
      </c>
      <c r="F297" s="198">
        <v>0</v>
      </c>
      <c r="G297" s="215">
        <v>0</v>
      </c>
      <c r="H297" s="131"/>
    </row>
    <row r="298" spans="1:8" x14ac:dyDescent="0.25">
      <c r="A298" s="133"/>
      <c r="B298" s="204" t="str">
        <v>Fulton Hogan Eastern CreekDG10 A15E R116 R10%</v>
      </c>
      <c r="C298" s="132" t="str">
        <v>tonne</v>
      </c>
      <c r="D298" s="198">
        <v>100.095097</v>
      </c>
      <c r="E298" s="198">
        <v>0.10009509699999999</v>
      </c>
      <c r="F298" s="198">
        <v>0</v>
      </c>
      <c r="G298" s="215">
        <v>0</v>
      </c>
      <c r="H298" s="131"/>
    </row>
    <row r="299" spans="1:8" x14ac:dyDescent="0.25">
      <c r="A299" s="133"/>
      <c r="B299" s="204" t="str">
        <v>Asphalt, , 1MG1075 MRWA 10MM 75B C320 asphalt (BGC (Australia) Pty Ltd) (Australia)</v>
      </c>
      <c r="C299" s="132" t="str">
        <v>tonne</v>
      </c>
      <c r="D299" s="198">
        <v>72.420513042799996</v>
      </c>
      <c r="E299" s="198">
        <v>7.2420513042799992E-2</v>
      </c>
      <c r="F299" s="198">
        <v>0</v>
      </c>
      <c r="G299" s="215">
        <v>0</v>
      </c>
      <c r="H299" s="131"/>
    </row>
    <row r="300" spans="1:8" x14ac:dyDescent="0.25">
      <c r="A300" s="133"/>
      <c r="B300" s="204" t="str">
        <v>Asphalt, , 1MG1475 MRWA 14MM 75B INTERSECTION  C320 asphalt (BGC (Australia) Pty Ltd) (Australia)</v>
      </c>
      <c r="C300" s="132" t="str">
        <v>tonne</v>
      </c>
      <c r="D300" s="198">
        <v>70.278747953299998</v>
      </c>
      <c r="E300" s="198">
        <v>7.0278747953299997E-2</v>
      </c>
      <c r="F300" s="198">
        <v>0</v>
      </c>
      <c r="G300" s="215">
        <v>0</v>
      </c>
      <c r="H300" s="131"/>
    </row>
    <row r="301" spans="1:8" x14ac:dyDescent="0.25">
      <c r="A301" s="133"/>
      <c r="B301" s="204" t="str">
        <v>Asphalt, , 1MIG1475 MRWA INTERMEDIATE 14MM 75B  C320 asphalt (BGC (Australia) Pty Ltd) (Australia)</v>
      </c>
      <c r="C301" s="132" t="str">
        <v>tonne</v>
      </c>
      <c r="D301" s="198">
        <v>70.149214083499999</v>
      </c>
      <c r="E301" s="198">
        <v>7.01492140835E-2</v>
      </c>
      <c r="F301" s="198">
        <v>0</v>
      </c>
      <c r="G301" s="215">
        <v>0</v>
      </c>
      <c r="H301" s="131"/>
    </row>
    <row r="302" spans="1:8" x14ac:dyDescent="0.25">
      <c r="A302" s="133"/>
      <c r="B302" s="204" t="str">
        <v>Asphalt, , 1L750X10 LAT 7MM 50B 1% OXIDE asphalt (BGC (Australia) Pty Ltd) (Australia)</v>
      </c>
      <c r="C302" s="132" t="str">
        <v>tonne</v>
      </c>
      <c r="D302" s="198">
        <v>76.118688277140009</v>
      </c>
      <c r="E302" s="198">
        <v>7.6118688277140009E-2</v>
      </c>
      <c r="F302" s="198">
        <v>0</v>
      </c>
      <c r="G302" s="215">
        <v>0</v>
      </c>
      <c r="H302" s="131"/>
    </row>
    <row r="303" spans="1:8" x14ac:dyDescent="0.25">
      <c r="A303" s="133"/>
      <c r="B303" s="204" t="str">
        <v>Asphalt, , 4MIG2075B MRWA INTERMEDIATE 20MM 75B  10% RAP C600 asphalt (BGC (Australia) Pty Ltd) (Australia)</v>
      </c>
      <c r="C303" s="132" t="str">
        <v>tonne</v>
      </c>
      <c r="D303" s="198">
        <v>68.820549006100009</v>
      </c>
      <c r="E303" s="198">
        <v>6.882054900609999E-2</v>
      </c>
      <c r="F303" s="198">
        <v>0</v>
      </c>
      <c r="G303" s="215">
        <v>0</v>
      </c>
      <c r="H303" s="131"/>
    </row>
    <row r="304" spans="1:8" x14ac:dyDescent="0.25">
      <c r="A304" s="133"/>
      <c r="B304" s="204" t="str">
        <v>Asphalt, , 11G750 GRAN 7MM 50B asphalt (BGC (Australia) Pty Ltd) (Australia)</v>
      </c>
      <c r="C304" s="132" t="str">
        <v>tonne</v>
      </c>
      <c r="D304" s="198">
        <v>60.939167689389997</v>
      </c>
      <c r="E304" s="198">
        <v>6.0939167689390006E-2</v>
      </c>
      <c r="F304" s="198">
        <v>0</v>
      </c>
      <c r="G304" s="215">
        <v>0</v>
      </c>
      <c r="H304" s="131"/>
    </row>
    <row r="305" spans="1:8" x14ac:dyDescent="0.25">
      <c r="A305" s="133"/>
      <c r="B305" s="204" t="str">
        <v>Asphalt, , 7MIG2075D MRWA INTERMEDIATE 20MM 75B  20% RAP C450 asphalt (BGC (Australia) Pty Ltd) (Australia)</v>
      </c>
      <c r="C305" s="132" t="str">
        <v>tonne</v>
      </c>
      <c r="D305" s="198">
        <v>65.880571580099996</v>
      </c>
      <c r="E305" s="198">
        <v>6.5880571580099995E-2</v>
      </c>
      <c r="F305" s="198">
        <v>0</v>
      </c>
      <c r="G305" s="215">
        <v>0</v>
      </c>
      <c r="H305" s="131"/>
    </row>
    <row r="306" spans="1:8" x14ac:dyDescent="0.25">
      <c r="A306" s="133"/>
      <c r="B306" s="204" t="str">
        <v>Asphalt, , 1G735 GRAN 7MM 35B asphalt (BGC (Australia) Pty Ltd) (Australia)</v>
      </c>
      <c r="C306" s="132" t="str">
        <v>tonne</v>
      </c>
      <c r="D306" s="198">
        <v>59.672644885659999</v>
      </c>
      <c r="E306" s="198">
        <v>5.9672644885659994E-2</v>
      </c>
      <c r="F306" s="198">
        <v>0</v>
      </c>
      <c r="G306" s="215">
        <v>0</v>
      </c>
      <c r="H306" s="131"/>
    </row>
    <row r="307" spans="1:8" x14ac:dyDescent="0.25">
      <c r="A307" s="133"/>
      <c r="B307" s="204" t="str">
        <v>Asphalt, , 1G1050 GRAN 10MM 50B asphalt (BGC (Australia) Pty Ltd) (Australia)</v>
      </c>
      <c r="C307" s="132" t="str">
        <v>tonne</v>
      </c>
      <c r="D307" s="198">
        <v>57.450557581149994</v>
      </c>
      <c r="E307" s="198">
        <v>5.7450557581150002E-2</v>
      </c>
      <c r="F307" s="198">
        <v>0</v>
      </c>
      <c r="G307" s="215">
        <v>0</v>
      </c>
      <c r="H307" s="131"/>
    </row>
    <row r="308" spans="1:8" x14ac:dyDescent="0.25">
      <c r="A308" s="133"/>
      <c r="B308" s="204" t="str">
        <v>Asphalt, , 1G1450 GRAN 14MM 50B asphalt (BGC (Australia) Pty Ltd) (Australia)</v>
      </c>
      <c r="C308" s="132" t="str">
        <v>tonne</v>
      </c>
      <c r="D308" s="198">
        <v>56.612387394320002</v>
      </c>
      <c r="E308" s="198">
        <v>5.6612387394320007E-2</v>
      </c>
      <c r="F308" s="198">
        <v>0</v>
      </c>
      <c r="G308" s="215">
        <v>0</v>
      </c>
      <c r="H308" s="131"/>
    </row>
    <row r="309" spans="1:8" x14ac:dyDescent="0.25">
      <c r="A309" s="133"/>
      <c r="B309" s="204" t="str">
        <v>Asphalt, , 1G1075 GRAN 10MM 75B asphalt (BGC (Australia) Pty Ltd) (Australia)</v>
      </c>
      <c r="C309" s="132" t="str">
        <v>tonne</v>
      </c>
      <c r="D309" s="198">
        <v>56.698889626290004</v>
      </c>
      <c r="E309" s="198">
        <v>5.6698889626289994E-2</v>
      </c>
      <c r="F309" s="198">
        <v>0</v>
      </c>
      <c r="G309" s="215">
        <v>0</v>
      </c>
      <c r="H309" s="131"/>
    </row>
    <row r="310" spans="1:8" x14ac:dyDescent="0.25">
      <c r="A310" s="133"/>
      <c r="B310" s="204" t="str">
        <v>Asphalt, , 1G1050B GRAN 10MM 50B 10% RAP asphalt (BGC (Australia) Pty Ltd) (Australia)</v>
      </c>
      <c r="C310" s="132" t="str">
        <v>tonne</v>
      </c>
      <c r="D310" s="198">
        <v>55.157713608419996</v>
      </c>
      <c r="E310" s="198">
        <v>5.5157713608419999E-2</v>
      </c>
      <c r="F310" s="198">
        <v>0</v>
      </c>
      <c r="G310" s="215">
        <v>0</v>
      </c>
      <c r="H310" s="131"/>
    </row>
    <row r="311" spans="1:8" x14ac:dyDescent="0.25">
      <c r="A311" s="133"/>
      <c r="B311" s="204" t="str">
        <v>Asphalt, , 1G1475 GRAN 14MM 75B asphalt (BGC (Australia) Pty Ltd) (Australia)</v>
      </c>
      <c r="C311" s="132" t="str">
        <v>tonne</v>
      </c>
      <c r="D311" s="198">
        <v>54.147306968830001</v>
      </c>
      <c r="E311" s="198">
        <v>5.4147306968829995E-2</v>
      </c>
      <c r="F311" s="198">
        <v>0</v>
      </c>
      <c r="G311" s="215">
        <v>0</v>
      </c>
      <c r="H311" s="131"/>
    </row>
    <row r="312" spans="1:8" x14ac:dyDescent="0.25">
      <c r="A312" s="133"/>
      <c r="B312" s="204" t="str">
        <v>Asphalt, , 1G1075B GRAN 10MM 75B 10% RAP asphalt (BGC (Australia) Pty Ltd) (Australia)</v>
      </c>
      <c r="C312" s="132" t="str">
        <v>tonne</v>
      </c>
      <c r="D312" s="198">
        <v>54.436938736549997</v>
      </c>
      <c r="E312" s="198">
        <v>5.4436938736549999E-2</v>
      </c>
      <c r="F312" s="198">
        <v>0</v>
      </c>
      <c r="G312" s="215">
        <v>0</v>
      </c>
      <c r="H312" s="131"/>
    </row>
    <row r="313" spans="1:8" x14ac:dyDescent="0.25">
      <c r="A313" s="133"/>
      <c r="B313" s="204" t="str">
        <v>Asphalt, , 1G1050D GRAN 10MM 50B 20% RAP asphalt (BGC (Australia) Pty Ltd) (Australia)</v>
      </c>
      <c r="C313" s="132" t="str">
        <v>tonne</v>
      </c>
      <c r="D313" s="198">
        <v>54.230251705390003</v>
      </c>
      <c r="E313" s="198">
        <v>5.4230251705390004E-2</v>
      </c>
      <c r="F313" s="198">
        <v>0</v>
      </c>
      <c r="G313" s="215">
        <v>0</v>
      </c>
      <c r="H313" s="131"/>
    </row>
    <row r="314" spans="1:8" x14ac:dyDescent="0.25">
      <c r="A314" s="133"/>
      <c r="B314" s="204" t="str">
        <v>Asphalt, , 1G1450B GRAN 14MM 50B 10% RAP asphalt (BGC (Australia) Pty Ltd) (Australia)</v>
      </c>
      <c r="C314" s="132" t="str">
        <v>tonne</v>
      </c>
      <c r="D314" s="198">
        <v>52.392955967949995</v>
      </c>
      <c r="E314" s="198">
        <v>5.2392955967949996E-2</v>
      </c>
      <c r="F314" s="198">
        <v>0</v>
      </c>
      <c r="G314" s="215">
        <v>0</v>
      </c>
      <c r="H314" s="131"/>
    </row>
    <row r="315" spans="1:8" x14ac:dyDescent="0.25">
      <c r="A315" s="133"/>
      <c r="B315" s="204" t="str">
        <v>Asphalt, , 1G1475B GRAN 14MM 75B 10% RAP asphalt (BGC (Australia) Pty Ltd) (Australia)</v>
      </c>
      <c r="C315" s="132" t="str">
        <v>tonne</v>
      </c>
      <c r="D315" s="198">
        <v>53.127164816840001</v>
      </c>
      <c r="E315" s="198">
        <v>5.3127164816839996E-2</v>
      </c>
      <c r="F315" s="198">
        <v>0</v>
      </c>
      <c r="G315" s="215">
        <v>0</v>
      </c>
      <c r="H315" s="131"/>
    </row>
    <row r="316" spans="1:8" x14ac:dyDescent="0.25">
      <c r="A316" s="133"/>
      <c r="B316" s="204" t="str">
        <v>Asphalt, , 1G1450D GRAN 14MM 50B 20% RAP asphalt (BGC (Australia) Pty Ltd) (Australia)</v>
      </c>
      <c r="C316" s="132" t="str">
        <v>tonne</v>
      </c>
      <c r="D316" s="198">
        <v>51.934020201910002</v>
      </c>
      <c r="E316" s="198">
        <v>5.1934020201909993E-2</v>
      </c>
      <c r="F316" s="198">
        <v>0</v>
      </c>
      <c r="G316" s="215">
        <v>0</v>
      </c>
      <c r="H316" s="131"/>
    </row>
    <row r="317" spans="1:8" x14ac:dyDescent="0.25">
      <c r="A317" s="133"/>
      <c r="B317" s="204" t="str">
        <v>Asphalt, , 1G1475D GRAN 14MM 75B 20% RAP asphalt (BGC (Australia) Pty Ltd) (Australia)</v>
      </c>
      <c r="C317" s="132" t="str">
        <v>tonne</v>
      </c>
      <c r="D317" s="198">
        <v>51.635418930949996</v>
      </c>
      <c r="E317" s="198">
        <v>5.1635418930949993E-2</v>
      </c>
      <c r="F317" s="198">
        <v>0</v>
      </c>
      <c r="G317" s="215">
        <v>0</v>
      </c>
      <c r="H317" s="131"/>
    </row>
    <row r="318" spans="1:8" x14ac:dyDescent="0.25">
      <c r="A318" s="133"/>
      <c r="B318" s="204" t="str">
        <v>Asphalt, , BITUMATE (ResourceCo) (Australia)</v>
      </c>
      <c r="C318" s="132" t="str">
        <v>tonne</v>
      </c>
      <c r="D318" s="198">
        <v>5.832650000000001</v>
      </c>
      <c r="E318" s="198">
        <v>5.8326500000000009E-3</v>
      </c>
      <c r="F318" s="198">
        <v>0</v>
      </c>
      <c r="G318" s="215">
        <v>0</v>
      </c>
      <c r="H318" s="131"/>
    </row>
    <row r="319" spans="1:8" x14ac:dyDescent="0.25">
      <c r="A319" s="133"/>
      <c r="B319" s="217" t="str">
        <v>Asphalt, , 1SMAG750 SMA GRAN 7MM 50 asphalt (BGC (Australia) Pty Ltd) (Australia)</v>
      </c>
      <c r="C319" s="218" t="str">
        <v>tonne</v>
      </c>
      <c r="D319" s="219">
        <v>62.162226508309999</v>
      </c>
      <c r="E319" s="219">
        <v>6.2162226508310006E-2</v>
      </c>
      <c r="F319" s="219">
        <v>0</v>
      </c>
      <c r="G319" s="220">
        <v>0</v>
      </c>
      <c r="H319" s="131"/>
    </row>
    <row r="320" spans="1:8" x14ac:dyDescent="0.25">
      <c r="B320" s="130"/>
      <c r="C320" s="130"/>
      <c r="D320" s="207"/>
      <c r="E320" s="207"/>
      <c r="F320" s="207"/>
      <c r="G320" s="207"/>
    </row>
  </sheetData>
  <dataValidations count="1">
    <dataValidation type="list" allowBlank="1" showInputMessage="1" showErrorMessage="1" sqref="B6:B9" xr:uid="{E156BADA-A95F-4F8F-87FA-90C3B6F5BE5D}">
      <formula1>"Tier 1,Tier 2,Tier 3,Tier 4"</formula1>
    </dataValidation>
  </dataValidation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0278C-A5FA-4C2C-9FFB-42D705DDE3BA}">
  <sheetPr codeName="Sheet114">
    <tabColor rgb="FF00CCFF"/>
  </sheetPr>
  <dimension ref="A1:AD39"/>
  <sheetViews>
    <sheetView zoomScale="80" zoomScaleNormal="80" workbookViewId="0"/>
  </sheetViews>
  <sheetFormatPr defaultColWidth="9.1796875" defaultRowHeight="12.5" x14ac:dyDescent="0.25"/>
  <cols>
    <col min="1" max="1" width="29.1796875" style="132" bestFit="1" customWidth="1"/>
    <col min="2" max="2" width="95.7265625" style="132" customWidth="1"/>
    <col min="3" max="3" width="17.81640625" style="132" bestFit="1" customWidth="1"/>
    <col min="4" max="4" width="26.453125" style="132" bestFit="1" customWidth="1"/>
    <col min="5" max="5" width="25.1796875" style="132" bestFit="1" customWidth="1"/>
    <col min="6" max="6" width="23.7265625" style="132" bestFit="1" customWidth="1"/>
    <col min="7" max="7" width="22.26953125" style="132" bestFit="1" customWidth="1"/>
    <col min="8" max="9" width="9.1796875" style="132" customWidth="1"/>
    <col min="10" max="10" width="34.81640625" style="132" bestFit="1" customWidth="1"/>
    <col min="11" max="11" width="9.1796875" style="132" customWidth="1"/>
    <col min="12" max="12" width="89.54296875" style="132" bestFit="1" customWidth="1"/>
    <col min="13" max="13" width="9.1796875" style="132" customWidth="1"/>
    <col min="14" max="14" width="22.453125" style="132" bestFit="1" customWidth="1"/>
    <col min="15" max="15" width="17.81640625" style="132" bestFit="1" customWidth="1"/>
    <col min="16" max="16" width="8.81640625" style="132" bestFit="1" customWidth="1"/>
    <col min="17" max="17" width="10.81640625" style="132" bestFit="1" customWidth="1"/>
    <col min="18" max="18" width="8.7265625" style="132" bestFit="1" customWidth="1"/>
    <col min="19" max="19" width="11.26953125" style="132" bestFit="1" customWidth="1"/>
    <col min="20" max="20" width="15.81640625" style="132" bestFit="1" customWidth="1"/>
    <col min="21" max="21" width="8.81640625" style="132" bestFit="1" customWidth="1"/>
    <col min="22" max="22" width="10.81640625" style="132" bestFit="1" customWidth="1"/>
    <col min="23" max="23" width="8.7265625" style="132" bestFit="1" customWidth="1"/>
    <col min="24" max="24" width="11.26953125" style="132" bestFit="1" customWidth="1"/>
    <col min="25" max="25" width="15.81640625" style="132" bestFit="1" customWidth="1"/>
    <col min="26" max="26" width="8.81640625" style="132" bestFit="1" customWidth="1"/>
    <col min="27" max="27" width="10.81640625" style="132" bestFit="1" customWidth="1"/>
    <col min="28" max="28" width="8.7265625" style="132" bestFit="1" customWidth="1"/>
    <col min="29" max="29" width="11.26953125" style="132" bestFit="1" customWidth="1"/>
    <col min="30" max="30" width="15.81640625" style="132" bestFit="1" customWidth="1"/>
    <col min="31" max="16384" width="9.1796875" style="132"/>
  </cols>
  <sheetData>
    <row r="1" spans="1:30" ht="13" x14ac:dyDescent="0.25">
      <c r="A1" s="202" t="str">
        <f>B16</f>
        <v>Mechanical, electrical, plumbing services</v>
      </c>
    </row>
    <row r="3" spans="1:30" ht="13" x14ac:dyDescent="0.25">
      <c r="A3" s="277" t="s">
        <v>5626</v>
      </c>
      <c r="B3" s="75" t="s">
        <v>5706</v>
      </c>
    </row>
    <row r="5" spans="1:30" ht="199.5" customHeight="1" x14ac:dyDescent="0.25">
      <c r="A5" s="277" t="s">
        <v>5628</v>
      </c>
      <c r="B5" s="232" t="s">
        <v>5707</v>
      </c>
    </row>
    <row r="6" spans="1:30" ht="13" x14ac:dyDescent="0.25">
      <c r="A6" s="277" t="s">
        <v>5708</v>
      </c>
      <c r="B6" s="75" t="s">
        <v>75</v>
      </c>
    </row>
    <row r="7" spans="1:30" ht="13" x14ac:dyDescent="0.25">
      <c r="A7" s="277" t="s">
        <v>5709</v>
      </c>
      <c r="B7" s="75" t="s">
        <v>75</v>
      </c>
    </row>
    <row r="8" spans="1:30" ht="13" x14ac:dyDescent="0.25">
      <c r="A8" s="277" t="s">
        <v>5710</v>
      </c>
      <c r="B8" s="75" t="s">
        <v>75</v>
      </c>
    </row>
    <row r="9" spans="1:30" ht="13" x14ac:dyDescent="0.25">
      <c r="A9" s="277" t="s">
        <v>5711</v>
      </c>
      <c r="B9" s="75" t="s">
        <v>75</v>
      </c>
    </row>
    <row r="11" spans="1:30" ht="37.5" x14ac:dyDescent="0.25">
      <c r="A11" s="277" t="s">
        <v>5634</v>
      </c>
      <c r="B11" s="232" t="s">
        <v>5712</v>
      </c>
    </row>
    <row r="14" spans="1:30" ht="25" x14ac:dyDescent="0.3">
      <c r="A14" s="227" t="s">
        <v>5635</v>
      </c>
      <c r="B14" s="279" t="s">
        <v>5713</v>
      </c>
      <c r="D14" s="135"/>
      <c r="E14" s="135"/>
      <c r="F14" s="135"/>
      <c r="G14" s="135"/>
    </row>
    <row r="15" spans="1:30" ht="13" x14ac:dyDescent="0.25">
      <c r="B15" s="135"/>
      <c r="C15" s="136"/>
      <c r="D15" s="299" t="s">
        <v>77</v>
      </c>
      <c r="E15" s="301"/>
      <c r="F15" s="348" t="s">
        <v>5424</v>
      </c>
      <c r="G15" s="301"/>
      <c r="H15" s="131"/>
      <c r="N15" s="202" t="s">
        <v>5714</v>
      </c>
      <c r="P15" s="202" t="s">
        <v>5715</v>
      </c>
      <c r="U15" s="202" t="s">
        <v>5716</v>
      </c>
      <c r="Z15" s="202" t="s">
        <v>5717</v>
      </c>
    </row>
    <row r="16" spans="1:30" ht="25" x14ac:dyDescent="0.25">
      <c r="A16" s="133"/>
      <c r="B16" s="349" t="s">
        <v>5718</v>
      </c>
      <c r="C16" s="350" t="s">
        <v>24</v>
      </c>
      <c r="D16" s="351" t="s">
        <v>5719</v>
      </c>
      <c r="E16" s="351" t="s">
        <v>5720</v>
      </c>
      <c r="F16" s="351" t="s">
        <v>5721</v>
      </c>
      <c r="G16" s="352" t="s">
        <v>5722</v>
      </c>
      <c r="H16" s="131"/>
      <c r="J16" s="234" t="s">
        <v>5723</v>
      </c>
      <c r="K16" s="234"/>
      <c r="L16" s="233" t="s">
        <v>5442</v>
      </c>
      <c r="N16" s="75" t="s">
        <v>5724</v>
      </c>
      <c r="O16" s="75" t="s">
        <v>5725</v>
      </c>
      <c r="P16" s="83" t="s">
        <v>5726</v>
      </c>
      <c r="Q16" s="83" t="s">
        <v>5727</v>
      </c>
      <c r="R16" s="83" t="s">
        <v>5728</v>
      </c>
      <c r="S16" s="83" t="s">
        <v>5729</v>
      </c>
      <c r="T16" s="280" t="s">
        <v>5730</v>
      </c>
      <c r="U16" s="83" t="s">
        <v>5726</v>
      </c>
      <c r="V16" s="83" t="s">
        <v>5727</v>
      </c>
      <c r="W16" s="83" t="s">
        <v>5728</v>
      </c>
      <c r="X16" s="83" t="s">
        <v>5729</v>
      </c>
      <c r="Y16" s="280" t="s">
        <v>5730</v>
      </c>
      <c r="Z16" s="83" t="s">
        <v>5726</v>
      </c>
      <c r="AA16" s="83" t="s">
        <v>5727</v>
      </c>
      <c r="AB16" s="83" t="s">
        <v>5728</v>
      </c>
      <c r="AC16" s="83" t="s">
        <v>5729</v>
      </c>
      <c r="AD16" s="280" t="s">
        <v>5730</v>
      </c>
    </row>
    <row r="17" spans="1:30" ht="13" x14ac:dyDescent="0.25">
      <c r="A17" s="133"/>
      <c r="B17" s="353" t="s">
        <v>5618</v>
      </c>
      <c r="C17" s="195" t="s">
        <v>5731</v>
      </c>
      <c r="D17" s="289" t="s">
        <v>2789</v>
      </c>
      <c r="E17" s="289" t="s">
        <v>2774</v>
      </c>
      <c r="F17" s="289" t="s">
        <v>2789</v>
      </c>
      <c r="G17" s="354" t="s">
        <v>2774</v>
      </c>
      <c r="H17" s="131"/>
      <c r="J17" s="238" t="str">
        <f t="shared" ref="J17:J36" si="0">IF(B17&lt;&gt;"",B17,J16)</f>
        <v>Low or mid rise office, hotel or retail building (≤10 floors)</v>
      </c>
      <c r="K17" s="238" t="str">
        <f>C17</f>
        <v>Unit</v>
      </c>
      <c r="L17" s="132" t="s">
        <v>5732</v>
      </c>
      <c r="N17" s="132" t="s">
        <v>5733</v>
      </c>
      <c r="P17" s="132">
        <v>59.440344976129026</v>
      </c>
      <c r="Q17" s="132">
        <v>305.39382381681258</v>
      </c>
      <c r="R17" s="132">
        <v>53.772952987541466</v>
      </c>
      <c r="S17" s="132">
        <v>418.60712178048311</v>
      </c>
      <c r="U17" s="132">
        <f t="shared" ref="U17:X35" si="1">P17/Z17</f>
        <v>2.1811258989463451</v>
      </c>
      <c r="V17" s="132">
        <f t="shared" si="1"/>
        <v>3.2834637353840668</v>
      </c>
      <c r="W17" s="132">
        <f t="shared" si="1"/>
        <v>2.6703864471805718</v>
      </c>
      <c r="X17" s="132">
        <f t="shared" si="1"/>
        <v>2.9815627857587881</v>
      </c>
      <c r="Z17" s="132">
        <v>27.252138450532993</v>
      </c>
      <c r="AA17" s="132">
        <v>93.009653350439905</v>
      </c>
      <c r="AB17" s="132">
        <v>20.136768236041505</v>
      </c>
      <c r="AC17" s="132">
        <v>140.39856003701439</v>
      </c>
    </row>
    <row r="18" spans="1:30" x14ac:dyDescent="0.25">
      <c r="A18" s="133"/>
      <c r="B18" s="355"/>
      <c r="C18" s="132" t="s">
        <v>32</v>
      </c>
      <c r="D18" s="274">
        <f>MAX($S$24:$S$25,$S$33:$S$34)</f>
        <v>66.952527204591888</v>
      </c>
      <c r="E18" s="274">
        <f>MAX($X$24:$X$25,$X$33:$X$34)</f>
        <v>3.1104463890775889</v>
      </c>
      <c r="F18" s="132">
        <v>0</v>
      </c>
      <c r="G18" s="356">
        <v>0</v>
      </c>
      <c r="H18" s="131"/>
      <c r="J18" s="238" t="str">
        <f t="shared" si="0"/>
        <v>Low or mid rise office, hotel or retail building (≤10 floors)</v>
      </c>
      <c r="K18" s="238" t="str">
        <f t="shared" ref="K18:K36" si="2">C18</f>
        <v>Max in category EF</v>
      </c>
      <c r="L18" s="132" t="s">
        <v>5734</v>
      </c>
      <c r="O18" s="132" t="s">
        <v>5735</v>
      </c>
      <c r="P18" s="132">
        <v>7.0900280211827997</v>
      </c>
      <c r="Q18" s="132">
        <v>35.581546515118497</v>
      </c>
      <c r="R18" s="132">
        <v>6.2330293476741723</v>
      </c>
      <c r="S18" s="132">
        <v>48.904603883975469</v>
      </c>
      <c r="U18" s="132">
        <f t="shared" si="1"/>
        <v>1.9081523827694498</v>
      </c>
      <c r="V18" s="132">
        <f t="shared" si="1"/>
        <v>3.5522804973507056</v>
      </c>
      <c r="W18" s="132">
        <f t="shared" si="1"/>
        <v>2.6434692202245946</v>
      </c>
      <c r="X18" s="132">
        <f t="shared" si="1"/>
        <v>3.0394249076824562</v>
      </c>
      <c r="Z18" s="132">
        <v>3.7156508490650477</v>
      </c>
      <c r="AA18" s="132">
        <v>10.016536290322582</v>
      </c>
      <c r="AB18" s="132">
        <v>2.3578974553539918</v>
      </c>
      <c r="AC18" s="132">
        <v>16.090084594741622</v>
      </c>
    </row>
    <row r="19" spans="1:30" x14ac:dyDescent="0.25">
      <c r="A19" s="133"/>
      <c r="B19" s="355"/>
      <c r="C19" s="132" t="s">
        <v>34</v>
      </c>
      <c r="D19" s="274">
        <f>MIN($S$24:$S$25,$S$33:$S$34)</f>
        <v>41.262974656378759</v>
      </c>
      <c r="E19" s="274">
        <f>MIN($X$24:$X$25,$X$33:$X$34)</f>
        <v>2.7709219781880017</v>
      </c>
      <c r="G19" s="356"/>
      <c r="H19" s="131"/>
      <c r="J19" s="238" t="str">
        <f t="shared" si="0"/>
        <v>Low or mid rise office, hotel or retail building (≤10 floors)</v>
      </c>
      <c r="K19" s="238" t="str">
        <f t="shared" si="2"/>
        <v>Min in category EF</v>
      </c>
      <c r="O19" s="132" t="s">
        <v>5736</v>
      </c>
      <c r="P19" s="132">
        <v>7.0900280211827997</v>
      </c>
      <c r="Q19" s="132">
        <v>41.709303475003821</v>
      </c>
      <c r="R19" s="132">
        <v>6.2330293476741723</v>
      </c>
      <c r="S19" s="132">
        <v>55.032360843860801</v>
      </c>
      <c r="U19" s="132">
        <f t="shared" si="1"/>
        <v>1.9081523827694498</v>
      </c>
      <c r="V19" s="132">
        <f t="shared" si="1"/>
        <v>3.1985257057033074</v>
      </c>
      <c r="W19" s="132">
        <f t="shared" si="1"/>
        <v>2.6434692202245946</v>
      </c>
      <c r="X19" s="132">
        <f t="shared" si="1"/>
        <v>2.8792082157447152</v>
      </c>
      <c r="Z19" s="132">
        <v>3.7156508490650477</v>
      </c>
      <c r="AA19" s="132">
        <v>13.040165161290325</v>
      </c>
      <c r="AB19" s="132">
        <v>2.3578974553539918</v>
      </c>
      <c r="AC19" s="132">
        <v>19.113713465709367</v>
      </c>
    </row>
    <row r="20" spans="1:30" x14ac:dyDescent="0.25">
      <c r="A20" s="133"/>
      <c r="B20" s="355"/>
      <c r="C20" s="132" t="s">
        <v>36</v>
      </c>
      <c r="D20" s="274">
        <f>AVERAGE($S$24:$S$25,$S$33:$S$34)</f>
        <v>55.338089143417491</v>
      </c>
      <c r="E20" s="274">
        <f>AVERAGE($X$24:$X$25,$X$33:$X$34)</f>
        <v>2.9480507660795832</v>
      </c>
      <c r="F20" s="132">
        <v>0</v>
      </c>
      <c r="G20" s="356">
        <v>0</v>
      </c>
      <c r="H20" s="131"/>
      <c r="J20" s="238" t="str">
        <f t="shared" si="0"/>
        <v>Low or mid rise office, hotel or retail building (≤10 floors)</v>
      </c>
      <c r="K20" s="238" t="str">
        <f t="shared" si="2"/>
        <v>Average EF</v>
      </c>
      <c r="O20" s="132" t="s">
        <v>5737</v>
      </c>
      <c r="P20" s="132">
        <v>11.71434282058814</v>
      </c>
      <c r="Q20" s="132">
        <v>48.225695118543527</v>
      </c>
      <c r="R20" s="132">
        <v>6.3703151379967533</v>
      </c>
      <c r="S20" s="132">
        <v>66.310353077128426</v>
      </c>
      <c r="U20" s="132">
        <f t="shared" si="1"/>
        <v>4.6300163482753787</v>
      </c>
      <c r="V20" s="132">
        <f t="shared" si="1"/>
        <v>4.0669321272182088</v>
      </c>
      <c r="W20" s="132">
        <f t="shared" si="1"/>
        <v>2.6443347635212491</v>
      </c>
      <c r="X20" s="132">
        <f t="shared" si="1"/>
        <v>3.9477185803937713</v>
      </c>
      <c r="Z20" s="132">
        <v>2.5300867079986835</v>
      </c>
      <c r="AA20" s="132">
        <v>11.858003431085047</v>
      </c>
      <c r="AB20" s="132">
        <v>2.4090426166443142</v>
      </c>
      <c r="AC20" s="132">
        <v>16.797132755728043</v>
      </c>
    </row>
    <row r="21" spans="1:30" ht="13" x14ac:dyDescent="0.25">
      <c r="A21" s="133"/>
      <c r="B21" s="357" t="s">
        <v>5620</v>
      </c>
      <c r="C21" s="132" t="s">
        <v>5731</v>
      </c>
      <c r="D21" s="239" t="s">
        <v>2789</v>
      </c>
      <c r="E21" s="239" t="s">
        <v>2774</v>
      </c>
      <c r="F21" s="239" t="s">
        <v>2789</v>
      </c>
      <c r="G21" s="358" t="s">
        <v>2774</v>
      </c>
      <c r="H21" s="131"/>
      <c r="J21" s="238" t="str">
        <f t="shared" si="0"/>
        <v>Residential building</v>
      </c>
      <c r="K21" s="238" t="str">
        <f t="shared" si="2"/>
        <v>Unit</v>
      </c>
      <c r="L21" s="132" t="s">
        <v>5738</v>
      </c>
      <c r="O21" s="132" t="s">
        <v>5739</v>
      </c>
      <c r="P21" s="132">
        <v>11.71434282058814</v>
      </c>
      <c r="Q21" s="132">
        <v>43.241302946218447</v>
      </c>
      <c r="R21" s="132">
        <v>6.3703151379967533</v>
      </c>
      <c r="S21" s="132">
        <v>61.325960904803338</v>
      </c>
      <c r="U21" s="132">
        <f t="shared" si="1"/>
        <v>4.6300163482753787</v>
      </c>
      <c r="V21" s="132">
        <f t="shared" si="1"/>
        <v>3.1403764657969662</v>
      </c>
      <c r="W21" s="132">
        <f t="shared" si="1"/>
        <v>2.6443347635212491</v>
      </c>
      <c r="X21" s="132">
        <f t="shared" si="1"/>
        <v>3.2779566848191455</v>
      </c>
      <c r="Z21" s="132">
        <v>2.5300867079986835</v>
      </c>
      <c r="AA21" s="132">
        <v>13.769464717741938</v>
      </c>
      <c r="AB21" s="132">
        <v>2.4090426166443142</v>
      </c>
      <c r="AC21" s="132">
        <v>18.708594042384934</v>
      </c>
    </row>
    <row r="22" spans="1:30" x14ac:dyDescent="0.25">
      <c r="A22" s="133"/>
      <c r="B22" s="355"/>
      <c r="C22" s="132" t="s">
        <v>32</v>
      </c>
      <c r="D22" s="274">
        <f>MAX($S$22:$S$25)</f>
        <v>57.386152348483385</v>
      </c>
      <c r="E22" s="274">
        <f>AVERAGE($X$22:$X$25)</f>
        <v>2.6881025149932594</v>
      </c>
      <c r="F22" s="132">
        <v>0</v>
      </c>
      <c r="G22" s="356">
        <v>0</v>
      </c>
      <c r="H22" s="131"/>
      <c r="J22" s="238" t="str">
        <f t="shared" si="0"/>
        <v>Residential building</v>
      </c>
      <c r="K22" s="238" t="str">
        <f t="shared" si="2"/>
        <v>Max in category EF</v>
      </c>
      <c r="O22" s="132" t="s">
        <v>5740</v>
      </c>
      <c r="P22" s="132">
        <v>6.3324165315042507</v>
      </c>
      <c r="Q22" s="132">
        <v>27.782085258346491</v>
      </c>
      <c r="R22" s="132">
        <v>7.0796987515881984</v>
      </c>
      <c r="S22" s="132">
        <v>41.194200541438939</v>
      </c>
      <c r="T22" s="132">
        <f>S22-Q22</f>
        <v>13.412115283092447</v>
      </c>
      <c r="U22" s="132">
        <f t="shared" si="1"/>
        <v>1.1000714461243559</v>
      </c>
      <c r="V22" s="132">
        <f t="shared" si="1"/>
        <v>2.8420918964750772</v>
      </c>
      <c r="W22" s="132">
        <f t="shared" si="1"/>
        <v>2.6455136396784558</v>
      </c>
      <c r="X22" s="132">
        <f t="shared" si="1"/>
        <v>2.2624594796845234</v>
      </c>
      <c r="Y22" s="132">
        <f>T22/AD22</f>
        <v>1.5905296939739424</v>
      </c>
      <c r="Z22" s="132">
        <v>5.756368419354839</v>
      </c>
      <c r="AA22" s="132">
        <v>9.775224120234606</v>
      </c>
      <c r="AB22" s="132">
        <v>2.6761150067057251</v>
      </c>
      <c r="AC22" s="132">
        <v>18.207707546295168</v>
      </c>
      <c r="AD22" s="132">
        <f>AC22-AA22</f>
        <v>8.4324834260605623</v>
      </c>
    </row>
    <row r="23" spans="1:30" x14ac:dyDescent="0.25">
      <c r="A23" s="133"/>
      <c r="B23" s="355"/>
      <c r="C23" s="132" t="s">
        <v>34</v>
      </c>
      <c r="D23" s="274">
        <f>MIN($S$22:$S$25)</f>
        <v>41.194200541438939</v>
      </c>
      <c r="E23" s="274">
        <f>MIN($X$22:$X$25)</f>
        <v>2.2624594796845234</v>
      </c>
      <c r="G23" s="356"/>
      <c r="H23" s="131"/>
      <c r="J23" s="238" t="str">
        <f t="shared" si="0"/>
        <v>Residential building</v>
      </c>
      <c r="K23" s="238" t="str">
        <f t="shared" si="2"/>
        <v>Min in category EF</v>
      </c>
      <c r="O23" s="132" t="s">
        <v>5741</v>
      </c>
      <c r="P23" s="132">
        <v>6.3324165315042507</v>
      </c>
      <c r="Q23" s="132">
        <v>43.974037065390938</v>
      </c>
      <c r="R23" s="132">
        <v>7.0796987515881984</v>
      </c>
      <c r="S23" s="132">
        <v>57.386152348483385</v>
      </c>
      <c r="T23" s="132">
        <f>S23-Q23</f>
        <v>13.412115283092447</v>
      </c>
      <c r="U23" s="132">
        <f t="shared" si="1"/>
        <v>1.1000714461243559</v>
      </c>
      <c r="V23" s="132">
        <f t="shared" si="1"/>
        <v>3.838041545334002</v>
      </c>
      <c r="W23" s="132">
        <f t="shared" si="1"/>
        <v>2.6455136396784558</v>
      </c>
      <c r="X23" s="132">
        <f t="shared" si="1"/>
        <v>2.8851907332704663</v>
      </c>
      <c r="Y23" s="132">
        <f>T23/AD23</f>
        <v>1.5905296939739419</v>
      </c>
      <c r="Z23" s="132">
        <v>5.756368419354839</v>
      </c>
      <c r="AA23" s="132">
        <v>11.457415597507332</v>
      </c>
      <c r="AB23" s="132">
        <v>2.6761150067057251</v>
      </c>
      <c r="AC23" s="132">
        <v>19.889899023567896</v>
      </c>
      <c r="AD23" s="132">
        <f>AC23-AA23</f>
        <v>8.4324834260605641</v>
      </c>
    </row>
    <row r="24" spans="1:30" x14ac:dyDescent="0.25">
      <c r="A24" s="133"/>
      <c r="B24" s="355"/>
      <c r="C24" s="132" t="s">
        <v>36</v>
      </c>
      <c r="D24" s="274">
        <f>AVERAGE($S$22:$S$25)</f>
        <v>46.758460767678756</v>
      </c>
      <c r="E24" s="274">
        <f>MIN($X$22:$X$25)</f>
        <v>2.2624594796845234</v>
      </c>
      <c r="F24" s="132">
        <v>0</v>
      </c>
      <c r="G24" s="356">
        <v>0</v>
      </c>
      <c r="H24" s="131"/>
      <c r="J24" s="238" t="str">
        <f t="shared" si="0"/>
        <v>Residential building</v>
      </c>
      <c r="K24" s="238" t="str">
        <f t="shared" si="2"/>
        <v>Average EF</v>
      </c>
      <c r="L24" s="132" t="s">
        <v>5742</v>
      </c>
      <c r="O24" s="132" t="s">
        <v>5743</v>
      </c>
      <c r="P24" s="132">
        <v>4.583385114789321</v>
      </c>
      <c r="Q24" s="132">
        <v>29.476156285077828</v>
      </c>
      <c r="R24" s="132">
        <v>7.2034332565116115</v>
      </c>
      <c r="S24" s="132">
        <v>41.262974656378759</v>
      </c>
      <c r="T24" s="132">
        <f>S24-Q24</f>
        <v>11.786818371300932</v>
      </c>
      <c r="U24" s="132">
        <f t="shared" si="1"/>
        <v>2.8223453443548498</v>
      </c>
      <c r="V24" s="132">
        <f t="shared" si="1"/>
        <v>2.8585662394561737</v>
      </c>
      <c r="W24" s="132">
        <f t="shared" si="1"/>
        <v>2.7438211167566267</v>
      </c>
      <c r="X24" s="132">
        <f t="shared" si="1"/>
        <v>2.833837868830047</v>
      </c>
      <c r="Y24" s="132">
        <f>T24/AD24</f>
        <v>2.7738309280654079</v>
      </c>
      <c r="Z24" s="132">
        <v>1.6239632488479263</v>
      </c>
      <c r="AA24" s="132">
        <v>10.3115176686217</v>
      </c>
      <c r="AB24" s="132">
        <v>2.6253290393167226</v>
      </c>
      <c r="AC24" s="132">
        <v>14.56080995678635</v>
      </c>
      <c r="AD24" s="132">
        <f>AC24-AA24</f>
        <v>4.24929228816465</v>
      </c>
    </row>
    <row r="25" spans="1:30" ht="13" x14ac:dyDescent="0.25">
      <c r="A25" s="133"/>
      <c r="B25" s="357" t="s">
        <v>5621</v>
      </c>
      <c r="C25" s="132" t="s">
        <v>5731</v>
      </c>
      <c r="D25" s="239" t="s">
        <v>2789</v>
      </c>
      <c r="E25" s="239" t="s">
        <v>2774</v>
      </c>
      <c r="F25" s="239" t="s">
        <v>2789</v>
      </c>
      <c r="G25" s="358" t="s">
        <v>2774</v>
      </c>
      <c r="H25" s="131"/>
      <c r="J25" s="238" t="str">
        <f t="shared" si="0"/>
        <v>Warehouse or industrial building</v>
      </c>
      <c r="K25" s="238" t="str">
        <f t="shared" si="2"/>
        <v>Unit</v>
      </c>
      <c r="L25" s="132" t="s">
        <v>5744</v>
      </c>
      <c r="O25" s="132" t="s">
        <v>5745</v>
      </c>
      <c r="P25" s="132">
        <v>4.583385114789321</v>
      </c>
      <c r="Q25" s="132">
        <v>35.403697153113015</v>
      </c>
      <c r="R25" s="132">
        <v>7.2034332565116115</v>
      </c>
      <c r="S25" s="132">
        <v>47.190515524413946</v>
      </c>
      <c r="T25" s="132">
        <f>S25-Q25</f>
        <v>11.786818371300932</v>
      </c>
      <c r="U25" s="132">
        <f t="shared" si="1"/>
        <v>2.8223453443548498</v>
      </c>
      <c r="V25" s="132">
        <f t="shared" si="1"/>
        <v>2.7699548658610773</v>
      </c>
      <c r="W25" s="132">
        <f t="shared" si="1"/>
        <v>2.7438211167566267</v>
      </c>
      <c r="X25" s="132">
        <f t="shared" si="1"/>
        <v>2.7709219781880017</v>
      </c>
      <c r="Y25" s="132">
        <f>T25/AD25</f>
        <v>2.7738309280654079</v>
      </c>
      <c r="Z25" s="132">
        <v>1.6239632488479263</v>
      </c>
      <c r="AA25" s="132">
        <v>12.781326363636364</v>
      </c>
      <c r="AB25" s="132">
        <v>2.6253290393167226</v>
      </c>
      <c r="AC25" s="132">
        <v>17.030618651801014</v>
      </c>
      <c r="AD25" s="132">
        <f>AC25-AA25</f>
        <v>4.24929228816465</v>
      </c>
    </row>
    <row r="26" spans="1:30" x14ac:dyDescent="0.25">
      <c r="A26" s="133"/>
      <c r="B26" s="355"/>
      <c r="C26" s="132" t="s">
        <v>32</v>
      </c>
      <c r="D26" s="274">
        <f>MAX($T$22:$T$25)</f>
        <v>13.412115283092447</v>
      </c>
      <c r="E26" s="274">
        <f>MAX($Y$22:$Y$25)</f>
        <v>2.7738309280654079</v>
      </c>
      <c r="F26" s="132">
        <v>0</v>
      </c>
      <c r="G26" s="356">
        <v>0</v>
      </c>
      <c r="H26" s="131"/>
      <c r="J26" s="238" t="str">
        <f t="shared" si="0"/>
        <v>Warehouse or industrial building</v>
      </c>
      <c r="K26" s="238" t="str">
        <f t="shared" si="2"/>
        <v>Max in category EF</v>
      </c>
      <c r="L26" s="132" t="s">
        <v>5746</v>
      </c>
      <c r="N26" s="132" t="s">
        <v>5747</v>
      </c>
      <c r="P26" s="132">
        <v>93.563415223937525</v>
      </c>
      <c r="Q26" s="132">
        <v>385.42403501300907</v>
      </c>
      <c r="R26" s="132">
        <v>53.772952987541466</v>
      </c>
      <c r="S26" s="132">
        <v>532.76040322448807</v>
      </c>
      <c r="U26" s="132">
        <f t="shared" si="1"/>
        <v>2.8240819104599959</v>
      </c>
      <c r="V26" s="132">
        <f t="shared" si="1"/>
        <v>3.4153268489930642</v>
      </c>
      <c r="W26" s="132">
        <f t="shared" si="1"/>
        <v>2.6703864471805718</v>
      </c>
      <c r="X26" s="132">
        <f t="shared" si="1"/>
        <v>3.2071083551807518</v>
      </c>
      <c r="Z26" s="132">
        <v>33.130560015767252</v>
      </c>
      <c r="AA26" s="132">
        <v>112.8512883405707</v>
      </c>
      <c r="AB26" s="132">
        <v>20.136768236041505</v>
      </c>
      <c r="AC26" s="132">
        <v>166.11861659237948</v>
      </c>
    </row>
    <row r="27" spans="1:30" x14ac:dyDescent="0.25">
      <c r="A27" s="133"/>
      <c r="B27" s="355"/>
      <c r="C27" s="132" t="s">
        <v>34</v>
      </c>
      <c r="D27" s="274">
        <f>MIN($T$22:$T$25)</f>
        <v>11.786818371300932</v>
      </c>
      <c r="E27" s="274">
        <f>MIN($Y$22:$Y$25)</f>
        <v>1.5905296939739419</v>
      </c>
      <c r="G27" s="356"/>
      <c r="H27" s="131"/>
      <c r="J27" s="238" t="str">
        <f t="shared" si="0"/>
        <v>Warehouse or industrial building</v>
      </c>
      <c r="K27" s="238" t="str">
        <f t="shared" si="2"/>
        <v>Min in category EF</v>
      </c>
      <c r="O27" s="132" t="s">
        <v>5748</v>
      </c>
      <c r="P27" s="132">
        <v>8.6010705333315531</v>
      </c>
      <c r="Q27" s="132">
        <v>60.009551670628426</v>
      </c>
      <c r="R27" s="132">
        <v>6.2330293476741723</v>
      </c>
      <c r="S27" s="132">
        <v>74.843651551634153</v>
      </c>
      <c r="U27" s="132">
        <f t="shared" si="1"/>
        <v>3.4569915493807311</v>
      </c>
      <c r="V27" s="132">
        <f t="shared" si="1"/>
        <v>4.1527243246545247</v>
      </c>
      <c r="W27" s="132">
        <f t="shared" si="1"/>
        <v>2.6434692202245946</v>
      </c>
      <c r="X27" s="132">
        <f t="shared" si="1"/>
        <v>3.8785995325129483</v>
      </c>
      <c r="Z27" s="132">
        <v>2.4880218567130452</v>
      </c>
      <c r="AA27" s="132">
        <v>14.450646606699751</v>
      </c>
      <c r="AB27" s="132">
        <v>2.3578974553539918</v>
      </c>
      <c r="AC27" s="132">
        <v>19.296565918766788</v>
      </c>
    </row>
    <row r="28" spans="1:30" x14ac:dyDescent="0.25">
      <c r="A28" s="133"/>
      <c r="B28" s="355"/>
      <c r="C28" s="132" t="s">
        <v>36</v>
      </c>
      <c r="D28" s="274">
        <f>AVERAGE($T$22:$T$25)</f>
        <v>12.599466827196689</v>
      </c>
      <c r="E28" s="274">
        <f>AVERAGE($Y$22:$Y$25)</f>
        <v>2.1821803110196751</v>
      </c>
      <c r="F28" s="132">
        <v>0</v>
      </c>
      <c r="G28" s="356">
        <v>0</v>
      </c>
      <c r="H28" s="131"/>
      <c r="J28" s="238" t="str">
        <f t="shared" si="0"/>
        <v>Warehouse or industrial building</v>
      </c>
      <c r="K28" s="238" t="str">
        <f t="shared" si="2"/>
        <v>Average EF</v>
      </c>
      <c r="O28" s="132" t="s">
        <v>5749</v>
      </c>
      <c r="P28" s="132">
        <v>8.6010705333315531</v>
      </c>
      <c r="Q28" s="132">
        <v>56.610504457525693</v>
      </c>
      <c r="R28" s="132">
        <v>6.2330293476741723</v>
      </c>
      <c r="S28" s="132">
        <v>71.44460433853142</v>
      </c>
      <c r="U28" s="132">
        <f t="shared" si="1"/>
        <v>3.4386801410660413</v>
      </c>
      <c r="V28" s="132">
        <f t="shared" si="1"/>
        <v>3.1727421269037213</v>
      </c>
      <c r="W28" s="132">
        <f t="shared" si="1"/>
        <v>2.6434692202245946</v>
      </c>
      <c r="X28" s="132">
        <f t="shared" si="1"/>
        <v>3.1470708275240837</v>
      </c>
      <c r="Z28" s="132">
        <v>2.5012708889711082</v>
      </c>
      <c r="AA28" s="132">
        <v>17.842768870967738</v>
      </c>
      <c r="AB28" s="132">
        <v>2.3578974553539918</v>
      </c>
      <c r="AC28" s="132">
        <v>22.701937215292837</v>
      </c>
    </row>
    <row r="29" spans="1:30" ht="13" x14ac:dyDescent="0.25">
      <c r="A29" s="133"/>
      <c r="B29" s="357" t="s">
        <v>5623</v>
      </c>
      <c r="C29" s="132" t="s">
        <v>5731</v>
      </c>
      <c r="D29" s="239" t="s">
        <v>2789</v>
      </c>
      <c r="E29" s="239" t="s">
        <v>2774</v>
      </c>
      <c r="F29" s="239" t="s">
        <v>2789</v>
      </c>
      <c r="G29" s="358" t="s">
        <v>2774</v>
      </c>
      <c r="H29" s="131"/>
      <c r="J29" s="238" t="str">
        <f t="shared" si="0"/>
        <v>Hospital or high services intensity building</v>
      </c>
      <c r="K29" s="238" t="str">
        <f t="shared" si="2"/>
        <v>Unit</v>
      </c>
      <c r="L29" s="132" t="s">
        <v>5750</v>
      </c>
      <c r="O29" s="132" t="s">
        <v>5751</v>
      </c>
      <c r="P29" s="132">
        <v>8.8355980816415389</v>
      </c>
      <c r="Q29" s="132">
        <v>39.849634792066261</v>
      </c>
      <c r="R29" s="132">
        <v>6.3703151379967533</v>
      </c>
      <c r="S29" s="132">
        <v>55.055548011704559</v>
      </c>
      <c r="U29" s="132">
        <f t="shared" si="1"/>
        <v>3.4765625691310045</v>
      </c>
      <c r="V29" s="132">
        <f t="shared" si="1"/>
        <v>3.3000084108552912</v>
      </c>
      <c r="W29" s="132">
        <f t="shared" si="1"/>
        <v>2.6443347635212491</v>
      </c>
      <c r="X29" s="132">
        <f t="shared" si="1"/>
        <v>3.2335906491470463</v>
      </c>
      <c r="Z29" s="132">
        <v>2.5414753527217746</v>
      </c>
      <c r="AA29" s="132">
        <v>12.075616129032257</v>
      </c>
      <c r="AB29" s="132">
        <v>2.4090426166443142</v>
      </c>
      <c r="AC29" s="132">
        <v>17.026134098398344</v>
      </c>
    </row>
    <row r="30" spans="1:30" x14ac:dyDescent="0.25">
      <c r="A30" s="133"/>
      <c r="B30" s="355"/>
      <c r="C30" s="132" t="s">
        <v>32</v>
      </c>
      <c r="D30" s="274">
        <f>MAX($S$20:$S$21,$S$27:$S$34)</f>
        <v>74.843651551634153</v>
      </c>
      <c r="E30" s="274">
        <f>MAX($X$20:$X$21,$X$27:$X$34)</f>
        <v>3.9477185803937713</v>
      </c>
      <c r="F30" s="132">
        <v>0</v>
      </c>
      <c r="G30" s="356">
        <v>0</v>
      </c>
      <c r="H30" s="131"/>
      <c r="J30" s="238" t="str">
        <f t="shared" si="0"/>
        <v>Hospital or high services intensity building</v>
      </c>
      <c r="K30" s="238" t="str">
        <f t="shared" si="2"/>
        <v>Max in category EF</v>
      </c>
      <c r="L30" s="132" t="s">
        <v>5752</v>
      </c>
      <c r="O30" s="132" t="s">
        <v>5753</v>
      </c>
      <c r="P30" s="132">
        <v>8.972823884332854</v>
      </c>
      <c r="Q30" s="132">
        <v>59.240350596400397</v>
      </c>
      <c r="R30" s="132">
        <v>6.3703151379967533</v>
      </c>
      <c r="S30" s="132">
        <v>74.583489618729999</v>
      </c>
      <c r="U30" s="132">
        <f t="shared" si="1"/>
        <v>3.4908780497883876</v>
      </c>
      <c r="V30" s="132">
        <f t="shared" si="1"/>
        <v>3.368181413028855</v>
      </c>
      <c r="W30" s="132">
        <f t="shared" si="1"/>
        <v>2.6443347635212491</v>
      </c>
      <c r="X30" s="132">
        <f t="shared" si="1"/>
        <v>3.3048871217354647</v>
      </c>
      <c r="Z30" s="132">
        <v>2.5703630308359742</v>
      </c>
      <c r="AA30" s="132">
        <v>17.588230362903225</v>
      </c>
      <c r="AB30" s="132">
        <v>2.4090426166443142</v>
      </c>
      <c r="AC30" s="132">
        <v>22.567636010383513</v>
      </c>
    </row>
    <row r="31" spans="1:30" x14ac:dyDescent="0.25">
      <c r="A31" s="133"/>
      <c r="B31" s="355"/>
      <c r="C31" s="132" t="s">
        <v>34</v>
      </c>
      <c r="D31" s="274">
        <f>MIN($S$20:$S$21,$S$27:$S$34)</f>
        <v>55.055548011704559</v>
      </c>
      <c r="E31" s="274">
        <f>MIN($X$20:$X$21,$X$27:$X$34)</f>
        <v>2.9120024369187045</v>
      </c>
      <c r="G31" s="356"/>
      <c r="H31" s="131"/>
      <c r="J31" s="238" t="str">
        <f t="shared" si="0"/>
        <v>Hospital or high services intensity building</v>
      </c>
      <c r="K31" s="238" t="str">
        <f t="shared" si="2"/>
        <v>Min in category EF</v>
      </c>
      <c r="O31" s="132" t="s">
        <v>5754</v>
      </c>
      <c r="P31" s="132">
        <v>15.931031495257006</v>
      </c>
      <c r="Q31" s="132">
        <v>42.066214963968505</v>
      </c>
      <c r="R31" s="132">
        <v>7.0796987515881984</v>
      </c>
      <c r="S31" s="132">
        <v>65.076945210813705</v>
      </c>
      <c r="U31" s="132">
        <f t="shared" si="1"/>
        <v>2.6098933626506038</v>
      </c>
      <c r="V31" s="132">
        <f t="shared" si="1"/>
        <v>3.3456114037717901</v>
      </c>
      <c r="W31" s="132">
        <f t="shared" si="1"/>
        <v>2.6455136396784558</v>
      </c>
      <c r="X31" s="132">
        <f t="shared" si="1"/>
        <v>3.0475639508123269</v>
      </c>
      <c r="Z31" s="132">
        <v>6.1040928810506934</v>
      </c>
      <c r="AA31" s="132">
        <v>12.573550806451614</v>
      </c>
      <c r="AB31" s="132">
        <v>2.6761150067057251</v>
      </c>
      <c r="AC31" s="132">
        <v>21.353758694208032</v>
      </c>
    </row>
    <row r="32" spans="1:30" x14ac:dyDescent="0.25">
      <c r="A32" s="133"/>
      <c r="B32" s="355"/>
      <c r="C32" s="132" t="s">
        <v>36</v>
      </c>
      <c r="D32" s="274">
        <f>AVERAGE($S$20:$S$21,$S$27:$S$34)</f>
        <v>66.039671720641991</v>
      </c>
      <c r="E32" s="274">
        <f>AVERAGE($X$20:$X$21,$X$27:$X$34)</f>
        <v>3.2936833001163777</v>
      </c>
      <c r="F32" s="132">
        <v>0</v>
      </c>
      <c r="G32" s="356">
        <v>0</v>
      </c>
      <c r="H32" s="131"/>
      <c r="J32" s="238" t="str">
        <f t="shared" si="0"/>
        <v>Hospital or high services intensity building</v>
      </c>
      <c r="K32" s="238" t="str">
        <f t="shared" si="2"/>
        <v>Average EF</v>
      </c>
      <c r="O32" s="132" t="s">
        <v>5755</v>
      </c>
      <c r="P32" s="132">
        <v>15.931031495257006</v>
      </c>
      <c r="Q32" s="132">
        <v>35.846567853351758</v>
      </c>
      <c r="R32" s="132">
        <v>7.0796987515881984</v>
      </c>
      <c r="S32" s="132">
        <v>58.857298100196957</v>
      </c>
      <c r="U32" s="132">
        <f t="shared" si="1"/>
        <v>2.6098933626506038</v>
      </c>
      <c r="V32" s="132">
        <f t="shared" si="1"/>
        <v>3.1356999817617734</v>
      </c>
      <c r="W32" s="132">
        <f t="shared" si="1"/>
        <v>2.6455136396784558</v>
      </c>
      <c r="X32" s="132">
        <f t="shared" si="1"/>
        <v>2.9120024369187045</v>
      </c>
      <c r="Z32" s="132">
        <v>6.1040928810506934</v>
      </c>
      <c r="AA32" s="132">
        <v>11.431759435483871</v>
      </c>
      <c r="AB32" s="132">
        <v>2.6761150067057251</v>
      </c>
      <c r="AC32" s="132">
        <v>20.211967323240291</v>
      </c>
    </row>
    <row r="33" spans="1:29" ht="13" x14ac:dyDescent="0.25">
      <c r="A33" s="133"/>
      <c r="B33" s="357" t="s">
        <v>5622</v>
      </c>
      <c r="C33" s="132" t="s">
        <v>5731</v>
      </c>
      <c r="D33" s="239" t="s">
        <v>2789</v>
      </c>
      <c r="E33" s="239" t="s">
        <v>2774</v>
      </c>
      <c r="F33" s="239" t="s">
        <v>2789</v>
      </c>
      <c r="G33" s="358" t="s">
        <v>2774</v>
      </c>
      <c r="H33" s="131"/>
      <c r="J33" s="238" t="str">
        <f t="shared" si="0"/>
        <v>High rise office, hotel or retail building (&gt;10 floors)</v>
      </c>
      <c r="K33" s="238" t="str">
        <f t="shared" si="2"/>
        <v>Unit</v>
      </c>
      <c r="L33" s="132" t="s">
        <v>5756</v>
      </c>
      <c r="O33" s="132" t="s">
        <v>5757</v>
      </c>
      <c r="P33" s="132">
        <v>13.345394600393007</v>
      </c>
      <c r="Q33" s="132">
        <v>45.39751133138077</v>
      </c>
      <c r="R33" s="132">
        <v>7.2034332565116115</v>
      </c>
      <c r="S33" s="132">
        <v>65.946339188285393</v>
      </c>
      <c r="U33" s="132">
        <f t="shared" si="1"/>
        <v>2.4665178384675484</v>
      </c>
      <c r="V33" s="132">
        <f t="shared" si="1"/>
        <v>3.4481871646307543</v>
      </c>
      <c r="W33" s="132">
        <f t="shared" si="1"/>
        <v>2.7438211167566267</v>
      </c>
      <c r="X33" s="132">
        <f t="shared" si="1"/>
        <v>3.1104463890775889</v>
      </c>
      <c r="Z33" s="132">
        <v>5.4106215622119818</v>
      </c>
      <c r="AA33" s="132">
        <v>13.165616935483872</v>
      </c>
      <c r="AB33" s="132">
        <v>2.6253290393167226</v>
      </c>
      <c r="AC33" s="132">
        <v>21.201567537012576</v>
      </c>
    </row>
    <row r="34" spans="1:29" x14ac:dyDescent="0.25">
      <c r="A34" s="133"/>
      <c r="B34" s="355"/>
      <c r="C34" s="132" t="s">
        <v>32</v>
      </c>
      <c r="D34" s="274">
        <f>MAX($S$18:$S$19,$S$27:$S$28)</f>
        <v>74.843651551634153</v>
      </c>
      <c r="E34" s="274">
        <f>MAX($X$18:$X$19,$X$27:$X$28)</f>
        <v>3.8785995325129483</v>
      </c>
      <c r="F34" s="132">
        <v>0</v>
      </c>
      <c r="G34" s="356">
        <v>0</v>
      </c>
      <c r="H34" s="131"/>
      <c r="J34" s="238" t="str">
        <f t="shared" si="0"/>
        <v>High rise office, hotel or retail building (&gt;10 floors)</v>
      </c>
      <c r="K34" s="238" t="str">
        <f t="shared" si="2"/>
        <v>Max in category EF</v>
      </c>
      <c r="L34" s="132" t="s">
        <v>5758</v>
      </c>
      <c r="O34" s="132" t="s">
        <v>5759</v>
      </c>
      <c r="P34" s="132">
        <v>13.345394600393007</v>
      </c>
      <c r="Q34" s="132">
        <v>46.403699347687265</v>
      </c>
      <c r="R34" s="132">
        <v>7.2034332565116115</v>
      </c>
      <c r="S34" s="132">
        <v>66.952527204591888</v>
      </c>
      <c r="U34" s="132">
        <f t="shared" si="1"/>
        <v>2.4665178384675484</v>
      </c>
      <c r="V34" s="132">
        <f t="shared" si="1"/>
        <v>3.3814300030348052</v>
      </c>
      <c r="W34" s="132">
        <f t="shared" si="1"/>
        <v>2.7438211167566267</v>
      </c>
      <c r="X34" s="132">
        <f t="shared" si="1"/>
        <v>3.0769968282226947</v>
      </c>
      <c r="Z34" s="132">
        <v>5.4106215622119818</v>
      </c>
      <c r="AA34" s="132">
        <v>13.723099193548389</v>
      </c>
      <c r="AB34" s="132">
        <v>2.6253290393167226</v>
      </c>
      <c r="AC34" s="132">
        <v>21.759049795077093</v>
      </c>
    </row>
    <row r="35" spans="1:29" x14ac:dyDescent="0.25">
      <c r="A35" s="133"/>
      <c r="B35" s="355"/>
      <c r="C35" s="132" t="s">
        <v>34</v>
      </c>
      <c r="D35" s="274">
        <f>MIN($S$18:$S$19,$S$27:$S$28)</f>
        <v>48.904603883975469</v>
      </c>
      <c r="E35" s="274">
        <f>MIN($X$18:$X$19,$X$27:$X$28)</f>
        <v>2.8792082157447152</v>
      </c>
      <c r="G35" s="356"/>
      <c r="H35" s="131"/>
      <c r="J35" s="238" t="str">
        <f t="shared" si="0"/>
        <v>High rise office, hotel or retail building (&gt;10 floors)</v>
      </c>
      <c r="K35" s="238" t="str">
        <f t="shared" si="2"/>
        <v>Min in category EF</v>
      </c>
      <c r="N35" s="132" t="s">
        <v>5729</v>
      </c>
      <c r="P35" s="132">
        <v>153.00376020006652</v>
      </c>
      <c r="Q35" s="132">
        <v>690.8178588298216</v>
      </c>
      <c r="R35" s="132">
        <v>107.54590597508295</v>
      </c>
      <c r="S35" s="132">
        <v>951.3675250049713</v>
      </c>
      <c r="U35" s="132">
        <f t="shared" si="1"/>
        <v>2.5339006716544543</v>
      </c>
      <c r="V35" s="132">
        <f t="shared" si="1"/>
        <v>3.3557500182172131</v>
      </c>
      <c r="W35" s="132">
        <f t="shared" si="1"/>
        <v>2.6703864471805714</v>
      </c>
      <c r="X35" s="132">
        <f t="shared" si="1"/>
        <v>3.1037984085154804</v>
      </c>
      <c r="Z35" s="132">
        <v>60.382698466300226</v>
      </c>
      <c r="AA35" s="132">
        <v>205.86094169101065</v>
      </c>
      <c r="AB35" s="132">
        <v>40.273536472083023</v>
      </c>
      <c r="AC35" s="132">
        <v>306.51717662939393</v>
      </c>
    </row>
    <row r="36" spans="1:29" x14ac:dyDescent="0.25">
      <c r="A36" s="133"/>
      <c r="B36" s="359"/>
      <c r="C36" s="360" t="s">
        <v>36</v>
      </c>
      <c r="D36" s="361">
        <f>AVERAGE($S$18:$S$19,$S$27:$S$28)</f>
        <v>62.556305154500464</v>
      </c>
      <c r="E36" s="361">
        <f>AVERAGE($X$18:$X$19,$X$27:$X$28)</f>
        <v>3.2360758708660509</v>
      </c>
      <c r="F36" s="360">
        <v>0</v>
      </c>
      <c r="G36" s="362">
        <v>0</v>
      </c>
      <c r="H36" s="131"/>
      <c r="J36" s="238" t="str">
        <f t="shared" si="0"/>
        <v>High rise office, hotel or retail building (&gt;10 floors)</v>
      </c>
      <c r="K36" s="238" t="str">
        <f t="shared" si="2"/>
        <v>Average EF</v>
      </c>
    </row>
    <row r="37" spans="1:29" ht="13" x14ac:dyDescent="0.25">
      <c r="B37" s="130"/>
      <c r="C37" s="130"/>
      <c r="D37" s="130"/>
      <c r="E37" s="130"/>
      <c r="F37" s="130"/>
      <c r="G37" s="130"/>
      <c r="N37" s="202" t="s">
        <v>5760</v>
      </c>
      <c r="O37" s="281" t="s">
        <v>5761</v>
      </c>
    </row>
    <row r="38" spans="1:29" ht="13" x14ac:dyDescent="0.25">
      <c r="B38" s="202"/>
      <c r="O38" s="258" t="s">
        <v>5762</v>
      </c>
    </row>
    <row r="39" spans="1:29" x14ac:dyDescent="0.25">
      <c r="O39" s="258" t="s">
        <v>5763</v>
      </c>
    </row>
  </sheetData>
  <hyperlinks>
    <hyperlink ref="O37" r:id="rId1" xr:uid="{2A8DFEDF-69BD-4173-A0ED-B57A5B8C1ACF}"/>
  </hyperlinks>
  <pageMargins left="0.7" right="0.7" top="0.75" bottom="0.75" header="0.3" footer="0.3"/>
  <pageSetup paperSize="9" orientation="portrait" horizontalDpi="300" verticalDpi="3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E163D-4BC2-4CE0-AFDA-2B7FDE1DFBBF}">
  <sheetPr codeName="Sheet95">
    <tabColor rgb="FF00CCFF"/>
  </sheetPr>
  <dimension ref="A1:I90"/>
  <sheetViews>
    <sheetView workbookViewId="0"/>
  </sheetViews>
  <sheetFormatPr defaultColWidth="9.1796875" defaultRowHeight="12.5" x14ac:dyDescent="0.25"/>
  <cols>
    <col min="1" max="1" width="30.1796875" style="132" bestFit="1"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Carpet flooring</v>
      </c>
    </row>
    <row r="2" spans="1:8" ht="13" x14ac:dyDescent="0.25">
      <c r="A2" s="202"/>
      <c r="C2" s="202"/>
    </row>
    <row r="3" spans="1:8" ht="13" x14ac:dyDescent="0.3">
      <c r="A3" s="227" t="s">
        <v>5626</v>
      </c>
      <c r="B3" s="132" t="s">
        <v>5764</v>
      </c>
    </row>
    <row r="4" spans="1:8" ht="13" x14ac:dyDescent="0.25">
      <c r="A4" s="202"/>
    </row>
    <row r="5" spans="1:8" ht="92.25" customHeight="1" x14ac:dyDescent="0.3">
      <c r="A5" s="227" t="s">
        <v>5628</v>
      </c>
      <c r="B5" s="200" t="s">
        <v>5765</v>
      </c>
      <c r="D5" s="200"/>
      <c r="E5" s="271"/>
    </row>
    <row r="6" spans="1:8" ht="13" x14ac:dyDescent="0.3">
      <c r="A6" s="227" t="s">
        <v>5630</v>
      </c>
      <c r="B6" s="201" t="s">
        <v>74</v>
      </c>
      <c r="D6" s="132"/>
    </row>
    <row r="7" spans="1:8" ht="13" x14ac:dyDescent="0.3">
      <c r="A7" s="227" t="s">
        <v>5631</v>
      </c>
      <c r="B7" s="201" t="s">
        <v>71</v>
      </c>
    </row>
    <row r="8" spans="1:8" ht="13" x14ac:dyDescent="0.3">
      <c r="A8" s="227" t="s">
        <v>5632</v>
      </c>
      <c r="B8" s="201" t="s">
        <v>73</v>
      </c>
    </row>
    <row r="9" spans="1:8" ht="13" x14ac:dyDescent="0.3">
      <c r="A9" s="227" t="s">
        <v>5633</v>
      </c>
      <c r="B9" s="202" t="s">
        <v>74</v>
      </c>
    </row>
    <row r="10" spans="1:8" ht="13" x14ac:dyDescent="0.3">
      <c r="A10" s="227"/>
      <c r="B10" s="202"/>
    </row>
    <row r="11" spans="1:8" ht="13" x14ac:dyDescent="0.3">
      <c r="A11" s="227" t="s">
        <v>5634</v>
      </c>
      <c r="B11" s="200" t="s">
        <v>5766</v>
      </c>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3273</v>
      </c>
      <c r="C16" s="311" t="s">
        <v>24</v>
      </c>
      <c r="D16" s="208" t="s">
        <v>146</v>
      </c>
      <c r="E16" s="209" t="s">
        <v>153</v>
      </c>
      <c r="F16" s="208" t="s">
        <v>147</v>
      </c>
      <c r="G16" s="208" t="s">
        <v>154</v>
      </c>
      <c r="H16" s="131"/>
    </row>
    <row r="17" spans="1:9" ht="13" x14ac:dyDescent="0.3">
      <c r="A17" s="133"/>
      <c r="B17" s="317"/>
      <c r="C17" s="206" t="s">
        <v>5636</v>
      </c>
      <c r="D17" s="207" t="str" cm="1">
        <f t="array" ref="D17">IF(AND(_xlfn.ANCHORARRAY(C23)=C23),C23,"Mixed")</f>
        <v>m²</v>
      </c>
      <c r="E17" s="207" t="s">
        <v>2774</v>
      </c>
      <c r="F17" s="207" t="str" cm="1">
        <f t="array" ref="F17">IF(AND(_xlfn.ANCHORARRAY(C23)=C23),C23,"Mixed")</f>
        <v>m²</v>
      </c>
      <c r="G17" s="318" t="s">
        <v>2774</v>
      </c>
      <c r="H17" s="131"/>
    </row>
    <row r="18" spans="1:9" s="200" customFormat="1" ht="13" x14ac:dyDescent="0.3">
      <c r="A18" s="221"/>
      <c r="B18" s="214"/>
      <c r="C18" s="202" t="s">
        <v>5637</v>
      </c>
      <c r="D18" s="198">
        <f>MAX(_xlfn.ANCHORARRAY(D23))</f>
        <v>28.52</v>
      </c>
      <c r="E18" s="198">
        <f t="shared" ref="E18:G18" si="0">MAX(_xlfn.ANCHORARRAY(E23))</f>
        <v>11.097276264591441</v>
      </c>
      <c r="F18" s="198">
        <f t="shared" si="0"/>
        <v>0</v>
      </c>
      <c r="G18" s="215">
        <f t="shared" si="0"/>
        <v>0</v>
      </c>
      <c r="H18" s="131"/>
      <c r="I18" s="132"/>
    </row>
    <row r="19" spans="1:9" ht="13" x14ac:dyDescent="0.25">
      <c r="A19" s="133"/>
      <c r="B19" s="204"/>
      <c r="C19" s="202" t="s">
        <v>5638</v>
      </c>
      <c r="D19" s="198">
        <f>MIN(_xlfn.ANCHORARRAY(D23))</f>
        <v>4.0999999999999996</v>
      </c>
      <c r="E19" s="198">
        <f t="shared" ref="E19:G19" si="1">MIN(_xlfn.ANCHORARRAY(E23))</f>
        <v>1.3426470588235295</v>
      </c>
      <c r="F19" s="198">
        <f t="shared" si="1"/>
        <v>0</v>
      </c>
      <c r="G19" s="215">
        <f t="shared" si="1"/>
        <v>0</v>
      </c>
      <c r="H19" s="131"/>
    </row>
    <row r="20" spans="1:9" ht="13" x14ac:dyDescent="0.25">
      <c r="A20" s="133"/>
      <c r="B20" s="204"/>
      <c r="C20" s="202" t="s">
        <v>5639</v>
      </c>
      <c r="D20" s="198">
        <f>AVERAGE(_xlfn.ANCHORARRAY(D23))</f>
        <v>13.268046909090911</v>
      </c>
      <c r="E20" s="198">
        <f t="shared" ref="E20:G20" si="2">AVERAGE(_xlfn.ANCHORARRAY(E23))</f>
        <v>4.1318190251820148</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44">_xlfn.UNIQUE(_xlfn._xlws.FILTER('EPD List'!D:D,ISNUMBER(SEARCH(B16,'EPD List'!C:C)),0))</f>
        <v>Carpet, , Colortec RE:THINK 500g, 1300g/m2 (Dansk Wilton) (Global)</v>
      </c>
      <c r="C23" s="132" t="str" cm="1">
        <f t="array" ref="C23:C44">_xlfn.IFNA(INDEX('EPD List'!$A:$AB,MATCH(_xlfn.ANCHORARRAY(B23),'EPD List'!$D:$D,0),MATCH(C$16,'EPD List'!$7:$7,0)),"")</f>
        <v>m²</v>
      </c>
      <c r="D23" s="198" cm="1">
        <f t="array" ref="D23:D44">_xlfn.IFNA(VALUE((INDEX('EPD List'!$A:$AD,MATCH(_xlfn.ANCHORARRAY($B23),'EPD List'!$D:$D,0),MATCH(D$16,'EPD List'!$7:$7,0)))),"")</f>
        <v>25.659999999999997</v>
      </c>
      <c r="E23" s="198" cm="1">
        <f t="array" ref="E23:E44">IFERROR(VALUE((INDEX('EPD List'!$A:$AD,MATCH(_xlfn.ANCHORARRAY($B23),'EPD List'!$D:$D,0),MATCH(E$16,'EPD List'!$7:$7,0)))),"")</f>
        <v>10.827004219409282</v>
      </c>
      <c r="F23" s="198" cm="1">
        <f t="array" ref="F23:F44">_xlfn.IFNA(VALUE((INDEX('EPD List'!$A:$AD,MATCH(_xlfn.ANCHORARRAY($B23),'EPD List'!$D:$D,0),MATCH(F$16,'EPD List'!$7:$7,0)))),"")</f>
        <v>0</v>
      </c>
      <c r="G23" s="215" cm="1">
        <f t="array" ref="G23:G44">IFERROR(VALUE((INDEX('EPD List'!$A:$AD,MATCH(_xlfn.ANCHORARRAY($B23),'EPD List'!$D:$D,0),MATCH(G$16,'EPD List'!$7:$7,0)))),"")</f>
        <v>0</v>
      </c>
      <c r="H23" s="131"/>
    </row>
    <row r="24" spans="1:9" x14ac:dyDescent="0.25">
      <c r="A24" s="133"/>
      <c r="B24" s="204" t="str">
        <v>Carpet tile, , Vibe carpet tiles (Burmatex) (United Kingdom)</v>
      </c>
      <c r="C24" s="132" t="str">
        <v>m²</v>
      </c>
      <c r="D24" s="198">
        <v>9.4324200000000005</v>
      </c>
      <c r="E24" s="198">
        <v>2.2565598086124408</v>
      </c>
      <c r="F24" s="198">
        <v>0</v>
      </c>
      <c r="G24" s="215">
        <v>0</v>
      </c>
      <c r="H24" s="131"/>
    </row>
    <row r="25" spans="1:9" x14ac:dyDescent="0.25">
      <c r="A25" s="133"/>
      <c r="B25" s="204" t="str">
        <v>Carpet, , Colortec RE:THINK 500g, 1100g/m2 (Dansk Wilton) (Global)</v>
      </c>
      <c r="C25" s="132" t="str">
        <v>m²</v>
      </c>
      <c r="D25" s="198">
        <v>22.703999999999997</v>
      </c>
      <c r="E25" s="198">
        <v>10.462672811059907</v>
      </c>
      <c r="F25" s="198">
        <v>0</v>
      </c>
      <c r="G25" s="215">
        <v>0</v>
      </c>
      <c r="H25" s="131"/>
    </row>
    <row r="26" spans="1:9" x14ac:dyDescent="0.25">
      <c r="A26" s="133"/>
      <c r="B26" s="204" t="str">
        <v>Carpet tile, , Nexus Cushion Modular Carpet Tile -Ultima 19oz face weight (J+J Flooring) (Global)</v>
      </c>
      <c r="C26" s="132" t="str">
        <v>m²</v>
      </c>
      <c r="D26" s="198">
        <v>17.600000000000001</v>
      </c>
      <c r="E26" s="198">
        <v>4.1706161137440763</v>
      </c>
      <c r="F26" s="198">
        <v>0</v>
      </c>
      <c r="G26" s="215">
        <v>0</v>
      </c>
      <c r="H26" s="131"/>
    </row>
    <row r="27" spans="1:9" x14ac:dyDescent="0.25">
      <c r="A27" s="133"/>
      <c r="B27" s="204" t="str">
        <v>Carpet tile, , Nexus Cushion Modular Carpet Tile - Encore 100 19oz face weight (J+J Flooring) (Global)</v>
      </c>
      <c r="C27" s="132" t="str">
        <v>m²</v>
      </c>
      <c r="D27" s="198">
        <v>14.4</v>
      </c>
      <c r="E27" s="198">
        <v>3.4123222748815167</v>
      </c>
      <c r="F27" s="198">
        <v>0</v>
      </c>
      <c r="G27" s="215">
        <v>0</v>
      </c>
      <c r="H27" s="131"/>
    </row>
    <row r="28" spans="1:9" x14ac:dyDescent="0.25">
      <c r="A28" s="133"/>
      <c r="B28" s="204" t="str">
        <v>Carpet tile, , Nexus Cushion Modular Carpet Tile - TerePlex 19oz face weight (J+J Flooring) (Global)</v>
      </c>
      <c r="C28" s="132" t="str">
        <v>m²</v>
      </c>
      <c r="D28" s="198">
        <v>17.5</v>
      </c>
      <c r="E28" s="198">
        <v>4.1469194312796214</v>
      </c>
      <c r="F28" s="198">
        <v>0</v>
      </c>
      <c r="G28" s="215">
        <v>0</v>
      </c>
      <c r="H28" s="131"/>
    </row>
    <row r="29" spans="1:9" x14ac:dyDescent="0.25">
      <c r="A29" s="133"/>
      <c r="B29" s="204" t="str">
        <v>Carpet, , Endure Plus Broadloom carpet - Ultima (J+J Flooring) (North America)</v>
      </c>
      <c r="C29" s="132" t="str">
        <v>m²</v>
      </c>
      <c r="D29" s="198">
        <v>12.3</v>
      </c>
      <c r="E29" s="198">
        <v>3.738601823708207</v>
      </c>
      <c r="F29" s="198">
        <v>0</v>
      </c>
      <c r="G29" s="215">
        <v>0</v>
      </c>
      <c r="H29" s="131"/>
    </row>
    <row r="30" spans="1:9" x14ac:dyDescent="0.25">
      <c r="A30" s="133"/>
      <c r="B30" s="204" t="str">
        <v>Carpet, , Endure Plus Broadloom carpet - Encore (J+J Flooring) (North America)</v>
      </c>
      <c r="C30" s="132" t="str">
        <v>m²</v>
      </c>
      <c r="D30" s="198">
        <v>8.5299999999999994</v>
      </c>
      <c r="E30" s="198">
        <v>2.5927051671732522</v>
      </c>
      <c r="F30" s="198">
        <v>0</v>
      </c>
      <c r="G30" s="215">
        <v>0</v>
      </c>
      <c r="H30" s="131"/>
    </row>
    <row r="31" spans="1:9" x14ac:dyDescent="0.25">
      <c r="A31" s="133"/>
      <c r="B31" s="204" t="str">
        <v>Carpet, , Endure Plus Broadloom carpet - TeraPlex (J+J Flooring) (North America)</v>
      </c>
      <c r="C31" s="132" t="str">
        <v>m²</v>
      </c>
      <c r="D31" s="198">
        <v>12.5</v>
      </c>
      <c r="E31" s="198">
        <v>3.7993920972644375</v>
      </c>
      <c r="F31" s="198">
        <v>0</v>
      </c>
      <c r="G31" s="215">
        <v>0</v>
      </c>
      <c r="H31" s="131"/>
    </row>
    <row r="32" spans="1:9" x14ac:dyDescent="0.25">
      <c r="A32" s="133"/>
      <c r="B32" s="204" t="str">
        <v>Carpet tile, , Nexus Cushion Modular Carpet Tile -Ultima (EF Contract) (North America)</v>
      </c>
      <c r="C32" s="132" t="str">
        <v>m²</v>
      </c>
      <c r="D32" s="198">
        <v>17.600000000000001</v>
      </c>
      <c r="E32" s="198">
        <v>4.1706161137440763</v>
      </c>
      <c r="F32" s="198">
        <v>0</v>
      </c>
      <c r="G32" s="215">
        <v>0</v>
      </c>
      <c r="H32" s="131"/>
    </row>
    <row r="33" spans="1:8" x14ac:dyDescent="0.25">
      <c r="A33" s="133"/>
      <c r="B33" s="204" t="str">
        <v>Carpet tile, , Nexus Cushion Modular Carpet Tile - Encore 100 (EF Contract) (North America)</v>
      </c>
      <c r="C33" s="132" t="str">
        <v>m²</v>
      </c>
      <c r="D33" s="198">
        <v>14.4</v>
      </c>
      <c r="E33" s="198">
        <v>3.4123222748815167</v>
      </c>
      <c r="F33" s="198">
        <v>0</v>
      </c>
      <c r="G33" s="215">
        <v>0</v>
      </c>
      <c r="H33" s="131"/>
    </row>
    <row r="34" spans="1:8" x14ac:dyDescent="0.25">
      <c r="A34" s="133"/>
      <c r="B34" s="204" t="str">
        <v>Carpet tile, , Nexus Cushion Modular Carpet Tile - TerePlex (EF Contract) (North America)</v>
      </c>
      <c r="C34" s="132" t="str">
        <v>m²</v>
      </c>
      <c r="D34" s="198">
        <v>17.5</v>
      </c>
      <c r="E34" s="198">
        <v>4.1469194312796214</v>
      </c>
      <c r="F34" s="198">
        <v>0</v>
      </c>
      <c r="G34" s="215">
        <v>0</v>
      </c>
      <c r="H34" s="131"/>
    </row>
    <row r="35" spans="1:8" x14ac:dyDescent="0.25">
      <c r="A35" s="133"/>
      <c r="B35" s="204" t="str">
        <v>Carpet, , Endure Plus Broadloom carpet - Ultima (EF Contract) (North America)</v>
      </c>
      <c r="C35" s="132" t="str">
        <v>m²</v>
      </c>
      <c r="D35" s="198">
        <v>12.3</v>
      </c>
      <c r="E35" s="198">
        <v>3.738601823708207</v>
      </c>
      <c r="F35" s="198">
        <v>0</v>
      </c>
      <c r="G35" s="215">
        <v>0</v>
      </c>
      <c r="H35" s="131"/>
    </row>
    <row r="36" spans="1:8" x14ac:dyDescent="0.25">
      <c r="A36" s="133"/>
      <c r="B36" s="204" t="str">
        <v>Carpet, , Endure Plus Broadloom carpet - Encore (EF Contract) (North America)</v>
      </c>
      <c r="C36" s="132" t="str">
        <v>m²</v>
      </c>
      <c r="D36" s="198">
        <v>8.5299999999999994</v>
      </c>
      <c r="E36" s="198">
        <v>2.5927051671732522</v>
      </c>
      <c r="F36" s="198">
        <v>0</v>
      </c>
      <c r="G36" s="215">
        <v>0</v>
      </c>
      <c r="H36" s="131"/>
    </row>
    <row r="37" spans="1:8" x14ac:dyDescent="0.25">
      <c r="A37" s="133"/>
      <c r="B37" s="204" t="str">
        <v>Carpet, , Endure Plus Broadloom carpet - TeraPlex (EF Contract) (North America)</v>
      </c>
      <c r="C37" s="132" t="str">
        <v>m²</v>
      </c>
      <c r="D37" s="198">
        <v>12.5</v>
      </c>
      <c r="E37" s="198">
        <v>3.7993920972644375</v>
      </c>
      <c r="F37" s="198">
        <v>0</v>
      </c>
      <c r="G37" s="215">
        <v>0</v>
      </c>
      <c r="H37" s="131"/>
    </row>
    <row r="38" spans="1:8" x14ac:dyDescent="0.25">
      <c r="A38" s="133"/>
      <c r="B38" s="204" t="str">
        <v>Carpet, , Colortec RE:THINK 500g, 1500g/m2 (Dansk Wilton) (Global)</v>
      </c>
      <c r="C38" s="132" t="str">
        <v>m²</v>
      </c>
      <c r="D38" s="198">
        <v>28.52</v>
      </c>
      <c r="E38" s="198">
        <v>11.097276264591441</v>
      </c>
      <c r="F38" s="198">
        <v>0</v>
      </c>
      <c r="G38" s="215">
        <v>0</v>
      </c>
      <c r="H38" s="131"/>
    </row>
    <row r="39" spans="1:8" x14ac:dyDescent="0.25">
      <c r="A39" s="133"/>
      <c r="B39" s="204" t="str">
        <v>Carpet Flooring, , EcoWorx® Carpet Tile (US Made UK Market) with EcoSolution Q®, Solution Q®, or Solution Q Extreme® Face Fibre (Shaw Contract (Shaw Europe Ltd.)) (Global)</v>
      </c>
      <c r="C39" s="132" t="str">
        <v>m²</v>
      </c>
      <c r="D39" s="198">
        <v>9.0806120000000004</v>
      </c>
      <c r="E39" s="198">
        <v>2.8919146496815284</v>
      </c>
      <c r="F39" s="198">
        <v>0</v>
      </c>
      <c r="G39" s="215">
        <v>0</v>
      </c>
      <c r="H39" s="131"/>
    </row>
    <row r="40" spans="1:8" x14ac:dyDescent="0.25">
      <c r="A40" s="133"/>
      <c r="B40" s="204" t="str">
        <v>Carpet Flooring, , Modular resilient flooring 4.5mm LVT (Interface) (Global)</v>
      </c>
      <c r="C40" s="132" t="str">
        <v>m²</v>
      </c>
      <c r="D40" s="198">
        <v>9.1300000000000008</v>
      </c>
      <c r="E40" s="198">
        <v>1.3426470588235295</v>
      </c>
      <c r="F40" s="198">
        <v>0</v>
      </c>
      <c r="G40" s="215">
        <v>0</v>
      </c>
      <c r="H40" s="131"/>
    </row>
    <row r="41" spans="1:8" x14ac:dyDescent="0.25">
      <c r="A41" s="133"/>
      <c r="B41" s="204" t="str">
        <v>Carpet Flooring, , Modular carpet on GlasBac (Interface) (Americas)</v>
      </c>
      <c r="C41" s="132" t="str">
        <v>m²</v>
      </c>
      <c r="D41" s="198">
        <v>4.78</v>
      </c>
      <c r="E41" s="198">
        <v>1.4937499999999999</v>
      </c>
      <c r="F41" s="198">
        <v>0</v>
      </c>
      <c r="G41" s="215">
        <v>0</v>
      </c>
      <c r="H41" s="131"/>
    </row>
    <row r="42" spans="1:8" x14ac:dyDescent="0.25">
      <c r="A42" s="133"/>
      <c r="B42" s="204" t="str">
        <v>Carpet Flooring, , Modular carpet on GlasBac (Interface) (APAC)</v>
      </c>
      <c r="C42" s="132" t="str">
        <v>m²</v>
      </c>
      <c r="D42" s="198">
        <v>5.54</v>
      </c>
      <c r="E42" s="198">
        <v>1.6787878787878789</v>
      </c>
      <c r="F42" s="198">
        <v>0</v>
      </c>
      <c r="G42" s="215">
        <v>0</v>
      </c>
      <c r="H42" s="131"/>
    </row>
    <row r="43" spans="1:8" x14ac:dyDescent="0.25">
      <c r="A43" s="133"/>
      <c r="B43" s="204" t="str">
        <v>Carpet Flooring, , Cord carpet roll  (Tretford Carpet) (Global)</v>
      </c>
      <c r="C43" s="132" t="str">
        <v>m²</v>
      </c>
      <c r="D43" s="198">
        <v>4.0999999999999996</v>
      </c>
      <c r="E43" s="198">
        <v>1.3898305084745761</v>
      </c>
      <c r="F43" s="198">
        <v>0</v>
      </c>
      <c r="G43" s="215">
        <v>0</v>
      </c>
      <c r="H43" s="131"/>
    </row>
    <row r="44" spans="1:8" x14ac:dyDescent="0.25">
      <c r="A44" s="133"/>
      <c r="B44" s="217" t="str">
        <v>Carpet Flooring, , StrataWorx Carpet Tile with EcoSolution Q, Solution Q, or Solution Q Extreme Face Fiber (Shaw Contract (Shaw Europe Ltd.)) (North America)</v>
      </c>
      <c r="C44" s="218" t="str">
        <v>m²</v>
      </c>
      <c r="D44" s="219">
        <v>7.29</v>
      </c>
      <c r="E44" s="219">
        <v>3.7384615384615385</v>
      </c>
      <c r="F44" s="219">
        <v>0</v>
      </c>
      <c r="G44" s="220">
        <v>0</v>
      </c>
      <c r="H44" s="131"/>
    </row>
    <row r="45" spans="1:8" x14ac:dyDescent="0.25">
      <c r="B45" s="130"/>
      <c r="C45" s="130"/>
      <c r="D45" s="207"/>
      <c r="E45" s="207"/>
      <c r="F45" s="207"/>
      <c r="G45" s="207"/>
    </row>
    <row r="90" spans="9:9" x14ac:dyDescent="0.25">
      <c r="I90" s="198"/>
    </row>
  </sheetData>
  <dataValidations count="1">
    <dataValidation type="list" allowBlank="1" showInputMessage="1" showErrorMessage="1" sqref="B6:B9" xr:uid="{94885692-C365-42F8-90AE-9E402E1B6D19}">
      <formula1>"Tier 1,Tier 2,Tier 3,Tier 4"</formula1>
    </dataValidation>
  </dataValidation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34D70-EB52-408D-BC37-7F219392F8FC}">
  <sheetPr codeName="Sheet115">
    <tabColor rgb="FF00CCFF"/>
  </sheetPr>
  <dimension ref="A1:S63"/>
  <sheetViews>
    <sheetView zoomScale="80" zoomScaleNormal="80" workbookViewId="0"/>
  </sheetViews>
  <sheetFormatPr defaultColWidth="9.1796875" defaultRowHeight="12.5" x14ac:dyDescent="0.25"/>
  <cols>
    <col min="1" max="1" width="29.1796875" style="132" bestFit="1" customWidth="1"/>
    <col min="2" max="2" width="79.26953125" style="132" bestFit="1" customWidth="1"/>
    <col min="3" max="3" width="17.81640625" style="132" bestFit="1" customWidth="1"/>
    <col min="4" max="4" width="26.453125" style="132" bestFit="1" customWidth="1"/>
    <col min="5" max="5" width="25.1796875" style="132" bestFit="1" customWidth="1"/>
    <col min="6" max="6" width="23.7265625" style="132" bestFit="1" customWidth="1"/>
    <col min="7" max="7" width="22.26953125" style="132" bestFit="1" customWidth="1"/>
    <col min="8" max="9" width="9.1796875" style="132" customWidth="1"/>
    <col min="10" max="10" width="53.54296875" style="132" bestFit="1" customWidth="1"/>
    <col min="11" max="11" width="8.7265625" style="132" bestFit="1" customWidth="1"/>
    <col min="12" max="12" width="17.54296875" style="132" customWidth="1"/>
    <col min="13" max="13" width="12.1796875" style="132" bestFit="1" customWidth="1"/>
    <col min="14" max="14" width="9.54296875" style="132" bestFit="1" customWidth="1"/>
    <col min="15" max="15" width="11.54296875" style="132" bestFit="1" customWidth="1"/>
    <col min="16" max="16" width="12.26953125" style="132" bestFit="1" customWidth="1"/>
    <col min="17" max="17" width="9.54296875" style="132" customWidth="1"/>
    <col min="18" max="18" width="17.7265625" style="132" bestFit="1" customWidth="1"/>
    <col min="19" max="19" width="80.26953125" style="132" bestFit="1" customWidth="1"/>
    <col min="20" max="16384" width="9.1796875" style="132"/>
  </cols>
  <sheetData>
    <row r="1" spans="1:19" ht="13" x14ac:dyDescent="0.25">
      <c r="A1" s="202" t="str">
        <f>B16</f>
        <v>Ceiling and wall systems</v>
      </c>
    </row>
    <row r="3" spans="1:19" ht="25" x14ac:dyDescent="0.25">
      <c r="A3" s="282" t="s">
        <v>5626</v>
      </c>
      <c r="B3" s="232" t="s">
        <v>5767</v>
      </c>
    </row>
    <row r="5" spans="1:19" ht="13" x14ac:dyDescent="0.25">
      <c r="A5" s="282" t="s">
        <v>5628</v>
      </c>
      <c r="B5" s="75"/>
    </row>
    <row r="6" spans="1:19" ht="13" x14ac:dyDescent="0.25">
      <c r="A6" s="282" t="s">
        <v>5708</v>
      </c>
      <c r="B6" s="75" t="s">
        <v>75</v>
      </c>
    </row>
    <row r="7" spans="1:19" ht="13" x14ac:dyDescent="0.25">
      <c r="A7" s="282" t="s">
        <v>5768</v>
      </c>
      <c r="B7" s="75" t="s">
        <v>75</v>
      </c>
    </row>
    <row r="8" spans="1:19" ht="13" x14ac:dyDescent="0.25">
      <c r="A8" s="282" t="s">
        <v>5769</v>
      </c>
      <c r="B8" s="75" t="s">
        <v>75</v>
      </c>
    </row>
    <row r="9" spans="1:19" ht="13" x14ac:dyDescent="0.25">
      <c r="A9" s="282" t="s">
        <v>5711</v>
      </c>
      <c r="B9" s="75" t="s">
        <v>75</v>
      </c>
    </row>
    <row r="11" spans="1:19" ht="13" x14ac:dyDescent="0.25">
      <c r="A11" s="282" t="s">
        <v>5634</v>
      </c>
      <c r="B11" s="232"/>
    </row>
    <row r="12" spans="1:19" x14ac:dyDescent="0.25">
      <c r="L12" s="132" t="str" cm="1">
        <f t="array" aca="1" ref="L12:R12" ca="1">INDEX('EF Table_detail'!G:G,MATCH(L16:R16,'EF Table_detail'!B:B,0))</f>
        <v>Tier 2</v>
      </c>
      <c r="M12" s="132" t="str">
        <f ca="1"/>
        <v>Tier 4</v>
      </c>
      <c r="N12" s="132" t="str">
        <f ca="1"/>
        <v>Tier 2</v>
      </c>
      <c r="O12" s="132" t="str">
        <f ca="1"/>
        <v>Tier 4</v>
      </c>
      <c r="P12" s="132" t="str">
        <f ca="1"/>
        <v>Tier 2</v>
      </c>
      <c r="Q12" s="132" t="str">
        <f ca="1"/>
        <v>Tier 3</v>
      </c>
      <c r="R12" s="132" t="str">
        <f ca="1"/>
        <v>Tier 2</v>
      </c>
    </row>
    <row r="14" spans="1:19" ht="37.5" x14ac:dyDescent="0.25">
      <c r="A14" s="202" t="s">
        <v>5635</v>
      </c>
      <c r="B14" s="143" t="s">
        <v>5770</v>
      </c>
      <c r="D14" s="135"/>
      <c r="E14" s="135"/>
      <c r="F14" s="135"/>
      <c r="G14" s="135"/>
    </row>
    <row r="15" spans="1:19" ht="13" x14ac:dyDescent="0.25">
      <c r="B15" s="135"/>
      <c r="C15" s="136"/>
      <c r="D15" s="299" t="s">
        <v>77</v>
      </c>
      <c r="E15" s="300"/>
      <c r="F15" s="299" t="s">
        <v>5424</v>
      </c>
      <c r="G15" s="301"/>
      <c r="H15" s="131"/>
      <c r="L15" s="202" t="s">
        <v>5771</v>
      </c>
    </row>
    <row r="16" spans="1:19" ht="37.5" customHeight="1" x14ac:dyDescent="0.25">
      <c r="A16" s="133"/>
      <c r="B16" s="283" t="s">
        <v>5772</v>
      </c>
      <c r="C16" s="297" t="s">
        <v>24</v>
      </c>
      <c r="D16" s="284" t="s">
        <v>5719</v>
      </c>
      <c r="E16" s="284" t="s">
        <v>5720</v>
      </c>
      <c r="F16" s="284" t="s">
        <v>5721</v>
      </c>
      <c r="G16" s="284" t="s">
        <v>5722</v>
      </c>
      <c r="H16" s="131"/>
      <c r="J16" s="234" t="s">
        <v>5723</v>
      </c>
      <c r="K16" s="234"/>
      <c r="L16" s="235" t="s">
        <v>5493</v>
      </c>
      <c r="M16" s="235" t="s">
        <v>4546</v>
      </c>
      <c r="N16" s="235" t="s">
        <v>4768</v>
      </c>
      <c r="O16" s="235" t="s">
        <v>5557</v>
      </c>
      <c r="P16" s="235" t="s">
        <v>3562</v>
      </c>
      <c r="Q16" s="235" t="s">
        <v>3374</v>
      </c>
      <c r="R16" s="235" t="s">
        <v>5546</v>
      </c>
      <c r="S16" s="237" t="s">
        <v>5442</v>
      </c>
    </row>
    <row r="17" spans="1:19" ht="13" x14ac:dyDescent="0.25">
      <c r="A17" s="133"/>
      <c r="B17" s="346" t="s">
        <v>5593</v>
      </c>
      <c r="C17" s="130" t="s">
        <v>5731</v>
      </c>
      <c r="D17" s="285" t="s">
        <v>2789</v>
      </c>
      <c r="E17" s="285" t="s">
        <v>2774</v>
      </c>
      <c r="F17" s="285" t="s">
        <v>2789</v>
      </c>
      <c r="G17" s="347" t="s">
        <v>2774</v>
      </c>
      <c r="H17" s="131"/>
      <c r="J17" s="238" t="str">
        <f>IF(B17&lt;&gt;"",B17,J16)</f>
        <v>Wall system steel frame - 2 sides plasterboard (92mm stud)</v>
      </c>
      <c r="K17" s="238" t="str">
        <f>C17</f>
        <v>Unit</v>
      </c>
      <c r="L17" s="239" t="str">
        <f>"kg/"&amp;$D17</f>
        <v>kg/m²</v>
      </c>
      <c r="M17" s="239" t="str">
        <f t="shared" ref="M17:R17" si="0">"kg/"&amp;$D17</f>
        <v>kg/m²</v>
      </c>
      <c r="N17" s="239" t="str">
        <f t="shared" si="0"/>
        <v>kg/m²</v>
      </c>
      <c r="O17" s="239" t="str">
        <f t="shared" si="0"/>
        <v>kg/m²</v>
      </c>
      <c r="P17" s="239" t="str">
        <f t="shared" si="0"/>
        <v>kg/m²</v>
      </c>
      <c r="Q17" s="239" t="str">
        <f t="shared" si="0"/>
        <v>kg/m²</v>
      </c>
      <c r="R17" s="239" t="str">
        <f t="shared" si="0"/>
        <v>kg/m²</v>
      </c>
      <c r="S17" s="132" t="s">
        <v>5773</v>
      </c>
    </row>
    <row r="18" spans="1:19" x14ac:dyDescent="0.25">
      <c r="A18" s="133"/>
      <c r="B18" s="204"/>
      <c r="C18" s="132" t="s">
        <v>32</v>
      </c>
      <c r="D18" s="132" cm="1">
        <f t="array" aca="1" ref="D18" ca="1">SUMPRODUCT($L18:$R18,INDEX('EF Table_detail'!$R:$R,MATCH($L$16:$R$16,'EF Table_detail'!$B:$B,0)))</f>
        <v>20.837249999999997</v>
      </c>
      <c r="E18" s="132">
        <f ca="1">D18/SUM($L18:$R18)</f>
        <v>0.77032347504621057</v>
      </c>
      <c r="F18" s="132" cm="1">
        <f t="array" aca="1" ref="F18" ca="1">SUMPRODUCT($L18:$R18,INDEX('EF Table_detail'!$V:$V,MATCH($L$16:$R$16,'EF Table_detail'!$B:$B,0)))</f>
        <v>5.0581666666666676</v>
      </c>
      <c r="G18" s="216">
        <f ca="1">F18/SUM($L18:$R18)</f>
        <v>0.18699322242760325</v>
      </c>
      <c r="H18" s="131"/>
      <c r="J18" s="238" t="str">
        <f t="shared" ref="J18:J60" si="1">IF(B18&lt;&gt;"",B18,J17)</f>
        <v>Wall system steel frame - 2 sides plasterboard (92mm stud)</v>
      </c>
      <c r="K18" s="238" t="str">
        <f t="shared" ref="K18:K60" si="2">C18</f>
        <v>Max in category EF</v>
      </c>
      <c r="L18" s="132">
        <v>2.25</v>
      </c>
      <c r="M18" s="132">
        <f>12.4*2</f>
        <v>24.8</v>
      </c>
    </row>
    <row r="19" spans="1:19" x14ac:dyDescent="0.25">
      <c r="A19" s="133"/>
      <c r="B19" s="204"/>
      <c r="C19" s="132" t="s">
        <v>34</v>
      </c>
      <c r="D19" s="132" cm="1">
        <f t="array" aca="1" ref="D19" ca="1">SUMPRODUCT($L18:$R18,INDEX('EF Table_detail'!$O:$O,MATCH($L$16:$R$16,'EF Table_detail'!$B:$B,0)))</f>
        <v>10.477903143812709</v>
      </c>
      <c r="E19" s="132">
        <f ca="1">D19/SUM($L18:$R18)</f>
        <v>0.38735316612985982</v>
      </c>
      <c r="G19" s="216"/>
      <c r="H19" s="131"/>
      <c r="J19" s="238" t="str">
        <f t="shared" si="1"/>
        <v>Wall system steel frame - 2 sides plasterboard (92mm stud)</v>
      </c>
      <c r="K19" s="238" t="str">
        <f t="shared" si="2"/>
        <v>Min in category EF</v>
      </c>
    </row>
    <row r="20" spans="1:19" x14ac:dyDescent="0.25">
      <c r="A20" s="133"/>
      <c r="B20" s="204"/>
      <c r="C20" s="132" t="s">
        <v>36</v>
      </c>
      <c r="D20" s="132" cm="1">
        <f t="array" aca="1" ref="D20" ca="1">SUMPRODUCT($L18:$R18,INDEX('EF Table_detail'!$P:$P,MATCH($L$16:$R$16,'EF Table_detail'!$B:$B,0)))</f>
        <v>14.32736434138814</v>
      </c>
      <c r="E20" s="132">
        <f ca="1">D20/SUM($L18:$R18)</f>
        <v>0.52966226770381297</v>
      </c>
      <c r="F20" s="132" cm="1">
        <f t="array" aca="1" ref="F20" ca="1">SUMPRODUCT($L18:$R18,INDEX('EF Table_detail'!$W:$W,MATCH($L$16:$R$16,'EF Table_detail'!$B:$B,0)))</f>
        <v>0.99131514516407881</v>
      </c>
      <c r="G20" s="216">
        <f ca="1">F20/SUM($L18:$R18)</f>
        <v>3.664750998758147E-2</v>
      </c>
      <c r="H20" s="131"/>
      <c r="J20" s="238" t="str">
        <f t="shared" si="1"/>
        <v>Wall system steel frame - 2 sides plasterboard (92mm stud)</v>
      </c>
      <c r="K20" s="238" t="str">
        <f t="shared" si="2"/>
        <v>Average EF</v>
      </c>
    </row>
    <row r="21" spans="1:19" ht="13" x14ac:dyDescent="0.25">
      <c r="A21" s="133"/>
      <c r="B21" s="197" t="s">
        <v>5590</v>
      </c>
      <c r="C21" s="132" t="s">
        <v>5731</v>
      </c>
      <c r="D21" s="239" t="s">
        <v>2789</v>
      </c>
      <c r="E21" s="239" t="s">
        <v>2774</v>
      </c>
      <c r="F21" s="239" t="s">
        <v>2789</v>
      </c>
      <c r="G21" s="291" t="s">
        <v>2774</v>
      </c>
      <c r="H21" s="131"/>
      <c r="J21" s="238" t="str">
        <f t="shared" si="1"/>
        <v>Wall system steel frame - 1 side plasterboard (92mm stud)</v>
      </c>
      <c r="K21" s="238" t="str">
        <f t="shared" si="2"/>
        <v>Unit</v>
      </c>
      <c r="L21" s="239" t="str">
        <f>"kg/"&amp;$D21</f>
        <v>kg/m²</v>
      </c>
      <c r="M21" s="239" t="str">
        <f t="shared" ref="M21:R21" si="3">"kg/"&amp;$D21</f>
        <v>kg/m²</v>
      </c>
      <c r="N21" s="239" t="str">
        <f t="shared" si="3"/>
        <v>kg/m²</v>
      </c>
      <c r="O21" s="239" t="str">
        <f t="shared" si="3"/>
        <v>kg/m²</v>
      </c>
      <c r="P21" s="239" t="str">
        <f t="shared" si="3"/>
        <v>kg/m²</v>
      </c>
      <c r="Q21" s="239" t="str">
        <f t="shared" si="3"/>
        <v>kg/m²</v>
      </c>
      <c r="R21" s="239" t="str">
        <f t="shared" si="3"/>
        <v>kg/m²</v>
      </c>
      <c r="S21" s="132" t="s">
        <v>5773</v>
      </c>
    </row>
    <row r="22" spans="1:19" x14ac:dyDescent="0.25">
      <c r="A22" s="133"/>
      <c r="B22" s="204"/>
      <c r="C22" s="132" t="s">
        <v>32</v>
      </c>
      <c r="D22" s="132" cm="1">
        <f t="array" aca="1" ref="D22" ca="1">SUMPRODUCT($L22:$R22,INDEX('EF Table_detail'!$R:$R,MATCH($L$16:$R$16,'EF Table_detail'!$B:$B,0)))</f>
        <v>14.978249999999999</v>
      </c>
      <c r="E22" s="132">
        <f t="shared" ref="E22" ca="1" si="4">D22/SUM($L22:$R22)</f>
        <v>1.0224061433447098</v>
      </c>
      <c r="F22" s="132" cm="1">
        <f t="array" aca="1" ref="F22" ca="1">SUMPRODUCT($L22:$R22,INDEX('EF Table_detail'!$V:$V,MATCH($L$16:$R$16,'EF Table_detail'!$B:$B,0)))</f>
        <v>2.5290833333333338</v>
      </c>
      <c r="G22" s="216">
        <f t="shared" ref="G22" ca="1" si="5">F22/SUM($L22:$R22)</f>
        <v>0.17263367463026169</v>
      </c>
      <c r="H22" s="131"/>
      <c r="J22" s="238" t="str">
        <f t="shared" si="1"/>
        <v>Wall system steel frame - 1 side plasterboard (92mm stud)</v>
      </c>
      <c r="K22" s="238" t="str">
        <f t="shared" si="2"/>
        <v>Max in category EF</v>
      </c>
      <c r="L22" s="132">
        <f>0.00225*1000</f>
        <v>2.25</v>
      </c>
      <c r="M22" s="132">
        <v>12.4</v>
      </c>
    </row>
    <row r="23" spans="1:19" x14ac:dyDescent="0.25">
      <c r="A23" s="133"/>
      <c r="B23" s="204"/>
      <c r="C23" s="132" t="s">
        <v>34</v>
      </c>
      <c r="D23" s="132" cm="1">
        <f t="array" aca="1" ref="D23" ca="1">SUMPRODUCT($L22:$R22,INDEX('EF Table_detail'!$O:$O,MATCH($L$16:$R$16,'EF Table_detail'!$B:$B,0)))</f>
        <v>8.3054231438127086</v>
      </c>
      <c r="E23" s="132">
        <f t="shared" ref="E23" ca="1" si="6">D23/SUM($L22:$R22)</f>
        <v>0.56692308148892212</v>
      </c>
      <c r="G23" s="216"/>
      <c r="H23" s="131"/>
      <c r="J23" s="238" t="str">
        <f t="shared" si="1"/>
        <v>Wall system steel frame - 1 side plasterboard (92mm stud)</v>
      </c>
      <c r="K23" s="238" t="str">
        <f t="shared" si="2"/>
        <v>Min in category EF</v>
      </c>
    </row>
    <row r="24" spans="1:19" x14ac:dyDescent="0.25">
      <c r="A24" s="133"/>
      <c r="B24" s="204"/>
      <c r="C24" s="132" t="s">
        <v>36</v>
      </c>
      <c r="D24" s="132" cm="1">
        <f t="array" aca="1" ref="D24" ca="1">SUMPRODUCT($L22:$R22,INDEX('EF Table_detail'!$P:$P,MATCH($L$16:$R$16,'EF Table_detail'!$B:$B,0)))</f>
        <v>10.553287057719093</v>
      </c>
      <c r="E24" s="132">
        <f t="shared" ref="E24" ca="1" si="7">D24/SUM($L22:$R22)</f>
        <v>0.72036089131188341</v>
      </c>
      <c r="F24" s="132" cm="1">
        <f t="array" aca="1" ref="F24" ca="1">SUMPRODUCT($L22:$R22,INDEX('EF Table_detail'!$W:$W,MATCH($L$16:$R$16,'EF Table_detail'!$B:$B,0)))</f>
        <v>0.49565757258203941</v>
      </c>
      <c r="G24" s="216">
        <f t="shared" ref="G24" ca="1" si="8">F24/SUM($L22:$R22)</f>
        <v>3.3833281404917363E-2</v>
      </c>
      <c r="H24" s="131"/>
      <c r="J24" s="238" t="str">
        <f t="shared" si="1"/>
        <v>Wall system steel frame - 1 side plasterboard (92mm stud)</v>
      </c>
      <c r="K24" s="238" t="str">
        <f t="shared" si="2"/>
        <v>Average EF</v>
      </c>
    </row>
    <row r="25" spans="1:19" ht="13" x14ac:dyDescent="0.25">
      <c r="A25" s="133"/>
      <c r="B25" s="197" t="s">
        <v>5594</v>
      </c>
      <c r="C25" s="132" t="s">
        <v>5731</v>
      </c>
      <c r="D25" s="239" t="s">
        <v>2789</v>
      </c>
      <c r="E25" s="239" t="s">
        <v>2774</v>
      </c>
      <c r="F25" s="239" t="s">
        <v>2789</v>
      </c>
      <c r="G25" s="291" t="s">
        <v>2774</v>
      </c>
      <c r="H25" s="131"/>
      <c r="J25" s="238" t="str">
        <f t="shared" si="1"/>
        <v>Wall system steel frame - 2 sides plasterboard (150 mm stud)</v>
      </c>
      <c r="K25" s="238" t="str">
        <f t="shared" si="2"/>
        <v>Unit</v>
      </c>
      <c r="L25" s="239" t="str">
        <f>"kg/"&amp;$D25</f>
        <v>kg/m²</v>
      </c>
      <c r="M25" s="239" t="str">
        <f t="shared" ref="M25:R25" si="9">"kg/"&amp;$D25</f>
        <v>kg/m²</v>
      </c>
      <c r="N25" s="239" t="str">
        <f t="shared" si="9"/>
        <v>kg/m²</v>
      </c>
      <c r="O25" s="239" t="str">
        <f t="shared" si="9"/>
        <v>kg/m²</v>
      </c>
      <c r="P25" s="239" t="str">
        <f t="shared" si="9"/>
        <v>kg/m²</v>
      </c>
      <c r="Q25" s="239" t="str">
        <f t="shared" si="9"/>
        <v>kg/m²</v>
      </c>
      <c r="R25" s="239" t="str">
        <f t="shared" si="9"/>
        <v>kg/m²</v>
      </c>
      <c r="S25" s="132" t="s">
        <v>5773</v>
      </c>
    </row>
    <row r="26" spans="1:19" x14ac:dyDescent="0.25">
      <c r="A26" s="133"/>
      <c r="B26" s="204"/>
      <c r="C26" s="132" t="s">
        <v>32</v>
      </c>
      <c r="D26" s="132" cm="1">
        <f t="array" aca="1" ref="D26" ca="1">SUMPRODUCT($L26:$R26,INDEX('EF Table_detail'!$R:$R,MATCH($L$16:$R$16,'EF Table_detail'!$B:$B,0)))</f>
        <v>26.592509999999997</v>
      </c>
      <c r="E26" s="132">
        <f t="shared" ref="E26" ca="1" si="10">D26/SUM($L26:$R26)</f>
        <v>0.9340537407797681</v>
      </c>
      <c r="F26" s="132" cm="1">
        <f t="array" aca="1" ref="F26" ca="1">SUMPRODUCT($L26:$R26,INDEX('EF Table_detail'!$V:$V,MATCH($L$16:$R$16,'EF Table_detail'!$B:$B,0)))</f>
        <v>5.0581666666666676</v>
      </c>
      <c r="G26" s="216">
        <f t="shared" ref="G26" ca="1" si="11">F26/SUM($L26:$R26)</f>
        <v>0.17766654958435785</v>
      </c>
      <c r="H26" s="131"/>
      <c r="J26" s="238" t="str">
        <f t="shared" si="1"/>
        <v>Wall system steel frame - 2 sides plasterboard (150 mm stud)</v>
      </c>
      <c r="K26" s="238" t="str">
        <f t="shared" si="2"/>
        <v>Max in category EF</v>
      </c>
      <c r="L26" s="132">
        <v>3.67</v>
      </c>
      <c r="M26" s="132">
        <f>12.4*2</f>
        <v>24.8</v>
      </c>
    </row>
    <row r="27" spans="1:19" x14ac:dyDescent="0.25">
      <c r="A27" s="133"/>
      <c r="B27" s="204"/>
      <c r="C27" s="132" t="s">
        <v>34</v>
      </c>
      <c r="D27" s="132" cm="1">
        <f t="array" aca="1" ref="D27" ca="1">SUMPRODUCT($L26:$R26,INDEX('EF Table_detail'!$O:$O,MATCH($L$16:$R$16,'EF Table_detail'!$B:$B,0)))</f>
        <v>14.348471705685618</v>
      </c>
      <c r="E27" s="132">
        <f t="shared" ref="E27" ca="1" si="12">D27/SUM($L26:$R26)</f>
        <v>0.50398565878769297</v>
      </c>
      <c r="G27" s="216"/>
      <c r="H27" s="131"/>
      <c r="J27" s="238" t="str">
        <f t="shared" si="1"/>
        <v>Wall system steel frame - 2 sides plasterboard (150 mm stud)</v>
      </c>
      <c r="K27" s="238" t="str">
        <f t="shared" si="2"/>
        <v>Min in category EF</v>
      </c>
    </row>
    <row r="28" spans="1:19" x14ac:dyDescent="0.25">
      <c r="A28" s="133"/>
      <c r="B28" s="204"/>
      <c r="C28" s="132" t="s">
        <v>36</v>
      </c>
      <c r="D28" s="132" cm="1">
        <f t="array" aca="1" ref="D28" ca="1">SUMPRODUCT($L26:$R26,INDEX('EF Table_detail'!$P:$P,MATCH($L$16:$R$16,'EF Table_detail'!$B:$B,0)))</f>
        <v>18.60579895434417</v>
      </c>
      <c r="E28" s="132">
        <f t="shared" ref="E28" ca="1" si="13">D28/SUM($L26:$R26)</f>
        <v>0.65352296994535197</v>
      </c>
      <c r="F28" s="132" cm="1">
        <f t="array" aca="1" ref="F28" ca="1">SUMPRODUCT($L26:$R26,INDEX('EF Table_detail'!$W:$W,MATCH($L$16:$R$16,'EF Table_detail'!$B:$B,0)))</f>
        <v>0.99131514516407881</v>
      </c>
      <c r="G28" s="216">
        <f t="shared" ref="G28" ca="1" si="14">F28/SUM($L26:$R26)</f>
        <v>3.4819639802040003E-2</v>
      </c>
      <c r="H28" s="131"/>
      <c r="J28" s="238" t="str">
        <f t="shared" si="1"/>
        <v>Wall system steel frame - 2 sides plasterboard (150 mm stud)</v>
      </c>
      <c r="K28" s="238" t="str">
        <f t="shared" si="2"/>
        <v>Average EF</v>
      </c>
    </row>
    <row r="29" spans="1:19" ht="13" x14ac:dyDescent="0.25">
      <c r="A29" s="133"/>
      <c r="B29" s="197" t="s">
        <v>5595</v>
      </c>
      <c r="C29" s="132" t="s">
        <v>5731</v>
      </c>
      <c r="D29" s="239" t="s">
        <v>2789</v>
      </c>
      <c r="E29" s="239" t="s">
        <v>2774</v>
      </c>
      <c r="F29" s="239" t="s">
        <v>2789</v>
      </c>
      <c r="G29" s="291" t="s">
        <v>2774</v>
      </c>
      <c r="H29" s="131"/>
      <c r="J29" s="238" t="str">
        <f t="shared" si="1"/>
        <v>Wall system steel frame - 1 side plasterboard (150 mm stud)</v>
      </c>
      <c r="K29" s="238" t="str">
        <f t="shared" si="2"/>
        <v>Unit</v>
      </c>
      <c r="L29" s="239" t="str">
        <f>"kg/"&amp;$D29</f>
        <v>kg/m²</v>
      </c>
      <c r="M29" s="239" t="str">
        <f t="shared" ref="M29:R29" si="15">"kg/"&amp;$D29</f>
        <v>kg/m²</v>
      </c>
      <c r="N29" s="239" t="str">
        <f t="shared" si="15"/>
        <v>kg/m²</v>
      </c>
      <c r="O29" s="239" t="str">
        <f t="shared" si="15"/>
        <v>kg/m²</v>
      </c>
      <c r="P29" s="239" t="str">
        <f t="shared" si="15"/>
        <v>kg/m²</v>
      </c>
      <c r="Q29" s="239" t="str">
        <f t="shared" si="15"/>
        <v>kg/m²</v>
      </c>
      <c r="R29" s="239" t="str">
        <f t="shared" si="15"/>
        <v>kg/m²</v>
      </c>
      <c r="S29" s="132" t="s">
        <v>5773</v>
      </c>
    </row>
    <row r="30" spans="1:19" x14ac:dyDescent="0.25">
      <c r="A30" s="133"/>
      <c r="B30" s="204"/>
      <c r="C30" s="132" t="s">
        <v>32</v>
      </c>
      <c r="D30" s="132" cm="1">
        <f t="array" aca="1" ref="D30" ca="1">SUMPRODUCT($L30:$R30,INDEX('EF Table_detail'!$R:$R,MATCH($L$16:$R$16,'EF Table_detail'!$B:$B,0)))</f>
        <v>20.733509999999999</v>
      </c>
      <c r="E30" s="132">
        <f t="shared" ref="E30" ca="1" si="16">D30/SUM($L30:$R30)</f>
        <v>1.2901997510889855</v>
      </c>
      <c r="F30" s="132" cm="1">
        <f t="array" aca="1" ref="F30" ca="1">SUMPRODUCT($L30:$R30,INDEX('EF Table_detail'!$V:$V,MATCH($L$16:$R$16,'EF Table_detail'!$B:$B,0)))</f>
        <v>2.5290833333333338</v>
      </c>
      <c r="G30" s="216">
        <f t="shared" ref="G30" ca="1" si="17">F30/SUM($L30:$R30)</f>
        <v>0.15737917444513588</v>
      </c>
      <c r="H30" s="131"/>
      <c r="J30" s="238" t="str">
        <f t="shared" si="1"/>
        <v>Wall system steel frame - 1 side plasterboard (150 mm stud)</v>
      </c>
      <c r="K30" s="238" t="str">
        <f t="shared" si="2"/>
        <v>Max in category EF</v>
      </c>
      <c r="L30" s="132">
        <v>3.67</v>
      </c>
      <c r="M30" s="132">
        <v>12.4</v>
      </c>
    </row>
    <row r="31" spans="1:19" x14ac:dyDescent="0.25">
      <c r="A31" s="133"/>
      <c r="B31" s="204"/>
      <c r="C31" s="132" t="s">
        <v>34</v>
      </c>
      <c r="D31" s="132" cm="1">
        <f t="array" aca="1" ref="D31" ca="1">SUMPRODUCT($L30:$R30,INDEX('EF Table_detail'!$O:$O,MATCH($L$16:$R$16,'EF Table_detail'!$B:$B,0)))</f>
        <v>12.175991705685618</v>
      </c>
      <c r="E31" s="132">
        <f t="shared" ref="E31" ca="1" si="18">D31/SUM($L30:$R30)</f>
        <v>0.75768461143034338</v>
      </c>
      <c r="G31" s="216"/>
      <c r="H31" s="131"/>
      <c r="J31" s="238" t="str">
        <f t="shared" si="1"/>
        <v>Wall system steel frame - 1 side plasterboard (150 mm stud)</v>
      </c>
      <c r="K31" s="238" t="str">
        <f t="shared" si="2"/>
        <v>Min in category EF</v>
      </c>
    </row>
    <row r="32" spans="1:19" x14ac:dyDescent="0.25">
      <c r="A32" s="133"/>
      <c r="B32" s="204"/>
      <c r="C32" s="132" t="s">
        <v>36</v>
      </c>
      <c r="D32" s="132" cm="1">
        <f t="array" aca="1" ref="D32" ca="1">SUMPRODUCT($L30:$R30,INDEX('EF Table_detail'!$P:$P,MATCH($L$16:$R$16,'EF Table_detail'!$B:$B,0)))</f>
        <v>14.831721670675122</v>
      </c>
      <c r="E32" s="132">
        <f t="shared" ref="E32" ca="1" si="19">D32/SUM($L30:$R30)</f>
        <v>0.92294472126167526</v>
      </c>
      <c r="F32" s="132" cm="1">
        <f t="array" aca="1" ref="F32" ca="1">SUMPRODUCT($L30:$R30,INDEX('EF Table_detail'!$W:$W,MATCH($L$16:$R$16,'EF Table_detail'!$B:$B,0)))</f>
        <v>0.49565757258203941</v>
      </c>
      <c r="G32" s="216">
        <f t="shared" ref="G32" ca="1" si="20">F32/SUM($L30:$R30)</f>
        <v>3.0843657285752297E-2</v>
      </c>
      <c r="H32" s="131"/>
      <c r="J32" s="238" t="str">
        <f t="shared" si="1"/>
        <v>Wall system steel frame - 1 side plasterboard (150 mm stud)</v>
      </c>
      <c r="K32" s="238" t="str">
        <f t="shared" si="2"/>
        <v>Average EF</v>
      </c>
    </row>
    <row r="33" spans="1:19" ht="13" x14ac:dyDescent="0.25">
      <c r="A33" s="133"/>
      <c r="B33" s="197" t="s">
        <v>5596</v>
      </c>
      <c r="C33" s="132" t="s">
        <v>5731</v>
      </c>
      <c r="D33" s="239" t="s">
        <v>2789</v>
      </c>
      <c r="E33" s="239" t="s">
        <v>2774</v>
      </c>
      <c r="F33" s="239" t="s">
        <v>2789</v>
      </c>
      <c r="G33" s="291" t="s">
        <v>2774</v>
      </c>
      <c r="H33" s="131"/>
      <c r="J33" s="238" t="str">
        <f t="shared" si="1"/>
        <v xml:space="preserve">Wall system timber frame - 2 sides plasterboard </v>
      </c>
      <c r="K33" s="238" t="str">
        <f t="shared" si="2"/>
        <v>Unit</v>
      </c>
      <c r="L33" s="239" t="str">
        <f>"kg/"&amp;$D33</f>
        <v>kg/m²</v>
      </c>
      <c r="M33" s="239" t="str">
        <f t="shared" ref="M33:R33" si="21">"kg/"&amp;$D33</f>
        <v>kg/m²</v>
      </c>
      <c r="N33" s="239" t="str">
        <f t="shared" si="21"/>
        <v>kg/m²</v>
      </c>
      <c r="O33" s="239" t="str">
        <f t="shared" si="21"/>
        <v>kg/m²</v>
      </c>
      <c r="P33" s="239" t="str">
        <f t="shared" si="21"/>
        <v>kg/m²</v>
      </c>
      <c r="Q33" s="239" t="str">
        <f t="shared" si="21"/>
        <v>kg/m²</v>
      </c>
      <c r="R33" s="239" t="str">
        <f t="shared" si="21"/>
        <v>kg/m²</v>
      </c>
      <c r="S33" s="132" t="s">
        <v>5773</v>
      </c>
    </row>
    <row r="34" spans="1:19" x14ac:dyDescent="0.25">
      <c r="A34" s="133"/>
      <c r="B34" s="204"/>
      <c r="C34" s="132" t="s">
        <v>32</v>
      </c>
      <c r="D34" s="132" cm="1">
        <f t="array" aca="1" ref="D34" ca="1">SUMPRODUCT($L34:$R34,INDEX('EF Table_detail'!$R:$R,MATCH($L$16:$R$16,'EF Table_detail'!$B:$B,0)))</f>
        <v>14.983605266787659</v>
      </c>
      <c r="E34" s="132">
        <f t="shared" ref="E34" ca="1" si="22">D34/SUM($L34:$R34)</f>
        <v>0.50012033600759875</v>
      </c>
      <c r="F34" s="132" cm="1">
        <f t="array" aca="1" ref="F34" ca="1">SUMPRODUCT($L34:$R34,INDEX('EF Table_detail'!$V:$V,MATCH($L$16:$R$16,'EF Table_detail'!$B:$B,0)))</f>
        <v>13.382966666666668</v>
      </c>
      <c r="G34" s="216">
        <f t="shared" ref="G34" ca="1" si="23">F34/SUM($L34:$R34)</f>
        <v>0.44669448153093017</v>
      </c>
      <c r="H34" s="131"/>
      <c r="J34" s="238" t="str">
        <f t="shared" si="1"/>
        <v xml:space="preserve">Wall system timber frame - 2 sides plasterboard </v>
      </c>
      <c r="K34" s="238" t="str">
        <f t="shared" si="2"/>
        <v>Max in category EF</v>
      </c>
      <c r="M34" s="132">
        <f>12.4*2</f>
        <v>24.8</v>
      </c>
      <c r="N34" s="132">
        <v>5.16</v>
      </c>
    </row>
    <row r="35" spans="1:19" x14ac:dyDescent="0.25">
      <c r="A35" s="133"/>
      <c r="B35" s="204"/>
      <c r="C35" s="132" t="s">
        <v>34</v>
      </c>
      <c r="D35" s="132" cm="1">
        <f t="array" aca="1" ref="D35" ca="1">SUMPRODUCT($L34:$R34,INDEX('EF Table_detail'!$O:$O,MATCH($L$16:$R$16,'EF Table_detail'!$B:$B,0)))</f>
        <v>5.4006217059891126</v>
      </c>
      <c r="E35" s="132">
        <f t="shared" ref="E35" ca="1" si="24">D35/SUM($L34:$R34)</f>
        <v>0.18026107162847504</v>
      </c>
      <c r="G35" s="216"/>
      <c r="H35" s="131"/>
      <c r="J35" s="238" t="str">
        <f t="shared" si="1"/>
        <v xml:space="preserve">Wall system timber frame - 2 sides plasterboard </v>
      </c>
      <c r="K35" s="238" t="str">
        <f t="shared" si="2"/>
        <v>Min in category EF</v>
      </c>
    </row>
    <row r="36" spans="1:19" x14ac:dyDescent="0.25">
      <c r="A36" s="133"/>
      <c r="B36" s="204"/>
      <c r="C36" s="132" t="s">
        <v>36</v>
      </c>
      <c r="D36" s="132" cm="1">
        <f t="array" aca="1" ref="D36" ca="1">SUMPRODUCT($L34:$R34,INDEX('EF Table_detail'!$P:$P,MATCH($L$16:$R$16,'EF Table_detail'!$B:$B,0)))</f>
        <v>9.4350969845978181</v>
      </c>
      <c r="E36" s="132">
        <f t="shared" ref="E36" ca="1" si="25">D36/SUM($L34:$R34)</f>
        <v>0.31492313032702995</v>
      </c>
      <c r="F36" s="132" cm="1">
        <f t="array" aca="1" ref="F36" ca="1">SUMPRODUCT($L34:$R34,INDEX('EF Table_detail'!$W:$W,MATCH($L$16:$R$16,'EF Table_detail'!$B:$B,0)))</f>
        <v>9.4314111179629645</v>
      </c>
      <c r="G36" s="216">
        <f t="shared" ref="G36" ca="1" si="26">F36/SUM($L34:$R34)</f>
        <v>0.31480010407085995</v>
      </c>
      <c r="H36" s="131"/>
      <c r="J36" s="238" t="str">
        <f t="shared" si="1"/>
        <v xml:space="preserve">Wall system timber frame - 2 sides plasterboard </v>
      </c>
      <c r="K36" s="238" t="str">
        <f t="shared" si="2"/>
        <v>Average EF</v>
      </c>
    </row>
    <row r="37" spans="1:19" ht="13" x14ac:dyDescent="0.25">
      <c r="A37" s="133"/>
      <c r="B37" s="197" t="s">
        <v>5597</v>
      </c>
      <c r="C37" s="132" t="s">
        <v>5731</v>
      </c>
      <c r="D37" s="239" t="s">
        <v>2789</v>
      </c>
      <c r="E37" s="239" t="s">
        <v>2774</v>
      </c>
      <c r="F37" s="239" t="s">
        <v>2789</v>
      </c>
      <c r="G37" s="291" t="s">
        <v>2774</v>
      </c>
      <c r="H37" s="131"/>
      <c r="J37" s="238" t="str">
        <f t="shared" si="1"/>
        <v xml:space="preserve">Wall system timber frame - 1 side plasterboard </v>
      </c>
      <c r="K37" s="238" t="str">
        <f t="shared" si="2"/>
        <v>Unit</v>
      </c>
      <c r="L37" s="239" t="str">
        <f>"kg/"&amp;$D37</f>
        <v>kg/m²</v>
      </c>
      <c r="M37" s="239" t="str">
        <f t="shared" ref="M37:R37" si="27">"kg/"&amp;$D37</f>
        <v>kg/m²</v>
      </c>
      <c r="N37" s="239" t="str">
        <f t="shared" si="27"/>
        <v>kg/m²</v>
      </c>
      <c r="O37" s="239" t="str">
        <f t="shared" si="27"/>
        <v>kg/m²</v>
      </c>
      <c r="P37" s="239" t="str">
        <f t="shared" si="27"/>
        <v>kg/m²</v>
      </c>
      <c r="Q37" s="239" t="str">
        <f t="shared" si="27"/>
        <v>kg/m²</v>
      </c>
      <c r="R37" s="239" t="str">
        <f t="shared" si="27"/>
        <v>kg/m²</v>
      </c>
      <c r="S37" s="132" t="s">
        <v>5773</v>
      </c>
    </row>
    <row r="38" spans="1:19" x14ac:dyDescent="0.25">
      <c r="A38" s="133"/>
      <c r="B38" s="204"/>
      <c r="C38" s="132" t="s">
        <v>32</v>
      </c>
      <c r="D38" s="132" cm="1">
        <f t="array" aca="1" ref="D38" ca="1">SUMPRODUCT($L38:$R38,INDEX('EF Table_detail'!$R:$R,MATCH($L$16:$R$16,'EF Table_detail'!$B:$B,0)))</f>
        <v>9.1246052667876594</v>
      </c>
      <c r="E38" s="132">
        <f t="shared" ref="E38" ca="1" si="28">D38/SUM($L38:$R38)</f>
        <v>0.51962444571683708</v>
      </c>
      <c r="F38" s="132" cm="1">
        <f t="array" aca="1" ref="F38" ca="1">SUMPRODUCT($L38:$R38,INDEX('EF Table_detail'!$V:$V,MATCH($L$16:$R$16,'EF Table_detail'!$B:$B,0)))</f>
        <v>10.853883333333336</v>
      </c>
      <c r="G38" s="216">
        <f t="shared" ref="G38" ca="1" si="29">F38/SUM($L38:$R38)</f>
        <v>0.61810269552012154</v>
      </c>
      <c r="H38" s="131"/>
      <c r="J38" s="238" t="str">
        <f t="shared" si="1"/>
        <v xml:space="preserve">Wall system timber frame - 1 side plasterboard </v>
      </c>
      <c r="K38" s="238" t="str">
        <f t="shared" si="2"/>
        <v>Max in category EF</v>
      </c>
      <c r="M38" s="132">
        <v>12.4</v>
      </c>
      <c r="N38" s="132">
        <v>5.16</v>
      </c>
    </row>
    <row r="39" spans="1:19" x14ac:dyDescent="0.25">
      <c r="A39" s="133"/>
      <c r="B39" s="204"/>
      <c r="C39" s="132" t="s">
        <v>34</v>
      </c>
      <c r="D39" s="132" cm="1">
        <f t="array" aca="1" ref="D39" ca="1">SUMPRODUCT($L38:$R38,INDEX('EF Table_detail'!$O:$O,MATCH($L$16:$R$16,'EF Table_detail'!$B:$B,0)))</f>
        <v>3.2281417059891124</v>
      </c>
      <c r="E39" s="132">
        <f t="shared" ref="E39" ca="1" si="30">D39/SUM($L38:$R38)</f>
        <v>0.18383494908821824</v>
      </c>
      <c r="G39" s="216"/>
      <c r="H39" s="131"/>
      <c r="J39" s="238" t="str">
        <f t="shared" si="1"/>
        <v xml:space="preserve">Wall system timber frame - 1 side plasterboard </v>
      </c>
      <c r="K39" s="238" t="str">
        <f t="shared" si="2"/>
        <v>Min in category EF</v>
      </c>
    </row>
    <row r="40" spans="1:19" x14ac:dyDescent="0.25">
      <c r="A40" s="133"/>
      <c r="B40" s="204"/>
      <c r="C40" s="132" t="s">
        <v>36</v>
      </c>
      <c r="D40" s="132" cm="1">
        <f t="array" aca="1" ref="D40" ca="1">SUMPRODUCT($L38:$R38,INDEX('EF Table_detail'!$P:$P,MATCH($L$16:$R$16,'EF Table_detail'!$B:$B,0)))</f>
        <v>5.6610197009287715</v>
      </c>
      <c r="E40" s="132">
        <f t="shared" ref="E40" ca="1" si="31">D40/SUM($L38:$R38)</f>
        <v>0.32238153194355185</v>
      </c>
      <c r="F40" s="132" cm="1">
        <f t="array" aca="1" ref="F40" ca="1">SUMPRODUCT($L38:$R38,INDEX('EF Table_detail'!$W:$W,MATCH($L$16:$R$16,'EF Table_detail'!$B:$B,0)))</f>
        <v>8.9357535453809263</v>
      </c>
      <c r="G40" s="216">
        <f t="shared" ref="G40" ca="1" si="32">F40/SUM($L38:$R38)</f>
        <v>0.50886979187818482</v>
      </c>
      <c r="H40" s="131"/>
      <c r="J40" s="238" t="str">
        <f t="shared" si="1"/>
        <v xml:space="preserve">Wall system timber frame - 1 side plasterboard </v>
      </c>
      <c r="K40" s="238" t="str">
        <f t="shared" si="2"/>
        <v>Average EF</v>
      </c>
    </row>
    <row r="41" spans="1:19" ht="13" x14ac:dyDescent="0.25">
      <c r="A41" s="133"/>
      <c r="B41" s="197" t="s">
        <v>5598</v>
      </c>
      <c r="C41" s="132" t="s">
        <v>5731</v>
      </c>
      <c r="D41" s="239" t="s">
        <v>2789</v>
      </c>
      <c r="E41" s="239" t="s">
        <v>2774</v>
      </c>
      <c r="F41" s="239" t="s">
        <v>2789</v>
      </c>
      <c r="G41" s="291" t="s">
        <v>2774</v>
      </c>
      <c r="H41" s="131"/>
      <c r="J41" s="238" t="str">
        <f t="shared" si="1"/>
        <v xml:space="preserve">AAC and steel based system - generic </v>
      </c>
      <c r="K41" s="238" t="str">
        <f t="shared" si="2"/>
        <v>Unit</v>
      </c>
      <c r="L41" s="239" t="str">
        <f>"kg/"&amp;$D41</f>
        <v>kg/m²</v>
      </c>
      <c r="M41" s="239" t="str">
        <f t="shared" ref="M41:R41" si="33">"kg/"&amp;$D41</f>
        <v>kg/m²</v>
      </c>
      <c r="N41" s="239" t="str">
        <f t="shared" si="33"/>
        <v>kg/m²</v>
      </c>
      <c r="O41" s="239" t="str">
        <f t="shared" si="33"/>
        <v>kg/m²</v>
      </c>
      <c r="P41" s="239" t="str">
        <f t="shared" si="33"/>
        <v>kg/m²</v>
      </c>
      <c r="Q41" s="239" t="str">
        <f t="shared" si="33"/>
        <v>kg/m²</v>
      </c>
      <c r="R41" s="239" t="str">
        <f t="shared" si="33"/>
        <v>kg/m²</v>
      </c>
      <c r="S41" s="132" t="s">
        <v>5774</v>
      </c>
    </row>
    <row r="42" spans="1:19" x14ac:dyDescent="0.25">
      <c r="A42" s="133"/>
      <c r="B42" s="204"/>
      <c r="C42" s="132" t="s">
        <v>32</v>
      </c>
      <c r="D42" s="132" cm="1">
        <f t="array" aca="1" ref="D42" ca="1">SUMPRODUCT($L42:$R42,INDEX('EF Table_detail'!$R:$R,MATCH($L$16:$R$16,'EF Table_detail'!$B:$B,0)))</f>
        <v>63.368844883646787</v>
      </c>
      <c r="E42" s="132">
        <f t="shared" ref="E42" ca="1" si="34">D42/SUM($L42:$R42)</f>
        <v>0.96598848907998158</v>
      </c>
      <c r="F42" s="132" cm="1">
        <f t="array" aca="1" ref="F42" ca="1">SUMPRODUCT($L42:$R42,INDEX('EF Table_detail'!$V:$V,MATCH($L$16:$R$16,'EF Table_detail'!$B:$B,0)))</f>
        <v>0</v>
      </c>
      <c r="G42" s="216">
        <f t="shared" ref="G42" ca="1" si="35">F42/SUM($L42:$R42)</f>
        <v>0</v>
      </c>
      <c r="H42" s="131"/>
      <c r="J42" s="238" t="str">
        <f t="shared" si="1"/>
        <v xml:space="preserve">AAC and steel based system - generic </v>
      </c>
      <c r="K42" s="238" t="str">
        <f t="shared" si="2"/>
        <v>Max in category EF</v>
      </c>
      <c r="L42" s="132">
        <v>6.24</v>
      </c>
      <c r="O42" s="132">
        <v>59.36</v>
      </c>
    </row>
    <row r="43" spans="1:19" x14ac:dyDescent="0.25">
      <c r="A43" s="133"/>
      <c r="B43" s="204"/>
      <c r="C43" s="132" t="s">
        <v>34</v>
      </c>
      <c r="D43" s="132" cm="1">
        <f t="array" aca="1" ref="D43" ca="1">SUMPRODUCT($L42:$R42,INDEX('EF Table_detail'!$O:$O,MATCH($L$16:$R$16,'EF Table_detail'!$B:$B,0)))</f>
        <v>39.162478883257762</v>
      </c>
      <c r="E43" s="132">
        <f t="shared" ref="E43" ca="1" si="36">D43/SUM($L42:$R42)</f>
        <v>0.59698900736673421</v>
      </c>
      <c r="G43" s="216"/>
      <c r="H43" s="131"/>
      <c r="J43" s="238" t="str">
        <f t="shared" si="1"/>
        <v xml:space="preserve">AAC and steel based system - generic </v>
      </c>
      <c r="K43" s="238" t="str">
        <f t="shared" si="2"/>
        <v>Min in category EF</v>
      </c>
    </row>
    <row r="44" spans="1:19" x14ac:dyDescent="0.25">
      <c r="A44" s="133"/>
      <c r="B44" s="204"/>
      <c r="C44" s="132" t="s">
        <v>36</v>
      </c>
      <c r="D44" s="132" cm="1">
        <f t="array" aca="1" ref="D44" ca="1">SUMPRODUCT($L42:$R42,INDEX('EF Table_detail'!$P:$P,MATCH($L$16:$R$16,'EF Table_detail'!$B:$B,0)))</f>
        <v>45.562051204693773</v>
      </c>
      <c r="E44" s="132">
        <f t="shared" ref="E44" ca="1" si="37">D44/SUM($L42:$R42)</f>
        <v>0.69454346348618567</v>
      </c>
      <c r="F44" s="132" cm="1">
        <f t="array" aca="1" ref="F44" ca="1">SUMPRODUCT($L42:$R42,INDEX('EF Table_detail'!$W:$W,MATCH($L$16:$R$16,'EF Table_detail'!$B:$B,0)))</f>
        <v>0</v>
      </c>
      <c r="G44" s="216">
        <f t="shared" ref="G44" ca="1" si="38">F44/SUM($L42:$R42)</f>
        <v>0</v>
      </c>
      <c r="H44" s="131"/>
      <c r="J44" s="238" t="str">
        <f t="shared" si="1"/>
        <v xml:space="preserve">AAC and steel based system - generic </v>
      </c>
      <c r="K44" s="238" t="str">
        <f t="shared" si="2"/>
        <v>Average EF</v>
      </c>
    </row>
    <row r="45" spans="1:19" ht="13" x14ac:dyDescent="0.25">
      <c r="A45" s="133"/>
      <c r="B45" s="197" t="s">
        <v>5599</v>
      </c>
      <c r="C45" s="132" t="s">
        <v>5731</v>
      </c>
      <c r="D45" s="239" t="s">
        <v>2789</v>
      </c>
      <c r="E45" s="239" t="s">
        <v>2774</v>
      </c>
      <c r="F45" s="239" t="s">
        <v>2789</v>
      </c>
      <c r="G45" s="291" t="s">
        <v>2774</v>
      </c>
      <c r="H45" s="131"/>
      <c r="J45" s="238" t="str">
        <f t="shared" si="1"/>
        <v>Ceiling system steel frame suspended (plasterboard)</v>
      </c>
      <c r="K45" s="238" t="str">
        <f t="shared" si="2"/>
        <v>Unit</v>
      </c>
      <c r="L45" s="239" t="str">
        <f>"kg/"&amp;$D45</f>
        <v>kg/m²</v>
      </c>
      <c r="M45" s="239" t="str">
        <f t="shared" ref="M45:R45" si="39">"kg/"&amp;$D45</f>
        <v>kg/m²</v>
      </c>
      <c r="N45" s="239" t="str">
        <f t="shared" si="39"/>
        <v>kg/m²</v>
      </c>
      <c r="O45" s="239" t="str">
        <f t="shared" si="39"/>
        <v>kg/m²</v>
      </c>
      <c r="P45" s="239" t="str">
        <f t="shared" si="39"/>
        <v>kg/m²</v>
      </c>
      <c r="Q45" s="239" t="str">
        <f t="shared" si="39"/>
        <v>kg/m²</v>
      </c>
      <c r="R45" s="239" t="str">
        <f t="shared" si="39"/>
        <v>kg/m²</v>
      </c>
      <c r="S45" s="132" t="s">
        <v>5773</v>
      </c>
    </row>
    <row r="46" spans="1:19" x14ac:dyDescent="0.25">
      <c r="A46" s="133"/>
      <c r="B46" s="204"/>
      <c r="C46" s="132" t="s">
        <v>32</v>
      </c>
      <c r="D46" s="132" cm="1">
        <f t="array" aca="1" ref="D46" ca="1">SUMPRODUCT($L46:$R46,INDEX('EF Table_detail'!$R:$R,MATCH($L$16:$R$16,'EF Table_detail'!$B:$B,0)))</f>
        <v>10.7226</v>
      </c>
      <c r="E46" s="132">
        <f t="shared" ref="E46" ca="1" si="40">D46/SUM($L46:$R46)</f>
        <v>0.78842647058823534</v>
      </c>
      <c r="F46" s="132" cm="1">
        <f t="array" aca="1" ref="F46" ca="1">SUMPRODUCT($L46:$R46,INDEX('EF Table_detail'!$V:$V,MATCH($L$16:$R$16,'EF Table_detail'!$B:$B,0)))</f>
        <v>2.5290833333333338</v>
      </c>
      <c r="G46" s="216">
        <f t="shared" ref="G46" ca="1" si="41">F46/SUM($L46:$R46)</f>
        <v>0.18596200980392161</v>
      </c>
      <c r="H46" s="131"/>
      <c r="J46" s="238" t="str">
        <f t="shared" si="1"/>
        <v>Ceiling system steel frame suspended (plasterboard)</v>
      </c>
      <c r="K46" s="238" t="str">
        <f t="shared" si="2"/>
        <v>Max in category EF</v>
      </c>
      <c r="L46" s="132">
        <v>1.2</v>
      </c>
      <c r="M46" s="132">
        <v>12.4</v>
      </c>
    </row>
    <row r="47" spans="1:19" x14ac:dyDescent="0.25">
      <c r="A47" s="133"/>
      <c r="B47" s="204"/>
      <c r="C47" s="132" t="s">
        <v>34</v>
      </c>
      <c r="D47" s="132" cm="1">
        <f t="array" aca="1" ref="D47" ca="1">SUMPRODUCT($L46:$R46,INDEX('EF Table_detail'!$O:$O,MATCH($L$16:$R$16,'EF Table_detail'!$B:$B,0)))</f>
        <v>5.443383010033445</v>
      </c>
      <c r="E47" s="132">
        <f t="shared" ref="E47" ca="1" si="42">D47/SUM($L46:$R46)</f>
        <v>0.40024875073775334</v>
      </c>
      <c r="G47" s="216"/>
      <c r="H47" s="131"/>
      <c r="J47" s="238" t="str">
        <f t="shared" si="1"/>
        <v>Ceiling system steel frame suspended (plasterboard)</v>
      </c>
      <c r="K47" s="238" t="str">
        <f t="shared" si="2"/>
        <v>Min in category EF</v>
      </c>
    </row>
    <row r="48" spans="1:19" x14ac:dyDescent="0.25">
      <c r="A48" s="133"/>
      <c r="B48" s="204"/>
      <c r="C48" s="132" t="s">
        <v>36</v>
      </c>
      <c r="D48" s="132" cm="1">
        <f t="array" aca="1" ref="D48" ca="1">SUMPRODUCT($L46:$R46,INDEX('EF Table_detail'!$P:$P,MATCH($L$16:$R$16,'EF Table_detail'!$B:$B,0)))</f>
        <v>7.3896558298290707</v>
      </c>
      <c r="E48" s="132">
        <f t="shared" ref="E48" ca="1" si="43">D48/SUM($L46:$R46)</f>
        <v>0.54335704631096104</v>
      </c>
      <c r="F48" s="132" cm="1">
        <f t="array" aca="1" ref="F48" ca="1">SUMPRODUCT($L46:$R46,INDEX('EF Table_detail'!$W:$W,MATCH($L$16:$R$16,'EF Table_detail'!$B:$B,0)))</f>
        <v>0.49565757258203941</v>
      </c>
      <c r="G48" s="216">
        <f t="shared" ref="G48" ca="1" si="44">F48/SUM($L46:$R46)</f>
        <v>3.6445409748679367E-2</v>
      </c>
      <c r="H48" s="131"/>
      <c r="J48" s="238" t="str">
        <f t="shared" si="1"/>
        <v>Ceiling system steel frame suspended (plasterboard)</v>
      </c>
      <c r="K48" s="238" t="str">
        <f t="shared" si="2"/>
        <v>Average EF</v>
      </c>
    </row>
    <row r="49" spans="1:19" ht="13" x14ac:dyDescent="0.25">
      <c r="A49" s="133"/>
      <c r="B49" s="197" t="s">
        <v>5600</v>
      </c>
      <c r="C49" s="132" t="s">
        <v>5731</v>
      </c>
      <c r="D49" s="239" t="s">
        <v>2789</v>
      </c>
      <c r="E49" s="239" t="s">
        <v>2774</v>
      </c>
      <c r="F49" s="239" t="s">
        <v>2789</v>
      </c>
      <c r="G49" s="291" t="s">
        <v>2774</v>
      </c>
      <c r="H49" s="131"/>
      <c r="J49" s="238" t="str">
        <f t="shared" si="1"/>
        <v>Ceiling system steel frame suspended (fibre cement)</v>
      </c>
      <c r="K49" s="238" t="str">
        <f t="shared" si="2"/>
        <v>Unit</v>
      </c>
      <c r="L49" s="239" t="str">
        <f>"kg/"&amp;$D49</f>
        <v>kg/m²</v>
      </c>
      <c r="M49" s="239" t="str">
        <f t="shared" ref="M49:R49" si="45">"kg/"&amp;$D49</f>
        <v>kg/m²</v>
      </c>
      <c r="N49" s="239" t="str">
        <f t="shared" si="45"/>
        <v>kg/m²</v>
      </c>
      <c r="O49" s="239" t="str">
        <f t="shared" si="45"/>
        <v>kg/m²</v>
      </c>
      <c r="P49" s="239" t="str">
        <f t="shared" si="45"/>
        <v>kg/m²</v>
      </c>
      <c r="Q49" s="239" t="str">
        <f t="shared" si="45"/>
        <v>kg/m²</v>
      </c>
      <c r="R49" s="239" t="str">
        <f t="shared" si="45"/>
        <v>kg/m²</v>
      </c>
      <c r="S49" s="132" t="s">
        <v>5775</v>
      </c>
    </row>
    <row r="50" spans="1:19" x14ac:dyDescent="0.25">
      <c r="A50" s="133"/>
      <c r="B50" s="204"/>
      <c r="C50" s="132" t="s">
        <v>32</v>
      </c>
      <c r="D50" s="132" cm="1">
        <f t="array" aca="1" ref="D50" ca="1">SUMPRODUCT($L50:$R50,INDEX('EF Table_detail'!$R:$R,MATCH($L$16:$R$16,'EF Table_detail'!$B:$B,0)))</f>
        <v>19.875261868840745</v>
      </c>
      <c r="E50" s="132">
        <f t="shared" ref="E50" ca="1" si="46">D50/SUM($L50:$R50)</f>
        <v>1.6562718224033954</v>
      </c>
      <c r="F50" s="132" cm="1">
        <f t="array" aca="1" ref="F50" ca="1">SUMPRODUCT($L50:$R50,INDEX('EF Table_detail'!$V:$V,MATCH($L$16:$R$16,'EF Table_detail'!$B:$B,0)))</f>
        <v>9.0000000000000011E-2</v>
      </c>
      <c r="G50" s="216">
        <f t="shared" ref="G50" ca="1" si="47">F50/SUM($L50:$R50)</f>
        <v>7.5000000000000006E-3</v>
      </c>
      <c r="H50" s="131"/>
      <c r="J50" s="238" t="str">
        <f t="shared" si="1"/>
        <v>Ceiling system steel frame suspended (fibre cement)</v>
      </c>
      <c r="K50" s="238" t="str">
        <f t="shared" si="2"/>
        <v>Max in category EF</v>
      </c>
      <c r="L50" s="132">
        <v>1.2</v>
      </c>
      <c r="P50" s="132">
        <v>10.8</v>
      </c>
    </row>
    <row r="51" spans="1:19" x14ac:dyDescent="0.25">
      <c r="A51" s="133"/>
      <c r="B51" s="204"/>
      <c r="C51" s="132" t="s">
        <v>34</v>
      </c>
      <c r="D51" s="132" cm="1">
        <f t="array" aca="1" ref="D51" ca="1">SUMPRODUCT($L50:$R50,INDEX('EF Table_detail'!$O:$O,MATCH($L$16:$R$16,'EF Table_detail'!$B:$B,0)))</f>
        <v>6.5889861765680795</v>
      </c>
      <c r="E51" s="132">
        <f t="shared" ref="E51" ca="1" si="48">D51/SUM($L50:$R50)</f>
        <v>0.54908218138067333</v>
      </c>
      <c r="G51" s="216"/>
      <c r="H51" s="131"/>
      <c r="J51" s="238" t="str">
        <f t="shared" si="1"/>
        <v>Ceiling system steel frame suspended (fibre cement)</v>
      </c>
      <c r="K51" s="238" t="str">
        <f t="shared" si="2"/>
        <v>Min in category EF</v>
      </c>
    </row>
    <row r="52" spans="1:19" x14ac:dyDescent="0.25">
      <c r="A52" s="133"/>
      <c r="B52" s="204"/>
      <c r="C52" s="132" t="s">
        <v>36</v>
      </c>
      <c r="D52" s="132" cm="1">
        <f t="array" aca="1" ref="D52" ca="1">SUMPRODUCT($L50:$R50,INDEX('EF Table_detail'!$P:$P,MATCH($L$16:$R$16,'EF Table_detail'!$B:$B,0)))</f>
        <v>13.144918074236614</v>
      </c>
      <c r="E52" s="132">
        <f t="shared" ref="E52" ca="1" si="49">D52/SUM($L50:$R50)</f>
        <v>1.0954098395197178</v>
      </c>
      <c r="F52" s="132" cm="1">
        <f t="array" aca="1" ref="F52" ca="1">SUMPRODUCT($L50:$R50,INDEX('EF Table_detail'!$W:$W,MATCH($L$16:$R$16,'EF Table_detail'!$B:$B,0)))</f>
        <v>2.3350724244542119E-2</v>
      </c>
      <c r="G52" s="216">
        <f t="shared" ref="G52" ca="1" si="50">F52/SUM($L50:$R50)</f>
        <v>1.9458936870451766E-3</v>
      </c>
      <c r="H52" s="131"/>
      <c r="J52" s="238" t="str">
        <f t="shared" si="1"/>
        <v>Ceiling system steel frame suspended (fibre cement)</v>
      </c>
      <c r="K52" s="238" t="str">
        <f t="shared" si="2"/>
        <v>Average EF</v>
      </c>
    </row>
    <row r="53" spans="1:19" ht="13" x14ac:dyDescent="0.25">
      <c r="A53" s="133"/>
      <c r="B53" s="197" t="s">
        <v>5601</v>
      </c>
      <c r="C53" s="132" t="s">
        <v>5731</v>
      </c>
      <c r="D53" s="239" t="s">
        <v>2789</v>
      </c>
      <c r="E53" s="239" t="s">
        <v>2774</v>
      </c>
      <c r="F53" s="239" t="s">
        <v>2789</v>
      </c>
      <c r="G53" s="291" t="s">
        <v>2774</v>
      </c>
      <c r="H53" s="131"/>
      <c r="J53" s="238" t="str">
        <f t="shared" si="1"/>
        <v>Ceiling system steel frame suspended (mineral tile)</v>
      </c>
      <c r="K53" s="238" t="str">
        <f t="shared" si="2"/>
        <v>Unit</v>
      </c>
      <c r="L53" s="239" t="str">
        <f>"kg/"&amp;$D53</f>
        <v>kg/m²</v>
      </c>
      <c r="M53" s="239" t="str">
        <f t="shared" ref="M53:R53" si="51">"kg/"&amp;$D53</f>
        <v>kg/m²</v>
      </c>
      <c r="N53" s="239" t="str">
        <f t="shared" si="51"/>
        <v>kg/m²</v>
      </c>
      <c r="O53" s="239" t="str">
        <f t="shared" si="51"/>
        <v>kg/m²</v>
      </c>
      <c r="P53" s="239" t="str">
        <f t="shared" si="51"/>
        <v>kg/m²</v>
      </c>
      <c r="Q53" s="239" t="str">
        <f t="shared" si="51"/>
        <v>kg/m²</v>
      </c>
      <c r="R53" s="239" t="str">
        <f t="shared" si="51"/>
        <v>kg/m²</v>
      </c>
      <c r="S53" s="132" t="s">
        <v>5776</v>
      </c>
    </row>
    <row r="54" spans="1:19" x14ac:dyDescent="0.25">
      <c r="A54" s="133"/>
      <c r="B54" s="204"/>
      <c r="C54" s="132" t="s">
        <v>32</v>
      </c>
      <c r="D54" s="132" cm="1">
        <f t="array" aca="1" ref="D54" ca="1">SUMPRODUCT($L54:$R54,INDEX('EF Table_detail'!$R:$R,MATCH($L$16:$R$16,'EF Table_detail'!$B:$B,0)))</f>
        <v>12.210122784222737</v>
      </c>
      <c r="E54" s="132">
        <f t="shared" ref="E54" ca="1" si="52">D54/SUM($L54:$R54)</f>
        <v>1.9381147276544026</v>
      </c>
      <c r="F54" s="132" cm="1">
        <f t="array" aca="1" ref="F54" ca="1">SUMPRODUCT($L54:$R54,INDEX('EF Table_detail'!$V:$V,MATCH($L$16:$R$16,'EF Table_detail'!$B:$B,0)))</f>
        <v>0</v>
      </c>
      <c r="G54" s="216">
        <f t="shared" ref="G54" ca="1" si="53">F54/SUM($L54:$R54)</f>
        <v>0</v>
      </c>
      <c r="H54" s="131"/>
      <c r="J54" s="238" t="str">
        <f t="shared" si="1"/>
        <v>Ceiling system steel frame suspended (mineral tile)</v>
      </c>
      <c r="K54" s="238" t="str">
        <f t="shared" si="2"/>
        <v>Max in category EF</v>
      </c>
      <c r="L54" s="132">
        <v>1.2</v>
      </c>
      <c r="Q54" s="132">
        <v>5.0999999999999996</v>
      </c>
    </row>
    <row r="55" spans="1:19" x14ac:dyDescent="0.25">
      <c r="A55" s="133"/>
      <c r="B55" s="204"/>
      <c r="C55" s="132" t="s">
        <v>34</v>
      </c>
      <c r="D55" s="132" cm="1">
        <f t="array" aca="1" ref="D55" ca="1">SUMPRODUCT($L54:$R54,INDEX('EF Table_detail'!$O:$O,MATCH($L$16:$R$16,'EF Table_detail'!$B:$B,0)))</f>
        <v>4.1967874111476497</v>
      </c>
      <c r="E55" s="132">
        <f t="shared" ref="E55" ca="1" si="54">D55/SUM($L54:$R54)</f>
        <v>0.66615673192819835</v>
      </c>
      <c r="G55" s="216"/>
      <c r="H55" s="131"/>
      <c r="J55" s="238" t="str">
        <f t="shared" si="1"/>
        <v>Ceiling system steel frame suspended (mineral tile)</v>
      </c>
      <c r="K55" s="238" t="str">
        <f t="shared" si="2"/>
        <v>Min in category EF</v>
      </c>
    </row>
    <row r="56" spans="1:19" x14ac:dyDescent="0.25">
      <c r="A56" s="133"/>
      <c r="B56" s="204"/>
      <c r="C56" s="132" t="s">
        <v>36</v>
      </c>
      <c r="D56" s="132" cm="1">
        <f t="array" aca="1" ref="D56" ca="1">SUMPRODUCT($L54:$R54,INDEX('EF Table_detail'!$P:$P,MATCH($L$16:$R$16,'EF Table_detail'!$B:$B,0)))</f>
        <v>8.0760012857161367</v>
      </c>
      <c r="E56" s="132">
        <f t="shared" ref="E56" ca="1" si="55">D56/SUM($L54:$R54)</f>
        <v>1.2819049659866883</v>
      </c>
      <c r="F56" s="132" cm="1">
        <f t="array" aca="1" ref="F56" ca="1">SUMPRODUCT($L54:$R54,INDEX('EF Table_detail'!$W:$W,MATCH($L$16:$R$16,'EF Table_detail'!$B:$B,0)))</f>
        <v>0</v>
      </c>
      <c r="G56" s="216">
        <f t="shared" ref="G56" ca="1" si="56">F56/SUM($L54:$R54)</f>
        <v>0</v>
      </c>
      <c r="H56" s="131"/>
      <c r="J56" s="238" t="str">
        <f t="shared" si="1"/>
        <v>Ceiling system steel frame suspended (mineral tile)</v>
      </c>
      <c r="K56" s="238" t="str">
        <f t="shared" si="2"/>
        <v>Average EF</v>
      </c>
    </row>
    <row r="57" spans="1:19" ht="13" x14ac:dyDescent="0.25">
      <c r="A57" s="133"/>
      <c r="B57" s="197" t="s">
        <v>5602</v>
      </c>
      <c r="C57" s="132" t="s">
        <v>5731</v>
      </c>
      <c r="D57" s="239" t="s">
        <v>2789</v>
      </c>
      <c r="E57" s="239" t="s">
        <v>2774</v>
      </c>
      <c r="F57" s="239" t="s">
        <v>2789</v>
      </c>
      <c r="G57" s="291" t="s">
        <v>2774</v>
      </c>
      <c r="H57" s="131"/>
      <c r="J57" s="238" t="str">
        <f t="shared" si="1"/>
        <v>Ceiling system aluminum frame suspended (powder coated aluminium)</v>
      </c>
      <c r="K57" s="238" t="str">
        <f t="shared" si="2"/>
        <v>Unit</v>
      </c>
      <c r="L57" s="239" t="str">
        <f>"kg/"&amp;$D57</f>
        <v>kg/m²</v>
      </c>
      <c r="M57" s="239" t="str">
        <f t="shared" ref="M57:R57" si="57">"kg/"&amp;$D57</f>
        <v>kg/m²</v>
      </c>
      <c r="N57" s="239" t="str">
        <f t="shared" si="57"/>
        <v>kg/m²</v>
      </c>
      <c r="O57" s="239" t="str">
        <f t="shared" si="57"/>
        <v>kg/m²</v>
      </c>
      <c r="P57" s="239" t="str">
        <f t="shared" si="57"/>
        <v>kg/m²</v>
      </c>
      <c r="Q57" s="239" t="str">
        <f t="shared" si="57"/>
        <v>kg/m²</v>
      </c>
      <c r="R57" s="239" t="str">
        <f t="shared" si="57"/>
        <v>kg/m²</v>
      </c>
      <c r="S57" s="132" t="s">
        <v>5777</v>
      </c>
    </row>
    <row r="58" spans="1:19" x14ac:dyDescent="0.25">
      <c r="A58" s="133"/>
      <c r="B58" s="204"/>
      <c r="C58" s="132" t="s">
        <v>32</v>
      </c>
      <c r="D58" s="132" cm="1">
        <f t="array" aca="1" ref="D58" ca="1">SUMPRODUCT($L58:$R58,INDEX('EF Table_detail'!$R:$R,MATCH($L$16:$R$16,'EF Table_detail'!$B:$B,0)))</f>
        <v>259.06229999999999</v>
      </c>
      <c r="E58" s="132">
        <f t="shared" ref="E58" ca="1" si="58">D58/SUM($L58:$R58)</f>
        <v>31.983000000000001</v>
      </c>
      <c r="F58" s="132" cm="1">
        <f t="array" aca="1" ref="F58" ca="1">SUMPRODUCT($L58:$R58,INDEX('EF Table_detail'!$V:$V,MATCH($L$16:$R$16,'EF Table_detail'!$B:$B,0)))</f>
        <v>0</v>
      </c>
      <c r="G58" s="216">
        <f t="shared" ref="G58" ca="1" si="59">F58/SUM($L58:$R58)</f>
        <v>0</v>
      </c>
      <c r="H58" s="131"/>
      <c r="J58" s="238" t="str">
        <f t="shared" si="1"/>
        <v>Ceiling system aluminum frame suspended (powder coated aluminium)</v>
      </c>
      <c r="K58" s="238" t="str">
        <f t="shared" si="2"/>
        <v>Max in category EF</v>
      </c>
      <c r="R58" s="132">
        <v>8.1</v>
      </c>
    </row>
    <row r="59" spans="1:19" x14ac:dyDescent="0.25">
      <c r="A59" s="133"/>
      <c r="B59" s="204"/>
      <c r="C59" s="132" t="s">
        <v>34</v>
      </c>
      <c r="D59" s="132" cm="1">
        <f t="array" aca="1" ref="D59" ca="1">SUMPRODUCT($L58:$R58,INDEX('EF Table_detail'!$O:$O,MATCH($L$16:$R$16,'EF Table_detail'!$B:$B,0)))</f>
        <v>41.748615000000001</v>
      </c>
      <c r="E59" s="132">
        <f t="shared" ref="E59" ca="1" si="60">D59/SUM($L58:$R58)</f>
        <v>5.1541500000000005</v>
      </c>
      <c r="G59" s="216"/>
      <c r="H59" s="131"/>
      <c r="J59" s="238" t="str">
        <f t="shared" si="1"/>
        <v>Ceiling system aluminum frame suspended (powder coated aluminium)</v>
      </c>
      <c r="K59" s="238" t="str">
        <f t="shared" si="2"/>
        <v>Min in category EF</v>
      </c>
    </row>
    <row r="60" spans="1:19" x14ac:dyDescent="0.25">
      <c r="A60" s="133"/>
      <c r="B60" s="204"/>
      <c r="C60" s="132" t="s">
        <v>36</v>
      </c>
      <c r="D60" s="132" cm="1">
        <f t="array" aca="1" ref="D60" ca="1">SUMPRODUCT($L58:$R58,INDEX('EF Table_detail'!$P:$P,MATCH($L$16:$R$16,'EF Table_detail'!$B:$B,0)))</f>
        <v>147.66038907065217</v>
      </c>
      <c r="E60" s="132">
        <f t="shared" ref="E60" ca="1" si="61">D60/SUM($L58:$R58)</f>
        <v>18.229677663043478</v>
      </c>
      <c r="F60" s="132" cm="1">
        <f t="array" aca="1" ref="F60" ca="1">SUMPRODUCT($L58:$R58,INDEX('EF Table_detail'!$W:$W,MATCH($L$16:$R$16,'EF Table_detail'!$B:$B,0)))</f>
        <v>0</v>
      </c>
      <c r="G60" s="216">
        <f t="shared" ref="G60" ca="1" si="62">F60/SUM($L58:$R58)</f>
        <v>0</v>
      </c>
      <c r="H60" s="131"/>
      <c r="J60" s="238" t="str">
        <f t="shared" si="1"/>
        <v>Ceiling system aluminum frame suspended (powder coated aluminium)</v>
      </c>
      <c r="K60" s="238" t="str">
        <f t="shared" si="2"/>
        <v>Average EF</v>
      </c>
    </row>
    <row r="61" spans="1:19" x14ac:dyDescent="0.25">
      <c r="A61" s="133"/>
      <c r="B61" s="204"/>
      <c r="G61" s="216"/>
      <c r="H61" s="131"/>
    </row>
    <row r="62" spans="1:19" ht="13" x14ac:dyDescent="0.25">
      <c r="A62" s="133"/>
      <c r="B62" s="292"/>
      <c r="C62" s="218"/>
      <c r="D62" s="218"/>
      <c r="E62" s="218"/>
      <c r="F62" s="218"/>
      <c r="G62" s="293"/>
      <c r="H62" s="131"/>
    </row>
    <row r="63" spans="1:19" x14ac:dyDescent="0.25">
      <c r="B63" s="130"/>
      <c r="C63" s="130"/>
      <c r="D63" s="130"/>
      <c r="E63" s="130"/>
      <c r="F63" s="130"/>
      <c r="G63" s="130"/>
    </row>
  </sheetData>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08B6C-1ED9-4B5A-B115-3DC28CBC7B15}">
  <sheetPr codeName="Sheet102">
    <tabColor rgb="FF00CCFF"/>
  </sheetPr>
  <dimension ref="A1:H27"/>
  <sheetViews>
    <sheetView workbookViewId="0"/>
  </sheetViews>
  <sheetFormatPr defaultColWidth="9.1796875" defaultRowHeight="12.5" x14ac:dyDescent="0.25"/>
  <cols>
    <col min="1" max="1" width="26.26953125" style="132" customWidth="1"/>
    <col min="2" max="2" width="103.5429687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Ceiling tile</v>
      </c>
    </row>
    <row r="2" spans="1:8" ht="13" x14ac:dyDescent="0.25">
      <c r="A2" s="202"/>
    </row>
    <row r="3" spans="1:8" ht="13" x14ac:dyDescent="0.25">
      <c r="A3" s="202" t="s">
        <v>5626</v>
      </c>
      <c r="B3" s="132" t="s">
        <v>5778</v>
      </c>
    </row>
    <row r="4" spans="1:8" ht="13" x14ac:dyDescent="0.25">
      <c r="A4" s="202"/>
    </row>
    <row r="5" spans="1:8" ht="69.75" customHeight="1" x14ac:dyDescent="0.3">
      <c r="A5" s="227" t="s">
        <v>5628</v>
      </c>
      <c r="B5" s="200" t="s">
        <v>5779</v>
      </c>
    </row>
    <row r="6" spans="1:8" ht="13" x14ac:dyDescent="0.3">
      <c r="A6" s="227" t="s">
        <v>5630</v>
      </c>
      <c r="B6" s="201" t="s">
        <v>72</v>
      </c>
    </row>
    <row r="7" spans="1:8" ht="13" x14ac:dyDescent="0.3">
      <c r="A7" s="227" t="s">
        <v>5631</v>
      </c>
      <c r="B7" s="201" t="s">
        <v>71</v>
      </c>
    </row>
    <row r="8" spans="1:8" ht="13" x14ac:dyDescent="0.3">
      <c r="A8" s="227" t="s">
        <v>5632</v>
      </c>
      <c r="B8" s="201" t="s">
        <v>73</v>
      </c>
    </row>
    <row r="9" spans="1:8" ht="13" x14ac:dyDescent="0.3">
      <c r="A9" s="227" t="s">
        <v>5633</v>
      </c>
      <c r="B9" s="202" t="s">
        <v>73</v>
      </c>
    </row>
    <row r="10" spans="1:8" ht="13" x14ac:dyDescent="0.3">
      <c r="A10" s="227"/>
      <c r="B10" s="202"/>
    </row>
    <row r="11" spans="1:8" ht="13" x14ac:dyDescent="0.3">
      <c r="A11" s="227" t="s">
        <v>5634</v>
      </c>
      <c r="B11" s="202"/>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3374</v>
      </c>
      <c r="C16" s="311" t="s">
        <v>24</v>
      </c>
      <c r="D16" s="208" t="s">
        <v>146</v>
      </c>
      <c r="E16" s="209" t="s">
        <v>153</v>
      </c>
      <c r="F16" s="208" t="s">
        <v>147</v>
      </c>
      <c r="G16" s="208" t="s">
        <v>154</v>
      </c>
      <c r="H16" s="131"/>
    </row>
    <row r="17" spans="1:8" ht="13" x14ac:dyDescent="0.3">
      <c r="A17" s="133"/>
      <c r="B17" s="317"/>
      <c r="C17" s="206" t="s">
        <v>5636</v>
      </c>
      <c r="D17" s="207" t="str" cm="1">
        <f t="array" ref="D17">IF(AND(_xlfn.ANCHORARRAY(C23)=C23),C23,"Mixed")</f>
        <v>m²</v>
      </c>
      <c r="E17" s="207" t="s">
        <v>2774</v>
      </c>
      <c r="F17" s="207" t="str" cm="1">
        <f t="array" ref="F17">IF(AND(_xlfn.ANCHORARRAY(C23)=C23),C23,"Mixed")</f>
        <v>m²</v>
      </c>
      <c r="G17" s="318" t="s">
        <v>2774</v>
      </c>
      <c r="H17" s="131"/>
    </row>
    <row r="18" spans="1:8" s="200" customFormat="1" ht="13" x14ac:dyDescent="0.3">
      <c r="A18" s="221"/>
      <c r="B18" s="214"/>
      <c r="C18" s="202" t="s">
        <v>5637</v>
      </c>
      <c r="D18" s="198">
        <f>MAX(_xlfn.ANCHORARRAY(D23))</f>
        <v>7.2316500000000001</v>
      </c>
      <c r="E18" s="198">
        <f t="shared" ref="E18:G18" si="0">MAX(_xlfn.ANCHORARRAY(E23))</f>
        <v>1.3095406032482599</v>
      </c>
      <c r="F18" s="198">
        <f t="shared" si="0"/>
        <v>0</v>
      </c>
      <c r="G18" s="215">
        <f t="shared" si="0"/>
        <v>0</v>
      </c>
      <c r="H18" s="222"/>
    </row>
    <row r="19" spans="1:8" ht="13" x14ac:dyDescent="0.25">
      <c r="A19" s="133"/>
      <c r="B19" s="204"/>
      <c r="C19" s="202" t="s">
        <v>5638</v>
      </c>
      <c r="D19" s="198">
        <f>MIN(_xlfn.ANCHORARRAY(D23))</f>
        <v>1.3035000000000005</v>
      </c>
      <c r="E19" s="198">
        <f t="shared" ref="E19:G19" si="1">MIN(_xlfn.ANCHORARRAY(E23))</f>
        <v>0.18154596100278542</v>
      </c>
      <c r="F19" s="198">
        <f t="shared" si="1"/>
        <v>0</v>
      </c>
      <c r="G19" s="215">
        <f t="shared" si="1"/>
        <v>0</v>
      </c>
      <c r="H19" s="131"/>
    </row>
    <row r="20" spans="1:8" ht="13" x14ac:dyDescent="0.25">
      <c r="A20" s="133"/>
      <c r="B20" s="204"/>
      <c r="C20" s="202" t="s">
        <v>5639</v>
      </c>
      <c r="D20" s="198">
        <f>AVERAGE(_xlfn.ANCHORARRAY(D23))</f>
        <v>4.2801587017167382</v>
      </c>
      <c r="E20" s="198">
        <f t="shared" ref="E20:G20" si="2">AVERAGE(_xlfn.ANCHORARRAY(E23))</f>
        <v>0.87459269403061035</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26">_xlfn.UNIQUE(_xlfn._xlws.FILTER('EPD List'!D:D,ISNUMBER(SEARCH(B16,'EPD List'!C:C)),0))</f>
        <v>Mineral Fibre Ceiling, , Ultima® Ceiling Panels (Armstrong World Industries) (Global)</v>
      </c>
      <c r="C23" s="132" t="str" cm="1">
        <f t="array" ref="C23:C26">_xlfn.IFNA(INDEX('EPD List'!$A:$AB,MATCH(_xlfn.ANCHORARRAY(B23),'EPD List'!$D:$D,0),MATCH(C$16,'EPD List'!$7:$7,0)),"")</f>
        <v>m²</v>
      </c>
      <c r="D23" s="198" cm="1">
        <f t="array" ref="D23:D26">_xlfn.IFNA(VALUE((INDEX('EPD List'!$A:$AD,MATCH(_xlfn.ANCHORARRAY($B23),'EPD List'!$D:$D,0),MATCH(D$16,'EPD List'!$7:$7,0)))),"")</f>
        <v>3.5053648068669525</v>
      </c>
      <c r="E23" s="198" cm="1">
        <f t="array" ref="E23:E26">_xlfn.IFNA(VALUE((INDEX('EPD List'!$A:$AD,MATCH(_xlfn.ANCHORARRAY($B23),'EPD List'!$D:$D,0),MATCH(E$16,'EPD List'!$7:$7,0)))),"")</f>
        <v>0.69957173447537468</v>
      </c>
      <c r="F23" s="198" cm="1">
        <f t="array" ref="F23:F26">_xlfn.IFNA(VALUE((INDEX('EPD List'!$A:$AD,MATCH(_xlfn.ANCHORARRAY($B23),'EPD List'!$D:$D,0),MATCH(F$16,'EPD List'!$7:$7,0)))),"")</f>
        <v>0</v>
      </c>
      <c r="G23" s="215" cm="1">
        <f t="array" ref="G23:G26">_xlfn.IFNA(VALUE((INDEX('EPD List'!$A:$AD,MATCH(_xlfn.ANCHORARRAY($B23),'EPD List'!$D:$D,0),MATCH(G$16,'EPD List'!$7:$7,0)))),"")</f>
        <v>0</v>
      </c>
      <c r="H23" s="131"/>
    </row>
    <row r="24" spans="1:8" x14ac:dyDescent="0.25">
      <c r="A24" s="133"/>
      <c r="B24" s="204" t="str">
        <v>Ceiling tile, , Bioguard Acoustic, Ultima (Armstrong Ceiling Solutions (Australia) Pty Ltd) (Global)</v>
      </c>
      <c r="C24" s="132" t="str">
        <v>m²</v>
      </c>
      <c r="D24" s="198">
        <v>7.2316500000000001</v>
      </c>
      <c r="E24" s="198">
        <v>1.3077124773960218</v>
      </c>
      <c r="F24" s="198">
        <v>0</v>
      </c>
      <c r="G24" s="215">
        <v>0</v>
      </c>
      <c r="H24" s="131"/>
    </row>
    <row r="25" spans="1:8" x14ac:dyDescent="0.25">
      <c r="A25" s="133"/>
      <c r="B25" s="204" t="str">
        <v>Ceiling tile, , AMF Thermatex &amp; Armstrong Acoustic Range (Knauf Ceiling Solutions GmbH &amp; Co. KG) (Global)</v>
      </c>
      <c r="C25" s="132" t="str">
        <v>m²</v>
      </c>
      <c r="D25" s="198">
        <v>5.08012</v>
      </c>
      <c r="E25" s="198">
        <v>1.3095406032482599</v>
      </c>
      <c r="F25" s="198">
        <v>0</v>
      </c>
      <c r="G25" s="215">
        <v>0</v>
      </c>
      <c r="H25" s="131"/>
    </row>
    <row r="26" spans="1:8" x14ac:dyDescent="0.25">
      <c r="A26" s="133"/>
      <c r="B26" s="217" t="str">
        <v>Ceiling tile, , Exposed Internal Ceiling Tiles (saveBOARD) (Australia and New Zealand)</v>
      </c>
      <c r="C26" s="218" t="str">
        <v>m²</v>
      </c>
      <c r="D26" s="219">
        <v>1.3035000000000005</v>
      </c>
      <c r="E26" s="219">
        <v>0.18154596100278542</v>
      </c>
      <c r="F26" s="219">
        <v>0</v>
      </c>
      <c r="G26" s="220">
        <v>0</v>
      </c>
      <c r="H26" s="131"/>
    </row>
    <row r="27" spans="1:8" x14ac:dyDescent="0.25">
      <c r="B27" s="130"/>
      <c r="C27" s="130"/>
      <c r="D27" s="207"/>
      <c r="E27" s="207"/>
      <c r="F27" s="207"/>
      <c r="G27" s="207"/>
    </row>
  </sheetData>
  <conditionalFormatting sqref="D23:G23 D24:F163">
    <cfRule type="cellIs" dxfId="2" priority="1" operator="greaterThan">
      <formula>301</formula>
    </cfRule>
  </conditionalFormatting>
  <dataValidations count="1">
    <dataValidation type="list" allowBlank="1" showInputMessage="1" showErrorMessage="1" sqref="B6:B9" xr:uid="{154360D0-A973-4EE5-9D24-5A100DC61C8E}">
      <formula1>"Tier 1,Tier 2,Tier 3,Tier 4"</formula1>
    </dataValidation>
  </dataValidation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14A67-64C8-45E3-8FDA-FE409DE777AA}">
  <sheetPr codeName="Sheet35">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16384" width="9.1796875" style="132"/>
  </cols>
  <sheetData>
    <row r="1" spans="1:8" ht="13" x14ac:dyDescent="0.25">
      <c r="A1" s="202" t="str">
        <f>B16</f>
        <v>Clay bricks</v>
      </c>
    </row>
    <row r="2" spans="1:8" ht="13" x14ac:dyDescent="0.25">
      <c r="A2" s="202"/>
    </row>
    <row r="3" spans="1:8" ht="13" x14ac:dyDescent="0.3">
      <c r="A3" s="227" t="s">
        <v>5626</v>
      </c>
      <c r="B3" s="132" t="s">
        <v>5780</v>
      </c>
    </row>
    <row r="4" spans="1:8" ht="13" x14ac:dyDescent="0.25">
      <c r="A4" s="202"/>
    </row>
    <row r="5" spans="1:8" ht="83.25" customHeight="1" x14ac:dyDescent="0.3">
      <c r="A5" s="227" t="s">
        <v>5628</v>
      </c>
      <c r="B5" s="200" t="s">
        <v>5781</v>
      </c>
    </row>
    <row r="6" spans="1:8" ht="13" x14ac:dyDescent="0.3">
      <c r="A6" s="227" t="s">
        <v>5630</v>
      </c>
      <c r="B6" s="132" t="s">
        <v>74</v>
      </c>
      <c r="D6" s="271"/>
    </row>
    <row r="7" spans="1:8" ht="13" x14ac:dyDescent="0.3">
      <c r="A7" s="227" t="s">
        <v>5631</v>
      </c>
      <c r="B7" s="201" t="s">
        <v>71</v>
      </c>
    </row>
    <row r="8" spans="1:8" ht="13" x14ac:dyDescent="0.3">
      <c r="A8" s="227" t="s">
        <v>5632</v>
      </c>
      <c r="B8" s="201" t="s">
        <v>72</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3397</v>
      </c>
      <c r="C16" s="316" t="s">
        <v>24</v>
      </c>
      <c r="D16" s="314" t="s">
        <v>146</v>
      </c>
      <c r="E16" s="315" t="s">
        <v>153</v>
      </c>
      <c r="F16" s="314" t="s">
        <v>147</v>
      </c>
      <c r="G16" s="314" t="s">
        <v>154</v>
      </c>
      <c r="H16" s="131"/>
    </row>
    <row r="17" spans="1:8" ht="13" x14ac:dyDescent="0.3">
      <c r="A17" s="133"/>
      <c r="B17" s="211"/>
      <c r="C17" s="212" t="s">
        <v>5636</v>
      </c>
      <c r="D17" s="196" t="str" cm="1">
        <f t="array" ref="D17">IF(AND(_xlfn.ANCHORARRAY(C23)=C23),C23,"Mixed")</f>
        <v>tonne</v>
      </c>
      <c r="E17" s="196" t="s">
        <v>2774</v>
      </c>
      <c r="F17" s="196" t="str" cm="1">
        <f t="array" ref="F17">IF(AND(_xlfn.ANCHORARRAY(C23)=C23),C23,"Mixed")</f>
        <v>tonne</v>
      </c>
      <c r="G17" s="213" t="s">
        <v>2774</v>
      </c>
      <c r="H17" s="131"/>
    </row>
    <row r="18" spans="1:8" s="200" customFormat="1" ht="13" x14ac:dyDescent="0.3">
      <c r="A18" s="221"/>
      <c r="B18" s="214"/>
      <c r="C18" s="202" t="s">
        <v>5637</v>
      </c>
      <c r="D18" s="198">
        <f t="shared" ref="D18:G18" si="0">MAX(_xlfn.ANCHORARRAY(D23))</f>
        <v>387</v>
      </c>
      <c r="E18" s="198">
        <f t="shared" si="0"/>
        <v>0.38700000000000001</v>
      </c>
      <c r="F18" s="198">
        <f t="shared" si="0"/>
        <v>0</v>
      </c>
      <c r="G18" s="215">
        <f t="shared" si="0"/>
        <v>0</v>
      </c>
      <c r="H18" s="131"/>
    </row>
    <row r="19" spans="1:8" ht="13" x14ac:dyDescent="0.25">
      <c r="A19" s="133"/>
      <c r="B19" s="204"/>
      <c r="C19" s="202" t="s">
        <v>5638</v>
      </c>
      <c r="D19" s="198">
        <f>MIN(_xlfn.ANCHORARRAY(D23))</f>
        <v>47.832090000000001</v>
      </c>
      <c r="E19" s="198">
        <f t="shared" ref="E19:G19" si="1">MIN(_xlfn.ANCHORARRAY(E23))</f>
        <v>4.7832090000000001E-2</v>
      </c>
      <c r="F19" s="198">
        <f t="shared" si="1"/>
        <v>0</v>
      </c>
      <c r="G19" s="215">
        <f t="shared" si="1"/>
        <v>0</v>
      </c>
      <c r="H19" s="131"/>
    </row>
    <row r="20" spans="1:8" ht="13" x14ac:dyDescent="0.25">
      <c r="A20" s="133"/>
      <c r="B20" s="204"/>
      <c r="C20" s="202" t="s">
        <v>5639</v>
      </c>
      <c r="D20" s="198">
        <f>AVERAGE(_xlfn.ANCHORARRAY(D23))</f>
        <v>183.57397378787871</v>
      </c>
      <c r="E20" s="198">
        <f t="shared" ref="E20:G20" si="2">AVERAGE(_xlfn.ANCHORARRAY(E23))</f>
        <v>0.18357397378787882</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88">_xlfn.UNIQUE(_xlfn._xlws.FILTER('EPD List'!D:D,ISNUMBER(SEARCH(B16,'EPD List'!C:C)),0))</f>
        <v>Clay brick, , FACING, Horizontally Perforated Bricks (KEBE SA) (Global)</v>
      </c>
      <c r="C23" s="132" t="str" cm="1">
        <f t="array" ref="C23:C88">_xlfn.IFNA(INDEX('EPD List'!$A:$AB,MATCH(_xlfn.ANCHORARRAY(B23),'EPD List'!$D:$D,0),MATCH(C$16,'EPD List'!$7:$7,0)),"")</f>
        <v>tonne</v>
      </c>
      <c r="D23" s="198" cm="1">
        <f t="array" ref="D23:D88">_xlfn.IFNA(VALUE((INDEX('EPD List'!$A:$AD,MATCH(_xlfn.ANCHORARRAY($B23),'EPD List'!$D:$D,0),MATCH(D$16,'EPD List'!$7:$7,0)))),"")</f>
        <v>147.0232</v>
      </c>
      <c r="E23" s="198" cm="1">
        <f t="array" ref="E23:E88">_xlfn.IFNA(VALUE((INDEX('EPD List'!$A:$AD,MATCH(_xlfn.ANCHORARRAY($B23),'EPD List'!$D:$D,0),MATCH(E$16,'EPD List'!$7:$7,0)))),"")</f>
        <v>0.14702319999999999</v>
      </c>
      <c r="F23" s="198" cm="1">
        <f t="array" ref="F23:F88">_xlfn.IFNA(VALUE((INDEX('EPD List'!$A:$AD,MATCH(_xlfn.ANCHORARRAY($B23),'EPD List'!$D:$D,0),MATCH(F$16,'EPD List'!$7:$7,0)))),"")</f>
        <v>0</v>
      </c>
      <c r="G23" s="215" cm="1">
        <f t="array" ref="G23:G88">_xlfn.IFNA(VALUE((INDEX('EPD List'!$A:$AD,MATCH(_xlfn.ANCHORARRAY($B23),'EPD List'!$D:$D,0),MATCH(G$16,'EPD List'!$7:$7,0)))),"")</f>
        <v>0</v>
      </c>
      <c r="H23" s="131"/>
    </row>
    <row r="24" spans="1:8" x14ac:dyDescent="0.25">
      <c r="A24" s="133"/>
      <c r="B24" s="204" t="str">
        <v>Clay brick, , N 60, Horizontally Perforated Bricks (KEBE SA) (Global)</v>
      </c>
      <c r="C24" s="132" t="str">
        <v>tonne</v>
      </c>
      <c r="D24" s="198">
        <v>147.0232</v>
      </c>
      <c r="E24" s="198">
        <v>0.14702319999999999</v>
      </c>
      <c r="F24" s="198">
        <v>0</v>
      </c>
      <c r="G24" s="215">
        <v>0</v>
      </c>
      <c r="H24" s="131"/>
    </row>
    <row r="25" spans="1:8" x14ac:dyDescent="0.25">
      <c r="A25" s="133"/>
      <c r="B25" s="204" t="str">
        <v>Clay brick, , N 70, Horizontally Perforated Bricks (KEBE SA) (Global)</v>
      </c>
      <c r="C25" s="132" t="str">
        <v>tonne</v>
      </c>
      <c r="D25" s="198">
        <v>147.0232</v>
      </c>
      <c r="E25" s="198">
        <v>0.14702319999999999</v>
      </c>
      <c r="F25" s="198">
        <v>0</v>
      </c>
      <c r="G25" s="215">
        <v>0</v>
      </c>
      <c r="H25" s="131"/>
    </row>
    <row r="26" spans="1:8" x14ac:dyDescent="0.25">
      <c r="A26" s="133"/>
      <c r="B26" s="204" t="str">
        <v>Clay brick, , Ν 90, Horizontally Perforated Bricks (KEBE SA) (Global)</v>
      </c>
      <c r="C26" s="132" t="str">
        <v>tonne</v>
      </c>
      <c r="D26" s="198">
        <v>147.0232</v>
      </c>
      <c r="E26" s="198">
        <v>0.14702319999999999</v>
      </c>
      <c r="F26" s="198">
        <v>0</v>
      </c>
      <c r="G26" s="215">
        <v>0</v>
      </c>
      <c r="H26" s="131"/>
    </row>
    <row r="27" spans="1:8" x14ac:dyDescent="0.25">
      <c r="A27" s="133"/>
      <c r="B27" s="204" t="str">
        <v>Clay brick, , Ν 180, Horizontally Perforated Bricks (KEBE SA) (Global)</v>
      </c>
      <c r="C27" s="132" t="str">
        <v>tonne</v>
      </c>
      <c r="D27" s="198">
        <v>147.0232</v>
      </c>
      <c r="E27" s="198">
        <v>0.14702319999999999</v>
      </c>
      <c r="F27" s="198">
        <v>0</v>
      </c>
      <c r="G27" s="215">
        <v>0</v>
      </c>
      <c r="H27" s="131"/>
    </row>
    <row r="28" spans="1:8" x14ac:dyDescent="0.25">
      <c r="A28" s="133"/>
      <c r="B28" s="204" t="str">
        <v>Clay brick, , FACING N 180, Horizontally Perforated Bricks (KEBE SA) (Global)</v>
      </c>
      <c r="C28" s="132" t="str">
        <v>tonne</v>
      </c>
      <c r="D28" s="198">
        <v>147.0232</v>
      </c>
      <c r="E28" s="198">
        <v>0.14702319999999999</v>
      </c>
      <c r="F28" s="198">
        <v>0</v>
      </c>
      <c r="G28" s="215">
        <v>0</v>
      </c>
      <c r="H28" s="131"/>
    </row>
    <row r="29" spans="1:8" x14ac:dyDescent="0.25">
      <c r="A29" s="133"/>
      <c r="B29" s="204" t="str">
        <v>Clay brick, , N 225, Horizontally Perforated Bricks (KEBE SA) (Global)</v>
      </c>
      <c r="C29" s="132" t="str">
        <v>tonne</v>
      </c>
      <c r="D29" s="198">
        <v>147.0232</v>
      </c>
      <c r="E29" s="198">
        <v>0.14702319999999999</v>
      </c>
      <c r="F29" s="198">
        <v>0</v>
      </c>
      <c r="G29" s="215">
        <v>0</v>
      </c>
      <c r="H29" s="131"/>
    </row>
    <row r="30" spans="1:8" x14ac:dyDescent="0.25">
      <c r="A30" s="133"/>
      <c r="B30" s="204" t="str">
        <v>Clay brick, , N 200, Horizontally Perforated Bricks (KEBE SA) (Global)</v>
      </c>
      <c r="C30" s="132" t="str">
        <v>tonne</v>
      </c>
      <c r="D30" s="198">
        <v>147.0232</v>
      </c>
      <c r="E30" s="198">
        <v>0.14702319999999999</v>
      </c>
      <c r="F30" s="198">
        <v>0</v>
      </c>
      <c r="G30" s="215">
        <v>0</v>
      </c>
      <c r="H30" s="131"/>
    </row>
    <row r="31" spans="1:8" x14ac:dyDescent="0.25">
      <c r="A31" s="133"/>
      <c r="B31" s="204" t="str">
        <v>Clay brick, , N 250, Horizontally Perforated Bricks (KEBE SA) (Global)</v>
      </c>
      <c r="C31" s="132" t="str">
        <v>tonne</v>
      </c>
      <c r="D31" s="198">
        <v>147.0232</v>
      </c>
      <c r="E31" s="198">
        <v>0.14702319999999999</v>
      </c>
      <c r="F31" s="198">
        <v>0</v>
      </c>
      <c r="G31" s="215">
        <v>0</v>
      </c>
      <c r="H31" s="131"/>
    </row>
    <row r="32" spans="1:8" x14ac:dyDescent="0.25">
      <c r="A32" s="133"/>
      <c r="B32" s="204" t="str">
        <v>Clay brick, , Ν 280, Horizontally Perforated Bricks (KEBE SA) (Global)</v>
      </c>
      <c r="C32" s="132" t="str">
        <v>tonne</v>
      </c>
      <c r="D32" s="198">
        <v>147.0232</v>
      </c>
      <c r="E32" s="198">
        <v>0.14702319999999999</v>
      </c>
      <c r="F32" s="198">
        <v>0</v>
      </c>
      <c r="G32" s="215">
        <v>0</v>
      </c>
      <c r="H32" s="131"/>
    </row>
    <row r="33" spans="1:8" x14ac:dyDescent="0.25">
      <c r="A33" s="133"/>
      <c r="B33" s="204" t="str">
        <v>Clay brick, , B250-12/25, Horizontally Perforated Bricks (KEBE SA) (Global)</v>
      </c>
      <c r="C33" s="132" t="str">
        <v>tonne</v>
      </c>
      <c r="D33" s="198">
        <v>147.0232</v>
      </c>
      <c r="E33" s="198">
        <v>0.14702319999999999</v>
      </c>
      <c r="F33" s="198">
        <v>0</v>
      </c>
      <c r="G33" s="215">
        <v>0</v>
      </c>
      <c r="H33" s="131"/>
    </row>
    <row r="34" spans="1:8" x14ac:dyDescent="0.25">
      <c r="A34" s="133"/>
      <c r="B34" s="204" t="str">
        <v>Clay brick, , B250-12/33, Horizontally Perforated Bricks (KEBE SA) (Global)</v>
      </c>
      <c r="C34" s="132" t="str">
        <v>tonne</v>
      </c>
      <c r="D34" s="198">
        <v>147.0232</v>
      </c>
      <c r="E34" s="198">
        <v>0.14702319999999999</v>
      </c>
      <c r="F34" s="198">
        <v>0</v>
      </c>
      <c r="G34" s="215">
        <v>0</v>
      </c>
      <c r="H34" s="131"/>
    </row>
    <row r="35" spans="1:8" x14ac:dyDescent="0.25">
      <c r="A35" s="133"/>
      <c r="B35" s="204" t="str">
        <v>Clay brick, , B250-20/33, Horizontally Perforated Bricks (KEBE SA) (Global)</v>
      </c>
      <c r="C35" s="132" t="str">
        <v>tonne</v>
      </c>
      <c r="D35" s="198">
        <v>147.0232</v>
      </c>
      <c r="E35" s="198">
        <v>0.14702319999999999</v>
      </c>
      <c r="F35" s="198">
        <v>0</v>
      </c>
      <c r="G35" s="215">
        <v>0</v>
      </c>
      <c r="H35" s="131"/>
    </row>
    <row r="36" spans="1:8" x14ac:dyDescent="0.25">
      <c r="A36" s="133"/>
      <c r="B36" s="204" t="str">
        <v>Clay brick, , N 0, Horizontally Perforated Bricks (KEBE SA) (Global)</v>
      </c>
      <c r="C36" s="132" t="str">
        <v>tonne</v>
      </c>
      <c r="D36" s="198">
        <v>147.0232</v>
      </c>
      <c r="E36" s="198">
        <v>0.14702319999999999</v>
      </c>
      <c r="F36" s="198">
        <v>0</v>
      </c>
      <c r="G36" s="215">
        <v>0</v>
      </c>
      <c r="H36" s="131"/>
    </row>
    <row r="37" spans="1:8" x14ac:dyDescent="0.25">
      <c r="A37" s="133"/>
      <c r="B37" s="204" t="str">
        <v>Clay brick, , N 1, Horizontally Perforated Bricks (KEBE SA) (Global)</v>
      </c>
      <c r="C37" s="132" t="str">
        <v>tonne</v>
      </c>
      <c r="D37" s="198">
        <v>147.0232</v>
      </c>
      <c r="E37" s="198">
        <v>0.14702319999999999</v>
      </c>
      <c r="F37" s="198">
        <v>0</v>
      </c>
      <c r="G37" s="215">
        <v>0</v>
      </c>
      <c r="H37" s="131"/>
    </row>
    <row r="38" spans="1:8" x14ac:dyDescent="0.25">
      <c r="A38" s="133"/>
      <c r="B38" s="204" t="str">
        <v>Clay brick, , N 2, Horizontally Perforated Bricks (KEBE SA) (Global)</v>
      </c>
      <c r="C38" s="132" t="str">
        <v>tonne</v>
      </c>
      <c r="D38" s="198">
        <v>147.0232</v>
      </c>
      <c r="E38" s="198">
        <v>0.14702319999999999</v>
      </c>
      <c r="F38" s="198">
        <v>0</v>
      </c>
      <c r="G38" s="215">
        <v>0</v>
      </c>
      <c r="H38" s="131"/>
    </row>
    <row r="39" spans="1:8" x14ac:dyDescent="0.25">
      <c r="A39" s="133"/>
      <c r="B39" s="204" t="str">
        <v>Clay brick, , N 3, Horizontally Perforated Bricks (KEBE SA) (Global)</v>
      </c>
      <c r="C39" s="132" t="str">
        <v>tonne</v>
      </c>
      <c r="D39" s="198">
        <v>147.0232</v>
      </c>
      <c r="E39" s="198">
        <v>0.14702319999999999</v>
      </c>
      <c r="F39" s="198">
        <v>0</v>
      </c>
      <c r="G39" s="215">
        <v>0</v>
      </c>
      <c r="H39" s="131"/>
    </row>
    <row r="40" spans="1:8" x14ac:dyDescent="0.25">
      <c r="A40" s="133"/>
      <c r="B40" s="204" t="str">
        <v>Clay brick, , ΜΚ200, Vertically Perforated Bricks (KEBE SA) (Global)</v>
      </c>
      <c r="C40" s="132" t="str">
        <v>tonne</v>
      </c>
      <c r="D40" s="198">
        <v>147.0232</v>
      </c>
      <c r="E40" s="198">
        <v>0.14702319999999999</v>
      </c>
      <c r="F40" s="198">
        <v>0</v>
      </c>
      <c r="G40" s="215">
        <v>0</v>
      </c>
      <c r="H40" s="131"/>
    </row>
    <row r="41" spans="1:8" x14ac:dyDescent="0.25">
      <c r="A41" s="133"/>
      <c r="B41" s="204" t="str">
        <v>Clay brick, , ΜΚ250, Vertically Perforated Bricks (KEBE SA) (Global)</v>
      </c>
      <c r="C41" s="132" t="str">
        <v>tonne</v>
      </c>
      <c r="D41" s="198">
        <v>147.0232</v>
      </c>
      <c r="E41" s="198">
        <v>0.14702319999999999</v>
      </c>
      <c r="F41" s="198">
        <v>0</v>
      </c>
      <c r="G41" s="215">
        <v>0</v>
      </c>
      <c r="H41" s="131"/>
    </row>
    <row r="42" spans="1:8" x14ac:dyDescent="0.25">
      <c r="A42" s="133"/>
      <c r="B42" s="204" t="str">
        <v>Clay brick, , ORTHOBLOCK K100, Vertically Perforated Bricks (KEBE SA) (Global)</v>
      </c>
      <c r="C42" s="132" t="str">
        <v>tonne</v>
      </c>
      <c r="D42" s="198">
        <v>147.0232</v>
      </c>
      <c r="E42" s="198">
        <v>0.14702319999999999</v>
      </c>
      <c r="F42" s="198">
        <v>0</v>
      </c>
      <c r="G42" s="215">
        <v>0</v>
      </c>
      <c r="H42" s="131"/>
    </row>
    <row r="43" spans="1:8" x14ac:dyDescent="0.25">
      <c r="A43" s="133"/>
      <c r="B43" s="204" t="str">
        <v>Clay brick, , ORTHOBLOCK K120, Vertically Perforated Bricks (KEBE SA) (Global)</v>
      </c>
      <c r="C43" s="132" t="str">
        <v>tonne</v>
      </c>
      <c r="D43" s="198">
        <v>147.0232</v>
      </c>
      <c r="E43" s="198">
        <v>0.14702319999999999</v>
      </c>
      <c r="F43" s="198">
        <v>0</v>
      </c>
      <c r="G43" s="215">
        <v>0</v>
      </c>
      <c r="H43" s="131"/>
    </row>
    <row r="44" spans="1:8" x14ac:dyDescent="0.25">
      <c r="A44" s="133"/>
      <c r="B44" s="204" t="str">
        <v>Clay brick, , HALF Κ250, Vertically Perforated Bricks (KEBE SA) (Global)</v>
      </c>
      <c r="C44" s="132" t="str">
        <v>tonne</v>
      </c>
      <c r="D44" s="198">
        <v>147.0232</v>
      </c>
      <c r="E44" s="198">
        <v>0.14702319999999999</v>
      </c>
      <c r="F44" s="198">
        <v>0</v>
      </c>
      <c r="G44" s="215">
        <v>0</v>
      </c>
      <c r="H44" s="131"/>
    </row>
    <row r="45" spans="1:8" x14ac:dyDescent="0.25">
      <c r="A45" s="133"/>
      <c r="B45" s="204" t="str">
        <v>Clay brick, , ORTHOBLOCK K250, Vertically Perforated Bricks (KEBE SA) (Global)</v>
      </c>
      <c r="C45" s="132" t="str">
        <v>tonne</v>
      </c>
      <c r="D45" s="198">
        <v>147.0232</v>
      </c>
      <c r="E45" s="198">
        <v>0.14702319999999999</v>
      </c>
      <c r="F45" s="198">
        <v>0</v>
      </c>
      <c r="G45" s="215">
        <v>0</v>
      </c>
      <c r="H45" s="131"/>
    </row>
    <row r="46" spans="1:8" x14ac:dyDescent="0.25">
      <c r="A46" s="133"/>
      <c r="B46" s="204" t="str">
        <v>Clay brick, , ORTHOBLOCK K250 NEW, Vertically Perforated Bricks (KEBE SA) (Global)</v>
      </c>
      <c r="C46" s="132" t="str">
        <v>tonne</v>
      </c>
      <c r="D46" s="198">
        <v>147.0232</v>
      </c>
      <c r="E46" s="198">
        <v>0.14702319999999999</v>
      </c>
      <c r="F46" s="198">
        <v>0</v>
      </c>
      <c r="G46" s="215">
        <v>0</v>
      </c>
      <c r="H46" s="131"/>
    </row>
    <row r="47" spans="1:8" x14ac:dyDescent="0.25">
      <c r="A47" s="133"/>
      <c r="B47" s="204" t="str">
        <v>Clay brick, , ORTHOBLOCK K300, Vertically Perforated Bricks (KEBE SA) (Global)</v>
      </c>
      <c r="C47" s="132" t="str">
        <v>tonne</v>
      </c>
      <c r="D47" s="198">
        <v>147.0232</v>
      </c>
      <c r="E47" s="198">
        <v>0.14702319999999999</v>
      </c>
      <c r="F47" s="198">
        <v>0</v>
      </c>
      <c r="G47" s="215">
        <v>0</v>
      </c>
      <c r="H47" s="131"/>
    </row>
    <row r="48" spans="1:8" x14ac:dyDescent="0.25">
      <c r="A48" s="133"/>
      <c r="B48" s="204" t="str">
        <v>Clay brick, , Φ 180, Chimneys (KEBE SA) (Global)</v>
      </c>
      <c r="C48" s="132" t="str">
        <v>tonne</v>
      </c>
      <c r="D48" s="198">
        <v>199.02330000000001</v>
      </c>
      <c r="E48" s="198">
        <v>0.19902330000000001</v>
      </c>
      <c r="F48" s="198">
        <v>0</v>
      </c>
      <c r="G48" s="215">
        <v>0</v>
      </c>
      <c r="H48" s="131"/>
    </row>
    <row r="49" spans="1:8" x14ac:dyDescent="0.25">
      <c r="A49" s="133"/>
      <c r="B49" s="204" t="str">
        <v>Clay brick, , Φ 180 – Τ 130, Chimneys (KEBE SA) (Global)</v>
      </c>
      <c r="C49" s="132" t="str">
        <v>tonne</v>
      </c>
      <c r="D49" s="198">
        <v>199.02330000000001</v>
      </c>
      <c r="E49" s="198">
        <v>0.19902330000000001</v>
      </c>
      <c r="F49" s="198">
        <v>0</v>
      </c>
      <c r="G49" s="215">
        <v>0</v>
      </c>
      <c r="H49" s="131"/>
    </row>
    <row r="50" spans="1:8" x14ac:dyDescent="0.25">
      <c r="A50" s="133"/>
      <c r="B50" s="204" t="str">
        <v>Clay brick, , Φ 180 – Τ 150, Chimneys (KEBE SA) (Global)</v>
      </c>
      <c r="C50" s="132" t="str">
        <v>tonne</v>
      </c>
      <c r="D50" s="198">
        <v>199.02330000000001</v>
      </c>
      <c r="E50" s="198">
        <v>0.19902330000000001</v>
      </c>
      <c r="F50" s="198">
        <v>0</v>
      </c>
      <c r="G50" s="215">
        <v>0</v>
      </c>
      <c r="H50" s="131"/>
    </row>
    <row r="51" spans="1:8" x14ac:dyDescent="0.25">
      <c r="A51" s="133"/>
      <c r="B51" s="204" t="str">
        <v>Clay brick, , Φ 250, Chimneys (KEBE SA) (Global)</v>
      </c>
      <c r="C51" s="132" t="str">
        <v>tonne</v>
      </c>
      <c r="D51" s="198">
        <v>199.02330000000001</v>
      </c>
      <c r="E51" s="198">
        <v>0.19902330000000001</v>
      </c>
      <c r="F51" s="198">
        <v>0</v>
      </c>
      <c r="G51" s="215">
        <v>0</v>
      </c>
      <c r="H51" s="131"/>
    </row>
    <row r="52" spans="1:8" x14ac:dyDescent="0.25">
      <c r="A52" s="133"/>
      <c r="B52" s="204" t="str">
        <v>Clay brick, , Φ 250 – Τ 180, Chimneys (KEBE SA) (Global)</v>
      </c>
      <c r="C52" s="132" t="str">
        <v>tonne</v>
      </c>
      <c r="D52" s="198">
        <v>199.02330000000001</v>
      </c>
      <c r="E52" s="198">
        <v>0.19902330000000001</v>
      </c>
      <c r="F52" s="198">
        <v>0</v>
      </c>
      <c r="G52" s="215">
        <v>0</v>
      </c>
      <c r="H52" s="131"/>
    </row>
    <row r="53" spans="1:8" x14ac:dyDescent="0.25">
      <c r="A53" s="133"/>
      <c r="B53" s="204" t="str">
        <v>Clay brick, , Φ 250 – Τ 150, Chimneys (KEBE SA) (Global)</v>
      </c>
      <c r="C53" s="132" t="str">
        <v>tonne</v>
      </c>
      <c r="D53" s="198">
        <v>199.02330000000001</v>
      </c>
      <c r="E53" s="198">
        <v>0.19902330000000001</v>
      </c>
      <c r="F53" s="198">
        <v>0</v>
      </c>
      <c r="G53" s="215">
        <v>0</v>
      </c>
      <c r="H53" s="131"/>
    </row>
    <row r="54" spans="1:8" x14ac:dyDescent="0.25">
      <c r="A54" s="133"/>
      <c r="B54" s="204" t="str">
        <v>Clay brick, , ORTHOBLOCK K300 PLUS NEW, Vertically Perforated Bricks (KEBE SA) (Global)</v>
      </c>
      <c r="C54" s="132" t="str">
        <v>tonne</v>
      </c>
      <c r="D54" s="198">
        <v>199.02330000000001</v>
      </c>
      <c r="E54" s="198">
        <v>0.19902330000000001</v>
      </c>
      <c r="F54" s="198">
        <v>0</v>
      </c>
      <c r="G54" s="215">
        <v>0</v>
      </c>
      <c r="H54" s="131"/>
    </row>
    <row r="55" spans="1:8" x14ac:dyDescent="0.25">
      <c r="A55" s="133"/>
      <c r="B55" s="204" t="str">
        <v>Clay brick, , ORTHOBLOCK K300 PLUS, Vertically Perforated Bricks (KEBE SA) (Global)</v>
      </c>
      <c r="C55" s="132" t="str">
        <v>tonne</v>
      </c>
      <c r="D55" s="198">
        <v>199.02330000000001</v>
      </c>
      <c r="E55" s="198">
        <v>0.19902330000000001</v>
      </c>
      <c r="F55" s="198">
        <v>0</v>
      </c>
      <c r="G55" s="215">
        <v>0</v>
      </c>
      <c r="H55" s="131"/>
    </row>
    <row r="56" spans="1:8" x14ac:dyDescent="0.25">
      <c r="A56" s="133"/>
      <c r="B56" s="204" t="str">
        <v>Clay brick, , ORTHOBLOCK K250 PLUS NEW, Vertically Perforated Bricks (KEBE SA) (Global)</v>
      </c>
      <c r="C56" s="132" t="str">
        <v>tonne</v>
      </c>
      <c r="D56" s="198">
        <v>199.02330000000001</v>
      </c>
      <c r="E56" s="198">
        <v>0.19902330000000001</v>
      </c>
      <c r="F56" s="198">
        <v>0</v>
      </c>
      <c r="G56" s="215">
        <v>0</v>
      </c>
      <c r="H56" s="131"/>
    </row>
    <row r="57" spans="1:8" x14ac:dyDescent="0.25">
      <c r="A57" s="133"/>
      <c r="B57" s="204" t="str">
        <v>Clay brick, , ORTHOBLOCK K250 PLUS, Vertically Perforated Bricks (KEBE SA) (Global)</v>
      </c>
      <c r="C57" s="132" t="str">
        <v>tonne</v>
      </c>
      <c r="D57" s="198">
        <v>199.02330000000001</v>
      </c>
      <c r="E57" s="198">
        <v>0.19902330000000001</v>
      </c>
      <c r="F57" s="198">
        <v>0</v>
      </c>
      <c r="G57" s="215">
        <v>0</v>
      </c>
      <c r="H57" s="131"/>
    </row>
    <row r="58" spans="1:8" x14ac:dyDescent="0.25">
      <c r="A58" s="133"/>
      <c r="B58" s="204" t="str">
        <v>Clay Brick, , Sencis, red clay facing brick (Lode Sia) (Europe)</v>
      </c>
      <c r="C58" s="132" t="str">
        <v>tonne</v>
      </c>
      <c r="D58" s="198">
        <v>150.44099999999997</v>
      </c>
      <c r="E58" s="198">
        <v>0.15044099999999999</v>
      </c>
      <c r="F58" s="198">
        <v>0</v>
      </c>
      <c r="G58" s="215">
        <v>0</v>
      </c>
      <c r="H58" s="131"/>
    </row>
    <row r="59" spans="1:8" x14ac:dyDescent="0.25">
      <c r="A59" s="133"/>
      <c r="B59" s="204" t="str">
        <v>Clay Brick, , Janka, red clay facing brick (Lode Sia) (Europe)</v>
      </c>
      <c r="C59" s="132" t="str">
        <v>tonne</v>
      </c>
      <c r="D59" s="198">
        <v>150.44099999999997</v>
      </c>
      <c r="E59" s="198">
        <v>0.15044099999999999</v>
      </c>
      <c r="F59" s="198">
        <v>0</v>
      </c>
      <c r="G59" s="215">
        <v>0</v>
      </c>
      <c r="H59" s="131"/>
    </row>
    <row r="60" spans="1:8" x14ac:dyDescent="0.25">
      <c r="A60" s="133"/>
      <c r="B60" s="204" t="str">
        <v>Clay Brick, , Gemini, red clay facing brick (Lode Sia) (Europe)</v>
      </c>
      <c r="C60" s="132" t="str">
        <v>tonne</v>
      </c>
      <c r="D60" s="198">
        <v>150.44099999999997</v>
      </c>
      <c r="E60" s="198">
        <v>0.15044099999999999</v>
      </c>
      <c r="F60" s="198">
        <v>0</v>
      </c>
      <c r="G60" s="215">
        <v>0</v>
      </c>
      <c r="H60" s="131"/>
    </row>
    <row r="61" spans="1:8" x14ac:dyDescent="0.25">
      <c r="A61" s="133"/>
      <c r="B61" s="204" t="str">
        <v>Clay Brick, , Cameleo, red clay facing brick (Lode Sia) (Europe)</v>
      </c>
      <c r="C61" s="132" t="str">
        <v>tonne</v>
      </c>
      <c r="D61" s="198">
        <v>150.44099999999997</v>
      </c>
      <c r="E61" s="198">
        <v>0.15044099999999999</v>
      </c>
      <c r="F61" s="198">
        <v>0</v>
      </c>
      <c r="G61" s="215">
        <v>0</v>
      </c>
      <c r="H61" s="131"/>
    </row>
    <row r="62" spans="1:8" x14ac:dyDescent="0.25">
      <c r="A62" s="133"/>
      <c r="B62" s="204" t="str">
        <v>Clay Brick, , Argon, red clay facing brick (Lode Sia) (Europe)</v>
      </c>
      <c r="C62" s="132" t="str">
        <v>tonne</v>
      </c>
      <c r="D62" s="198">
        <v>150.44099999999997</v>
      </c>
      <c r="E62" s="198">
        <v>0.15044099999999999</v>
      </c>
      <c r="F62" s="198">
        <v>0</v>
      </c>
      <c r="G62" s="215">
        <v>0</v>
      </c>
      <c r="H62" s="131"/>
    </row>
    <row r="63" spans="1:8" x14ac:dyDescent="0.25">
      <c r="A63" s="133"/>
      <c r="B63" s="204" t="str">
        <v>Clay Brick, , Andromeda, red clay facing brick (Lode Sia) (Europe)</v>
      </c>
      <c r="C63" s="132" t="str">
        <v>tonne</v>
      </c>
      <c r="D63" s="198">
        <v>150.44099999999997</v>
      </c>
      <c r="E63" s="198">
        <v>0.15044099999999999</v>
      </c>
      <c r="F63" s="198">
        <v>0</v>
      </c>
      <c r="G63" s="215">
        <v>0</v>
      </c>
      <c r="H63" s="131"/>
    </row>
    <row r="64" spans="1:8" x14ac:dyDescent="0.25">
      <c r="A64" s="133"/>
      <c r="B64" s="204" t="str">
        <v>Clay Brick, , Aquarius, red clay facing brick (Lode Sia) (Europe)</v>
      </c>
      <c r="C64" s="132" t="str">
        <v>tonne</v>
      </c>
      <c r="D64" s="198">
        <v>150.44099999999997</v>
      </c>
      <c r="E64" s="198">
        <v>0.15044099999999999</v>
      </c>
      <c r="F64" s="198">
        <v>0</v>
      </c>
      <c r="G64" s="215">
        <v>0</v>
      </c>
      <c r="H64" s="131"/>
    </row>
    <row r="65" spans="1:8" x14ac:dyDescent="0.25">
      <c r="A65" s="133"/>
      <c r="B65" s="204" t="str">
        <v>Clay Brick, , Etna, red clay facing brick (Lode Sia) (Europe)</v>
      </c>
      <c r="C65" s="132" t="str">
        <v>tonne</v>
      </c>
      <c r="D65" s="198">
        <v>150.44099999999997</v>
      </c>
      <c r="E65" s="198">
        <v>0.15044099999999999</v>
      </c>
      <c r="F65" s="198">
        <v>0</v>
      </c>
      <c r="G65" s="215">
        <v>0</v>
      </c>
      <c r="H65" s="131"/>
    </row>
    <row r="66" spans="1:8" x14ac:dyDescent="0.25">
      <c r="A66" s="133"/>
      <c r="B66" s="204" t="str">
        <v>Clay Brick, , Luna, red clay facing brick (Lode Sia) (Europe)</v>
      </c>
      <c r="C66" s="132" t="str">
        <v>tonne</v>
      </c>
      <c r="D66" s="198">
        <v>150.44099999999997</v>
      </c>
      <c r="E66" s="198">
        <v>0.15044099999999999</v>
      </c>
      <c r="F66" s="198">
        <v>0</v>
      </c>
      <c r="G66" s="215">
        <v>0</v>
      </c>
      <c r="H66" s="131"/>
    </row>
    <row r="67" spans="1:8" x14ac:dyDescent="0.25">
      <c r="A67" s="133"/>
      <c r="B67" s="204" t="str">
        <v>Clay Brick, , Brunis , brown clay facing brick (Lode Sia) (Europe)</v>
      </c>
      <c r="C67" s="132" t="str">
        <v>tonne</v>
      </c>
      <c r="D67" s="198">
        <v>200.42600000000002</v>
      </c>
      <c r="E67" s="198">
        <v>0.20042600000000002</v>
      </c>
      <c r="F67" s="198">
        <v>0</v>
      </c>
      <c r="G67" s="215">
        <v>0</v>
      </c>
      <c r="H67" s="131"/>
    </row>
    <row r="68" spans="1:8" x14ac:dyDescent="0.25">
      <c r="A68" s="133"/>
      <c r="B68" s="204" t="str">
        <v>Clay Brick, , Carbon, brown clay facing brick (Lode Sia) (Europe)</v>
      </c>
      <c r="C68" s="132" t="str">
        <v>tonne</v>
      </c>
      <c r="D68" s="198">
        <v>200.42600000000002</v>
      </c>
      <c r="E68" s="198">
        <v>0.20042600000000002</v>
      </c>
      <c r="F68" s="198">
        <v>0</v>
      </c>
      <c r="G68" s="215">
        <v>0</v>
      </c>
      <c r="H68" s="131"/>
    </row>
    <row r="69" spans="1:8" x14ac:dyDescent="0.25">
      <c r="A69" s="133"/>
      <c r="B69" s="204" t="str">
        <v>Clay Brick, , Centaur, brown clay facing brick (Lode Sia) (Europe)</v>
      </c>
      <c r="C69" s="132" t="str">
        <v>tonne</v>
      </c>
      <c r="D69" s="198">
        <v>200.42600000000002</v>
      </c>
      <c r="E69" s="198">
        <v>0.20042600000000002</v>
      </c>
      <c r="F69" s="198">
        <v>0</v>
      </c>
      <c r="G69" s="215">
        <v>0</v>
      </c>
      <c r="H69" s="131"/>
    </row>
    <row r="70" spans="1:8" x14ac:dyDescent="0.25">
      <c r="A70" s="133"/>
      <c r="B70" s="204" t="str">
        <v>Clay Brick, , Galaxy, brown clay facing brick (Lode Sia) (Europe)</v>
      </c>
      <c r="C70" s="132" t="str">
        <v>tonne</v>
      </c>
      <c r="D70" s="198">
        <v>200.42600000000002</v>
      </c>
      <c r="E70" s="198">
        <v>0.20042600000000002</v>
      </c>
      <c r="F70" s="198">
        <v>0</v>
      </c>
      <c r="G70" s="215">
        <v>0</v>
      </c>
      <c r="H70" s="131"/>
    </row>
    <row r="71" spans="1:8" x14ac:dyDescent="0.25">
      <c r="A71" s="133"/>
      <c r="B71" s="204" t="str">
        <v>Clay Brick, , Krypton, brown clay facing brick (Lode Sia) (Europe)</v>
      </c>
      <c r="C71" s="132" t="str">
        <v>tonne</v>
      </c>
      <c r="D71" s="198">
        <v>200.42600000000002</v>
      </c>
      <c r="E71" s="198">
        <v>0.20042600000000002</v>
      </c>
      <c r="F71" s="198">
        <v>0</v>
      </c>
      <c r="G71" s="215">
        <v>0</v>
      </c>
      <c r="H71" s="131"/>
    </row>
    <row r="72" spans="1:8" x14ac:dyDescent="0.25">
      <c r="A72" s="133"/>
      <c r="B72" s="204" t="str">
        <v>Clay Brick, , Saturn, brown clay facing brick (Lode Sia) (Europe)</v>
      </c>
      <c r="C72" s="132" t="str">
        <v>tonne</v>
      </c>
      <c r="D72" s="198">
        <v>200.42600000000002</v>
      </c>
      <c r="E72" s="198">
        <v>0.20042600000000002</v>
      </c>
      <c r="F72" s="198">
        <v>0</v>
      </c>
      <c r="G72" s="215">
        <v>0</v>
      </c>
      <c r="H72" s="131"/>
    </row>
    <row r="73" spans="1:8" x14ac:dyDescent="0.25">
      <c r="A73" s="133"/>
      <c r="B73" s="204" t="str">
        <v>Clay Brick, , Sotis, brown clay facing brick (Lode Sia) (Europe)</v>
      </c>
      <c r="C73" s="132" t="str">
        <v>tonne</v>
      </c>
      <c r="D73" s="198">
        <v>200.42600000000002</v>
      </c>
      <c r="E73" s="198">
        <v>0.20042600000000002</v>
      </c>
      <c r="F73" s="198">
        <v>0</v>
      </c>
      <c r="G73" s="215">
        <v>0</v>
      </c>
      <c r="H73" s="131"/>
    </row>
    <row r="74" spans="1:8" x14ac:dyDescent="0.25">
      <c r="A74" s="133"/>
      <c r="B74" s="204" t="str">
        <v>Clay Brick, , Sahara, yellow clay facing brick (Lode Sia) (Europe)</v>
      </c>
      <c r="C74" s="132" t="str">
        <v>tonne</v>
      </c>
      <c r="D74" s="198">
        <v>380.46</v>
      </c>
      <c r="E74" s="198">
        <v>0.38046000000000002</v>
      </c>
      <c r="F74" s="198">
        <v>0</v>
      </c>
      <c r="G74" s="215">
        <v>0</v>
      </c>
      <c r="H74" s="131"/>
    </row>
    <row r="75" spans="1:8" x14ac:dyDescent="0.25">
      <c r="A75" s="133"/>
      <c r="B75" s="204" t="str">
        <v>Clay Brick, , Blanka, yellow clay facing brick (Lode Sia) (Europe)</v>
      </c>
      <c r="C75" s="132" t="str">
        <v>tonne</v>
      </c>
      <c r="D75" s="198">
        <v>380.46</v>
      </c>
      <c r="E75" s="198">
        <v>0.38046000000000002</v>
      </c>
      <c r="F75" s="198">
        <v>0</v>
      </c>
      <c r="G75" s="215">
        <v>0</v>
      </c>
      <c r="H75" s="131"/>
    </row>
    <row r="76" spans="1:8" x14ac:dyDescent="0.25">
      <c r="A76" s="133"/>
      <c r="B76" s="204" t="str">
        <v>Clay Brick, , Wenus, yellow clay facing brick (Lode Sia) (Europe)</v>
      </c>
      <c r="C76" s="132" t="str">
        <v>tonne</v>
      </c>
      <c r="D76" s="198">
        <v>380.46</v>
      </c>
      <c r="E76" s="198">
        <v>0.38046000000000002</v>
      </c>
      <c r="F76" s="198">
        <v>0</v>
      </c>
      <c r="G76" s="215">
        <v>0</v>
      </c>
      <c r="H76" s="131"/>
    </row>
    <row r="77" spans="1:8" x14ac:dyDescent="0.25">
      <c r="A77" s="133"/>
      <c r="B77" s="204" t="str">
        <v>Clay Brick, , Tybet, clay brick (reduction firing) (Lode Sia) (Europe)</v>
      </c>
      <c r="C77" s="132" t="str">
        <v>tonne</v>
      </c>
      <c r="D77" s="198">
        <v>310.12100000000004</v>
      </c>
      <c r="E77" s="198">
        <v>0.31012099999999998</v>
      </c>
      <c r="F77" s="198">
        <v>0</v>
      </c>
      <c r="G77" s="215">
        <v>0</v>
      </c>
      <c r="H77" s="131"/>
    </row>
    <row r="78" spans="1:8" x14ac:dyDescent="0.25">
      <c r="A78" s="133"/>
      <c r="B78" s="204" t="str">
        <v>Clay Brick, , Syriusz, clay brick (reduction firing) (Lode Sia) (Europe)</v>
      </c>
      <c r="C78" s="132" t="str">
        <v>tonne</v>
      </c>
      <c r="D78" s="198">
        <v>310.12100000000004</v>
      </c>
      <c r="E78" s="198">
        <v>0.31012099999999998</v>
      </c>
      <c r="F78" s="198">
        <v>0</v>
      </c>
      <c r="G78" s="215">
        <v>0</v>
      </c>
      <c r="H78" s="131"/>
    </row>
    <row r="79" spans="1:8" x14ac:dyDescent="0.25">
      <c r="A79" s="133"/>
      <c r="B79" s="204" t="str">
        <v>Clay brick, , Brick (Prayag Clay Products Limited (PCPL) (Global)</v>
      </c>
      <c r="C79" s="132" t="str">
        <v>tonne</v>
      </c>
      <c r="D79" s="198">
        <v>47.832090000000001</v>
      </c>
      <c r="E79" s="198">
        <v>4.7832090000000001E-2</v>
      </c>
      <c r="F79" s="198">
        <v>0</v>
      </c>
      <c r="G79" s="215">
        <v>0</v>
      </c>
      <c r="H79" s="131"/>
    </row>
    <row r="80" spans="1:8" x14ac:dyDescent="0.25">
      <c r="A80" s="133"/>
      <c r="B80" s="204" t="str">
        <v>Clay brick, , Block (Prayag Clay Products Limited (PCPL) (Global)</v>
      </c>
      <c r="C80" s="132" t="str">
        <v>tonne</v>
      </c>
      <c r="D80" s="198">
        <v>47.832090000000001</v>
      </c>
      <c r="E80" s="198">
        <v>4.7832090000000001E-2</v>
      </c>
      <c r="F80" s="198">
        <v>0</v>
      </c>
      <c r="G80" s="215">
        <v>0</v>
      </c>
      <c r="H80" s="131"/>
    </row>
    <row r="81" spans="1:9" x14ac:dyDescent="0.25">
      <c r="A81" s="133"/>
      <c r="B81" s="204" t="str">
        <v>Clay brick, , Paver (Prayag Clay Products Limited (PCPL)) (Global)</v>
      </c>
      <c r="C81" s="132" t="str">
        <v>tonne</v>
      </c>
      <c r="D81" s="198">
        <v>47.832090000000001</v>
      </c>
      <c r="E81" s="198">
        <v>4.7832090000000001E-2</v>
      </c>
      <c r="F81" s="198">
        <v>0</v>
      </c>
      <c r="G81" s="215">
        <v>0</v>
      </c>
      <c r="H81" s="131"/>
    </row>
    <row r="82" spans="1:9" x14ac:dyDescent="0.25">
      <c r="A82" s="133"/>
      <c r="B82" s="204" t="str">
        <v>Clay brick, , Clay bricks and Pavers from Bowral (Brickworks) (Australia)</v>
      </c>
      <c r="C82" s="132" t="str">
        <v>tonne</v>
      </c>
      <c r="D82" s="198">
        <v>387</v>
      </c>
      <c r="E82" s="198">
        <v>0.38700000000000001</v>
      </c>
      <c r="F82" s="198">
        <v>0</v>
      </c>
      <c r="G82" s="215">
        <v>0</v>
      </c>
      <c r="H82" s="131"/>
    </row>
    <row r="83" spans="1:9" x14ac:dyDescent="0.25">
      <c r="A83" s="133"/>
      <c r="B83" s="204" t="str">
        <v>Clay brick, , Clay bricks and Pavers from Golden Grove (Brickworks) (Australia)</v>
      </c>
      <c r="C83" s="132" t="str">
        <v>tonne</v>
      </c>
      <c r="D83" s="198">
        <v>254</v>
      </c>
      <c r="E83" s="198">
        <v>0.254</v>
      </c>
      <c r="F83" s="198">
        <v>0</v>
      </c>
      <c r="G83" s="215">
        <v>0</v>
      </c>
      <c r="H83" s="131"/>
    </row>
    <row r="84" spans="1:9" x14ac:dyDescent="0.25">
      <c r="A84" s="133"/>
      <c r="B84" s="204" t="str">
        <v>Clay brick, , Clay bricks and Pavers from Horsley Park (Brickworks) (Australia)</v>
      </c>
      <c r="C84" s="132" t="str">
        <v>tonne</v>
      </c>
      <c r="D84" s="198">
        <v>255</v>
      </c>
      <c r="E84" s="198">
        <v>0.255</v>
      </c>
      <c r="F84" s="198">
        <v>0</v>
      </c>
      <c r="G84" s="215">
        <v>0</v>
      </c>
      <c r="H84" s="131"/>
    </row>
    <row r="85" spans="1:9" x14ac:dyDescent="0.25">
      <c r="A85" s="133"/>
      <c r="B85" s="204" t="str">
        <v>Clay brick, , Clay bricks and Pavers from Austral Bricks and Daniel Robertson (Brickworks) (Australia)</v>
      </c>
      <c r="C85" s="132" t="str">
        <v>tonne</v>
      </c>
      <c r="D85" s="198">
        <v>158</v>
      </c>
      <c r="E85" s="198">
        <v>0.158</v>
      </c>
      <c r="F85" s="198">
        <v>0</v>
      </c>
      <c r="G85" s="215">
        <v>0</v>
      </c>
      <c r="H85" s="131"/>
    </row>
    <row r="86" spans="1:9" x14ac:dyDescent="0.25">
      <c r="A86" s="133"/>
      <c r="B86" s="204" t="str">
        <v>Clay brick, , Clay bricks and Pavers from Austral Bricks Punchbowl (Brickworks) (Australia)</v>
      </c>
      <c r="C86" s="132" t="str">
        <v>tonne</v>
      </c>
      <c r="D86" s="198">
        <v>342</v>
      </c>
      <c r="E86" s="198">
        <v>0.34200000000000003</v>
      </c>
      <c r="F86" s="198">
        <v>0</v>
      </c>
      <c r="G86" s="215">
        <v>0</v>
      </c>
      <c r="H86" s="131"/>
    </row>
    <row r="87" spans="1:9" x14ac:dyDescent="0.25">
      <c r="A87" s="133"/>
      <c r="B87" s="204" t="str">
        <v>Clay brick, , Clay bricks and Pavers from Austral Bricks Rochedale (Brickworks) (Australia)</v>
      </c>
      <c r="C87" s="132" t="str">
        <v>tonne</v>
      </c>
      <c r="D87" s="198">
        <v>196</v>
      </c>
      <c r="E87" s="198">
        <v>0.19600000000000001</v>
      </c>
      <c r="F87" s="198">
        <v>0</v>
      </c>
      <c r="G87" s="215">
        <v>0</v>
      </c>
      <c r="H87" s="131"/>
    </row>
    <row r="88" spans="1:9" x14ac:dyDescent="0.25">
      <c r="A88" s="133"/>
      <c r="B88" s="217" t="str">
        <v>Clay brick, , Clay bricks and Pavers from Austral Bricks Nubrik Wollert (Brickworks) (Australia)</v>
      </c>
      <c r="C88" s="218" t="str">
        <v>tonne</v>
      </c>
      <c r="D88" s="219">
        <v>196</v>
      </c>
      <c r="E88" s="219">
        <v>0.19600000000000001</v>
      </c>
      <c r="F88" s="219">
        <v>0</v>
      </c>
      <c r="G88" s="220">
        <v>0</v>
      </c>
      <c r="H88" s="131"/>
    </row>
    <row r="89" spans="1:9" x14ac:dyDescent="0.25">
      <c r="B89" s="130"/>
      <c r="C89" s="130"/>
      <c r="D89" s="207"/>
      <c r="E89" s="207"/>
      <c r="F89" s="207"/>
      <c r="G89" s="207"/>
    </row>
    <row r="90" spans="1:9" x14ac:dyDescent="0.25">
      <c r="I90" s="198"/>
    </row>
  </sheetData>
  <dataValidations count="1">
    <dataValidation type="list" allowBlank="1" showInputMessage="1" showErrorMessage="1" sqref="B6:B9" xr:uid="{6EC44C56-FD2C-4452-BA3D-1D1A02FD5EFE}">
      <formula1>"Tier 1,Tier 2,Tier 3,Tier 4"</formula1>
    </dataValidation>
  </dataValidation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6F442-F274-4483-93BA-77B889EA75A2}">
  <sheetPr codeName="Sheet26">
    <tabColor rgb="FF0091B3"/>
  </sheetPr>
  <dimension ref="A1:M84"/>
  <sheetViews>
    <sheetView workbookViewId="0"/>
  </sheetViews>
  <sheetFormatPr defaultColWidth="9.1796875" defaultRowHeight="12.5" x14ac:dyDescent="0.25"/>
  <cols>
    <col min="1" max="1" width="9.1796875" style="26" customWidth="1"/>
    <col min="2" max="2" width="17.54296875" style="26" customWidth="1"/>
    <col min="3" max="3" width="41.54296875" style="26" customWidth="1"/>
    <col min="4" max="4" width="38.54296875" style="26" customWidth="1"/>
    <col min="5" max="5" width="65.54296875" style="26" customWidth="1"/>
    <col min="6" max="6" width="27.453125" style="26" customWidth="1"/>
    <col min="7" max="16384" width="9.1796875" style="26"/>
  </cols>
  <sheetData>
    <row r="1" spans="1:13" x14ac:dyDescent="0.25">
      <c r="A1" s="44"/>
      <c r="B1" s="44"/>
      <c r="C1" s="44"/>
      <c r="D1" s="55"/>
      <c r="F1" s="45"/>
      <c r="G1" s="44"/>
      <c r="H1" s="44"/>
      <c r="I1" s="44"/>
      <c r="J1" s="44"/>
      <c r="M1" s="46"/>
    </row>
    <row r="2" spans="1:13" x14ac:dyDescent="0.25">
      <c r="A2" s="47"/>
      <c r="B2" s="47"/>
      <c r="C2" s="47"/>
      <c r="D2" s="47"/>
    </row>
    <row r="3" spans="1:13" ht="28" x14ac:dyDescent="0.25">
      <c r="A3" s="47"/>
      <c r="B3" s="56" t="s">
        <v>42</v>
      </c>
      <c r="C3" s="56"/>
      <c r="D3" s="47"/>
    </row>
    <row r="4" spans="1:13" x14ac:dyDescent="0.25">
      <c r="A4" s="47"/>
      <c r="B4" s="47"/>
      <c r="C4" s="47"/>
      <c r="D4" s="47"/>
    </row>
    <row r="5" spans="1:13" x14ac:dyDescent="0.25">
      <c r="A5" s="44"/>
      <c r="B5" s="44"/>
      <c r="C5" s="44"/>
      <c r="D5" s="44"/>
      <c r="E5" s="44"/>
      <c r="F5" s="44"/>
      <c r="G5" s="44"/>
      <c r="H5" s="44"/>
      <c r="I5" s="44"/>
      <c r="J5" s="44"/>
      <c r="K5" s="44"/>
      <c r="L5" s="44"/>
      <c r="M5" s="44"/>
    </row>
    <row r="6" spans="1:13" s="23" customFormat="1" x14ac:dyDescent="0.25"/>
    <row r="7" spans="1:13" s="24" customFormat="1" ht="18" customHeight="1" x14ac:dyDescent="0.25">
      <c r="A7" s="23"/>
      <c r="B7" s="48" t="s">
        <v>43</v>
      </c>
      <c r="C7" s="23"/>
    </row>
    <row r="8" spans="1:13" s="24" customFormat="1" ht="232.5" customHeight="1" x14ac:dyDescent="0.25">
      <c r="A8" s="23"/>
      <c r="B8" s="416" t="s">
        <v>44</v>
      </c>
      <c r="C8" s="414"/>
      <c r="D8" s="414"/>
    </row>
    <row r="9" spans="1:13" s="24" customFormat="1" ht="12.75" customHeight="1" x14ac:dyDescent="0.25">
      <c r="A9" s="23"/>
      <c r="B9" s="414"/>
      <c r="C9" s="414"/>
      <c r="D9" s="414"/>
      <c r="E9" s="414"/>
      <c r="F9" s="414"/>
    </row>
    <row r="10" spans="1:13" s="24" customFormat="1" x14ac:dyDescent="0.25">
      <c r="A10" s="23"/>
      <c r="B10" s="23"/>
      <c r="C10" s="23"/>
    </row>
    <row r="11" spans="1:13" s="24" customFormat="1" ht="18" customHeight="1" x14ac:dyDescent="0.25">
      <c r="A11" s="23"/>
      <c r="B11" s="48" t="s">
        <v>45</v>
      </c>
      <c r="C11" s="23"/>
    </row>
    <row r="12" spans="1:13" s="24" customFormat="1" ht="136.5" customHeight="1" x14ac:dyDescent="0.25">
      <c r="A12" s="23"/>
      <c r="B12" s="416" t="s">
        <v>46</v>
      </c>
      <c r="C12" s="416"/>
      <c r="D12" s="416"/>
      <c r="E12" s="49"/>
      <c r="F12" s="49"/>
      <c r="G12" s="49"/>
      <c r="H12" s="49"/>
      <c r="I12" s="49"/>
      <c r="J12" s="49"/>
      <c r="K12" s="49"/>
      <c r="L12" s="49"/>
      <c r="M12" s="49"/>
    </row>
    <row r="13" spans="1:13" s="24" customFormat="1" x14ac:dyDescent="0.25">
      <c r="A13" s="23"/>
      <c r="B13" s="53"/>
      <c r="C13" s="53"/>
      <c r="D13" s="53"/>
      <c r="E13" s="49"/>
      <c r="F13" s="49"/>
      <c r="G13" s="49"/>
      <c r="H13" s="49"/>
      <c r="I13" s="49"/>
      <c r="J13" s="49"/>
      <c r="K13" s="49"/>
      <c r="L13" s="49"/>
      <c r="M13" s="49"/>
    </row>
    <row r="14" spans="1:13" s="24" customFormat="1" x14ac:dyDescent="0.25">
      <c r="A14" s="23"/>
      <c r="B14" s="23"/>
      <c r="C14" s="23"/>
    </row>
    <row r="15" spans="1:13" s="24" customFormat="1" ht="18" customHeight="1" x14ac:dyDescent="0.25">
      <c r="A15" s="23"/>
      <c r="B15" s="48" t="s">
        <v>47</v>
      </c>
      <c r="C15" s="23"/>
    </row>
    <row r="16" spans="1:13" s="24" customFormat="1" ht="199.5" customHeight="1" x14ac:dyDescent="0.25">
      <c r="A16" s="23"/>
      <c r="B16" s="416" t="s">
        <v>48</v>
      </c>
      <c r="C16" s="416"/>
      <c r="D16" s="416"/>
      <c r="E16" s="49"/>
      <c r="F16" s="49"/>
      <c r="G16" s="49"/>
      <c r="H16" s="49"/>
      <c r="I16" s="49"/>
      <c r="J16" s="49"/>
      <c r="K16" s="49"/>
      <c r="L16" s="49"/>
      <c r="M16" s="49"/>
    </row>
    <row r="17" spans="1:12" ht="13" x14ac:dyDescent="0.25">
      <c r="B17" s="15"/>
    </row>
    <row r="18" spans="1:12" ht="18" x14ac:dyDescent="0.25">
      <c r="B18" s="415" t="s">
        <v>49</v>
      </c>
      <c r="C18" s="403"/>
      <c r="D18" s="403"/>
      <c r="E18" s="403"/>
      <c r="F18" s="403"/>
      <c r="G18" s="403"/>
      <c r="H18" s="403"/>
      <c r="I18" s="403"/>
      <c r="J18" s="403"/>
      <c r="K18" s="403"/>
      <c r="L18" s="403"/>
    </row>
    <row r="19" spans="1:12" ht="28.5" customHeight="1" x14ac:dyDescent="0.25">
      <c r="B19" s="57" t="s">
        <v>50</v>
      </c>
      <c r="C19" s="58" t="s">
        <v>51</v>
      </c>
      <c r="D19" s="58" t="s">
        <v>52</v>
      </c>
      <c r="E19" s="58" t="s">
        <v>53</v>
      </c>
    </row>
    <row r="20" spans="1:12" ht="60.75" customHeight="1" x14ac:dyDescent="0.25">
      <c r="B20" s="59" t="s">
        <v>54</v>
      </c>
      <c r="C20" s="60" t="s">
        <v>55</v>
      </c>
      <c r="D20" s="61" t="s">
        <v>56</v>
      </c>
      <c r="E20" s="60" t="s">
        <v>57</v>
      </c>
    </row>
    <row r="21" spans="1:12" ht="60.75" customHeight="1" x14ac:dyDescent="0.25">
      <c r="B21" s="62" t="s">
        <v>58</v>
      </c>
      <c r="C21" s="63" t="s">
        <v>59</v>
      </c>
      <c r="D21" s="63" t="s">
        <v>60</v>
      </c>
      <c r="E21" s="63" t="s">
        <v>61</v>
      </c>
    </row>
    <row r="22" spans="1:12" ht="60.75" customHeight="1" x14ac:dyDescent="0.25">
      <c r="B22" s="62" t="s">
        <v>62</v>
      </c>
      <c r="C22" s="63" t="s">
        <v>63</v>
      </c>
      <c r="D22" s="412" t="s">
        <v>64</v>
      </c>
      <c r="E22" s="63" t="s">
        <v>65</v>
      </c>
    </row>
    <row r="23" spans="1:12" ht="60.75" customHeight="1" x14ac:dyDescent="0.25">
      <c r="B23" s="62" t="s">
        <v>66</v>
      </c>
      <c r="C23" s="63" t="s">
        <v>67</v>
      </c>
      <c r="D23" s="413"/>
      <c r="E23" s="63" t="s">
        <v>68</v>
      </c>
    </row>
    <row r="25" spans="1:12" ht="18" x14ac:dyDescent="0.25">
      <c r="B25" s="415" t="s">
        <v>69</v>
      </c>
      <c r="C25" s="403"/>
      <c r="D25" s="403"/>
      <c r="E25" s="403"/>
      <c r="F25" s="403"/>
      <c r="G25" s="403"/>
      <c r="H25" s="403"/>
      <c r="I25" s="403"/>
      <c r="J25" s="403"/>
      <c r="K25" s="403"/>
      <c r="L25" s="403"/>
    </row>
    <row r="26" spans="1:12" ht="24" customHeight="1" x14ac:dyDescent="0.25">
      <c r="B26" s="57" t="s">
        <v>70</v>
      </c>
      <c r="C26" s="57" t="s">
        <v>30</v>
      </c>
      <c r="D26" s="57" t="s">
        <v>28</v>
      </c>
      <c r="E26" s="27"/>
    </row>
    <row r="27" spans="1:12" ht="22.5" customHeight="1" x14ac:dyDescent="0.25">
      <c r="B27" s="59" t="s">
        <v>71</v>
      </c>
      <c r="C27" s="64">
        <v>0.02</v>
      </c>
      <c r="D27" s="64">
        <f>1+C27</f>
        <v>1.02</v>
      </c>
      <c r="E27" s="27"/>
    </row>
    <row r="28" spans="1:12" ht="22.5" customHeight="1" x14ac:dyDescent="0.25">
      <c r="B28" s="59" t="s">
        <v>72</v>
      </c>
      <c r="C28" s="64">
        <v>0.05</v>
      </c>
      <c r="D28" s="64">
        <f>1+C28</f>
        <v>1.05</v>
      </c>
      <c r="E28" s="27"/>
    </row>
    <row r="29" spans="1:12" ht="22.5" customHeight="1" x14ac:dyDescent="0.25">
      <c r="B29" s="59" t="s">
        <v>73</v>
      </c>
      <c r="C29" s="64">
        <v>0.1</v>
      </c>
      <c r="D29" s="64">
        <f>1+C29</f>
        <v>1.1000000000000001</v>
      </c>
      <c r="E29" s="27"/>
      <c r="F29" s="15"/>
    </row>
    <row r="30" spans="1:12" ht="22.5" customHeight="1" x14ac:dyDescent="0.25">
      <c r="B30" s="59" t="s">
        <v>74</v>
      </c>
      <c r="C30" s="64">
        <v>0.2</v>
      </c>
      <c r="D30" s="64">
        <f>1+C30</f>
        <v>1.2</v>
      </c>
      <c r="E30" s="27"/>
    </row>
    <row r="31" spans="1:12" ht="22.5" customHeight="1" x14ac:dyDescent="0.25">
      <c r="B31" s="59" t="s">
        <v>75</v>
      </c>
      <c r="C31" s="64">
        <v>0</v>
      </c>
      <c r="D31" s="64">
        <f>1+C31</f>
        <v>1</v>
      </c>
      <c r="E31" s="27"/>
      <c r="F31" s="15"/>
    </row>
    <row r="32" spans="1:12" ht="12.75" customHeight="1" x14ac:dyDescent="0.25">
      <c r="A32" s="27"/>
      <c r="B32" s="27"/>
      <c r="C32" s="27"/>
      <c r="D32" s="27"/>
      <c r="E32" s="27"/>
      <c r="F32" s="15"/>
    </row>
    <row r="33" spans="1:12" ht="12.75" customHeight="1" x14ac:dyDescent="0.25">
      <c r="A33" s="27"/>
      <c r="B33" s="27"/>
      <c r="C33" s="27"/>
      <c r="D33" s="27"/>
      <c r="E33" s="27"/>
      <c r="F33" s="15"/>
    </row>
    <row r="34" spans="1:12" ht="18" x14ac:dyDescent="0.25">
      <c r="B34" s="403" t="s">
        <v>76</v>
      </c>
      <c r="C34" s="403"/>
      <c r="D34" s="403"/>
      <c r="E34" s="403"/>
      <c r="F34" s="403"/>
      <c r="G34" s="403"/>
      <c r="H34" s="403"/>
      <c r="I34" s="403"/>
      <c r="J34" s="403"/>
      <c r="K34" s="403"/>
      <c r="L34" s="403"/>
    </row>
    <row r="35" spans="1:12" ht="15.75" customHeight="1" x14ac:dyDescent="0.25">
      <c r="B35" s="25"/>
    </row>
    <row r="36" spans="1:12" ht="18" customHeight="1" x14ac:dyDescent="0.25">
      <c r="B36" s="415" t="s">
        <v>77</v>
      </c>
      <c r="C36" s="403"/>
      <c r="D36" s="403"/>
      <c r="E36" s="403"/>
      <c r="F36" s="403"/>
      <c r="G36" s="403"/>
      <c r="H36" s="403"/>
      <c r="I36" s="403"/>
      <c r="J36" s="403"/>
      <c r="K36" s="403"/>
      <c r="L36" s="403"/>
    </row>
    <row r="37" spans="1:12" ht="220.5" customHeight="1" x14ac:dyDescent="0.25">
      <c r="B37" s="416" t="s">
        <v>78</v>
      </c>
      <c r="C37" s="414"/>
      <c r="D37" s="414"/>
      <c r="E37" s="24"/>
      <c r="F37" s="24"/>
      <c r="G37" s="48"/>
      <c r="H37" s="48"/>
      <c r="I37" s="48"/>
      <c r="J37" s="48"/>
      <c r="K37" s="48"/>
      <c r="L37" s="48"/>
    </row>
    <row r="38" spans="1:12" ht="12.75" customHeight="1" x14ac:dyDescent="0.25">
      <c r="B38" s="414"/>
      <c r="C38" s="414"/>
      <c r="D38" s="414"/>
      <c r="E38" s="414"/>
      <c r="F38" s="414"/>
    </row>
    <row r="39" spans="1:12" ht="25.5" customHeight="1" x14ac:dyDescent="0.25">
      <c r="B39" s="57"/>
      <c r="C39" s="57" t="s">
        <v>79</v>
      </c>
      <c r="D39" s="57" t="s">
        <v>80</v>
      </c>
    </row>
    <row r="40" spans="1:12" ht="68.25" customHeight="1" x14ac:dyDescent="0.25">
      <c r="B40" s="59" t="s">
        <v>81</v>
      </c>
      <c r="C40" s="64" t="s">
        <v>82</v>
      </c>
      <c r="D40" s="64" t="s">
        <v>83</v>
      </c>
    </row>
    <row r="41" spans="1:12" ht="68.25" customHeight="1" x14ac:dyDescent="0.25">
      <c r="B41" s="59" t="s">
        <v>84</v>
      </c>
      <c r="C41" s="64" t="s">
        <v>85</v>
      </c>
      <c r="D41" s="64" t="s">
        <v>86</v>
      </c>
    </row>
    <row r="42" spans="1:12" ht="68.25" customHeight="1" x14ac:dyDescent="0.25">
      <c r="B42" s="59" t="s">
        <v>87</v>
      </c>
      <c r="C42" s="64" t="s">
        <v>88</v>
      </c>
      <c r="D42" s="64" t="s">
        <v>86</v>
      </c>
      <c r="E42" s="15"/>
    </row>
    <row r="43" spans="1:12" ht="68.25" customHeight="1" x14ac:dyDescent="0.25">
      <c r="B43" s="59" t="s">
        <v>89</v>
      </c>
      <c r="C43" s="64" t="s">
        <v>90</v>
      </c>
      <c r="D43" s="64" t="s">
        <v>91</v>
      </c>
      <c r="E43"/>
    </row>
    <row r="45" spans="1:12" ht="35.25" customHeight="1" x14ac:dyDescent="0.25">
      <c r="B45" s="414" t="s">
        <v>92</v>
      </c>
      <c r="C45" s="414"/>
      <c r="D45" s="414"/>
    </row>
    <row r="46" spans="1:12" ht="12.75" customHeight="1" x14ac:dyDescent="0.25">
      <c r="B46" s="414"/>
      <c r="C46" s="414"/>
      <c r="D46" s="414"/>
      <c r="E46" s="414"/>
      <c r="F46" s="414"/>
    </row>
    <row r="47" spans="1:12" ht="12.75" customHeight="1" x14ac:dyDescent="0.25">
      <c r="B47" s="414"/>
      <c r="C47" s="414"/>
      <c r="D47" s="414"/>
      <c r="E47" s="414"/>
      <c r="F47" s="414"/>
    </row>
    <row r="48" spans="1:12" ht="18" x14ac:dyDescent="0.25">
      <c r="B48" s="415" t="s">
        <v>93</v>
      </c>
      <c r="C48" s="403"/>
      <c r="D48" s="403"/>
      <c r="E48" s="403"/>
      <c r="F48" s="403"/>
      <c r="G48" s="403"/>
      <c r="H48" s="403"/>
      <c r="I48" s="403"/>
      <c r="J48" s="403"/>
      <c r="K48" s="403"/>
      <c r="L48" s="403"/>
    </row>
    <row r="49" spans="2:12" ht="12.75" customHeight="1" x14ac:dyDescent="0.25">
      <c r="B49" s="414" t="s">
        <v>94</v>
      </c>
      <c r="C49" s="414"/>
      <c r="D49" s="414"/>
      <c r="E49" s="414"/>
      <c r="F49" s="414"/>
    </row>
    <row r="50" spans="2:12" ht="12.75" customHeight="1" x14ac:dyDescent="0.25">
      <c r="B50" s="57" t="s">
        <v>95</v>
      </c>
      <c r="C50" s="57" t="s">
        <v>96</v>
      </c>
      <c r="D50" s="57" t="s">
        <v>97</v>
      </c>
      <c r="E50" s="57" t="s">
        <v>98</v>
      </c>
    </row>
    <row r="51" spans="2:12" ht="110.25" customHeight="1" x14ac:dyDescent="0.25">
      <c r="B51" s="59" t="s">
        <v>32</v>
      </c>
      <c r="C51" s="63" t="s">
        <v>99</v>
      </c>
      <c r="D51" s="63" t="s">
        <v>100</v>
      </c>
      <c r="E51" s="63" t="s">
        <v>101</v>
      </c>
    </row>
    <row r="52" spans="2:12" ht="110.25" customHeight="1" x14ac:dyDescent="0.25">
      <c r="B52" s="59" t="s">
        <v>34</v>
      </c>
      <c r="C52" s="63" t="s">
        <v>102</v>
      </c>
      <c r="D52" s="63" t="s">
        <v>103</v>
      </c>
      <c r="E52" s="63" t="s">
        <v>104</v>
      </c>
    </row>
    <row r="53" spans="2:12" ht="110.25" customHeight="1" x14ac:dyDescent="0.25">
      <c r="B53" s="59" t="s">
        <v>36</v>
      </c>
      <c r="C53" s="63" t="s">
        <v>105</v>
      </c>
      <c r="D53" s="63" t="s">
        <v>106</v>
      </c>
      <c r="E53" s="63" t="s">
        <v>107</v>
      </c>
      <c r="F53" s="15"/>
    </row>
    <row r="54" spans="2:12" ht="162.75" customHeight="1" x14ac:dyDescent="0.25">
      <c r="B54" s="59" t="s">
        <v>30</v>
      </c>
      <c r="C54" s="63" t="s">
        <v>108</v>
      </c>
      <c r="D54" s="63" t="s">
        <v>109</v>
      </c>
      <c r="E54" s="63" t="s">
        <v>110</v>
      </c>
      <c r="F54" s="15"/>
    </row>
    <row r="55" spans="2:12" ht="12.75" customHeight="1" x14ac:dyDescent="0.25">
      <c r="B55" s="27"/>
      <c r="C55" s="27"/>
      <c r="D55" s="27"/>
      <c r="E55" s="27"/>
      <c r="F55" s="15"/>
    </row>
    <row r="56" spans="2:12" ht="18" customHeight="1" x14ac:dyDescent="0.25">
      <c r="B56" s="415" t="s">
        <v>111</v>
      </c>
      <c r="C56" s="403"/>
      <c r="D56" s="403"/>
      <c r="E56" s="403"/>
      <c r="F56" s="403"/>
      <c r="G56" s="403"/>
      <c r="H56" s="403"/>
      <c r="I56" s="403"/>
      <c r="J56" s="403"/>
      <c r="K56" s="403"/>
      <c r="L56" s="403"/>
    </row>
    <row r="57" spans="2:12" ht="12.75" customHeight="1" x14ac:dyDescent="0.25">
      <c r="B57" s="414" t="s">
        <v>112</v>
      </c>
      <c r="C57" s="414"/>
      <c r="D57" s="414"/>
      <c r="E57" s="414"/>
      <c r="F57" s="414"/>
    </row>
    <row r="58" spans="2:12" ht="12.75" customHeight="1" x14ac:dyDescent="0.25">
      <c r="B58" s="43"/>
      <c r="C58" s="43"/>
      <c r="D58" s="43"/>
      <c r="E58" s="43"/>
      <c r="F58" s="43"/>
    </row>
    <row r="59" spans="2:12" ht="12.75" customHeight="1" x14ac:dyDescent="0.25">
      <c r="B59" s="43"/>
      <c r="C59" s="43"/>
      <c r="D59" s="43"/>
      <c r="E59" s="43"/>
      <c r="F59" s="43"/>
    </row>
    <row r="60" spans="2:12" ht="18" x14ac:dyDescent="0.25">
      <c r="B60" s="48" t="s">
        <v>113</v>
      </c>
      <c r="C60" s="48"/>
      <c r="D60" s="48"/>
      <c r="E60" s="48"/>
      <c r="F60" s="48"/>
      <c r="G60" s="48"/>
      <c r="H60" s="48"/>
      <c r="I60" s="48"/>
      <c r="J60" s="48"/>
      <c r="K60" s="48"/>
      <c r="L60" s="48"/>
    </row>
    <row r="61" spans="2:12" ht="170.25" customHeight="1" x14ac:dyDescent="0.25">
      <c r="B61" s="414" t="s">
        <v>114</v>
      </c>
      <c r="C61" s="414"/>
      <c r="D61" s="414"/>
      <c r="E61" s="24"/>
      <c r="F61" s="24"/>
      <c r="G61" s="48"/>
      <c r="H61" s="48"/>
      <c r="I61" s="48"/>
      <c r="J61" s="48"/>
      <c r="K61" s="48"/>
      <c r="L61" s="48"/>
    </row>
    <row r="62" spans="2:12" ht="12.75" customHeight="1" x14ac:dyDescent="0.25">
      <c r="B62" s="43"/>
      <c r="C62" s="43"/>
      <c r="D62" s="43"/>
      <c r="E62" s="43"/>
      <c r="F62" s="43"/>
    </row>
    <row r="64" spans="2:12" ht="18" customHeight="1" x14ac:dyDescent="0.25">
      <c r="B64" s="48" t="s">
        <v>115</v>
      </c>
      <c r="C64" s="48"/>
      <c r="D64" s="48"/>
      <c r="E64" s="48"/>
      <c r="F64" s="48"/>
      <c r="G64" s="48"/>
      <c r="H64" s="48"/>
      <c r="I64" s="48"/>
      <c r="J64" s="48"/>
      <c r="K64" s="48"/>
      <c r="L64" s="48"/>
    </row>
    <row r="65" spans="2:12" ht="165.75" customHeight="1" x14ac:dyDescent="0.25">
      <c r="B65" s="414" t="s">
        <v>116</v>
      </c>
      <c r="C65" s="414"/>
      <c r="D65" s="414"/>
      <c r="E65" s="24"/>
      <c r="F65" s="24"/>
      <c r="G65" s="48"/>
      <c r="H65" s="48"/>
      <c r="I65" s="48"/>
      <c r="J65" s="48"/>
      <c r="K65" s="48"/>
      <c r="L65" s="48"/>
    </row>
    <row r="67" spans="2:12" ht="18" customHeight="1" x14ac:dyDescent="0.25">
      <c r="B67" s="415" t="s">
        <v>117</v>
      </c>
      <c r="C67" s="403"/>
      <c r="D67" s="403"/>
      <c r="E67" s="403"/>
      <c r="F67" s="403"/>
      <c r="G67" s="403"/>
      <c r="H67" s="403"/>
      <c r="I67" s="403"/>
      <c r="J67" s="403"/>
      <c r="K67" s="403"/>
      <c r="L67" s="403"/>
    </row>
    <row r="68" spans="2:12" ht="158.25" customHeight="1" x14ac:dyDescent="0.25">
      <c r="B68" s="414" t="s">
        <v>118</v>
      </c>
      <c r="C68" s="414"/>
      <c r="D68" s="414"/>
      <c r="E68" s="24"/>
      <c r="F68" s="24"/>
      <c r="G68" s="48"/>
      <c r="H68" s="48"/>
      <c r="I68" s="48"/>
      <c r="J68" s="48"/>
      <c r="K68" s="48"/>
      <c r="L68" s="48"/>
    </row>
    <row r="71" spans="2:12" ht="18" x14ac:dyDescent="0.25">
      <c r="B71" s="48" t="s">
        <v>119</v>
      </c>
    </row>
    <row r="72" spans="2:12" ht="104.25" customHeight="1" x14ac:dyDescent="0.25">
      <c r="B72" s="414" t="s">
        <v>120</v>
      </c>
      <c r="C72" s="414"/>
      <c r="D72" s="414"/>
      <c r="E72" s="24"/>
      <c r="F72" s="24"/>
    </row>
    <row r="73" spans="2:12" x14ac:dyDescent="0.25">
      <c r="B73" s="414"/>
      <c r="C73" s="414"/>
      <c r="D73" s="414"/>
      <c r="E73" s="24"/>
      <c r="F73" s="24"/>
    </row>
    <row r="74" spans="2:12" ht="27" customHeight="1" x14ac:dyDescent="0.25">
      <c r="B74" s="419" t="s">
        <v>121</v>
      </c>
      <c r="C74" s="419"/>
      <c r="D74" s="419"/>
      <c r="E74" s="24"/>
      <c r="F74" s="24"/>
    </row>
    <row r="75" spans="2:12" ht="12.75" customHeight="1" x14ac:dyDescent="0.25">
      <c r="B75" s="420" t="s">
        <v>122</v>
      </c>
      <c r="C75" s="421"/>
      <c r="D75" s="421"/>
      <c r="E75" s="24"/>
      <c r="F75" s="24"/>
    </row>
    <row r="76" spans="2:12" ht="148.5" customHeight="1" x14ac:dyDescent="0.25">
      <c r="B76" s="417" t="s">
        <v>123</v>
      </c>
      <c r="C76" s="414"/>
      <c r="D76" s="414"/>
      <c r="E76" s="24"/>
      <c r="F76" s="24"/>
    </row>
    <row r="79" spans="2:12" ht="18" x14ac:dyDescent="0.25">
      <c r="B79" s="48" t="s">
        <v>124</v>
      </c>
    </row>
    <row r="80" spans="2:12" ht="51" customHeight="1" x14ac:dyDescent="0.25">
      <c r="B80" s="414" t="s">
        <v>125</v>
      </c>
      <c r="C80" s="414"/>
      <c r="D80" s="414"/>
      <c r="E80" s="24"/>
      <c r="F80" s="24"/>
    </row>
    <row r="82" spans="2:6" s="65" customFormat="1" ht="12.75" customHeight="1" x14ac:dyDescent="0.25">
      <c r="B82" s="418"/>
      <c r="C82" s="418"/>
      <c r="D82" s="418"/>
      <c r="E82" s="418"/>
      <c r="F82" s="418"/>
    </row>
    <row r="83" spans="2:6" s="65" customFormat="1" ht="12.75" customHeight="1" x14ac:dyDescent="0.25">
      <c r="B83" s="418"/>
      <c r="C83" s="418"/>
      <c r="D83" s="418"/>
      <c r="E83" s="418"/>
      <c r="F83" s="418"/>
    </row>
    <row r="84" spans="2:6" ht="12.75" customHeight="1" x14ac:dyDescent="0.25"/>
  </sheetData>
  <mergeCells count="30">
    <mergeCell ref="B80:D80"/>
    <mergeCell ref="B82:F82"/>
    <mergeCell ref="B83:F83"/>
    <mergeCell ref="B61:D61"/>
    <mergeCell ref="B65:D65"/>
    <mergeCell ref="B72:D72"/>
    <mergeCell ref="B73:D73"/>
    <mergeCell ref="B74:D74"/>
    <mergeCell ref="B75:D75"/>
    <mergeCell ref="B47:F47"/>
    <mergeCell ref="B48:L48"/>
    <mergeCell ref="B49:F49"/>
    <mergeCell ref="B56:L56"/>
    <mergeCell ref="B76:D76"/>
    <mergeCell ref="D22:D23"/>
    <mergeCell ref="B68:D68"/>
    <mergeCell ref="B67:L67"/>
    <mergeCell ref="B8:D8"/>
    <mergeCell ref="B9:F9"/>
    <mergeCell ref="B12:D12"/>
    <mergeCell ref="B16:D16"/>
    <mergeCell ref="B18:L18"/>
    <mergeCell ref="B57:F57"/>
    <mergeCell ref="B25:L25"/>
    <mergeCell ref="B34:L34"/>
    <mergeCell ref="B36:L36"/>
    <mergeCell ref="B37:D37"/>
    <mergeCell ref="B38:F38"/>
    <mergeCell ref="B45:D45"/>
    <mergeCell ref="B46:F46"/>
  </mergeCell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952A-B724-4D51-B2BC-3CC1A2184D8B}">
  <sheetPr codeName="Sheet5">
    <tabColor rgb="FF00CCFF"/>
  </sheetPr>
  <dimension ref="A1:I166"/>
  <sheetViews>
    <sheetView workbookViewId="0"/>
  </sheetViews>
  <sheetFormatPr defaultColWidth="9.1796875" defaultRowHeight="12.5" x14ac:dyDescent="0.25"/>
  <cols>
    <col min="1" max="1" width="26.26953125" style="204" customWidth="1"/>
    <col min="2" max="2" width="103.54296875" style="132" customWidth="1"/>
    <col min="3" max="3" width="21" style="132" customWidth="1"/>
    <col min="4" max="6" width="19.7265625" style="198" customWidth="1"/>
    <col min="7" max="7" width="23.54296875" style="198" customWidth="1"/>
    <col min="8" max="16384" width="9.1796875" style="132"/>
  </cols>
  <sheetData>
    <row r="1" spans="1:8" s="195" customFormat="1" ht="13" x14ac:dyDescent="0.25">
      <c r="A1" s="194" t="str">
        <f>B16</f>
        <v>≤10 MPa</v>
      </c>
      <c r="D1" s="196"/>
      <c r="E1" s="196"/>
      <c r="F1" s="196"/>
      <c r="G1" s="196"/>
    </row>
    <row r="2" spans="1:8" ht="13" x14ac:dyDescent="0.25">
      <c r="A2" s="197"/>
    </row>
    <row r="3" spans="1:8" ht="13" x14ac:dyDescent="0.25">
      <c r="A3" s="197" t="s">
        <v>5626</v>
      </c>
      <c r="B3" s="132" t="s">
        <v>5782</v>
      </c>
    </row>
    <row r="4" spans="1:8" ht="13" x14ac:dyDescent="0.25">
      <c r="A4" s="197"/>
    </row>
    <row r="5" spans="1:8" ht="69.75" customHeight="1" x14ac:dyDescent="0.3">
      <c r="A5" s="199" t="s">
        <v>5628</v>
      </c>
      <c r="B5" s="200" t="s">
        <v>5783</v>
      </c>
      <c r="D5" s="132"/>
    </row>
    <row r="6" spans="1:8" ht="13" x14ac:dyDescent="0.3">
      <c r="A6" s="199" t="s">
        <v>5630</v>
      </c>
      <c r="B6" s="201" t="s">
        <v>71</v>
      </c>
    </row>
    <row r="7" spans="1:8" ht="13" x14ac:dyDescent="0.3">
      <c r="A7" s="199" t="s">
        <v>5631</v>
      </c>
      <c r="B7" s="201" t="s">
        <v>71</v>
      </c>
    </row>
    <row r="8" spans="1:8" ht="13" x14ac:dyDescent="0.3">
      <c r="A8" s="199" t="s">
        <v>5632</v>
      </c>
      <c r="B8" s="201" t="s">
        <v>73</v>
      </c>
    </row>
    <row r="9" spans="1:8" ht="13" x14ac:dyDescent="0.3">
      <c r="A9" s="199" t="s">
        <v>5633</v>
      </c>
      <c r="B9" s="202" t="s">
        <v>73</v>
      </c>
    </row>
    <row r="10" spans="1:8" ht="13" x14ac:dyDescent="0.3">
      <c r="A10" s="199"/>
      <c r="B10" s="202"/>
    </row>
    <row r="11" spans="1:8" ht="13" x14ac:dyDescent="0.3">
      <c r="A11" s="199" t="s">
        <v>5634</v>
      </c>
      <c r="B11" s="202"/>
    </row>
    <row r="12" spans="1:8" x14ac:dyDescent="0.25">
      <c r="A12" s="203"/>
    </row>
    <row r="13" spans="1:8" x14ac:dyDescent="0.25">
      <c r="A13" s="203"/>
    </row>
    <row r="14" spans="1:8" ht="13" x14ac:dyDescent="0.3">
      <c r="A14" s="199" t="s">
        <v>5635</v>
      </c>
      <c r="D14" s="210"/>
      <c r="E14" s="210"/>
      <c r="F14" s="210"/>
      <c r="G14" s="210"/>
    </row>
    <row r="15" spans="1:8" ht="13" x14ac:dyDescent="0.3">
      <c r="A15" s="199"/>
      <c r="B15" s="135"/>
      <c r="C15" s="136"/>
      <c r="D15" s="299" t="s">
        <v>77</v>
      </c>
      <c r="E15" s="300"/>
      <c r="F15" s="299" t="s">
        <v>5424</v>
      </c>
      <c r="G15" s="301"/>
      <c r="H15" s="131"/>
    </row>
    <row r="16" spans="1:8" ht="39" x14ac:dyDescent="0.25">
      <c r="A16" s="205"/>
      <c r="B16" s="223" t="s">
        <v>2763</v>
      </c>
      <c r="C16" s="224" t="s">
        <v>24</v>
      </c>
      <c r="D16" s="225" t="s">
        <v>146</v>
      </c>
      <c r="E16" s="226" t="s">
        <v>153</v>
      </c>
      <c r="F16" s="225" t="s">
        <v>147</v>
      </c>
      <c r="G16" s="225" t="s">
        <v>154</v>
      </c>
      <c r="H16" s="131"/>
    </row>
    <row r="17" spans="1:9" ht="13" x14ac:dyDescent="0.3">
      <c r="A17" s="133"/>
      <c r="B17" s="211"/>
      <c r="C17" s="212" t="s">
        <v>5636</v>
      </c>
      <c r="D17" s="196" t="str" cm="1">
        <f t="array" ref="D17">IF(AND(_xlfn.ANCHORARRAY(C23)=C23),C23,"Mixed")</f>
        <v>m³</v>
      </c>
      <c r="E17" s="196" t="s">
        <v>2774</v>
      </c>
      <c r="F17" s="196" t="str" cm="1">
        <f t="array" ref="F17">IF(AND(_xlfn.ANCHORARRAY(C23)=C23),C23,"Mixed")</f>
        <v>m³</v>
      </c>
      <c r="G17" s="213" t="s">
        <v>2774</v>
      </c>
      <c r="H17" s="131"/>
    </row>
    <row r="18" spans="1:9" s="200" customFormat="1" ht="13" x14ac:dyDescent="0.3">
      <c r="A18" s="221"/>
      <c r="B18" s="214"/>
      <c r="C18" s="202" t="s">
        <v>5637</v>
      </c>
      <c r="D18" s="198">
        <f>MAX(_xlfn.ANCHORARRAY(D23))</f>
        <v>248.18700000000001</v>
      </c>
      <c r="E18" s="198">
        <f t="shared" ref="E18:G18" si="0">MAX(_xlfn.ANCHORARRAY(E23))</f>
        <v>0.10341125</v>
      </c>
      <c r="F18" s="198">
        <f t="shared" si="0"/>
        <v>0</v>
      </c>
      <c r="G18" s="215">
        <f t="shared" si="0"/>
        <v>0</v>
      </c>
      <c r="H18" s="222"/>
      <c r="I18" s="132"/>
    </row>
    <row r="19" spans="1:9" ht="13" x14ac:dyDescent="0.25">
      <c r="A19" s="133"/>
      <c r="B19" s="204"/>
      <c r="C19" s="202" t="s">
        <v>5638</v>
      </c>
      <c r="D19" s="198">
        <f>MIN(_xlfn.ANCHORARRAY(D23))</f>
        <v>141.56505999999999</v>
      </c>
      <c r="E19" s="198">
        <f t="shared" ref="E19:G19" si="1">MIN(_xlfn.ANCHORARRAY(E23))</f>
        <v>5.8985441666666666E-2</v>
      </c>
      <c r="F19" s="198">
        <f t="shared" si="1"/>
        <v>0</v>
      </c>
      <c r="G19" s="215">
        <f t="shared" si="1"/>
        <v>0</v>
      </c>
      <c r="H19" s="131"/>
    </row>
    <row r="20" spans="1:9" ht="13" x14ac:dyDescent="0.25">
      <c r="A20" s="133"/>
      <c r="B20" s="204"/>
      <c r="C20" s="202" t="s">
        <v>5639</v>
      </c>
      <c r="D20" s="198">
        <f>AVERAGE(_xlfn.ANCHORARRAY(D23))</f>
        <v>181.26921999999999</v>
      </c>
      <c r="E20" s="198">
        <f t="shared" ref="E20:G20" si="2">AVERAGE(_xlfn.ANCHORARRAY(E23))</f>
        <v>7.5528841666666666E-2</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5">_xlfn.UNIQUE(_xlfn._xlws.FILTER('EPD List'!D:D,ISNUMBER(SEARCH(B16,'EPD List'!C:C)),0))</f>
        <v>Concrete, 5 MPa, in-situ, no reinforcement, (S5MPA R82 20MM LEAN MIX HAND PLACED AEA) (Adbri) (NSW)</v>
      </c>
      <c r="C23" s="132" t="str" cm="1">
        <f t="array" ref="C23:C25">_xlfn.IFNA(INDEX('EPD List'!$A:$AB,MATCH(_xlfn.ANCHORARRAY(B23),'EPD List'!$D:$D,0),MATCH(C$16,'EPD List'!$7:$7,0)),"")</f>
        <v>m³</v>
      </c>
      <c r="D23" s="198" cm="1">
        <f t="array" ref="D23:D25">_xlfn.IFNA(VALUE((INDEX('EPD List'!$A:$AD,MATCH(_xlfn.ANCHORARRAY($B23),'EPD List'!$D:$D,0),MATCH(D$16,'EPD List'!$7:$7,0)))),"")</f>
        <v>141.56505999999999</v>
      </c>
      <c r="E23" s="198" cm="1">
        <f t="array" ref="E23:E25">_xlfn.IFNA(VALUE((INDEX('EPD List'!$A:$AD,MATCH(_xlfn.ANCHORARRAY($B23),'EPD List'!$D:$D,0),MATCH(E$16,'EPD List'!$7:$7,0)))),"")</f>
        <v>5.8985441666666666E-2</v>
      </c>
      <c r="F23" s="198" cm="1">
        <f t="array" ref="F23:F25">_xlfn.IFNA(VALUE((INDEX('EPD List'!$A:$AD,MATCH(_xlfn.ANCHORARRAY($B23),'EPD List'!$D:$D,0),MATCH(F$16,'EPD List'!$7:$7,0)))),"")</f>
        <v>0</v>
      </c>
      <c r="G23" s="215" cm="1">
        <f t="array" ref="G23:G25">_xlfn.IFNA(VALUE((INDEX('EPD List'!$A:$AD,MATCH(_xlfn.ANCHORARRAY($B23),'EPD List'!$D:$D,0),MATCH(G$16,'EPD List'!$7:$7,0)))),"")</f>
        <v>0</v>
      </c>
      <c r="H23" s="131"/>
    </row>
    <row r="24" spans="1:9" x14ac:dyDescent="0.25">
      <c r="A24" s="133"/>
      <c r="B24" s="204" t="str">
        <v>Concrete, 7 MPa, in-situ, no reinforcement, (Futurecrete®  Ultra S7MPA LEAN HAND PLACED 20MM) (Adbri) (NSW)</v>
      </c>
      <c r="C24" s="132" t="str">
        <v>m³</v>
      </c>
      <c r="D24" s="198">
        <v>154.0556</v>
      </c>
      <c r="E24" s="198">
        <v>6.4189833333333335E-2</v>
      </c>
      <c r="F24" s="198">
        <v>0</v>
      </c>
      <c r="G24" s="215">
        <v>0</v>
      </c>
      <c r="H24" s="131"/>
    </row>
    <row r="25" spans="1:9" x14ac:dyDescent="0.25">
      <c r="A25" s="133"/>
      <c r="B25" s="217" t="str">
        <v>Concrete, 10 MPa, in-situ, no reinforcement, (Futurecrete®  Special
Class GP 10 MPa
- Winnellie) (Adbri) (NT)</v>
      </c>
      <c r="C25" s="218" t="str">
        <v>m³</v>
      </c>
      <c r="D25" s="219">
        <v>248.18700000000001</v>
      </c>
      <c r="E25" s="219">
        <v>0.10341125</v>
      </c>
      <c r="F25" s="219">
        <v>0</v>
      </c>
      <c r="G25" s="220">
        <v>0</v>
      </c>
      <c r="H25" s="131"/>
    </row>
    <row r="26" spans="1:9" x14ac:dyDescent="0.25">
      <c r="A26" s="132"/>
      <c r="B26" s="130"/>
      <c r="C26" s="130"/>
      <c r="D26" s="207"/>
      <c r="E26" s="207"/>
      <c r="F26" s="207"/>
      <c r="G26" s="207"/>
    </row>
    <row r="27" spans="1:9" x14ac:dyDescent="0.25">
      <c r="A27" s="132"/>
    </row>
    <row r="28" spans="1:9" x14ac:dyDescent="0.25">
      <c r="A28" s="132"/>
    </row>
    <row r="29" spans="1:9" x14ac:dyDescent="0.25">
      <c r="A29" s="132"/>
    </row>
    <row r="30" spans="1:9" x14ac:dyDescent="0.25">
      <c r="A30" s="132"/>
    </row>
    <row r="31" spans="1:9" x14ac:dyDescent="0.25">
      <c r="A31" s="132"/>
    </row>
    <row r="32" spans="1:9" x14ac:dyDescent="0.25">
      <c r="A32" s="132"/>
    </row>
    <row r="33" spans="4:7" s="132" customFormat="1" x14ac:dyDescent="0.25">
      <c r="D33" s="198"/>
      <c r="E33" s="198"/>
      <c r="F33" s="198"/>
      <c r="G33" s="198"/>
    </row>
    <row r="34" spans="4:7" s="132" customFormat="1" x14ac:dyDescent="0.25">
      <c r="D34" s="198"/>
      <c r="E34" s="198"/>
      <c r="F34" s="198"/>
      <c r="G34" s="198"/>
    </row>
    <row r="35" spans="4:7" s="132" customFormat="1" x14ac:dyDescent="0.25">
      <c r="D35" s="198"/>
      <c r="E35" s="198"/>
      <c r="F35" s="198"/>
      <c r="G35" s="198"/>
    </row>
    <row r="36" spans="4:7" s="132" customFormat="1" x14ac:dyDescent="0.25">
      <c r="D36" s="198"/>
      <c r="E36" s="198"/>
      <c r="F36" s="198"/>
      <c r="G36" s="198"/>
    </row>
    <row r="37" spans="4:7" s="132" customFormat="1" x14ac:dyDescent="0.25">
      <c r="D37" s="198"/>
      <c r="E37" s="198"/>
      <c r="F37" s="198"/>
      <c r="G37" s="198"/>
    </row>
    <row r="38" spans="4:7" s="132" customFormat="1" x14ac:dyDescent="0.25">
      <c r="D38" s="198"/>
      <c r="E38" s="198"/>
      <c r="F38" s="198"/>
      <c r="G38" s="198"/>
    </row>
    <row r="39" spans="4:7" s="132" customFormat="1" x14ac:dyDescent="0.25">
      <c r="D39" s="198"/>
      <c r="E39" s="198"/>
      <c r="F39" s="198"/>
      <c r="G39" s="198"/>
    </row>
    <row r="40" spans="4:7" s="132" customFormat="1" x14ac:dyDescent="0.25">
      <c r="D40" s="198"/>
      <c r="E40" s="198"/>
      <c r="F40" s="198"/>
      <c r="G40" s="198"/>
    </row>
    <row r="41" spans="4:7" s="132" customFormat="1" x14ac:dyDescent="0.25">
      <c r="D41" s="198"/>
      <c r="E41" s="198"/>
      <c r="F41" s="198"/>
      <c r="G41" s="198"/>
    </row>
    <row r="42" spans="4:7" s="132" customFormat="1" x14ac:dyDescent="0.25">
      <c r="D42" s="198"/>
      <c r="E42" s="198"/>
      <c r="F42" s="198"/>
      <c r="G42" s="198"/>
    </row>
    <row r="43" spans="4:7" s="132" customFormat="1" x14ac:dyDescent="0.25">
      <c r="D43" s="198"/>
      <c r="E43" s="198"/>
      <c r="F43" s="198"/>
      <c r="G43" s="198"/>
    </row>
    <row r="44" spans="4:7" s="132" customFormat="1" x14ac:dyDescent="0.25">
      <c r="D44" s="198"/>
      <c r="E44" s="198"/>
      <c r="F44" s="198"/>
      <c r="G44" s="198"/>
    </row>
    <row r="45" spans="4:7" s="132" customFormat="1" x14ac:dyDescent="0.25">
      <c r="D45" s="198"/>
      <c r="E45" s="198"/>
      <c r="F45" s="198"/>
      <c r="G45" s="198"/>
    </row>
    <row r="46" spans="4:7" s="132" customFormat="1" x14ac:dyDescent="0.25">
      <c r="D46" s="198"/>
      <c r="E46" s="198"/>
      <c r="F46" s="198"/>
      <c r="G46" s="198"/>
    </row>
    <row r="47" spans="4:7" s="132" customFormat="1" x14ac:dyDescent="0.25">
      <c r="D47" s="198"/>
      <c r="E47" s="198"/>
      <c r="F47" s="198"/>
      <c r="G47" s="198"/>
    </row>
    <row r="48" spans="4:7" s="132" customFormat="1" x14ac:dyDescent="0.25">
      <c r="D48" s="198"/>
      <c r="E48" s="198"/>
      <c r="F48" s="198"/>
      <c r="G48" s="198"/>
    </row>
    <row r="49" spans="4:7" s="132" customFormat="1" x14ac:dyDescent="0.25">
      <c r="D49" s="198"/>
      <c r="E49" s="198"/>
      <c r="F49" s="198"/>
      <c r="G49" s="198"/>
    </row>
    <row r="50" spans="4:7" s="132" customFormat="1" x14ac:dyDescent="0.25">
      <c r="D50" s="198"/>
      <c r="E50" s="198"/>
      <c r="F50" s="198"/>
      <c r="G50" s="198"/>
    </row>
    <row r="51" spans="4:7" s="132" customFormat="1" x14ac:dyDescent="0.25">
      <c r="D51" s="198"/>
      <c r="E51" s="198"/>
      <c r="F51" s="198"/>
      <c r="G51" s="198"/>
    </row>
    <row r="52" spans="4:7" s="132" customFormat="1" x14ac:dyDescent="0.25">
      <c r="D52" s="198"/>
      <c r="E52" s="198"/>
      <c r="F52" s="198"/>
      <c r="G52" s="198"/>
    </row>
    <row r="53" spans="4:7" s="132" customFormat="1" x14ac:dyDescent="0.25">
      <c r="D53" s="198"/>
      <c r="E53" s="198"/>
      <c r="F53" s="198"/>
      <c r="G53" s="198"/>
    </row>
    <row r="54" spans="4:7" s="132" customFormat="1" x14ac:dyDescent="0.25">
      <c r="D54" s="198"/>
      <c r="E54" s="198"/>
      <c r="F54" s="198"/>
      <c r="G54" s="198"/>
    </row>
    <row r="55" spans="4:7" s="132" customFormat="1" x14ac:dyDescent="0.25">
      <c r="D55" s="198"/>
      <c r="E55" s="198"/>
      <c r="F55" s="198"/>
      <c r="G55" s="198"/>
    </row>
    <row r="56" spans="4:7" s="132" customFormat="1" x14ac:dyDescent="0.25">
      <c r="D56" s="198"/>
      <c r="E56" s="198"/>
      <c r="F56" s="198"/>
      <c r="G56" s="198"/>
    </row>
    <row r="57" spans="4:7" s="132" customFormat="1" x14ac:dyDescent="0.25">
      <c r="D57" s="198"/>
      <c r="E57" s="198"/>
      <c r="F57" s="198"/>
      <c r="G57" s="198"/>
    </row>
    <row r="58" spans="4:7" s="132" customFormat="1" x14ac:dyDescent="0.25">
      <c r="D58" s="198"/>
      <c r="E58" s="198"/>
      <c r="F58" s="198"/>
      <c r="G58" s="198"/>
    </row>
    <row r="59" spans="4:7" s="132" customFormat="1" x14ac:dyDescent="0.25">
      <c r="D59" s="198"/>
      <c r="E59" s="198"/>
      <c r="F59" s="198"/>
      <c r="G59" s="198"/>
    </row>
    <row r="60" spans="4:7" s="132" customFormat="1" x14ac:dyDescent="0.25">
      <c r="D60" s="198"/>
      <c r="E60" s="198"/>
      <c r="F60" s="198"/>
      <c r="G60" s="198"/>
    </row>
    <row r="61" spans="4:7" s="132" customFormat="1" x14ac:dyDescent="0.25">
      <c r="D61" s="198"/>
      <c r="E61" s="198"/>
      <c r="F61" s="198"/>
      <c r="G61" s="198"/>
    </row>
    <row r="62" spans="4:7" s="132" customFormat="1" x14ac:dyDescent="0.25">
      <c r="D62" s="198"/>
      <c r="E62" s="198"/>
      <c r="F62" s="198"/>
      <c r="G62" s="198"/>
    </row>
    <row r="63" spans="4:7" s="132" customFormat="1" x14ac:dyDescent="0.25">
      <c r="D63" s="198"/>
      <c r="E63" s="198"/>
      <c r="F63" s="198"/>
      <c r="G63" s="198"/>
    </row>
    <row r="64" spans="4:7" s="132" customFormat="1" x14ac:dyDescent="0.25">
      <c r="D64" s="198"/>
      <c r="E64" s="198"/>
      <c r="F64" s="198"/>
      <c r="G64" s="198"/>
    </row>
    <row r="65" spans="4:7" s="132" customFormat="1" x14ac:dyDescent="0.25">
      <c r="D65" s="198"/>
      <c r="E65" s="198"/>
      <c r="F65" s="198"/>
      <c r="G65" s="198"/>
    </row>
    <row r="66" spans="4:7" s="132" customFormat="1" x14ac:dyDescent="0.25">
      <c r="D66" s="198"/>
      <c r="E66" s="198"/>
      <c r="F66" s="198"/>
      <c r="G66" s="198"/>
    </row>
    <row r="67" spans="4:7" s="132" customFormat="1" x14ac:dyDescent="0.25">
      <c r="D67" s="198"/>
      <c r="E67" s="198"/>
      <c r="F67" s="198"/>
      <c r="G67" s="198"/>
    </row>
    <row r="68" spans="4:7" s="132" customFormat="1" x14ac:dyDescent="0.25">
      <c r="D68" s="198"/>
      <c r="E68" s="198"/>
      <c r="F68" s="198"/>
      <c r="G68" s="198"/>
    </row>
    <row r="69" spans="4:7" s="132" customFormat="1" x14ac:dyDescent="0.25">
      <c r="D69" s="198"/>
      <c r="E69" s="198"/>
      <c r="F69" s="198"/>
      <c r="G69" s="198"/>
    </row>
    <row r="70" spans="4:7" s="132" customFormat="1" x14ac:dyDescent="0.25">
      <c r="D70" s="198"/>
      <c r="E70" s="198"/>
      <c r="F70" s="198"/>
      <c r="G70" s="198"/>
    </row>
    <row r="71" spans="4:7" s="132" customFormat="1" x14ac:dyDescent="0.25">
      <c r="D71" s="198"/>
      <c r="E71" s="198"/>
      <c r="F71" s="198"/>
      <c r="G71" s="198"/>
    </row>
    <row r="72" spans="4:7" s="132" customFormat="1" x14ac:dyDescent="0.25">
      <c r="D72" s="198"/>
      <c r="E72" s="198"/>
      <c r="F72" s="198"/>
      <c r="G72" s="198"/>
    </row>
    <row r="73" spans="4:7" s="132" customFormat="1" x14ac:dyDescent="0.25">
      <c r="D73" s="198"/>
      <c r="E73" s="198"/>
      <c r="F73" s="198"/>
      <c r="G73" s="198"/>
    </row>
    <row r="74" spans="4:7" s="132" customFormat="1" x14ac:dyDescent="0.25">
      <c r="D74" s="198"/>
      <c r="E74" s="198"/>
      <c r="F74" s="198"/>
      <c r="G74" s="198"/>
    </row>
    <row r="75" spans="4:7" s="132" customFormat="1" x14ac:dyDescent="0.25">
      <c r="D75" s="198"/>
      <c r="E75" s="198"/>
      <c r="F75" s="198"/>
      <c r="G75" s="198"/>
    </row>
    <row r="76" spans="4:7" s="132" customFormat="1" x14ac:dyDescent="0.25">
      <c r="D76" s="198"/>
      <c r="E76" s="198"/>
      <c r="F76" s="198"/>
      <c r="G76" s="198"/>
    </row>
    <row r="77" spans="4:7" s="132" customFormat="1" x14ac:dyDescent="0.25">
      <c r="D77" s="198"/>
      <c r="E77" s="198"/>
      <c r="F77" s="198"/>
      <c r="G77" s="198"/>
    </row>
    <row r="78" spans="4:7" s="132" customFormat="1" x14ac:dyDescent="0.25">
      <c r="D78" s="198"/>
      <c r="E78" s="198"/>
      <c r="F78" s="198"/>
      <c r="G78" s="198"/>
    </row>
    <row r="79" spans="4:7" s="132" customFormat="1" x14ac:dyDescent="0.25">
      <c r="D79" s="198"/>
      <c r="E79" s="198"/>
      <c r="F79" s="198"/>
      <c r="G79" s="198"/>
    </row>
    <row r="80" spans="4:7" s="132" customFormat="1" x14ac:dyDescent="0.25">
      <c r="D80" s="198"/>
      <c r="E80" s="198"/>
      <c r="F80" s="198"/>
      <c r="G80" s="198"/>
    </row>
    <row r="81" spans="4:7" s="132" customFormat="1" x14ac:dyDescent="0.25">
      <c r="D81" s="198"/>
      <c r="E81" s="198"/>
      <c r="F81" s="198"/>
      <c r="G81" s="198"/>
    </row>
    <row r="82" spans="4:7" s="132" customFormat="1" x14ac:dyDescent="0.25">
      <c r="D82" s="198"/>
      <c r="E82" s="198"/>
      <c r="F82" s="198"/>
      <c r="G82" s="198"/>
    </row>
    <row r="83" spans="4:7" s="132" customFormat="1" x14ac:dyDescent="0.25">
      <c r="D83" s="198"/>
      <c r="E83" s="198"/>
      <c r="F83" s="198"/>
      <c r="G83" s="198"/>
    </row>
    <row r="84" spans="4:7" s="132" customFormat="1" x14ac:dyDescent="0.25">
      <c r="D84" s="198"/>
      <c r="E84" s="198"/>
      <c r="F84" s="198"/>
      <c r="G84" s="198"/>
    </row>
    <row r="85" spans="4:7" s="132" customFormat="1" x14ac:dyDescent="0.25">
      <c r="D85" s="198"/>
      <c r="E85" s="198"/>
      <c r="F85" s="198"/>
      <c r="G85" s="198"/>
    </row>
    <row r="86" spans="4:7" s="132" customFormat="1" x14ac:dyDescent="0.25">
      <c r="D86" s="198"/>
      <c r="E86" s="198"/>
      <c r="F86" s="198"/>
      <c r="G86" s="198"/>
    </row>
    <row r="87" spans="4:7" s="132" customFormat="1" x14ac:dyDescent="0.25">
      <c r="D87" s="198"/>
      <c r="E87" s="198"/>
      <c r="F87" s="198"/>
      <c r="G87" s="198"/>
    </row>
    <row r="88" spans="4:7" s="132" customFormat="1" x14ac:dyDescent="0.25">
      <c r="D88" s="198"/>
      <c r="E88" s="198"/>
      <c r="F88" s="198"/>
      <c r="G88" s="198"/>
    </row>
    <row r="89" spans="4:7" s="132" customFormat="1" x14ac:dyDescent="0.25">
      <c r="D89" s="198"/>
      <c r="E89" s="198"/>
      <c r="F89" s="198"/>
      <c r="G89" s="198"/>
    </row>
    <row r="90" spans="4:7" s="132" customFormat="1" x14ac:dyDescent="0.25">
      <c r="D90" s="198"/>
      <c r="E90" s="198"/>
      <c r="F90" s="198"/>
      <c r="G90" s="198"/>
    </row>
    <row r="91" spans="4:7" s="132" customFormat="1" x14ac:dyDescent="0.25">
      <c r="D91" s="198"/>
      <c r="E91" s="198"/>
      <c r="F91" s="198"/>
      <c r="G91" s="198"/>
    </row>
    <row r="92" spans="4:7" s="132" customFormat="1" x14ac:dyDescent="0.25">
      <c r="D92" s="198"/>
      <c r="E92" s="198"/>
      <c r="F92" s="198"/>
      <c r="G92" s="198"/>
    </row>
    <row r="93" spans="4:7" s="132" customFormat="1" x14ac:dyDescent="0.25">
      <c r="D93" s="198"/>
      <c r="E93" s="198"/>
      <c r="F93" s="198"/>
      <c r="G93" s="198"/>
    </row>
    <row r="94" spans="4:7" s="132" customFormat="1" x14ac:dyDescent="0.25">
      <c r="D94" s="198"/>
      <c r="E94" s="198"/>
      <c r="F94" s="198"/>
      <c r="G94" s="198"/>
    </row>
    <row r="95" spans="4:7" s="132" customFormat="1" x14ac:dyDescent="0.25">
      <c r="D95" s="198"/>
      <c r="E95" s="198"/>
      <c r="F95" s="198"/>
      <c r="G95" s="198"/>
    </row>
    <row r="96" spans="4:7" s="132" customFormat="1" x14ac:dyDescent="0.25">
      <c r="D96" s="198"/>
      <c r="E96" s="198"/>
      <c r="F96" s="198"/>
      <c r="G96" s="198"/>
    </row>
    <row r="97" spans="4:7" s="132" customFormat="1" x14ac:dyDescent="0.25">
      <c r="D97" s="198"/>
      <c r="E97" s="198"/>
      <c r="F97" s="198"/>
      <c r="G97" s="198"/>
    </row>
    <row r="98" spans="4:7" s="132" customFormat="1" x14ac:dyDescent="0.25">
      <c r="D98" s="198"/>
      <c r="E98" s="198"/>
      <c r="F98" s="198"/>
      <c r="G98" s="198"/>
    </row>
    <row r="99" spans="4:7" s="132" customFormat="1" x14ac:dyDescent="0.25">
      <c r="D99" s="198"/>
      <c r="E99" s="198"/>
      <c r="F99" s="198"/>
      <c r="G99" s="198"/>
    </row>
    <row r="100" spans="4:7" s="132" customFormat="1" x14ac:dyDescent="0.25">
      <c r="D100" s="198"/>
      <c r="E100" s="198"/>
      <c r="F100" s="198"/>
      <c r="G100" s="198"/>
    </row>
    <row r="101" spans="4:7" s="132" customFormat="1" x14ac:dyDescent="0.25">
      <c r="D101" s="198"/>
      <c r="E101" s="198"/>
      <c r="F101" s="198"/>
      <c r="G101" s="198"/>
    </row>
    <row r="102" spans="4:7" s="132" customFormat="1" x14ac:dyDescent="0.25">
      <c r="D102" s="198"/>
      <c r="E102" s="198"/>
      <c r="F102" s="198"/>
      <c r="G102" s="198"/>
    </row>
    <row r="103" spans="4:7" s="132" customFormat="1" x14ac:dyDescent="0.25">
      <c r="D103" s="198"/>
      <c r="E103" s="198"/>
      <c r="F103" s="198"/>
      <c r="G103" s="198"/>
    </row>
    <row r="104" spans="4:7" s="132" customFormat="1" x14ac:dyDescent="0.25">
      <c r="D104" s="198"/>
      <c r="E104" s="198"/>
      <c r="F104" s="198"/>
      <c r="G104" s="198"/>
    </row>
    <row r="105" spans="4:7" s="132" customFormat="1" x14ac:dyDescent="0.25">
      <c r="D105" s="198"/>
      <c r="E105" s="198"/>
      <c r="F105" s="198"/>
      <c r="G105" s="198"/>
    </row>
    <row r="106" spans="4:7" s="132" customFormat="1" x14ac:dyDescent="0.25">
      <c r="D106" s="198"/>
      <c r="E106" s="198"/>
      <c r="F106" s="198"/>
      <c r="G106" s="198"/>
    </row>
    <row r="107" spans="4:7" s="132" customFormat="1" x14ac:dyDescent="0.25">
      <c r="D107" s="198"/>
      <c r="E107" s="198"/>
      <c r="F107" s="198"/>
      <c r="G107" s="198"/>
    </row>
    <row r="108" spans="4:7" s="132" customFormat="1" x14ac:dyDescent="0.25">
      <c r="D108" s="198"/>
      <c r="E108" s="198"/>
      <c r="F108" s="198"/>
      <c r="G108" s="198"/>
    </row>
    <row r="109" spans="4:7" s="132" customFormat="1" x14ac:dyDescent="0.25">
      <c r="D109" s="198"/>
      <c r="E109" s="198"/>
      <c r="F109" s="198"/>
      <c r="G109" s="198"/>
    </row>
    <row r="110" spans="4:7" s="132" customFormat="1" x14ac:dyDescent="0.25">
      <c r="D110" s="198"/>
      <c r="E110" s="198"/>
      <c r="F110" s="198"/>
      <c r="G110" s="198"/>
    </row>
    <row r="111" spans="4:7" s="132" customFormat="1" x14ac:dyDescent="0.25">
      <c r="D111" s="198"/>
      <c r="E111" s="198"/>
      <c r="F111" s="198"/>
      <c r="G111" s="198"/>
    </row>
    <row r="112" spans="4:7" s="132" customFormat="1" x14ac:dyDescent="0.25">
      <c r="D112" s="198"/>
      <c r="E112" s="198"/>
      <c r="F112" s="198"/>
      <c r="G112" s="198"/>
    </row>
    <row r="113" spans="4:7" s="132" customFormat="1" x14ac:dyDescent="0.25">
      <c r="D113" s="198"/>
      <c r="E113" s="198"/>
      <c r="F113" s="198"/>
      <c r="G113" s="198"/>
    </row>
    <row r="114" spans="4:7" s="132" customFormat="1" x14ac:dyDescent="0.25">
      <c r="D114" s="198"/>
      <c r="E114" s="198"/>
      <c r="F114" s="198"/>
      <c r="G114" s="198"/>
    </row>
    <row r="115" spans="4:7" s="132" customFormat="1" x14ac:dyDescent="0.25">
      <c r="D115" s="198"/>
      <c r="E115" s="198"/>
      <c r="F115" s="198"/>
      <c r="G115" s="198"/>
    </row>
    <row r="116" spans="4:7" s="132" customFormat="1" x14ac:dyDescent="0.25">
      <c r="D116" s="198"/>
      <c r="E116" s="198"/>
      <c r="F116" s="198"/>
      <c r="G116" s="198"/>
    </row>
    <row r="117" spans="4:7" s="132" customFormat="1" x14ac:dyDescent="0.25">
      <c r="D117" s="198"/>
      <c r="E117" s="198"/>
      <c r="F117" s="198"/>
      <c r="G117" s="198"/>
    </row>
    <row r="118" spans="4:7" s="132" customFormat="1" x14ac:dyDescent="0.25">
      <c r="D118" s="198"/>
      <c r="E118" s="198"/>
      <c r="F118" s="198"/>
      <c r="G118" s="198"/>
    </row>
    <row r="119" spans="4:7" s="132" customFormat="1" x14ac:dyDescent="0.25">
      <c r="D119" s="198"/>
      <c r="E119" s="198"/>
      <c r="F119" s="198"/>
      <c r="G119" s="198"/>
    </row>
    <row r="120" spans="4:7" s="132" customFormat="1" x14ac:dyDescent="0.25">
      <c r="D120" s="198"/>
      <c r="E120" s="198"/>
      <c r="F120" s="198"/>
      <c r="G120" s="198"/>
    </row>
    <row r="121" spans="4:7" s="132" customFormat="1" x14ac:dyDescent="0.25">
      <c r="D121" s="198"/>
      <c r="E121" s="198"/>
      <c r="F121" s="198"/>
      <c r="G121" s="198"/>
    </row>
    <row r="122" spans="4:7" s="132" customFormat="1" x14ac:dyDescent="0.25">
      <c r="D122" s="198"/>
      <c r="E122" s="198"/>
      <c r="F122" s="198"/>
      <c r="G122" s="198"/>
    </row>
    <row r="123" spans="4:7" s="132" customFormat="1" x14ac:dyDescent="0.25">
      <c r="D123" s="198"/>
      <c r="E123" s="198"/>
      <c r="F123" s="198"/>
      <c r="G123" s="198"/>
    </row>
    <row r="124" spans="4:7" s="132" customFormat="1" x14ac:dyDescent="0.25">
      <c r="D124" s="198"/>
      <c r="E124" s="198"/>
      <c r="F124" s="198"/>
      <c r="G124" s="198"/>
    </row>
    <row r="125" spans="4:7" s="132" customFormat="1" x14ac:dyDescent="0.25">
      <c r="D125" s="198"/>
      <c r="E125" s="198"/>
      <c r="F125" s="198"/>
      <c r="G125" s="198"/>
    </row>
    <row r="126" spans="4:7" s="132" customFormat="1" x14ac:dyDescent="0.25">
      <c r="D126" s="198"/>
      <c r="E126" s="198"/>
      <c r="F126" s="198"/>
      <c r="G126" s="198"/>
    </row>
    <row r="127" spans="4:7" s="132" customFormat="1" x14ac:dyDescent="0.25">
      <c r="D127" s="198"/>
      <c r="E127" s="198"/>
      <c r="F127" s="198"/>
      <c r="G127" s="198"/>
    </row>
    <row r="128" spans="4:7" s="132" customFormat="1" x14ac:dyDescent="0.25">
      <c r="D128" s="198"/>
      <c r="E128" s="198"/>
      <c r="F128" s="198"/>
      <c r="G128" s="198"/>
    </row>
    <row r="129" spans="4:7" s="132" customFormat="1" x14ac:dyDescent="0.25">
      <c r="D129" s="198"/>
      <c r="E129" s="198"/>
      <c r="F129" s="198"/>
      <c r="G129" s="198"/>
    </row>
    <row r="130" spans="4:7" s="132" customFormat="1" x14ac:dyDescent="0.25">
      <c r="D130" s="198"/>
      <c r="E130" s="198"/>
      <c r="F130" s="198"/>
      <c r="G130" s="198"/>
    </row>
    <row r="131" spans="4:7" s="132" customFormat="1" x14ac:dyDescent="0.25">
      <c r="D131" s="198"/>
      <c r="E131" s="198"/>
      <c r="F131" s="198"/>
      <c r="G131" s="198"/>
    </row>
    <row r="132" spans="4:7" s="132" customFormat="1" x14ac:dyDescent="0.25">
      <c r="D132" s="198"/>
      <c r="E132" s="198"/>
      <c r="F132" s="198"/>
      <c r="G132" s="198"/>
    </row>
    <row r="133" spans="4:7" s="132" customFormat="1" x14ac:dyDescent="0.25">
      <c r="D133" s="198"/>
      <c r="E133" s="198"/>
      <c r="F133" s="198"/>
      <c r="G133" s="198"/>
    </row>
    <row r="134" spans="4:7" s="132" customFormat="1" x14ac:dyDescent="0.25">
      <c r="D134" s="198"/>
      <c r="E134" s="198"/>
      <c r="F134" s="198"/>
      <c r="G134" s="198"/>
    </row>
    <row r="135" spans="4:7" s="132" customFormat="1" x14ac:dyDescent="0.25">
      <c r="D135" s="198"/>
      <c r="E135" s="198"/>
      <c r="F135" s="198"/>
      <c r="G135" s="198"/>
    </row>
    <row r="136" spans="4:7" s="132" customFormat="1" x14ac:dyDescent="0.25">
      <c r="D136" s="198"/>
      <c r="E136" s="198"/>
      <c r="F136" s="198"/>
      <c r="G136" s="198"/>
    </row>
    <row r="137" spans="4:7" s="132" customFormat="1" x14ac:dyDescent="0.25">
      <c r="D137" s="198"/>
      <c r="E137" s="198"/>
      <c r="F137" s="198"/>
      <c r="G137" s="198"/>
    </row>
    <row r="138" spans="4:7" s="132" customFormat="1" x14ac:dyDescent="0.25">
      <c r="D138" s="198"/>
      <c r="E138" s="198"/>
      <c r="F138" s="198"/>
      <c r="G138" s="198"/>
    </row>
    <row r="139" spans="4:7" s="132" customFormat="1" x14ac:dyDescent="0.25">
      <c r="D139" s="198"/>
      <c r="E139" s="198"/>
      <c r="F139" s="198"/>
      <c r="G139" s="198"/>
    </row>
    <row r="140" spans="4:7" s="132" customFormat="1" x14ac:dyDescent="0.25">
      <c r="D140" s="198"/>
      <c r="E140" s="198"/>
      <c r="F140" s="198"/>
      <c r="G140" s="198"/>
    </row>
    <row r="141" spans="4:7" s="132" customFormat="1" x14ac:dyDescent="0.25">
      <c r="D141" s="198"/>
      <c r="E141" s="198"/>
      <c r="F141" s="198"/>
      <c r="G141" s="198"/>
    </row>
    <row r="142" spans="4:7" s="132" customFormat="1" x14ac:dyDescent="0.25">
      <c r="D142" s="198"/>
      <c r="E142" s="198"/>
      <c r="F142" s="198"/>
      <c r="G142" s="198"/>
    </row>
    <row r="143" spans="4:7" s="132" customFormat="1" x14ac:dyDescent="0.25">
      <c r="D143" s="198"/>
      <c r="E143" s="198"/>
      <c r="F143" s="198"/>
      <c r="G143" s="198"/>
    </row>
    <row r="144" spans="4:7" s="132" customFormat="1" x14ac:dyDescent="0.25">
      <c r="D144" s="198"/>
      <c r="E144" s="198"/>
      <c r="F144" s="198"/>
      <c r="G144" s="198"/>
    </row>
    <row r="145" spans="4:7" s="132" customFormat="1" x14ac:dyDescent="0.25">
      <c r="D145" s="198"/>
      <c r="E145" s="198"/>
      <c r="F145" s="198"/>
      <c r="G145" s="198"/>
    </row>
    <row r="146" spans="4:7" s="132" customFormat="1" x14ac:dyDescent="0.25">
      <c r="D146" s="198"/>
      <c r="E146" s="198"/>
      <c r="F146" s="198"/>
      <c r="G146" s="198"/>
    </row>
    <row r="147" spans="4:7" s="132" customFormat="1" x14ac:dyDescent="0.25">
      <c r="D147" s="198"/>
      <c r="E147" s="198"/>
      <c r="F147" s="198"/>
      <c r="G147" s="198"/>
    </row>
    <row r="148" spans="4:7" s="132" customFormat="1" x14ac:dyDescent="0.25">
      <c r="D148" s="198"/>
      <c r="E148" s="198"/>
      <c r="F148" s="198"/>
      <c r="G148" s="198"/>
    </row>
    <row r="149" spans="4:7" s="132" customFormat="1" x14ac:dyDescent="0.25">
      <c r="D149" s="198"/>
      <c r="E149" s="198"/>
      <c r="F149" s="198"/>
      <c r="G149" s="198"/>
    </row>
    <row r="150" spans="4:7" s="132" customFormat="1" x14ac:dyDescent="0.25">
      <c r="D150" s="198"/>
      <c r="E150" s="198"/>
      <c r="F150" s="198"/>
      <c r="G150" s="198"/>
    </row>
    <row r="151" spans="4:7" s="132" customFormat="1" x14ac:dyDescent="0.25">
      <c r="D151" s="198"/>
      <c r="E151" s="198"/>
      <c r="F151" s="198"/>
      <c r="G151" s="198"/>
    </row>
    <row r="152" spans="4:7" s="132" customFormat="1" x14ac:dyDescent="0.25">
      <c r="D152" s="198"/>
      <c r="E152" s="198"/>
      <c r="F152" s="198"/>
      <c r="G152" s="198"/>
    </row>
    <row r="153" spans="4:7" s="132" customFormat="1" x14ac:dyDescent="0.25">
      <c r="D153" s="198"/>
      <c r="E153" s="198"/>
      <c r="F153" s="198"/>
      <c r="G153" s="198"/>
    </row>
    <row r="154" spans="4:7" s="132" customFormat="1" x14ac:dyDescent="0.25">
      <c r="D154" s="198"/>
      <c r="E154" s="198"/>
      <c r="F154" s="198"/>
      <c r="G154" s="198"/>
    </row>
    <row r="155" spans="4:7" s="132" customFormat="1" x14ac:dyDescent="0.25">
      <c r="D155" s="198"/>
      <c r="E155" s="198"/>
      <c r="F155" s="198"/>
      <c r="G155" s="198"/>
    </row>
    <row r="156" spans="4:7" s="132" customFormat="1" x14ac:dyDescent="0.25">
      <c r="D156" s="198"/>
      <c r="E156" s="198"/>
      <c r="F156" s="198"/>
      <c r="G156" s="198"/>
    </row>
    <row r="157" spans="4:7" s="132" customFormat="1" x14ac:dyDescent="0.25">
      <c r="D157" s="198"/>
      <c r="E157" s="198"/>
      <c r="F157" s="198"/>
      <c r="G157" s="198"/>
    </row>
    <row r="158" spans="4:7" s="132" customFormat="1" x14ac:dyDescent="0.25">
      <c r="D158" s="198"/>
      <c r="E158" s="198"/>
      <c r="F158" s="198"/>
      <c r="G158" s="198"/>
    </row>
    <row r="159" spans="4:7" s="132" customFormat="1" x14ac:dyDescent="0.25">
      <c r="D159" s="198"/>
      <c r="E159" s="198"/>
      <c r="F159" s="198"/>
      <c r="G159" s="198"/>
    </row>
    <row r="160" spans="4:7" s="132" customFormat="1" x14ac:dyDescent="0.25">
      <c r="D160" s="198"/>
      <c r="E160" s="198"/>
      <c r="F160" s="198"/>
      <c r="G160" s="198"/>
    </row>
    <row r="161" spans="4:7" s="132" customFormat="1" x14ac:dyDescent="0.25">
      <c r="D161" s="198"/>
      <c r="E161" s="198"/>
      <c r="F161" s="198"/>
      <c r="G161" s="198"/>
    </row>
    <row r="162" spans="4:7" s="132" customFormat="1" x14ac:dyDescent="0.25">
      <c r="D162" s="198"/>
      <c r="E162" s="198"/>
      <c r="F162" s="198"/>
      <c r="G162" s="198"/>
    </row>
    <row r="163" spans="4:7" s="132" customFormat="1" x14ac:dyDescent="0.25">
      <c r="D163" s="198"/>
      <c r="E163" s="198"/>
      <c r="F163" s="198"/>
      <c r="G163" s="198"/>
    </row>
    <row r="164" spans="4:7" s="132" customFormat="1" x14ac:dyDescent="0.25">
      <c r="D164" s="198"/>
      <c r="E164" s="198"/>
      <c r="F164" s="198"/>
      <c r="G164" s="198"/>
    </row>
    <row r="165" spans="4:7" s="132" customFormat="1" x14ac:dyDescent="0.25">
      <c r="D165" s="198"/>
      <c r="E165" s="198"/>
      <c r="F165" s="198"/>
      <c r="G165" s="198"/>
    </row>
    <row r="166" spans="4:7" s="132" customFormat="1" x14ac:dyDescent="0.25">
      <c r="D166" s="198"/>
      <c r="E166" s="198"/>
      <c r="F166" s="198"/>
      <c r="G166" s="198"/>
    </row>
  </sheetData>
  <conditionalFormatting sqref="D23:G23 D24:F163">
    <cfRule type="cellIs" dxfId="1" priority="1" operator="greaterThan">
      <formula>301</formula>
    </cfRule>
  </conditionalFormatting>
  <dataValidations count="1">
    <dataValidation type="list" allowBlank="1" showInputMessage="1" showErrorMessage="1" sqref="B6:B9" xr:uid="{73D11E9B-B509-4F7B-8980-20E82616E8D7}">
      <formula1>"Tier 1,Tier 2,Tier 3,Tier 4"</formula1>
    </dataValidation>
  </dataValidation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65BB8-377A-4ED0-A95B-17B55BEBC8F4}">
  <sheetPr codeName="Sheet12">
    <tabColor rgb="FF00CCFF"/>
  </sheetPr>
  <dimension ref="A1:H208"/>
  <sheetViews>
    <sheetView topLeftCell="A147" workbookViewId="0"/>
  </sheetViews>
  <sheetFormatPr defaultColWidth="9.1796875" defaultRowHeight="12.5" x14ac:dyDescent="0.25"/>
  <cols>
    <col min="1" max="1" width="26.26953125" style="132" customWidth="1"/>
    <col min="2" max="2" width="142"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&gt;10 MPa to ≤20 MPa</v>
      </c>
    </row>
    <row r="2" spans="1:8" ht="13" x14ac:dyDescent="0.25">
      <c r="A2" s="202"/>
    </row>
    <row r="3" spans="1:8" ht="13" x14ac:dyDescent="0.25">
      <c r="A3" s="202" t="s">
        <v>5626</v>
      </c>
      <c r="B3" s="132" t="s">
        <v>5784</v>
      </c>
    </row>
    <row r="4" spans="1:8" ht="13" x14ac:dyDescent="0.25">
      <c r="A4" s="202"/>
    </row>
    <row r="5" spans="1:8" ht="69.75" customHeight="1" x14ac:dyDescent="0.3">
      <c r="A5" s="227" t="s">
        <v>5628</v>
      </c>
      <c r="B5" s="200" t="s">
        <v>5785</v>
      </c>
    </row>
    <row r="6" spans="1:8" ht="13" x14ac:dyDescent="0.3">
      <c r="A6" s="227" t="s">
        <v>5630</v>
      </c>
      <c r="B6" s="201" t="s">
        <v>71</v>
      </c>
    </row>
    <row r="7" spans="1:8" ht="13" x14ac:dyDescent="0.3">
      <c r="A7" s="227" t="s">
        <v>5631</v>
      </c>
      <c r="B7" s="201" t="s">
        <v>71</v>
      </c>
    </row>
    <row r="8" spans="1:8" ht="13" x14ac:dyDescent="0.3">
      <c r="A8" s="227" t="s">
        <v>5632</v>
      </c>
      <c r="B8" s="201" t="s">
        <v>71</v>
      </c>
    </row>
    <row r="9" spans="1:8" ht="13" x14ac:dyDescent="0.3">
      <c r="A9" s="227" t="s">
        <v>5633</v>
      </c>
      <c r="B9" s="202" t="s">
        <v>71</v>
      </c>
    </row>
    <row r="10" spans="1:8" ht="13" x14ac:dyDescent="0.3">
      <c r="A10" s="227"/>
      <c r="B10" s="202"/>
    </row>
    <row r="11" spans="1:8" ht="13" x14ac:dyDescent="0.3">
      <c r="A11" s="227" t="s">
        <v>5634</v>
      </c>
      <c r="B11" s="202"/>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158</v>
      </c>
      <c r="C16" s="311" t="s">
        <v>24</v>
      </c>
      <c r="D16" s="345" t="s">
        <v>146</v>
      </c>
      <c r="E16" s="209" t="s">
        <v>153</v>
      </c>
      <c r="F16" s="208" t="s">
        <v>147</v>
      </c>
      <c r="G16" s="208" t="s">
        <v>154</v>
      </c>
      <c r="H16" s="131"/>
    </row>
    <row r="17" spans="1:8" ht="13" x14ac:dyDescent="0.3">
      <c r="A17" s="133"/>
      <c r="B17" s="317"/>
      <c r="C17" s="206" t="s">
        <v>5636</v>
      </c>
      <c r="D17" s="207" t="str" cm="1">
        <f t="array" ref="D17">IF(AND(_xlfn.ANCHORARRAY(C23)=C23),C23,"Mixed")</f>
        <v>m³</v>
      </c>
      <c r="E17" s="207" t="s">
        <v>2774</v>
      </c>
      <c r="F17" s="207" t="str" cm="1">
        <f t="array" ref="F17">IF(AND(_xlfn.ANCHORARRAY(C23)=C23),C23,"Mixed")</f>
        <v>m³</v>
      </c>
      <c r="G17" s="318" t="s">
        <v>2774</v>
      </c>
      <c r="H17" s="131"/>
    </row>
    <row r="18" spans="1:8" s="200" customFormat="1" ht="13" x14ac:dyDescent="0.3">
      <c r="A18" s="221"/>
      <c r="B18" s="214"/>
      <c r="C18" s="202" t="s">
        <v>5637</v>
      </c>
      <c r="D18" s="198">
        <f>MAX(_xlfn.ANCHORARRAY(D23))</f>
        <v>364.12599999999998</v>
      </c>
      <c r="E18" s="198">
        <f t="shared" ref="E18:G18" si="0">MAX(_xlfn.ANCHORARRAY(E23))</f>
        <v>0.15171916666666668</v>
      </c>
      <c r="F18" s="198">
        <f t="shared" si="0"/>
        <v>0</v>
      </c>
      <c r="G18" s="215">
        <f t="shared" si="0"/>
        <v>0</v>
      </c>
      <c r="H18" s="222"/>
    </row>
    <row r="19" spans="1:8" ht="13" x14ac:dyDescent="0.25">
      <c r="A19" s="133"/>
      <c r="B19" s="204"/>
      <c r="C19" s="202" t="s">
        <v>5638</v>
      </c>
      <c r="D19" s="198">
        <f>MIN(_xlfn.ANCHORARRAY(D23))</f>
        <v>136.11000000000001</v>
      </c>
      <c r="E19" s="198">
        <f>MIN(_xlfn.ANCHORARRAY(E23))</f>
        <v>5.6712499999999999E-2</v>
      </c>
      <c r="F19" s="198">
        <f t="shared" ref="F19:G19" si="1">MIN(_xlfn.ANCHORARRAY(F23))</f>
        <v>0</v>
      </c>
      <c r="G19" s="215">
        <f t="shared" si="1"/>
        <v>0</v>
      </c>
      <c r="H19" s="131"/>
    </row>
    <row r="20" spans="1:8" ht="13" x14ac:dyDescent="0.25">
      <c r="A20" s="133"/>
      <c r="B20" s="204"/>
      <c r="C20" s="202" t="s">
        <v>5639</v>
      </c>
      <c r="D20" s="198">
        <f>AVERAGE(_xlfn.ANCHORARRAY(D23))</f>
        <v>200.53203081915123</v>
      </c>
      <c r="E20" s="198">
        <f t="shared" ref="E20:G20" si="2">AVERAGE(_xlfn.ANCHORARRAY(E23))</f>
        <v>8.3564187307725704E-2</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207">_xlfn.UNIQUE(_xlfn._xlws.FILTER('EPD List'!D:D,ISNUMBER(SEARCH(B16,'EPD List'!C:C)),0))</f>
        <v>Concrete, 20 MPa, in-situ, no reinforcement, (SE202E) (Ecopact) (Holcim) (SA) (Adelaide)</v>
      </c>
      <c r="C23" s="132" t="str" cm="1">
        <f t="array" ref="C23:C207">_xlfn.IFNA(INDEX('EPD List'!$A:$AB,MATCH(_xlfn.ANCHORARRAY(B23),'EPD List'!$D:$D,0),MATCH(C$16,'EPD List'!$7:$7,0)),"")</f>
        <v>m³</v>
      </c>
      <c r="D23" s="198" cm="1">
        <f t="array" ref="D23:D207">_xlfn.IFNA(VALUE((INDEX('EPD List'!$A:$AD,MATCH(_xlfn.ANCHORARRAY($B23),'EPD List'!$D:$D,0),MATCH(D$16,'EPD List'!$7:$7,0)))),"")</f>
        <v>207.41</v>
      </c>
      <c r="E23" s="198" cm="1">
        <f t="array" ref="E23:E207">_xlfn.IFNA(VALUE((INDEX('EPD List'!$A:$AD,MATCH(_xlfn.ANCHORARRAY($B23),'EPD List'!$D:$D,0),MATCH(E$16,'EPD List'!$7:$7,0)))),"")</f>
        <v>8.6420833333333322E-2</v>
      </c>
      <c r="F23" s="198" cm="1">
        <f t="array" ref="F23:F207">_xlfn.IFNA(VALUE((INDEX('EPD List'!$A:$AD,MATCH(_xlfn.ANCHORARRAY($B23),'EPD List'!$D:$D,0),MATCH(F$16,'EPD List'!$7:$7,0)))),"")</f>
        <v>0</v>
      </c>
      <c r="G23" s="215" cm="1">
        <f t="array" ref="G23:G207">_xlfn.IFNA(VALUE((INDEX('EPD List'!$A:$AD,MATCH(_xlfn.ANCHORARRAY($B23),'EPD List'!$D:$D,0),MATCH(G$16,'EPD List'!$7:$7,0)))),"")</f>
        <v>0</v>
      </c>
      <c r="H23" s="131"/>
    </row>
    <row r="24" spans="1:8" x14ac:dyDescent="0.25">
      <c r="A24" s="133"/>
      <c r="B24" s="204" t="str">
        <v>Concrete, 20 MPa, in-situ, no reinforcement, (SE202E2) (Ecopact) (Holcim) (SA) (Adelaide)</v>
      </c>
      <c r="C24" s="132" t="str">
        <v>m³</v>
      </c>
      <c r="D24" s="198">
        <v>195.31</v>
      </c>
      <c r="E24" s="198">
        <v>8.1379166666666669E-2</v>
      </c>
      <c r="F24" s="198">
        <v>0</v>
      </c>
      <c r="G24" s="215">
        <v>0</v>
      </c>
      <c r="H24" s="131"/>
    </row>
    <row r="25" spans="1:8" x14ac:dyDescent="0.25">
      <c r="A25" s="133"/>
      <c r="B25" s="204" t="str">
        <v>Concrete, 20 MPa, in-situ, no reinforcement, (R2020B)(GB) (BCG) (WA), (Perth)</v>
      </c>
      <c r="C25" s="132" t="str">
        <v>m³</v>
      </c>
      <c r="D25" s="198">
        <v>211.33</v>
      </c>
      <c r="E25" s="198">
        <v>8.8054166666666669E-2</v>
      </c>
      <c r="F25" s="198">
        <v>0</v>
      </c>
      <c r="G25" s="215">
        <v>0</v>
      </c>
      <c r="H25" s="131"/>
    </row>
    <row r="26" spans="1:8" x14ac:dyDescent="0.25">
      <c r="A26" s="133"/>
      <c r="B26" s="204" t="str">
        <v>Concrete, 20 MPa, in-situ, no reinforcement, (SE202E56) (Ecopact) (Holcim) (SA) (Adelaide)</v>
      </c>
      <c r="C26" s="132" t="str">
        <v>m³</v>
      </c>
      <c r="D26" s="198">
        <v>201.31</v>
      </c>
      <c r="E26" s="198">
        <v>8.3879166666666671E-2</v>
      </c>
      <c r="F26" s="198">
        <v>0</v>
      </c>
      <c r="G26" s="215">
        <v>0</v>
      </c>
      <c r="H26" s="131"/>
    </row>
    <row r="27" spans="1:8" x14ac:dyDescent="0.25">
      <c r="A27" s="133"/>
      <c r="B27" s="204" t="str">
        <v>Concrete, 20 MPa, in-situ, no reinforcement, (VE202E56) (Ecopact) (Holcim) (VIC)</v>
      </c>
      <c r="C27" s="132" t="str">
        <v>m³</v>
      </c>
      <c r="D27" s="198">
        <v>208.26</v>
      </c>
      <c r="E27" s="198">
        <v>8.6775000000000005E-2</v>
      </c>
      <c r="F27" s="198">
        <v>0</v>
      </c>
      <c r="G27" s="215">
        <v>0</v>
      </c>
      <c r="H27" s="131"/>
    </row>
    <row r="28" spans="1:8" x14ac:dyDescent="0.25">
      <c r="A28" s="133"/>
      <c r="B28" s="204" t="str">
        <v>Concrete, 20 MPa, in-situ, no reinforcement, (QE201E)(Ecopact) (Holcim) (QLD) (Sunshine Coast)</v>
      </c>
      <c r="C28" s="132" t="str">
        <v>m³</v>
      </c>
      <c r="D28" s="198">
        <v>151.16</v>
      </c>
      <c r="E28" s="198">
        <v>6.2983333333333336E-2</v>
      </c>
      <c r="F28" s="198">
        <v>0</v>
      </c>
      <c r="G28" s="215">
        <v>0</v>
      </c>
      <c r="H28" s="131"/>
    </row>
    <row r="29" spans="1:8" x14ac:dyDescent="0.25">
      <c r="A29" s="133"/>
      <c r="B29" s="204" t="str">
        <v>Concrete, 20 MPa, in-situ, no reinforcement, (QE201E100)(Ecopact) (Holcim) (QLD) (Sunshine Coast)</v>
      </c>
      <c r="C29" s="132" t="str">
        <v>m³</v>
      </c>
      <c r="D29" s="198">
        <v>153.16</v>
      </c>
      <c r="E29" s="198">
        <v>6.3816666666666674E-2</v>
      </c>
      <c r="F29" s="198">
        <v>0</v>
      </c>
      <c r="G29" s="215">
        <v>0</v>
      </c>
      <c r="H29" s="131"/>
    </row>
    <row r="30" spans="1:8" x14ac:dyDescent="0.25">
      <c r="A30" s="133"/>
      <c r="B30" s="204" t="str">
        <v>Concrete, 20 MPa, in-situ, no reinforcement, (Futurecrete®
N class GP/GL:Slag
20 MPa) (Adbri) (QLD)</v>
      </c>
      <c r="C30" s="132" t="str">
        <v>m³</v>
      </c>
      <c r="D30" s="198">
        <v>175.18100000000001</v>
      </c>
      <c r="E30" s="198">
        <v>7.2992083333333332E-2</v>
      </c>
      <c r="F30" s="198">
        <v>0</v>
      </c>
      <c r="G30" s="215">
        <v>0</v>
      </c>
      <c r="H30" s="131"/>
    </row>
    <row r="31" spans="1:8" x14ac:dyDescent="0.25">
      <c r="A31" s="133"/>
      <c r="B31" s="204" t="str">
        <v>Concrete, 20 MPa, in-situ, no reinforcement, (QE202E100)(Ecopact) (Holcim) (QLD) (Sunshine Coast)</v>
      </c>
      <c r="C31" s="132" t="str">
        <v>m³</v>
      </c>
      <c r="D31" s="198">
        <v>160.16</v>
      </c>
      <c r="E31" s="198">
        <v>6.6733333333333339E-2</v>
      </c>
      <c r="F31" s="198">
        <v>0</v>
      </c>
      <c r="G31" s="215">
        <v>0</v>
      </c>
      <c r="H31" s="131"/>
    </row>
    <row r="32" spans="1:8" x14ac:dyDescent="0.25">
      <c r="A32" s="133"/>
      <c r="B32" s="204" t="str">
        <v>Concrete, 20 MPa, in-situ, no reinforcement, (QE202E)(Ecopact) (Holcim) (QLD) (Sunshine Coast)</v>
      </c>
      <c r="C32" s="132" t="str">
        <v>m³</v>
      </c>
      <c r="D32" s="198">
        <v>157.15</v>
      </c>
      <c r="E32" s="198">
        <v>6.5479166666666658E-2</v>
      </c>
      <c r="F32" s="198">
        <v>0</v>
      </c>
      <c r="G32" s="215">
        <v>0</v>
      </c>
      <c r="H32" s="131"/>
    </row>
    <row r="33" spans="1:8" x14ac:dyDescent="0.25">
      <c r="A33" s="133"/>
      <c r="B33" s="204" t="str">
        <v>Concrete, 20 MPa, in-situ, no reinforcement, (Futurecrete®  Ultra
N Class GP/GL:Slag
20 MPa) (Adbri) (VIC)</v>
      </c>
      <c r="C33" s="132" t="str">
        <v>m³</v>
      </c>
      <c r="D33" s="198">
        <v>149.13999999999999</v>
      </c>
      <c r="E33" s="198">
        <v>6.2141666666666664E-2</v>
      </c>
      <c r="F33" s="198">
        <v>0</v>
      </c>
      <c r="G33" s="215">
        <v>0</v>
      </c>
      <c r="H33" s="131"/>
    </row>
    <row r="34" spans="1:8" x14ac:dyDescent="0.25">
      <c r="A34" s="133"/>
      <c r="B34" s="204" t="str">
        <v>Concrete, 20 MPa, in-situ, no reinforcement, (QE201L)(Ecopact) (Holcim) (QLD) (Sunshine Coast)</v>
      </c>
      <c r="C34" s="132" t="str">
        <v>m³</v>
      </c>
      <c r="D34" s="198">
        <v>200.18</v>
      </c>
      <c r="E34" s="198">
        <v>8.3408333333333334E-2</v>
      </c>
      <c r="F34" s="198">
        <v>0</v>
      </c>
      <c r="G34" s="215">
        <v>0</v>
      </c>
      <c r="H34" s="131"/>
    </row>
    <row r="35" spans="1:8" x14ac:dyDescent="0.25">
      <c r="A35" s="133"/>
      <c r="B35" s="204" t="str">
        <v>Concrete, 20 MPa, in-situ, no reinforcement, (QE201L100)(Ecopact) (Holcim) (QLD) (Sunshine Coast)</v>
      </c>
      <c r="C35" s="132" t="str">
        <v>m³</v>
      </c>
      <c r="D35" s="198">
        <v>204.18</v>
      </c>
      <c r="E35" s="198">
        <v>8.5075000000000012E-2</v>
      </c>
      <c r="F35" s="198">
        <v>0</v>
      </c>
      <c r="G35" s="215">
        <v>0</v>
      </c>
      <c r="H35" s="131"/>
    </row>
    <row r="36" spans="1:8" x14ac:dyDescent="0.25">
      <c r="A36" s="133"/>
      <c r="B36" s="204" t="str">
        <v>Concrete, 20 MPa, in-situ, no reinforcement, (QE202L)(Ecopact) (Holcim) (QLD) (Sunshine Coast)</v>
      </c>
      <c r="C36" s="132" t="str">
        <v>m³</v>
      </c>
      <c r="D36" s="198">
        <v>194.17</v>
      </c>
      <c r="E36" s="198">
        <v>8.0904166666666666E-2</v>
      </c>
      <c r="F36" s="198">
        <v>0</v>
      </c>
      <c r="G36" s="215">
        <v>0</v>
      </c>
      <c r="H36" s="131"/>
    </row>
    <row r="37" spans="1:8" x14ac:dyDescent="0.25">
      <c r="A37" s="133"/>
      <c r="B37" s="204" t="str">
        <v>Concrete, 20 MPa, in-situ, no reinforcement, (QE202L100)(Ecopact) (Holcim) (QLD) (Sunshine Coast)</v>
      </c>
      <c r="C37" s="132" t="str">
        <v>m³</v>
      </c>
      <c r="D37" s="198">
        <v>198.17</v>
      </c>
      <c r="E37" s="198">
        <v>8.2570833333333343E-2</v>
      </c>
      <c r="F37" s="198">
        <v>0</v>
      </c>
      <c r="G37" s="215">
        <v>0</v>
      </c>
      <c r="H37" s="131"/>
    </row>
    <row r="38" spans="1:8" x14ac:dyDescent="0.25">
      <c r="A38" s="133"/>
      <c r="B38" s="204" t="str">
        <v>Concrete, 20 MPa, in-situ, no reinforcement, (Futurecrete® N Class
GP:GL:Slag 20 MPa
- Winnellie) (Adbri) (NT)</v>
      </c>
      <c r="C38" s="132" t="str">
        <v>m³</v>
      </c>
      <c r="D38" s="198">
        <v>206.173</v>
      </c>
      <c r="E38" s="198">
        <v>8.5905416666666665E-2</v>
      </c>
      <c r="F38" s="198">
        <v>0</v>
      </c>
      <c r="G38" s="215">
        <v>0</v>
      </c>
      <c r="H38" s="131"/>
    </row>
    <row r="39" spans="1:8" x14ac:dyDescent="0.25">
      <c r="A39" s="133"/>
      <c r="B39" s="204" t="str">
        <v>Concrete, 20 MPa, in-situ, no reinforcement, (NE201E1)(Ecopact) (Holcim) (NSW), (Sydney)</v>
      </c>
      <c r="C39" s="132" t="str">
        <v>m³</v>
      </c>
      <c r="D39" s="198">
        <v>136.11000000000001</v>
      </c>
      <c r="E39" s="198">
        <v>5.6712499999999999E-2</v>
      </c>
      <c r="F39" s="198">
        <v>0</v>
      </c>
      <c r="G39" s="215">
        <v>0</v>
      </c>
      <c r="H39" s="131"/>
    </row>
    <row r="40" spans="1:8" x14ac:dyDescent="0.25">
      <c r="A40" s="133"/>
      <c r="B40" s="204" t="str">
        <v>Concrete, 20 MPa, in-situ, no reinforcement, (NE201E5)(Ecopact) (Holcim) (NSW), (Sydney)</v>
      </c>
      <c r="C40" s="132" t="str">
        <v>m³</v>
      </c>
      <c r="D40" s="198">
        <v>136.11000000000001</v>
      </c>
      <c r="E40" s="198">
        <v>5.6712499999999999E-2</v>
      </c>
      <c r="F40" s="198">
        <v>0</v>
      </c>
      <c r="G40" s="215">
        <v>0</v>
      </c>
      <c r="H40" s="131"/>
    </row>
    <row r="41" spans="1:8" x14ac:dyDescent="0.25">
      <c r="A41" s="133"/>
      <c r="B41" s="204" t="str">
        <v>Concrete, 20 MPa, in-situ, no reinforcement, (Futurecrete®  N Class
GP/GL:Slag 20 MPa) (Adbri) (VIC)</v>
      </c>
      <c r="C41" s="132" t="str">
        <v>m³</v>
      </c>
      <c r="D41" s="198">
        <v>176.14</v>
      </c>
      <c r="E41" s="198">
        <v>7.3391666666666661E-2</v>
      </c>
      <c r="F41" s="198">
        <v>0</v>
      </c>
      <c r="G41" s="215">
        <v>0</v>
      </c>
      <c r="H41" s="131"/>
    </row>
    <row r="42" spans="1:8" x14ac:dyDescent="0.25">
      <c r="A42" s="133"/>
      <c r="B42" s="204" t="str">
        <v>Concrete, 20 MPa, in-situ, no reinforcement, (NE202E1)(Ecopact) (Holcim) (NSW), (Sydney)</v>
      </c>
      <c r="C42" s="132" t="str">
        <v>m³</v>
      </c>
      <c r="D42" s="198">
        <v>140.11000000000001</v>
      </c>
      <c r="E42" s="198">
        <v>5.8379166666666669E-2</v>
      </c>
      <c r="F42" s="198">
        <v>0</v>
      </c>
      <c r="G42" s="215">
        <v>0</v>
      </c>
      <c r="H42" s="131"/>
    </row>
    <row r="43" spans="1:8" x14ac:dyDescent="0.25">
      <c r="A43" s="133"/>
      <c r="B43" s="204" t="str">
        <v>Concrete, 20 MPa, in-situ, no reinforcement, (QE203EBMX) (Ecopact) (Holcim) (QLD), Gold Coast</v>
      </c>
      <c r="C43" s="132" t="str">
        <v>m³</v>
      </c>
      <c r="D43" s="198">
        <v>208.16</v>
      </c>
      <c r="E43" s="198">
        <v>8.6733333333333343E-2</v>
      </c>
      <c r="F43" s="198">
        <v>0</v>
      </c>
      <c r="G43" s="215">
        <v>0</v>
      </c>
      <c r="H43" s="131"/>
    </row>
    <row r="44" spans="1:8" x14ac:dyDescent="0.25">
      <c r="A44" s="133"/>
      <c r="B44" s="204" t="str">
        <v>Concrete, 20 MPa, in-situ, no reinforcement, (CS2020BGS)(B) (BCG) (WA), (Perth)</v>
      </c>
      <c r="C44" s="132" t="str">
        <v>m³</v>
      </c>
      <c r="D44" s="198">
        <v>199.15</v>
      </c>
      <c r="E44" s="198">
        <v>8.2979166666666659E-2</v>
      </c>
      <c r="F44" s="198">
        <v>0</v>
      </c>
      <c r="G44" s="215">
        <v>0</v>
      </c>
      <c r="H44" s="131"/>
    </row>
    <row r="45" spans="1:8" x14ac:dyDescent="0.25">
      <c r="A45" s="133"/>
      <c r="B45" s="204" t="str">
        <v>Concrete, 20 MPa, in-situ, no reinforcement, (QE207EBMX) (Ecopact) (Holcim) (QLD), Gold Coast</v>
      </c>
      <c r="C45" s="132" t="str">
        <v>m³</v>
      </c>
      <c r="D45" s="198">
        <v>187.14</v>
      </c>
      <c r="E45" s="198">
        <v>7.7974999999999989E-2</v>
      </c>
      <c r="F45" s="198">
        <v>0</v>
      </c>
      <c r="G45" s="215">
        <v>0</v>
      </c>
      <c r="H45" s="131"/>
    </row>
    <row r="46" spans="1:8" x14ac:dyDescent="0.25">
      <c r="A46" s="133"/>
      <c r="B46" s="204" t="str">
        <v>Concrete, 20 MPa, in-situ, no reinforcement, (Adbri concrete
N class GP/GL
20 MPa) (Adbri) (QLD)</v>
      </c>
      <c r="C46" s="132" t="str">
        <v>m³</v>
      </c>
      <c r="D46" s="198">
        <v>261.19499999999999</v>
      </c>
      <c r="E46" s="198">
        <v>0.10883125</v>
      </c>
      <c r="F46" s="198">
        <v>0</v>
      </c>
      <c r="G46" s="215">
        <v>0</v>
      </c>
      <c r="H46" s="131"/>
    </row>
    <row r="47" spans="1:8" x14ac:dyDescent="0.25">
      <c r="A47" s="133"/>
      <c r="B47" s="204" t="str">
        <v>Concrete, 20 MPa, in-situ, no reinforcement, (QE207EBMX) (Ecopact) (Holcim) (QLD) (Brisbane)</v>
      </c>
      <c r="C47" s="132" t="str">
        <v>m³</v>
      </c>
      <c r="D47" s="198">
        <v>190.14</v>
      </c>
      <c r="E47" s="198">
        <v>7.922499999999999E-2</v>
      </c>
      <c r="F47" s="198">
        <v>0</v>
      </c>
      <c r="G47" s="215">
        <v>0</v>
      </c>
      <c r="H47" s="131"/>
    </row>
    <row r="48" spans="1:8" x14ac:dyDescent="0.25">
      <c r="A48" s="133"/>
      <c r="B48" s="204" t="str">
        <v>Concrete, 20 MPa, in-situ, no reinforcement, (Futurecrete®
N class GP/GL:FA
20 MPa) (Adbri) (QLD)</v>
      </c>
      <c r="C48" s="132" t="str">
        <v>m³</v>
      </c>
      <c r="D48" s="198">
        <v>219.161</v>
      </c>
      <c r="E48" s="198">
        <v>9.1317083333333327E-2</v>
      </c>
      <c r="F48" s="198">
        <v>0</v>
      </c>
      <c r="G48" s="215">
        <v>0</v>
      </c>
      <c r="H48" s="131"/>
    </row>
    <row r="49" spans="1:8" x14ac:dyDescent="0.25">
      <c r="A49" s="133"/>
      <c r="B49" s="204" t="str">
        <v>Concrete, 20 MPa, in-situ, no reinforcement, (QE202EEZY) (Ecopact) (Holcim) (QLD), Gold Coast</v>
      </c>
      <c r="C49" s="132" t="str">
        <v>m³</v>
      </c>
      <c r="D49" s="198">
        <v>164.12</v>
      </c>
      <c r="E49" s="198">
        <v>6.8383333333333324E-2</v>
      </c>
      <c r="F49" s="198">
        <v>0</v>
      </c>
      <c r="G49" s="215">
        <v>0</v>
      </c>
      <c r="H49" s="131"/>
    </row>
    <row r="50" spans="1:8" x14ac:dyDescent="0.25">
      <c r="A50" s="133"/>
      <c r="B50" s="204" t="str">
        <v>Concrete, 20 MPa, in-situ, no reinforcement, (QE201E100) (Ecopact) (Holcim) (QLD), Gold Coast</v>
      </c>
      <c r="C50" s="132" t="str">
        <v>m³</v>
      </c>
      <c r="D50" s="198">
        <v>164.12</v>
      </c>
      <c r="E50" s="198">
        <v>6.8383333333333324E-2</v>
      </c>
      <c r="F50" s="198">
        <v>0</v>
      </c>
      <c r="G50" s="215">
        <v>0</v>
      </c>
      <c r="H50" s="131"/>
    </row>
    <row r="51" spans="1:8" x14ac:dyDescent="0.25">
      <c r="A51" s="133"/>
      <c r="B51" s="204" t="str">
        <v>Concrete, 20 MPa, in-situ, no reinforcement, (Adbri concrete
N class GP/GL:FA
20 MPa) (Adbri) (QLD)</v>
      </c>
      <c r="C51" s="132" t="str">
        <v>m³</v>
      </c>
      <c r="D51" s="198">
        <v>225.16200000000001</v>
      </c>
      <c r="E51" s="198">
        <v>9.3817499999999998E-2</v>
      </c>
      <c r="F51" s="198">
        <v>0</v>
      </c>
      <c r="G51" s="215">
        <v>0</v>
      </c>
      <c r="H51" s="131"/>
    </row>
    <row r="52" spans="1:8" x14ac:dyDescent="0.25">
      <c r="A52" s="133"/>
      <c r="B52" s="204" t="str">
        <v>Concrete, 20 MPa, in-situ, no reinforcement, (QE202E100) (Ecopact) (Holcim) (QLD) (Brisbane)</v>
      </c>
      <c r="C52" s="132" t="str">
        <v>m³</v>
      </c>
      <c r="D52" s="198">
        <v>153.11000000000001</v>
      </c>
      <c r="E52" s="198">
        <v>6.3795833333333329E-2</v>
      </c>
      <c r="F52" s="198">
        <v>0</v>
      </c>
      <c r="G52" s="215">
        <v>0</v>
      </c>
      <c r="H52" s="131"/>
    </row>
    <row r="53" spans="1:8" x14ac:dyDescent="0.25">
      <c r="A53" s="133"/>
      <c r="B53" s="204" t="str">
        <v>Concrete, 20 MPa, in-situ, no reinforcement, (QE201EL21) (Ecopact) (Holcim) (QLD), Gold Coast</v>
      </c>
      <c r="C53" s="132" t="str">
        <v>m³</v>
      </c>
      <c r="D53" s="198">
        <v>168.12</v>
      </c>
      <c r="E53" s="198">
        <v>7.0050000000000001E-2</v>
      </c>
      <c r="F53" s="198">
        <v>0</v>
      </c>
      <c r="G53" s="215">
        <v>0</v>
      </c>
      <c r="H53" s="131"/>
    </row>
    <row r="54" spans="1:8" x14ac:dyDescent="0.25">
      <c r="A54" s="133"/>
      <c r="B54" s="204" t="str">
        <v>Concrete, 20 MPa, in-situ, no reinforcement, (QE201EEZY) (Ecopact) (Holcim) (QLD), Gold Coast</v>
      </c>
      <c r="C54" s="132" t="str">
        <v>m³</v>
      </c>
      <c r="D54" s="198">
        <v>170.12</v>
      </c>
      <c r="E54" s="198">
        <v>7.0883333333333326E-2</v>
      </c>
      <c r="F54" s="198">
        <v>0</v>
      </c>
      <c r="G54" s="215">
        <v>0</v>
      </c>
      <c r="H54" s="131"/>
    </row>
    <row r="55" spans="1:8" x14ac:dyDescent="0.25">
      <c r="A55" s="133"/>
      <c r="B55" s="204" t="str">
        <v>Concrete, 20 MPa, in-situ, no reinforcement, (QE201E100) (Ecopact) (Holcim) (QLD) (Brisbane)</v>
      </c>
      <c r="C55" s="132" t="str">
        <v>m³</v>
      </c>
      <c r="D55" s="198">
        <v>156.11000000000001</v>
      </c>
      <c r="E55" s="198">
        <v>6.5045833333333331E-2</v>
      </c>
      <c r="F55" s="198">
        <v>0</v>
      </c>
      <c r="G55" s="215">
        <v>0</v>
      </c>
      <c r="H55" s="131"/>
    </row>
    <row r="56" spans="1:8" x14ac:dyDescent="0.25">
      <c r="A56" s="133"/>
      <c r="B56" s="204" t="str">
        <v>Concrete, 20 MPa, in-situ, no reinforcement, (QE202EEZY) (Ecopact) (Holcim) (QLD) (Brisbane)</v>
      </c>
      <c r="C56" s="132" t="str">
        <v>m³</v>
      </c>
      <c r="D56" s="198">
        <v>158.11000000000001</v>
      </c>
      <c r="E56" s="198">
        <v>6.5879166666666655E-2</v>
      </c>
      <c r="F56" s="198">
        <v>0</v>
      </c>
      <c r="G56" s="215">
        <v>0</v>
      </c>
      <c r="H56" s="131"/>
    </row>
    <row r="57" spans="1:8" x14ac:dyDescent="0.25">
      <c r="A57" s="133"/>
      <c r="B57" s="204" t="str">
        <v>Concrete, 20 MPa, in-situ, no reinforcement, (QE202E100) (Ecopact) (Holcim) (QLD), Gold Coast</v>
      </c>
      <c r="C57" s="132" t="str">
        <v>m³</v>
      </c>
      <c r="D57" s="198">
        <v>159.11000000000001</v>
      </c>
      <c r="E57" s="198">
        <v>6.6295833333333332E-2</v>
      </c>
      <c r="F57" s="198">
        <v>0</v>
      </c>
      <c r="G57" s="215">
        <v>0</v>
      </c>
      <c r="H57" s="131"/>
    </row>
    <row r="58" spans="1:8" x14ac:dyDescent="0.25">
      <c r="A58" s="133"/>
      <c r="B58" s="204" t="str">
        <v>Concrete, 20 MPa, in-situ, no reinforcement, (QE201EL21) (Ecopact) (Holcim) (QLD) (Brisbane)</v>
      </c>
      <c r="C58" s="132" t="str">
        <v>m³</v>
      </c>
      <c r="D58" s="198">
        <v>160.11000000000001</v>
      </c>
      <c r="E58" s="198">
        <v>6.6712499999999994E-2</v>
      </c>
      <c r="F58" s="198">
        <v>0</v>
      </c>
      <c r="G58" s="215">
        <v>0</v>
      </c>
      <c r="H58" s="131"/>
    </row>
    <row r="59" spans="1:8" x14ac:dyDescent="0.25">
      <c r="A59" s="133"/>
      <c r="B59" s="204" t="str">
        <v>Concrete, 20 MPa, in-situ, no reinforcement, (QE201EEZY) (Ecopact) (Holcim) (QLD) (Brisbane)</v>
      </c>
      <c r="C59" s="132" t="str">
        <v>m³</v>
      </c>
      <c r="D59" s="198">
        <v>161.11000000000001</v>
      </c>
      <c r="E59" s="198">
        <v>6.7129166666666656E-2</v>
      </c>
      <c r="F59" s="198">
        <v>0</v>
      </c>
      <c r="G59" s="215">
        <v>0</v>
      </c>
      <c r="H59" s="131"/>
    </row>
    <row r="60" spans="1:8" x14ac:dyDescent="0.25">
      <c r="A60" s="133"/>
      <c r="B60" s="204" t="str">
        <v>Concrete, 20 MPa, in-situ, no reinforcement, (WE204E1)(Ecopact) (Holcim) (WA), (Perth Metro)</v>
      </c>
      <c r="C60" s="132" t="str">
        <v>m³</v>
      </c>
      <c r="D60" s="198">
        <v>196.13</v>
      </c>
      <c r="E60" s="198">
        <v>8.1720833333333326E-2</v>
      </c>
      <c r="F60" s="198">
        <v>0</v>
      </c>
      <c r="G60" s="215">
        <v>0</v>
      </c>
      <c r="H60" s="131"/>
    </row>
    <row r="61" spans="1:8" x14ac:dyDescent="0.25">
      <c r="A61" s="133"/>
      <c r="B61" s="204" t="str">
        <v>Concrete, 20 MPa, in-situ, no reinforcement, (QE202E) (Ecopact) (Holcim) (QLD) (Brisbane)</v>
      </c>
      <c r="C61" s="132" t="str">
        <v>m³</v>
      </c>
      <c r="D61" s="198">
        <v>151.1</v>
      </c>
      <c r="E61" s="198">
        <v>6.2958333333333324E-2</v>
      </c>
      <c r="F61" s="198">
        <v>0</v>
      </c>
      <c r="G61" s="215">
        <v>0</v>
      </c>
      <c r="H61" s="131"/>
    </row>
    <row r="62" spans="1:8" x14ac:dyDescent="0.25">
      <c r="A62" s="133"/>
      <c r="B62" s="204" t="str">
        <v>Concrete, 20 MPa, in-situ, no reinforcement, (WE201E1)(Ecopact) (Holcim) (WA), (Perth Metro)</v>
      </c>
      <c r="C62" s="132" t="str">
        <v>m³</v>
      </c>
      <c r="D62" s="198">
        <v>197.13</v>
      </c>
      <c r="E62" s="198">
        <v>8.2137499999999988E-2</v>
      </c>
      <c r="F62" s="198">
        <v>0</v>
      </c>
      <c r="G62" s="215">
        <v>0</v>
      </c>
      <c r="H62" s="131"/>
    </row>
    <row r="63" spans="1:8" x14ac:dyDescent="0.25">
      <c r="A63" s="133"/>
      <c r="B63" s="204" t="str">
        <v>Concrete, 20 MPa, in-situ, no reinforcement, (Adbri Concrete N Class GP/GL 20 MPa) (Adbri) (VIC)</v>
      </c>
      <c r="C63" s="132" t="str">
        <v>m³</v>
      </c>
      <c r="D63" s="198">
        <v>218.14</v>
      </c>
      <c r="E63" s="198">
        <v>9.0891666666666662E-2</v>
      </c>
      <c r="F63" s="198">
        <v>0</v>
      </c>
      <c r="G63" s="215">
        <v>0</v>
      </c>
      <c r="H63" s="131"/>
    </row>
    <row r="64" spans="1:8" x14ac:dyDescent="0.25">
      <c r="A64" s="133"/>
      <c r="B64" s="204" t="str">
        <v>Concrete, 20 MPa, in-situ, no reinforcement, (WE202E1)(Ecopact) (Holcim) (WA), (Perth Metro)</v>
      </c>
      <c r="C64" s="132" t="str">
        <v>m³</v>
      </c>
      <c r="D64" s="198">
        <v>188.12</v>
      </c>
      <c r="E64" s="198">
        <v>7.8383333333333333E-2</v>
      </c>
      <c r="F64" s="198">
        <v>0</v>
      </c>
      <c r="G64" s="215">
        <v>0</v>
      </c>
      <c r="H64" s="131"/>
    </row>
    <row r="65" spans="1:8" x14ac:dyDescent="0.25">
      <c r="A65" s="133"/>
      <c r="B65" s="204" t="str">
        <v>Concrete, 20 MPa, in-situ, no reinforcement, (Adbri Concrete N Class GP:GL 20 MPa
- Winnellie) (Adbri) (NT)</v>
      </c>
      <c r="C65" s="132" t="str">
        <v>m³</v>
      </c>
      <c r="D65" s="198">
        <v>296.18799999999999</v>
      </c>
      <c r="E65" s="198">
        <v>0.12341166666666667</v>
      </c>
      <c r="F65" s="198">
        <v>0</v>
      </c>
      <c r="G65" s="215">
        <v>0</v>
      </c>
      <c r="H65" s="131"/>
    </row>
    <row r="66" spans="1:8" x14ac:dyDescent="0.25">
      <c r="A66" s="133"/>
      <c r="B66" s="204" t="str">
        <v>Concrete, 20 MPa, in-situ, no reinforcement, (WE202EP1)(Ecopact) (Holcim) (WA), (Perth Metro)</v>
      </c>
      <c r="C66" s="132" t="str">
        <v>m³</v>
      </c>
      <c r="D66" s="198">
        <v>192.09</v>
      </c>
      <c r="E66" s="198">
        <v>8.0037499999999998E-2</v>
      </c>
      <c r="F66" s="198">
        <v>0</v>
      </c>
      <c r="G66" s="215">
        <v>0</v>
      </c>
      <c r="H66" s="131"/>
    </row>
    <row r="67" spans="1:8" x14ac:dyDescent="0.25">
      <c r="A67" s="133"/>
      <c r="B67" s="204" t="str">
        <v>Concrete, 20 MPa, in-situ, no reinforcement, (WE201EBMX)(Ecopact) (Holcim) (WA), (Perth Metro)</v>
      </c>
      <c r="C67" s="132" t="str">
        <v>m³</v>
      </c>
      <c r="D67" s="198">
        <v>198.09</v>
      </c>
      <c r="E67" s="198">
        <v>8.25375E-2</v>
      </c>
      <c r="F67" s="198">
        <v>0</v>
      </c>
      <c r="G67" s="215">
        <v>0</v>
      </c>
      <c r="H67" s="131"/>
    </row>
    <row r="68" spans="1:8" x14ac:dyDescent="0.25">
      <c r="A68" s="133"/>
      <c r="B68" s="204" t="str">
        <v>Concrete, 20 MPa, in-situ, no reinforcement, (Adbri Concrete N Class GP:GL 20 MPa
- Alice Springs) (Adbri) (NT)</v>
      </c>
      <c r="C68" s="132" t="str">
        <v>m³</v>
      </c>
      <c r="D68" s="198">
        <v>364.12599999999998</v>
      </c>
      <c r="E68" s="198">
        <v>0.15171916666666668</v>
      </c>
      <c r="F68" s="198">
        <v>0</v>
      </c>
      <c r="G68" s="215">
        <v>0</v>
      </c>
      <c r="H68" s="131"/>
    </row>
    <row r="69" spans="1:8" x14ac:dyDescent="0.25">
      <c r="A69" s="133"/>
      <c r="B69" s="204" t="str">
        <v>Concrete, 20 MPa, in-situ, no reinforcement, (Futurecrete®  Ultra
N Class Ternary
20 MPa) (Adbri) (NSW)</v>
      </c>
      <c r="C69" s="132" t="str">
        <v>m³</v>
      </c>
      <c r="D69" s="198">
        <v>208.89099999999999</v>
      </c>
      <c r="E69" s="198">
        <v>8.7037916666666673E-2</v>
      </c>
      <c r="F69" s="198">
        <v>0</v>
      </c>
      <c r="G69" s="215">
        <v>0</v>
      </c>
      <c r="H69" s="131"/>
    </row>
    <row r="70" spans="1:8" x14ac:dyDescent="0.25">
      <c r="A70" s="133"/>
      <c r="B70" s="204" t="str">
        <v>Concrete, 20 MPa, in-situ, no reinforcement, (General) (Holcim) (NSW)(ACT)</v>
      </c>
      <c r="C70" s="132" t="str">
        <v>m³</v>
      </c>
      <c r="D70" s="198">
        <v>273</v>
      </c>
      <c r="E70" s="198">
        <v>0.11375</v>
      </c>
      <c r="F70" s="198">
        <v>0</v>
      </c>
      <c r="G70" s="215">
        <v>0</v>
      </c>
      <c r="H70" s="131"/>
    </row>
    <row r="71" spans="1:8" x14ac:dyDescent="0.25">
      <c r="A71" s="133"/>
      <c r="B71" s="204" t="str">
        <v>Concrete, 20 MPa, in-situ, no reinforcement, (Fly Ash) (Holcim) (NSW)(ACT)</v>
      </c>
      <c r="C71" s="132" t="str">
        <v>m³</v>
      </c>
      <c r="D71" s="198">
        <v>220</v>
      </c>
      <c r="E71" s="198">
        <v>9.166666666666666E-2</v>
      </c>
      <c r="F71" s="198">
        <v>0</v>
      </c>
      <c r="G71" s="215">
        <v>0</v>
      </c>
      <c r="H71" s="131"/>
    </row>
    <row r="72" spans="1:8" x14ac:dyDescent="0.25">
      <c r="A72" s="133"/>
      <c r="B72" s="204" t="str">
        <v>Concrete, 20 MPa, in-situ, no reinforcement, (GGBS Slag) (Holcim) (NSW)(ACT)</v>
      </c>
      <c r="C72" s="132" t="str">
        <v>m³</v>
      </c>
      <c r="D72" s="198">
        <v>171</v>
      </c>
      <c r="E72" s="198">
        <v>7.1249999999999994E-2</v>
      </c>
      <c r="F72" s="198">
        <v>0</v>
      </c>
      <c r="G72" s="215">
        <v>0</v>
      </c>
      <c r="H72" s="131"/>
    </row>
    <row r="73" spans="1:8" x14ac:dyDescent="0.25">
      <c r="A73" s="133"/>
      <c r="B73" s="204" t="str">
        <v>Concrete, 20 MPa, in-situ, no reinforcement, (Triple Blend) (Holcim) (NSW)(ACT)</v>
      </c>
      <c r="C73" s="132" t="str">
        <v>m³</v>
      </c>
      <c r="D73" s="198">
        <v>152</v>
      </c>
      <c r="E73" s="198">
        <v>6.3333333333333339E-2</v>
      </c>
      <c r="F73" s="198">
        <v>0</v>
      </c>
      <c r="G73" s="215">
        <v>0</v>
      </c>
      <c r="H73" s="131"/>
    </row>
    <row r="74" spans="1:8" x14ac:dyDescent="0.25">
      <c r="A74" s="133"/>
      <c r="B74" s="204" t="str">
        <v>Concrete, 20 MPa, in-situ, no reinforcement,(General)  (Holcim)  (QLD)</v>
      </c>
      <c r="C74" s="132" t="str">
        <v>m³</v>
      </c>
      <c r="D74" s="198">
        <v>242</v>
      </c>
      <c r="E74" s="198">
        <v>0.10083333333333333</v>
      </c>
      <c r="F74" s="198">
        <v>0</v>
      </c>
      <c r="G74" s="215">
        <v>0</v>
      </c>
      <c r="H74" s="131"/>
    </row>
    <row r="75" spans="1:8" x14ac:dyDescent="0.25">
      <c r="A75" s="133"/>
      <c r="B75" s="204" t="str">
        <v>Concrete, 20 MPa, in-situ, no reinforcement,(Fly Ash)  (Holcim)  (QLD)</v>
      </c>
      <c r="C75" s="132" t="str">
        <v>m³</v>
      </c>
      <c r="D75" s="198">
        <v>203</v>
      </c>
      <c r="E75" s="198">
        <v>8.458333333333333E-2</v>
      </c>
      <c r="F75" s="198">
        <v>0</v>
      </c>
      <c r="G75" s="215">
        <v>0</v>
      </c>
      <c r="H75" s="131"/>
    </row>
    <row r="76" spans="1:8" x14ac:dyDescent="0.25">
      <c r="A76" s="133"/>
      <c r="B76" s="204" t="str">
        <v>Concrete, 20 MPa, in-situ, no reinforcement,(GGBS Slag)  (Holcim)  (QLD)</v>
      </c>
      <c r="C76" s="132" t="str">
        <v>m³</v>
      </c>
      <c r="D76" s="198">
        <v>163</v>
      </c>
      <c r="E76" s="198">
        <v>6.7916666666666667E-2</v>
      </c>
      <c r="F76" s="198">
        <v>0</v>
      </c>
      <c r="G76" s="215">
        <v>0</v>
      </c>
      <c r="H76" s="131"/>
    </row>
    <row r="77" spans="1:8" x14ac:dyDescent="0.25">
      <c r="A77" s="133"/>
      <c r="B77" s="204" t="str">
        <v>Concrete, 20 MPa, in-situ, no reinforcement,(Triple Blend)  (Holcim)  (QLD)</v>
      </c>
      <c r="C77" s="132" t="str">
        <v>m³</v>
      </c>
      <c r="D77" s="198">
        <v>154</v>
      </c>
      <c r="E77" s="198">
        <v>6.4166666666666664E-2</v>
      </c>
      <c r="F77" s="198">
        <v>0</v>
      </c>
      <c r="G77" s="215">
        <v>0</v>
      </c>
      <c r="H77" s="131"/>
    </row>
    <row r="78" spans="1:8" x14ac:dyDescent="0.25">
      <c r="A78" s="133"/>
      <c r="B78" s="204" t="str">
        <v>Concrete, 20 MPa, in-situ, no reinforcement, (General) (Holcim) (VIC)</v>
      </c>
      <c r="C78" s="132" t="str">
        <v>m³</v>
      </c>
      <c r="D78" s="198">
        <v>257</v>
      </c>
      <c r="E78" s="198">
        <v>0.10708333333333334</v>
      </c>
      <c r="F78" s="198">
        <v>0</v>
      </c>
      <c r="G78" s="215">
        <v>0</v>
      </c>
      <c r="H78" s="131"/>
    </row>
    <row r="79" spans="1:8" x14ac:dyDescent="0.25">
      <c r="A79" s="133"/>
      <c r="B79" s="204" t="str">
        <v>Concrete, 20 MPa, in-situ, no reinforcement, (Fly Ash) (Holcim) (VIC)</v>
      </c>
      <c r="C79" s="132" t="str">
        <v>m³</v>
      </c>
      <c r="D79" s="198">
        <v>221</v>
      </c>
      <c r="E79" s="198">
        <v>9.2083333333333336E-2</v>
      </c>
      <c r="F79" s="198">
        <v>0</v>
      </c>
      <c r="G79" s="215">
        <v>0</v>
      </c>
      <c r="H79" s="131"/>
    </row>
    <row r="80" spans="1:8" x14ac:dyDescent="0.25">
      <c r="A80" s="133"/>
      <c r="B80" s="204" t="str">
        <v>Concrete, 20 MPa, in-situ, no reinforcement, (Triple Blend) (Holcim) (VIC)</v>
      </c>
      <c r="C80" s="132" t="str">
        <v>m³</v>
      </c>
      <c r="D80" s="198">
        <v>209</v>
      </c>
      <c r="E80" s="198">
        <v>8.7083333333333332E-2</v>
      </c>
      <c r="F80" s="198">
        <v>0</v>
      </c>
      <c r="G80" s="215">
        <v>0</v>
      </c>
      <c r="H80" s="131"/>
    </row>
    <row r="81" spans="1:8" x14ac:dyDescent="0.25">
      <c r="A81" s="133"/>
      <c r="B81" s="204" t="str">
        <v>Concrete, 20 MPa, in-situ, no reinforcement, (General) (Holcim) (SA)</v>
      </c>
      <c r="C81" s="132" t="str">
        <v>m³</v>
      </c>
      <c r="D81" s="198">
        <v>265</v>
      </c>
      <c r="E81" s="198">
        <v>0.11041666666666666</v>
      </c>
      <c r="F81" s="198">
        <v>0</v>
      </c>
      <c r="G81" s="215">
        <v>0</v>
      </c>
      <c r="H81" s="131"/>
    </row>
    <row r="82" spans="1:8" x14ac:dyDescent="0.25">
      <c r="A82" s="133"/>
      <c r="B82" s="204" t="str">
        <v>Concrete,  MPa, in-situ, no reinforcement, (Fly Ash) (Holcim) (SA)</v>
      </c>
      <c r="C82" s="132" t="str">
        <v>m³</v>
      </c>
      <c r="D82" s="198">
        <v>198</v>
      </c>
      <c r="E82" s="198">
        <v>8.2500000000000004E-2</v>
      </c>
      <c r="F82" s="198">
        <v>0</v>
      </c>
      <c r="G82" s="215">
        <v>0</v>
      </c>
      <c r="H82" s="131"/>
    </row>
    <row r="83" spans="1:8" x14ac:dyDescent="0.25">
      <c r="A83" s="133"/>
      <c r="B83" s="204" t="str">
        <v>Concrete,  MPa, in-situ, no reinforcement, (GGBS Slag) (Holcim) (SA)</v>
      </c>
      <c r="C83" s="132" t="str">
        <v>m³</v>
      </c>
      <c r="D83" s="198">
        <v>200</v>
      </c>
      <c r="E83" s="198">
        <v>8.3333333333333329E-2</v>
      </c>
      <c r="F83" s="198">
        <v>0</v>
      </c>
      <c r="G83" s="215">
        <v>0</v>
      </c>
      <c r="H83" s="131"/>
    </row>
    <row r="84" spans="1:8" x14ac:dyDescent="0.25">
      <c r="A84" s="133"/>
      <c r="B84" s="204" t="str">
        <v>Concrete, 20 MPa, in-situ, no reinforcement, (General) (Holcim) (WA)</v>
      </c>
      <c r="C84" s="132" t="str">
        <v>m³</v>
      </c>
      <c r="D84" s="198">
        <v>265</v>
      </c>
      <c r="E84" s="198">
        <v>0.11041666666666666</v>
      </c>
      <c r="F84" s="198">
        <v>0</v>
      </c>
      <c r="G84" s="215">
        <v>0</v>
      </c>
      <c r="H84" s="131"/>
    </row>
    <row r="85" spans="1:8" x14ac:dyDescent="0.25">
      <c r="A85" s="133"/>
      <c r="B85" s="204" t="str">
        <v>Concrete,  MPa, in-situ, no reinforcement, (GGBS Slag) (Holcim) (WA)</v>
      </c>
      <c r="C85" s="132" t="str">
        <v>m³</v>
      </c>
      <c r="D85" s="198">
        <v>207</v>
      </c>
      <c r="E85" s="198">
        <v>8.6249999999999993E-2</v>
      </c>
      <c r="F85" s="198">
        <v>0</v>
      </c>
      <c r="G85" s="215">
        <v>0</v>
      </c>
      <c r="H85" s="131"/>
    </row>
    <row r="86" spans="1:8" x14ac:dyDescent="0.25">
      <c r="A86" s="133"/>
      <c r="B86" s="204" t="str">
        <v>Concrete, 20 MPa, in-situ, no reinforcement, (NE202E151)(Ecopact) (Holcim) (ACT)</v>
      </c>
      <c r="C86" s="132" t="str">
        <v>m³</v>
      </c>
      <c r="D86" s="198">
        <v>173.43</v>
      </c>
      <c r="E86" s="198">
        <v>7.2262500000000007E-2</v>
      </c>
      <c r="F86" s="198">
        <v>0</v>
      </c>
      <c r="G86" s="215">
        <v>0</v>
      </c>
      <c r="H86" s="131"/>
    </row>
    <row r="87" spans="1:8" x14ac:dyDescent="0.25">
      <c r="A87" s="133"/>
      <c r="B87" s="204" t="str">
        <v>Concrete, 20 MPa, in-situ, no reinforcement, (NE202E351)(Ecopact) (Holcim) (ACT)</v>
      </c>
      <c r="C87" s="132" t="str">
        <v>m³</v>
      </c>
      <c r="D87" s="198">
        <v>174.96</v>
      </c>
      <c r="E87" s="198">
        <v>7.2900000000000006E-2</v>
      </c>
      <c r="F87" s="198">
        <v>0</v>
      </c>
      <c r="G87" s="215">
        <v>0</v>
      </c>
      <c r="H87" s="131"/>
    </row>
    <row r="88" spans="1:8" x14ac:dyDescent="0.25">
      <c r="A88" s="133"/>
      <c r="B88" s="204" t="str">
        <v>Concrete, 20 MPa, in-situ, no reinforcement, (NE201E151)(Ecopact) (Holcim) (ACT)</v>
      </c>
      <c r="C88" s="132" t="str">
        <v>m³</v>
      </c>
      <c r="D88" s="198">
        <v>173.65</v>
      </c>
      <c r="E88" s="198">
        <v>7.2354166666666664E-2</v>
      </c>
      <c r="F88" s="198">
        <v>0</v>
      </c>
      <c r="G88" s="215">
        <v>0</v>
      </c>
      <c r="H88" s="131"/>
    </row>
    <row r="89" spans="1:8" x14ac:dyDescent="0.25">
      <c r="A89" s="133"/>
      <c r="B89" s="204" t="str">
        <v>Concrete, 20 MPa, in-situ, no reinforcement, (NE201E351)(Ecopact) (Holcim) (ACT)</v>
      </c>
      <c r="C89" s="132" t="str">
        <v>m³</v>
      </c>
      <c r="D89" s="198">
        <v>175.14</v>
      </c>
      <c r="E89" s="198">
        <v>7.2974999999999998E-2</v>
      </c>
      <c r="F89" s="198">
        <v>0</v>
      </c>
      <c r="G89" s="215">
        <v>0</v>
      </c>
      <c r="H89" s="131"/>
    </row>
    <row r="90" spans="1:8" x14ac:dyDescent="0.25">
      <c r="A90" s="133"/>
      <c r="B90" s="204" t="str">
        <v>Concrete, 15 MPa, in-situ, no reinforcement, (VS152BHS2) (Holcim) (VIC)</v>
      </c>
      <c r="C90" s="132" t="str">
        <v>m³</v>
      </c>
      <c r="D90" s="198">
        <v>158.51</v>
      </c>
      <c r="E90" s="198">
        <v>6.6045833333333331E-2</v>
      </c>
      <c r="F90" s="198">
        <v>0</v>
      </c>
      <c r="G90" s="215">
        <v>0</v>
      </c>
      <c r="H90" s="131"/>
    </row>
    <row r="91" spans="1:8" x14ac:dyDescent="0.25">
      <c r="A91" s="133"/>
      <c r="B91" s="204" t="str">
        <v>Concrete, 20 MPa, in-situ, no reinforcement, (VS202BHS2) (Holcim) (VIC)</v>
      </c>
      <c r="C91" s="132" t="str">
        <v>m³</v>
      </c>
      <c r="D91" s="198">
        <v>168.75</v>
      </c>
      <c r="E91" s="198">
        <v>7.03125E-2</v>
      </c>
      <c r="F91" s="198">
        <v>0</v>
      </c>
      <c r="G91" s="215">
        <v>0</v>
      </c>
      <c r="H91" s="131"/>
    </row>
    <row r="92" spans="1:8" x14ac:dyDescent="0.25">
      <c r="A92" s="133"/>
      <c r="B92" s="204" t="str">
        <v>Concrete, 20 MPa, in-situ, no reinforcement, (QE202E)(Holcim) (QLD), (North QLD)</v>
      </c>
      <c r="C92" s="132" t="str">
        <v>m³</v>
      </c>
      <c r="D92" s="198">
        <v>197.24</v>
      </c>
      <c r="E92" s="198">
        <v>8.218333333333333E-2</v>
      </c>
      <c r="F92" s="198">
        <v>0</v>
      </c>
      <c r="G92" s="215">
        <v>0</v>
      </c>
      <c r="H92" s="131"/>
    </row>
    <row r="93" spans="1:8" x14ac:dyDescent="0.25">
      <c r="A93" s="133"/>
      <c r="B93" s="204" t="str">
        <v>Concrete, 20 MPa, in-situ, no reinforcement, (QE202E1)(Holcim) (QLD), (North QLD)</v>
      </c>
      <c r="C93" s="132" t="str">
        <v>m³</v>
      </c>
      <c r="D93" s="198">
        <v>197.49</v>
      </c>
      <c r="E93" s="198">
        <v>8.22875E-2</v>
      </c>
      <c r="F93" s="198">
        <v>0</v>
      </c>
      <c r="G93" s="215">
        <v>0</v>
      </c>
      <c r="H93" s="131"/>
    </row>
    <row r="94" spans="1:8" x14ac:dyDescent="0.25">
      <c r="A94" s="133"/>
      <c r="B94" s="204" t="str">
        <v>Concrete, 20 MPa, in-situ, no reinforcement, (QE201E)(Holcim) (QLD), (North QLD)</v>
      </c>
      <c r="C94" s="132" t="str">
        <v>m³</v>
      </c>
      <c r="D94" s="198">
        <v>202.72</v>
      </c>
      <c r="E94" s="198">
        <v>8.4466666666666662E-2</v>
      </c>
      <c r="F94" s="198">
        <v>0</v>
      </c>
      <c r="G94" s="215">
        <v>0</v>
      </c>
      <c r="H94" s="131"/>
    </row>
    <row r="95" spans="1:8" x14ac:dyDescent="0.25">
      <c r="A95" s="133"/>
      <c r="B95" s="204" t="str">
        <v>Concrete, 20 MPa, in-situ, no reinforcement, (QE201E1)(Holcim) (QLD), (North QLD)</v>
      </c>
      <c r="C95" s="132" t="str">
        <v>m³</v>
      </c>
      <c r="D95" s="198">
        <v>202.99</v>
      </c>
      <c r="E95" s="198">
        <v>8.4579166666666664E-2</v>
      </c>
      <c r="F95" s="198">
        <v>0</v>
      </c>
      <c r="G95" s="215">
        <v>0</v>
      </c>
      <c r="H95" s="131"/>
    </row>
    <row r="96" spans="1:8" x14ac:dyDescent="0.25">
      <c r="A96" s="133"/>
      <c r="B96" s="204" t="str">
        <v>Concrete, 20 MPa, in-situ, no reinforcement, (QE201EBMX)(Holcim) (QLD), (North QLD)</v>
      </c>
      <c r="C96" s="132" t="str">
        <v>m³</v>
      </c>
      <c r="D96" s="198">
        <v>221.6</v>
      </c>
      <c r="E96" s="198">
        <v>9.2333333333333337E-2</v>
      </c>
      <c r="F96" s="198">
        <v>0</v>
      </c>
      <c r="G96" s="215">
        <v>0</v>
      </c>
      <c r="H96" s="131"/>
    </row>
    <row r="97" spans="1:8" x14ac:dyDescent="0.25">
      <c r="A97" s="133"/>
      <c r="B97" s="204" t="str">
        <v>Concrete, 20 MPa, in-situ, no reinforcement, (Adbri Concrete
N Class GP/GL:FA
20 MPa) (Adbri) (NSW)</v>
      </c>
      <c r="C97" s="132" t="str">
        <v>m³</v>
      </c>
      <c r="D97" s="198">
        <v>253.87</v>
      </c>
      <c r="E97" s="198">
        <v>0.10577916666666667</v>
      </c>
      <c r="F97" s="198">
        <v>0</v>
      </c>
      <c r="G97" s="215">
        <v>0</v>
      </c>
      <c r="H97" s="131"/>
    </row>
    <row r="98" spans="1:8" x14ac:dyDescent="0.25">
      <c r="A98" s="133"/>
      <c r="B98" s="204" t="str">
        <v>Concrete, 20 MPa, in-situ, no reinforcement, Pre-mix Concrete Normal Class GP/FA blend (Boral) (ACT), (Canberra) Normal Class GP/FA blend 20 MPa</v>
      </c>
      <c r="C98" s="132" t="str">
        <v>m³</v>
      </c>
      <c r="D98" s="198">
        <v>210</v>
      </c>
      <c r="E98" s="198">
        <v>8.7499999999999994E-2</v>
      </c>
      <c r="F98" s="198">
        <v>0</v>
      </c>
      <c r="G98" s="215">
        <v>0</v>
      </c>
      <c r="H98" s="131"/>
    </row>
    <row r="99" spans="1:8" x14ac:dyDescent="0.25">
      <c r="A99" s="133"/>
      <c r="B99" s="204" t="str">
        <v>Concrete, 20 MPa, in-situ, no reinforcement, Pre-mix Concrete Normal Class GP/GGBFS blend (Boral) (ACT), (Canberra) Normal Class GP/GGBFS blend 20 MPa</v>
      </c>
      <c r="C99" s="132" t="str">
        <v>m³</v>
      </c>
      <c r="D99" s="198">
        <v>194</v>
      </c>
      <c r="E99" s="198">
        <v>8.0833333333333326E-2</v>
      </c>
      <c r="F99" s="198">
        <v>0</v>
      </c>
      <c r="G99" s="215">
        <v>0</v>
      </c>
      <c r="H99" s="131"/>
    </row>
    <row r="100" spans="1:8" x14ac:dyDescent="0.25">
      <c r="A100" s="133"/>
      <c r="B100" s="204" t="str">
        <v>Concrete, 20 MPa, in-situ, no reinforcement, Pre-mix Concrete ENVIROCRETE 30% (Boral) (ACT), (Canberra) ENVIROCRETE 30% 20 MPa</v>
      </c>
      <c r="C100" s="132" t="str">
        <v>m³</v>
      </c>
      <c r="D100" s="198">
        <v>210</v>
      </c>
      <c r="E100" s="198">
        <v>8.7499999999999994E-2</v>
      </c>
      <c r="F100" s="198">
        <v>0</v>
      </c>
      <c r="G100" s="215">
        <v>0</v>
      </c>
      <c r="H100" s="131"/>
    </row>
    <row r="101" spans="1:8" x14ac:dyDescent="0.25">
      <c r="A101" s="133"/>
      <c r="B101" s="204" t="str">
        <v>Concrete, 20 MPa, in-situ, no reinforcement, Pre-mix Concrete ENVIROCRETE 40% (Boral) (ACT), (Canberra) ENVIROCRETE 40% 20 MPa</v>
      </c>
      <c r="C101" s="132" t="str">
        <v>m³</v>
      </c>
      <c r="D101" s="198">
        <v>193</v>
      </c>
      <c r="E101" s="198">
        <v>8.0416666666666664E-2</v>
      </c>
      <c r="F101" s="198">
        <v>0</v>
      </c>
      <c r="G101" s="215">
        <v>0</v>
      </c>
      <c r="H101" s="131"/>
    </row>
    <row r="102" spans="1:8" x14ac:dyDescent="0.25">
      <c r="A102" s="133"/>
      <c r="B102" s="204" t="str">
        <v>Concrete, 20 MPa, in-situ, no reinforcement, Pre-mix Concrete ENVIROCRETE PLUS (Boral) (ACT), (Canberra) ENVIROCRETE PLUS 20MPa</v>
      </c>
      <c r="C102" s="132" t="str">
        <v>m³</v>
      </c>
      <c r="D102" s="198">
        <v>186</v>
      </c>
      <c r="E102" s="198">
        <v>7.7499999999999999E-2</v>
      </c>
      <c r="F102" s="198">
        <v>0</v>
      </c>
      <c r="G102" s="215">
        <v>0</v>
      </c>
      <c r="H102" s="131"/>
    </row>
    <row r="103" spans="1:8" x14ac:dyDescent="0.25">
      <c r="A103" s="133"/>
      <c r="B103" s="204" t="str">
        <v>Concrete, 20 MPa, in-situ, no reinforcement, Pre-mix Concrete ENVISIA (Boral) (ACT), (Canberra) ENVISIA 20MPa</v>
      </c>
      <c r="C103" s="132" t="str">
        <v>m³</v>
      </c>
      <c r="D103" s="198">
        <v>177</v>
      </c>
      <c r="E103" s="198">
        <v>7.3749999999999996E-2</v>
      </c>
      <c r="F103" s="198">
        <v>0</v>
      </c>
      <c r="G103" s="215">
        <v>0</v>
      </c>
      <c r="H103" s="131"/>
    </row>
    <row r="104" spans="1:8" x14ac:dyDescent="0.25">
      <c r="A104" s="133"/>
      <c r="B104" s="204" t="str">
        <v>Concrete, 20 MPa, in-situ, no reinforcement, Pre-mix Concrete Normal Class GP blend (Boral) (ACT), (Canberra) Normal Class GP blend 20MPa</v>
      </c>
      <c r="C104" s="132" t="str">
        <v>m³</v>
      </c>
      <c r="D104" s="198">
        <v>270</v>
      </c>
      <c r="E104" s="198">
        <v>0.1125</v>
      </c>
      <c r="F104" s="198">
        <v>0</v>
      </c>
      <c r="G104" s="215">
        <v>0</v>
      </c>
      <c r="H104" s="131"/>
    </row>
    <row r="105" spans="1:8" x14ac:dyDescent="0.25">
      <c r="A105" s="133"/>
      <c r="B105" s="204" t="str">
        <v>Concrete, 20 MPa, in-situ, no reinforcement, Pre-mix Concrete Normal Class GP/FA blend (Boral) (NSW), (Newcastle) Normal Class GP/FA blend 20 MPa</v>
      </c>
      <c r="C105" s="132" t="str">
        <v>m³</v>
      </c>
      <c r="D105" s="198">
        <v>199</v>
      </c>
      <c r="E105" s="198">
        <v>8.2916666666666666E-2</v>
      </c>
      <c r="F105" s="198">
        <v>0</v>
      </c>
      <c r="G105" s="215">
        <v>0</v>
      </c>
      <c r="H105" s="131"/>
    </row>
    <row r="106" spans="1:8" x14ac:dyDescent="0.25">
      <c r="A106" s="133"/>
      <c r="B106" s="204" t="str">
        <v>Concrete, 20 MPa, in-situ, no reinforcement, Pre-mix Concrete ENVIROCRETE 30% 20 MPa (Boral) (NSW), (Newcastle) ENVIROCRETE 30% 20 MPa</v>
      </c>
      <c r="C106" s="132" t="str">
        <v>m³</v>
      </c>
      <c r="D106" s="198">
        <v>199</v>
      </c>
      <c r="E106" s="198">
        <v>8.2916666666666666E-2</v>
      </c>
      <c r="F106" s="198">
        <v>0</v>
      </c>
      <c r="G106" s="215">
        <v>0</v>
      </c>
      <c r="H106" s="131"/>
    </row>
    <row r="107" spans="1:8" x14ac:dyDescent="0.25">
      <c r="A107" s="133"/>
      <c r="B107" s="204" t="str">
        <v>Concrete, 20 MPa, in-situ, no reinforcement, Pre-mix Concrete Normal Class GP/GGBFS blend (Boral) (NSW), (Newcastle) Normal Class GP/GGBFS blend 20 MPa</v>
      </c>
      <c r="C107" s="132" t="str">
        <v>m³</v>
      </c>
      <c r="D107" s="198">
        <v>188</v>
      </c>
      <c r="E107" s="198">
        <v>7.8333333333333338E-2</v>
      </c>
      <c r="F107" s="198">
        <v>0</v>
      </c>
      <c r="G107" s="215">
        <v>0</v>
      </c>
      <c r="H107" s="131"/>
    </row>
    <row r="108" spans="1:8" x14ac:dyDescent="0.25">
      <c r="A108" s="133"/>
      <c r="B108" s="204" t="str">
        <v>Concrete, 20 MPa, in-situ, no reinforcement, Pre-mix Concrete ENVIROCRETE 40% (Boral) (NSW), (Newcastle) ENVIROCRETE 40% 20 MPa</v>
      </c>
      <c r="C108" s="132" t="str">
        <v>m³</v>
      </c>
      <c r="D108" s="198">
        <v>183</v>
      </c>
      <c r="E108" s="198">
        <v>7.6249999999999998E-2</v>
      </c>
      <c r="F108" s="198">
        <v>0</v>
      </c>
      <c r="G108" s="215">
        <v>0</v>
      </c>
      <c r="H108" s="131"/>
    </row>
    <row r="109" spans="1:8" x14ac:dyDescent="0.25">
      <c r="A109" s="133"/>
      <c r="B109" s="204" t="str">
        <v>Concrete, 20 MPa, in-situ, no reinforcement, Pre-mix Concrete ENVIROCRETE PLUS (Boral) (NSW), (Newcastle) ENVIROCRETE PLUS 20MPa</v>
      </c>
      <c r="C109" s="132" t="str">
        <v>m³</v>
      </c>
      <c r="D109" s="198">
        <v>179</v>
      </c>
      <c r="E109" s="198">
        <v>7.4583333333333335E-2</v>
      </c>
      <c r="F109" s="198">
        <v>0</v>
      </c>
      <c r="G109" s="215">
        <v>0</v>
      </c>
      <c r="H109" s="131"/>
    </row>
    <row r="110" spans="1:8" x14ac:dyDescent="0.25">
      <c r="A110" s="133"/>
      <c r="B110" s="204" t="str">
        <v>Concrete, 20 MPa, in-situ, no reinforcement, Pre-mix Concrete ENVISIA (Boral) (NSW), (Newcastle) ENVISIA 20MPa</v>
      </c>
      <c r="C110" s="132" t="str">
        <v>m³</v>
      </c>
      <c r="D110" s="198">
        <v>176</v>
      </c>
      <c r="E110" s="198">
        <v>7.3333333333333334E-2</v>
      </c>
      <c r="F110" s="198">
        <v>0</v>
      </c>
      <c r="G110" s="215">
        <v>0</v>
      </c>
      <c r="H110" s="131"/>
    </row>
    <row r="111" spans="1:8" x14ac:dyDescent="0.25">
      <c r="A111" s="133"/>
      <c r="B111" s="204" t="str">
        <v>Concrete, 20 MPa, in-situ, no reinforcement, Pre-mix Concrete Normal Class GP blend (Boral) (NSW), (Newcastle) Normal Class GP blend 20MPa</v>
      </c>
      <c r="C111" s="132" t="str">
        <v>m³</v>
      </c>
      <c r="D111" s="198">
        <v>263</v>
      </c>
      <c r="E111" s="198">
        <v>0.10958333333333334</v>
      </c>
      <c r="F111" s="198">
        <v>0</v>
      </c>
      <c r="G111" s="215">
        <v>0</v>
      </c>
      <c r="H111" s="131"/>
    </row>
    <row r="112" spans="1:8" x14ac:dyDescent="0.25">
      <c r="A112" s="133"/>
      <c r="B112" s="204" t="str">
        <v>Concrete, 20 MPa, in-situ, no reinforcement, Pre-mix Concrete Normal Class GP/FA blend (Boral) (NSW), (Sydney) Normal Class GP/FA blend 20 MPa</v>
      </c>
      <c r="C112" s="132" t="str">
        <v>m³</v>
      </c>
      <c r="D112" s="198">
        <v>209</v>
      </c>
      <c r="E112" s="198">
        <v>8.7083333333333332E-2</v>
      </c>
      <c r="F112" s="198">
        <v>0</v>
      </c>
      <c r="G112" s="215">
        <v>0</v>
      </c>
      <c r="H112" s="131"/>
    </row>
    <row r="113" spans="1:8" x14ac:dyDescent="0.25">
      <c r="A113" s="133"/>
      <c r="B113" s="204" t="str">
        <v>Concrete, 20 MPa, in-situ, no reinforcement, Pre-mix Concrete Normal Class GP/GGBFS blend (Boral) (NSW), (Sydney) Normal Class GP/GGBFS blend 20 MPa</v>
      </c>
      <c r="C113" s="132" t="str">
        <v>m³</v>
      </c>
      <c r="D113" s="198">
        <v>192</v>
      </c>
      <c r="E113" s="198">
        <v>0.08</v>
      </c>
      <c r="F113" s="198">
        <v>0</v>
      </c>
      <c r="G113" s="215">
        <v>0</v>
      </c>
      <c r="H113" s="131"/>
    </row>
    <row r="114" spans="1:8" x14ac:dyDescent="0.25">
      <c r="A114" s="133"/>
      <c r="B114" s="204" t="str">
        <v>Concrete, 20 MPa, in-situ, no reinforcement, Pre-mix Concrete Normal Class GP/GGBFS/FA blend (Boral) (NSW), (Sydney) Normal Class GP/GGBFS/FA blend 20 MPa</v>
      </c>
      <c r="C114" s="132" t="str">
        <v>m³</v>
      </c>
      <c r="D114" s="198">
        <v>159</v>
      </c>
      <c r="E114" s="198">
        <v>6.6250000000000003E-2</v>
      </c>
      <c r="F114" s="198">
        <v>0</v>
      </c>
      <c r="G114" s="215">
        <v>0</v>
      </c>
      <c r="H114" s="131"/>
    </row>
    <row r="115" spans="1:8" x14ac:dyDescent="0.25">
      <c r="A115" s="133"/>
      <c r="B115" s="204" t="str">
        <v>Concrete, 20 MPa, in-situ, no reinforcement, Pre-mix Concrete ENVIROCRETE 30% (Boral) (NSW), (Sydney) ENVIROCRETE 30% 20 MPa</v>
      </c>
      <c r="C115" s="132" t="str">
        <v>m³</v>
      </c>
      <c r="D115" s="198">
        <v>209</v>
      </c>
      <c r="E115" s="198">
        <v>8.7083333333333332E-2</v>
      </c>
      <c r="F115" s="198">
        <v>0</v>
      </c>
      <c r="G115" s="215">
        <v>0</v>
      </c>
      <c r="H115" s="131"/>
    </row>
    <row r="116" spans="1:8" x14ac:dyDescent="0.25">
      <c r="A116" s="133"/>
      <c r="B116" s="204" t="str">
        <v>Concrete, 20 MPa, in-situ, no reinforcement, Pre-mix Concrete ENVIROCRETE 40% (Boral) (NSW), (Sydney) ENVIROCRETE 40% 20 MPa</v>
      </c>
      <c r="C116" s="132" t="str">
        <v>m³</v>
      </c>
      <c r="D116" s="198">
        <v>191</v>
      </c>
      <c r="E116" s="198">
        <v>7.9583333333333339E-2</v>
      </c>
      <c r="F116" s="198">
        <v>0</v>
      </c>
      <c r="G116" s="215">
        <v>0</v>
      </c>
      <c r="H116" s="131"/>
    </row>
    <row r="117" spans="1:8" x14ac:dyDescent="0.25">
      <c r="A117" s="133"/>
      <c r="B117" s="204" t="str">
        <v>Concrete, 20 MPa, in-situ, no reinforcement, Pre-mix Concrete ENVIROCRETE PLUS (Boral) (NSW), (Sydney) ENVIROCRETE PLUS 20MPa</v>
      </c>
      <c r="C117" s="132" t="str">
        <v>m³</v>
      </c>
      <c r="D117" s="198">
        <v>186</v>
      </c>
      <c r="E117" s="198">
        <v>7.7499999999999999E-2</v>
      </c>
      <c r="F117" s="198">
        <v>0</v>
      </c>
      <c r="G117" s="215">
        <v>0</v>
      </c>
      <c r="H117" s="131"/>
    </row>
    <row r="118" spans="1:8" x14ac:dyDescent="0.25">
      <c r="A118" s="133"/>
      <c r="B118" s="204" t="str">
        <v>Concrete, 20 MPa, in-situ, no reinforcement, Pre-mix Concrete ENVISIA (Boral) (NSW), (Sydney) ENVISIA 20MPa</v>
      </c>
      <c r="C118" s="132" t="str">
        <v>m³</v>
      </c>
      <c r="D118" s="198">
        <v>176</v>
      </c>
      <c r="E118" s="198">
        <v>7.3333333333333334E-2</v>
      </c>
      <c r="F118" s="198">
        <v>0</v>
      </c>
      <c r="G118" s="215">
        <v>0</v>
      </c>
      <c r="H118" s="131"/>
    </row>
    <row r="119" spans="1:8" x14ac:dyDescent="0.25">
      <c r="A119" s="133"/>
      <c r="B119" s="204" t="str">
        <v>Concrete, 20 MPa, in-situ, no reinforcement, Pre-mix Concrete Normal Class GP blend (Boral) (NSW), (Sydney) Normal Class GP blend 20MPa</v>
      </c>
      <c r="C119" s="132" t="str">
        <v>m³</v>
      </c>
      <c r="D119" s="198">
        <v>271</v>
      </c>
      <c r="E119" s="198">
        <v>0.11291666666666667</v>
      </c>
      <c r="F119" s="198">
        <v>0</v>
      </c>
      <c r="G119" s="215">
        <v>0</v>
      </c>
      <c r="H119" s="131"/>
    </row>
    <row r="120" spans="1:8" x14ac:dyDescent="0.25">
      <c r="A120" s="133"/>
      <c r="B120" s="204" t="str">
        <v>Concrete, 20 MPa, in-situ, no reinforcement, Pre-mix Concrete Normal Class GP/FA blend (Boral) (NSW), (Wollongong) Normal Class GP/FA blend 20 MPa</v>
      </c>
      <c r="C120" s="132" t="str">
        <v>m³</v>
      </c>
      <c r="D120" s="198">
        <v>205</v>
      </c>
      <c r="E120" s="198">
        <v>8.5416666666666669E-2</v>
      </c>
      <c r="F120" s="198">
        <v>0</v>
      </c>
      <c r="G120" s="215">
        <v>0</v>
      </c>
      <c r="H120" s="131"/>
    </row>
    <row r="121" spans="1:8" x14ac:dyDescent="0.25">
      <c r="A121" s="133"/>
      <c r="B121" s="204" t="str">
        <v>Concrete, 20 MPa, in-situ, no reinforcement, Pre-mix Concrete Normal Class GP/GGBFS blend (Boral) (NSW), (Wollongong) Normal Class GP/GGBFS blend 20 MPa</v>
      </c>
      <c r="C121" s="132" t="str">
        <v>m³</v>
      </c>
      <c r="D121" s="198">
        <v>188</v>
      </c>
      <c r="E121" s="198">
        <v>7.8333333333333338E-2</v>
      </c>
      <c r="F121" s="198">
        <v>0</v>
      </c>
      <c r="G121" s="215">
        <v>0</v>
      </c>
      <c r="H121" s="131"/>
    </row>
    <row r="122" spans="1:8" x14ac:dyDescent="0.25">
      <c r="A122" s="133"/>
      <c r="B122" s="204" t="str">
        <v>Concrete, 20 MPa, in-situ, no reinforcement, Pre-mix Concrete Normal Class GP/GGBFS/FA blend (Boral) (NSW), (Wollongong) Normal Class GP/GGBFS/FA blend 20 MPa</v>
      </c>
      <c r="C122" s="132" t="str">
        <v>m³</v>
      </c>
      <c r="D122" s="198">
        <v>148</v>
      </c>
      <c r="E122" s="198">
        <v>6.1666666666666668E-2</v>
      </c>
      <c r="F122" s="198">
        <v>0</v>
      </c>
      <c r="G122" s="215">
        <v>0</v>
      </c>
      <c r="H122" s="131"/>
    </row>
    <row r="123" spans="1:8" x14ac:dyDescent="0.25">
      <c r="A123" s="133"/>
      <c r="B123" s="204" t="str">
        <v>Concrete, 20 MPa, in-situ, no reinforcement, Pre-mix Concrete ENVIROCRETE 30% (Boral) (NSW), (Wollongong) ENVIROCRETE 30% 20 MPa</v>
      </c>
      <c r="C123" s="132" t="str">
        <v>m³</v>
      </c>
      <c r="D123" s="198">
        <v>205</v>
      </c>
      <c r="E123" s="198">
        <v>8.5416666666666669E-2</v>
      </c>
      <c r="F123" s="198">
        <v>0</v>
      </c>
      <c r="G123" s="215">
        <v>0</v>
      </c>
      <c r="H123" s="131"/>
    </row>
    <row r="124" spans="1:8" x14ac:dyDescent="0.25">
      <c r="A124" s="133"/>
      <c r="B124" s="204" t="str">
        <v>Concrete, 20 MPa, in-situ, no reinforcement, Pre-mix Concrete ENVIROCRETE 40% (Boral) (NSW), (Wollongong) ENVIROCRETE 40% 20 MPa</v>
      </c>
      <c r="C124" s="132" t="str">
        <v>m³</v>
      </c>
      <c r="D124" s="198">
        <v>186</v>
      </c>
      <c r="E124" s="198">
        <v>7.7499999999999999E-2</v>
      </c>
      <c r="F124" s="198">
        <v>0</v>
      </c>
      <c r="G124" s="215">
        <v>0</v>
      </c>
      <c r="H124" s="131"/>
    </row>
    <row r="125" spans="1:8" x14ac:dyDescent="0.25">
      <c r="A125" s="133"/>
      <c r="B125" s="204" t="str">
        <v>Concrete, 20 MPa, in-situ, no reinforcement, Pre-mix Concrete ENVIROCRETE PLUS (Boral) (NSW), (Wollongong) ENVIROCRETE PLUS 20MPa</v>
      </c>
      <c r="C125" s="132" t="str">
        <v>m³</v>
      </c>
      <c r="D125" s="198">
        <v>181</v>
      </c>
      <c r="E125" s="198">
        <v>7.5416666666666674E-2</v>
      </c>
      <c r="F125" s="198">
        <v>0</v>
      </c>
      <c r="G125" s="215">
        <v>0</v>
      </c>
      <c r="H125" s="131"/>
    </row>
    <row r="126" spans="1:8" x14ac:dyDescent="0.25">
      <c r="A126" s="133"/>
      <c r="B126" s="204" t="str">
        <v>Concrete, 20 MPa, in-situ, no reinforcement, Pre-mix Concrete ENVISIA (Boral) (NSW), (Wollongong) ENVISIA 20MPa</v>
      </c>
      <c r="C126" s="132" t="str">
        <v>m³</v>
      </c>
      <c r="D126" s="198">
        <v>173</v>
      </c>
      <c r="E126" s="198">
        <v>7.2083333333333333E-2</v>
      </c>
      <c r="F126" s="198">
        <v>0</v>
      </c>
      <c r="G126" s="215">
        <v>0</v>
      </c>
      <c r="H126" s="131"/>
    </row>
    <row r="127" spans="1:8" x14ac:dyDescent="0.25">
      <c r="A127" s="133"/>
      <c r="B127" s="204" t="str">
        <v>Concrete, 20 MPa, in-situ, no reinforcement, Pre-mix Concrete Normal Class GP blend (Boral) (NSW), (Wollongong) Normal Class GP blend 20MPa</v>
      </c>
      <c r="C127" s="132" t="str">
        <v>m³</v>
      </c>
      <c r="D127" s="198">
        <v>268</v>
      </c>
      <c r="E127" s="198">
        <v>0.11166666666666666</v>
      </c>
      <c r="F127" s="198">
        <v>0</v>
      </c>
      <c r="G127" s="215">
        <v>0</v>
      </c>
      <c r="H127" s="131"/>
    </row>
    <row r="128" spans="1:8" x14ac:dyDescent="0.25">
      <c r="A128" s="133"/>
      <c r="B128" s="204" t="str">
        <v>Concrete, 20 MPa, in-situ, no reinforcement, Pre-mix Concrete Normal Class GP blend (Boral) (TAS), (Hobart) Normal Class GP blend 20MPa</v>
      </c>
      <c r="C128" s="132" t="str">
        <v>m³</v>
      </c>
      <c r="D128" s="198">
        <v>265</v>
      </c>
      <c r="E128" s="198">
        <v>0.11041666666666666</v>
      </c>
      <c r="F128" s="198">
        <v>0</v>
      </c>
      <c r="G128" s="215">
        <v>0</v>
      </c>
      <c r="H128" s="131"/>
    </row>
    <row r="129" spans="1:8" x14ac:dyDescent="0.25">
      <c r="A129" s="133"/>
      <c r="B129" s="204" t="str">
        <v>Concrete, 20 MPa, in-situ, no reinforcement, Pre-mix Concrete Normal Class GP blend (Boral) (TAS), (Launceston) Normal Class GP blend 20MPa</v>
      </c>
      <c r="C129" s="132" t="str">
        <v>m³</v>
      </c>
      <c r="D129" s="198">
        <v>265</v>
      </c>
      <c r="E129" s="198">
        <v>0.11041666666666666</v>
      </c>
      <c r="F129" s="198">
        <v>0</v>
      </c>
      <c r="G129" s="215">
        <v>0</v>
      </c>
      <c r="H129" s="131"/>
    </row>
    <row r="130" spans="1:8" x14ac:dyDescent="0.25">
      <c r="A130" s="133"/>
      <c r="B130" s="204" t="str">
        <v>Concrete, 20 MPa, in-situ, no reinforcement, GP, Normal Class (WA Premix) (WA), (Perth)</v>
      </c>
      <c r="C130" s="132" t="str">
        <v>m³</v>
      </c>
      <c r="D130" s="198">
        <v>298</v>
      </c>
      <c r="E130" s="198">
        <v>0.12416666666666666</v>
      </c>
      <c r="F130" s="198">
        <v>0</v>
      </c>
      <c r="G130" s="215">
        <v>0</v>
      </c>
      <c r="H130" s="131"/>
    </row>
    <row r="131" spans="1:8" x14ac:dyDescent="0.25">
      <c r="A131" s="133"/>
      <c r="B131" s="204" t="str">
        <v>Concrete, 20 MPa, in-situ, no reinforcement, Ready-Mix Concrete (LC)50 (Concrite) (NSW) (Sydney Region, NSW)</v>
      </c>
      <c r="C131" s="132" t="str">
        <v>m³</v>
      </c>
      <c r="D131" s="198">
        <v>149</v>
      </c>
      <c r="E131" s="198">
        <v>6.2083333333333331E-2</v>
      </c>
      <c r="F131" s="198">
        <v>0</v>
      </c>
      <c r="G131" s="215">
        <v>0</v>
      </c>
      <c r="H131" s="131"/>
    </row>
    <row r="132" spans="1:8" x14ac:dyDescent="0.25">
      <c r="A132" s="133"/>
      <c r="B132" s="204" t="str">
        <v>Concrete, 20 MPa, in-situ, no reinforcement, Ready-Mix Concrete (LC)40 (Concrite) (NSW) (Sydney Region, NSW)</v>
      </c>
      <c r="C132" s="132" t="str">
        <v>m³</v>
      </c>
      <c r="D132" s="198">
        <v>171</v>
      </c>
      <c r="E132" s="198">
        <v>7.1249999999999994E-2</v>
      </c>
      <c r="F132" s="198">
        <v>0</v>
      </c>
      <c r="G132" s="215">
        <v>0</v>
      </c>
      <c r="H132" s="131"/>
    </row>
    <row r="133" spans="1:8" x14ac:dyDescent="0.25">
      <c r="A133" s="133"/>
      <c r="B133" s="204" t="str">
        <v>Concrete, 20 MPa, in-situ, no reinforcement, Ready-Mix Concrete (LC)30 (Concrite) (NSW) (Sydney Region, NSW)</v>
      </c>
      <c r="C133" s="132" t="str">
        <v>m³</v>
      </c>
      <c r="D133" s="198">
        <v>213</v>
      </c>
      <c r="E133" s="198">
        <v>8.8749999999999996E-2</v>
      </c>
      <c r="F133" s="198">
        <v>0</v>
      </c>
      <c r="G133" s="215">
        <v>0</v>
      </c>
      <c r="H133" s="131"/>
    </row>
    <row r="134" spans="1:8" x14ac:dyDescent="0.25">
      <c r="A134" s="133"/>
      <c r="B134" s="204" t="str">
        <v>Concrete, 20 MPa, in-situ, no reinforcement, Ready-Mix Concrete (LCHP) (Concrite) (NSW) (Sydney Region, NSW)</v>
      </c>
      <c r="C134" s="132" t="str">
        <v>m³</v>
      </c>
      <c r="D134" s="198">
        <v>185</v>
      </c>
      <c r="E134" s="198">
        <v>7.7083333333333337E-2</v>
      </c>
      <c r="F134" s="198">
        <v>0</v>
      </c>
      <c r="G134" s="215">
        <v>0</v>
      </c>
      <c r="H134" s="131"/>
    </row>
    <row r="135" spans="1:8" x14ac:dyDescent="0.25">
      <c r="A135" s="133"/>
      <c r="B135" s="204" t="str">
        <v>Concrete, 20 MPa, in-situ, no reinforcement, Ready-Mix Concrete (LCP) (Concrite) (NSW) (Sydney Region, NSW)</v>
      </c>
      <c r="C135" s="132" t="str">
        <v>m³</v>
      </c>
      <c r="D135" s="198">
        <v>194</v>
      </c>
      <c r="E135" s="198">
        <v>8.0833333333333326E-2</v>
      </c>
      <c r="F135" s="198">
        <v>0</v>
      </c>
      <c r="G135" s="215">
        <v>0</v>
      </c>
      <c r="H135" s="131"/>
    </row>
    <row r="136" spans="1:8" x14ac:dyDescent="0.25">
      <c r="A136" s="133"/>
      <c r="B136" s="204" t="str">
        <v>Concrete, 20 MPa, in-situ, no reinforcement, Ready-Mix Concrete Normal class GP blend (Concrite) (NSW) (Sydney Region, NSW)</v>
      </c>
      <c r="C136" s="132" t="str">
        <v>m³</v>
      </c>
      <c r="D136" s="198">
        <v>249</v>
      </c>
      <c r="E136" s="198">
        <v>0.10375</v>
      </c>
      <c r="F136" s="198">
        <v>0</v>
      </c>
      <c r="G136" s="215">
        <v>0</v>
      </c>
      <c r="H136" s="131"/>
    </row>
    <row r="137" spans="1:8" x14ac:dyDescent="0.25">
      <c r="A137" s="133"/>
      <c r="B137" s="204" t="str">
        <v>Concrete, 20 MPa, in-situ, no reinforcement, Ready-Mix Concrete SLAG AGG CONCRETE MIX, (LC)50 (Concrite) (NSW) (Sydney Region, NSW)</v>
      </c>
      <c r="C137" s="132" t="str">
        <v>m³</v>
      </c>
      <c r="D137" s="198">
        <v>158</v>
      </c>
      <c r="E137" s="198">
        <v>6.5833333333333327E-2</v>
      </c>
      <c r="F137" s="198">
        <v>0</v>
      </c>
      <c r="G137" s="215">
        <v>0</v>
      </c>
      <c r="H137" s="131"/>
    </row>
    <row r="138" spans="1:8" x14ac:dyDescent="0.25">
      <c r="A138" s="133"/>
      <c r="B138" s="204" t="str">
        <v>Concrete, 20 MPa, in-situ, no reinforcement, Ready-Mix Concrete SLAG AGG CONCRETE MIX, (LC)40 (Concrite) (NSW) (Sydney Region, NSW)</v>
      </c>
      <c r="C138" s="132" t="str">
        <v>m³</v>
      </c>
      <c r="D138" s="198">
        <v>182</v>
      </c>
      <c r="E138" s="198">
        <v>7.5833333333333336E-2</v>
      </c>
      <c r="F138" s="198">
        <v>0</v>
      </c>
      <c r="G138" s="215">
        <v>0</v>
      </c>
      <c r="H138" s="131"/>
    </row>
    <row r="139" spans="1:8" x14ac:dyDescent="0.25">
      <c r="A139" s="133"/>
      <c r="B139" s="204" t="str">
        <v>Concrete, 20 MPa, in-situ, no reinforcement, Ready-Mix Concrete SLAG AGG CONCRETE MIX, (LC)30 (Concrite) (NSW) (Sydney Region, NSW)</v>
      </c>
      <c r="C139" s="132" t="str">
        <v>m³</v>
      </c>
      <c r="D139" s="198">
        <v>201</v>
      </c>
      <c r="E139" s="198">
        <v>8.3750000000000005E-2</v>
      </c>
      <c r="F139" s="198">
        <v>0</v>
      </c>
      <c r="G139" s="215">
        <v>0</v>
      </c>
      <c r="H139" s="131"/>
    </row>
    <row r="140" spans="1:8" x14ac:dyDescent="0.25">
      <c r="A140" s="133"/>
      <c r="B140" s="204" t="str">
        <v>Concrete, 20 MPa, in-situ, no reinforcement, Ready-Mix Concrete (LC)30 20MPa (Concrite) (NSW) (Southern Highlands, NSW)</v>
      </c>
      <c r="C140" s="132" t="str">
        <v>m³</v>
      </c>
      <c r="D140" s="198">
        <v>211</v>
      </c>
      <c r="E140" s="198">
        <v>8.7916666666666671E-2</v>
      </c>
      <c r="F140" s="198">
        <v>0</v>
      </c>
      <c r="G140" s="215">
        <v>0</v>
      </c>
      <c r="H140" s="131"/>
    </row>
    <row r="141" spans="1:8" x14ac:dyDescent="0.25">
      <c r="A141" s="133"/>
      <c r="B141" s="204" t="str">
        <v>Concrete, 20 MPa, in-situ, no reinforcement, Ready-Mix Concrete NORMAL CLASS GP BLEND (Concrite) (NSW) (Southern Highlands, NSW)</v>
      </c>
      <c r="C141" s="132" t="str">
        <v>m³</v>
      </c>
      <c r="D141" s="198">
        <v>251</v>
      </c>
      <c r="E141" s="198">
        <v>0.10458333333333333</v>
      </c>
      <c r="F141" s="198">
        <v>0</v>
      </c>
      <c r="G141" s="215">
        <v>0</v>
      </c>
      <c r="H141" s="131"/>
    </row>
    <row r="142" spans="1:8" x14ac:dyDescent="0.25">
      <c r="A142" s="133"/>
      <c r="B142" s="204" t="str">
        <v>Concrete, 20 MPa, in-situ, no reinforcement, Ready-Mix Concrete LC30 20MPa (Concrite) (ACT) (Canberra, ACT)</v>
      </c>
      <c r="C142" s="132" t="str">
        <v>m³</v>
      </c>
      <c r="D142" s="198">
        <v>222</v>
      </c>
      <c r="E142" s="198">
        <v>9.2499999999999999E-2</v>
      </c>
      <c r="F142" s="198">
        <v>0</v>
      </c>
      <c r="G142" s="215">
        <v>0</v>
      </c>
      <c r="H142" s="131"/>
    </row>
    <row r="143" spans="1:8" x14ac:dyDescent="0.25">
      <c r="A143" s="133"/>
      <c r="B143" s="204" t="str">
        <v>Concrete, 20 MPa, in-situ, no reinforcement, Ready-Mix Concrete NORMAL CLASS GP BLEND (Concrite) (ACT) (Canberra, ACT)</v>
      </c>
      <c r="C143" s="132" t="str">
        <v>m³</v>
      </c>
      <c r="D143" s="198">
        <v>271</v>
      </c>
      <c r="E143" s="198">
        <v>0.11291666666666667</v>
      </c>
      <c r="F143" s="198">
        <v>0</v>
      </c>
      <c r="G143" s="215">
        <v>0</v>
      </c>
      <c r="H143" s="131"/>
    </row>
    <row r="144" spans="1:8" x14ac:dyDescent="0.25">
      <c r="A144" s="133"/>
      <c r="B144" s="204" t="str">
        <v>Concrete, 15 MPa, in-situ, no reinforcement, (Futurecrete®
Ultra S15MPA
BLOCKFILL 10MM
230MM SLUMP) (Adbri) (NSW)</v>
      </c>
      <c r="C144" s="132" t="str">
        <v>m³</v>
      </c>
      <c r="D144" s="198">
        <v>183.54939999999999</v>
      </c>
      <c r="E144" s="198">
        <v>7.6478916666666674E-2</v>
      </c>
      <c r="F144" s="198">
        <v>0</v>
      </c>
      <c r="G144" s="215">
        <v>0</v>
      </c>
      <c r="H144" s="131"/>
    </row>
    <row r="145" spans="1:8" x14ac:dyDescent="0.25">
      <c r="A145" s="133"/>
      <c r="B145" s="204" t="str">
        <v>Concrete, 20 MPa, in-situ, no reinforcement, (Futurecrete®  Ultra N Class GP/ GL:Slag 20 MPa) (Adbri) (NSW)</v>
      </c>
      <c r="C145" s="132" t="str">
        <v>m³</v>
      </c>
      <c r="D145" s="198">
        <v>205.19619999999998</v>
      </c>
      <c r="E145" s="198">
        <v>8.549841666666666E-2</v>
      </c>
      <c r="F145" s="198">
        <v>0</v>
      </c>
      <c r="G145" s="215">
        <v>0</v>
      </c>
      <c r="H145" s="131"/>
    </row>
    <row r="146" spans="1:8" x14ac:dyDescent="0.25">
      <c r="A146" s="133"/>
      <c r="B146" s="204" t="str">
        <v>Concrete, 20 MPa, in-situ, no reinforcement, (Futurecrete®  Ultra
S20MPA DINCEL
10MM) (Adbri) (NSW)</v>
      </c>
      <c r="C146" s="132" t="str">
        <v>m³</v>
      </c>
      <c r="D146" s="198">
        <v>216.70490000000001</v>
      </c>
      <c r="E146" s="198">
        <v>9.029370833333332E-2</v>
      </c>
      <c r="F146" s="198">
        <v>0</v>
      </c>
      <c r="G146" s="215">
        <v>0</v>
      </c>
      <c r="H146" s="131"/>
    </row>
    <row r="147" spans="1:8" x14ac:dyDescent="0.25">
      <c r="A147" s="133"/>
      <c r="B147" s="204" t="str">
        <v>Concrete, 20 MPa, in-situ, no reinforcement, (Futurecrete®
Ultra S20MPA
BLOCKFILL 10MM
230MM SLUMP) (Adbri) (NSW)</v>
      </c>
      <c r="C147" s="132" t="str">
        <v>m³</v>
      </c>
      <c r="D147" s="198">
        <v>216.6532</v>
      </c>
      <c r="E147" s="198">
        <v>9.0272166666666667E-2</v>
      </c>
      <c r="F147" s="198">
        <v>0</v>
      </c>
      <c r="G147" s="215">
        <v>0</v>
      </c>
      <c r="H147" s="131"/>
    </row>
    <row r="148" spans="1:8" x14ac:dyDescent="0.25">
      <c r="A148" s="133"/>
      <c r="B148" s="204" t="str">
        <v>Concrete, 20 MPa, in-situ, no reinforcement, (Adbri N Class
GP/GL 20 MPa) (Adbri) (SA)</v>
      </c>
      <c r="C148" s="132" t="str">
        <v>m³</v>
      </c>
      <c r="D148" s="198">
        <v>199.91</v>
      </c>
      <c r="E148" s="198">
        <v>8.3295833333333333E-2</v>
      </c>
      <c r="F148" s="198">
        <v>0</v>
      </c>
      <c r="G148" s="215">
        <v>0</v>
      </c>
      <c r="H148" s="131"/>
    </row>
    <row r="149" spans="1:8" x14ac:dyDescent="0.25">
      <c r="A149" s="133"/>
      <c r="B149" s="204" t="str">
        <v>Concrete, 20 MPa, in-situ, no reinforcement, (Futurecrete®  N
Class GP/GL:FA
20 MPa) (Adbri) (SA)</v>
      </c>
      <c r="C149" s="132" t="str">
        <v>m³</v>
      </c>
      <c r="D149" s="198">
        <v>162.69</v>
      </c>
      <c r="E149" s="198">
        <v>6.7787500000000001E-2</v>
      </c>
      <c r="F149" s="198">
        <v>0</v>
      </c>
      <c r="G149" s="215">
        <v>0</v>
      </c>
      <c r="H149" s="131"/>
    </row>
    <row r="150" spans="1:8" x14ac:dyDescent="0.25">
      <c r="A150" s="133"/>
      <c r="B150" s="204" t="str">
        <v>Concrete, 20 MPa, in-situ, no reinforcement, (Futurecrete®  N
Class GP/GL:Slag
20 MPa) (Adbri) (SA)</v>
      </c>
      <c r="C150" s="132" t="str">
        <v>m³</v>
      </c>
      <c r="D150" s="198">
        <v>158.12</v>
      </c>
      <c r="E150" s="198">
        <v>6.5883333333333335E-2</v>
      </c>
      <c r="F150" s="198">
        <v>0</v>
      </c>
      <c r="G150" s="215">
        <v>0</v>
      </c>
      <c r="H150" s="131"/>
    </row>
    <row r="151" spans="1:8" x14ac:dyDescent="0.25">
      <c r="A151" s="133"/>
      <c r="B151" s="204" t="str">
        <v>Concrete, 15 MPa, in-situ, no reinforcement, (Futurecrete®
Ultra S15MPA
BLOCKFILL 10MM) (Adbri) (NSW)</v>
      </c>
      <c r="C151" s="132" t="str">
        <v>m³</v>
      </c>
      <c r="D151" s="198">
        <v>180.40842000000001</v>
      </c>
      <c r="E151" s="198">
        <v>7.5170175000000006E-2</v>
      </c>
      <c r="F151" s="198">
        <v>0</v>
      </c>
      <c r="G151" s="215">
        <v>0</v>
      </c>
      <c r="H151" s="131"/>
    </row>
    <row r="152" spans="1:8" x14ac:dyDescent="0.25">
      <c r="A152" s="133"/>
      <c r="B152" s="204" t="str">
        <v>Concrete, 20 MPa, in-situ, no reinforcement, (Futurecrete®
Ultra S20MPA
BLOCKFILL 10MM) (Adbri) (NSW)</v>
      </c>
      <c r="C152" s="132" t="str">
        <v>m³</v>
      </c>
      <c r="D152" s="198">
        <v>211.18439999999998</v>
      </c>
      <c r="E152" s="198">
        <v>8.7993500000000002E-2</v>
      </c>
      <c r="F152" s="198">
        <v>0</v>
      </c>
      <c r="G152" s="215">
        <v>0</v>
      </c>
      <c r="H152" s="131"/>
    </row>
    <row r="153" spans="1:8" x14ac:dyDescent="0.25">
      <c r="A153" s="133"/>
      <c r="B153" s="204" t="str">
        <v>Concrete, 20 MPa, in-situ, no reinforcement, (R2020A)(GP) (BCG) (WA), (Perth)</v>
      </c>
      <c r="C153" s="132" t="str">
        <v>m³</v>
      </c>
      <c r="D153" s="198">
        <v>287.5</v>
      </c>
      <c r="E153" s="198">
        <v>0.11979166666666667</v>
      </c>
      <c r="F153" s="198">
        <v>0</v>
      </c>
      <c r="G153" s="215">
        <v>0</v>
      </c>
      <c r="H153" s="131"/>
    </row>
    <row r="154" spans="1:8" x14ac:dyDescent="0.25">
      <c r="A154" s="133"/>
      <c r="B154" s="204" t="str">
        <v>Concrete, 20 MPa, in-situ, no reinforcement, (VE202EF2) (Ecopact) (Holcim) (VIC)</v>
      </c>
      <c r="C154" s="132" t="str">
        <v>m³</v>
      </c>
      <c r="D154" s="198">
        <v>210.41</v>
      </c>
      <c r="E154" s="198">
        <v>8.7670833333333323E-2</v>
      </c>
      <c r="F154" s="198">
        <v>0</v>
      </c>
      <c r="G154" s="215">
        <v>0</v>
      </c>
      <c r="H154" s="131"/>
    </row>
    <row r="155" spans="1:8" x14ac:dyDescent="0.25">
      <c r="A155" s="133"/>
      <c r="B155" s="204" t="str">
        <v>Concrete, 20 MPa, in-situ, no reinforcement, (20MPa 7MM BLOCKMIX) (Adbri) (QLD)</v>
      </c>
      <c r="C155" s="132" t="str">
        <v>m³</v>
      </c>
      <c r="D155" s="198">
        <v>232.22800000000001</v>
      </c>
      <c r="E155" s="198">
        <v>9.6761666666666662E-2</v>
      </c>
      <c r="F155" s="198">
        <v>0</v>
      </c>
      <c r="G155" s="215">
        <v>0</v>
      </c>
      <c r="H155" s="131"/>
    </row>
    <row r="156" spans="1:8" x14ac:dyDescent="0.25">
      <c r="A156" s="133"/>
      <c r="B156" s="204" t="str">
        <v>Concrete, 20 MPa, in-situ, no reinforcement, (Adbri Concrete N Class GP:GL 20 MPa
- Katherine) (Adbri) (NT)</v>
      </c>
      <c r="C156" s="132" t="str">
        <v>m³</v>
      </c>
      <c r="D156" s="198">
        <v>273.08569999999997</v>
      </c>
      <c r="E156" s="198">
        <v>0.11378570833333333</v>
      </c>
      <c r="F156" s="198">
        <v>0</v>
      </c>
      <c r="G156" s="215">
        <v>0</v>
      </c>
      <c r="H156" s="131"/>
    </row>
    <row r="157" spans="1:8" x14ac:dyDescent="0.25">
      <c r="A157" s="133"/>
      <c r="B157" s="204" t="str">
        <v>Concrete, 20 MPa, in-situ, no reinforcement, (20MPa 10MM BLOCKMIX) (Adbri) (QLD)</v>
      </c>
      <c r="C157" s="132" t="str">
        <v>m³</v>
      </c>
      <c r="D157" s="198">
        <v>232.21899999999999</v>
      </c>
      <c r="E157" s="198">
        <v>9.6757916666666666E-2</v>
      </c>
      <c r="F157" s="198">
        <v>0</v>
      </c>
      <c r="G157" s="215">
        <v>0</v>
      </c>
      <c r="H157" s="131"/>
    </row>
    <row r="158" spans="1:8" x14ac:dyDescent="0.25">
      <c r="A158" s="133"/>
      <c r="B158" s="204" t="str">
        <v>Concrete, 20 MPa, in-situ, no reinforcement, (SE202E3) (Ecopact) (Holcim) (SA) (Adelaide)</v>
      </c>
      <c r="C158" s="132" t="str">
        <v>m³</v>
      </c>
      <c r="D158" s="198">
        <v>195.31</v>
      </c>
      <c r="E158" s="198">
        <v>8.1379166666666669E-2</v>
      </c>
      <c r="F158" s="198">
        <v>0</v>
      </c>
      <c r="G158" s="215">
        <v>0</v>
      </c>
      <c r="H158" s="131"/>
    </row>
    <row r="159" spans="1:8" x14ac:dyDescent="0.25">
      <c r="A159" s="133"/>
      <c r="B159" s="204" t="str">
        <v>Concrete, 20 MPa, in-situ, no reinforcement, (VE202E /
BE202E) (Ecopact) (Holcim) (VIC)</v>
      </c>
      <c r="C159" s="132" t="str">
        <v>m³</v>
      </c>
      <c r="D159" s="198">
        <v>196.26</v>
      </c>
      <c r="E159" s="198">
        <v>8.1775E-2</v>
      </c>
      <c r="F159" s="198">
        <v>0</v>
      </c>
      <c r="G159" s="215">
        <v>0</v>
      </c>
      <c r="H159" s="131"/>
    </row>
    <row r="160" spans="1:8" x14ac:dyDescent="0.25">
      <c r="A160" s="133"/>
      <c r="B160" s="204" t="str">
        <v>Concrete, 20 MPa, in-situ, no reinforcement, (QE203EBMX) (Ecopact) (Holcim) (QLD) (Brisbane)</v>
      </c>
      <c r="C160" s="132" t="str">
        <v>m³</v>
      </c>
      <c r="D160" s="198">
        <v>209.16</v>
      </c>
      <c r="E160" s="198">
        <v>8.7150000000000005E-2</v>
      </c>
      <c r="F160" s="198">
        <v>0</v>
      </c>
      <c r="G160" s="215">
        <v>0</v>
      </c>
      <c r="H160" s="131"/>
    </row>
    <row r="161" spans="1:8" x14ac:dyDescent="0.25">
      <c r="A161" s="133"/>
      <c r="B161" s="204" t="str">
        <v>Concrete, 20 MPa, in-situ, no reinforcement, (Futurecrete®
Ultra N class GP/ GL:Slag 20 MPa) (Adbri) (QLD)</v>
      </c>
      <c r="C161" s="132" t="str">
        <v>m³</v>
      </c>
      <c r="D161" s="198">
        <v>188.15700000000001</v>
      </c>
      <c r="E161" s="198">
        <v>7.8398750000000003E-2</v>
      </c>
      <c r="F161" s="198">
        <v>0</v>
      </c>
      <c r="G161" s="215">
        <v>0</v>
      </c>
      <c r="H161" s="131"/>
    </row>
    <row r="162" spans="1:8" x14ac:dyDescent="0.25">
      <c r="A162" s="133"/>
      <c r="B162" s="204" t="str">
        <v>Concrete, 20 MPa, in-situ, no reinforcement, (QE202E) (Ecopact) (Holcim) (QLD), Gold Coast</v>
      </c>
      <c r="C162" s="132" t="str">
        <v>m³</v>
      </c>
      <c r="D162" s="198">
        <v>156.11000000000001</v>
      </c>
      <c r="E162" s="198">
        <v>6.5045833333333331E-2</v>
      </c>
      <c r="F162" s="198">
        <v>0</v>
      </c>
      <c r="G162" s="215">
        <v>0</v>
      </c>
      <c r="H162" s="131"/>
    </row>
    <row r="163" spans="1:8" x14ac:dyDescent="0.25">
      <c r="A163" s="133"/>
      <c r="B163" s="204" t="str">
        <v>Concrete, 20 MPa, in-situ, no reinforcement, (QE201E) (Ecopact) (Holcim) (QLD), Gold Coast</v>
      </c>
      <c r="C163" s="132" t="str">
        <v>m³</v>
      </c>
      <c r="D163" s="198">
        <v>156.11000000000001</v>
      </c>
      <c r="E163" s="198">
        <v>6.5045833333333331E-2</v>
      </c>
      <c r="F163" s="198">
        <v>0</v>
      </c>
      <c r="G163" s="215">
        <v>0</v>
      </c>
      <c r="H163" s="131"/>
    </row>
    <row r="164" spans="1:8" x14ac:dyDescent="0.25">
      <c r="A164" s="133"/>
      <c r="B164" s="204" t="str">
        <v>Concrete (in-situ), 20MPa, Pre-mix Concrete EPG20F (Barro Group) (Australia)</v>
      </c>
      <c r="C164" s="132" t="str">
        <v>m³</v>
      </c>
      <c r="D164" s="198">
        <v>144.488</v>
      </c>
      <c r="E164" s="198">
        <v>6.0607382550335577E-2</v>
      </c>
      <c r="F164" s="198">
        <v>0</v>
      </c>
      <c r="G164" s="215">
        <v>0</v>
      </c>
      <c r="H164" s="131"/>
    </row>
    <row r="165" spans="1:8" x14ac:dyDescent="0.25">
      <c r="A165" s="133"/>
      <c r="B165" s="204" t="str">
        <v>Concrete (in-situ), 20MPa, Pre-mix Concrete EN20 (Barro Group) (Australia)</v>
      </c>
      <c r="C165" s="132" t="str">
        <v>m³</v>
      </c>
      <c r="D165" s="198">
        <v>166.48</v>
      </c>
      <c r="E165" s="198">
        <v>6.9832214765100667E-2</v>
      </c>
      <c r="F165" s="198">
        <v>0</v>
      </c>
      <c r="G165" s="215">
        <v>0</v>
      </c>
      <c r="H165" s="131"/>
    </row>
    <row r="166" spans="1:8" x14ac:dyDescent="0.25">
      <c r="A166" s="133"/>
      <c r="B166" s="204" t="str">
        <v>Concrete (in-situ), 20MPa, Pre-mix Concrete EPG20 (Barro Group) (Australia)</v>
      </c>
      <c r="C166" s="132" t="str">
        <v>m³</v>
      </c>
      <c r="D166" s="198">
        <v>158.49100000000001</v>
      </c>
      <c r="E166" s="198">
        <v>6.6481124161073837E-2</v>
      </c>
      <c r="F166" s="198">
        <v>0</v>
      </c>
      <c r="G166" s="215">
        <v>0</v>
      </c>
      <c r="H166" s="131"/>
    </row>
    <row r="167" spans="1:8" x14ac:dyDescent="0.25">
      <c r="A167" s="133"/>
      <c r="B167" s="204" t="str">
        <v>Concrete (in-situ), 20MPa, Pre-mix Concrete EPG20FL (Barro Group) (Australia)</v>
      </c>
      <c r="C167" s="132" t="str">
        <v>m³</v>
      </c>
      <c r="D167" s="198">
        <v>137.48699999999999</v>
      </c>
      <c r="E167" s="198">
        <v>5.7670721476510069E-2</v>
      </c>
      <c r="F167" s="198">
        <v>0</v>
      </c>
      <c r="G167" s="215">
        <v>0</v>
      </c>
      <c r="H167" s="131"/>
    </row>
    <row r="168" spans="1:8" x14ac:dyDescent="0.25">
      <c r="A168" s="133"/>
      <c r="B168" s="204" t="str">
        <v>Concrete (in-situ), , ENVISIA concrete in-situ Melb metro - 20 MPa (Boral) (Australia)</v>
      </c>
      <c r="C168" s="132" t="str">
        <v>m³</v>
      </c>
      <c r="D168" s="198">
        <v>165</v>
      </c>
      <c r="E168" s="198">
        <v>6.8750000000000006E-2</v>
      </c>
      <c r="F168" s="198">
        <v>0</v>
      </c>
      <c r="G168" s="215">
        <v>0</v>
      </c>
      <c r="H168" s="131"/>
    </row>
    <row r="169" spans="1:8" x14ac:dyDescent="0.25">
      <c r="A169" s="133"/>
      <c r="B169" s="204" t="str">
        <v>Concrete (in-situ), , Envirocrete plus concrete in-situ Melb metro - 20 MPa (Boral) (Australia)</v>
      </c>
      <c r="C169" s="132" t="str">
        <v>m³</v>
      </c>
      <c r="D169" s="198">
        <v>191</v>
      </c>
      <c r="E169" s="198">
        <v>7.9583333333333339E-2</v>
      </c>
      <c r="F169" s="198">
        <v>0</v>
      </c>
      <c r="G169" s="215">
        <v>0</v>
      </c>
      <c r="H169" s="131"/>
    </row>
    <row r="170" spans="1:8" x14ac:dyDescent="0.25">
      <c r="A170" s="133"/>
      <c r="B170" s="204" t="str">
        <v>Concrete (in-situ), , Envirocrete concrete in-situ Melb metro - 20 MPa (Boral) (Australia)</v>
      </c>
      <c r="C170" s="132" t="str">
        <v>m³</v>
      </c>
      <c r="D170" s="198">
        <v>200</v>
      </c>
      <c r="E170" s="198">
        <v>8.3333333333333329E-2</v>
      </c>
      <c r="F170" s="198">
        <v>0</v>
      </c>
      <c r="G170" s="215">
        <v>0</v>
      </c>
      <c r="H170" s="131"/>
    </row>
    <row r="171" spans="1:8" x14ac:dyDescent="0.25">
      <c r="A171" s="133"/>
      <c r="B171" s="204" t="str">
        <v>Concrete (in-situ), , Envirocrete 40% concrete in-situ Melb metro - 20 MPa (Boral) (Australia)</v>
      </c>
      <c r="C171" s="132" t="str">
        <v>m³</v>
      </c>
      <c r="D171" s="198">
        <v>215</v>
      </c>
      <c r="E171" s="198">
        <v>8.9583333333333334E-2</v>
      </c>
      <c r="F171" s="198">
        <v>0</v>
      </c>
      <c r="G171" s="215">
        <v>0</v>
      </c>
      <c r="H171" s="131"/>
    </row>
    <row r="172" spans="1:8" x14ac:dyDescent="0.25">
      <c r="A172" s="133"/>
      <c r="B172" s="204" t="str">
        <v>Concrete (in-situ), , Envirocrete 30% concrete in-situ Melb metro - 20 MPa (Boral) (Australia)</v>
      </c>
      <c r="C172" s="132" t="str">
        <v>m³</v>
      </c>
      <c r="D172" s="198">
        <v>244</v>
      </c>
      <c r="E172" s="198">
        <v>0.10166666666666667</v>
      </c>
      <c r="F172" s="198">
        <v>0</v>
      </c>
      <c r="G172" s="215">
        <v>0</v>
      </c>
      <c r="H172" s="131"/>
    </row>
    <row r="173" spans="1:8" x14ac:dyDescent="0.25">
      <c r="A173" s="133"/>
      <c r="B173" s="204" t="str">
        <v>Concrete (in-situ), , Normal GP blend concrete in-situ Melb metro - 20 MPa (Boral) (Australia)</v>
      </c>
      <c r="C173" s="132" t="str">
        <v>m³</v>
      </c>
      <c r="D173" s="198">
        <v>265</v>
      </c>
      <c r="E173" s="198">
        <v>0.11041666666666666</v>
      </c>
      <c r="F173" s="198">
        <v>0</v>
      </c>
      <c r="G173" s="215">
        <v>0</v>
      </c>
      <c r="H173" s="131"/>
    </row>
    <row r="174" spans="1:8" x14ac:dyDescent="0.25">
      <c r="A174" s="133"/>
      <c r="B174" s="204" t="str">
        <v>Concrete (in-situ), , Normal GP /FA blend blend concrete in-situ Melb metro - 20 MPa (Boral) (Australia)</v>
      </c>
      <c r="C174" s="132" t="str">
        <v>m³</v>
      </c>
      <c r="D174" s="198">
        <v>251</v>
      </c>
      <c r="E174" s="198">
        <v>0.10458333333333333</v>
      </c>
      <c r="F174" s="198">
        <v>0</v>
      </c>
      <c r="G174" s="215">
        <v>0</v>
      </c>
      <c r="H174" s="131"/>
    </row>
    <row r="175" spans="1:8" x14ac:dyDescent="0.25">
      <c r="A175" s="133"/>
      <c r="B175" s="204" t="str">
        <v>Concrete (in-situ), , Normal GP /GGBFS blend blend concrete in-situ Melb metro - 20 MPa (Boral) (Australia)</v>
      </c>
      <c r="C175" s="132" t="str">
        <v>m³</v>
      </c>
      <c r="D175" s="198">
        <v>236</v>
      </c>
      <c r="E175" s="198">
        <v>9.8333333333333328E-2</v>
      </c>
      <c r="F175" s="198">
        <v>0</v>
      </c>
      <c r="G175" s="215">
        <v>0</v>
      </c>
      <c r="H175" s="131"/>
    </row>
    <row r="176" spans="1:8" x14ac:dyDescent="0.25">
      <c r="A176" s="133"/>
      <c r="B176" s="204" t="str">
        <v>Concrete (in-situ), , ENVISIA concrete in-situ Perth metro - 20 MPa (Boral) (Australia)</v>
      </c>
      <c r="C176" s="132" t="str">
        <v>m³</v>
      </c>
      <c r="D176" s="198">
        <v>163</v>
      </c>
      <c r="E176" s="198">
        <v>6.7916666666666667E-2</v>
      </c>
      <c r="F176" s="198">
        <v>0</v>
      </c>
      <c r="G176" s="215">
        <v>0</v>
      </c>
      <c r="H176" s="131"/>
    </row>
    <row r="177" spans="1:8" x14ac:dyDescent="0.25">
      <c r="A177" s="133"/>
      <c r="B177" s="204" t="str">
        <v>Concrete (in-situ), , Normal GP blend concrete in-situ Perth metro - 20 MPa (Boral) (Australia)</v>
      </c>
      <c r="C177" s="132" t="str">
        <v>m³</v>
      </c>
      <c r="D177" s="198">
        <v>244</v>
      </c>
      <c r="E177" s="198">
        <v>0.10166666666666667</v>
      </c>
      <c r="F177" s="198">
        <v>0</v>
      </c>
      <c r="G177" s="215">
        <v>0</v>
      </c>
      <c r="H177" s="131"/>
    </row>
    <row r="178" spans="1:8" x14ac:dyDescent="0.25">
      <c r="A178" s="133"/>
      <c r="B178" s="204" t="str">
        <v>Concrete (in-situ), , Normal GP /GGBFS blend blend concrete in-situ Perth metro - 20 MPa (Boral) (Australia)</v>
      </c>
      <c r="C178" s="132" t="str">
        <v>m³</v>
      </c>
      <c r="D178" s="198">
        <v>192</v>
      </c>
      <c r="E178" s="198">
        <v>0.08</v>
      </c>
      <c r="F178" s="198">
        <v>0</v>
      </c>
      <c r="G178" s="215">
        <v>0</v>
      </c>
      <c r="H178" s="131"/>
    </row>
    <row r="179" spans="1:8" x14ac:dyDescent="0.25">
      <c r="A179" s="133"/>
      <c r="B179" s="204" t="str">
        <v>20 MPa, , Normal Class 20MPa - straight cement (Gunlake) (Australia)</v>
      </c>
      <c r="C179" s="132" t="str">
        <v>m³</v>
      </c>
      <c r="D179" s="198">
        <v>295.0489</v>
      </c>
      <c r="E179" s="198">
        <v>0.12293704166666666</v>
      </c>
      <c r="F179" s="198">
        <v>0</v>
      </c>
      <c r="G179" s="215">
        <v>0</v>
      </c>
      <c r="H179" s="131"/>
    </row>
    <row r="180" spans="1:8" x14ac:dyDescent="0.25">
      <c r="A180" s="133"/>
      <c r="B180" s="204" t="str">
        <v>20 MPa, , Normal Class 20MPa (NC2028PCI) - cement and fly-ash (Gunlake) (Australia)</v>
      </c>
      <c r="C180" s="132" t="str">
        <v>m³</v>
      </c>
      <c r="D180" s="198">
        <v>235.05369999999999</v>
      </c>
      <c r="E180" s="198">
        <v>9.7939041666666671E-2</v>
      </c>
      <c r="F180" s="198">
        <v>0</v>
      </c>
      <c r="G180" s="215">
        <v>0</v>
      </c>
      <c r="H180" s="131"/>
    </row>
    <row r="181" spans="1:8" x14ac:dyDescent="0.25">
      <c r="A181" s="133"/>
      <c r="B181" s="204" t="str">
        <v>20 MPa, , Normal Class 20MPa (NC2028PCI) - cement, slag and fly-ash (Gunlake) (Australia)</v>
      </c>
      <c r="C181" s="132" t="str">
        <v>m³</v>
      </c>
      <c r="D181" s="198">
        <v>197.0625</v>
      </c>
      <c r="E181" s="198">
        <v>8.2109374999999998E-2</v>
      </c>
      <c r="F181" s="198">
        <v>0</v>
      </c>
      <c r="G181" s="215">
        <v>0</v>
      </c>
      <c r="H181" s="131"/>
    </row>
    <row r="182" spans="1:8" x14ac:dyDescent="0.25">
      <c r="A182" s="133"/>
      <c r="B182" s="204" t="str">
        <v>20 MPa, , Special Class 20MPa (GD202AP2) - green star mix with cement, high slag and fly-ash (Gunlake) (Australia)</v>
      </c>
      <c r="C182" s="132" t="str">
        <v>m³</v>
      </c>
      <c r="D182" s="198">
        <v>223.07169999999999</v>
      </c>
      <c r="E182" s="198">
        <v>9.294654166666666E-2</v>
      </c>
      <c r="F182" s="198">
        <v>0</v>
      </c>
      <c r="G182" s="215">
        <v>0</v>
      </c>
      <c r="H182" s="131"/>
    </row>
    <row r="183" spans="1:8" x14ac:dyDescent="0.25">
      <c r="A183" s="133"/>
      <c r="B183" s="204" t="str">
        <v>20 MPa, , ENVISIA 20 MPa (Boral) (Australia)</v>
      </c>
      <c r="C183" s="132" t="str">
        <v>m³</v>
      </c>
      <c r="D183" s="198">
        <v>168</v>
      </c>
      <c r="E183" s="198">
        <v>7.0000000000000007E-2</v>
      </c>
      <c r="F183" s="198">
        <v>0</v>
      </c>
      <c r="G183" s="215">
        <v>0</v>
      </c>
      <c r="H183" s="131"/>
    </row>
    <row r="184" spans="1:8" x14ac:dyDescent="0.25">
      <c r="A184" s="133"/>
      <c r="B184" s="204" t="str">
        <v>20 MPa, , ENVIROCRETE PLUS 20 MPa (Boral) (Australia)</v>
      </c>
      <c r="C184" s="132" t="str">
        <v>m³</v>
      </c>
      <c r="D184" s="198">
        <v>193</v>
      </c>
      <c r="E184" s="198">
        <v>8.0416666666666664E-2</v>
      </c>
      <c r="F184" s="198">
        <v>0</v>
      </c>
      <c r="G184" s="215">
        <v>0</v>
      </c>
      <c r="H184" s="131"/>
    </row>
    <row r="185" spans="1:8" x14ac:dyDescent="0.25">
      <c r="A185" s="133"/>
      <c r="B185" s="204" t="str">
        <v>20 MPa, , ENVIROCRETE 40% 20 MPa (Boral) (Australia)</v>
      </c>
      <c r="C185" s="132" t="str">
        <v>m³</v>
      </c>
      <c r="D185" s="198">
        <v>229</v>
      </c>
      <c r="E185" s="198">
        <v>9.5416666666666664E-2</v>
      </c>
      <c r="F185" s="198">
        <v>0</v>
      </c>
      <c r="G185" s="215">
        <v>0</v>
      </c>
      <c r="H185" s="131"/>
    </row>
    <row r="186" spans="1:8" x14ac:dyDescent="0.25">
      <c r="A186" s="133"/>
      <c r="B186" s="204" t="str">
        <v>20 MPa, , ENVIROCRETE 30% 20 MPa (Boral) (Australia)</v>
      </c>
      <c r="C186" s="132" t="str">
        <v>m³</v>
      </c>
      <c r="D186" s="198">
        <v>255</v>
      </c>
      <c r="E186" s="198">
        <v>0.10625</v>
      </c>
      <c r="F186" s="198">
        <v>0</v>
      </c>
      <c r="G186" s="215">
        <v>0</v>
      </c>
      <c r="H186" s="131"/>
    </row>
    <row r="187" spans="1:8" x14ac:dyDescent="0.25">
      <c r="A187" s="133"/>
      <c r="B187" s="204" t="str">
        <v>20 MPa, , ENVIROCRETE 20 MPa (Boral) (Australia)</v>
      </c>
      <c r="C187" s="132" t="str">
        <v>m³</v>
      </c>
      <c r="D187" s="198">
        <v>202</v>
      </c>
      <c r="E187" s="198">
        <v>8.4166666666666667E-2</v>
      </c>
      <c r="F187" s="198">
        <v>0</v>
      </c>
      <c r="G187" s="215">
        <v>0</v>
      </c>
      <c r="H187" s="131"/>
    </row>
    <row r="188" spans="1:8" x14ac:dyDescent="0.25">
      <c r="A188" s="133"/>
      <c r="B188" s="204" t="str">
        <v>20 MPa, , NORMAL CLASS GP BLEND 20 MPa (Boral) (Australia)</v>
      </c>
      <c r="C188" s="132" t="str">
        <v>m³</v>
      </c>
      <c r="D188" s="198">
        <v>261</v>
      </c>
      <c r="E188" s="198">
        <v>0.10875</v>
      </c>
      <c r="F188" s="198">
        <v>0</v>
      </c>
      <c r="G188" s="215">
        <v>0</v>
      </c>
      <c r="H188" s="131"/>
    </row>
    <row r="189" spans="1:8" x14ac:dyDescent="0.25">
      <c r="A189" s="133"/>
      <c r="B189" s="204" t="str">
        <v>20 MPa, , NORMAL CLASS GP/FA BLEND 20 MPa (Boral) (Australia)</v>
      </c>
      <c r="C189" s="132" t="str">
        <v>m³</v>
      </c>
      <c r="D189" s="198">
        <v>240</v>
      </c>
      <c r="E189" s="198">
        <v>0.1</v>
      </c>
      <c r="F189" s="198">
        <v>0</v>
      </c>
      <c r="G189" s="215">
        <v>0</v>
      </c>
      <c r="H189" s="131"/>
    </row>
    <row r="190" spans="1:8" x14ac:dyDescent="0.25">
      <c r="A190" s="133"/>
      <c r="B190" s="204" t="str">
        <v>20 MPa, , NORMAL CLASS GP/GGBFS BLEND 20 MPa (Boral) (Australia)</v>
      </c>
      <c r="C190" s="132" t="str">
        <v>m³</v>
      </c>
      <c r="D190" s="198">
        <v>233</v>
      </c>
      <c r="E190" s="198">
        <v>9.7083333333333327E-2</v>
      </c>
      <c r="F190" s="198">
        <v>0</v>
      </c>
      <c r="G190" s="215">
        <v>0</v>
      </c>
      <c r="H190" s="131"/>
    </row>
    <row r="191" spans="1:8" x14ac:dyDescent="0.25">
      <c r="A191" s="133"/>
      <c r="B191" s="204" t="str">
        <v>20 MPa, , HIGH SLUMP 20 MPa (Boral) (Australia)</v>
      </c>
      <c r="C191" s="132" t="str">
        <v>m³</v>
      </c>
      <c r="D191" s="198">
        <v>252</v>
      </c>
      <c r="E191" s="198">
        <v>0.105</v>
      </c>
      <c r="F191" s="198">
        <v>0</v>
      </c>
      <c r="G191" s="215">
        <v>0</v>
      </c>
      <c r="H191" s="131"/>
    </row>
    <row r="192" spans="1:8" x14ac:dyDescent="0.25">
      <c r="A192" s="133"/>
      <c r="B192" s="204" t="str">
        <v>20 MPa, NSW, Pre-mix concrete N4020 (Western Suburbs Concrete) (Australia)</v>
      </c>
      <c r="C192" s="132" t="str">
        <v>m³</v>
      </c>
      <c r="D192" s="198">
        <v>301.22061018599999</v>
      </c>
      <c r="E192" s="198">
        <v>0.12550858757750002</v>
      </c>
      <c r="F192" s="198">
        <v>0</v>
      </c>
      <c r="G192" s="215">
        <v>0</v>
      </c>
      <c r="H192" s="131"/>
    </row>
    <row r="193" spans="1:8" x14ac:dyDescent="0.25">
      <c r="A193" s="133"/>
      <c r="B193" s="204" t="str">
        <v>20 MPa, NSW, Pre-mix concrete GS2020-1 (Western Suburbs Concrete) (Australia)</v>
      </c>
      <c r="C193" s="132" t="str">
        <v>m³</v>
      </c>
      <c r="D193" s="198">
        <v>196.37924330999996</v>
      </c>
      <c r="E193" s="198">
        <v>8.1824684712499984E-2</v>
      </c>
      <c r="F193" s="198">
        <v>0</v>
      </c>
      <c r="G193" s="215">
        <v>0</v>
      </c>
      <c r="H193" s="131"/>
    </row>
    <row r="194" spans="1:8" x14ac:dyDescent="0.25">
      <c r="A194" s="133"/>
      <c r="B194" s="204" t="str">
        <v>20 MPa, NSW, Pre-mix concrete N2020 (Western Suburbs Concrete) (Australia)</v>
      </c>
      <c r="C194" s="132" t="str">
        <v>m³</v>
      </c>
      <c r="D194" s="198">
        <v>187.464221751</v>
      </c>
      <c r="E194" s="198">
        <v>7.8110092396249983E-2</v>
      </c>
      <c r="F194" s="198">
        <v>0</v>
      </c>
      <c r="G194" s="215">
        <v>0</v>
      </c>
      <c r="H194" s="131"/>
    </row>
    <row r="195" spans="1:8" x14ac:dyDescent="0.25">
      <c r="A195" s="133"/>
      <c r="B195" s="204" t="str">
        <v>20 MPa, NSW, Pre-mix concrete GS2020-2 (Western Suburbs Concrete) (Australia)</v>
      </c>
      <c r="C195" s="132" t="str">
        <v>m³</v>
      </c>
      <c r="D195" s="198">
        <v>171.76483599700001</v>
      </c>
      <c r="E195" s="198">
        <v>7.1568681665416661E-2</v>
      </c>
      <c r="F195" s="198">
        <v>0</v>
      </c>
      <c r="G195" s="215">
        <v>0</v>
      </c>
      <c r="H195" s="131"/>
    </row>
    <row r="196" spans="1:8" x14ac:dyDescent="0.25">
      <c r="A196" s="133"/>
      <c r="B196" s="204" t="str">
        <v>20 MPa, NSW, Pre-mix concrete WGS2020-1 (Western Suburbs Concrete) (Australia)</v>
      </c>
      <c r="C196" s="132" t="str">
        <v>m³</v>
      </c>
      <c r="D196" s="198">
        <v>189.032395409</v>
      </c>
      <c r="E196" s="198">
        <v>7.8763498087083328E-2</v>
      </c>
      <c r="F196" s="198">
        <v>0</v>
      </c>
      <c r="G196" s="215">
        <v>0</v>
      </c>
      <c r="H196" s="131"/>
    </row>
    <row r="197" spans="1:8" x14ac:dyDescent="0.25">
      <c r="A197" s="133"/>
      <c r="B197" s="204" t="str">
        <v>20 MPa, NSW, Pre-mix concrete WGS2020-2 (Western Suburbs Concrete) (Australia)</v>
      </c>
      <c r="C197" s="132" t="str">
        <v>m³</v>
      </c>
      <c r="D197" s="198">
        <v>178.36625264</v>
      </c>
      <c r="E197" s="198">
        <v>7.431927193333332E-2</v>
      </c>
      <c r="F197" s="198">
        <v>0</v>
      </c>
      <c r="G197" s="215">
        <v>0</v>
      </c>
      <c r="H197" s="131"/>
    </row>
    <row r="198" spans="1:8" x14ac:dyDescent="0.25">
      <c r="A198" s="133"/>
      <c r="B198" s="204" t="str">
        <v>20 MPa, NSW, Pre-mix concrete N5020 (Western Suburbs Concrete) (Australia)</v>
      </c>
      <c r="C198" s="132" t="str">
        <v>m³</v>
      </c>
      <c r="D198" s="198">
        <v>185.806488648</v>
      </c>
      <c r="E198" s="198">
        <v>7.7419370269999996E-2</v>
      </c>
      <c r="F198" s="198">
        <v>0</v>
      </c>
      <c r="G198" s="215">
        <v>0</v>
      </c>
      <c r="H198" s="131"/>
    </row>
    <row r="199" spans="1:8" x14ac:dyDescent="0.25">
      <c r="A199" s="133"/>
      <c r="B199" s="204" t="str">
        <v>20 MPa, NSW, Pre-mix concrete WN2020 (Western Suburbs Concrete) (Australia)</v>
      </c>
      <c r="C199" s="132" t="str">
        <v>m³</v>
      </c>
      <c r="D199" s="198">
        <v>185.806488648</v>
      </c>
      <c r="E199" s="198">
        <v>7.7419370269999996E-2</v>
      </c>
      <c r="F199" s="198">
        <v>0</v>
      </c>
      <c r="G199" s="215">
        <v>0</v>
      </c>
      <c r="H199" s="131"/>
    </row>
    <row r="200" spans="1:8" x14ac:dyDescent="0.25">
      <c r="A200" s="133"/>
      <c r="B200" s="204" t="str">
        <v>20 MPa, TAS, N20/20N concrete  manufactured in our Southern Region (Hazell Bros Concrete Pty Ltd) (Australia)</v>
      </c>
      <c r="C200" s="132" t="str">
        <v>m³</v>
      </c>
      <c r="D200" s="198">
        <v>203.12481706000003</v>
      </c>
      <c r="E200" s="198">
        <v>8.4635340441666679E-2</v>
      </c>
      <c r="F200" s="198">
        <v>0</v>
      </c>
      <c r="G200" s="215">
        <v>0</v>
      </c>
      <c r="H200" s="131"/>
    </row>
    <row r="201" spans="1:8" x14ac:dyDescent="0.25">
      <c r="A201" s="133"/>
      <c r="B201" s="204" t="str">
        <v>20 MPa, TAS, N20/20N concrete manufactured in our Northern Region (Hazell Bros Concrete Pty Ltd) (Australia)</v>
      </c>
      <c r="C201" s="132" t="str">
        <v>m³</v>
      </c>
      <c r="D201" s="198">
        <v>212.29539305973302</v>
      </c>
      <c r="E201" s="198">
        <v>8.8456413774888748E-2</v>
      </c>
      <c r="F201" s="198">
        <v>0</v>
      </c>
      <c r="G201" s="215">
        <v>0</v>
      </c>
      <c r="H201" s="131"/>
    </row>
    <row r="202" spans="1:8" x14ac:dyDescent="0.25">
      <c r="A202" s="133"/>
      <c r="B202" s="204" t="str">
        <v>15 MPa, TAS, N15/20N concrete  manufactured in our Southern Region (Hazell Bros Concrete Pty Ltd) (Australia)</v>
      </c>
      <c r="C202" s="132" t="str">
        <v>m³</v>
      </c>
      <c r="D202" s="198">
        <v>191.72490764100002</v>
      </c>
      <c r="E202" s="198">
        <v>7.9885378183749994E-2</v>
      </c>
      <c r="F202" s="198">
        <v>0</v>
      </c>
      <c r="G202" s="215">
        <v>0</v>
      </c>
      <c r="H202" s="131"/>
    </row>
    <row r="203" spans="1:8" x14ac:dyDescent="0.25">
      <c r="A203" s="133"/>
      <c r="B203" s="204" t="str">
        <v>20 MPa, TAS, N20/20N/SCM concrete manufactured in our Southern Region (Hazell Bros Concrete Pty Ltd) (Australia)</v>
      </c>
      <c r="C203" s="132" t="str">
        <v>m³</v>
      </c>
      <c r="D203" s="198">
        <v>163.11564948699998</v>
      </c>
      <c r="E203" s="198">
        <v>6.7964853952916668E-2</v>
      </c>
      <c r="F203" s="198">
        <v>0</v>
      </c>
      <c r="G203" s="215">
        <v>0</v>
      </c>
      <c r="H203" s="131"/>
    </row>
    <row r="204" spans="1:8" x14ac:dyDescent="0.25">
      <c r="A204" s="133"/>
      <c r="B204" s="204" t="str">
        <v>15 MPa, TAS, N15/20N concrete manufactured in our Northern Region (Hazell Bros Concrete Pty Ltd) (Australia)</v>
      </c>
      <c r="C204" s="132" t="str">
        <v>m³</v>
      </c>
      <c r="D204" s="198">
        <v>200.86329166032101</v>
      </c>
      <c r="E204" s="198">
        <v>8.369303819180042E-2</v>
      </c>
      <c r="F204" s="198">
        <v>0</v>
      </c>
      <c r="G204" s="215">
        <v>0</v>
      </c>
      <c r="H204" s="131"/>
    </row>
    <row r="205" spans="1:8" x14ac:dyDescent="0.25">
      <c r="A205" s="133"/>
      <c r="B205" s="204" t="str">
        <v>15 MPa, TAS, N15/20N/SCM concrete  manufactured in our Southern Region (Hazell Bros Concrete Pty Ltd) (Australia)</v>
      </c>
      <c r="C205" s="132" t="str">
        <v>m³</v>
      </c>
      <c r="D205" s="198">
        <v>153.00891426500002</v>
      </c>
      <c r="E205" s="198">
        <v>6.3753714277083331E-2</v>
      </c>
      <c r="F205" s="198">
        <v>0</v>
      </c>
      <c r="G205" s="215">
        <v>0</v>
      </c>
      <c r="H205" s="131"/>
    </row>
    <row r="206" spans="1:8" x14ac:dyDescent="0.25">
      <c r="A206" s="133"/>
      <c r="B206" s="204" t="str">
        <v>20 MPa, TAS, N20/20N/SCM concrete manufactured in our Northern Region (Hazell Bros Concrete Pty Ltd) (Australia)</v>
      </c>
      <c r="C206" s="132" t="str">
        <v>m³</v>
      </c>
      <c r="D206" s="198">
        <v>163.43389124789101</v>
      </c>
      <c r="E206" s="198">
        <v>6.8097454686621234E-2</v>
      </c>
      <c r="F206" s="198">
        <v>0</v>
      </c>
      <c r="G206" s="215">
        <v>0</v>
      </c>
      <c r="H206" s="131"/>
    </row>
    <row r="207" spans="1:8" x14ac:dyDescent="0.25">
      <c r="A207" s="133"/>
      <c r="B207" s="217" t="str">
        <v>15 MPa, TAS, N15/20N/SCM concrete manufactured in our Northern Region (Hazell Bros Concrete Pty Ltd) (Australia)</v>
      </c>
      <c r="C207" s="218" t="str">
        <v>m³</v>
      </c>
      <c r="D207" s="219">
        <v>153.35228053301901</v>
      </c>
      <c r="E207" s="219">
        <v>6.3896783555424566E-2</v>
      </c>
      <c r="F207" s="219">
        <v>0</v>
      </c>
      <c r="G207" s="220">
        <v>0</v>
      </c>
      <c r="H207" s="131"/>
    </row>
    <row r="208" spans="1:8" x14ac:dyDescent="0.25">
      <c r="B208" s="130"/>
      <c r="C208" s="130"/>
      <c r="D208" s="207"/>
      <c r="E208" s="207"/>
      <c r="F208" s="207"/>
      <c r="G208" s="207"/>
    </row>
  </sheetData>
  <dataConsolidate/>
  <phoneticPr fontId="8" type="noConversion"/>
  <conditionalFormatting sqref="D23:G23 D24:F163">
    <cfRule type="cellIs" dxfId="0" priority="5" operator="greaterThan">
      <formula>301</formula>
    </cfRule>
  </conditionalFormatting>
  <dataValidations disablePrompts="1" count="1">
    <dataValidation type="list" allowBlank="1" showInputMessage="1" showErrorMessage="1" sqref="B6:B8" xr:uid="{C7EF79F4-0F03-4175-8EA8-02A6CFD871E7}">
      <formula1>"Tier 1,Tier 2,Tier 3,Tier 4"</formula1>
    </dataValidation>
  </dataValidation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D33F0-C156-480B-98DF-0C68E8C442A7}">
  <sheetPr codeName="Sheet6">
    <tabColor rgb="FF00CCFF"/>
  </sheetPr>
  <dimension ref="A1:H271"/>
  <sheetViews>
    <sheetView topLeftCell="B1" workbookViewId="0"/>
  </sheetViews>
  <sheetFormatPr defaultColWidth="9.1796875" defaultRowHeight="12.5" x14ac:dyDescent="0.25"/>
  <cols>
    <col min="1" max="1" width="26.26953125" style="132" customWidth="1"/>
    <col min="2" max="2" width="160.5429687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&gt;20 MPa to ≤25 MPa</v>
      </c>
    </row>
    <row r="2" spans="1:8" ht="13" x14ac:dyDescent="0.25">
      <c r="A2" s="202"/>
    </row>
    <row r="3" spans="1:8" ht="13" x14ac:dyDescent="0.25">
      <c r="A3" s="202" t="s">
        <v>5626</v>
      </c>
      <c r="B3" s="132" t="s">
        <v>5786</v>
      </c>
    </row>
    <row r="4" spans="1:8" ht="13" x14ac:dyDescent="0.25">
      <c r="A4" s="202"/>
    </row>
    <row r="5" spans="1:8" ht="69.75" customHeight="1" x14ac:dyDescent="0.3">
      <c r="A5" s="227" t="s">
        <v>5628</v>
      </c>
      <c r="B5" s="200" t="s">
        <v>5785</v>
      </c>
    </row>
    <row r="6" spans="1:8" ht="13" x14ac:dyDescent="0.3">
      <c r="A6" s="227" t="s">
        <v>5630</v>
      </c>
      <c r="B6" s="201" t="s">
        <v>71</v>
      </c>
    </row>
    <row r="7" spans="1:8" ht="13" x14ac:dyDescent="0.3">
      <c r="A7" s="227" t="s">
        <v>5631</v>
      </c>
      <c r="B7" s="201" t="s">
        <v>71</v>
      </c>
    </row>
    <row r="8" spans="1:8" ht="13" x14ac:dyDescent="0.3">
      <c r="A8" s="227" t="s">
        <v>5632</v>
      </c>
      <c r="B8" s="201" t="s">
        <v>71</v>
      </c>
    </row>
    <row r="9" spans="1:8" ht="13" x14ac:dyDescent="0.3">
      <c r="A9" s="227" t="s">
        <v>5633</v>
      </c>
      <c r="B9" s="202" t="s">
        <v>71</v>
      </c>
    </row>
    <row r="10" spans="1:8" ht="13" x14ac:dyDescent="0.3">
      <c r="A10" s="227"/>
      <c r="B10" s="202"/>
    </row>
    <row r="11" spans="1:8" ht="13" x14ac:dyDescent="0.3">
      <c r="A11" s="227" t="s">
        <v>5634</v>
      </c>
      <c r="B11" s="202"/>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535</v>
      </c>
      <c r="C16" s="313" t="s">
        <v>24</v>
      </c>
      <c r="D16" s="314" t="s">
        <v>146</v>
      </c>
      <c r="E16" s="315" t="s">
        <v>153</v>
      </c>
      <c r="F16" s="314" t="s">
        <v>147</v>
      </c>
      <c r="G16" s="314" t="s">
        <v>154</v>
      </c>
      <c r="H16" s="131"/>
    </row>
    <row r="17" spans="1:8" ht="13" x14ac:dyDescent="0.3">
      <c r="A17" s="133"/>
      <c r="B17" s="211"/>
      <c r="C17" s="212" t="s">
        <v>5636</v>
      </c>
      <c r="D17" s="196" t="str" cm="1">
        <f t="array" ref="D17">IF(AND(_xlfn.ANCHORARRAY(C23)=C23),C23,"Mixed")</f>
        <v>m³</v>
      </c>
      <c r="E17" s="196" t="s">
        <v>2774</v>
      </c>
      <c r="F17" s="196" t="str" cm="1">
        <f t="array" ref="F17">IF(AND(_xlfn.ANCHORARRAY(C23)=C23),C23,"Mixed")</f>
        <v>m³</v>
      </c>
      <c r="G17" s="213" t="s">
        <v>2774</v>
      </c>
      <c r="H17" s="131"/>
    </row>
    <row r="18" spans="1:8" s="200" customFormat="1" ht="13" x14ac:dyDescent="0.3">
      <c r="A18" s="221"/>
      <c r="B18" s="214"/>
      <c r="C18" s="202" t="s">
        <v>5637</v>
      </c>
      <c r="D18" s="198">
        <f>MAX(_xlfn.ANCHORARRAY(D23))</f>
        <v>417.41917303129998</v>
      </c>
      <c r="E18" s="198">
        <f t="shared" ref="E18:G18" si="0">MAX(_xlfn.ANCHORARRAY(E23))</f>
        <v>0.17392465542970834</v>
      </c>
      <c r="F18" s="198">
        <f t="shared" si="0"/>
        <v>0</v>
      </c>
      <c r="G18" s="215">
        <f t="shared" si="0"/>
        <v>0</v>
      </c>
      <c r="H18" s="222"/>
    </row>
    <row r="19" spans="1:8" ht="13" x14ac:dyDescent="0.25">
      <c r="A19" s="133"/>
      <c r="B19" s="204"/>
      <c r="C19" s="202" t="s">
        <v>5638</v>
      </c>
      <c r="D19" s="198">
        <f>MIN(_xlfn.ANCHORARRAY(D23))</f>
        <v>149.12</v>
      </c>
      <c r="E19" s="198">
        <f t="shared" ref="E19:G19" si="1">MIN(_xlfn.ANCHORARRAY(E23))</f>
        <v>6.2133333333333332E-2</v>
      </c>
      <c r="F19" s="198">
        <f t="shared" si="1"/>
        <v>0</v>
      </c>
      <c r="G19" s="215">
        <f t="shared" si="1"/>
        <v>0</v>
      </c>
      <c r="H19" s="131"/>
    </row>
    <row r="20" spans="1:8" ht="13" x14ac:dyDescent="0.25">
      <c r="A20" s="133"/>
      <c r="B20" s="204"/>
      <c r="C20" s="202" t="s">
        <v>5639</v>
      </c>
      <c r="D20" s="198">
        <f>AVERAGE(_xlfn.ANCHORARRAY(D23))</f>
        <v>221.67393745895504</v>
      </c>
      <c r="E20" s="198">
        <f t="shared" ref="E20:G20" si="2">AVERAGE(_xlfn.ANCHORARRAY(E23))</f>
        <v>9.2390198831598824E-2</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270">_xlfn.UNIQUE(_xlfn._xlws.FILTER('EPD List'!D:D,ISNUMBER(SEARCH(B16,'EPD List'!C:C)),0))</f>
        <v>Concrete, 25 MPa, in-situ, no reinforcement, (SE252E2) (Ecopact) (Holcim) (SA) (Adelaide)</v>
      </c>
      <c r="C23" s="132" t="str" cm="1">
        <f t="array" ref="C23:C270">_xlfn.IFNA(INDEX('EPD List'!$A:$AB,MATCH(_xlfn.ANCHORARRAY(B23),'EPD List'!$D:$D,0),MATCH(C$16,'EPD List'!$7:$7,0)),"")</f>
        <v>m³</v>
      </c>
      <c r="D23" s="198" cm="1">
        <f t="array" ref="D23:D270">_xlfn.IFNA(VALUE((INDEX('EPD List'!$A:$AD,MATCH(_xlfn.ANCHORARRAY($B23),'EPD List'!$D:$D,0),MATCH(D$16,'EPD List'!$7:$7,0)))),"")</f>
        <v>213.32</v>
      </c>
      <c r="E23" s="198" cm="1">
        <f t="array" ref="E23:E270">_xlfn.IFNA(VALUE((INDEX('EPD List'!$A:$AD,MATCH(_xlfn.ANCHORARRAY($B23),'EPD List'!$D:$D,0),MATCH(E$16,'EPD List'!$7:$7,0)))),"")</f>
        <v>8.8883333333333328E-2</v>
      </c>
      <c r="F23" s="198" cm="1">
        <f t="array" ref="F23:F270">_xlfn.IFNA(VALUE((INDEX('EPD List'!$A:$AD,MATCH(_xlfn.ANCHORARRAY($B23),'EPD List'!$D:$D,0),MATCH(F$16,'EPD List'!$7:$7,0)))),"")</f>
        <v>0</v>
      </c>
      <c r="G23" s="215" cm="1">
        <f t="array" ref="G23:G270">_xlfn.IFNA(VALUE((INDEX('EPD List'!$A:$AD,MATCH(_xlfn.ANCHORARRAY($B23),'EPD List'!$D:$D,0),MATCH(G$16,'EPD List'!$7:$7,0)))),"")</f>
        <v>0</v>
      </c>
      <c r="H23" s="131"/>
    </row>
    <row r="24" spans="1:8" x14ac:dyDescent="0.25">
      <c r="A24" s="133"/>
      <c r="B24" s="204" t="str">
        <v>Concrete, 25 MPa, in-situ, no reinforcement, (SE252E3) (Ecopact) (Holcim) (SA) (Adelaide)</v>
      </c>
      <c r="C24" s="132" t="str">
        <v>m³</v>
      </c>
      <c r="D24" s="198">
        <v>214.32</v>
      </c>
      <c r="E24" s="198">
        <v>8.9300000000000004E-2</v>
      </c>
      <c r="F24" s="198">
        <v>0</v>
      </c>
      <c r="G24" s="215">
        <v>0</v>
      </c>
      <c r="H24" s="131"/>
    </row>
    <row r="25" spans="1:8" x14ac:dyDescent="0.25">
      <c r="A25" s="133"/>
      <c r="B25" s="204" t="str">
        <v>Concrete, 25 MPa, in-situ, no reinforcement, (KM2510B)(GB) (BCG) (WA), (Perth)</v>
      </c>
      <c r="C25" s="132" t="str">
        <v>m³</v>
      </c>
      <c r="D25" s="198">
        <v>292.43</v>
      </c>
      <c r="E25" s="198">
        <v>0.12184583333333333</v>
      </c>
      <c r="F25" s="198">
        <v>0</v>
      </c>
      <c r="G25" s="215">
        <v>0</v>
      </c>
      <c r="H25" s="131"/>
    </row>
    <row r="26" spans="1:8" x14ac:dyDescent="0.25">
      <c r="A26" s="133"/>
      <c r="B26" s="204" t="str">
        <v>Concrete, 25 MPa, in-situ, no reinforcement, (SE252E56) (Ecopact) (Holcim) (SA) (Adelaide)</v>
      </c>
      <c r="C26" s="132" t="str">
        <v>m³</v>
      </c>
      <c r="D26" s="198">
        <v>221.32</v>
      </c>
      <c r="E26" s="198">
        <v>9.2216666666666669E-2</v>
      </c>
      <c r="F26" s="198">
        <v>0</v>
      </c>
      <c r="G26" s="215">
        <v>0</v>
      </c>
      <c r="H26" s="131"/>
    </row>
    <row r="27" spans="1:8" x14ac:dyDescent="0.25">
      <c r="A27" s="133"/>
      <c r="B27" s="204" t="str">
        <v>Concrete, 25 MPa, in-situ, no reinforcement, (VE252EF2) (Ecopact) (Holcim) (VIC)</v>
      </c>
      <c r="C27" s="132" t="str">
        <v>m³</v>
      </c>
      <c r="D27" s="198">
        <v>214.27</v>
      </c>
      <c r="E27" s="198">
        <v>8.9279166666666673E-2</v>
      </c>
      <c r="F27" s="198">
        <v>0</v>
      </c>
      <c r="G27" s="215">
        <v>0</v>
      </c>
      <c r="H27" s="131"/>
    </row>
    <row r="28" spans="1:8" x14ac:dyDescent="0.25">
      <c r="A28" s="133"/>
      <c r="B28" s="204" t="str">
        <v>Concrete, 25 MPa, in-situ, no reinforcement, (VE251E2) (Ecopact) (Holcim) (VIC)</v>
      </c>
      <c r="C28" s="132" t="str">
        <v>m³</v>
      </c>
      <c r="D28" s="198">
        <v>218.27</v>
      </c>
      <c r="E28" s="198">
        <v>9.0945833333333337E-2</v>
      </c>
      <c r="F28" s="198">
        <v>0</v>
      </c>
      <c r="G28" s="215">
        <v>0</v>
      </c>
      <c r="H28" s="131"/>
    </row>
    <row r="29" spans="1:8" x14ac:dyDescent="0.25">
      <c r="A29" s="133"/>
      <c r="B29" s="204" t="str">
        <v>Concrete, 25 MPa, in-situ, no reinforcement, (VE252E56) (Ecopact) (Holcim) (VIC)</v>
      </c>
      <c r="C29" s="132" t="str">
        <v>m³</v>
      </c>
      <c r="D29" s="198">
        <v>229.27</v>
      </c>
      <c r="E29" s="198">
        <v>9.5529166666666665E-2</v>
      </c>
      <c r="F29" s="198">
        <v>0</v>
      </c>
      <c r="G29" s="215">
        <v>0</v>
      </c>
      <c r="H29" s="131"/>
    </row>
    <row r="30" spans="1:8" x14ac:dyDescent="0.25">
      <c r="A30" s="133"/>
      <c r="B30" s="204" t="str">
        <v>Concrete, 25 MPa, in-situ, no reinforcement, (QE252ESF1) (Ecopact) (Holcim) (QLD) (Brisbane)</v>
      </c>
      <c r="C30" s="132" t="str">
        <v>m³</v>
      </c>
      <c r="D30" s="198">
        <v>204.23</v>
      </c>
      <c r="E30" s="198">
        <v>8.5095833333333343E-2</v>
      </c>
      <c r="F30" s="198">
        <v>0</v>
      </c>
      <c r="G30" s="215">
        <v>0</v>
      </c>
      <c r="H30" s="131"/>
    </row>
    <row r="31" spans="1:8" x14ac:dyDescent="0.25">
      <c r="A31" s="133"/>
      <c r="B31" s="204" t="str">
        <v>Concrete, 25 MPa, in-situ, no reinforcement, (QE251E)(Ecopact) (Holcim) (QLD) (Sunshine Coast)</v>
      </c>
      <c r="C31" s="132" t="str">
        <v>m³</v>
      </c>
      <c r="D31" s="198">
        <v>165.18</v>
      </c>
      <c r="E31" s="198">
        <v>6.8825000000000011E-2</v>
      </c>
      <c r="F31" s="198">
        <v>0</v>
      </c>
      <c r="G31" s="215">
        <v>0</v>
      </c>
      <c r="H31" s="131"/>
    </row>
    <row r="32" spans="1:8" x14ac:dyDescent="0.25">
      <c r="A32" s="133"/>
      <c r="B32" s="204" t="str">
        <v>Concrete, 25 MPa, in-situ, no reinforcement, (QE251E100)(Ecopact) (Holcim) (QLD) (Sunshine Coast)</v>
      </c>
      <c r="C32" s="132" t="str">
        <v>m³</v>
      </c>
      <c r="D32" s="198">
        <v>168.18</v>
      </c>
      <c r="E32" s="198">
        <v>7.0075000000000012E-2</v>
      </c>
      <c r="F32" s="198">
        <v>0</v>
      </c>
      <c r="G32" s="215">
        <v>0</v>
      </c>
      <c r="H32" s="131"/>
    </row>
    <row r="33" spans="1:8" x14ac:dyDescent="0.25">
      <c r="A33" s="133"/>
      <c r="B33" s="204" t="str">
        <v>Concrete, 25 MPa, in-situ, no reinforcement, (QE252E)(Ecopact) (Holcim) (QLD) (Sunshine Coast)</v>
      </c>
      <c r="C33" s="132" t="str">
        <v>m³</v>
      </c>
      <c r="D33" s="198">
        <v>172.17</v>
      </c>
      <c r="E33" s="198">
        <v>7.173750000000001E-2</v>
      </c>
      <c r="F33" s="198">
        <v>0</v>
      </c>
      <c r="G33" s="215">
        <v>0</v>
      </c>
      <c r="H33" s="131"/>
    </row>
    <row r="34" spans="1:8" x14ac:dyDescent="0.25">
      <c r="A34" s="133"/>
      <c r="B34" s="204" t="str">
        <v>Concrete, 25 MPa, in-situ, no reinforcement, (Futurecrete®
N class GP/GL:Slag
25 MPa) (Adbri) (QLD)</v>
      </c>
      <c r="C34" s="132" t="str">
        <v>m³</v>
      </c>
      <c r="D34" s="198">
        <v>198.19399999999999</v>
      </c>
      <c r="E34" s="198">
        <v>8.2580833333333339E-2</v>
      </c>
      <c r="F34" s="198">
        <v>0</v>
      </c>
      <c r="G34" s="215">
        <v>0</v>
      </c>
      <c r="H34" s="131"/>
    </row>
    <row r="35" spans="1:8" x14ac:dyDescent="0.25">
      <c r="A35" s="133"/>
      <c r="B35" s="204" t="str">
        <v>Concrete, 25 MPa, in-situ, no reinforcement, (QE252E100)(Ecopact) (Holcim) (QLD) (Sunshine Coast)</v>
      </c>
      <c r="C35" s="132" t="str">
        <v>m³</v>
      </c>
      <c r="D35" s="198">
        <v>174.17</v>
      </c>
      <c r="E35" s="198">
        <v>7.2570833333333334E-2</v>
      </c>
      <c r="F35" s="198">
        <v>0</v>
      </c>
      <c r="G35" s="215">
        <v>0</v>
      </c>
      <c r="H35" s="131"/>
    </row>
    <row r="36" spans="1:8" x14ac:dyDescent="0.25">
      <c r="A36" s="133"/>
      <c r="B36" s="204" t="str">
        <v>Concrete, 25 MPa, in-situ, no reinforcement, (25MPa 10MM BLOCKMIX) (Adbri) (QLD)</v>
      </c>
      <c r="C36" s="132" t="str">
        <v>m³</v>
      </c>
      <c r="D36" s="198">
        <v>264.24599999999998</v>
      </c>
      <c r="E36" s="198">
        <v>0.11010250000000001</v>
      </c>
      <c r="F36" s="198">
        <v>0</v>
      </c>
      <c r="G36" s="215">
        <v>0</v>
      </c>
      <c r="H36" s="131"/>
    </row>
    <row r="37" spans="1:8" x14ac:dyDescent="0.25">
      <c r="A37" s="133"/>
      <c r="B37" s="204" t="str">
        <v>Concrete, 25 MPa, in-situ, no reinforcement, (Futurecrete®  Ultra
N Class GP/GL:Slag
25 MPa) (Adbri) (VIC)</v>
      </c>
      <c r="C37" s="132" t="str">
        <v>m³</v>
      </c>
      <c r="D37" s="198">
        <v>161.15</v>
      </c>
      <c r="E37" s="198">
        <v>6.7145833333333321E-2</v>
      </c>
      <c r="F37" s="198">
        <v>0</v>
      </c>
      <c r="G37" s="215">
        <v>0</v>
      </c>
      <c r="H37" s="131"/>
    </row>
    <row r="38" spans="1:8" x14ac:dyDescent="0.25">
      <c r="A38" s="133"/>
      <c r="B38" s="204" t="str">
        <v>Concrete, 25 MPa, in-situ, no reinforcement, (NE252E1A1)(Ecopact) (Holcim) (NSW), (Sydney)</v>
      </c>
      <c r="C38" s="132" t="str">
        <v>m³</v>
      </c>
      <c r="D38" s="198">
        <v>209.19</v>
      </c>
      <c r="E38" s="198">
        <v>8.7162500000000004E-2</v>
      </c>
      <c r="F38" s="198">
        <v>0</v>
      </c>
      <c r="G38" s="215">
        <v>0</v>
      </c>
      <c r="H38" s="131"/>
    </row>
    <row r="39" spans="1:8" x14ac:dyDescent="0.25">
      <c r="A39" s="133"/>
      <c r="B39" s="204" t="str">
        <v>Concrete, 25 MPa, in-situ, no reinforcement, (QE251L100)(Ecopact) (Holcim) (QLD) (Sunshine Coast)</v>
      </c>
      <c r="C39" s="132" t="str">
        <v>m³</v>
      </c>
      <c r="D39" s="198">
        <v>223.2</v>
      </c>
      <c r="E39" s="198">
        <v>9.2999999999999999E-2</v>
      </c>
      <c r="F39" s="198">
        <v>0</v>
      </c>
      <c r="G39" s="215">
        <v>0</v>
      </c>
      <c r="H39" s="131"/>
    </row>
    <row r="40" spans="1:8" x14ac:dyDescent="0.25">
      <c r="A40" s="133"/>
      <c r="B40" s="204" t="str">
        <v>Concrete, 25 MPa, in-situ, no reinforcement, (QE252L)(Ecopact) (Holcim) (QLD) (Sunshine Coast)</v>
      </c>
      <c r="C40" s="132" t="str">
        <v>m³</v>
      </c>
      <c r="D40" s="198">
        <v>213.19</v>
      </c>
      <c r="E40" s="198">
        <v>8.8829166666666667E-2</v>
      </c>
      <c r="F40" s="198">
        <v>0</v>
      </c>
      <c r="G40" s="215">
        <v>0</v>
      </c>
      <c r="H40" s="131"/>
    </row>
    <row r="41" spans="1:8" x14ac:dyDescent="0.25">
      <c r="A41" s="133"/>
      <c r="B41" s="204" t="str">
        <v>Concrete, 25 MPa, in-situ, no reinforcement, (Futurecrete®
Ultra N class GP/ GL:Slag 25 MPa) (Adbri) (QLD)</v>
      </c>
      <c r="C41" s="132" t="str">
        <v>m³</v>
      </c>
      <c r="D41" s="198">
        <v>201.173</v>
      </c>
      <c r="E41" s="198">
        <v>8.3822083333333339E-2</v>
      </c>
      <c r="F41" s="198">
        <v>0</v>
      </c>
      <c r="G41" s="215">
        <v>0</v>
      </c>
      <c r="H41" s="131"/>
    </row>
    <row r="42" spans="1:8" x14ac:dyDescent="0.25">
      <c r="A42" s="133"/>
      <c r="B42" s="204" t="str">
        <v>Concrete, 25 MPa, in-situ, no reinforcement, (NE251EBMX)(Ecopact) (Holcim) (NSW), (Sydney)</v>
      </c>
      <c r="C42" s="132" t="str">
        <v>m³</v>
      </c>
      <c r="D42" s="198">
        <v>168.14</v>
      </c>
      <c r="E42" s="198">
        <v>7.0058333333333334E-2</v>
      </c>
      <c r="F42" s="198">
        <v>0</v>
      </c>
      <c r="G42" s="215">
        <v>0</v>
      </c>
      <c r="H42" s="131"/>
    </row>
    <row r="43" spans="1:8" x14ac:dyDescent="0.25">
      <c r="A43" s="133"/>
      <c r="B43" s="204" t="str">
        <v>Concrete, 25 MPa, in-situ, no reinforcement, (NE252E1)(Ecopact) (Holcim) (NSW), (Sydney)</v>
      </c>
      <c r="C43" s="132" t="str">
        <v>m³</v>
      </c>
      <c r="D43" s="198">
        <v>149.12</v>
      </c>
      <c r="E43" s="198">
        <v>6.2133333333333332E-2</v>
      </c>
      <c r="F43" s="198">
        <v>0</v>
      </c>
      <c r="G43" s="215">
        <v>0</v>
      </c>
      <c r="H43" s="131"/>
    </row>
    <row r="44" spans="1:8" x14ac:dyDescent="0.25">
      <c r="A44" s="133"/>
      <c r="B44" s="204" t="str">
        <v>Concrete, 25 MPa, in-situ, no reinforcement, (NE252E5)(Ecopact) (Holcim) (NSW), (Sydney)</v>
      </c>
      <c r="C44" s="132" t="str">
        <v>m³</v>
      </c>
      <c r="D44" s="198">
        <v>149.12</v>
      </c>
      <c r="E44" s="198">
        <v>6.2133333333333332E-2</v>
      </c>
      <c r="F44" s="198">
        <v>0</v>
      </c>
      <c r="G44" s="215">
        <v>0</v>
      </c>
      <c r="H44" s="131"/>
    </row>
    <row r="45" spans="1:8" x14ac:dyDescent="0.25">
      <c r="A45" s="133"/>
      <c r="B45" s="204" t="str">
        <v>Concrete, 25 MPa, in-situ, no reinforcement, (NE251E1)(Ecopact) (Holcim) (NSW), (Sydney)</v>
      </c>
      <c r="C45" s="132" t="str">
        <v>m³</v>
      </c>
      <c r="D45" s="198">
        <v>153.12</v>
      </c>
      <c r="E45" s="198">
        <v>6.3799999999999996E-2</v>
      </c>
      <c r="F45" s="198">
        <v>0</v>
      </c>
      <c r="G45" s="215">
        <v>0</v>
      </c>
      <c r="H45" s="131"/>
    </row>
    <row r="46" spans="1:8" x14ac:dyDescent="0.25">
      <c r="A46" s="133"/>
      <c r="B46" s="204" t="str">
        <v>Concrete, 25 MPa, in-situ, no reinforcement, (NE251E5)(Ecopact) (Holcim) (NSW), (Sydney)</v>
      </c>
      <c r="C46" s="132" t="str">
        <v>m³</v>
      </c>
      <c r="D46" s="198">
        <v>153.12</v>
      </c>
      <c r="E46" s="198">
        <v>6.3799999999999996E-2</v>
      </c>
      <c r="F46" s="198">
        <v>0</v>
      </c>
      <c r="G46" s="215">
        <v>0</v>
      </c>
      <c r="H46" s="131"/>
    </row>
    <row r="47" spans="1:8" x14ac:dyDescent="0.25">
      <c r="A47" s="133"/>
      <c r="B47" s="204" t="str">
        <v>Concrete, 25 MPa, in-situ, no reinforcement, (QE257EBMX) (Ecopact) (Holcim) (QLD), Gold Coast</v>
      </c>
      <c r="C47" s="132" t="str">
        <v>m³</v>
      </c>
      <c r="D47" s="198">
        <v>204.16</v>
      </c>
      <c r="E47" s="198">
        <v>8.5066666666666679E-2</v>
      </c>
      <c r="F47" s="198">
        <v>0</v>
      </c>
      <c r="G47" s="215">
        <v>0</v>
      </c>
      <c r="H47" s="131"/>
    </row>
    <row r="48" spans="1:8" x14ac:dyDescent="0.25">
      <c r="A48" s="133"/>
      <c r="B48" s="204" t="str">
        <v>Concrete, 25 MPa, in-situ, no reinforcement, (QE251E100) (Ecopact) (Holcim) (QLD), Gold Coast</v>
      </c>
      <c r="C48" s="132" t="str">
        <v>m³</v>
      </c>
      <c r="D48" s="198">
        <v>167.13</v>
      </c>
      <c r="E48" s="198">
        <v>6.9637499999999991E-2</v>
      </c>
      <c r="F48" s="198">
        <v>0</v>
      </c>
      <c r="G48" s="215">
        <v>0</v>
      </c>
      <c r="H48" s="131"/>
    </row>
    <row r="49" spans="1:8" x14ac:dyDescent="0.25">
      <c r="A49" s="133"/>
      <c r="B49" s="204" t="str">
        <v>Concrete, 25 MPa, in-situ, no reinforcement, (QE253EBMX) (Ecopact) (Holcim) (QLD) (Brisbane)</v>
      </c>
      <c r="C49" s="132" t="str">
        <v>m³</v>
      </c>
      <c r="D49" s="198">
        <v>221.17</v>
      </c>
      <c r="E49" s="198">
        <v>9.2154166666666676E-2</v>
      </c>
      <c r="F49" s="198">
        <v>0</v>
      </c>
      <c r="G49" s="215">
        <v>0</v>
      </c>
      <c r="H49" s="131"/>
    </row>
    <row r="50" spans="1:8" x14ac:dyDescent="0.25">
      <c r="A50" s="133"/>
      <c r="B50" s="204" t="str">
        <v>Concrete, 25 MPa, in-situ, no reinforcement, (Futurecrete®
N class GP/GL:FA
25 MPa) (Adbri) (QLD)</v>
      </c>
      <c r="C50" s="132" t="str">
        <v>m³</v>
      </c>
      <c r="D50" s="198">
        <v>245.18799999999999</v>
      </c>
      <c r="E50" s="198">
        <v>0.10216166666666666</v>
      </c>
      <c r="F50" s="198">
        <v>0</v>
      </c>
      <c r="G50" s="215">
        <v>0</v>
      </c>
      <c r="H50" s="131"/>
    </row>
    <row r="51" spans="1:8" x14ac:dyDescent="0.25">
      <c r="A51" s="133"/>
      <c r="B51" s="204" t="str">
        <v>Concrete, 25 MPa, in-situ, no reinforcement, (QE253EBMX) (Ecopact) (Holcim) (QLD), Gold Coast</v>
      </c>
      <c r="C51" s="132" t="str">
        <v>m³</v>
      </c>
      <c r="D51" s="198">
        <v>222.17</v>
      </c>
      <c r="E51" s="198">
        <v>9.2570833333333338E-2</v>
      </c>
      <c r="F51" s="198">
        <v>0</v>
      </c>
      <c r="G51" s="215">
        <v>0</v>
      </c>
      <c r="H51" s="131"/>
    </row>
    <row r="52" spans="1:8" x14ac:dyDescent="0.25">
      <c r="A52" s="133"/>
      <c r="B52" s="204" t="str">
        <v>Concrete, 25 MPa, in-situ, no reinforcement, (Adbri concrete
N class GP/GL
25 MPa) (Adbri) (QLD)</v>
      </c>
      <c r="C52" s="132" t="str">
        <v>m³</v>
      </c>
      <c r="D52" s="198">
        <v>279.20999999999998</v>
      </c>
      <c r="E52" s="198">
        <v>0.11633750000000001</v>
      </c>
      <c r="F52" s="198">
        <v>0</v>
      </c>
      <c r="G52" s="215">
        <v>0</v>
      </c>
      <c r="H52" s="131"/>
    </row>
    <row r="53" spans="1:8" x14ac:dyDescent="0.25">
      <c r="A53" s="133"/>
      <c r="B53" s="204" t="str">
        <v>Concrete, 25 MPa, in-situ, no reinforcement, (QE251EEZY) (Ecopact) (Holcim) (QLD) (Brisbane)</v>
      </c>
      <c r="C53" s="132" t="str">
        <v>m³</v>
      </c>
      <c r="D53" s="198">
        <v>175.13</v>
      </c>
      <c r="E53" s="198">
        <v>7.2970833333333332E-2</v>
      </c>
      <c r="F53" s="198">
        <v>0</v>
      </c>
      <c r="G53" s="215">
        <v>0</v>
      </c>
      <c r="H53" s="131"/>
    </row>
    <row r="54" spans="1:8" x14ac:dyDescent="0.25">
      <c r="A54" s="133"/>
      <c r="B54" s="204" t="str">
        <v>Concrete, 25 MPa, in-situ, no reinforcement, (QE251EL21) (Ecopact) (Holcim) (QLD) (Brisbane)</v>
      </c>
      <c r="C54" s="132" t="str">
        <v>m³</v>
      </c>
      <c r="D54" s="198">
        <v>175.13</v>
      </c>
      <c r="E54" s="198">
        <v>7.2970833333333332E-2</v>
      </c>
      <c r="F54" s="198">
        <v>0</v>
      </c>
      <c r="G54" s="215">
        <v>0</v>
      </c>
      <c r="H54" s="131"/>
    </row>
    <row r="55" spans="1:8" x14ac:dyDescent="0.25">
      <c r="A55" s="133"/>
      <c r="B55" s="204" t="str">
        <v>Concrete, 25 MPa, in-situ, no reinforcement, (QE251E100) (Ecopact) (Holcim) (QLD) (Brisbane)</v>
      </c>
      <c r="C55" s="132" t="str">
        <v>m³</v>
      </c>
      <c r="D55" s="198">
        <v>164.12</v>
      </c>
      <c r="E55" s="198">
        <v>6.8383333333333324E-2</v>
      </c>
      <c r="F55" s="198">
        <v>0</v>
      </c>
      <c r="G55" s="215">
        <v>0</v>
      </c>
      <c r="H55" s="131"/>
    </row>
    <row r="56" spans="1:8" x14ac:dyDescent="0.25">
      <c r="A56" s="133"/>
      <c r="B56" s="204" t="str">
        <v>Concrete, 25 MPa, in-situ, no reinforcement, (QE257EBMX) (Ecopact) (Holcim) (QLD) (Brisbane)</v>
      </c>
      <c r="C56" s="132" t="str">
        <v>m³</v>
      </c>
      <c r="D56" s="198">
        <v>206.15</v>
      </c>
      <c r="E56" s="198">
        <v>8.5895833333333324E-2</v>
      </c>
      <c r="F56" s="198">
        <v>0</v>
      </c>
      <c r="G56" s="215">
        <v>0</v>
      </c>
      <c r="H56" s="131"/>
    </row>
    <row r="57" spans="1:8" x14ac:dyDescent="0.25">
      <c r="A57" s="133"/>
      <c r="B57" s="204" t="str">
        <v>Concrete, 25 MPa, in-situ, no reinforcement, (QE252E100) (Ecopact) (Holcim) (QLD) (Brisbane)</v>
      </c>
      <c r="C57" s="132" t="str">
        <v>m³</v>
      </c>
      <c r="D57" s="198">
        <v>165.12</v>
      </c>
      <c r="E57" s="198">
        <v>6.88E-2</v>
      </c>
      <c r="F57" s="198">
        <v>0</v>
      </c>
      <c r="G57" s="215">
        <v>0</v>
      </c>
      <c r="H57" s="131"/>
    </row>
    <row r="58" spans="1:8" x14ac:dyDescent="0.25">
      <c r="A58" s="133"/>
      <c r="B58" s="204" t="str">
        <v>Concrete, 25 MPa, in-situ, no reinforcement, (QE252EEZY) (Ecopact) (Holcim) (QLD), Gold Coast</v>
      </c>
      <c r="C58" s="132" t="str">
        <v>m³</v>
      </c>
      <c r="D58" s="198">
        <v>179.13</v>
      </c>
      <c r="E58" s="198">
        <v>7.4637499999999996E-2</v>
      </c>
      <c r="F58" s="198">
        <v>0</v>
      </c>
      <c r="G58" s="215">
        <v>0</v>
      </c>
      <c r="H58" s="131"/>
    </row>
    <row r="59" spans="1:8" x14ac:dyDescent="0.25">
      <c r="A59" s="133"/>
      <c r="B59" s="204" t="str">
        <v>Concrete, 25 MPa, in-situ, no reinforcement, (QE251E) (Ecopact) (Holcim) (QLD), Gold Coast</v>
      </c>
      <c r="C59" s="132" t="str">
        <v>m³</v>
      </c>
      <c r="D59" s="198">
        <v>167.12</v>
      </c>
      <c r="E59" s="198">
        <v>6.9633333333333325E-2</v>
      </c>
      <c r="F59" s="198">
        <v>0</v>
      </c>
      <c r="G59" s="215">
        <v>0</v>
      </c>
      <c r="H59" s="131"/>
    </row>
    <row r="60" spans="1:8" x14ac:dyDescent="0.25">
      <c r="A60" s="133"/>
      <c r="B60" s="204" t="str">
        <v>Concrete, 25 MPa, in-situ, no reinforcement, (BF2503B)(GB) (BCG) (WA), (Perth)</v>
      </c>
      <c r="C60" s="132" t="str">
        <v>m³</v>
      </c>
      <c r="D60" s="198">
        <v>279.2</v>
      </c>
      <c r="E60" s="198">
        <v>0.11633333333333334</v>
      </c>
      <c r="F60" s="198">
        <v>0</v>
      </c>
      <c r="G60" s="215">
        <v>0</v>
      </c>
      <c r="H60" s="131"/>
    </row>
    <row r="61" spans="1:8" x14ac:dyDescent="0.25">
      <c r="A61" s="133"/>
      <c r="B61" s="204" t="str">
        <v>Concrete, 25 MPa, in-situ, no reinforcement, (QE251EL21) (Ecopact) (Holcim) (QLD), Gold Coast</v>
      </c>
      <c r="C61" s="132" t="str">
        <v>m³</v>
      </c>
      <c r="D61" s="198">
        <v>184.13</v>
      </c>
      <c r="E61" s="198">
        <v>7.6720833333333321E-2</v>
      </c>
      <c r="F61" s="198">
        <v>0</v>
      </c>
      <c r="G61" s="215">
        <v>0</v>
      </c>
      <c r="H61" s="131"/>
    </row>
    <row r="62" spans="1:8" x14ac:dyDescent="0.25">
      <c r="A62" s="133"/>
      <c r="B62" s="204" t="str">
        <v>Concrete, 25 MPa, in-situ, no reinforcement, (QE252EEZY) (Ecopact) (Holcim) (QLD) (Brisbane)</v>
      </c>
      <c r="C62" s="132" t="str">
        <v>m³</v>
      </c>
      <c r="D62" s="198">
        <v>171.12</v>
      </c>
      <c r="E62" s="198">
        <v>7.1299999999999988E-2</v>
      </c>
      <c r="F62" s="198">
        <v>0</v>
      </c>
      <c r="G62" s="215">
        <v>0</v>
      </c>
      <c r="H62" s="131"/>
    </row>
    <row r="63" spans="1:8" x14ac:dyDescent="0.25">
      <c r="A63" s="133"/>
      <c r="B63" s="204" t="str">
        <v>Concrete, 25 MPa, in-situ, no reinforcement, (QE252E100) (Ecopact) (Holcim) (QLD), Gold Coast</v>
      </c>
      <c r="C63" s="132" t="str">
        <v>m³</v>
      </c>
      <c r="D63" s="198">
        <v>173.12</v>
      </c>
      <c r="E63" s="198">
        <v>7.2133333333333327E-2</v>
      </c>
      <c r="F63" s="198">
        <v>0</v>
      </c>
      <c r="G63" s="215">
        <v>0</v>
      </c>
      <c r="H63" s="131"/>
    </row>
    <row r="64" spans="1:8" x14ac:dyDescent="0.25">
      <c r="A64" s="133"/>
      <c r="B64" s="204" t="str">
        <v>Concrete, 25 MPa, in-situ, no reinforcement, (Adbri concrete
N class GP/GL:FA
25 MPa) (Adbri) (QLD)</v>
      </c>
      <c r="C64" s="132" t="str">
        <v>m³</v>
      </c>
      <c r="D64" s="198">
        <v>239.16499999999999</v>
      </c>
      <c r="E64" s="198">
        <v>9.9652083333333336E-2</v>
      </c>
      <c r="F64" s="198">
        <v>0</v>
      </c>
      <c r="G64" s="215">
        <v>0</v>
      </c>
      <c r="H64" s="131"/>
    </row>
    <row r="65" spans="1:8" x14ac:dyDescent="0.25">
      <c r="A65" s="133"/>
      <c r="B65" s="204" t="str">
        <v>Concrete, 25 MPa, in-situ, no reinforcement, (QE252E) (Ecopact) (Holcim) (QLD), Gold Coast</v>
      </c>
      <c r="C65" s="132" t="str">
        <v>m³</v>
      </c>
      <c r="D65" s="198">
        <v>160.11000000000001</v>
      </c>
      <c r="E65" s="198">
        <v>6.6712499999999994E-2</v>
      </c>
      <c r="F65" s="198">
        <v>0</v>
      </c>
      <c r="G65" s="215">
        <v>0</v>
      </c>
      <c r="H65" s="131"/>
    </row>
    <row r="66" spans="1:8" x14ac:dyDescent="0.25">
      <c r="A66" s="133"/>
      <c r="B66" s="204" t="str">
        <v>Concrete, 25 MPa, in-situ, no reinforcement, (QE252E) (Ecopact) (Holcim) (QLD) (Brisbane)</v>
      </c>
      <c r="C66" s="132" t="str">
        <v>m³</v>
      </c>
      <c r="D66" s="198">
        <v>163.11000000000001</v>
      </c>
      <c r="E66" s="198">
        <v>6.7962499999999995E-2</v>
      </c>
      <c r="F66" s="198">
        <v>0</v>
      </c>
      <c r="G66" s="215">
        <v>0</v>
      </c>
      <c r="H66" s="131"/>
    </row>
    <row r="67" spans="1:8" x14ac:dyDescent="0.25">
      <c r="A67" s="133"/>
      <c r="B67" s="204" t="str">
        <v>Concrete, 25 MPa, in-situ, no reinforcement, (WE254E1)(Ecopact) (Holcim) (WA), (Perth Metro)</v>
      </c>
      <c r="C67" s="132" t="str">
        <v>m³</v>
      </c>
      <c r="D67" s="198">
        <v>212.14</v>
      </c>
      <c r="E67" s="198">
        <v>8.839166666666666E-2</v>
      </c>
      <c r="F67" s="198">
        <v>0</v>
      </c>
      <c r="G67" s="215">
        <v>0</v>
      </c>
      <c r="H67" s="131"/>
    </row>
    <row r="68" spans="1:8" x14ac:dyDescent="0.25">
      <c r="A68" s="133"/>
      <c r="B68" s="204" t="str">
        <v>Concrete, 25 MPa, in-situ, no reinforcement, (WE251E1)(Ecopact) (Holcim) (WA), (Perth Metro)</v>
      </c>
      <c r="C68" s="132" t="str">
        <v>m³</v>
      </c>
      <c r="D68" s="198">
        <v>213.14</v>
      </c>
      <c r="E68" s="198">
        <v>8.8808333333333322E-2</v>
      </c>
      <c r="F68" s="198">
        <v>0</v>
      </c>
      <c r="G68" s="215">
        <v>0</v>
      </c>
      <c r="H68" s="131"/>
    </row>
    <row r="69" spans="1:8" x14ac:dyDescent="0.25">
      <c r="A69" s="133"/>
      <c r="B69" s="204" t="str">
        <v>Concrete, 25 MPa, in-situ, no reinforcement, (Adbri Concrete N Class GP/GL 25 MPa) (Adbri) (VIC)</v>
      </c>
      <c r="C69" s="132" t="str">
        <v>m³</v>
      </c>
      <c r="D69" s="198">
        <v>238.15</v>
      </c>
      <c r="E69" s="198">
        <v>9.922916666666666E-2</v>
      </c>
      <c r="F69" s="198">
        <v>0</v>
      </c>
      <c r="G69" s="215">
        <v>0</v>
      </c>
      <c r="H69" s="131"/>
    </row>
    <row r="70" spans="1:8" x14ac:dyDescent="0.25">
      <c r="A70" s="133"/>
      <c r="B70" s="204" t="str">
        <v>Concrete, 25 MPa, in-situ, no reinforcement, (QE252L700) (Ecopact) (Holcim) (QLD), Gold Coast</v>
      </c>
      <c r="C70" s="132" t="str">
        <v>m³</v>
      </c>
      <c r="D70" s="198">
        <v>223.14</v>
      </c>
      <c r="E70" s="198">
        <v>9.2974999999999988E-2</v>
      </c>
      <c r="F70" s="198">
        <v>0</v>
      </c>
      <c r="G70" s="215">
        <v>0</v>
      </c>
      <c r="H70" s="131"/>
    </row>
    <row r="71" spans="1:8" x14ac:dyDescent="0.25">
      <c r="A71" s="133"/>
      <c r="B71" s="204" t="str">
        <v>Concrete, 25 MPa, in-situ, no reinforcement, (Adbri Concrete N Class GP:GL 25 MPa
- Winnellie) (Adbri) (NT)</v>
      </c>
      <c r="C71" s="132" t="str">
        <v>m³</v>
      </c>
      <c r="D71" s="198">
        <v>306.19200000000001</v>
      </c>
      <c r="E71" s="198">
        <v>0.12758</v>
      </c>
      <c r="F71" s="198">
        <v>0</v>
      </c>
      <c r="G71" s="215">
        <v>0</v>
      </c>
      <c r="H71" s="131"/>
    </row>
    <row r="72" spans="1:8" x14ac:dyDescent="0.25">
      <c r="A72" s="133"/>
      <c r="B72" s="204" t="str">
        <v>Concrete, 25 MPa, in-situ, no reinforcement, (WE251EKC)(Ecopact) (Holcim) (WA), (Perth Metro)</v>
      </c>
      <c r="C72" s="132" t="str">
        <v>m³</v>
      </c>
      <c r="D72" s="198">
        <v>222.12</v>
      </c>
      <c r="E72" s="198">
        <v>9.2549999999999993E-2</v>
      </c>
      <c r="F72" s="198">
        <v>0</v>
      </c>
      <c r="G72" s="215">
        <v>0</v>
      </c>
      <c r="H72" s="131"/>
    </row>
    <row r="73" spans="1:8" x14ac:dyDescent="0.25">
      <c r="A73" s="133"/>
      <c r="B73" s="204" t="str">
        <v>Concrete, 25 MPa, in-situ, no reinforcement, (VE251EKC) (Ecopact) (Holcim) (VIC)</v>
      </c>
      <c r="C73" s="132" t="str">
        <v>m³</v>
      </c>
      <c r="D73" s="198">
        <v>220.11</v>
      </c>
      <c r="E73" s="198">
        <v>9.1712499999999988E-2</v>
      </c>
      <c r="F73" s="198">
        <v>0</v>
      </c>
      <c r="G73" s="215">
        <v>0</v>
      </c>
      <c r="H73" s="131"/>
    </row>
    <row r="74" spans="1:8" x14ac:dyDescent="0.25">
      <c r="A74" s="133"/>
      <c r="B74" s="204" t="str">
        <v>Concrete, 25 MPa, in-situ, no reinforcement, (WE252EP1)(Ecopact) (Holcim) (WA), (Perth Metro)</v>
      </c>
      <c r="C74" s="132" t="str">
        <v>m³</v>
      </c>
      <c r="D74" s="198">
        <v>208.1</v>
      </c>
      <c r="E74" s="198">
        <v>8.6708333333333332E-2</v>
      </c>
      <c r="F74" s="198">
        <v>0</v>
      </c>
      <c r="G74" s="215">
        <v>0</v>
      </c>
      <c r="H74" s="131"/>
    </row>
    <row r="75" spans="1:8" x14ac:dyDescent="0.25">
      <c r="A75" s="133"/>
      <c r="B75" s="204" t="str">
        <v>Concrete, 25 MPa, in-situ, no reinforcement, (WE254EP1)(Ecopact) (Holcim) (WA), (Perth Metro)</v>
      </c>
      <c r="C75" s="132" t="str">
        <v>m³</v>
      </c>
      <c r="D75" s="198">
        <v>212.1</v>
      </c>
      <c r="E75" s="198">
        <v>8.8374999999999995E-2</v>
      </c>
      <c r="F75" s="198">
        <v>0</v>
      </c>
      <c r="G75" s="215">
        <v>0</v>
      </c>
      <c r="H75" s="131"/>
    </row>
    <row r="76" spans="1:8" x14ac:dyDescent="0.25">
      <c r="A76" s="133"/>
      <c r="B76" s="204" t="str">
        <v>Concrete, 25 MPa, in-situ, no reinforcement, (WE251EBMX)(Ecopact) (Holcim) (WA), (Perth Metro)</v>
      </c>
      <c r="C76" s="132" t="str">
        <v>m³</v>
      </c>
      <c r="D76" s="198">
        <v>217.1</v>
      </c>
      <c r="E76" s="198">
        <v>9.0458333333333335E-2</v>
      </c>
      <c r="F76" s="198">
        <v>0</v>
      </c>
      <c r="G76" s="215">
        <v>0</v>
      </c>
      <c r="H76" s="131"/>
    </row>
    <row r="77" spans="1:8" x14ac:dyDescent="0.25">
      <c r="A77" s="133"/>
      <c r="B77" s="204" t="str">
        <v>Concrete, 25 MPa, in-situ, no reinforcement, (Adbri Concrete N Class GP:GL 25 MPa
- Alice Springs) (Adbri) (NT)</v>
      </c>
      <c r="C77" s="132" t="str">
        <v>m³</v>
      </c>
      <c r="D77" s="198">
        <v>388.137</v>
      </c>
      <c r="E77" s="198">
        <v>0.16172375</v>
      </c>
      <c r="F77" s="198">
        <v>0</v>
      </c>
      <c r="G77" s="215">
        <v>0</v>
      </c>
      <c r="H77" s="131"/>
    </row>
    <row r="78" spans="1:8" x14ac:dyDescent="0.25">
      <c r="A78" s="133"/>
      <c r="B78" s="204" t="str">
        <v>Concrete, 25 MPa, in-situ, no reinforcement, (Adbri Concrete N Class GP:GL 25 MPa
- Katherine) (Adbri) (NT)</v>
      </c>
      <c r="C78" s="132" t="str">
        <v>m³</v>
      </c>
      <c r="D78" s="198">
        <v>298.09429999999998</v>
      </c>
      <c r="E78" s="198">
        <v>0.12420595833333332</v>
      </c>
      <c r="F78" s="198">
        <v>0</v>
      </c>
      <c r="G78" s="215">
        <v>0</v>
      </c>
      <c r="H78" s="131"/>
    </row>
    <row r="79" spans="1:8" x14ac:dyDescent="0.25">
      <c r="A79" s="133"/>
      <c r="B79" s="204" t="str">
        <v>Concrete, 25 MPa, in-situ, no reinforcement, (R2520A)(GP) (BCG) (WA), (Perth)</v>
      </c>
      <c r="C79" s="132" t="str">
        <v>m³</v>
      </c>
      <c r="D79" s="198">
        <v>330.09</v>
      </c>
      <c r="E79" s="198">
        <v>0.13753750000000001</v>
      </c>
      <c r="F79" s="198">
        <v>0</v>
      </c>
      <c r="G79" s="215">
        <v>0</v>
      </c>
      <c r="H79" s="131"/>
    </row>
    <row r="80" spans="1:8" x14ac:dyDescent="0.25">
      <c r="A80" s="133"/>
      <c r="B80" s="204" t="str">
        <v>Concrete, 25 MPa, in-situ, no reinforcement, (General) (Holcim) (NSW)(ACT)</v>
      </c>
      <c r="C80" s="132" t="str">
        <v>m³</v>
      </c>
      <c r="D80" s="198">
        <v>297</v>
      </c>
      <c r="E80" s="198">
        <v>0.12375</v>
      </c>
      <c r="F80" s="198">
        <v>0</v>
      </c>
      <c r="G80" s="215">
        <v>0</v>
      </c>
      <c r="H80" s="131"/>
    </row>
    <row r="81" spans="1:8" x14ac:dyDescent="0.25">
      <c r="A81" s="133"/>
      <c r="B81" s="204" t="str">
        <v>Concrete, 25 MPa, in-situ, no reinforcement, (Fly Ash) (Holcim) (NSW)(ACT)</v>
      </c>
      <c r="C81" s="132" t="str">
        <v>m³</v>
      </c>
      <c r="D81" s="198">
        <v>241</v>
      </c>
      <c r="E81" s="198">
        <v>0.10041666666666667</v>
      </c>
      <c r="F81" s="198">
        <v>0</v>
      </c>
      <c r="G81" s="215">
        <v>0</v>
      </c>
      <c r="H81" s="131"/>
    </row>
    <row r="82" spans="1:8" x14ac:dyDescent="0.25">
      <c r="A82" s="133"/>
      <c r="B82" s="204" t="str">
        <v>Concrete, 25 MPa, in-situ, no reinforcement, (GGBS Slag) (Holcim) (NSW)(ACT)</v>
      </c>
      <c r="C82" s="132" t="str">
        <v>m³</v>
      </c>
      <c r="D82" s="198">
        <v>185</v>
      </c>
      <c r="E82" s="198">
        <v>7.7083333333333337E-2</v>
      </c>
      <c r="F82" s="198">
        <v>0</v>
      </c>
      <c r="G82" s="215">
        <v>0</v>
      </c>
      <c r="H82" s="131"/>
    </row>
    <row r="83" spans="1:8" x14ac:dyDescent="0.25">
      <c r="A83" s="133"/>
      <c r="B83" s="204" t="str">
        <v>Concrete, 25 MPa, in-situ, no reinforcement, (Triple Blend) (Holcim) (NSW)(ACT)</v>
      </c>
      <c r="C83" s="132" t="str">
        <v>m³</v>
      </c>
      <c r="D83" s="198">
        <v>154</v>
      </c>
      <c r="E83" s="198">
        <v>6.4166666666666664E-2</v>
      </c>
      <c r="F83" s="198">
        <v>0</v>
      </c>
      <c r="G83" s="215">
        <v>0</v>
      </c>
      <c r="H83" s="131"/>
    </row>
    <row r="84" spans="1:8" x14ac:dyDescent="0.25">
      <c r="A84" s="133"/>
      <c r="B84" s="204" t="str">
        <v>Concrete, 25 MPa, in-situ, no reinforcement,(General)  (Holcim)  (QLD)</v>
      </c>
      <c r="C84" s="132" t="str">
        <v>m³</v>
      </c>
      <c r="D84" s="198">
        <v>257</v>
      </c>
      <c r="E84" s="198">
        <v>0.10708333333333334</v>
      </c>
      <c r="F84" s="198">
        <v>0</v>
      </c>
      <c r="G84" s="215">
        <v>0</v>
      </c>
      <c r="H84" s="131"/>
    </row>
    <row r="85" spans="1:8" x14ac:dyDescent="0.25">
      <c r="A85" s="133"/>
      <c r="B85" s="204" t="str">
        <v>Concrete, 25 MPa, in-situ, no reinforcement,(Fly Ash)  (Holcim)  (QLD)</v>
      </c>
      <c r="C85" s="132" t="str">
        <v>m³</v>
      </c>
      <c r="D85" s="198">
        <v>219</v>
      </c>
      <c r="E85" s="198">
        <v>9.1249999999999998E-2</v>
      </c>
      <c r="F85" s="198">
        <v>0</v>
      </c>
      <c r="G85" s="215">
        <v>0</v>
      </c>
      <c r="H85" s="131"/>
    </row>
    <row r="86" spans="1:8" x14ac:dyDescent="0.25">
      <c r="A86" s="133"/>
      <c r="B86" s="204" t="str">
        <v>Concrete, 25 MPa, in-situ, no reinforcement,(GGBS Slag)  (Holcim)  (QLD)</v>
      </c>
      <c r="C86" s="132" t="str">
        <v>m³</v>
      </c>
      <c r="D86" s="198">
        <v>172</v>
      </c>
      <c r="E86" s="198">
        <v>7.166666666666667E-2</v>
      </c>
      <c r="F86" s="198">
        <v>0</v>
      </c>
      <c r="G86" s="215">
        <v>0</v>
      </c>
      <c r="H86" s="131"/>
    </row>
    <row r="87" spans="1:8" x14ac:dyDescent="0.25">
      <c r="A87" s="133"/>
      <c r="B87" s="204" t="str">
        <v>Concrete, 25 MPa, in-situ, no reinforcement,(Triple Blend)  (Holcim)  (QLD)</v>
      </c>
      <c r="C87" s="132" t="str">
        <v>m³</v>
      </c>
      <c r="D87" s="198">
        <v>167</v>
      </c>
      <c r="E87" s="198">
        <v>6.958333333333333E-2</v>
      </c>
      <c r="F87" s="198">
        <v>0</v>
      </c>
      <c r="G87" s="215">
        <v>0</v>
      </c>
      <c r="H87" s="131"/>
    </row>
    <row r="88" spans="1:8" x14ac:dyDescent="0.25">
      <c r="A88" s="133"/>
      <c r="B88" s="204" t="str">
        <v>Concrete, 25 MPa, in-situ, no reinforcement, (General) (Holcim) (VIC)</v>
      </c>
      <c r="C88" s="132" t="str">
        <v>m³</v>
      </c>
      <c r="D88" s="198">
        <v>286</v>
      </c>
      <c r="E88" s="198">
        <v>0.11916666666666667</v>
      </c>
      <c r="F88" s="198">
        <v>0</v>
      </c>
      <c r="G88" s="215">
        <v>0</v>
      </c>
      <c r="H88" s="131"/>
    </row>
    <row r="89" spans="1:8" x14ac:dyDescent="0.25">
      <c r="A89" s="133"/>
      <c r="B89" s="204" t="str">
        <v>Concrete, 25 MPa, in-situ, no reinforcement, (Fly Ash) (Holcim) (VIC)</v>
      </c>
      <c r="C89" s="132" t="str">
        <v>m³</v>
      </c>
      <c r="D89" s="198">
        <v>240</v>
      </c>
      <c r="E89" s="198">
        <v>0.1</v>
      </c>
      <c r="F89" s="198">
        <v>0</v>
      </c>
      <c r="G89" s="215">
        <v>0</v>
      </c>
      <c r="H89" s="131"/>
    </row>
    <row r="90" spans="1:8" x14ac:dyDescent="0.25">
      <c r="A90" s="133"/>
      <c r="B90" s="204" t="str">
        <v>Concrete, 25 MPa, in-situ, no reinforcement, (Triple Blend) (Holcim) (VIC)</v>
      </c>
      <c r="C90" s="132" t="str">
        <v>m³</v>
      </c>
      <c r="D90" s="198">
        <v>215</v>
      </c>
      <c r="E90" s="198">
        <v>8.9583333333333334E-2</v>
      </c>
      <c r="F90" s="198">
        <v>0</v>
      </c>
      <c r="G90" s="215">
        <v>0</v>
      </c>
      <c r="H90" s="131"/>
    </row>
    <row r="91" spans="1:8" x14ac:dyDescent="0.25">
      <c r="A91" s="133"/>
      <c r="B91" s="204" t="str">
        <v>Concrete, 25 MPa, in-situ, no reinforcement, (General) (Holcim) (SA)</v>
      </c>
      <c r="C91" s="132" t="str">
        <v>m³</v>
      </c>
      <c r="D91" s="198">
        <v>303</v>
      </c>
      <c r="E91" s="198">
        <v>0.12625</v>
      </c>
      <c r="F91" s="198">
        <v>0</v>
      </c>
      <c r="G91" s="215">
        <v>0</v>
      </c>
      <c r="H91" s="131"/>
    </row>
    <row r="92" spans="1:8" x14ac:dyDescent="0.25">
      <c r="A92" s="133"/>
      <c r="B92" s="204" t="str">
        <v>Concrete,  MPa, in-situ, no reinforcement, (Fly Ash) (Holcim) (SA)</v>
      </c>
      <c r="C92" s="132" t="str">
        <v>m³</v>
      </c>
      <c r="D92" s="198">
        <v>198</v>
      </c>
      <c r="E92" s="198">
        <v>8.2500000000000004E-2</v>
      </c>
      <c r="F92" s="198">
        <v>0</v>
      </c>
      <c r="G92" s="215">
        <v>0</v>
      </c>
      <c r="H92" s="131"/>
    </row>
    <row r="93" spans="1:8" x14ac:dyDescent="0.25">
      <c r="A93" s="133"/>
      <c r="B93" s="204" t="str">
        <v>Concrete,  MPa, in-situ, no reinforcement, (GGBS Slag) (Holcim) (SA)</v>
      </c>
      <c r="C93" s="132" t="str">
        <v>m³</v>
      </c>
      <c r="D93" s="198">
        <v>200</v>
      </c>
      <c r="E93" s="198">
        <v>8.3333333333333329E-2</v>
      </c>
      <c r="F93" s="198">
        <v>0</v>
      </c>
      <c r="G93" s="215">
        <v>0</v>
      </c>
      <c r="H93" s="131"/>
    </row>
    <row r="94" spans="1:8" x14ac:dyDescent="0.25">
      <c r="A94" s="133"/>
      <c r="B94" s="204" t="str">
        <v>Concrete, 25 MPa, in-situ, no reinforcement, (General) (Holcim) (WA)</v>
      </c>
      <c r="C94" s="132" t="str">
        <v>m³</v>
      </c>
      <c r="D94" s="198">
        <v>280</v>
      </c>
      <c r="E94" s="198">
        <v>0.11666666666666667</v>
      </c>
      <c r="F94" s="198">
        <v>0</v>
      </c>
      <c r="G94" s="215">
        <v>0</v>
      </c>
      <c r="H94" s="131"/>
    </row>
    <row r="95" spans="1:8" x14ac:dyDescent="0.25">
      <c r="A95" s="133"/>
      <c r="B95" s="204" t="str">
        <v>Concrete,  MPa, in-situ, no reinforcement, (GGBS Slag) (Holcim) (WA)</v>
      </c>
      <c r="C95" s="132" t="str">
        <v>m³</v>
      </c>
      <c r="D95" s="198">
        <v>207</v>
      </c>
      <c r="E95" s="198">
        <v>8.6249999999999993E-2</v>
      </c>
      <c r="F95" s="198">
        <v>0</v>
      </c>
      <c r="G95" s="215">
        <v>0</v>
      </c>
      <c r="H95" s="131"/>
    </row>
    <row r="96" spans="1:8" x14ac:dyDescent="0.25">
      <c r="A96" s="133"/>
      <c r="B96" s="204" t="str">
        <v>Concrete, 25 MPa, in-situ, no reinforcement, (NE252E151)(Ecopact) (Holcim) (ACT)</v>
      </c>
      <c r="C96" s="132" t="str">
        <v>m³</v>
      </c>
      <c r="D96" s="198">
        <v>184.71</v>
      </c>
      <c r="E96" s="198">
        <v>7.6962500000000003E-2</v>
      </c>
      <c r="F96" s="198">
        <v>0</v>
      </c>
      <c r="G96" s="215">
        <v>0</v>
      </c>
      <c r="H96" s="131"/>
    </row>
    <row r="97" spans="1:8" x14ac:dyDescent="0.25">
      <c r="A97" s="133"/>
      <c r="B97" s="204" t="str">
        <v>Concrete, 25 MPa, in-situ, no reinforcement, (NE252E351)(Ecopact) (Holcim) (ACT)</v>
      </c>
      <c r="C97" s="132" t="str">
        <v>m³</v>
      </c>
      <c r="D97" s="198">
        <v>186.34</v>
      </c>
      <c r="E97" s="198">
        <v>7.7641666666666664E-2</v>
      </c>
      <c r="F97" s="198">
        <v>0</v>
      </c>
      <c r="G97" s="215">
        <v>0</v>
      </c>
      <c r="H97" s="131"/>
    </row>
    <row r="98" spans="1:8" x14ac:dyDescent="0.25">
      <c r="A98" s="133"/>
      <c r="B98" s="204" t="str">
        <v>Concrete, 25 MPa, in-situ, no reinforcement, (NE251E151)(Ecopact) (Holcim) (ACT)</v>
      </c>
      <c r="C98" s="132" t="str">
        <v>m³</v>
      </c>
      <c r="D98" s="198">
        <v>184.94</v>
      </c>
      <c r="E98" s="198">
        <v>7.7058333333333326E-2</v>
      </c>
      <c r="F98" s="198">
        <v>0</v>
      </c>
      <c r="G98" s="215">
        <v>0</v>
      </c>
      <c r="H98" s="131"/>
    </row>
    <row r="99" spans="1:8" x14ac:dyDescent="0.25">
      <c r="A99" s="133"/>
      <c r="B99" s="204" t="str">
        <v>Concrete, 25 MPa, in-situ, no reinforcement, (NE251E351)(Ecopact) (Holcim) (ACT)</v>
      </c>
      <c r="C99" s="132" t="str">
        <v>m³</v>
      </c>
      <c r="D99" s="198">
        <v>186.54</v>
      </c>
      <c r="E99" s="198">
        <v>7.7725000000000002E-2</v>
      </c>
      <c r="F99" s="198">
        <v>0</v>
      </c>
      <c r="G99" s="215">
        <v>0</v>
      </c>
      <c r="H99" s="131"/>
    </row>
    <row r="100" spans="1:8" x14ac:dyDescent="0.25">
      <c r="A100" s="133"/>
      <c r="B100" s="204" t="str">
        <v>Concrete, 25 MPa, in-situ, no reinforcement, (VS251BPV) (Holcim) (VIC)</v>
      </c>
      <c r="C100" s="132" t="str">
        <v>m³</v>
      </c>
      <c r="D100" s="198">
        <v>252.5</v>
      </c>
      <c r="E100" s="198">
        <v>0.10520833333333333</v>
      </c>
      <c r="F100" s="198">
        <v>0</v>
      </c>
      <c r="G100" s="215">
        <v>0</v>
      </c>
      <c r="H100" s="131"/>
    </row>
    <row r="101" spans="1:8" x14ac:dyDescent="0.25">
      <c r="A101" s="133"/>
      <c r="B101" s="204" t="str">
        <v>Concrete, 25 MPa, in-situ, no reinforcement, (VS252BOX) (Holcim) (VIC)</v>
      </c>
      <c r="C101" s="132" t="str">
        <v>m³</v>
      </c>
      <c r="D101" s="198">
        <v>244.19</v>
      </c>
      <c r="E101" s="198">
        <v>0.10174583333333333</v>
      </c>
      <c r="F101" s="198">
        <v>0</v>
      </c>
      <c r="G101" s="215">
        <v>0</v>
      </c>
      <c r="H101" s="131"/>
    </row>
    <row r="102" spans="1:8" x14ac:dyDescent="0.25">
      <c r="A102" s="133"/>
      <c r="B102" s="204" t="str">
        <v>Concrete, 25 MPa, in-situ, no reinforcement, (VX251DM) (Holcim) (VIC)</v>
      </c>
      <c r="C102" s="132" t="str">
        <v>m³</v>
      </c>
      <c r="D102" s="198">
        <v>350.41</v>
      </c>
      <c r="E102" s="198">
        <v>0.14600416666666668</v>
      </c>
      <c r="F102" s="198">
        <v>0</v>
      </c>
      <c r="G102" s="215">
        <v>0</v>
      </c>
      <c r="H102" s="131"/>
    </row>
    <row r="103" spans="1:8" x14ac:dyDescent="0.25">
      <c r="A103" s="133"/>
      <c r="B103" s="204" t="str">
        <v>Concrete, 25 MPa, in-situ, no reinforcement, (VX251OBS) (Holcim) (VIC)</v>
      </c>
      <c r="C103" s="132" t="str">
        <v>m³</v>
      </c>
      <c r="D103" s="198">
        <v>331.82</v>
      </c>
      <c r="E103" s="198">
        <v>0.13825833333333334</v>
      </c>
      <c r="F103" s="198">
        <v>0</v>
      </c>
      <c r="G103" s="215">
        <v>0</v>
      </c>
      <c r="H103" s="131"/>
    </row>
    <row r="104" spans="1:8" x14ac:dyDescent="0.25">
      <c r="A104" s="133"/>
      <c r="B104" s="204" t="str">
        <v>Concrete, 25 MPa, in-situ, no reinforcement, (VS252BHS2) (Holcim) (VIC)</v>
      </c>
      <c r="C104" s="132" t="str">
        <v>m³</v>
      </c>
      <c r="D104" s="198">
        <v>185.25</v>
      </c>
      <c r="E104" s="198">
        <v>7.7187500000000006E-2</v>
      </c>
      <c r="F104" s="198">
        <v>0</v>
      </c>
      <c r="G104" s="215">
        <v>0</v>
      </c>
      <c r="H104" s="131"/>
    </row>
    <row r="105" spans="1:8" x14ac:dyDescent="0.25">
      <c r="A105" s="133"/>
      <c r="B105" s="204" t="str">
        <v>Concrete, 25 MPa, in-situ, no reinforcement, (QE252E)(Holcim) (QLD), (North QLD)</v>
      </c>
      <c r="C105" s="132" t="str">
        <v>m³</v>
      </c>
      <c r="D105" s="198">
        <v>209.71</v>
      </c>
      <c r="E105" s="198">
        <v>8.7379166666666674E-2</v>
      </c>
      <c r="F105" s="198">
        <v>0</v>
      </c>
      <c r="G105" s="215">
        <v>0</v>
      </c>
      <c r="H105" s="131"/>
    </row>
    <row r="106" spans="1:8" x14ac:dyDescent="0.25">
      <c r="A106" s="133"/>
      <c r="B106" s="204" t="str">
        <v>Concrete, 25 MPa, in-situ, no reinforcement, (QE252E1)(Holcim) (QLD), (North QLD)</v>
      </c>
      <c r="C106" s="132" t="str">
        <v>m³</v>
      </c>
      <c r="D106" s="198">
        <v>209.99</v>
      </c>
      <c r="E106" s="198">
        <v>8.7495833333333342E-2</v>
      </c>
      <c r="F106" s="198">
        <v>0</v>
      </c>
      <c r="G106" s="215">
        <v>0</v>
      </c>
      <c r="H106" s="131"/>
    </row>
    <row r="107" spans="1:8" x14ac:dyDescent="0.25">
      <c r="A107" s="133"/>
      <c r="B107" s="204" t="str">
        <v>Concrete, 25 MPa, in-situ, no reinforcement, (QE252EFB1)(Holcim) (QLD), (North QLD)</v>
      </c>
      <c r="C107" s="132" t="str">
        <v>m³</v>
      </c>
      <c r="D107" s="198">
        <v>213.51</v>
      </c>
      <c r="E107" s="198">
        <v>8.89625E-2</v>
      </c>
      <c r="F107" s="198">
        <v>0</v>
      </c>
      <c r="G107" s="215">
        <v>0</v>
      </c>
      <c r="H107" s="131"/>
    </row>
    <row r="108" spans="1:8" x14ac:dyDescent="0.25">
      <c r="A108" s="133"/>
      <c r="B108" s="204" t="str">
        <v>Concrete, 25 MPa, in-situ, no reinforcement, (QE251E)(Holcim) (QLD), (North QLD)</v>
      </c>
      <c r="C108" s="132" t="str">
        <v>m³</v>
      </c>
      <c r="D108" s="198">
        <v>214.63</v>
      </c>
      <c r="E108" s="198">
        <v>8.9429166666666671E-2</v>
      </c>
      <c r="F108" s="198">
        <v>0</v>
      </c>
      <c r="G108" s="215">
        <v>0</v>
      </c>
      <c r="H108" s="131"/>
    </row>
    <row r="109" spans="1:8" x14ac:dyDescent="0.25">
      <c r="A109" s="133"/>
      <c r="B109" s="204" t="str">
        <v>Concrete, 25 MPa, in-situ, no reinforcement, (QE251E1)(Holcim) (QLD), (North QLD)</v>
      </c>
      <c r="C109" s="132" t="str">
        <v>m³</v>
      </c>
      <c r="D109" s="198">
        <v>215.19</v>
      </c>
      <c r="E109" s="198">
        <v>8.9662499999999992E-2</v>
      </c>
      <c r="F109" s="198">
        <v>0</v>
      </c>
      <c r="G109" s="215">
        <v>0</v>
      </c>
      <c r="H109" s="131"/>
    </row>
    <row r="110" spans="1:8" x14ac:dyDescent="0.25">
      <c r="A110" s="133"/>
      <c r="B110" s="204" t="str">
        <v>Concrete, 25 MPa, in-situ, no reinforcement, (QE251EBMX)(Holcim) (QLD), (North QLD)</v>
      </c>
      <c r="C110" s="132" t="str">
        <v>m³</v>
      </c>
      <c r="D110" s="198">
        <v>240.97</v>
      </c>
      <c r="E110" s="198">
        <v>0.10040416666666667</v>
      </c>
      <c r="F110" s="198">
        <v>0</v>
      </c>
      <c r="G110" s="215">
        <v>0</v>
      </c>
      <c r="H110" s="131"/>
    </row>
    <row r="111" spans="1:8" x14ac:dyDescent="0.25">
      <c r="A111" s="133"/>
      <c r="B111" s="204" t="str">
        <v>Concrete, 25 MPa, in-situ, no reinforcement, (Adbri N Class
GP/GL 25 MPa) (Adbri) (SA)</v>
      </c>
      <c r="C111" s="132" t="str">
        <v>m³</v>
      </c>
      <c r="D111" s="198">
        <v>220.53</v>
      </c>
      <c r="E111" s="198">
        <v>9.1887499999999997E-2</v>
      </c>
      <c r="F111" s="198">
        <v>0</v>
      </c>
      <c r="G111" s="215">
        <v>0</v>
      </c>
      <c r="H111" s="131"/>
    </row>
    <row r="112" spans="1:8" x14ac:dyDescent="0.25">
      <c r="A112" s="133"/>
      <c r="B112" s="204" t="str">
        <v>Concrete, 25 MPa, in-situ, no reinforcement, (Adbri Concrete
N Class GP/GL:FA
25 MPa) (Adbri) (NSW)</v>
      </c>
      <c r="C112" s="132" t="str">
        <v>m³</v>
      </c>
      <c r="D112" s="198">
        <v>278.45</v>
      </c>
      <c r="E112" s="198">
        <v>0.11602083333333332</v>
      </c>
      <c r="F112" s="198">
        <v>0</v>
      </c>
      <c r="G112" s="215">
        <v>0</v>
      </c>
      <c r="H112" s="131"/>
    </row>
    <row r="113" spans="1:8" x14ac:dyDescent="0.25">
      <c r="A113" s="133"/>
      <c r="B113" s="204" t="str">
        <v>Concrete, 25 MPa, in-situ, no reinforcement, (S25MPA
KERB&amp;GUTTER MACHINE PLACED
10MM) (Adbri) (NSW)</v>
      </c>
      <c r="C113" s="132" t="str">
        <v>m³</v>
      </c>
      <c r="D113" s="198">
        <v>285.07</v>
      </c>
      <c r="E113" s="198">
        <v>0.11877916666666666</v>
      </c>
      <c r="F113" s="198">
        <v>0</v>
      </c>
      <c r="G113" s="215">
        <v>0</v>
      </c>
      <c r="H113" s="131"/>
    </row>
    <row r="114" spans="1:8" x14ac:dyDescent="0.25">
      <c r="A114" s="133"/>
      <c r="B114" s="204" t="str">
        <v>Concrete, 25 MPa, in-situ, no reinforcement, Pre-mix Concrete Normal Class GP blend (Boral) (ACT), (Canberra) Normal Class GP blend 25MPa</v>
      </c>
      <c r="C114" s="132" t="str">
        <v>m³</v>
      </c>
      <c r="D114" s="198">
        <v>288</v>
      </c>
      <c r="E114" s="198">
        <v>0.12</v>
      </c>
      <c r="F114" s="198">
        <v>0</v>
      </c>
      <c r="G114" s="215">
        <v>0</v>
      </c>
      <c r="H114" s="131"/>
    </row>
    <row r="115" spans="1:8" x14ac:dyDescent="0.25">
      <c r="A115" s="133"/>
      <c r="B115" s="204" t="str">
        <v>Concrete, 25 MPa, in-situ, no reinforcement, Pre-mix Concrete Normal Class GP/FA blend (Boral) (ACT), (Canberra) Normal Class GP/FA blend 25 MPa</v>
      </c>
      <c r="C115" s="132" t="str">
        <v>m³</v>
      </c>
      <c r="D115" s="198">
        <v>231</v>
      </c>
      <c r="E115" s="198">
        <v>9.6250000000000002E-2</v>
      </c>
      <c r="F115" s="198">
        <v>0</v>
      </c>
      <c r="G115" s="215">
        <v>0</v>
      </c>
      <c r="H115" s="131"/>
    </row>
    <row r="116" spans="1:8" x14ac:dyDescent="0.25">
      <c r="A116" s="133"/>
      <c r="B116" s="204" t="str">
        <v>Concrete, 25 MPa, in-situ, no reinforcement, Pre-mix Concrete Normal Class GP/GGBFS blend (Boral) (ACT), (Canberra) Normal Class GP/GGBFS blend 25 MPa</v>
      </c>
      <c r="C116" s="132" t="str">
        <v>m³</v>
      </c>
      <c r="D116" s="198">
        <v>206</v>
      </c>
      <c r="E116" s="198">
        <v>8.5833333333333331E-2</v>
      </c>
      <c r="F116" s="198">
        <v>0</v>
      </c>
      <c r="G116" s="215">
        <v>0</v>
      </c>
      <c r="H116" s="131"/>
    </row>
    <row r="117" spans="1:8" x14ac:dyDescent="0.25">
      <c r="A117" s="133"/>
      <c r="B117" s="204" t="str">
        <v>Concrete, 25 MPa, in-situ, no reinforcement, Pre-mix Concrete ENVIROCRETE 30% (Boral) (ACT), (Canberra) ENVIROCRETE 30% 25 MPa</v>
      </c>
      <c r="C117" s="132" t="str">
        <v>m³</v>
      </c>
      <c r="D117" s="198">
        <v>231</v>
      </c>
      <c r="E117" s="198">
        <v>9.6250000000000002E-2</v>
      </c>
      <c r="F117" s="198">
        <v>0</v>
      </c>
      <c r="G117" s="215">
        <v>0</v>
      </c>
      <c r="H117" s="131"/>
    </row>
    <row r="118" spans="1:8" x14ac:dyDescent="0.25">
      <c r="A118" s="133"/>
      <c r="B118" s="204" t="str">
        <v>Concrete, 25 MPa, in-situ, no reinforcement, Pre-mix Concrete ENVIROCRETE 40% (Boral) (ACT), (Canberra) ENVIROCRETE 40% 25 MPa</v>
      </c>
      <c r="C118" s="132" t="str">
        <v>m³</v>
      </c>
      <c r="D118" s="198">
        <v>210</v>
      </c>
      <c r="E118" s="198">
        <v>8.7499999999999994E-2</v>
      </c>
      <c r="F118" s="198">
        <v>0</v>
      </c>
      <c r="G118" s="215">
        <v>0</v>
      </c>
      <c r="H118" s="131"/>
    </row>
    <row r="119" spans="1:8" x14ac:dyDescent="0.25">
      <c r="A119" s="133"/>
      <c r="B119" s="204" t="str">
        <v>Concrete, 25 MPa, in-situ, no reinforcement, Pre-mix Concrete ENVIROCRETE PLUS (Boral) (ACT), (Canberra) ENVIROCRETE PLUS 25MPa</v>
      </c>
      <c r="C119" s="132" t="str">
        <v>m³</v>
      </c>
      <c r="D119" s="198">
        <v>202</v>
      </c>
      <c r="E119" s="198">
        <v>8.4166666666666667E-2</v>
      </c>
      <c r="F119" s="198">
        <v>0</v>
      </c>
      <c r="G119" s="215">
        <v>0</v>
      </c>
      <c r="H119" s="131"/>
    </row>
    <row r="120" spans="1:8" x14ac:dyDescent="0.25">
      <c r="A120" s="133"/>
      <c r="B120" s="204" t="str">
        <v>Concrete, 25 MPa, in-situ, no reinforcement, Pre-mix Concrete ENVISIA (Boral) (ACT), (Canberra) ENVISIA 25MPa</v>
      </c>
      <c r="C120" s="132" t="str">
        <v>m³</v>
      </c>
      <c r="D120" s="198">
        <v>184</v>
      </c>
      <c r="E120" s="198">
        <v>7.6666666666666661E-2</v>
      </c>
      <c r="F120" s="198">
        <v>0</v>
      </c>
      <c r="G120" s="215">
        <v>0</v>
      </c>
      <c r="H120" s="131"/>
    </row>
    <row r="121" spans="1:8" x14ac:dyDescent="0.25">
      <c r="A121" s="133"/>
      <c r="B121" s="204" t="str">
        <v>Concrete, 25 MPa, in-situ, no reinforcement, Pre-mix Concrete KERB MACHINE (Boral) (ACT), (Canberra) KERB MACHINE 25MPa 10MM</v>
      </c>
      <c r="C121" s="132" t="str">
        <v>m³</v>
      </c>
      <c r="D121" s="198">
        <v>259</v>
      </c>
      <c r="E121" s="198">
        <v>0.10791666666666666</v>
      </c>
      <c r="F121" s="198">
        <v>0</v>
      </c>
      <c r="G121" s="215">
        <v>0</v>
      </c>
      <c r="H121" s="131"/>
    </row>
    <row r="122" spans="1:8" x14ac:dyDescent="0.25">
      <c r="A122" s="133"/>
      <c r="B122" s="204" t="str">
        <v>Concrete, 25 MPa, in-situ, no reinforcement, Pre-mix Concrete Normal Class GP blend (Boral) (NSW), (Newcastle) Normal Class GP blend 25MPa</v>
      </c>
      <c r="C122" s="132" t="str">
        <v>m³</v>
      </c>
      <c r="D122" s="198">
        <v>288</v>
      </c>
      <c r="E122" s="198">
        <v>0.12</v>
      </c>
      <c r="F122" s="198">
        <v>0</v>
      </c>
      <c r="G122" s="215">
        <v>0</v>
      </c>
      <c r="H122" s="131"/>
    </row>
    <row r="123" spans="1:8" x14ac:dyDescent="0.25">
      <c r="A123" s="133"/>
      <c r="B123" s="204" t="str">
        <v>Concrete, 25 MPa, in-situ, no reinforcement, Pre-mix Concrete Normal Class GP/FA blend (Boral) (NSW), (Newcastle) Normal Class GP/FA blend 25 MPa</v>
      </c>
      <c r="C123" s="132" t="str">
        <v>m³</v>
      </c>
      <c r="D123" s="198">
        <v>220</v>
      </c>
      <c r="E123" s="198">
        <v>9.166666666666666E-2</v>
      </c>
      <c r="F123" s="198">
        <v>0</v>
      </c>
      <c r="G123" s="215">
        <v>0</v>
      </c>
      <c r="H123" s="131"/>
    </row>
    <row r="124" spans="1:8" x14ac:dyDescent="0.25">
      <c r="A124" s="133"/>
      <c r="B124" s="204" t="str">
        <v>Concrete, 25 MPa, in-situ, no reinforcement, Pre-mix Concrete Normal Class GP/GGBFS blend (Boral) (NSW), (Newcastle) Normal Class GP/GGBFS blend 25 MPa</v>
      </c>
      <c r="C124" s="132" t="str">
        <v>m³</v>
      </c>
      <c r="D124" s="198">
        <v>200</v>
      </c>
      <c r="E124" s="198">
        <v>8.3333333333333329E-2</v>
      </c>
      <c r="F124" s="198">
        <v>0</v>
      </c>
      <c r="G124" s="215">
        <v>0</v>
      </c>
      <c r="H124" s="131"/>
    </row>
    <row r="125" spans="1:8" x14ac:dyDescent="0.25">
      <c r="A125" s="133"/>
      <c r="B125" s="204" t="str">
        <v>Concrete, 25 MPa, in-situ, no reinforcement, Pre-mix Concrete ENVIROCRETE 30% (Boral) (NSW), (Newcastle) ENVIROCRETE 30% 25 MPa</v>
      </c>
      <c r="C125" s="132" t="str">
        <v>m³</v>
      </c>
      <c r="D125" s="198">
        <v>220</v>
      </c>
      <c r="E125" s="198">
        <v>9.166666666666666E-2</v>
      </c>
      <c r="F125" s="198">
        <v>0</v>
      </c>
      <c r="G125" s="215">
        <v>0</v>
      </c>
      <c r="H125" s="131"/>
    </row>
    <row r="126" spans="1:8" x14ac:dyDescent="0.25">
      <c r="A126" s="133"/>
      <c r="B126" s="204" t="str">
        <v>Concrete, 25 MPa, in-situ, no reinforcement, Pre-mix Concrete ENVIROCRETE 40% (Boral) (NSW), (Newcastle) ENVIROCRETE 40% 25 MPa</v>
      </c>
      <c r="C126" s="132" t="str">
        <v>m³</v>
      </c>
      <c r="D126" s="198">
        <v>200</v>
      </c>
      <c r="E126" s="198">
        <v>8.3333333333333329E-2</v>
      </c>
      <c r="F126" s="198">
        <v>0</v>
      </c>
      <c r="G126" s="215">
        <v>0</v>
      </c>
      <c r="H126" s="131"/>
    </row>
    <row r="127" spans="1:8" x14ac:dyDescent="0.25">
      <c r="A127" s="133"/>
      <c r="B127" s="204" t="str">
        <v>Concrete, 25 MPa, in-situ, no reinforcement, Pre-mix Concrete ENVIROCRETE PLUS (Boral) (NSW), (Newcastle) ENVIROCRETE PLUS 25MPa</v>
      </c>
      <c r="C127" s="132" t="str">
        <v>m³</v>
      </c>
      <c r="D127" s="198">
        <v>194</v>
      </c>
      <c r="E127" s="198">
        <v>8.0833333333333326E-2</v>
      </c>
      <c r="F127" s="198">
        <v>0</v>
      </c>
      <c r="G127" s="215">
        <v>0</v>
      </c>
      <c r="H127" s="131"/>
    </row>
    <row r="128" spans="1:8" x14ac:dyDescent="0.25">
      <c r="A128" s="133"/>
      <c r="B128" s="204" t="str">
        <v>Concrete, 25 MPa, in-situ, no reinforcement, Pre-mix Concrete ENVISIA (Boral) (NSW), (Newcastle) ENVISIA 25MPa</v>
      </c>
      <c r="C128" s="132" t="str">
        <v>m³</v>
      </c>
      <c r="D128" s="198">
        <v>184</v>
      </c>
      <c r="E128" s="198">
        <v>7.6666666666666661E-2</v>
      </c>
      <c r="F128" s="198">
        <v>0</v>
      </c>
      <c r="G128" s="215">
        <v>0</v>
      </c>
      <c r="H128" s="131"/>
    </row>
    <row r="129" spans="1:8" x14ac:dyDescent="0.25">
      <c r="A129" s="133"/>
      <c r="B129" s="204" t="str">
        <v>Concrete, 25 MPa, in-situ, no reinforcement, Pre-mix Concrete KERB MACHINE (Boral) (NSW), (Newcastle) KERB MACHINE 25MPa 10MM</v>
      </c>
      <c r="C129" s="132" t="str">
        <v>m³</v>
      </c>
      <c r="D129" s="198">
        <v>252</v>
      </c>
      <c r="E129" s="198">
        <v>0.105</v>
      </c>
      <c r="F129" s="198">
        <v>0</v>
      </c>
      <c r="G129" s="215">
        <v>0</v>
      </c>
      <c r="H129" s="131"/>
    </row>
    <row r="130" spans="1:8" x14ac:dyDescent="0.25">
      <c r="A130" s="133"/>
      <c r="B130" s="204" t="str">
        <v>Concrete, 25 MPa, in-situ, no reinforcement, Pre-mix Concrete Normal Class GP blend (Boral) (NSW), (Sydney) Normal Class GP blend 25MPa</v>
      </c>
      <c r="C130" s="132" t="str">
        <v>m³</v>
      </c>
      <c r="D130" s="198">
        <v>288</v>
      </c>
      <c r="E130" s="198">
        <v>0.12</v>
      </c>
      <c r="F130" s="198">
        <v>0</v>
      </c>
      <c r="G130" s="215">
        <v>0</v>
      </c>
      <c r="H130" s="131"/>
    </row>
    <row r="131" spans="1:8" x14ac:dyDescent="0.25">
      <c r="A131" s="133"/>
      <c r="B131" s="204" t="str">
        <v>Concrete, 25 MPa, in-situ, no reinforcement, Pre-mix Concrete Normal Class GP/FA blend (Boral) (NSW), (Sydney) Normal Class GP/FA blend 25 MPa</v>
      </c>
      <c r="C131" s="132" t="str">
        <v>m³</v>
      </c>
      <c r="D131" s="198">
        <v>230</v>
      </c>
      <c r="E131" s="198">
        <v>9.583333333333334E-2</v>
      </c>
      <c r="F131" s="198">
        <v>0</v>
      </c>
      <c r="G131" s="215">
        <v>0</v>
      </c>
      <c r="H131" s="131"/>
    </row>
    <row r="132" spans="1:8" x14ac:dyDescent="0.25">
      <c r="A132" s="133"/>
      <c r="B132" s="204" t="str">
        <v>Concrete, 25 MPa, in-situ, no reinforcement, Pre-mix Concrete Normal Class GP/GGBFS blend (Boral) (NSW), (Sydney) Normal Class GP/GGBFS blend 25 MPa</v>
      </c>
      <c r="C132" s="132" t="str">
        <v>m³</v>
      </c>
      <c r="D132" s="198">
        <v>204</v>
      </c>
      <c r="E132" s="198">
        <v>8.5000000000000006E-2</v>
      </c>
      <c r="F132" s="198">
        <v>0</v>
      </c>
      <c r="G132" s="215">
        <v>0</v>
      </c>
      <c r="H132" s="131"/>
    </row>
    <row r="133" spans="1:8" x14ac:dyDescent="0.25">
      <c r="A133" s="133"/>
      <c r="B133" s="204" t="str">
        <v>Concrete, 25 MPa, in-situ, no reinforcement, Pre-mix Concrete Normal Class GP/GGBFS/FA blend (Boral) (NSW), (Sydney) Normal Class GP/GGBFS/FA blend 25 MPa</v>
      </c>
      <c r="C133" s="132" t="str">
        <v>m³</v>
      </c>
      <c r="D133" s="198">
        <v>175</v>
      </c>
      <c r="E133" s="198">
        <v>7.2916666666666671E-2</v>
      </c>
      <c r="F133" s="198">
        <v>0</v>
      </c>
      <c r="G133" s="215">
        <v>0</v>
      </c>
      <c r="H133" s="131"/>
    </row>
    <row r="134" spans="1:8" x14ac:dyDescent="0.25">
      <c r="A134" s="133"/>
      <c r="B134" s="204" t="str">
        <v>Concrete, 25 MPa, in-situ, no reinforcement, Pre-mix Concrete ENVIROCRETE 30% (Boral) (NSW), (Sydney) ENVIROCRETE 30% 25 MPa</v>
      </c>
      <c r="C134" s="132" t="str">
        <v>m³</v>
      </c>
      <c r="D134" s="198">
        <v>230</v>
      </c>
      <c r="E134" s="198">
        <v>9.583333333333334E-2</v>
      </c>
      <c r="F134" s="198">
        <v>0</v>
      </c>
      <c r="G134" s="215">
        <v>0</v>
      </c>
      <c r="H134" s="131"/>
    </row>
    <row r="135" spans="1:8" x14ac:dyDescent="0.25">
      <c r="A135" s="133"/>
      <c r="B135" s="204" t="str">
        <v>Concrete, 25 MPa, in-situ, no reinforcement, Pre-mix Concrete ENVIROCRETE 40% (Boral) (NSW), (Sydney) ENVIROCRETE 40% 25 MPa</v>
      </c>
      <c r="C135" s="132" t="str">
        <v>m³</v>
      </c>
      <c r="D135" s="198">
        <v>209</v>
      </c>
      <c r="E135" s="198">
        <v>8.7083333333333332E-2</v>
      </c>
      <c r="F135" s="198">
        <v>0</v>
      </c>
      <c r="G135" s="215">
        <v>0</v>
      </c>
      <c r="H135" s="131"/>
    </row>
    <row r="136" spans="1:8" x14ac:dyDescent="0.25">
      <c r="A136" s="133"/>
      <c r="B136" s="204" t="str">
        <v>Concrete, 25 MPa, in-situ, no reinforcement, Pre-mix Concrete ENVIROCRETE PLUS (Boral) (NSW), (Sydney) ENVIROCRETE PLUS 25MPa</v>
      </c>
      <c r="C136" s="132" t="str">
        <v>m³</v>
      </c>
      <c r="D136" s="198">
        <v>202</v>
      </c>
      <c r="E136" s="198">
        <v>8.4166666666666667E-2</v>
      </c>
      <c r="F136" s="198">
        <v>0</v>
      </c>
      <c r="G136" s="215">
        <v>0</v>
      </c>
      <c r="H136" s="131"/>
    </row>
    <row r="137" spans="1:8" x14ac:dyDescent="0.25">
      <c r="A137" s="133"/>
      <c r="B137" s="204" t="str">
        <v>Concrete, 25 MPa, in-situ, no reinforcement, Pre-mix Concrete ENVISIA (Boral) (NSW), (Sydney) ENVISIA 25MPa</v>
      </c>
      <c r="C137" s="132" t="str">
        <v>m³</v>
      </c>
      <c r="D137" s="198">
        <v>184</v>
      </c>
      <c r="E137" s="198">
        <v>7.6666666666666661E-2</v>
      </c>
      <c r="F137" s="198">
        <v>0</v>
      </c>
      <c r="G137" s="215">
        <v>0</v>
      </c>
      <c r="H137" s="131"/>
    </row>
    <row r="138" spans="1:8" x14ac:dyDescent="0.25">
      <c r="A138" s="133"/>
      <c r="B138" s="204" t="str">
        <v>Concrete, 25 MPa, in-situ, no reinforcement, Pre-mix Concrete KERB MACHINE (Boral) (NSW), (Sydney) KERB MACHINE 25MPa 10MM</v>
      </c>
      <c r="C138" s="132" t="str">
        <v>m³</v>
      </c>
      <c r="D138" s="198">
        <v>252</v>
      </c>
      <c r="E138" s="198">
        <v>0.105</v>
      </c>
      <c r="F138" s="198">
        <v>0</v>
      </c>
      <c r="G138" s="215">
        <v>0</v>
      </c>
      <c r="H138" s="131"/>
    </row>
    <row r="139" spans="1:8" x14ac:dyDescent="0.25">
      <c r="A139" s="133"/>
      <c r="B139" s="204" t="str">
        <v>Concrete, 25 MPa, in-situ, no reinforcement, Pre-mix Concrete Normal Class GP blend (Boral) (NSW), (Wollongong) Normal Class GP blend 25MPa</v>
      </c>
      <c r="C139" s="132" t="str">
        <v>m³</v>
      </c>
      <c r="D139" s="198">
        <v>285</v>
      </c>
      <c r="E139" s="198">
        <v>0.11874999999999999</v>
      </c>
      <c r="F139" s="198">
        <v>0</v>
      </c>
      <c r="G139" s="215">
        <v>0</v>
      </c>
      <c r="H139" s="131"/>
    </row>
    <row r="140" spans="1:8" x14ac:dyDescent="0.25">
      <c r="A140" s="133"/>
      <c r="B140" s="204" t="str">
        <v>Concrete, 25 MPa, in-situ, no reinforcement, Pre-mix Concrete Normal Class GP/FA blend (Boral) (NSW), (Wollongong) Normal Class GP/FA blend 25 MPa</v>
      </c>
      <c r="C140" s="132" t="str">
        <v>m³</v>
      </c>
      <c r="D140" s="198">
        <v>227</v>
      </c>
      <c r="E140" s="198">
        <v>9.4583333333333339E-2</v>
      </c>
      <c r="F140" s="198">
        <v>0</v>
      </c>
      <c r="G140" s="215">
        <v>0</v>
      </c>
      <c r="H140" s="131"/>
    </row>
    <row r="141" spans="1:8" x14ac:dyDescent="0.25">
      <c r="A141" s="133"/>
      <c r="B141" s="204" t="str">
        <v>Concrete, 25 MPa, in-situ, no reinforcement, Pre-mix Concrete KERB MACHINE (Boral) (NSW), (Wollongong) KERB MACHINE 25MPa 10MM</v>
      </c>
      <c r="C141" s="132" t="str">
        <v>m³</v>
      </c>
      <c r="D141" s="198">
        <v>254</v>
      </c>
      <c r="E141" s="198">
        <v>0.10583333333333333</v>
      </c>
      <c r="F141" s="198">
        <v>0</v>
      </c>
      <c r="G141" s="215">
        <v>0</v>
      </c>
      <c r="H141" s="131"/>
    </row>
    <row r="142" spans="1:8" x14ac:dyDescent="0.25">
      <c r="A142" s="133"/>
      <c r="B142" s="204" t="str">
        <v>Concrete, 25 MPa, in-situ, no reinforcement, Pre-mix Concrete Normal Class GP/GGBFS blend (Boral) (NSW), (Wollongong) Normal Class GP/GGBFS blend 25 MPa</v>
      </c>
      <c r="C142" s="132" t="str">
        <v>m³</v>
      </c>
      <c r="D142" s="198">
        <v>199</v>
      </c>
      <c r="E142" s="198">
        <v>8.2916666666666666E-2</v>
      </c>
      <c r="F142" s="198">
        <v>0</v>
      </c>
      <c r="G142" s="215">
        <v>0</v>
      </c>
      <c r="H142" s="131"/>
    </row>
    <row r="143" spans="1:8" x14ac:dyDescent="0.25">
      <c r="A143" s="133"/>
      <c r="B143" s="204" t="str">
        <v>Concrete, 25 MPa, in-situ, no reinforcement, Pre-mix Concrete Normal Class GP/GGBFS/FA blend (Boral) (NSW), (Wollongong) Normal Class GP/GGBFS/FA blend 25 MPa</v>
      </c>
      <c r="C143" s="132" t="str">
        <v>m³</v>
      </c>
      <c r="D143" s="198">
        <v>162</v>
      </c>
      <c r="E143" s="198">
        <v>6.7500000000000004E-2</v>
      </c>
      <c r="F143" s="198">
        <v>0</v>
      </c>
      <c r="G143" s="215">
        <v>0</v>
      </c>
      <c r="H143" s="131"/>
    </row>
    <row r="144" spans="1:8" x14ac:dyDescent="0.25">
      <c r="A144" s="133"/>
      <c r="B144" s="204" t="str">
        <v>Concrete, 25 MPa, in-situ, no reinforcement, Pre-mix Concrete ENVIROCRETE 30% (Boral) (NSW), (Wollongong) ENVIROCRETE 30% 25 MPa</v>
      </c>
      <c r="C144" s="132" t="str">
        <v>m³</v>
      </c>
      <c r="D144" s="198">
        <v>227</v>
      </c>
      <c r="E144" s="198">
        <v>9.4583333333333339E-2</v>
      </c>
      <c r="F144" s="198">
        <v>0</v>
      </c>
      <c r="G144" s="215">
        <v>0</v>
      </c>
      <c r="H144" s="131"/>
    </row>
    <row r="145" spans="1:8" x14ac:dyDescent="0.25">
      <c r="A145" s="133"/>
      <c r="B145" s="204" t="str">
        <v>Concrete, 25 MPa, in-situ, no reinforcement, Pre-mix Concrete ENVIROCRETE 40% (Boral) (NSW), (Wollongong) ENVIROCRETE 40% 25 MPa</v>
      </c>
      <c r="C145" s="132" t="str">
        <v>m³</v>
      </c>
      <c r="D145" s="198">
        <v>203</v>
      </c>
      <c r="E145" s="198">
        <v>8.458333333333333E-2</v>
      </c>
      <c r="F145" s="198">
        <v>0</v>
      </c>
      <c r="G145" s="215">
        <v>0</v>
      </c>
      <c r="H145" s="131"/>
    </row>
    <row r="146" spans="1:8" x14ac:dyDescent="0.25">
      <c r="A146" s="133"/>
      <c r="B146" s="204" t="str">
        <v>Concrete, 25 MPa, in-situ, no reinforcement, Pre-mix Concrete ENVIROCRETE PLUS (Boral) (NSW), (Wollongong) ENVIROCRETE PLUS 25MPa</v>
      </c>
      <c r="C146" s="132" t="str">
        <v>m³</v>
      </c>
      <c r="D146" s="198">
        <v>198</v>
      </c>
      <c r="E146" s="198">
        <v>8.2500000000000004E-2</v>
      </c>
      <c r="F146" s="198">
        <v>0</v>
      </c>
      <c r="G146" s="215">
        <v>0</v>
      </c>
      <c r="H146" s="131"/>
    </row>
    <row r="147" spans="1:8" x14ac:dyDescent="0.25">
      <c r="A147" s="133"/>
      <c r="B147" s="204" t="str">
        <v>Concrete, 25 MPa, in-situ, no reinforcement, Pre-mix Concrete ENVISIA (Boral) (NSW), (Wollongong) ENVISIA 25MPa</v>
      </c>
      <c r="C147" s="132" t="str">
        <v>m³</v>
      </c>
      <c r="D147" s="198">
        <v>180</v>
      </c>
      <c r="E147" s="198">
        <v>7.4999999999999997E-2</v>
      </c>
      <c r="F147" s="198">
        <v>0</v>
      </c>
      <c r="G147" s="215">
        <v>0</v>
      </c>
      <c r="H147" s="131"/>
    </row>
    <row r="148" spans="1:8" x14ac:dyDescent="0.25">
      <c r="A148" s="133"/>
      <c r="B148" s="204" t="str">
        <v>Concrete, 25 MPa, in-situ, no reinforcement, Pre-mix Concrete Normal Class GP blend (Boral) (TAS), (Hobart) Normal Class GP blend 25MPa</v>
      </c>
      <c r="C148" s="132" t="str">
        <v>m³</v>
      </c>
      <c r="D148" s="198">
        <v>279</v>
      </c>
      <c r="E148" s="198">
        <v>0.11625000000000001</v>
      </c>
      <c r="F148" s="198">
        <v>0</v>
      </c>
      <c r="G148" s="215">
        <v>0</v>
      </c>
      <c r="H148" s="131"/>
    </row>
    <row r="149" spans="1:8" x14ac:dyDescent="0.25">
      <c r="A149" s="133"/>
      <c r="B149" s="204" t="str">
        <v>Concrete, 25 MPa, in-situ, no reinforcement, Pre-mix Concrete ENVISIA (Boral) (TAS), (Hobart) ENVISIA 25 MPa</v>
      </c>
      <c r="C149" s="132" t="str">
        <v>m³</v>
      </c>
      <c r="D149" s="198">
        <v>257</v>
      </c>
      <c r="E149" s="198">
        <v>0.10708333333333334</v>
      </c>
      <c r="F149" s="198">
        <v>0</v>
      </c>
      <c r="G149" s="215">
        <v>0</v>
      </c>
      <c r="H149" s="131"/>
    </row>
    <row r="150" spans="1:8" x14ac:dyDescent="0.25">
      <c r="A150" s="133"/>
      <c r="B150" s="204" t="str">
        <v>Concrete, 25 MPa, in-situ, no reinforcement, Pre-mix Concrete Normal Class GP blend (Boral) (TAS), (Launceston) Normal Class GP blend 25MPa</v>
      </c>
      <c r="C150" s="132" t="str">
        <v>m³</v>
      </c>
      <c r="D150" s="198">
        <v>278</v>
      </c>
      <c r="E150" s="198">
        <v>0.11583333333333333</v>
      </c>
      <c r="F150" s="198">
        <v>0</v>
      </c>
      <c r="G150" s="215">
        <v>0</v>
      </c>
      <c r="H150" s="131"/>
    </row>
    <row r="151" spans="1:8" x14ac:dyDescent="0.25">
      <c r="A151" s="133"/>
      <c r="B151" s="204" t="str">
        <v>Concrete, 25 MPa, in-situ, no reinforcement, Pre-mix Concrete ENVISIA (Boral) (TAS), (Launceston) ENVISIA 25 MPa</v>
      </c>
      <c r="C151" s="132" t="str">
        <v>m³</v>
      </c>
      <c r="D151" s="198">
        <v>251</v>
      </c>
      <c r="E151" s="198">
        <v>0.10458333333333333</v>
      </c>
      <c r="F151" s="198">
        <v>0</v>
      </c>
      <c r="G151" s="215">
        <v>0</v>
      </c>
      <c r="H151" s="131"/>
    </row>
    <row r="152" spans="1:8" x14ac:dyDescent="0.25">
      <c r="A152" s="133"/>
      <c r="B152" s="204" t="str">
        <v>Concrete, 25 MPa, in-situ, no reinforcement, GP, Normal Class (WA Premix) (WA), (Perth)</v>
      </c>
      <c r="C152" s="132" t="str">
        <v>m³</v>
      </c>
      <c r="D152" s="198">
        <v>325</v>
      </c>
      <c r="E152" s="198">
        <v>0.13541666666666666</v>
      </c>
      <c r="F152" s="198">
        <v>0</v>
      </c>
      <c r="G152" s="215">
        <v>0</v>
      </c>
      <c r="H152" s="131"/>
    </row>
    <row r="153" spans="1:8" x14ac:dyDescent="0.25">
      <c r="A153" s="133"/>
      <c r="B153" s="204" t="str">
        <v>Concrete, 25 MPa, in-situ, no reinforcement, Blend, Normal Class (WA Premix) (WA), (Perth)</v>
      </c>
      <c r="C153" s="132" t="str">
        <v>m³</v>
      </c>
      <c r="D153" s="198">
        <v>292</v>
      </c>
      <c r="E153" s="198">
        <v>0.12166666666666667</v>
      </c>
      <c r="F153" s="198">
        <v>0</v>
      </c>
      <c r="G153" s="215">
        <v>0</v>
      </c>
      <c r="H153" s="131"/>
    </row>
    <row r="154" spans="1:8" x14ac:dyDescent="0.25">
      <c r="A154" s="133"/>
      <c r="B154" s="204" t="str">
        <v>Concrete, 25 MPa, in-situ, no reinforcement, Ready-Mix Concrete (LC)50 (Concrite) (NSW) (Sydney Region, NSW)</v>
      </c>
      <c r="C154" s="132" t="str">
        <v>m³</v>
      </c>
      <c r="D154" s="198">
        <v>164</v>
      </c>
      <c r="E154" s="198">
        <v>6.8333333333333329E-2</v>
      </c>
      <c r="F154" s="198">
        <v>0</v>
      </c>
      <c r="G154" s="215">
        <v>0</v>
      </c>
      <c r="H154" s="131"/>
    </row>
    <row r="155" spans="1:8" x14ac:dyDescent="0.25">
      <c r="A155" s="133"/>
      <c r="B155" s="204" t="str">
        <v>Concrete, 25 MPa, in-situ, no reinforcement, Ready-Mix Concrete (LC)40 (Concrite) (NSW) (Sydney Region, NSW)</v>
      </c>
      <c r="C155" s="132" t="str">
        <v>m³</v>
      </c>
      <c r="D155" s="198">
        <v>187</v>
      </c>
      <c r="E155" s="198">
        <v>7.7916666666666662E-2</v>
      </c>
      <c r="F155" s="198">
        <v>0</v>
      </c>
      <c r="G155" s="215">
        <v>0</v>
      </c>
      <c r="H155" s="131"/>
    </row>
    <row r="156" spans="1:8" x14ac:dyDescent="0.25">
      <c r="A156" s="133"/>
      <c r="B156" s="204" t="str">
        <v>Concrete, 25 MPa, in-situ, no reinforcement, Ready-Mix Concrete (LC)30 (Concrite) (NSW) (Sydney Region, NSW)</v>
      </c>
      <c r="C156" s="132" t="str">
        <v>m³</v>
      </c>
      <c r="D156" s="198">
        <v>240</v>
      </c>
      <c r="E156" s="198">
        <v>0.1</v>
      </c>
      <c r="F156" s="198">
        <v>0</v>
      </c>
      <c r="G156" s="215">
        <v>0</v>
      </c>
      <c r="H156" s="131"/>
    </row>
    <row r="157" spans="1:8" x14ac:dyDescent="0.25">
      <c r="A157" s="133"/>
      <c r="B157" s="204" t="str">
        <v>Concrete, 25 MPa, in-situ, no reinforcement, Ready-Mix Concrete (LCHP) (Concrite) (NSW) (Sydney Region, NSW)</v>
      </c>
      <c r="C157" s="132" t="str">
        <v>m³</v>
      </c>
      <c r="D157" s="198">
        <v>200</v>
      </c>
      <c r="E157" s="198">
        <v>8.3333333333333329E-2</v>
      </c>
      <c r="F157" s="198">
        <v>0</v>
      </c>
      <c r="G157" s="215">
        <v>0</v>
      </c>
      <c r="H157" s="131"/>
    </row>
    <row r="158" spans="1:8" x14ac:dyDescent="0.25">
      <c r="A158" s="133"/>
      <c r="B158" s="204" t="str">
        <v>Concrete, 25 MPa, in-situ, no reinforcement, Ready-Mix Concrete (LCP) (Concrite) (NSW) (Sydney Region, NSW)</v>
      </c>
      <c r="C158" s="132" t="str">
        <v>m³</v>
      </c>
      <c r="D158" s="198">
        <v>212</v>
      </c>
      <c r="E158" s="198">
        <v>8.8333333333333333E-2</v>
      </c>
      <c r="F158" s="198">
        <v>0</v>
      </c>
      <c r="G158" s="215">
        <v>0</v>
      </c>
      <c r="H158" s="131"/>
    </row>
    <row r="159" spans="1:8" x14ac:dyDescent="0.25">
      <c r="A159" s="133"/>
      <c r="B159" s="204" t="str">
        <v>Concrete, 25 MPa, in-situ, no reinforcement, Ready-Mix Concrete Normal class GP blend (Concrite) (NSW) (Sydney Region, NSW)</v>
      </c>
      <c r="C159" s="132" t="str">
        <v>m³</v>
      </c>
      <c r="D159" s="198">
        <v>273</v>
      </c>
      <c r="E159" s="198">
        <v>0.11375</v>
      </c>
      <c r="F159" s="198">
        <v>0</v>
      </c>
      <c r="G159" s="215">
        <v>0</v>
      </c>
      <c r="H159" s="131"/>
    </row>
    <row r="160" spans="1:8" x14ac:dyDescent="0.25">
      <c r="A160" s="133"/>
      <c r="B160" s="204" t="str">
        <v>Concrete, 25 MPa, in-situ, no reinforcement, Ready-Mix Concrete KERB MACHINE (Concrite) (NSW) (Sydney Region, NSW)</v>
      </c>
      <c r="C160" s="132" t="str">
        <v>m³</v>
      </c>
      <c r="D160" s="198">
        <v>162</v>
      </c>
      <c r="E160" s="198">
        <v>6.7500000000000004E-2</v>
      </c>
      <c r="F160" s="198">
        <v>0</v>
      </c>
      <c r="G160" s="215">
        <v>0</v>
      </c>
      <c r="H160" s="131"/>
    </row>
    <row r="161" spans="1:8" x14ac:dyDescent="0.25">
      <c r="A161" s="133"/>
      <c r="B161" s="204" t="str">
        <v>Concrete, 25 MPa, in-situ, no reinforcement, Ready-Mix Concrete SLAG AGG CONCRETE MIX, (LC)50 (Concrite) (NSW) (Sydney Region, NSW)</v>
      </c>
      <c r="C161" s="132" t="str">
        <v>m³</v>
      </c>
      <c r="D161" s="198">
        <v>175</v>
      </c>
      <c r="E161" s="198">
        <v>7.2916666666666671E-2</v>
      </c>
      <c r="F161" s="198">
        <v>0</v>
      </c>
      <c r="G161" s="215">
        <v>0</v>
      </c>
      <c r="H161" s="131"/>
    </row>
    <row r="162" spans="1:8" x14ac:dyDescent="0.25">
      <c r="A162" s="133"/>
      <c r="B162" s="204" t="str">
        <v>Concrete, 25 MPa, in-situ, no reinforcement, Ready-Mix Concrete SLAG AGG CONCRETE MIX, (LC)40 (Concrite) (NSW) (Sydney Region, NSW)</v>
      </c>
      <c r="C162" s="132" t="str">
        <v>m³</v>
      </c>
      <c r="D162" s="198">
        <v>196</v>
      </c>
      <c r="E162" s="198">
        <v>8.1666666666666665E-2</v>
      </c>
      <c r="F162" s="198">
        <v>0</v>
      </c>
      <c r="G162" s="215">
        <v>0</v>
      </c>
      <c r="H162" s="131"/>
    </row>
    <row r="163" spans="1:8" x14ac:dyDescent="0.25">
      <c r="A163" s="133"/>
      <c r="B163" s="204" t="str">
        <v>Concrete, 25 MPa, in-situ, no reinforcement, Ready-Mix Concrete SLAG AGG CONCRETE MIX, (LC)30 (Concrite) (NSW) (Sydney Region, NSW)</v>
      </c>
      <c r="C163" s="132" t="str">
        <v>m³</v>
      </c>
      <c r="D163" s="198">
        <v>225</v>
      </c>
      <c r="E163" s="198">
        <v>9.375E-2</v>
      </c>
      <c r="F163" s="198">
        <v>0</v>
      </c>
      <c r="G163" s="215">
        <v>0</v>
      </c>
      <c r="H163" s="131"/>
    </row>
    <row r="164" spans="1:8" x14ac:dyDescent="0.25">
      <c r="A164" s="133"/>
      <c r="B164" s="204" t="str">
        <v>Concrete, 25 MPa, in-situ, no reinforcement, Ready-Mix Concrete (LC)30 25MPa (Concrite) (NSW) (Southern Highlands, NSW)</v>
      </c>
      <c r="C164" s="132" t="str">
        <v>m³</v>
      </c>
      <c r="D164" s="198">
        <v>228</v>
      </c>
      <c r="E164" s="198">
        <v>9.5000000000000001E-2</v>
      </c>
      <c r="F164" s="198">
        <v>0</v>
      </c>
      <c r="G164" s="215">
        <v>0</v>
      </c>
      <c r="H164" s="131"/>
    </row>
    <row r="165" spans="1:8" x14ac:dyDescent="0.25">
      <c r="A165" s="133"/>
      <c r="B165" s="204" t="str">
        <v>Concrete, 25 MPa, in-situ, no reinforcement, Ready-Mix Concrete NORMAL CLASS GP BLEND (Concrite) (NSW) (Southern Highlands, NSW)</v>
      </c>
      <c r="C165" s="132" t="str">
        <v>m³</v>
      </c>
      <c r="D165" s="198">
        <v>272</v>
      </c>
      <c r="E165" s="198">
        <v>0.11333333333333333</v>
      </c>
      <c r="F165" s="198">
        <v>0</v>
      </c>
      <c r="G165" s="215">
        <v>0</v>
      </c>
      <c r="H165" s="131"/>
    </row>
    <row r="166" spans="1:8" x14ac:dyDescent="0.25">
      <c r="A166" s="133"/>
      <c r="B166" s="204" t="str">
        <v>Concrete, 25 MPa, in-situ, no reinforcement, Ready-Mix Concrete KERB MACHINE 10MM (Concrite) (NSW) (Southern Highlands, NSW)</v>
      </c>
      <c r="C166" s="132" t="str">
        <v>m³</v>
      </c>
      <c r="D166" s="198">
        <v>255</v>
      </c>
      <c r="E166" s="198">
        <v>0.10625</v>
      </c>
      <c r="F166" s="198">
        <v>0</v>
      </c>
      <c r="G166" s="215">
        <v>0</v>
      </c>
      <c r="H166" s="131"/>
    </row>
    <row r="167" spans="1:8" x14ac:dyDescent="0.25">
      <c r="A167" s="133"/>
      <c r="B167" s="204" t="str">
        <v>Concrete, 25 MPa, in-situ, no reinforcement, Ready-Mix Concrete LC30 25MPa (Concrite) (ACT) (Canberra, ACT)</v>
      </c>
      <c r="C167" s="132" t="str">
        <v>m³</v>
      </c>
      <c r="D167" s="198">
        <v>246</v>
      </c>
      <c r="E167" s="198">
        <v>0.10249999999999999</v>
      </c>
      <c r="F167" s="198">
        <v>0</v>
      </c>
      <c r="G167" s="215">
        <v>0</v>
      </c>
      <c r="H167" s="131"/>
    </row>
    <row r="168" spans="1:8" x14ac:dyDescent="0.25">
      <c r="A168" s="133"/>
      <c r="B168" s="204" t="str">
        <v>Concrete, 25 MPa, in-situ, no reinforcement, Ready-Mix Concrete NORMAL CLASS GP BLEND (Concrite) (ACT) (Canberra, ACT)</v>
      </c>
      <c r="C168" s="132" t="str">
        <v>m³</v>
      </c>
      <c r="D168" s="198">
        <v>280</v>
      </c>
      <c r="E168" s="198">
        <v>0.11666666666666667</v>
      </c>
      <c r="F168" s="198">
        <v>0</v>
      </c>
      <c r="G168" s="215">
        <v>0</v>
      </c>
      <c r="H168" s="131"/>
    </row>
    <row r="169" spans="1:8" x14ac:dyDescent="0.25">
      <c r="A169" s="133"/>
      <c r="B169" s="204" t="str">
        <v>Concrete, 25 MPa, in-situ, no reinforcement, Ready-Mix Concrete KERB MACHINE 10MM (Concrite) (ACT) (Canberra, ACT)</v>
      </c>
      <c r="C169" s="132" t="str">
        <v>m³</v>
      </c>
      <c r="D169" s="198">
        <v>245</v>
      </c>
      <c r="E169" s="198">
        <v>0.10208333333333333</v>
      </c>
      <c r="F169" s="198">
        <v>0</v>
      </c>
      <c r="G169" s="215">
        <v>0</v>
      </c>
      <c r="H169" s="131"/>
    </row>
    <row r="170" spans="1:8" x14ac:dyDescent="0.25">
      <c r="A170" s="133"/>
      <c r="B170" s="204" t="str">
        <v>Concrete, 25 MPa, in-situ, no reinforcement, (Futurecrete®  Ultra S25MPA PILE/ TREMIE 10MM SP) (Adbri) (NSW)</v>
      </c>
      <c r="C170" s="132" t="str">
        <v>m³</v>
      </c>
      <c r="D170" s="198">
        <v>229.19989999999999</v>
      </c>
      <c r="E170" s="198">
        <v>9.5499958333333329E-2</v>
      </c>
      <c r="F170" s="198">
        <v>0</v>
      </c>
      <c r="G170" s="215">
        <v>0</v>
      </c>
      <c r="H170" s="131"/>
    </row>
    <row r="171" spans="1:8" x14ac:dyDescent="0.25">
      <c r="A171" s="133"/>
      <c r="B171" s="204" t="str">
        <v>Concrete, 25 MPa, in-situ, no reinforcement, (Futurecrete®  Ultra
S25MPA DINCEL
10MM) (Adbri) (NSW)</v>
      </c>
      <c r="C171" s="132" t="str">
        <v>m³</v>
      </c>
      <c r="D171" s="198">
        <v>231.70759999999999</v>
      </c>
      <c r="E171" s="198">
        <v>9.654483333333333E-2</v>
      </c>
      <c r="F171" s="198">
        <v>0</v>
      </c>
      <c r="G171" s="215">
        <v>0</v>
      </c>
      <c r="H171" s="131"/>
    </row>
    <row r="172" spans="1:8" x14ac:dyDescent="0.25">
      <c r="A172" s="133"/>
      <c r="B172" s="204" t="str">
        <v>Concrete, 25 MPa, in-situ, no reinforcement, (Futurecrete®
S25MPA HY-LINE
2INCH 10MM PUMP) (Adbri) (NSW)</v>
      </c>
      <c r="C172" s="132" t="str">
        <v>m³</v>
      </c>
      <c r="D172" s="198">
        <v>248.82664</v>
      </c>
      <c r="E172" s="198">
        <v>0.10367776666666667</v>
      </c>
      <c r="F172" s="198">
        <v>0</v>
      </c>
      <c r="G172" s="215">
        <v>0</v>
      </c>
      <c r="H172" s="131"/>
    </row>
    <row r="173" spans="1:8" x14ac:dyDescent="0.25">
      <c r="A173" s="133"/>
      <c r="B173" s="204" t="str">
        <v>Concrete, 25 MPa, in-situ, no reinforcement, (Futurecrete®  Ultra
N Class Ternary
25 MPa) (Adbri) (NSW)</v>
      </c>
      <c r="C173" s="132" t="str">
        <v>m³</v>
      </c>
      <c r="D173" s="198">
        <v>217.56200000000001</v>
      </c>
      <c r="E173" s="198">
        <v>9.0650833333333347E-2</v>
      </c>
      <c r="F173" s="198">
        <v>0</v>
      </c>
      <c r="G173" s="215">
        <v>0</v>
      </c>
      <c r="H173" s="131"/>
    </row>
    <row r="174" spans="1:8" x14ac:dyDescent="0.25">
      <c r="A174" s="133"/>
      <c r="B174" s="204" t="str">
        <v>Concrete, 25 MPa, in-situ, no reinforcement, (Futurecrete®  Ultra N Class GP/ GL:Slag 25 MPa) (Adbri) (NSW)</v>
      </c>
      <c r="C174" s="132" t="str">
        <v>m³</v>
      </c>
      <c r="D174" s="198">
        <v>208.83950000000002</v>
      </c>
      <c r="E174" s="198">
        <v>8.7016458333333338E-2</v>
      </c>
      <c r="F174" s="198">
        <v>0</v>
      </c>
      <c r="G174" s="215">
        <v>0</v>
      </c>
      <c r="H174" s="131"/>
    </row>
    <row r="175" spans="1:8" x14ac:dyDescent="0.25">
      <c r="A175" s="133"/>
      <c r="B175" s="204" t="str">
        <v>Concrete, 25 MPa, in-situ, no reinforcement, (Futurecrete®  N Class
GP/GL:FA 25 MPa) (Adbri) (SA)</v>
      </c>
      <c r="C175" s="132" t="str">
        <v>m³</v>
      </c>
      <c r="D175" s="198">
        <v>178.51</v>
      </c>
      <c r="E175" s="198">
        <v>7.4379166666666663E-2</v>
      </c>
      <c r="F175" s="198">
        <v>0</v>
      </c>
      <c r="G175" s="215">
        <v>0</v>
      </c>
      <c r="H175" s="131"/>
    </row>
    <row r="176" spans="1:8" x14ac:dyDescent="0.25">
      <c r="A176" s="133"/>
      <c r="B176" s="204" t="str">
        <v>Concrete, 25 MPa, in-situ, no reinforcement, (Futurecrete®  N
Class GP/GL:Slag
25 MPa) (Adbri) (SA)</v>
      </c>
      <c r="C176" s="132" t="str">
        <v>m³</v>
      </c>
      <c r="D176" s="198">
        <v>173.57999999999998</v>
      </c>
      <c r="E176" s="198">
        <v>7.2325E-2</v>
      </c>
      <c r="F176" s="198">
        <v>0</v>
      </c>
      <c r="G176" s="215">
        <v>0</v>
      </c>
      <c r="H176" s="131"/>
    </row>
    <row r="177" spans="1:8" x14ac:dyDescent="0.25">
      <c r="A177" s="133"/>
      <c r="B177" s="204" t="str">
        <v>Concrete, 25 MPa, in-situ, no reinforcement, (Futurecrete®
Ultra S25MPA
BLOCKFILL 10MM) (Adbri) (NSW)</v>
      </c>
      <c r="C177" s="132" t="str">
        <v>m³</v>
      </c>
      <c r="D177" s="198">
        <v>226.93599999999998</v>
      </c>
      <c r="E177" s="198">
        <v>9.4556666666666664E-2</v>
      </c>
      <c r="F177" s="198">
        <v>0</v>
      </c>
      <c r="G177" s="215">
        <v>0</v>
      </c>
      <c r="H177" s="131"/>
    </row>
    <row r="178" spans="1:8" x14ac:dyDescent="0.25">
      <c r="A178" s="133"/>
      <c r="B178" s="204" t="str">
        <v>Concrete, 25 MPa, in-situ, no reinforcement, (Futurecrete®
Ultra S25MPA
BLOCKFILL 10MM
230MM SLUMP) (Adbri) (NSW)</v>
      </c>
      <c r="C178" s="132" t="str">
        <v>m³</v>
      </c>
      <c r="D178" s="198">
        <v>231.65499999999997</v>
      </c>
      <c r="E178" s="198">
        <v>9.6522916666666667E-2</v>
      </c>
      <c r="F178" s="198">
        <v>0</v>
      </c>
      <c r="G178" s="215">
        <v>0</v>
      </c>
      <c r="H178" s="131"/>
    </row>
    <row r="179" spans="1:8" x14ac:dyDescent="0.25">
      <c r="A179" s="133"/>
      <c r="B179" s="204" t="str">
        <v>Concrete, 25 MPa, in-situ, no reinforcement, (Futurecrete®  Ultra S25MPA 10MM RITEK SYSTEM) (Adbri) (NSW)</v>
      </c>
      <c r="C179" s="132" t="str">
        <v>m³</v>
      </c>
      <c r="D179" s="198">
        <v>226.89429999999999</v>
      </c>
      <c r="E179" s="198">
        <v>9.4539291666666664E-2</v>
      </c>
      <c r="F179" s="198">
        <v>0</v>
      </c>
      <c r="G179" s="215">
        <v>0</v>
      </c>
      <c r="H179" s="131"/>
    </row>
    <row r="180" spans="1:8" x14ac:dyDescent="0.25">
      <c r="A180" s="133"/>
      <c r="B180" s="204" t="str">
        <v>Concrete, 25 MPa, in-situ, no reinforcement, (R2520B)(GB) (BCG) (WA), (Perth)</v>
      </c>
      <c r="C180" s="132" t="str">
        <v>m³</v>
      </c>
      <c r="D180" s="198">
        <v>253.92</v>
      </c>
      <c r="E180" s="198">
        <v>0.10580000000000001</v>
      </c>
      <c r="F180" s="198">
        <v>0</v>
      </c>
      <c r="G180" s="215">
        <v>0</v>
      </c>
      <c r="H180" s="131"/>
    </row>
    <row r="181" spans="1:8" x14ac:dyDescent="0.25">
      <c r="A181" s="133"/>
      <c r="B181" s="204" t="str">
        <v>Concrete, 25 MPa, in-situ, no reinforcement, (VE252EF26) (Ecopact) (Holcim) (VIC)</v>
      </c>
      <c r="C181" s="132" t="str">
        <v>m³</v>
      </c>
      <c r="D181" s="198">
        <v>236.43</v>
      </c>
      <c r="E181" s="198">
        <v>9.8512499999999989E-2</v>
      </c>
      <c r="F181" s="198">
        <v>0</v>
      </c>
      <c r="G181" s="215">
        <v>0</v>
      </c>
      <c r="H181" s="131"/>
    </row>
    <row r="182" spans="1:8" x14ac:dyDescent="0.25">
      <c r="A182" s="133"/>
      <c r="B182" s="204" t="str">
        <v>Concrete, 25 MPa, in-situ, no reinforcement, (CS2520BGS)(B) (BCG) (WA), (Perth)</v>
      </c>
      <c r="C182" s="132" t="str">
        <v>m³</v>
      </c>
      <c r="D182" s="198">
        <v>220.42</v>
      </c>
      <c r="E182" s="198">
        <v>9.1841666666666669E-2</v>
      </c>
      <c r="F182" s="198">
        <v>0</v>
      </c>
      <c r="G182" s="215">
        <v>0</v>
      </c>
      <c r="H182" s="131"/>
    </row>
    <row r="183" spans="1:8" x14ac:dyDescent="0.25">
      <c r="A183" s="133"/>
      <c r="B183" s="204" t="str">
        <v>Concrete, 25 MPa, in-situ, no reinforcement, (VE251E56) (Ecopact) (Holcim) (VIC)</v>
      </c>
      <c r="C183" s="132" t="str">
        <v>m³</v>
      </c>
      <c r="D183" s="198">
        <v>231.33</v>
      </c>
      <c r="E183" s="198">
        <v>9.6387500000000001E-2</v>
      </c>
      <c r="F183" s="198">
        <v>0</v>
      </c>
      <c r="G183" s="215">
        <v>0</v>
      </c>
      <c r="H183" s="131"/>
    </row>
    <row r="184" spans="1:8" x14ac:dyDescent="0.25">
      <c r="A184" s="133"/>
      <c r="B184" s="204" t="str">
        <v>Concrete, 25 MPa, in-situ, no reinforcement, (LH2520E)(LH) (BCG) (WA), (Perth)</v>
      </c>
      <c r="C184" s="132" t="str">
        <v>m³</v>
      </c>
      <c r="D184" s="198">
        <v>161.51</v>
      </c>
      <c r="E184" s="198">
        <v>6.7295833333333333E-2</v>
      </c>
      <c r="F184" s="198">
        <v>0</v>
      </c>
      <c r="G184" s="215">
        <v>0</v>
      </c>
      <c r="H184" s="131"/>
    </row>
    <row r="185" spans="1:8" x14ac:dyDescent="0.25">
      <c r="A185" s="133"/>
      <c r="B185" s="204" t="str">
        <v>Concrete, 25 MPa, in-situ, no reinforcement, (SE252E) (Ecopact) (Holcim) (SA) (Adelaide)</v>
      </c>
      <c r="C185" s="132" t="str">
        <v>m³</v>
      </c>
      <c r="D185" s="198">
        <v>212.32</v>
      </c>
      <c r="E185" s="198">
        <v>8.8466666666666666E-2</v>
      </c>
      <c r="F185" s="198">
        <v>0</v>
      </c>
      <c r="G185" s="215">
        <v>0</v>
      </c>
      <c r="H185" s="131"/>
    </row>
    <row r="186" spans="1:8" x14ac:dyDescent="0.25">
      <c r="A186" s="133"/>
      <c r="B186" s="204" t="str">
        <v>Concrete, 25 MPa, in-situ, no reinforcement, (VE252E /
BE252E) (Ecopact) (Holcim) (VIC)</v>
      </c>
      <c r="C186" s="132" t="str">
        <v>m³</v>
      </c>
      <c r="D186" s="198">
        <v>212.27</v>
      </c>
      <c r="E186" s="198">
        <v>8.8445833333333335E-2</v>
      </c>
      <c r="F186" s="198">
        <v>0</v>
      </c>
      <c r="G186" s="215">
        <v>0</v>
      </c>
      <c r="H186" s="131"/>
    </row>
    <row r="187" spans="1:8" x14ac:dyDescent="0.25">
      <c r="A187" s="133"/>
      <c r="B187" s="204" t="str">
        <v>Concrete, 25 MPa, in-situ, no reinforcement, (QE201L)(Ecopact) (Holcim) (QLD) (Sunshine Coast)</v>
      </c>
      <c r="C187" s="132" t="str">
        <v>m³</v>
      </c>
      <c r="D187" s="198">
        <v>220.2</v>
      </c>
      <c r="E187" s="198">
        <v>9.1749999999999998E-2</v>
      </c>
      <c r="F187" s="198">
        <v>0</v>
      </c>
      <c r="G187" s="215">
        <v>0</v>
      </c>
      <c r="H187" s="131"/>
    </row>
    <row r="188" spans="1:8" x14ac:dyDescent="0.25">
      <c r="A188" s="133"/>
      <c r="B188" s="204" t="str">
        <v>Concrete, 25 MPa, in-situ, no reinforcement, (Futurecrete® N Class
GP:GL:Slag 25 MPa
- Winnellie) (Adbri) (NT)</v>
      </c>
      <c r="C188" s="132" t="str">
        <v>m³</v>
      </c>
      <c r="D188" s="198">
        <v>220.18199999999999</v>
      </c>
      <c r="E188" s="198">
        <v>9.1742499999999991E-2</v>
      </c>
      <c r="F188" s="198">
        <v>0</v>
      </c>
      <c r="G188" s="215">
        <v>0</v>
      </c>
      <c r="H188" s="131"/>
    </row>
    <row r="189" spans="1:8" x14ac:dyDescent="0.25">
      <c r="A189" s="133"/>
      <c r="B189" s="204" t="str">
        <v>Concrete, 25 MPa, in-situ, no reinforcement, (QE252L100)(Ecopact) (Holcim) (QLD) (Sunshine Coast)</v>
      </c>
      <c r="C189" s="132" t="str">
        <v>m³</v>
      </c>
      <c r="D189" s="198">
        <v>216.19</v>
      </c>
      <c r="E189" s="198">
        <v>9.0079166666666668E-2</v>
      </c>
      <c r="F189" s="198">
        <v>0</v>
      </c>
      <c r="G189" s="215">
        <v>0</v>
      </c>
      <c r="H189" s="131"/>
    </row>
    <row r="190" spans="1:8" x14ac:dyDescent="0.25">
      <c r="A190" s="133"/>
      <c r="B190" s="204" t="str">
        <v>Concrete, 25 MPa, in-situ, no reinforcement, (QE252ESF) (Ecopact) (Holcim) (QLD) (Brisbane)</v>
      </c>
      <c r="C190" s="132" t="str">
        <v>m³</v>
      </c>
      <c r="D190" s="198">
        <v>198.23</v>
      </c>
      <c r="E190" s="198">
        <v>8.2595833333333341E-2</v>
      </c>
      <c r="F190" s="198">
        <v>0</v>
      </c>
      <c r="G190" s="215">
        <v>0</v>
      </c>
      <c r="H190" s="131"/>
    </row>
    <row r="191" spans="1:8" x14ac:dyDescent="0.25">
      <c r="A191" s="133"/>
      <c r="B191" s="204" t="str">
        <v>Concrete, 25 MPa, in-situ, no reinforcement, (WE252E31)(Ecopact) (Holcim) (WA), (Perth Metro)</v>
      </c>
      <c r="C191" s="132" t="str">
        <v>m³</v>
      </c>
      <c r="D191" s="198">
        <v>206.17</v>
      </c>
      <c r="E191" s="198">
        <v>8.590416666666667E-2</v>
      </c>
      <c r="F191" s="198">
        <v>0</v>
      </c>
      <c r="G191" s="215">
        <v>0</v>
      </c>
      <c r="H191" s="131"/>
    </row>
    <row r="192" spans="1:8" x14ac:dyDescent="0.25">
      <c r="A192" s="133"/>
      <c r="B192" s="204" t="str">
        <v>Concrete, 25 MPa, in-situ, no reinforcement, (WE254EKC)(Ecopact) (Holcim) (WA), (Perth Metro)</v>
      </c>
      <c r="C192" s="132" t="str">
        <v>m³</v>
      </c>
      <c r="D192" s="198">
        <v>209.11</v>
      </c>
      <c r="E192" s="198">
        <v>8.712916666666666E-2</v>
      </c>
      <c r="F192" s="198">
        <v>0</v>
      </c>
      <c r="G192" s="215">
        <v>0</v>
      </c>
      <c r="H192" s="131"/>
    </row>
    <row r="193" spans="1:8" x14ac:dyDescent="0.25">
      <c r="A193" s="133"/>
      <c r="B193" s="204" t="str">
        <v>Concrete, 25 MPa, in-situ, no reinforcement, (WE252E1)(Ecopact) (Holcim) (WA), (Perth Metro)</v>
      </c>
      <c r="C193" s="132" t="str">
        <v>m³</v>
      </c>
      <c r="D193" s="198">
        <v>204.13</v>
      </c>
      <c r="E193" s="198">
        <v>8.5054166666666667E-2</v>
      </c>
      <c r="F193" s="198">
        <v>0</v>
      </c>
      <c r="G193" s="215">
        <v>0</v>
      </c>
      <c r="H193" s="131"/>
    </row>
    <row r="194" spans="1:8" x14ac:dyDescent="0.25">
      <c r="A194" s="133"/>
      <c r="B194" s="204" t="str">
        <v>Concrete, 25 MPa, in-situ, no reinforcement, (Futurecrete®  N Class
GP/GL:Slag 25 MPa) (Adbri) (VIC)</v>
      </c>
      <c r="C194" s="132" t="str">
        <v>m³</v>
      </c>
      <c r="D194" s="198">
        <v>191.15</v>
      </c>
      <c r="E194" s="198">
        <v>7.9645833333333332E-2</v>
      </c>
      <c r="F194" s="198">
        <v>0</v>
      </c>
      <c r="G194" s="215">
        <v>0</v>
      </c>
      <c r="H194" s="131"/>
    </row>
    <row r="195" spans="1:8" x14ac:dyDescent="0.25">
      <c r="A195" s="133"/>
      <c r="B195" s="204" t="str">
        <v>Concrete, 25 MPa, in-situ, no reinforcement, (QE251EEZY) (Ecopact) (Holcim) (QLD), Gold Coast</v>
      </c>
      <c r="C195" s="132" t="str">
        <v>m³</v>
      </c>
      <c r="D195" s="198">
        <v>184.14</v>
      </c>
      <c r="E195" s="198">
        <v>7.6724999999999988E-2</v>
      </c>
      <c r="F195" s="198">
        <v>0</v>
      </c>
      <c r="G195" s="215">
        <v>0</v>
      </c>
      <c r="H195" s="131"/>
    </row>
    <row r="196" spans="1:8" x14ac:dyDescent="0.25">
      <c r="A196" s="133"/>
      <c r="B196" s="204" t="str">
        <v>Concrete (in-situ), 25 MPa, Pre-mix concrete N2520 (Western Suburbs Concrete) (Australia)</v>
      </c>
      <c r="C196" s="132" t="str">
        <v>m³</v>
      </c>
      <c r="D196" s="198">
        <v>211.11930000000001</v>
      </c>
      <c r="E196" s="198">
        <v>9.3004096916299558E-2</v>
      </c>
      <c r="F196" s="198">
        <v>0</v>
      </c>
      <c r="G196" s="215">
        <v>0</v>
      </c>
      <c r="H196" s="131"/>
    </row>
    <row r="197" spans="1:8" x14ac:dyDescent="0.25">
      <c r="A197" s="133"/>
      <c r="B197" s="204" t="str">
        <v>Concrete (in-situ), 25MPa, Pre-mix Concrete EN25 (Barro Group) (Australia)</v>
      </c>
      <c r="C197" s="132" t="str">
        <v>m³</v>
      </c>
      <c r="D197" s="198">
        <v>179.48600000000002</v>
      </c>
      <c r="E197" s="198">
        <v>7.5287751677852344E-2</v>
      </c>
      <c r="F197" s="198">
        <v>0</v>
      </c>
      <c r="G197" s="215">
        <v>0</v>
      </c>
      <c r="H197" s="131"/>
    </row>
    <row r="198" spans="1:8" x14ac:dyDescent="0.25">
      <c r="A198" s="133"/>
      <c r="B198" s="204" t="str">
        <v>Concrete (in-situ), 25MPa, Pre-mix Concrete EPG25 (Barro Group) (Australia)</v>
      </c>
      <c r="C198" s="132" t="str">
        <v>m³</v>
      </c>
      <c r="D198" s="198">
        <v>170.49700000000001</v>
      </c>
      <c r="E198" s="198">
        <v>7.1517197986577172E-2</v>
      </c>
      <c r="F198" s="198">
        <v>0</v>
      </c>
      <c r="G198" s="215">
        <v>0</v>
      </c>
      <c r="H198" s="131"/>
    </row>
    <row r="199" spans="1:8" x14ac:dyDescent="0.25">
      <c r="A199" s="133"/>
      <c r="B199" s="204" t="str">
        <v>Concrete (in-situ), 25MPa, Pre-mix Concrete EPG25L (Barro Group) (Australia)</v>
      </c>
      <c r="C199" s="132" t="str">
        <v>m³</v>
      </c>
      <c r="D199" s="198">
        <v>159.49600000000001</v>
      </c>
      <c r="E199" s="198">
        <v>6.6902684563758391E-2</v>
      </c>
      <c r="F199" s="198">
        <v>0</v>
      </c>
      <c r="G199" s="215">
        <v>0</v>
      </c>
      <c r="H199" s="131"/>
    </row>
    <row r="200" spans="1:8" x14ac:dyDescent="0.25">
      <c r="A200" s="133"/>
      <c r="B200" s="204" t="str">
        <v>Concrete (in-situ), , ENVISIA concrete in-situ Melb metro - 25 MPa (Boral) (Australia)</v>
      </c>
      <c r="C200" s="132" t="str">
        <v>m³</v>
      </c>
      <c r="D200" s="198">
        <v>178</v>
      </c>
      <c r="E200" s="198">
        <v>7.4166666666666672E-2</v>
      </c>
      <c r="F200" s="198">
        <v>0</v>
      </c>
      <c r="G200" s="215">
        <v>0</v>
      </c>
      <c r="H200" s="131"/>
    </row>
    <row r="201" spans="1:8" x14ac:dyDescent="0.25">
      <c r="A201" s="133"/>
      <c r="B201" s="204" t="str">
        <v>Concrete (in-situ), , Envirocrete plus concrete in-situ Melb metro - 25 MPa (Boral) (Australia)</v>
      </c>
      <c r="C201" s="132" t="str">
        <v>m³</v>
      </c>
      <c r="D201" s="198">
        <v>214</v>
      </c>
      <c r="E201" s="198">
        <v>8.9166666666666672E-2</v>
      </c>
      <c r="F201" s="198">
        <v>0</v>
      </c>
      <c r="G201" s="215">
        <v>0</v>
      </c>
      <c r="H201" s="131"/>
    </row>
    <row r="202" spans="1:8" x14ac:dyDescent="0.25">
      <c r="A202" s="133"/>
      <c r="B202" s="204" t="str">
        <v>Concrete (in-situ), , Envirocrete concrete in-situ Melb metro - 25 MPa (Boral) (Australia)</v>
      </c>
      <c r="C202" s="132" t="str">
        <v>m³</v>
      </c>
      <c r="D202" s="198">
        <v>227</v>
      </c>
      <c r="E202" s="198">
        <v>9.4583333333333339E-2</v>
      </c>
      <c r="F202" s="198">
        <v>0</v>
      </c>
      <c r="G202" s="215">
        <v>0</v>
      </c>
      <c r="H202" s="131"/>
    </row>
    <row r="203" spans="1:8" x14ac:dyDescent="0.25">
      <c r="A203" s="133"/>
      <c r="B203" s="204" t="str">
        <v>Concrete (in-situ), , Envirocrete 40% concrete in-situ Melb metro - 25 MPa (Boral) (Australia)</v>
      </c>
      <c r="C203" s="132" t="str">
        <v>m³</v>
      </c>
      <c r="D203" s="198">
        <v>240</v>
      </c>
      <c r="E203" s="198">
        <v>0.1</v>
      </c>
      <c r="F203" s="198">
        <v>0</v>
      </c>
      <c r="G203" s="215">
        <v>0</v>
      </c>
      <c r="H203" s="131"/>
    </row>
    <row r="204" spans="1:8" x14ac:dyDescent="0.25">
      <c r="A204" s="133"/>
      <c r="B204" s="204" t="str">
        <v>Concrete (in-situ), , Envirocrete 30% concrete in-situ Melb metro - 25 MPa (Boral) (Australia)</v>
      </c>
      <c r="C204" s="132" t="str">
        <v>m³</v>
      </c>
      <c r="D204" s="198">
        <v>272</v>
      </c>
      <c r="E204" s="198">
        <v>0.11333333333333333</v>
      </c>
      <c r="F204" s="198">
        <v>0</v>
      </c>
      <c r="G204" s="215">
        <v>0</v>
      </c>
      <c r="H204" s="131"/>
    </row>
    <row r="205" spans="1:8" x14ac:dyDescent="0.25">
      <c r="A205" s="133"/>
      <c r="B205" s="204" t="str">
        <v>Concrete (in-situ), , Normal GP blend concrete in-situ Melb metro - 25 MPa (Boral) (Australia)</v>
      </c>
      <c r="C205" s="132" t="str">
        <v>m³</v>
      </c>
      <c r="D205" s="198">
        <v>301</v>
      </c>
      <c r="E205" s="198">
        <v>0.12541666666666668</v>
      </c>
      <c r="F205" s="198">
        <v>0</v>
      </c>
      <c r="G205" s="215">
        <v>0</v>
      </c>
      <c r="H205" s="131"/>
    </row>
    <row r="206" spans="1:8" x14ac:dyDescent="0.25">
      <c r="A206" s="133"/>
      <c r="B206" s="204" t="str">
        <v>Concrete (in-situ), , Normal GP /FA blend blend concrete in-situ Melb metro - 25 MPa (Boral) (Australia)</v>
      </c>
      <c r="C206" s="132" t="str">
        <v>m³</v>
      </c>
      <c r="D206" s="198">
        <v>269</v>
      </c>
      <c r="E206" s="198">
        <v>0.11208333333333333</v>
      </c>
      <c r="F206" s="198">
        <v>0</v>
      </c>
      <c r="G206" s="215">
        <v>0</v>
      </c>
      <c r="H206" s="131"/>
    </row>
    <row r="207" spans="1:8" x14ac:dyDescent="0.25">
      <c r="A207" s="133"/>
      <c r="B207" s="204" t="str">
        <v>Concrete (in-situ), , Normal GP /GGBFS blend blend concrete in-situ Melb metro - 25 MPa (Boral) (Australia)</v>
      </c>
      <c r="C207" s="132" t="str">
        <v>m³</v>
      </c>
      <c r="D207" s="198">
        <v>268</v>
      </c>
      <c r="E207" s="198">
        <v>0.11166666666666666</v>
      </c>
      <c r="F207" s="198">
        <v>0</v>
      </c>
      <c r="G207" s="215">
        <v>0</v>
      </c>
      <c r="H207" s="131"/>
    </row>
    <row r="208" spans="1:8" x14ac:dyDescent="0.25">
      <c r="A208" s="133"/>
      <c r="B208" s="204" t="str">
        <v>Concrete (in-situ), , ENVISIA concrete in-situ Perth metro - 25 MPa (Boral) (Australia)</v>
      </c>
      <c r="C208" s="132" t="str">
        <v>m³</v>
      </c>
      <c r="D208" s="198">
        <v>175</v>
      </c>
      <c r="E208" s="198">
        <v>7.2916666666666671E-2</v>
      </c>
      <c r="F208" s="198">
        <v>0</v>
      </c>
      <c r="G208" s="215">
        <v>0</v>
      </c>
      <c r="H208" s="131"/>
    </row>
    <row r="209" spans="1:8" x14ac:dyDescent="0.25">
      <c r="A209" s="133"/>
      <c r="B209" s="204" t="str">
        <v>Concrete (in-situ), , Envirocrete plus concrete in-situ Perth metro - 25 MPa (Boral) (Australia)</v>
      </c>
      <c r="C209" s="132" t="str">
        <v>m³</v>
      </c>
      <c r="D209" s="198">
        <v>188</v>
      </c>
      <c r="E209" s="198">
        <v>7.8333333333333338E-2</v>
      </c>
      <c r="F209" s="198">
        <v>0</v>
      </c>
      <c r="G209" s="215">
        <v>0</v>
      </c>
      <c r="H209" s="131"/>
    </row>
    <row r="210" spans="1:8" x14ac:dyDescent="0.25">
      <c r="A210" s="133"/>
      <c r="B210" s="204" t="str">
        <v>Concrete (in-situ), , Envirocrete concrete in-situ Perth metro - 25 MPa (Boral) (Australia)</v>
      </c>
      <c r="C210" s="132" t="str">
        <v>m³</v>
      </c>
      <c r="D210" s="198">
        <v>195</v>
      </c>
      <c r="E210" s="198">
        <v>8.1250000000000003E-2</v>
      </c>
      <c r="F210" s="198">
        <v>0</v>
      </c>
      <c r="G210" s="215">
        <v>0</v>
      </c>
      <c r="H210" s="131"/>
    </row>
    <row r="211" spans="1:8" x14ac:dyDescent="0.25">
      <c r="A211" s="133"/>
      <c r="B211" s="204" t="str">
        <v>Concrete (in-situ), , Envirocrete 30% concrete in-situ Perth metro - 25 MPa (Boral) (Australia)</v>
      </c>
      <c r="C211" s="132" t="str">
        <v>m³</v>
      </c>
      <c r="D211" s="198">
        <v>195</v>
      </c>
      <c r="E211" s="198">
        <v>8.1250000000000003E-2</v>
      </c>
      <c r="F211" s="198">
        <v>0</v>
      </c>
      <c r="G211" s="215">
        <v>0</v>
      </c>
      <c r="H211" s="131"/>
    </row>
    <row r="212" spans="1:8" x14ac:dyDescent="0.25">
      <c r="A212" s="133"/>
      <c r="B212" s="204" t="str">
        <v>Concrete (in-situ), , Normal GP blend concrete in-situ Perth metro - 25 MPa (Boral) (Australia)</v>
      </c>
      <c r="C212" s="132" t="str">
        <v>m³</v>
      </c>
      <c r="D212" s="198">
        <v>263</v>
      </c>
      <c r="E212" s="198">
        <v>0.10958333333333334</v>
      </c>
      <c r="F212" s="198">
        <v>0</v>
      </c>
      <c r="G212" s="215">
        <v>0</v>
      </c>
      <c r="H212" s="131"/>
    </row>
    <row r="213" spans="1:8" x14ac:dyDescent="0.25">
      <c r="A213" s="133"/>
      <c r="B213" s="204" t="str">
        <v>Concrete (in-situ), , Normal GP /GGBFS blend blend concrete in-situ Perth metro - 25 MPa (Boral) (Australia)</v>
      </c>
      <c r="C213" s="132" t="str">
        <v>m³</v>
      </c>
      <c r="D213" s="198">
        <v>204</v>
      </c>
      <c r="E213" s="198">
        <v>8.5000000000000006E-2</v>
      </c>
      <c r="F213" s="198">
        <v>0</v>
      </c>
      <c r="G213" s="215">
        <v>0</v>
      </c>
      <c r="H213" s="131"/>
    </row>
    <row r="214" spans="1:8" x14ac:dyDescent="0.25">
      <c r="A214" s="133"/>
      <c r="B214" s="204" t="str">
        <v>Concrete (in-situ), , ENVISIA concrete in-situ QLD metro - 25 MPa (Boral) (Australia)</v>
      </c>
      <c r="C214" s="132" t="str">
        <v>m³</v>
      </c>
      <c r="D214" s="198">
        <v>196</v>
      </c>
      <c r="E214" s="198">
        <v>8.1666666666666665E-2</v>
      </c>
      <c r="F214" s="198">
        <v>0</v>
      </c>
      <c r="G214" s="215">
        <v>0</v>
      </c>
      <c r="H214" s="131"/>
    </row>
    <row r="215" spans="1:8" x14ac:dyDescent="0.25">
      <c r="A215" s="133"/>
      <c r="B215" s="204" t="str">
        <v>Concrete (in-situ), , Envirocrete plus concrete in-situ QLD metro - 25 MPa (Boral) (Australia)</v>
      </c>
      <c r="C215" s="132" t="str">
        <v>m³</v>
      </c>
      <c r="D215" s="198">
        <v>191</v>
      </c>
      <c r="E215" s="198">
        <v>7.9583333333333339E-2</v>
      </c>
      <c r="F215" s="198">
        <v>0</v>
      </c>
      <c r="G215" s="215">
        <v>0</v>
      </c>
      <c r="H215" s="131"/>
    </row>
    <row r="216" spans="1:8" x14ac:dyDescent="0.25">
      <c r="A216" s="133"/>
      <c r="B216" s="204" t="str">
        <v>Concrete (in-situ), , Envirocrete 40% concrete in-situ QLD metro - 25 MPa (Boral) (Australia)</v>
      </c>
      <c r="C216" s="132" t="str">
        <v>m³</v>
      </c>
      <c r="D216" s="198">
        <v>206</v>
      </c>
      <c r="E216" s="198">
        <v>8.5833333333333331E-2</v>
      </c>
      <c r="F216" s="198">
        <v>0</v>
      </c>
      <c r="G216" s="215">
        <v>0</v>
      </c>
      <c r="H216" s="131"/>
    </row>
    <row r="217" spans="1:8" x14ac:dyDescent="0.25">
      <c r="A217" s="133"/>
      <c r="B217" s="204" t="str">
        <v>Concrete (in-situ), , Envirocrete 30% concrete in-situ QLD metro - 25 MPa (Boral) (Australia)</v>
      </c>
      <c r="C217" s="132" t="str">
        <v>m³</v>
      </c>
      <c r="D217" s="198">
        <v>252</v>
      </c>
      <c r="E217" s="198">
        <v>0.105</v>
      </c>
      <c r="F217" s="198">
        <v>0</v>
      </c>
      <c r="G217" s="215">
        <v>0</v>
      </c>
      <c r="H217" s="131"/>
    </row>
    <row r="218" spans="1:8" x14ac:dyDescent="0.25">
      <c r="A218" s="133"/>
      <c r="B218" s="204" t="str">
        <v>Concrete (in-situ), , Normal GP blend concrete in-situ QLD metro - 25 MPa (Boral) (Australia)</v>
      </c>
      <c r="C218" s="132" t="str">
        <v>m³</v>
      </c>
      <c r="D218" s="198">
        <v>324</v>
      </c>
      <c r="E218" s="198">
        <v>0.13500000000000001</v>
      </c>
      <c r="F218" s="198">
        <v>0</v>
      </c>
      <c r="G218" s="215">
        <v>0</v>
      </c>
      <c r="H218" s="131"/>
    </row>
    <row r="219" spans="1:8" x14ac:dyDescent="0.25">
      <c r="A219" s="133"/>
      <c r="B219" s="204" t="str">
        <v>25 MPa, , Normal Class 25MPa - straight cement (Gunlake) (Australia)</v>
      </c>
      <c r="C219" s="132" t="str">
        <v>m³</v>
      </c>
      <c r="D219" s="198">
        <v>317.04939999999999</v>
      </c>
      <c r="E219" s="198">
        <v>0.13210391666666665</v>
      </c>
      <c r="F219" s="198">
        <v>0</v>
      </c>
      <c r="G219" s="215">
        <v>0</v>
      </c>
      <c r="H219" s="131"/>
    </row>
    <row r="220" spans="1:8" x14ac:dyDescent="0.25">
      <c r="A220" s="133"/>
      <c r="B220" s="204" t="str">
        <v>25 MPa, , Normal Class 25MPa (NC2528PCI) - cement and fly-ash (Gunlake) (Australia)</v>
      </c>
      <c r="C220" s="132" t="str">
        <v>m³</v>
      </c>
      <c r="D220" s="198">
        <v>263.05540000000002</v>
      </c>
      <c r="E220" s="198">
        <v>0.10960641666666668</v>
      </c>
      <c r="F220" s="198">
        <v>0</v>
      </c>
      <c r="G220" s="215">
        <v>0</v>
      </c>
      <c r="H220" s="131"/>
    </row>
    <row r="221" spans="1:8" x14ac:dyDescent="0.25">
      <c r="A221" s="133"/>
      <c r="B221" s="204" t="str">
        <v>25 MPa, , Normal Class 25MPa (NC2528PCI) - cement, slag and fly-ash (Gunlake) (Australia)</v>
      </c>
      <c r="C221" s="132" t="str">
        <v>m³</v>
      </c>
      <c r="D221" s="198">
        <v>196.06389999999999</v>
      </c>
      <c r="E221" s="198">
        <v>8.1693291666666668E-2</v>
      </c>
      <c r="F221" s="198">
        <v>0</v>
      </c>
      <c r="G221" s="215">
        <v>0</v>
      </c>
      <c r="H221" s="131"/>
    </row>
    <row r="222" spans="1:8" x14ac:dyDescent="0.25">
      <c r="A222" s="133"/>
      <c r="B222" s="204" t="str">
        <v>25 MPa, , Special Class 25MPa (GD252AP2) - green star mix with cement, high slag and fly-ash (Gunlake) (Australia)</v>
      </c>
      <c r="C222" s="132" t="str">
        <v>m³</v>
      </c>
      <c r="D222" s="198">
        <v>226.07339999999999</v>
      </c>
      <c r="E222" s="198">
        <v>9.4197249999999996E-2</v>
      </c>
      <c r="F222" s="198">
        <v>0</v>
      </c>
      <c r="G222" s="215">
        <v>0</v>
      </c>
      <c r="H222" s="131"/>
    </row>
    <row r="223" spans="1:8" x14ac:dyDescent="0.25">
      <c r="A223" s="133"/>
      <c r="B223" s="204" t="str">
        <v>25 MPa, , Reduced Liner 25 MPa - Indicative Cement Replacement. Fly Ash/GGBFS (Hymix) (Australia)</v>
      </c>
      <c r="C223" s="132" t="str">
        <v>m³</v>
      </c>
      <c r="D223" s="198">
        <v>167</v>
      </c>
      <c r="E223" s="198">
        <v>6.958333333333333E-2</v>
      </c>
      <c r="F223" s="198">
        <v>0</v>
      </c>
      <c r="G223" s="215">
        <v>0</v>
      </c>
      <c r="H223" s="131"/>
    </row>
    <row r="224" spans="1:8" x14ac:dyDescent="0.25">
      <c r="A224" s="133"/>
      <c r="B224" s="204" t="str">
        <v>25 MPa, , Blockwork Core Infill 25 MPa 50% Indicative Cement Replacement — GGBFS (Hymix) (Australia)</v>
      </c>
      <c r="C224" s="132" t="str">
        <v>m³</v>
      </c>
      <c r="D224" s="198">
        <v>282</v>
      </c>
      <c r="E224" s="198">
        <v>0.11749999999999999</v>
      </c>
      <c r="F224" s="198">
        <v>0</v>
      </c>
      <c r="G224" s="215">
        <v>0</v>
      </c>
      <c r="H224" s="131"/>
    </row>
    <row r="225" spans="1:8" x14ac:dyDescent="0.25">
      <c r="A225" s="133"/>
      <c r="B225" s="204" t="str">
        <v>25 MPa, , ENVISIA 25 MPa (Boral) (Australia)</v>
      </c>
      <c r="C225" s="132" t="str">
        <v>m³</v>
      </c>
      <c r="D225" s="198">
        <v>183</v>
      </c>
      <c r="E225" s="198">
        <v>7.6249999999999998E-2</v>
      </c>
      <c r="F225" s="198">
        <v>0</v>
      </c>
      <c r="G225" s="215">
        <v>0</v>
      </c>
      <c r="H225" s="131"/>
    </row>
    <row r="226" spans="1:8" x14ac:dyDescent="0.25">
      <c r="A226" s="133"/>
      <c r="B226" s="204" t="str">
        <v>25 MPa, , ENVIROCRETE PLUS 25 MPa (Boral) (Australia)</v>
      </c>
      <c r="C226" s="132" t="str">
        <v>m³</v>
      </c>
      <c r="D226" s="198">
        <v>215</v>
      </c>
      <c r="E226" s="198">
        <v>8.9583333333333334E-2</v>
      </c>
      <c r="F226" s="198">
        <v>0</v>
      </c>
      <c r="G226" s="215">
        <v>0</v>
      </c>
      <c r="H226" s="131"/>
    </row>
    <row r="227" spans="1:8" x14ac:dyDescent="0.25">
      <c r="A227" s="133"/>
      <c r="B227" s="204" t="str">
        <v>25 MPa, , ENVIROCRETE 40% 25 MPa (Boral) (Australia)</v>
      </c>
      <c r="C227" s="132" t="str">
        <v>m³</v>
      </c>
      <c r="D227" s="198">
        <v>252</v>
      </c>
      <c r="E227" s="198">
        <v>0.105</v>
      </c>
      <c r="F227" s="198">
        <v>0</v>
      </c>
      <c r="G227" s="215">
        <v>0</v>
      </c>
      <c r="H227" s="131"/>
    </row>
    <row r="228" spans="1:8" x14ac:dyDescent="0.25">
      <c r="A228" s="133"/>
      <c r="B228" s="204" t="str">
        <v>25 MPa, , ENVIROCRETE 30% 25 MPa (Boral) (Australia)</v>
      </c>
      <c r="C228" s="132" t="str">
        <v>m³</v>
      </c>
      <c r="D228" s="198">
        <v>279</v>
      </c>
      <c r="E228" s="198">
        <v>0.11625000000000001</v>
      </c>
      <c r="F228" s="198">
        <v>0</v>
      </c>
      <c r="G228" s="215">
        <v>0</v>
      </c>
      <c r="H228" s="131"/>
    </row>
    <row r="229" spans="1:8" x14ac:dyDescent="0.25">
      <c r="A229" s="133"/>
      <c r="B229" s="204" t="str">
        <v>25 MPa, , ENVIROCRETE 25 MPa (Boral) (Australia)</v>
      </c>
      <c r="C229" s="132" t="str">
        <v>m³</v>
      </c>
      <c r="D229" s="198">
        <v>228</v>
      </c>
      <c r="E229" s="198">
        <v>9.5000000000000001E-2</v>
      </c>
      <c r="F229" s="198">
        <v>0</v>
      </c>
      <c r="G229" s="215">
        <v>0</v>
      </c>
      <c r="H229" s="131"/>
    </row>
    <row r="230" spans="1:8" x14ac:dyDescent="0.25">
      <c r="A230" s="133"/>
      <c r="B230" s="204" t="str">
        <v>25 MPa, , NORMAL CLASS GP BLEND 25 MPa (Boral) (Australia)</v>
      </c>
      <c r="C230" s="132" t="str">
        <v>m³</v>
      </c>
      <c r="D230" s="198">
        <v>297</v>
      </c>
      <c r="E230" s="198">
        <v>0.12375</v>
      </c>
      <c r="F230" s="198">
        <v>0</v>
      </c>
      <c r="G230" s="215">
        <v>0</v>
      </c>
      <c r="H230" s="131"/>
    </row>
    <row r="231" spans="1:8" x14ac:dyDescent="0.25">
      <c r="A231" s="133"/>
      <c r="B231" s="204" t="str">
        <v>25 MPa, , NORMAL CLASS GP/FA BLEND 25 MPa (Boral) (Australia)</v>
      </c>
      <c r="C231" s="132" t="str">
        <v>m³</v>
      </c>
      <c r="D231" s="198">
        <v>272</v>
      </c>
      <c r="E231" s="198">
        <v>0.11333333333333333</v>
      </c>
      <c r="F231" s="198">
        <v>0</v>
      </c>
      <c r="G231" s="215">
        <v>0</v>
      </c>
      <c r="H231" s="131"/>
    </row>
    <row r="232" spans="1:8" x14ac:dyDescent="0.25">
      <c r="A232" s="133"/>
      <c r="B232" s="204" t="str">
        <v>25 MPa, , NORMAL CLASS GP/GGBFS BLEND 25 MPa (Boral) (Australia)</v>
      </c>
      <c r="C232" s="132" t="str">
        <v>m³</v>
      </c>
      <c r="D232" s="198">
        <v>265</v>
      </c>
      <c r="E232" s="198">
        <v>0.11041666666666666</v>
      </c>
      <c r="F232" s="198">
        <v>0</v>
      </c>
      <c r="G232" s="215">
        <v>0</v>
      </c>
      <c r="H232" s="131"/>
    </row>
    <row r="233" spans="1:8" x14ac:dyDescent="0.25">
      <c r="A233" s="133"/>
      <c r="B233" s="204" t="str">
        <v>25 MPa, , HIGH SLUMP 25 MPa (Boral) (Australia)</v>
      </c>
      <c r="C233" s="132" t="str">
        <v>m³</v>
      </c>
      <c r="D233" s="198">
        <v>284</v>
      </c>
      <c r="E233" s="198">
        <v>0.11833333333333333</v>
      </c>
      <c r="F233" s="198">
        <v>0</v>
      </c>
      <c r="G233" s="215">
        <v>0</v>
      </c>
      <c r="H233" s="131"/>
    </row>
    <row r="234" spans="1:8" x14ac:dyDescent="0.25">
      <c r="A234" s="133"/>
      <c r="B234" s="204" t="str">
        <v>25 MPa, NSW, Concrete:  S25/10/30 Slip manufactured at Prestons (Advanced Readymix) (Australia)</v>
      </c>
      <c r="C234" s="132" t="str">
        <v>m³</v>
      </c>
      <c r="D234" s="198">
        <v>417.41917303129998</v>
      </c>
      <c r="E234" s="198">
        <v>0.17392465542970834</v>
      </c>
      <c r="F234" s="198">
        <v>0</v>
      </c>
      <c r="G234" s="215">
        <v>0</v>
      </c>
      <c r="H234" s="131"/>
    </row>
    <row r="235" spans="1:8" x14ac:dyDescent="0.25">
      <c r="A235" s="133"/>
      <c r="B235" s="204" t="str">
        <v>25 MPa, NSW, Concrete: S22 @ 3 40pt manufactured at Prestons (Advanced Readymix) (Australia)</v>
      </c>
      <c r="C235" s="132" t="str">
        <v>m³</v>
      </c>
      <c r="D235" s="198">
        <v>326.4622395687</v>
      </c>
      <c r="E235" s="198">
        <v>0.13602593315362499</v>
      </c>
      <c r="F235" s="198">
        <v>0</v>
      </c>
      <c r="G235" s="215">
        <v>0</v>
      </c>
      <c r="H235" s="131"/>
    </row>
    <row r="236" spans="1:8" x14ac:dyDescent="0.25">
      <c r="A236" s="133"/>
      <c r="B236" s="204" t="str">
        <v>25 MPa, NSW, Concrete: S22 @ 3 40pt manufactured at Smithfield (Advanced Readymix) (Australia)</v>
      </c>
      <c r="C236" s="132" t="str">
        <v>m³</v>
      </c>
      <c r="D236" s="198">
        <v>319.2482981531</v>
      </c>
      <c r="E236" s="198">
        <v>0.13302012423045834</v>
      </c>
      <c r="F236" s="198">
        <v>0</v>
      </c>
      <c r="G236" s="215">
        <v>0</v>
      </c>
      <c r="H236" s="131"/>
    </row>
    <row r="237" spans="1:8" x14ac:dyDescent="0.25">
      <c r="A237" s="133"/>
      <c r="B237" s="204" t="str">
        <v>25 MPa, NSW, Concrete: S25 1060 manufactured at Prestons (Advanced Readymix) (Australia)</v>
      </c>
      <c r="C237" s="132" t="str">
        <v>m³</v>
      </c>
      <c r="D237" s="198">
        <v>222.97547613905002</v>
      </c>
      <c r="E237" s="198">
        <v>9.2906448391270838E-2</v>
      </c>
      <c r="F237" s="198">
        <v>0</v>
      </c>
      <c r="G237" s="215">
        <v>0</v>
      </c>
      <c r="H237" s="131"/>
    </row>
    <row r="238" spans="1:8" x14ac:dyDescent="0.25">
      <c r="A238" s="133"/>
      <c r="B238" s="204" t="str">
        <v>25 MPa, NSW, Concrete: S25/20/3D manufactured at Prestons (Advanced Readymix) (Australia)</v>
      </c>
      <c r="C238" s="132" t="str">
        <v>m³</v>
      </c>
      <c r="D238" s="198">
        <v>222.97547613905002</v>
      </c>
      <c r="E238" s="198">
        <v>9.2906448391270838E-2</v>
      </c>
      <c r="F238" s="198">
        <v>0</v>
      </c>
      <c r="G238" s="215">
        <v>0</v>
      </c>
      <c r="H238" s="131"/>
    </row>
    <row r="239" spans="1:8" x14ac:dyDescent="0.25">
      <c r="A239" s="133"/>
      <c r="B239" s="204" t="str">
        <v>25 MPa, NSW, Concrete: S25 1060 manufactured at Smithfield (Advanced Readymix) (Australia)</v>
      </c>
      <c r="C239" s="132" t="str">
        <v>m³</v>
      </c>
      <c r="D239" s="198">
        <v>216.77458601761998</v>
      </c>
      <c r="E239" s="198">
        <v>9.0322744174008318E-2</v>
      </c>
      <c r="F239" s="198">
        <v>0</v>
      </c>
      <c r="G239" s="215">
        <v>0</v>
      </c>
      <c r="H239" s="131"/>
    </row>
    <row r="240" spans="1:8" x14ac:dyDescent="0.25">
      <c r="A240" s="133"/>
      <c r="B240" s="204" t="str">
        <v>25 MPa, NSW, Concrete: S25/20/3D manufactured at Smithfield (Advanced Readymix) (Australia)</v>
      </c>
      <c r="C240" s="132" t="str">
        <v>m³</v>
      </c>
      <c r="D240" s="198">
        <v>216.77458601761998</v>
      </c>
      <c r="E240" s="198">
        <v>9.0322744174008318E-2</v>
      </c>
      <c r="F240" s="198">
        <v>0</v>
      </c>
      <c r="G240" s="215">
        <v>0</v>
      </c>
      <c r="H240" s="131"/>
    </row>
    <row r="241" spans="1:8" x14ac:dyDescent="0.25">
      <c r="A241" s="133"/>
      <c r="B241" s="204" t="str">
        <v>25 MPa, NSW, Concrete: NS25/20/100 manufactured at Prestons (Advanced Readymix) (Australia)</v>
      </c>
      <c r="C241" s="132" t="str">
        <v>m³</v>
      </c>
      <c r="D241" s="198">
        <v>165.6750022297</v>
      </c>
      <c r="E241" s="198">
        <v>6.9031250929041665E-2</v>
      </c>
      <c r="F241" s="198">
        <v>0</v>
      </c>
      <c r="G241" s="215">
        <v>0</v>
      </c>
      <c r="H241" s="131"/>
    </row>
    <row r="242" spans="1:8" x14ac:dyDescent="0.25">
      <c r="A242" s="133"/>
      <c r="B242" s="204" t="str">
        <v>25 MPa, NSW, Concrete: NS25/20/100 manufactured at Smithfield (Advanced Readymix) (Australia)</v>
      </c>
      <c r="C242" s="132" t="str">
        <v>m³</v>
      </c>
      <c r="D242" s="198">
        <v>159.3884245335</v>
      </c>
      <c r="E242" s="198">
        <v>6.6411843555625003E-2</v>
      </c>
      <c r="F242" s="198">
        <v>0</v>
      </c>
      <c r="G242" s="215">
        <v>0</v>
      </c>
      <c r="H242" s="131"/>
    </row>
    <row r="243" spans="1:8" x14ac:dyDescent="0.25">
      <c r="A243" s="133"/>
      <c r="B243" s="204" t="str">
        <v>25 MPa, NSW, Concrete: NS25/20/80 manufactured at Prestons (Advanced Readymix) (Australia)</v>
      </c>
      <c r="C243" s="132" t="str">
        <v>m³</v>
      </c>
      <c r="D243" s="198">
        <v>165.16309119955002</v>
      </c>
      <c r="E243" s="198">
        <v>6.8817954666479164E-2</v>
      </c>
      <c r="F243" s="198">
        <v>0</v>
      </c>
      <c r="G243" s="215">
        <v>0</v>
      </c>
      <c r="H243" s="131"/>
    </row>
    <row r="244" spans="1:8" x14ac:dyDescent="0.25">
      <c r="A244" s="133"/>
      <c r="B244" s="204" t="str">
        <v>25 MPa, NSW, Concrete: N25/20/80 manufactured at Prestons (Advanced Readymix) (Australia)</v>
      </c>
      <c r="C244" s="132" t="str">
        <v>m³</v>
      </c>
      <c r="D244" s="198">
        <v>166.35613789413003</v>
      </c>
      <c r="E244" s="198">
        <v>6.9315057455887508E-2</v>
      </c>
      <c r="F244" s="198">
        <v>0</v>
      </c>
      <c r="G244" s="215">
        <v>0</v>
      </c>
      <c r="H244" s="131"/>
    </row>
    <row r="245" spans="1:8" x14ac:dyDescent="0.25">
      <c r="A245" s="133"/>
      <c r="B245" s="204" t="str">
        <v>25 MPa, NSW, Concrete: S25/10/30 Slip manufactured at Smithfield (Advanced Readymix) (Australia)</v>
      </c>
      <c r="C245" s="132" t="str">
        <v>m³</v>
      </c>
      <c r="D245" s="198">
        <v>248.0340196601</v>
      </c>
      <c r="E245" s="198">
        <v>0.10334750819170833</v>
      </c>
      <c r="F245" s="198">
        <v>0</v>
      </c>
      <c r="G245" s="215">
        <v>0</v>
      </c>
      <c r="H245" s="131"/>
    </row>
    <row r="246" spans="1:8" x14ac:dyDescent="0.25">
      <c r="A246" s="133"/>
      <c r="B246" s="204" t="str">
        <v>25 MPa, NSW, Concrete: NS25/20/80 manufactured at Smithfield (Advanced Readymix) (Australia)</v>
      </c>
      <c r="C246" s="132" t="str">
        <v>m³</v>
      </c>
      <c r="D246" s="198">
        <v>158.87547890720998</v>
      </c>
      <c r="E246" s="198">
        <v>6.6198116211337504E-2</v>
      </c>
      <c r="F246" s="198">
        <v>0</v>
      </c>
      <c r="G246" s="215">
        <v>0</v>
      </c>
      <c r="H246" s="131"/>
    </row>
    <row r="247" spans="1:8" x14ac:dyDescent="0.25">
      <c r="A247" s="133"/>
      <c r="B247" s="204" t="str">
        <v>25 MPa, NSW, Concrete: N25/20/80 manufactured at Smithfield (Advanced Readymix) (Australia)</v>
      </c>
      <c r="C247" s="132" t="str">
        <v>m³</v>
      </c>
      <c r="D247" s="198">
        <v>156.93379187447999</v>
      </c>
      <c r="E247" s="198">
        <v>6.5389079947700005E-2</v>
      </c>
      <c r="F247" s="198">
        <v>0</v>
      </c>
      <c r="G247" s="215">
        <v>0</v>
      </c>
      <c r="H247" s="131"/>
    </row>
    <row r="248" spans="1:8" x14ac:dyDescent="0.25">
      <c r="A248" s="133"/>
      <c r="B248" s="204" t="str">
        <v>25 MPa, TAS, S25/10BF concrete  manufactured in our Southern Region (Hazell Bros Concrete Pty Ltd) (Australia)</v>
      </c>
      <c r="C248" s="132" t="str">
        <v>m³</v>
      </c>
      <c r="D248" s="198">
        <v>263.38647010800003</v>
      </c>
      <c r="E248" s="198">
        <v>0.109744362545</v>
      </c>
      <c r="F248" s="198">
        <v>0</v>
      </c>
      <c r="G248" s="215">
        <v>0</v>
      </c>
      <c r="H248" s="131"/>
    </row>
    <row r="249" spans="1:8" x14ac:dyDescent="0.25">
      <c r="A249" s="133"/>
      <c r="B249" s="204" t="str">
        <v>25 MPa, NSW, Concrete: S25/20/CLR manufactured at Prestons (Advanced Readymix) (Australia)</v>
      </c>
      <c r="C249" s="132" t="str">
        <v>m³</v>
      </c>
      <c r="D249" s="198">
        <v>173.66057600581996</v>
      </c>
      <c r="E249" s="198">
        <v>7.2358573335758333E-2</v>
      </c>
      <c r="F249" s="198">
        <v>0</v>
      </c>
      <c r="G249" s="215">
        <v>0</v>
      </c>
      <c r="H249" s="131"/>
    </row>
    <row r="250" spans="1:8" x14ac:dyDescent="0.25">
      <c r="A250" s="133"/>
      <c r="B250" s="204" t="str">
        <v>25 MPa, NSW, Concrete: S25/20/CLR manufactured at Smithfield (Advanced Readymix) (Australia)</v>
      </c>
      <c r="C250" s="132" t="str">
        <v>m³</v>
      </c>
      <c r="D250" s="198">
        <v>164.68577760338999</v>
      </c>
      <c r="E250" s="198">
        <v>6.8619074001412497E-2</v>
      </c>
      <c r="F250" s="198">
        <v>0</v>
      </c>
      <c r="G250" s="215">
        <v>0</v>
      </c>
      <c r="H250" s="131"/>
    </row>
    <row r="251" spans="1:8" x14ac:dyDescent="0.25">
      <c r="A251" s="133"/>
      <c r="B251" s="204" t="str">
        <v>25 MPa, TAS, S25/10BF concrete  manufactured in our Northern Region (Hazell Bros Concrete Pty Ltd) (Australia)</v>
      </c>
      <c r="C251" s="132" t="str">
        <v>m³</v>
      </c>
      <c r="D251" s="198">
        <v>263.98021298944104</v>
      </c>
      <c r="E251" s="198">
        <v>0.10999175541226709</v>
      </c>
      <c r="F251" s="198">
        <v>0</v>
      </c>
      <c r="G251" s="215">
        <v>0</v>
      </c>
      <c r="H251" s="131"/>
    </row>
    <row r="252" spans="1:8" x14ac:dyDescent="0.25">
      <c r="A252" s="133"/>
      <c r="B252" s="204" t="str">
        <v>25 MPa, TAS, N25/20N concrete  manufactured in our Southern Region (Hazell Bros Concrete Pty Ltd) (Australia)</v>
      </c>
      <c r="C252" s="132" t="str">
        <v>m³</v>
      </c>
      <c r="D252" s="198">
        <v>230.92318175299999</v>
      </c>
      <c r="E252" s="198">
        <v>9.6217992397083341E-2</v>
      </c>
      <c r="F252" s="198">
        <v>0</v>
      </c>
      <c r="G252" s="215">
        <v>0</v>
      </c>
      <c r="H252" s="131"/>
    </row>
    <row r="253" spans="1:8" x14ac:dyDescent="0.25">
      <c r="A253" s="133"/>
      <c r="B253" s="204" t="str">
        <v>25 MPa, NSW, Pre-mix concrete GS2520-1 (Western Suburbs Concrete) (Australia)</v>
      </c>
      <c r="C253" s="132" t="str">
        <v>m³</v>
      </c>
      <c r="D253" s="198">
        <v>215.94998701099999</v>
      </c>
      <c r="E253" s="198">
        <v>8.9979161254583329E-2</v>
      </c>
      <c r="F253" s="198">
        <v>0</v>
      </c>
      <c r="G253" s="215">
        <v>0</v>
      </c>
      <c r="H253" s="131"/>
    </row>
    <row r="254" spans="1:8" x14ac:dyDescent="0.25">
      <c r="A254" s="133"/>
      <c r="B254" s="204" t="str">
        <v>25 MPa, NSW, Pre-mix concrete N2520 (Western Suburbs Concrete) (Australia)</v>
      </c>
      <c r="C254" s="132" t="str">
        <v>m³</v>
      </c>
      <c r="D254" s="198">
        <v>210.86544871199999</v>
      </c>
      <c r="E254" s="198">
        <v>8.7860603630000006E-2</v>
      </c>
      <c r="F254" s="198">
        <v>0</v>
      </c>
      <c r="G254" s="215">
        <v>0</v>
      </c>
      <c r="H254" s="131"/>
    </row>
    <row r="255" spans="1:8" x14ac:dyDescent="0.25">
      <c r="A255" s="133"/>
      <c r="B255" s="204" t="str">
        <v>25 MPa, NSW, Pre-mix concrete GS2520-2 (Western Suburbs Concrete) (Australia)</v>
      </c>
      <c r="C255" s="132" t="str">
        <v>m³</v>
      </c>
      <c r="D255" s="198">
        <v>188.845509991</v>
      </c>
      <c r="E255" s="198">
        <v>7.8685629162916659E-2</v>
      </c>
      <c r="F255" s="198">
        <v>0</v>
      </c>
      <c r="G255" s="215">
        <v>0</v>
      </c>
      <c r="H255" s="131"/>
    </row>
    <row r="256" spans="1:8" x14ac:dyDescent="0.25">
      <c r="A256" s="133"/>
      <c r="B256" s="204" t="str">
        <v>25 MPa, NSW, Pre-mix concrete WGS2520-1 (Western Suburbs Concrete) (Australia)</v>
      </c>
      <c r="C256" s="132" t="str">
        <v>m³</v>
      </c>
      <c r="D256" s="198">
        <v>207.63135665799999</v>
      </c>
      <c r="E256" s="198">
        <v>8.6513065274166662E-2</v>
      </c>
      <c r="F256" s="198">
        <v>0</v>
      </c>
      <c r="G256" s="215">
        <v>0</v>
      </c>
      <c r="H256" s="131"/>
    </row>
    <row r="257" spans="1:8" x14ac:dyDescent="0.25">
      <c r="A257" s="133"/>
      <c r="B257" s="204" t="str">
        <v>25 MPa, NSW, Pre-mix concrete WN2520 (Western Suburbs Concrete) (Australia)</v>
      </c>
      <c r="C257" s="132" t="str">
        <v>m³</v>
      </c>
      <c r="D257" s="198">
        <v>208.509010714</v>
      </c>
      <c r="E257" s="198">
        <v>8.6878754464166666E-2</v>
      </c>
      <c r="F257" s="198">
        <v>0</v>
      </c>
      <c r="G257" s="215">
        <v>0</v>
      </c>
      <c r="H257" s="131"/>
    </row>
    <row r="258" spans="1:8" x14ac:dyDescent="0.25">
      <c r="A258" s="133"/>
      <c r="B258" s="204" t="str">
        <v>25 MPa, NSW, Pre-mix concrete WGS2520-2 (Western Suburbs Concrete) (Australia)</v>
      </c>
      <c r="C258" s="132" t="str">
        <v>m³</v>
      </c>
      <c r="D258" s="198">
        <v>196.45064047099999</v>
      </c>
      <c r="E258" s="198">
        <v>8.185443352958334E-2</v>
      </c>
      <c r="F258" s="198">
        <v>0</v>
      </c>
      <c r="G258" s="215">
        <v>0</v>
      </c>
      <c r="H258" s="131"/>
    </row>
    <row r="259" spans="1:8" x14ac:dyDescent="0.25">
      <c r="A259" s="133"/>
      <c r="B259" s="204" t="str">
        <v>25 MPa, TAS, N25/20N/SCM concrete  manufactured in our Southern Region (Hazell Bros Concrete Pty Ltd) (Australia)</v>
      </c>
      <c r="C259" s="132" t="str">
        <v>m³</v>
      </c>
      <c r="D259" s="198">
        <v>179.05416200499999</v>
      </c>
      <c r="E259" s="198">
        <v>7.4605900835416669E-2</v>
      </c>
      <c r="F259" s="198">
        <v>0</v>
      </c>
      <c r="G259" s="215">
        <v>0</v>
      </c>
      <c r="H259" s="131"/>
    </row>
    <row r="260" spans="1:8" x14ac:dyDescent="0.25">
      <c r="A260" s="133"/>
      <c r="B260" s="204" t="str">
        <v>25 MPa, TAS, N25/20N concrete manufactured in our Northern Region (Hazell Bros Concrete Pty Ltd) (Australia)</v>
      </c>
      <c r="C260" s="132" t="str">
        <v>m³</v>
      </c>
      <c r="D260" s="198">
        <v>227.76721780674998</v>
      </c>
      <c r="E260" s="198">
        <v>9.4903007419479157E-2</v>
      </c>
      <c r="F260" s="198">
        <v>0</v>
      </c>
      <c r="G260" s="215">
        <v>0</v>
      </c>
      <c r="H260" s="131"/>
    </row>
    <row r="261" spans="1:8" x14ac:dyDescent="0.25">
      <c r="A261" s="133"/>
      <c r="B261" s="204" t="str">
        <v>25 MPa, NSW, Concrete: NS25/20/100 manufactured at Seven Hills (Advanced Readymix) (Australia)</v>
      </c>
      <c r="C261" s="132" t="str">
        <v>m³</v>
      </c>
      <c r="D261" s="198">
        <v>180.25582523650002</v>
      </c>
      <c r="E261" s="198">
        <v>7.5106593848541667E-2</v>
      </c>
      <c r="F261" s="198">
        <v>0</v>
      </c>
      <c r="G261" s="215">
        <v>0</v>
      </c>
      <c r="H261" s="131"/>
    </row>
    <row r="262" spans="1:8" x14ac:dyDescent="0.25">
      <c r="A262" s="133"/>
      <c r="B262" s="204" t="str">
        <v>25 MPa, NSW, Concrete: S22 @ 3 40pt manufactured at Seven Hills (Advanced Readymix) (Australia)</v>
      </c>
      <c r="C262" s="132" t="str">
        <v>m³</v>
      </c>
      <c r="D262" s="198">
        <v>377.3595367314</v>
      </c>
      <c r="E262" s="198">
        <v>0.15723314030475002</v>
      </c>
      <c r="F262" s="198">
        <v>0</v>
      </c>
      <c r="G262" s="215">
        <v>0</v>
      </c>
      <c r="H262" s="131"/>
    </row>
    <row r="263" spans="1:8" x14ac:dyDescent="0.25">
      <c r="A263" s="133"/>
      <c r="B263" s="204" t="str">
        <v>25 MPa, NSW, Concrete: NS25/20/80 manufactured at Seven Hills (Advanced Readymix) (Australia)</v>
      </c>
      <c r="C263" s="132" t="str">
        <v>m³</v>
      </c>
      <c r="D263" s="198">
        <v>179.74428895150001</v>
      </c>
      <c r="E263" s="198">
        <v>7.489345372979167E-2</v>
      </c>
      <c r="F263" s="198">
        <v>0</v>
      </c>
      <c r="G263" s="215">
        <v>0</v>
      </c>
      <c r="H263" s="131"/>
    </row>
    <row r="264" spans="1:8" x14ac:dyDescent="0.25">
      <c r="A264" s="133"/>
      <c r="B264" s="204" t="str">
        <v>25 MPa, NSW, Concrete: N25/20/80 manufactured at Seven Hills (Advanced Readymix) (Australia)</v>
      </c>
      <c r="C264" s="132" t="str">
        <v>m³</v>
      </c>
      <c r="D264" s="198">
        <v>177.4656751702</v>
      </c>
      <c r="E264" s="198">
        <v>7.3944031320916676E-2</v>
      </c>
      <c r="F264" s="198">
        <v>0</v>
      </c>
      <c r="G264" s="215">
        <v>0</v>
      </c>
      <c r="H264" s="131"/>
    </row>
    <row r="265" spans="1:8" x14ac:dyDescent="0.25">
      <c r="A265" s="133"/>
      <c r="B265" s="204" t="str">
        <v>25 MPa, NSW, Concrete: S25 1060 manufactured at Seven Hills (Advanced Readymix) (Australia)</v>
      </c>
      <c r="C265" s="132" t="str">
        <v>m³</v>
      </c>
      <c r="D265" s="198">
        <v>245.91796995839999</v>
      </c>
      <c r="E265" s="198">
        <v>0.102465820816</v>
      </c>
      <c r="F265" s="198">
        <v>0</v>
      </c>
      <c r="G265" s="215">
        <v>0</v>
      </c>
      <c r="H265" s="131"/>
    </row>
    <row r="266" spans="1:8" x14ac:dyDescent="0.25">
      <c r="A266" s="133"/>
      <c r="B266" s="204" t="str">
        <v>25 MPa, NSW, Concrete: S25/20/3D manufactured at Seven Hills (Advanced Readymix) (Australia)</v>
      </c>
      <c r="C266" s="132" t="str">
        <v>m³</v>
      </c>
      <c r="D266" s="198">
        <v>245.91796995839999</v>
      </c>
      <c r="E266" s="198">
        <v>0.102465820816</v>
      </c>
      <c r="F266" s="198">
        <v>0</v>
      </c>
      <c r="G266" s="215">
        <v>0</v>
      </c>
      <c r="H266" s="131"/>
    </row>
    <row r="267" spans="1:8" x14ac:dyDescent="0.25">
      <c r="A267" s="133"/>
      <c r="B267" s="204" t="str">
        <v>25 MPa, TAS, N25/20N/SCM concrete manufactured in our Northern Region (Hazell Bros Concrete Pty Ltd) (Australia)</v>
      </c>
      <c r="C267" s="132" t="str">
        <v>m³</v>
      </c>
      <c r="D267" s="198">
        <v>178.709764462891</v>
      </c>
      <c r="E267" s="198">
        <v>7.4462401859537911E-2</v>
      </c>
      <c r="F267" s="198">
        <v>0</v>
      </c>
      <c r="G267" s="215">
        <v>0</v>
      </c>
      <c r="H267" s="131"/>
    </row>
    <row r="268" spans="1:8" x14ac:dyDescent="0.25">
      <c r="A268" s="133"/>
      <c r="B268" s="204" t="str">
        <v>25 MPa, NSW, Readymix concrete: ECO2510100 (Daracrete Pty Ltd) (Australia)</v>
      </c>
      <c r="C268" s="132" t="str">
        <v>m³</v>
      </c>
      <c r="D268" s="198">
        <v>165.061201496</v>
      </c>
      <c r="E268" s="198">
        <v>6.8775500623333333E-2</v>
      </c>
      <c r="F268" s="198">
        <v>0</v>
      </c>
      <c r="G268" s="215">
        <v>0</v>
      </c>
      <c r="H268" s="131"/>
    </row>
    <row r="269" spans="1:8" x14ac:dyDescent="0.25">
      <c r="A269" s="133"/>
      <c r="B269" s="204" t="str">
        <v>25 MPa, NSW, Concrete: S25/20/CLR manufactured at Seven Hills (Advanced Readymix) (Australia)</v>
      </c>
      <c r="C269" s="132" t="str">
        <v>m³</v>
      </c>
      <c r="D269" s="198">
        <v>186.88766495154999</v>
      </c>
      <c r="E269" s="198">
        <v>7.7869860396479154E-2</v>
      </c>
      <c r="F269" s="198">
        <v>0</v>
      </c>
      <c r="G269" s="215">
        <v>0</v>
      </c>
      <c r="H269" s="131"/>
    </row>
    <row r="270" spans="1:8" x14ac:dyDescent="0.25">
      <c r="A270" s="133"/>
      <c r="B270" s="217" t="str">
        <v>25 MPa, NSW, Concrete: S25/10/30 Slip manufactured at Seven Hills (Advanced Readymix) (Australia)</v>
      </c>
      <c r="C270" s="218" t="str">
        <v>m³</v>
      </c>
      <c r="D270" s="219">
        <v>291.45861971049999</v>
      </c>
      <c r="E270" s="219">
        <v>0.12144109154604166</v>
      </c>
      <c r="F270" s="219">
        <v>0</v>
      </c>
      <c r="G270" s="220">
        <v>0</v>
      </c>
      <c r="H270" s="131"/>
    </row>
    <row r="271" spans="1:8" x14ac:dyDescent="0.25">
      <c r="B271" s="130"/>
      <c r="C271" s="130"/>
      <c r="D271" s="207"/>
      <c r="E271" s="207"/>
      <c r="F271" s="207"/>
      <c r="G271" s="207"/>
    </row>
  </sheetData>
  <dataValidations disablePrompts="1" count="1">
    <dataValidation type="list" allowBlank="1" showInputMessage="1" showErrorMessage="1" sqref="B6:B8" xr:uid="{BC650369-D81C-46C5-B2B8-EF5726E5FFF6}">
      <formula1>"Tier 1,Tier 2,Tier 3,Tier 4"</formula1>
    </dataValidation>
  </dataValidation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7358F-9756-4F65-8120-477E9423D1C4}">
  <sheetPr codeName="Sheet7">
    <tabColor rgb="FF00CCFF"/>
  </sheetPr>
  <dimension ref="A1:H331"/>
  <sheetViews>
    <sheetView workbookViewId="0"/>
  </sheetViews>
  <sheetFormatPr defaultColWidth="9.1796875" defaultRowHeight="12.5" x14ac:dyDescent="0.25"/>
  <cols>
    <col min="1" max="1" width="26.26953125" style="132" customWidth="1"/>
    <col min="2" max="2" width="142.45312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&gt;25 MPa to ≤32 MPa</v>
      </c>
    </row>
    <row r="2" spans="1:8" ht="13" x14ac:dyDescent="0.25">
      <c r="A2" s="202"/>
    </row>
    <row r="3" spans="1:8" ht="13" x14ac:dyDescent="0.25">
      <c r="A3" s="202" t="s">
        <v>5626</v>
      </c>
      <c r="B3" s="132" t="s">
        <v>5787</v>
      </c>
    </row>
    <row r="4" spans="1:8" ht="13" x14ac:dyDescent="0.25">
      <c r="A4" s="202"/>
    </row>
    <row r="5" spans="1:8" ht="69.75" customHeight="1" x14ac:dyDescent="0.3">
      <c r="A5" s="227" t="s">
        <v>5628</v>
      </c>
      <c r="B5" s="200" t="s">
        <v>5785</v>
      </c>
    </row>
    <row r="6" spans="1:8" ht="13" x14ac:dyDescent="0.3">
      <c r="A6" s="227" t="s">
        <v>5630</v>
      </c>
      <c r="B6" s="201" t="s">
        <v>71</v>
      </c>
    </row>
    <row r="7" spans="1:8" ht="13" x14ac:dyDescent="0.3">
      <c r="A7" s="227" t="s">
        <v>5631</v>
      </c>
      <c r="B7" s="201" t="s">
        <v>71</v>
      </c>
    </row>
    <row r="8" spans="1:8" ht="13" x14ac:dyDescent="0.3">
      <c r="A8" s="227" t="s">
        <v>5632</v>
      </c>
      <c r="B8" s="201" t="s">
        <v>71</v>
      </c>
    </row>
    <row r="9" spans="1:8" ht="13" x14ac:dyDescent="0.3">
      <c r="A9" s="227" t="s">
        <v>5633</v>
      </c>
      <c r="B9" s="202" t="s">
        <v>71</v>
      </c>
    </row>
    <row r="10" spans="1:8" ht="13" x14ac:dyDescent="0.3">
      <c r="A10" s="227"/>
      <c r="B10" s="202"/>
    </row>
    <row r="11" spans="1:8" ht="13" x14ac:dyDescent="0.3">
      <c r="A11" s="227" t="s">
        <v>5634</v>
      </c>
      <c r="B11" s="202"/>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940</v>
      </c>
      <c r="C16" s="311" t="s">
        <v>24</v>
      </c>
      <c r="D16" s="345" t="s">
        <v>146</v>
      </c>
      <c r="E16" s="209" t="s">
        <v>153</v>
      </c>
      <c r="F16" s="208" t="s">
        <v>147</v>
      </c>
      <c r="G16" s="208" t="s">
        <v>154</v>
      </c>
      <c r="H16" s="131"/>
    </row>
    <row r="17" spans="1:8" ht="13" x14ac:dyDescent="0.3">
      <c r="A17" s="133"/>
      <c r="B17" s="317"/>
      <c r="C17" s="206" t="s">
        <v>5636</v>
      </c>
      <c r="D17" s="207" t="str" cm="1">
        <f t="array" ref="D17">IF(AND(_xlfn.ANCHORARRAY(C23)=C23),C23,"Mixed")</f>
        <v>m³</v>
      </c>
      <c r="E17" s="207" t="s">
        <v>2774</v>
      </c>
      <c r="F17" s="207" t="str" cm="1">
        <f t="array" ref="F17">IF(AND(_xlfn.ANCHORARRAY(C23)=C23),C23,"Mixed")</f>
        <v>m³</v>
      </c>
      <c r="G17" s="318" t="s">
        <v>2774</v>
      </c>
      <c r="H17" s="131"/>
    </row>
    <row r="18" spans="1:8" s="200" customFormat="1" ht="13" x14ac:dyDescent="0.3">
      <c r="A18" s="221"/>
      <c r="B18" s="214"/>
      <c r="C18" s="202" t="s">
        <v>5637</v>
      </c>
      <c r="D18" s="198">
        <f>MAX(_xlfn.ANCHORARRAY(D23))</f>
        <v>459.166</v>
      </c>
      <c r="E18" s="198">
        <f t="shared" ref="E18:G18" si="0">MAX(_xlfn.ANCHORARRAY(E23))</f>
        <v>0.19131916666666668</v>
      </c>
      <c r="F18" s="198">
        <f t="shared" si="0"/>
        <v>0</v>
      </c>
      <c r="G18" s="215">
        <f t="shared" si="0"/>
        <v>0</v>
      </c>
      <c r="H18" s="222"/>
    </row>
    <row r="19" spans="1:8" ht="13" x14ac:dyDescent="0.25">
      <c r="A19" s="133"/>
      <c r="B19" s="204"/>
      <c r="C19" s="202" t="s">
        <v>5638</v>
      </c>
      <c r="D19" s="198">
        <f>MIN(_xlfn.ANCHORARRAY(D23))</f>
        <v>167.14</v>
      </c>
      <c r="E19" s="198">
        <f t="shared" ref="E19:G19" si="1">MIN(_xlfn.ANCHORARRAY(E23))</f>
        <v>6.9641666666666657E-2</v>
      </c>
      <c r="F19" s="198">
        <f t="shared" si="1"/>
        <v>0</v>
      </c>
      <c r="G19" s="215">
        <f t="shared" si="1"/>
        <v>0</v>
      </c>
      <c r="H19" s="131"/>
    </row>
    <row r="20" spans="1:8" ht="13" x14ac:dyDescent="0.25">
      <c r="A20" s="133"/>
      <c r="B20" s="204"/>
      <c r="C20" s="202" t="s">
        <v>5639</v>
      </c>
      <c r="D20" s="198">
        <f>AVERAGE(_xlfn.ANCHORARRAY(D23))</f>
        <v>249.30771031917359</v>
      </c>
      <c r="E20" s="198">
        <f t="shared" ref="E20:G20" si="2">AVERAGE(_xlfn.ANCHORARRAY(E23))</f>
        <v>0.10389864664109499</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330">_xlfn.UNIQUE(_xlfn._xlws.FILTER('EPD List'!D:D,ISNUMBER(SEARCH(B16,'EPD List'!C:C)),0))</f>
        <v>Concrete, 32 MPa, in-situ, no reinforcement, (VE322EF2) (Ecopact) (Holcim) (VIC)</v>
      </c>
      <c r="C23" s="132" t="str" cm="1">
        <f t="array" ref="C23:C330">_xlfn.IFNA(INDEX('EPD List'!$A:$AB,MATCH(_xlfn.ANCHORARRAY(B23),'EPD List'!$D:$D,0),MATCH(C$16,'EPD List'!$7:$7,0)),"")</f>
        <v>m³</v>
      </c>
      <c r="D23" s="198" cm="1">
        <f t="array" ref="D23:D330">_xlfn.IFNA(VALUE((INDEX('EPD List'!$A:$AD,MATCH(_xlfn.ANCHORARRAY($B23),'EPD List'!$D:$D,0),MATCH(D$16,'EPD List'!$7:$7,0)))),"")</f>
        <v>255.44</v>
      </c>
      <c r="E23" s="198" cm="1">
        <f t="array" ref="E23:E330">_xlfn.IFNA(VALUE((INDEX('EPD List'!$A:$AD,MATCH(_xlfn.ANCHORARRAY($B23),'EPD List'!$D:$D,0),MATCH(E$16,'EPD List'!$7:$7,0)))),"")</f>
        <v>0.10643333333333332</v>
      </c>
      <c r="F23" s="198" cm="1">
        <f t="array" ref="F23:F330">_xlfn.IFNA(VALUE((INDEX('EPD List'!$A:$AD,MATCH(_xlfn.ANCHORARRAY($B23),'EPD List'!$D:$D,0),MATCH(F$16,'EPD List'!$7:$7,0)))),"")</f>
        <v>0</v>
      </c>
      <c r="G23" s="215" cm="1">
        <f t="array" ref="G23:G330">_xlfn.IFNA(VALUE((INDEX('EPD List'!$A:$AD,MATCH(_xlfn.ANCHORARRAY($B23),'EPD List'!$D:$D,0),MATCH(G$16,'EPD List'!$7:$7,0)))),"")</f>
        <v>0</v>
      </c>
      <c r="H23" s="131"/>
    </row>
    <row r="24" spans="1:8" x14ac:dyDescent="0.25">
      <c r="A24" s="133"/>
      <c r="B24" s="204" t="str">
        <v>Concrete, 32 MPa, in-situ, no reinforcement, (SE322E) (Ecopact) (Holcim) (SA) (Adelaide)</v>
      </c>
      <c r="C24" s="132" t="str">
        <v>m³</v>
      </c>
      <c r="D24" s="198">
        <v>238.33</v>
      </c>
      <c r="E24" s="198">
        <v>9.9304166666666666E-2</v>
      </c>
      <c r="F24" s="198">
        <v>0</v>
      </c>
      <c r="G24" s="215">
        <v>0</v>
      </c>
      <c r="H24" s="131"/>
    </row>
    <row r="25" spans="1:8" x14ac:dyDescent="0.25">
      <c r="A25" s="133"/>
      <c r="B25" s="204" t="str">
        <v>Concrete, 32 MPa, in-situ, no reinforcement, (SE322FE562) (Ecopact) (Holcim) (SA) (Adelaide)</v>
      </c>
      <c r="C25" s="132" t="str">
        <v>m³</v>
      </c>
      <c r="D25" s="198">
        <v>246.34</v>
      </c>
      <c r="E25" s="198">
        <v>0.10264166666666666</v>
      </c>
      <c r="F25" s="198">
        <v>0</v>
      </c>
      <c r="G25" s="215">
        <v>0</v>
      </c>
      <c r="H25" s="131"/>
    </row>
    <row r="26" spans="1:8" x14ac:dyDescent="0.25">
      <c r="A26" s="133"/>
      <c r="B26" s="204" t="str">
        <v>Concrete, 32 MPa, in-situ, no reinforcement, (SE322E3) (Ecopact) (Holcim) (SA) (Adelaide)</v>
      </c>
      <c r="C26" s="132" t="str">
        <v>m³</v>
      </c>
      <c r="D26" s="198">
        <v>239.33</v>
      </c>
      <c r="E26" s="198">
        <v>9.9720833333333328E-2</v>
      </c>
      <c r="F26" s="198">
        <v>0</v>
      </c>
      <c r="G26" s="215">
        <v>0</v>
      </c>
      <c r="H26" s="131"/>
    </row>
    <row r="27" spans="1:8" x14ac:dyDescent="0.25">
      <c r="A27" s="133"/>
      <c r="B27" s="204" t="str">
        <v>Concrete, 32 MPa, in-situ, no reinforcement, (QE322RFB2)(Ecopact) (Holcim) (QLD) (Sunshine Coast)</v>
      </c>
      <c r="C27" s="132" t="str">
        <v>m³</v>
      </c>
      <c r="D27" s="198">
        <v>218.3</v>
      </c>
      <c r="E27" s="198">
        <v>9.0958333333333335E-2</v>
      </c>
      <c r="F27" s="198">
        <v>0</v>
      </c>
      <c r="G27" s="215">
        <v>0</v>
      </c>
      <c r="H27" s="131"/>
    </row>
    <row r="28" spans="1:8" x14ac:dyDescent="0.25">
      <c r="A28" s="133"/>
      <c r="B28" s="204" t="str">
        <v>Concrete, 32 MPa, in-situ, no reinforcement, (VE322P) (Ecopact) (Holcim) (VIC)</v>
      </c>
      <c r="C28" s="132" t="str">
        <v>m³</v>
      </c>
      <c r="D28" s="198">
        <v>192.26</v>
      </c>
      <c r="E28" s="198">
        <v>8.0108333333333337E-2</v>
      </c>
      <c r="F28" s="198">
        <v>0</v>
      </c>
      <c r="G28" s="215">
        <v>0</v>
      </c>
      <c r="H28" s="131"/>
    </row>
    <row r="29" spans="1:8" x14ac:dyDescent="0.25">
      <c r="A29" s="133"/>
      <c r="B29" s="204" t="str">
        <v>Concrete, 32 MPa, in-situ, no reinforcement, (VE322E /
BE322E) (Ecopact) (Holcim) (VIC)</v>
      </c>
      <c r="C29" s="132" t="str">
        <v>m³</v>
      </c>
      <c r="D29" s="198">
        <v>233.3</v>
      </c>
      <c r="E29" s="198">
        <v>9.7208333333333327E-2</v>
      </c>
      <c r="F29" s="198">
        <v>0</v>
      </c>
      <c r="G29" s="215">
        <v>0</v>
      </c>
      <c r="H29" s="131"/>
    </row>
    <row r="30" spans="1:8" x14ac:dyDescent="0.25">
      <c r="A30" s="133"/>
      <c r="B30" s="204" t="str">
        <v>Concrete, 32 MPa, in-situ, no reinforcement, (QE322ESF1) (Ecopact) (Holcim) (QLD) (Brisbane)</v>
      </c>
      <c r="C30" s="132" t="str">
        <v>m³</v>
      </c>
      <c r="D30" s="198">
        <v>222.25</v>
      </c>
      <c r="E30" s="198">
        <v>9.2604166666666668E-2</v>
      </c>
      <c r="F30" s="198">
        <v>0</v>
      </c>
      <c r="G30" s="215">
        <v>0</v>
      </c>
      <c r="H30" s="131"/>
    </row>
    <row r="31" spans="1:8" x14ac:dyDescent="0.25">
      <c r="A31" s="133"/>
      <c r="B31" s="204" t="str">
        <v>Concrete, 32 MPa, in-situ, no reinforcement, (VE322E56) (Ecopact) (Holcim) (VIC)</v>
      </c>
      <c r="C31" s="132" t="str">
        <v>m³</v>
      </c>
      <c r="D31" s="198">
        <v>250.28</v>
      </c>
      <c r="E31" s="198">
        <v>0.10428333333333334</v>
      </c>
      <c r="F31" s="198">
        <v>0</v>
      </c>
      <c r="G31" s="215">
        <v>0</v>
      </c>
      <c r="H31" s="131"/>
    </row>
    <row r="32" spans="1:8" x14ac:dyDescent="0.25">
      <c r="A32" s="133"/>
      <c r="B32" s="204" t="str">
        <v>Concrete, 32 MPa, in-situ, no reinforcement, (QE322ESF) (Ecopact) (Holcim) (QLD) (Brisbane)</v>
      </c>
      <c r="C32" s="132" t="str">
        <v>m³</v>
      </c>
      <c r="D32" s="198">
        <v>217.24</v>
      </c>
      <c r="E32" s="198">
        <v>9.0516666666666676E-2</v>
      </c>
      <c r="F32" s="198">
        <v>0</v>
      </c>
      <c r="G32" s="215">
        <v>0</v>
      </c>
      <c r="H32" s="131"/>
    </row>
    <row r="33" spans="1:8" x14ac:dyDescent="0.25">
      <c r="A33" s="133"/>
      <c r="B33" s="204" t="str">
        <v>Concrete, 32 MPa, in-situ, no reinforcement, (QE321E)(Ecopact) (Holcim) (QLD) (Sunshine Coast)</v>
      </c>
      <c r="C33" s="132" t="str">
        <v>m³</v>
      </c>
      <c r="D33" s="198">
        <v>192.21</v>
      </c>
      <c r="E33" s="198">
        <v>8.0087500000000006E-2</v>
      </c>
      <c r="F33" s="198">
        <v>0</v>
      </c>
      <c r="G33" s="215">
        <v>0</v>
      </c>
      <c r="H33" s="131"/>
    </row>
    <row r="34" spans="1:8" x14ac:dyDescent="0.25">
      <c r="A34" s="133"/>
      <c r="B34" s="204" t="str">
        <v>Concrete, 32 MPa, in-situ, no reinforcement, (QE321EF1)(Ecopact) (Holcim) (QLD) (Sunshine Coast)</v>
      </c>
      <c r="C34" s="132" t="str">
        <v>m³</v>
      </c>
      <c r="D34" s="198">
        <v>203.22</v>
      </c>
      <c r="E34" s="198">
        <v>8.4675E-2</v>
      </c>
      <c r="F34" s="198">
        <v>0</v>
      </c>
      <c r="G34" s="215">
        <v>0</v>
      </c>
      <c r="H34" s="131"/>
    </row>
    <row r="35" spans="1:8" x14ac:dyDescent="0.25">
      <c r="A35" s="133"/>
      <c r="B35" s="204" t="str">
        <v>Concrete, 32 MPa, in-situ, no reinforcement, (QE321EF2)(Ecopact) (Holcim) (QLD) (Sunshine Coast)</v>
      </c>
      <c r="C35" s="132" t="str">
        <v>m³</v>
      </c>
      <c r="D35" s="198">
        <v>203.22</v>
      </c>
      <c r="E35" s="198">
        <v>8.4675E-2</v>
      </c>
      <c r="F35" s="198">
        <v>0</v>
      </c>
      <c r="G35" s="215">
        <v>0</v>
      </c>
      <c r="H35" s="131"/>
    </row>
    <row r="36" spans="1:8" x14ac:dyDescent="0.25">
      <c r="A36" s="133"/>
      <c r="B36" s="204" t="str">
        <v>Concrete, 32 MPa, in-situ, no reinforcement, (BE324XN) (Ecopact) (Holcim) (VIC)</v>
      </c>
      <c r="C36" s="132" t="str">
        <v>m³</v>
      </c>
      <c r="D36" s="198">
        <v>269.29000000000002</v>
      </c>
      <c r="E36" s="198">
        <v>0.11220416666666666</v>
      </c>
      <c r="F36" s="198">
        <v>0</v>
      </c>
      <c r="G36" s="215">
        <v>0</v>
      </c>
      <c r="H36" s="131"/>
    </row>
    <row r="37" spans="1:8" x14ac:dyDescent="0.25">
      <c r="A37" s="133"/>
      <c r="B37" s="204" t="str">
        <v>Concrete, 32 MPa, in-situ, no reinforcement, (QE322EF2)(Ecopact) (Holcim) (QLD) (Sunshine Coast)</v>
      </c>
      <c r="C37" s="132" t="str">
        <v>m³</v>
      </c>
      <c r="D37" s="198">
        <v>199.21</v>
      </c>
      <c r="E37" s="198">
        <v>8.3004166666666671E-2</v>
      </c>
      <c r="F37" s="198">
        <v>0</v>
      </c>
      <c r="G37" s="215">
        <v>0</v>
      </c>
      <c r="H37" s="131"/>
    </row>
    <row r="38" spans="1:8" x14ac:dyDescent="0.25">
      <c r="A38" s="133"/>
      <c r="B38" s="204" t="str">
        <v>Concrete, 32 MPa, in-situ, no reinforcement, (QE322TMR2)(Ecopact) (Holcim) (QLD) (Sunshine Coast)</v>
      </c>
      <c r="C38" s="132" t="str">
        <v>m³</v>
      </c>
      <c r="D38" s="198">
        <v>210.22</v>
      </c>
      <c r="E38" s="198">
        <v>8.7591666666666665E-2</v>
      </c>
      <c r="F38" s="198">
        <v>0</v>
      </c>
      <c r="G38" s="215">
        <v>0</v>
      </c>
      <c r="H38" s="131"/>
    </row>
    <row r="39" spans="1:8" x14ac:dyDescent="0.25">
      <c r="A39" s="133"/>
      <c r="B39" s="204" t="str">
        <v>Concrete, 32 MPa, in-situ, no reinforcement, (QE322E)(Ecopact) (Holcim) (QLD) (Sunshine Coast)</v>
      </c>
      <c r="C39" s="132" t="str">
        <v>m³</v>
      </c>
      <c r="D39" s="198">
        <v>183.19</v>
      </c>
      <c r="E39" s="198">
        <v>7.632916666666667E-2</v>
      </c>
      <c r="F39" s="198">
        <v>0</v>
      </c>
      <c r="G39" s="215">
        <v>0</v>
      </c>
      <c r="H39" s="131"/>
    </row>
    <row r="40" spans="1:8" x14ac:dyDescent="0.25">
      <c r="A40" s="133"/>
      <c r="B40" s="204" t="str">
        <v>Concrete, 32 MPa, in-situ, no reinforcement, (Futurecrete®  N
class GP/GL:Slag
32 MPa) (Adbri) (QLD)</v>
      </c>
      <c r="C40" s="132" t="str">
        <v>m³</v>
      </c>
      <c r="D40" s="198">
        <v>225.226</v>
      </c>
      <c r="E40" s="198">
        <v>9.3844166666666673E-2</v>
      </c>
      <c r="F40" s="198">
        <v>0</v>
      </c>
      <c r="G40" s="215">
        <v>0</v>
      </c>
      <c r="H40" s="131"/>
    </row>
    <row r="41" spans="1:8" x14ac:dyDescent="0.25">
      <c r="A41" s="133"/>
      <c r="B41" s="204" t="str">
        <v>Concrete, 32 MPa, in-situ, no reinforcement, (R3220B)(GB) (BCG) (WA), (Perth)</v>
      </c>
      <c r="C41" s="132" t="str">
        <v>m³</v>
      </c>
      <c r="D41" s="198">
        <v>282.27999999999997</v>
      </c>
      <c r="E41" s="198">
        <v>0.11761666666666667</v>
      </c>
      <c r="F41" s="198">
        <v>0</v>
      </c>
      <c r="G41" s="215">
        <v>0</v>
      </c>
      <c r="H41" s="131"/>
    </row>
    <row r="42" spans="1:8" x14ac:dyDescent="0.25">
      <c r="A42" s="133"/>
      <c r="B42" s="204" t="str">
        <v>Concrete, 32 MPa, in-situ, no reinforcement, (NE322E1A1)(Ecopact) (Holcim) (NSW), (Sydney)</v>
      </c>
      <c r="C42" s="132" t="str">
        <v>m³</v>
      </c>
      <c r="D42" s="198">
        <v>240.22</v>
      </c>
      <c r="E42" s="198">
        <v>0.10009166666666668</v>
      </c>
      <c r="F42" s="198">
        <v>0</v>
      </c>
      <c r="G42" s="215">
        <v>0</v>
      </c>
      <c r="H42" s="131"/>
    </row>
    <row r="43" spans="1:8" x14ac:dyDescent="0.25">
      <c r="A43" s="133"/>
      <c r="B43" s="204" t="str">
        <v>Concrete, 32 MPa, in-situ, no reinforcement, (QE322L)(Ecopact) (Holcim) (QLD) (Sunshine Coast)</v>
      </c>
      <c r="C43" s="132" t="str">
        <v>m³</v>
      </c>
      <c r="D43" s="198">
        <v>242.22</v>
      </c>
      <c r="E43" s="198">
        <v>0.100925</v>
      </c>
      <c r="F43" s="198">
        <v>0</v>
      </c>
      <c r="G43" s="215">
        <v>0</v>
      </c>
      <c r="H43" s="131"/>
    </row>
    <row r="44" spans="1:8" x14ac:dyDescent="0.25">
      <c r="A44" s="133"/>
      <c r="B44" s="204" t="str">
        <v>Concrete, 32 MPa, in-situ, no reinforcement, (QE321L100)(Ecopact) (Holcim) (QLD) (Sunshine Coast)</v>
      </c>
      <c r="C44" s="132" t="str">
        <v>m³</v>
      </c>
      <c r="D44" s="198">
        <v>256.23</v>
      </c>
      <c r="E44" s="198">
        <v>0.10676250000000001</v>
      </c>
      <c r="F44" s="198">
        <v>0</v>
      </c>
      <c r="G44" s="215">
        <v>0</v>
      </c>
      <c r="H44" s="131"/>
    </row>
    <row r="45" spans="1:8" x14ac:dyDescent="0.25">
      <c r="A45" s="133"/>
      <c r="B45" s="204" t="str">
        <v>Concrete, 32 MPa, in-situ, no reinforcement, (32MPa 10MM BLOCKMIX) (Adbri) (QLD)</v>
      </c>
      <c r="C45" s="132" t="str">
        <v>m³</v>
      </c>
      <c r="D45" s="198">
        <v>295.26400000000001</v>
      </c>
      <c r="E45" s="198">
        <v>0.12302666666666666</v>
      </c>
      <c r="F45" s="198">
        <v>0</v>
      </c>
      <c r="G45" s="215">
        <v>0</v>
      </c>
      <c r="H45" s="131"/>
    </row>
    <row r="46" spans="1:8" x14ac:dyDescent="0.25">
      <c r="A46" s="133"/>
      <c r="B46" s="204" t="str">
        <v>Concrete, 32 MPa, in-situ, no reinforcement, (QE322L100)(Ecopact) (Holcim) (QLD) (Sunshine Coast)</v>
      </c>
      <c r="C46" s="132" t="str">
        <v>m³</v>
      </c>
      <c r="D46" s="198">
        <v>248.22</v>
      </c>
      <c r="E46" s="198">
        <v>0.103425</v>
      </c>
      <c r="F46" s="198">
        <v>0</v>
      </c>
      <c r="G46" s="215">
        <v>0</v>
      </c>
      <c r="H46" s="131"/>
    </row>
    <row r="47" spans="1:8" x14ac:dyDescent="0.25">
      <c r="A47" s="133"/>
      <c r="B47" s="204" t="str">
        <v>Concrete, 32 MPa, in-situ, no reinforcement, (Futurecrete®  Ultra
N Class GP/GL:Slag
32 MPa) (Adbri) (VIC)</v>
      </c>
      <c r="C47" s="132" t="str">
        <v>m³</v>
      </c>
      <c r="D47" s="198">
        <v>181.16</v>
      </c>
      <c r="E47" s="198">
        <v>7.5483333333333347E-2</v>
      </c>
      <c r="F47" s="198">
        <v>0</v>
      </c>
      <c r="G47" s="215">
        <v>0</v>
      </c>
      <c r="H47" s="131"/>
    </row>
    <row r="48" spans="1:8" x14ac:dyDescent="0.25">
      <c r="A48" s="133"/>
      <c r="B48" s="204" t="str">
        <v>Concrete, 32 MPa, in-situ, no reinforcement, (Futurecrete® N Class
GP:GL:Slag 32 MPa
- Winnellie) (Adbri) (NT)</v>
      </c>
      <c r="C48" s="132" t="str">
        <v>m³</v>
      </c>
      <c r="D48" s="198">
        <v>248.21</v>
      </c>
      <c r="E48" s="198">
        <v>0.10342083333333334</v>
      </c>
      <c r="F48" s="198">
        <v>0</v>
      </c>
      <c r="G48" s="215">
        <v>0</v>
      </c>
      <c r="H48" s="131"/>
    </row>
    <row r="49" spans="1:8" x14ac:dyDescent="0.25">
      <c r="A49" s="133"/>
      <c r="B49" s="204" t="str">
        <v>Concrete, 32 MPa, in-situ, no reinforcement, (32MPa 20MM SHR LIMIT 600um) (Adbri) (VIC)</v>
      </c>
      <c r="C49" s="132" t="str">
        <v>m³</v>
      </c>
      <c r="D49" s="198">
        <v>260.22000000000003</v>
      </c>
      <c r="E49" s="198">
        <v>0.10842500000000001</v>
      </c>
      <c r="F49" s="198">
        <v>0</v>
      </c>
      <c r="G49" s="215">
        <v>0</v>
      </c>
      <c r="H49" s="131"/>
    </row>
    <row r="50" spans="1:8" x14ac:dyDescent="0.25">
      <c r="A50" s="133"/>
      <c r="B50" s="204" t="str">
        <v>Concrete, 32 MPa, in-situ, no reinforcement, (NE322E1)(Ecopact) (Holcim) (NSW), (Sydney)</v>
      </c>
      <c r="C50" s="132" t="str">
        <v>m³</v>
      </c>
      <c r="D50" s="198">
        <v>167.14</v>
      </c>
      <c r="E50" s="198">
        <v>6.9641666666666657E-2</v>
      </c>
      <c r="F50" s="198">
        <v>0</v>
      </c>
      <c r="G50" s="215">
        <v>0</v>
      </c>
      <c r="H50" s="131"/>
    </row>
    <row r="51" spans="1:8" x14ac:dyDescent="0.25">
      <c r="A51" s="133"/>
      <c r="B51" s="204" t="str">
        <v>Concrete, 32 MPa, in-situ, no reinforcement, (NE322E5)(Ecopact) (Holcim) (NSW), (Sydney)</v>
      </c>
      <c r="C51" s="132" t="str">
        <v>m³</v>
      </c>
      <c r="D51" s="198">
        <v>167.14</v>
      </c>
      <c r="E51" s="198">
        <v>6.9641666666666657E-2</v>
      </c>
      <c r="F51" s="198">
        <v>0</v>
      </c>
      <c r="G51" s="215">
        <v>0</v>
      </c>
      <c r="H51" s="131"/>
    </row>
    <row r="52" spans="1:8" x14ac:dyDescent="0.25">
      <c r="A52" s="133"/>
      <c r="B52" s="204" t="str">
        <v>Concrete, 32 MPa, in-situ, no reinforcement, (Futurecrete®
N class GP/GL:FA
32 MPa) (Adbri) (QLD)</v>
      </c>
      <c r="C52" s="132" t="str">
        <v>m³</v>
      </c>
      <c r="D52" s="198">
        <v>271.22500000000002</v>
      </c>
      <c r="E52" s="198">
        <v>0.11301041666666667</v>
      </c>
      <c r="F52" s="198">
        <v>0</v>
      </c>
      <c r="G52" s="215">
        <v>0</v>
      </c>
      <c r="H52" s="131"/>
    </row>
    <row r="53" spans="1:8" x14ac:dyDescent="0.25">
      <c r="A53" s="133"/>
      <c r="B53" s="204" t="str">
        <v>Concrete, 32 MPa, in-situ, no reinforcement, (NE321E1)(Ecopact) (Holcim) (NSW), (Sydney)</v>
      </c>
      <c r="C53" s="132" t="str">
        <v>m³</v>
      </c>
      <c r="D53" s="198">
        <v>169.14</v>
      </c>
      <c r="E53" s="198">
        <v>7.0474999999999996E-2</v>
      </c>
      <c r="F53" s="198">
        <v>0</v>
      </c>
      <c r="G53" s="215">
        <v>0</v>
      </c>
      <c r="H53" s="131"/>
    </row>
    <row r="54" spans="1:8" x14ac:dyDescent="0.25">
      <c r="A54" s="133"/>
      <c r="B54" s="204" t="str">
        <v>Concrete, 32 MPa, in-situ, no reinforcement, (NE321E5)(Ecopact) (Holcim) (NSW), (Sydney)</v>
      </c>
      <c r="C54" s="132" t="str">
        <v>m³</v>
      </c>
      <c r="D54" s="198">
        <v>169.14</v>
      </c>
      <c r="E54" s="198">
        <v>7.0474999999999996E-2</v>
      </c>
      <c r="F54" s="198">
        <v>0</v>
      </c>
      <c r="G54" s="215">
        <v>0</v>
      </c>
      <c r="H54" s="131"/>
    </row>
    <row r="55" spans="1:8" x14ac:dyDescent="0.25">
      <c r="A55" s="133"/>
      <c r="B55" s="204" t="str">
        <v>Concrete, 32 MPa, in-situ, no reinforcement, (QE323EBMX) (Ecopact) (Holcim) (QLD), Gold Coast</v>
      </c>
      <c r="C55" s="132" t="str">
        <v>m³</v>
      </c>
      <c r="D55" s="198">
        <v>248.2</v>
      </c>
      <c r="E55" s="198">
        <v>0.10341666666666667</v>
      </c>
      <c r="F55" s="198">
        <v>0</v>
      </c>
      <c r="G55" s="215">
        <v>0</v>
      </c>
      <c r="H55" s="131"/>
    </row>
    <row r="56" spans="1:8" x14ac:dyDescent="0.25">
      <c r="A56" s="133"/>
      <c r="B56" s="204" t="str">
        <v>Concrete, 32 MPa, in-situ, no reinforcement, (Futurecrete®  N Class
GP/GL:Slag 32 MPa) (Adbri) (VIC)</v>
      </c>
      <c r="C56" s="132" t="str">
        <v>m³</v>
      </c>
      <c r="D56" s="198">
        <v>217.17</v>
      </c>
      <c r="E56" s="198">
        <v>9.0487500000000012E-2</v>
      </c>
      <c r="F56" s="198">
        <v>0</v>
      </c>
      <c r="G56" s="215">
        <v>0</v>
      </c>
      <c r="H56" s="131"/>
    </row>
    <row r="57" spans="1:8" x14ac:dyDescent="0.25">
      <c r="A57" s="133"/>
      <c r="B57" s="204" t="str">
        <v>Concrete, 32 MPa, in-situ, no reinforcement, (QE327EBMX) (Ecopact) (Holcim) (QLD), Gold Coast</v>
      </c>
      <c r="C57" s="132" t="str">
        <v>m³</v>
      </c>
      <c r="D57" s="198">
        <v>230.18</v>
      </c>
      <c r="E57" s="198">
        <v>9.5908333333333345E-2</v>
      </c>
      <c r="F57" s="198">
        <v>0</v>
      </c>
      <c r="G57" s="215">
        <v>0</v>
      </c>
      <c r="H57" s="131"/>
    </row>
    <row r="58" spans="1:8" x14ac:dyDescent="0.25">
      <c r="A58" s="133"/>
      <c r="B58" s="204" t="str">
        <v>Concrete, 32 MPa, in-situ, no reinforcement, (QE323EBMX) (Ecopact) (Holcim) (QLD) (Brisbane)</v>
      </c>
      <c r="C58" s="132" t="str">
        <v>m³</v>
      </c>
      <c r="D58" s="198">
        <v>258.2</v>
      </c>
      <c r="E58" s="198">
        <v>0.10758333333333334</v>
      </c>
      <c r="F58" s="198">
        <v>0</v>
      </c>
      <c r="G58" s="215">
        <v>0</v>
      </c>
      <c r="H58" s="131"/>
    </row>
    <row r="59" spans="1:8" x14ac:dyDescent="0.25">
      <c r="A59" s="133"/>
      <c r="B59" s="204" t="str">
        <v>Concrete, 32 MPa, in-situ, no reinforcement, (QE321EL21) (Ecopact) (Holcim) (QLD), Gold Coast</v>
      </c>
      <c r="C59" s="132" t="str">
        <v>m³</v>
      </c>
      <c r="D59" s="198">
        <v>209.16</v>
      </c>
      <c r="E59" s="198">
        <v>8.7150000000000005E-2</v>
      </c>
      <c r="F59" s="198">
        <v>0</v>
      </c>
      <c r="G59" s="215">
        <v>0</v>
      </c>
      <c r="H59" s="131"/>
    </row>
    <row r="60" spans="1:8" x14ac:dyDescent="0.25">
      <c r="A60" s="133"/>
      <c r="B60" s="204" t="str">
        <v>Concrete, 32 MPa, in-situ, no reinforcement, (Adbri concrete
N class GP/GL
32 MPa) (Adbri) (QLD)</v>
      </c>
      <c r="C60" s="132" t="str">
        <v>m³</v>
      </c>
      <c r="D60" s="198">
        <v>325.24700000000001</v>
      </c>
      <c r="E60" s="198">
        <v>0.13551958333333333</v>
      </c>
      <c r="F60" s="198">
        <v>0</v>
      </c>
      <c r="G60" s="215">
        <v>0</v>
      </c>
      <c r="H60" s="131"/>
    </row>
    <row r="61" spans="1:8" x14ac:dyDescent="0.25">
      <c r="A61" s="133"/>
      <c r="B61" s="204" t="str">
        <v>Concrete, 32 MPa, in-situ, no reinforcement, (QE321EL21) (Ecopact) (Holcim) (QLD) (Brisbane)</v>
      </c>
      <c r="C61" s="132" t="str">
        <v>m³</v>
      </c>
      <c r="D61" s="198">
        <v>198.15</v>
      </c>
      <c r="E61" s="198">
        <v>8.2562499999999997E-2</v>
      </c>
      <c r="F61" s="198">
        <v>0</v>
      </c>
      <c r="G61" s="215">
        <v>0</v>
      </c>
      <c r="H61" s="131"/>
    </row>
    <row r="62" spans="1:8" x14ac:dyDescent="0.25">
      <c r="A62" s="133"/>
      <c r="B62" s="204" t="str">
        <v>Concrete, 32 MPa, in-situ, no reinforcement, (QE322EEZY) (Ecopact) (Holcim) (QLD) (Brisbane)</v>
      </c>
      <c r="C62" s="132" t="str">
        <v>m³</v>
      </c>
      <c r="D62" s="198">
        <v>188.14</v>
      </c>
      <c r="E62" s="198">
        <v>7.8391666666666665E-2</v>
      </c>
      <c r="F62" s="198">
        <v>0</v>
      </c>
      <c r="G62" s="215">
        <v>0</v>
      </c>
      <c r="H62" s="131"/>
    </row>
    <row r="63" spans="1:8" x14ac:dyDescent="0.25">
      <c r="A63" s="133"/>
      <c r="B63" s="204" t="str">
        <v>Concrete, 32 MPa, in-situ, no reinforcement, (QE321EEZY) (Ecopact) (Holcim) (QLD), Gold Coast</v>
      </c>
      <c r="C63" s="132" t="str">
        <v>m³</v>
      </c>
      <c r="D63" s="198">
        <v>202.15</v>
      </c>
      <c r="E63" s="198">
        <v>8.4229166666666661E-2</v>
      </c>
      <c r="F63" s="198">
        <v>0</v>
      </c>
      <c r="G63" s="215">
        <v>0</v>
      </c>
      <c r="H63" s="131"/>
    </row>
    <row r="64" spans="1:8" x14ac:dyDescent="0.25">
      <c r="A64" s="133"/>
      <c r="B64" s="204" t="str">
        <v>Concrete, 32 MPa, in-situ, no reinforcement, (QE327EBMX) (Ecopact) (Holcim) (QLD) (Brisbane)</v>
      </c>
      <c r="C64" s="132" t="str">
        <v>m³</v>
      </c>
      <c r="D64" s="198">
        <v>229.17</v>
      </c>
      <c r="E64" s="198">
        <v>9.5487500000000003E-2</v>
      </c>
      <c r="F64" s="198">
        <v>0</v>
      </c>
      <c r="G64" s="215">
        <v>0</v>
      </c>
      <c r="H64" s="131"/>
    </row>
    <row r="65" spans="1:8" x14ac:dyDescent="0.25">
      <c r="A65" s="133"/>
      <c r="B65" s="204" t="str">
        <v>Concrete, 32 MPa, in-situ, no reinforcement, (QE327ETOP) (Ecopact) (Holcim) (QLD), Gold Coast</v>
      </c>
      <c r="C65" s="132" t="str">
        <v>m³</v>
      </c>
      <c r="D65" s="198">
        <v>230.17</v>
      </c>
      <c r="E65" s="198">
        <v>9.5904166666666679E-2</v>
      </c>
      <c r="F65" s="198">
        <v>0</v>
      </c>
      <c r="G65" s="215">
        <v>0</v>
      </c>
      <c r="H65" s="131"/>
    </row>
    <row r="66" spans="1:8" x14ac:dyDescent="0.25">
      <c r="A66" s="133"/>
      <c r="B66" s="204" t="str">
        <v>Concrete, 32 MPa, in-situ, no reinforcement, (QE321E100) (Ecopact) (Holcim) (QLD), Gold Coast</v>
      </c>
      <c r="C66" s="132" t="str">
        <v>m³</v>
      </c>
      <c r="D66" s="198">
        <v>203.15</v>
      </c>
      <c r="E66" s="198">
        <v>8.4645833333333323E-2</v>
      </c>
      <c r="F66" s="198">
        <v>0</v>
      </c>
      <c r="G66" s="215">
        <v>0</v>
      </c>
      <c r="H66" s="131"/>
    </row>
    <row r="67" spans="1:8" x14ac:dyDescent="0.25">
      <c r="A67" s="133"/>
      <c r="B67" s="204" t="str">
        <v>Concrete, 32 MPa, in-situ, no reinforcement, (QE322E100) (Ecopact) (Holcim) (QLD), Gold Coast</v>
      </c>
      <c r="C67" s="132" t="str">
        <v>m³</v>
      </c>
      <c r="D67" s="198">
        <v>190.14</v>
      </c>
      <c r="E67" s="198">
        <v>7.922499999999999E-2</v>
      </c>
      <c r="F67" s="198">
        <v>0</v>
      </c>
      <c r="G67" s="215">
        <v>0</v>
      </c>
      <c r="H67" s="131"/>
    </row>
    <row r="68" spans="1:8" x14ac:dyDescent="0.25">
      <c r="A68" s="133"/>
      <c r="B68" s="204" t="str">
        <v>Concrete, 32 MPa, in-situ, no reinforcement, (QE322E) (Ecopact) (Holcim) (QLD), Gold Coast</v>
      </c>
      <c r="C68" s="132" t="str">
        <v>m³</v>
      </c>
      <c r="D68" s="198">
        <v>191.14</v>
      </c>
      <c r="E68" s="198">
        <v>7.9641666666666666E-2</v>
      </c>
      <c r="F68" s="198">
        <v>0</v>
      </c>
      <c r="G68" s="215">
        <v>0</v>
      </c>
      <c r="H68" s="131"/>
    </row>
    <row r="69" spans="1:8" x14ac:dyDescent="0.25">
      <c r="A69" s="133"/>
      <c r="B69" s="204" t="str">
        <v>Concrete, 32 MPa, in-situ, no reinforcement, (QE321E100) (Ecopact) (Holcim) (QLD) (Brisbane)</v>
      </c>
      <c r="C69" s="132" t="str">
        <v>m³</v>
      </c>
      <c r="D69" s="198">
        <v>191.14</v>
      </c>
      <c r="E69" s="198">
        <v>7.9641666666666666E-2</v>
      </c>
      <c r="F69" s="198">
        <v>0</v>
      </c>
      <c r="G69" s="215">
        <v>0</v>
      </c>
      <c r="H69" s="131"/>
    </row>
    <row r="70" spans="1:8" x14ac:dyDescent="0.25">
      <c r="A70" s="133"/>
      <c r="B70" s="204" t="str">
        <v>Concrete, 32 MPa, in-situ, no reinforcement, (QE321EEZY) (Ecopact) (Holcim) (QLD) (Brisbane)</v>
      </c>
      <c r="C70" s="132" t="str">
        <v>m³</v>
      </c>
      <c r="D70" s="198">
        <v>193.14</v>
      </c>
      <c r="E70" s="198">
        <v>8.0474999999999991E-2</v>
      </c>
      <c r="F70" s="198">
        <v>0</v>
      </c>
      <c r="G70" s="215">
        <v>0</v>
      </c>
      <c r="H70" s="131"/>
    </row>
    <row r="71" spans="1:8" x14ac:dyDescent="0.25">
      <c r="A71" s="133"/>
      <c r="B71" s="204" t="str">
        <v>Concrete, 32 MPa, in-situ, no reinforcement, (Adbri concrete
N class GP/GL:FA
32 MPa) (Adbri) (QLD)</v>
      </c>
      <c r="C71" s="132" t="str">
        <v>m³</v>
      </c>
      <c r="D71" s="198">
        <v>280.20299999999997</v>
      </c>
      <c r="E71" s="198">
        <v>0.11675125</v>
      </c>
      <c r="F71" s="198">
        <v>0</v>
      </c>
      <c r="G71" s="215">
        <v>0</v>
      </c>
      <c r="H71" s="131"/>
    </row>
    <row r="72" spans="1:8" x14ac:dyDescent="0.25">
      <c r="A72" s="133"/>
      <c r="B72" s="204" t="str">
        <v>Concrete, 32 MPa, in-situ, no reinforcement, (QE322E) (Ecopact) (Holcim) (QLD) (Brisbane)</v>
      </c>
      <c r="C72" s="132" t="str">
        <v>m³</v>
      </c>
      <c r="D72" s="198">
        <v>181.13</v>
      </c>
      <c r="E72" s="198">
        <v>7.5470833333333334E-2</v>
      </c>
      <c r="F72" s="198">
        <v>0</v>
      </c>
      <c r="G72" s="215">
        <v>0</v>
      </c>
      <c r="H72" s="131"/>
    </row>
    <row r="73" spans="1:8" x14ac:dyDescent="0.25">
      <c r="A73" s="133"/>
      <c r="B73" s="204" t="str">
        <v>Concrete, 32 MPa, in-situ, no reinforcement, (QE322EEZY) (Ecopact) (Holcim) (QLD), Gold Coast</v>
      </c>
      <c r="C73" s="132" t="str">
        <v>m³</v>
      </c>
      <c r="D73" s="198">
        <v>197.14</v>
      </c>
      <c r="E73" s="198">
        <v>8.2141666666666655E-2</v>
      </c>
      <c r="F73" s="198">
        <v>0</v>
      </c>
      <c r="G73" s="215">
        <v>0</v>
      </c>
      <c r="H73" s="131"/>
    </row>
    <row r="74" spans="1:8" x14ac:dyDescent="0.25">
      <c r="A74" s="133"/>
      <c r="B74" s="204" t="str">
        <v>Concrete, 32 MPa, in-situ, no reinforcement, (QE322E100) (Ecopact) (Holcim) (QLD) (Brisbane)</v>
      </c>
      <c r="C74" s="132" t="str">
        <v>m³</v>
      </c>
      <c r="D74" s="198">
        <v>185.13</v>
      </c>
      <c r="E74" s="198">
        <v>7.7137499999999998E-2</v>
      </c>
      <c r="F74" s="198">
        <v>0</v>
      </c>
      <c r="G74" s="215">
        <v>0</v>
      </c>
      <c r="H74" s="131"/>
    </row>
    <row r="75" spans="1:8" x14ac:dyDescent="0.25">
      <c r="A75" s="133"/>
      <c r="B75" s="204" t="str">
        <v>Concrete, 32 MPa, in-situ, no reinforcement, (WE321E1)(Ecopact) (Holcim) (WA), (Perth Metro)</v>
      </c>
      <c r="C75" s="132" t="str">
        <v>m³</v>
      </c>
      <c r="D75" s="198">
        <v>236.16</v>
      </c>
      <c r="E75" s="198">
        <v>9.8400000000000001E-2</v>
      </c>
      <c r="F75" s="198">
        <v>0</v>
      </c>
      <c r="G75" s="215">
        <v>0</v>
      </c>
      <c r="H75" s="131"/>
    </row>
    <row r="76" spans="1:8" x14ac:dyDescent="0.25">
      <c r="A76" s="133"/>
      <c r="B76" s="204" t="str">
        <v>Concrete, 32 MPa, in-situ, no reinforcement, (WE321E2)(Ecopact) (Holcim) (WA), (Perth Metro)</v>
      </c>
      <c r="C76" s="132" t="str">
        <v>m³</v>
      </c>
      <c r="D76" s="198">
        <v>237.16</v>
      </c>
      <c r="E76" s="198">
        <v>9.8816666666666678E-2</v>
      </c>
      <c r="F76" s="198">
        <v>0</v>
      </c>
      <c r="G76" s="215">
        <v>0</v>
      </c>
      <c r="H76" s="131"/>
    </row>
    <row r="77" spans="1:8" x14ac:dyDescent="0.25">
      <c r="A77" s="133"/>
      <c r="B77" s="204" t="str">
        <v>Concrete, 32 MPa, in-situ, no reinforcement, (WE321E4)(Ecopact) (Holcim) (WA), (Perth Metro)</v>
      </c>
      <c r="C77" s="132" t="str">
        <v>m³</v>
      </c>
      <c r="D77" s="198">
        <v>237.16</v>
      </c>
      <c r="E77" s="198">
        <v>9.8816666666666678E-2</v>
      </c>
      <c r="F77" s="198">
        <v>0</v>
      </c>
      <c r="G77" s="215">
        <v>0</v>
      </c>
      <c r="H77" s="131"/>
    </row>
    <row r="78" spans="1:8" x14ac:dyDescent="0.25">
      <c r="A78" s="133"/>
      <c r="B78" s="204" t="str">
        <v>Concrete, 32 MPa, in-situ, no reinforcement, (QE327ETOP) (Ecopact) (Holcim) (QLD) (Brisbane)</v>
      </c>
      <c r="C78" s="132" t="str">
        <v>m³</v>
      </c>
      <c r="D78" s="198">
        <v>255.17</v>
      </c>
      <c r="E78" s="198">
        <v>0.10632083333333334</v>
      </c>
      <c r="F78" s="198">
        <v>0</v>
      </c>
      <c r="G78" s="215">
        <v>0</v>
      </c>
      <c r="H78" s="131"/>
    </row>
    <row r="79" spans="1:8" x14ac:dyDescent="0.25">
      <c r="A79" s="133"/>
      <c r="B79" s="204" t="str">
        <v>Concrete, 32 MPa, in-situ, no reinforcement, (WE322E1)(Ecopact) (Holcim) (WA), (Perth Metro)</v>
      </c>
      <c r="C79" s="132" t="str">
        <v>m³</v>
      </c>
      <c r="D79" s="198">
        <v>227.15</v>
      </c>
      <c r="E79" s="198">
        <v>9.4645833333333332E-2</v>
      </c>
      <c r="F79" s="198">
        <v>0</v>
      </c>
      <c r="G79" s="215">
        <v>0</v>
      </c>
      <c r="H79" s="131"/>
    </row>
    <row r="80" spans="1:8" x14ac:dyDescent="0.25">
      <c r="A80" s="133"/>
      <c r="B80" s="204" t="str">
        <v>Concrete, 32 MPa, in-situ, no reinforcement, (WE324E1)(Ecopact) (Holcim) (WA), (Perth Metro)</v>
      </c>
      <c r="C80" s="132" t="str">
        <v>m³</v>
      </c>
      <c r="D80" s="198">
        <v>234.15</v>
      </c>
      <c r="E80" s="198">
        <v>9.7562499999999996E-2</v>
      </c>
      <c r="F80" s="198">
        <v>0</v>
      </c>
      <c r="G80" s="215">
        <v>0</v>
      </c>
      <c r="H80" s="131"/>
    </row>
    <row r="81" spans="1:8" x14ac:dyDescent="0.25">
      <c r="A81" s="133"/>
      <c r="B81" s="204" t="str">
        <v>Concrete, 32 MPa, in-situ, no reinforcement, (WE324E2)(Ecopact) (Holcim) (WA), (Perth Metro)</v>
      </c>
      <c r="C81" s="132" t="str">
        <v>m³</v>
      </c>
      <c r="D81" s="198">
        <v>235.15</v>
      </c>
      <c r="E81" s="198">
        <v>9.7979166666666659E-2</v>
      </c>
      <c r="F81" s="198">
        <v>0</v>
      </c>
      <c r="G81" s="215">
        <v>0</v>
      </c>
      <c r="H81" s="131"/>
    </row>
    <row r="82" spans="1:8" x14ac:dyDescent="0.25">
      <c r="A82" s="133"/>
      <c r="B82" s="204" t="str">
        <v>Concrete, 32 MPa, in-situ, no reinforcement, (WE324E4)(Ecopact) (Holcim) (WA), (Perth Metro)</v>
      </c>
      <c r="C82" s="132" t="str">
        <v>m³</v>
      </c>
      <c r="D82" s="198">
        <v>235.15</v>
      </c>
      <c r="E82" s="198">
        <v>9.7979166666666659E-2</v>
      </c>
      <c r="F82" s="198">
        <v>0</v>
      </c>
      <c r="G82" s="215">
        <v>0</v>
      </c>
      <c r="H82" s="131"/>
    </row>
    <row r="83" spans="1:8" x14ac:dyDescent="0.25">
      <c r="A83" s="133"/>
      <c r="B83" s="204" t="str">
        <v>Concrete, 32 MPa, in-situ, no reinforcement, (Adbri Concrete N Class GP:GL 32 MPa
- Winnellie) (Adbri) (NT)</v>
      </c>
      <c r="C83" s="132" t="str">
        <v>m³</v>
      </c>
      <c r="D83" s="198">
        <v>337.21300000000002</v>
      </c>
      <c r="E83" s="198">
        <v>0.14050541666666666</v>
      </c>
      <c r="F83" s="198">
        <v>0</v>
      </c>
      <c r="G83" s="215">
        <v>0</v>
      </c>
      <c r="H83" s="131"/>
    </row>
    <row r="84" spans="1:8" x14ac:dyDescent="0.25">
      <c r="A84" s="133"/>
      <c r="B84" s="204" t="str">
        <v>Concrete, 32 MPa, in-situ, no reinforcement, (QE322EXT1) (Ecopact) (Holcim) (QLD) (Brisbane)</v>
      </c>
      <c r="C84" s="132" t="str">
        <v>m³</v>
      </c>
      <c r="D84" s="198">
        <v>240.15</v>
      </c>
      <c r="E84" s="198">
        <v>0.1000625</v>
      </c>
      <c r="F84" s="198">
        <v>0</v>
      </c>
      <c r="G84" s="215">
        <v>0</v>
      </c>
      <c r="H84" s="131"/>
    </row>
    <row r="85" spans="1:8" x14ac:dyDescent="0.25">
      <c r="A85" s="133"/>
      <c r="B85" s="204" t="str">
        <v>Concrete, 32 MPa, in-situ, no reinforcement, (NE321E1L2)(Ecopact) (Holcim) (NSW), (Sydney)</v>
      </c>
      <c r="C85" s="132" t="str">
        <v>m³</v>
      </c>
      <c r="D85" s="198">
        <v>178.11</v>
      </c>
      <c r="E85" s="198">
        <v>7.4212500000000001E-2</v>
      </c>
      <c r="F85" s="198">
        <v>0</v>
      </c>
      <c r="G85" s="215">
        <v>0</v>
      </c>
      <c r="H85" s="131"/>
    </row>
    <row r="86" spans="1:8" x14ac:dyDescent="0.25">
      <c r="A86" s="133"/>
      <c r="B86" s="204" t="str">
        <v>Concrete, 32 MPa, in-situ, no reinforcement, (QE322LPN2) (Ecopact) (Holcim) (QLD), Gold Coast</v>
      </c>
      <c r="C86" s="132" t="str">
        <v>m³</v>
      </c>
      <c r="D86" s="198">
        <v>259.16000000000003</v>
      </c>
      <c r="E86" s="198">
        <v>0.10798333333333333</v>
      </c>
      <c r="F86" s="198">
        <v>0</v>
      </c>
      <c r="G86" s="215">
        <v>0</v>
      </c>
      <c r="H86" s="131"/>
    </row>
    <row r="87" spans="1:8" x14ac:dyDescent="0.25">
      <c r="A87" s="133"/>
      <c r="B87" s="204" t="str">
        <v>Concrete, 32 MPa, in-situ, no reinforcement, (QE322L652) (Ecopact) (Holcim) (QLD), Gold Coast</v>
      </c>
      <c r="C87" s="132" t="str">
        <v>m³</v>
      </c>
      <c r="D87" s="198">
        <v>261.16000000000003</v>
      </c>
      <c r="E87" s="198">
        <v>0.10881666666666667</v>
      </c>
      <c r="F87" s="198">
        <v>0</v>
      </c>
      <c r="G87" s="215">
        <v>0</v>
      </c>
      <c r="H87" s="131"/>
    </row>
    <row r="88" spans="1:8" x14ac:dyDescent="0.25">
      <c r="A88" s="133"/>
      <c r="B88" s="204" t="str">
        <v>Concrete, 32 MPa, in-situ, no reinforcement, (QE321L)(Ecopact) (Holcim) (QLD) (Sunshine Coast)</v>
      </c>
      <c r="C88" s="132" t="str">
        <v>m³</v>
      </c>
      <c r="D88" s="198">
        <v>245.15</v>
      </c>
      <c r="E88" s="198">
        <v>0.10214583333333332</v>
      </c>
      <c r="F88" s="198">
        <v>0</v>
      </c>
      <c r="G88" s="215">
        <v>0</v>
      </c>
      <c r="H88" s="131"/>
    </row>
    <row r="89" spans="1:8" x14ac:dyDescent="0.25">
      <c r="A89" s="133"/>
      <c r="B89" s="204" t="str">
        <v>Concrete, 32 MPa, in-situ, no reinforcement, (QE322LOX) (Ecopact) (Holcim) (QLD), Gold Coast</v>
      </c>
      <c r="C89" s="132" t="str">
        <v>m³</v>
      </c>
      <c r="D89" s="198">
        <v>248.15</v>
      </c>
      <c r="E89" s="198">
        <v>0.10339583333333333</v>
      </c>
      <c r="F89" s="198">
        <v>0</v>
      </c>
      <c r="G89" s="215">
        <v>0</v>
      </c>
      <c r="H89" s="131"/>
    </row>
    <row r="90" spans="1:8" x14ac:dyDescent="0.25">
      <c r="A90" s="133"/>
      <c r="B90" s="204" t="str">
        <v>Concrete, 32 MPa, in-situ, no reinforcement, (Adbri Concrete N Class GP/GL 32 MPa) (Adbri) (VIC)</v>
      </c>
      <c r="C90" s="132" t="str">
        <v>m³</v>
      </c>
      <c r="D90" s="198">
        <v>270.16000000000003</v>
      </c>
      <c r="E90" s="198">
        <v>0.11256666666666668</v>
      </c>
      <c r="F90" s="198">
        <v>0</v>
      </c>
      <c r="G90" s="215">
        <v>0</v>
      </c>
      <c r="H90" s="131"/>
    </row>
    <row r="91" spans="1:8" x14ac:dyDescent="0.25">
      <c r="A91" s="133"/>
      <c r="B91" s="204" t="str">
        <v>Concrete, 32 MPa, in-situ, no reinforcement, (WE321EKC)(Ecopact) (Holcim) (WA), (Perth Metro)</v>
      </c>
      <c r="C91" s="132" t="str">
        <v>m³</v>
      </c>
      <c r="D91" s="198">
        <v>266.14</v>
      </c>
      <c r="E91" s="198">
        <v>0.11089166666666667</v>
      </c>
      <c r="F91" s="198">
        <v>0</v>
      </c>
      <c r="G91" s="215">
        <v>0</v>
      </c>
      <c r="H91" s="131"/>
    </row>
    <row r="92" spans="1:8" x14ac:dyDescent="0.25">
      <c r="A92" s="133"/>
      <c r="B92" s="204" t="str">
        <v>Concrete, 32 MPa, in-situ, no reinforcement, (VE321EK6) (Ecopact) (Holcim) (VIC)</v>
      </c>
      <c r="C92" s="132" t="str">
        <v>m³</v>
      </c>
      <c r="D92" s="198">
        <v>257.13</v>
      </c>
      <c r="E92" s="198">
        <v>0.1071375</v>
      </c>
      <c r="F92" s="198">
        <v>0</v>
      </c>
      <c r="G92" s="215">
        <v>0</v>
      </c>
      <c r="H92" s="131"/>
    </row>
    <row r="93" spans="1:8" x14ac:dyDescent="0.25">
      <c r="A93" s="133"/>
      <c r="B93" s="204" t="str">
        <v>Concrete, 32 MPa, in-situ, no reinforcement, (VE321EKC) (Ecopact) (Holcim) (VIC)</v>
      </c>
      <c r="C93" s="132" t="str">
        <v>m³</v>
      </c>
      <c r="D93" s="198">
        <v>258.13</v>
      </c>
      <c r="E93" s="198">
        <v>0.10755416666666666</v>
      </c>
      <c r="F93" s="198">
        <v>0</v>
      </c>
      <c r="G93" s="215">
        <v>0</v>
      </c>
      <c r="H93" s="131"/>
    </row>
    <row r="94" spans="1:8" x14ac:dyDescent="0.25">
      <c r="A94" s="133"/>
      <c r="B94" s="204" t="str">
        <v>Concrete, 32 MPa, in-situ, no reinforcement, (WE324EP1)(Ecopact) (Holcim) (WA), (Perth Metro)</v>
      </c>
      <c r="C94" s="132" t="str">
        <v>m³</v>
      </c>
      <c r="D94" s="198">
        <v>231.11</v>
      </c>
      <c r="E94" s="198">
        <v>9.6295833333333331E-2</v>
      </c>
      <c r="F94" s="198">
        <v>0</v>
      </c>
      <c r="G94" s="215">
        <v>0</v>
      </c>
      <c r="H94" s="131"/>
    </row>
    <row r="95" spans="1:8" x14ac:dyDescent="0.25">
      <c r="A95" s="133"/>
      <c r="B95" s="204" t="str">
        <v>Concrete, 32 MPa, in-situ, no reinforcement, (WE322E31)(Ecopact) (Holcim) (WA), (Perth Metro)</v>
      </c>
      <c r="C95" s="132" t="str">
        <v>m³</v>
      </c>
      <c r="D95" s="198">
        <v>222.1</v>
      </c>
      <c r="E95" s="198">
        <v>9.2541666666666661E-2</v>
      </c>
      <c r="F95" s="198">
        <v>0</v>
      </c>
      <c r="G95" s="215">
        <v>0</v>
      </c>
      <c r="H95" s="131"/>
    </row>
    <row r="96" spans="1:8" x14ac:dyDescent="0.25">
      <c r="A96" s="133"/>
      <c r="B96" s="204" t="str">
        <v>Concrete, 32 MPa, in-situ, no reinforcement, (Adbri Concrete N Class GP:GL 32 MPa
- Katherine) (Adbri) (NT)</v>
      </c>
      <c r="C96" s="132" t="str">
        <v>m³</v>
      </c>
      <c r="D96" s="198">
        <v>342.12700000000001</v>
      </c>
      <c r="E96" s="198">
        <v>0.14255291666666667</v>
      </c>
      <c r="F96" s="198">
        <v>0</v>
      </c>
      <c r="G96" s="215">
        <v>0</v>
      </c>
      <c r="H96" s="131"/>
    </row>
    <row r="97" spans="1:8" x14ac:dyDescent="0.25">
      <c r="A97" s="133"/>
      <c r="B97" s="204" t="str">
        <v>Concrete, 32 MPa, in-situ, no reinforcement, (Adbri Concrete N Class GP:GL 32 MPa
- Alice Springs) (Adbri) (NT)</v>
      </c>
      <c r="C97" s="132" t="str">
        <v>m³</v>
      </c>
      <c r="D97" s="198">
        <v>459.166</v>
      </c>
      <c r="E97" s="198">
        <v>0.19131916666666668</v>
      </c>
      <c r="F97" s="198">
        <v>0</v>
      </c>
      <c r="G97" s="215">
        <v>0</v>
      </c>
      <c r="H97" s="131"/>
    </row>
    <row r="98" spans="1:8" x14ac:dyDescent="0.25">
      <c r="A98" s="133"/>
      <c r="B98" s="204" t="str">
        <v>Concrete, 32 MPa, in-situ, no reinforcement, (S32MPA  20MM RMS B80 B1
EXPOSURE) (Adbri) (NSW)</v>
      </c>
      <c r="C98" s="132" t="str">
        <v>m³</v>
      </c>
      <c r="D98" s="198">
        <v>306</v>
      </c>
      <c r="E98" s="198">
        <v>0.1275</v>
      </c>
      <c r="F98" s="198">
        <v>0</v>
      </c>
      <c r="G98" s="215">
        <v>0</v>
      </c>
      <c r="H98" s="131"/>
    </row>
    <row r="99" spans="1:8" x14ac:dyDescent="0.25">
      <c r="A99" s="133"/>
      <c r="B99" s="204" t="str">
        <v>Concrete, 32 MPa, in-situ, no reinforcement, (S32MPA PT DECK 22MPA AT 7 DAYS 20MM) (Adbri) (NSW)</v>
      </c>
      <c r="C99" s="132" t="str">
        <v>m³</v>
      </c>
      <c r="D99" s="198">
        <v>343.19</v>
      </c>
      <c r="E99" s="198">
        <v>0.14299583333333332</v>
      </c>
      <c r="F99" s="198">
        <v>0</v>
      </c>
      <c r="G99" s="215">
        <v>0</v>
      </c>
      <c r="H99" s="131"/>
    </row>
    <row r="100" spans="1:8" x14ac:dyDescent="0.25">
      <c r="A100" s="133"/>
      <c r="B100" s="204" t="str">
        <v>Concrete, 32 MPa, in-situ, no reinforcement, (S32MPA 25MPA AT
7 DAYS 20MM) (Adbri) (NSW)</v>
      </c>
      <c r="C100" s="132" t="str">
        <v>m³</v>
      </c>
      <c r="D100" s="198">
        <v>360.48</v>
      </c>
      <c r="E100" s="198">
        <v>0.1502</v>
      </c>
      <c r="F100" s="198">
        <v>0</v>
      </c>
      <c r="G100" s="215">
        <v>0</v>
      </c>
      <c r="H100" s="131"/>
    </row>
    <row r="101" spans="1:8" x14ac:dyDescent="0.25">
      <c r="A101" s="133"/>
      <c r="B101" s="204" t="str">
        <v>Concrete, 32 MPa, in-situ, no reinforcement, (Futurecrete® Ultra S32MPA BLOCKFILL 10MM 230MM SLUMP
) (Adbri) (NSW)</v>
      </c>
      <c r="C101" s="132" t="str">
        <v>m³</v>
      </c>
      <c r="D101" s="198">
        <v>247.33190000000002</v>
      </c>
      <c r="E101" s="198">
        <v>0.10305495833333334</v>
      </c>
      <c r="F101" s="198">
        <v>0</v>
      </c>
      <c r="G101" s="215">
        <v>0</v>
      </c>
      <c r="H101" s="131"/>
    </row>
    <row r="102" spans="1:8" x14ac:dyDescent="0.25">
      <c r="A102" s="133"/>
      <c r="B102" s="204" t="str">
        <v>Concrete, 32 MPa, in-situ, no reinforcement, (Futurecrete®  Ultra S32MPA PILE/ TREMIE 10MM SP) (Adbri) (NSW)</v>
      </c>
      <c r="C102" s="132" t="str">
        <v>m³</v>
      </c>
      <c r="D102" s="198">
        <v>244.9615</v>
      </c>
      <c r="E102" s="198">
        <v>0.10206729166666667</v>
      </c>
      <c r="F102" s="198">
        <v>0</v>
      </c>
      <c r="G102" s="215">
        <v>0</v>
      </c>
      <c r="H102" s="131"/>
    </row>
    <row r="103" spans="1:8" x14ac:dyDescent="0.25">
      <c r="A103" s="133"/>
      <c r="B103" s="204" t="str">
        <v>Concrete, 32 MPa, in-situ, no reinforcement, (Futurecrete®
Ultra S32MPA
BLOCKFILL 10MM) (Adbri) (NSW)</v>
      </c>
      <c r="C103" s="132" t="str">
        <v>m³</v>
      </c>
      <c r="D103" s="198">
        <v>245.0215</v>
      </c>
      <c r="E103" s="198">
        <v>0.10209229166666667</v>
      </c>
      <c r="F103" s="198">
        <v>0</v>
      </c>
      <c r="G103" s="215">
        <v>0</v>
      </c>
      <c r="H103" s="131"/>
    </row>
    <row r="104" spans="1:8" x14ac:dyDescent="0.25">
      <c r="A104" s="133"/>
      <c r="B104" s="204" t="str">
        <v>Concrete, 32 MPa, in-situ, no reinforcement, (Futurecrete®  Ultra N Class GP/ GL:Slag 32 MPa) (Adbri) (NSW)</v>
      </c>
      <c r="C104" s="132" t="str">
        <v>m³</v>
      </c>
      <c r="D104" s="198">
        <v>235.5814</v>
      </c>
      <c r="E104" s="198">
        <v>9.8158916666666665E-2</v>
      </c>
      <c r="F104" s="198">
        <v>0</v>
      </c>
      <c r="G104" s="215">
        <v>0</v>
      </c>
      <c r="H104" s="131"/>
    </row>
    <row r="105" spans="1:8" x14ac:dyDescent="0.25">
      <c r="A105" s="133"/>
      <c r="B105" s="204" t="str">
        <v>Concrete, 32 MPa, in-situ, no reinforcement, (Futurecrete®  Ultra S32MPA 10MM RITEK SYSTEM) (Adbri) (NSW)</v>
      </c>
      <c r="C105" s="132" t="str">
        <v>m³</v>
      </c>
      <c r="D105" s="198">
        <v>242.58120000000002</v>
      </c>
      <c r="E105" s="198">
        <v>0.1010755</v>
      </c>
      <c r="F105" s="198">
        <v>0</v>
      </c>
      <c r="G105" s="215">
        <v>0</v>
      </c>
      <c r="H105" s="131"/>
    </row>
    <row r="106" spans="1:8" x14ac:dyDescent="0.25">
      <c r="A106" s="133"/>
      <c r="B106" s="204" t="str">
        <v>Concrete, 32 MPa, in-situ, no reinforcement, (Futurecrete®
Ultra S32MPA
10MM AFS WALL SYSTEM) (Adbri) (NSW)</v>
      </c>
      <c r="C106" s="132" t="str">
        <v>m³</v>
      </c>
      <c r="D106" s="198">
        <v>240.20079999999999</v>
      </c>
      <c r="E106" s="198">
        <v>0.10008366666666667</v>
      </c>
      <c r="F106" s="198">
        <v>0</v>
      </c>
      <c r="G106" s="215">
        <v>0</v>
      </c>
      <c r="H106" s="131"/>
    </row>
    <row r="107" spans="1:8" x14ac:dyDescent="0.25">
      <c r="A107" s="133"/>
      <c r="B107" s="204" t="str">
        <v>Concrete, 32 MPa, in-situ, no reinforcement, (Futurecrete® S32MPA HY-LINE 2INCH 10MM PUMP) (Adbri) (NSW)</v>
      </c>
      <c r="C107" s="132" t="str">
        <v>m³</v>
      </c>
      <c r="D107" s="198">
        <v>277.67079999999999</v>
      </c>
      <c r="E107" s="198">
        <v>0.11569616666666666</v>
      </c>
      <c r="F107" s="198">
        <v>0</v>
      </c>
      <c r="G107" s="215">
        <v>0</v>
      </c>
      <c r="H107" s="131"/>
    </row>
    <row r="108" spans="1:8" x14ac:dyDescent="0.25">
      <c r="A108" s="133"/>
      <c r="B108" s="204" t="str">
        <v>Concrete, 32 MPa, in-situ, no reinforcement, (Futurecrete®  Ultra S32MPA JUMP/ SLIP/COLUMNS 10MM SP) (Adbri) (NSW)</v>
      </c>
      <c r="C108" s="132" t="str">
        <v>m³</v>
      </c>
      <c r="D108" s="198">
        <v>256.05009999999999</v>
      </c>
      <c r="E108" s="198">
        <v>0.10668754166666666</v>
      </c>
      <c r="F108" s="198">
        <v>0</v>
      </c>
      <c r="G108" s="215">
        <v>0</v>
      </c>
      <c r="H108" s="131"/>
    </row>
    <row r="109" spans="1:8" x14ac:dyDescent="0.25">
      <c r="A109" s="133"/>
      <c r="B109" s="204" t="str">
        <v>Concrete, 32 MPa, in-situ, no reinforcement, (General) (Holcim) (NSW)(ACT)</v>
      </c>
      <c r="C109" s="132" t="str">
        <v>m³</v>
      </c>
      <c r="D109" s="198">
        <v>343</v>
      </c>
      <c r="E109" s="198">
        <v>0.14291666666666666</v>
      </c>
      <c r="F109" s="198">
        <v>0</v>
      </c>
      <c r="G109" s="215">
        <v>0</v>
      </c>
      <c r="H109" s="131"/>
    </row>
    <row r="110" spans="1:8" x14ac:dyDescent="0.25">
      <c r="A110" s="133"/>
      <c r="B110" s="204" t="str">
        <v>Concrete, 32 MPa, in-situ, no reinforcement, (Fly Ash) (Holcim) (NSW)(ACT)</v>
      </c>
      <c r="C110" s="132" t="str">
        <v>m³</v>
      </c>
      <c r="D110" s="198">
        <v>273</v>
      </c>
      <c r="E110" s="198">
        <v>0.11375</v>
      </c>
      <c r="F110" s="198">
        <v>0</v>
      </c>
      <c r="G110" s="215">
        <v>0</v>
      </c>
      <c r="H110" s="131"/>
    </row>
    <row r="111" spans="1:8" x14ac:dyDescent="0.25">
      <c r="A111" s="133"/>
      <c r="B111" s="204" t="str">
        <v>Concrete, 32 MPa, in-situ, no reinforcement, (GGBS Slag) (Holcim) (NSW)(ACT)</v>
      </c>
      <c r="C111" s="132" t="str">
        <v>m³</v>
      </c>
      <c r="D111" s="198">
        <v>196</v>
      </c>
      <c r="E111" s="198">
        <v>8.1666666666666665E-2</v>
      </c>
      <c r="F111" s="198">
        <v>0</v>
      </c>
      <c r="G111" s="215">
        <v>0</v>
      </c>
      <c r="H111" s="131"/>
    </row>
    <row r="112" spans="1:8" x14ac:dyDescent="0.25">
      <c r="A112" s="133"/>
      <c r="B112" s="204" t="str">
        <v>Concrete, 32 MPa, in-situ, no reinforcement, (Triple Blend) (Holcim) (NSW)(ACT)</v>
      </c>
      <c r="C112" s="132" t="str">
        <v>m³</v>
      </c>
      <c r="D112" s="198">
        <v>176</v>
      </c>
      <c r="E112" s="198">
        <v>7.3333333333333334E-2</v>
      </c>
      <c r="F112" s="198">
        <v>0</v>
      </c>
      <c r="G112" s="215">
        <v>0</v>
      </c>
      <c r="H112" s="131"/>
    </row>
    <row r="113" spans="1:8" x14ac:dyDescent="0.25">
      <c r="A113" s="133"/>
      <c r="B113" s="204" t="str">
        <v>Concrete, 32 MPa, in-situ, no reinforcement,(General)  (Holcim)  (QLD)</v>
      </c>
      <c r="C113" s="132" t="str">
        <v>m³</v>
      </c>
      <c r="D113" s="198">
        <v>303</v>
      </c>
      <c r="E113" s="198">
        <v>0.12625</v>
      </c>
      <c r="F113" s="198">
        <v>0</v>
      </c>
      <c r="G113" s="215">
        <v>0</v>
      </c>
      <c r="H113" s="131"/>
    </row>
    <row r="114" spans="1:8" x14ac:dyDescent="0.25">
      <c r="A114" s="133"/>
      <c r="B114" s="204" t="str">
        <v>Concrete, 32 MPa, in-situ, no reinforcement,(Fly Ash)  (Holcim)  (QLD)</v>
      </c>
      <c r="C114" s="132" t="str">
        <v>m³</v>
      </c>
      <c r="D114" s="198">
        <v>247</v>
      </c>
      <c r="E114" s="198">
        <v>0.10291666666666667</v>
      </c>
      <c r="F114" s="198">
        <v>0</v>
      </c>
      <c r="G114" s="215">
        <v>0</v>
      </c>
      <c r="H114" s="131"/>
    </row>
    <row r="115" spans="1:8" x14ac:dyDescent="0.25">
      <c r="A115" s="133"/>
      <c r="B115" s="204" t="str">
        <v>Concrete, 32 MPa, in-situ, no reinforcement,(Triple Blend)  (Holcim)  (QLD)</v>
      </c>
      <c r="C115" s="132" t="str">
        <v>m³</v>
      </c>
      <c r="D115" s="198">
        <v>186</v>
      </c>
      <c r="E115" s="198">
        <v>7.7499999999999999E-2</v>
      </c>
      <c r="F115" s="198">
        <v>0</v>
      </c>
      <c r="G115" s="215">
        <v>0</v>
      </c>
      <c r="H115" s="131"/>
    </row>
    <row r="116" spans="1:8" x14ac:dyDescent="0.25">
      <c r="A116" s="133"/>
      <c r="B116" s="204" t="str">
        <v>Concrete, 32 MPa, in-situ, no reinforcement, (General) (Holcim) (VIC)</v>
      </c>
      <c r="C116" s="132" t="str">
        <v>m³</v>
      </c>
      <c r="D116" s="198">
        <v>328</v>
      </c>
      <c r="E116" s="198">
        <v>0.13666666666666666</v>
      </c>
      <c r="F116" s="198">
        <v>0</v>
      </c>
      <c r="G116" s="215">
        <v>0</v>
      </c>
      <c r="H116" s="131"/>
    </row>
    <row r="117" spans="1:8" x14ac:dyDescent="0.25">
      <c r="A117" s="133"/>
      <c r="B117" s="204" t="str">
        <v>Concrete, 32 MPa, in-situ, no reinforcement, (Fly Ash) (Holcim) (VIC)</v>
      </c>
      <c r="C117" s="132" t="str">
        <v>m³</v>
      </c>
      <c r="D117" s="198">
        <v>265</v>
      </c>
      <c r="E117" s="198">
        <v>0.11041666666666666</v>
      </c>
      <c r="F117" s="198">
        <v>0</v>
      </c>
      <c r="G117" s="215">
        <v>0</v>
      </c>
      <c r="H117" s="131"/>
    </row>
    <row r="118" spans="1:8" x14ac:dyDescent="0.25">
      <c r="A118" s="133"/>
      <c r="B118" s="204" t="str">
        <v>Concrete, 32 MPa, in-situ, no reinforcement, (Triple Blend) (Holcim) (VIC)</v>
      </c>
      <c r="C118" s="132" t="str">
        <v>m³</v>
      </c>
      <c r="D118" s="198">
        <v>252</v>
      </c>
      <c r="E118" s="198">
        <v>0.105</v>
      </c>
      <c r="F118" s="198">
        <v>0</v>
      </c>
      <c r="G118" s="215">
        <v>0</v>
      </c>
      <c r="H118" s="131"/>
    </row>
    <row r="119" spans="1:8" x14ac:dyDescent="0.25">
      <c r="A119" s="133"/>
      <c r="B119" s="204" t="str">
        <v>Concrete, 32 MPa, in-situ, no reinforcement, (General) (Holcim) (SA)</v>
      </c>
      <c r="C119" s="132" t="str">
        <v>m³</v>
      </c>
      <c r="D119" s="198">
        <v>351</v>
      </c>
      <c r="E119" s="198">
        <v>0.14624999999999999</v>
      </c>
      <c r="F119" s="198">
        <v>0</v>
      </c>
      <c r="G119" s="215">
        <v>0</v>
      </c>
      <c r="H119" s="131"/>
    </row>
    <row r="120" spans="1:8" x14ac:dyDescent="0.25">
      <c r="A120" s="133"/>
      <c r="B120" s="204" t="str">
        <v>Concrete,  MPa, in-situ, no reinforcement, (Fly Ash) (Holcim) (SA)</v>
      </c>
      <c r="C120" s="132" t="str">
        <v>m³</v>
      </c>
      <c r="D120" s="198">
        <v>198</v>
      </c>
      <c r="E120" s="198">
        <v>8.2500000000000004E-2</v>
      </c>
      <c r="F120" s="198">
        <v>0</v>
      </c>
      <c r="G120" s="215">
        <v>0</v>
      </c>
      <c r="H120" s="131"/>
    </row>
    <row r="121" spans="1:8" x14ac:dyDescent="0.25">
      <c r="A121" s="133"/>
      <c r="B121" s="204" t="str">
        <v>Concrete,  MPa, in-situ, no reinforcement, (GGBS Slag) (Holcim) (SA)</v>
      </c>
      <c r="C121" s="132" t="str">
        <v>m³</v>
      </c>
      <c r="D121" s="198">
        <v>200</v>
      </c>
      <c r="E121" s="198">
        <v>8.3333333333333329E-2</v>
      </c>
      <c r="F121" s="198">
        <v>0</v>
      </c>
      <c r="G121" s="215">
        <v>0</v>
      </c>
      <c r="H121" s="131"/>
    </row>
    <row r="122" spans="1:8" x14ac:dyDescent="0.25">
      <c r="A122" s="133"/>
      <c r="B122" s="204" t="str">
        <v>Concrete, 32 MPa, in-situ, no reinforcement, (General) (Holcim) (WA)</v>
      </c>
      <c r="C122" s="132" t="str">
        <v>m³</v>
      </c>
      <c r="D122" s="198">
        <v>321</v>
      </c>
      <c r="E122" s="198">
        <v>0.13375000000000001</v>
      </c>
      <c r="F122" s="198">
        <v>0</v>
      </c>
      <c r="G122" s="215">
        <v>0</v>
      </c>
      <c r="H122" s="131"/>
    </row>
    <row r="123" spans="1:8" x14ac:dyDescent="0.25">
      <c r="A123" s="133"/>
      <c r="B123" s="204" t="str">
        <v>Concrete,  MPa, in-situ, no reinforcement, (GGBS Slag) (Holcim) (WA)</v>
      </c>
      <c r="C123" s="132" t="str">
        <v>m³</v>
      </c>
      <c r="D123" s="198">
        <v>207</v>
      </c>
      <c r="E123" s="198">
        <v>8.6249999999999993E-2</v>
      </c>
      <c r="F123" s="198">
        <v>0</v>
      </c>
      <c r="G123" s="215">
        <v>0</v>
      </c>
      <c r="H123" s="131"/>
    </row>
    <row r="124" spans="1:8" x14ac:dyDescent="0.25">
      <c r="A124" s="133"/>
      <c r="B124" s="204" t="str">
        <v>Concrete, 32 MPa, in-situ, no reinforcement, (NE322E151)(Ecopact) (Holcim) (ACT)</v>
      </c>
      <c r="C124" s="132" t="str">
        <v>m³</v>
      </c>
      <c r="D124" s="198">
        <v>217.34</v>
      </c>
      <c r="E124" s="198">
        <v>9.0558333333333338E-2</v>
      </c>
      <c r="F124" s="198">
        <v>0</v>
      </c>
      <c r="G124" s="215">
        <v>0</v>
      </c>
      <c r="H124" s="131"/>
    </row>
    <row r="125" spans="1:8" x14ac:dyDescent="0.25">
      <c r="A125" s="133"/>
      <c r="B125" s="204" t="str">
        <v>Concrete, 32 MPa, in-situ, no reinforcement, (NE322E351)(Ecopact) (Holcim) (ACT)</v>
      </c>
      <c r="C125" s="132" t="str">
        <v>m³</v>
      </c>
      <c r="D125" s="198">
        <v>219.35</v>
      </c>
      <c r="E125" s="198">
        <v>9.1395833333333329E-2</v>
      </c>
      <c r="F125" s="198">
        <v>0</v>
      </c>
      <c r="G125" s="215">
        <v>0</v>
      </c>
      <c r="H125" s="131"/>
    </row>
    <row r="126" spans="1:8" x14ac:dyDescent="0.25">
      <c r="A126" s="133"/>
      <c r="B126" s="204" t="str">
        <v>Concrete, 32 MPa, in-situ, no reinforcement, (NE321E151)(Ecopact) (Holcim) (ACT)</v>
      </c>
      <c r="C126" s="132" t="str">
        <v>m³</v>
      </c>
      <c r="D126" s="198">
        <v>217.59</v>
      </c>
      <c r="E126" s="198">
        <v>9.0662500000000007E-2</v>
      </c>
      <c r="F126" s="198">
        <v>0</v>
      </c>
      <c r="G126" s="215">
        <v>0</v>
      </c>
      <c r="H126" s="131"/>
    </row>
    <row r="127" spans="1:8" x14ac:dyDescent="0.25">
      <c r="A127" s="133"/>
      <c r="B127" s="204" t="str">
        <v>Concrete, 32 MPa, in-situ, no reinforcement, (NE321E351)(Ecopact) (Holcim) (ACT)</v>
      </c>
      <c r="C127" s="132" t="str">
        <v>m³</v>
      </c>
      <c r="D127" s="198">
        <v>219.55</v>
      </c>
      <c r="E127" s="198">
        <v>9.1479166666666667E-2</v>
      </c>
      <c r="F127" s="198">
        <v>0</v>
      </c>
      <c r="G127" s="215">
        <v>0</v>
      </c>
      <c r="H127" s="131"/>
    </row>
    <row r="128" spans="1:8" x14ac:dyDescent="0.25">
      <c r="A128" s="133"/>
      <c r="B128" s="204" t="str">
        <v>Concrete, 32 MPa, in-situ, no reinforcement, (VN322B) (Holcim) (VIC)</v>
      </c>
      <c r="C128" s="132" t="str">
        <v>m³</v>
      </c>
      <c r="D128" s="198">
        <v>266.20999999999998</v>
      </c>
      <c r="E128" s="198">
        <v>0.11092083333333333</v>
      </c>
      <c r="F128" s="198">
        <v>0</v>
      </c>
      <c r="G128" s="215">
        <v>0</v>
      </c>
      <c r="H128" s="131"/>
    </row>
    <row r="129" spans="1:8" x14ac:dyDescent="0.25">
      <c r="A129" s="133"/>
      <c r="B129" s="204" t="str">
        <v>Concrete, 32 MPa, in-situ, no reinforcement, (VS321MSPR) (Holcim) (VIC)</v>
      </c>
      <c r="C129" s="132" t="str">
        <v>m³</v>
      </c>
      <c r="D129" s="198">
        <v>324.73</v>
      </c>
      <c r="E129" s="198">
        <v>0.13530416666666667</v>
      </c>
      <c r="F129" s="198">
        <v>0</v>
      </c>
      <c r="G129" s="215">
        <v>0</v>
      </c>
      <c r="H129" s="131"/>
    </row>
    <row r="130" spans="1:8" x14ac:dyDescent="0.25">
      <c r="A130" s="133"/>
      <c r="B130" s="204" t="str">
        <v>Concrete, 32 MPa, in-situ, no reinforcement, (VS321BPV) (Holcim) (VIC)</v>
      </c>
      <c r="C130" s="132" t="str">
        <v>m³</v>
      </c>
      <c r="D130" s="198">
        <v>275.49</v>
      </c>
      <c r="E130" s="198">
        <v>0.1147875</v>
      </c>
      <c r="F130" s="198">
        <v>0</v>
      </c>
      <c r="G130" s="215">
        <v>0</v>
      </c>
      <c r="H130" s="131"/>
    </row>
    <row r="131" spans="1:8" x14ac:dyDescent="0.25">
      <c r="A131" s="133"/>
      <c r="B131" s="204" t="str">
        <v>Concrete, 32 MPa, in-situ, no reinforcement, (VE322E75) (Holcim) (VIC)</v>
      </c>
      <c r="C131" s="132" t="str">
        <v>m³</v>
      </c>
      <c r="D131" s="198">
        <v>249.31</v>
      </c>
      <c r="E131" s="198">
        <v>0.10387916666666666</v>
      </c>
      <c r="F131" s="198">
        <v>0</v>
      </c>
      <c r="G131" s="215">
        <v>0</v>
      </c>
      <c r="H131" s="131"/>
    </row>
    <row r="132" spans="1:8" x14ac:dyDescent="0.25">
      <c r="A132" s="133"/>
      <c r="B132" s="204" t="str">
        <v>Concrete, 32 MPa, in-situ, no reinforcement, (VS322BHS2) (Holcim) (VIC)</v>
      </c>
      <c r="C132" s="132" t="str">
        <v>m³</v>
      </c>
      <c r="D132" s="198">
        <v>203.16</v>
      </c>
      <c r="E132" s="198">
        <v>8.4650000000000003E-2</v>
      </c>
      <c r="F132" s="198">
        <v>0</v>
      </c>
      <c r="G132" s="215">
        <v>0</v>
      </c>
      <c r="H132" s="131"/>
    </row>
    <row r="133" spans="1:8" x14ac:dyDescent="0.25">
      <c r="A133" s="133"/>
      <c r="B133" s="204" t="str">
        <v>Concrete, 32 MPa, in-situ, no reinforcement, (QE322E)(Holcim) (QLD), (North QLD)</v>
      </c>
      <c r="C133" s="132" t="str">
        <v>m³</v>
      </c>
      <c r="D133" s="198">
        <v>237.22</v>
      </c>
      <c r="E133" s="198">
        <v>9.8841666666666661E-2</v>
      </c>
      <c r="F133" s="198">
        <v>0</v>
      </c>
      <c r="G133" s="215">
        <v>0</v>
      </c>
      <c r="H133" s="131"/>
    </row>
    <row r="134" spans="1:8" x14ac:dyDescent="0.25">
      <c r="A134" s="133"/>
      <c r="B134" s="204" t="str">
        <v>Concrete, 32 MPa, in-situ, no reinforcement, (QE322E1)(Holcim) (QLD), (North QLD)</v>
      </c>
      <c r="C134" s="132" t="str">
        <v>m³</v>
      </c>
      <c r="D134" s="198">
        <v>237.71</v>
      </c>
      <c r="E134" s="198">
        <v>9.9045833333333333E-2</v>
      </c>
      <c r="F134" s="198">
        <v>0</v>
      </c>
      <c r="G134" s="215">
        <v>0</v>
      </c>
      <c r="H134" s="131"/>
    </row>
    <row r="135" spans="1:8" x14ac:dyDescent="0.25">
      <c r="A135" s="133"/>
      <c r="B135" s="204" t="str">
        <v>Concrete, 32 MPa, in-situ, no reinforcement, (QE321E)(Holcim) (QLD), (North QLD)</v>
      </c>
      <c r="C135" s="132" t="str">
        <v>m³</v>
      </c>
      <c r="D135" s="198">
        <v>245.84</v>
      </c>
      <c r="E135" s="198">
        <v>0.10243333333333333</v>
      </c>
      <c r="F135" s="198">
        <v>0</v>
      </c>
      <c r="G135" s="215">
        <v>0</v>
      </c>
      <c r="H135" s="131"/>
    </row>
    <row r="136" spans="1:8" x14ac:dyDescent="0.25">
      <c r="A136" s="133"/>
      <c r="B136" s="204" t="str">
        <v>Concrete, 32 MPa, in-situ, no reinforcement, (QE321E1)(Holcim) (QLD), (North QLD)</v>
      </c>
      <c r="C136" s="132" t="str">
        <v>m³</v>
      </c>
      <c r="D136" s="198">
        <v>246.17</v>
      </c>
      <c r="E136" s="198">
        <v>0.10257083333333333</v>
      </c>
      <c r="F136" s="198">
        <v>0</v>
      </c>
      <c r="G136" s="215">
        <v>0</v>
      </c>
      <c r="H136" s="131"/>
    </row>
    <row r="137" spans="1:8" x14ac:dyDescent="0.25">
      <c r="A137" s="133"/>
      <c r="B137" s="204" t="str">
        <v>Concrete, 32 MPa, in-situ, no reinforcement, (Futurecrete®  S Class
GP/GL:FA 32 MPa) (Adbri) (SA)</v>
      </c>
      <c r="C137" s="132" t="str">
        <v>m³</v>
      </c>
      <c r="D137" s="198">
        <v>194.77</v>
      </c>
      <c r="E137" s="198">
        <v>8.1154166666666666E-2</v>
      </c>
      <c r="F137" s="198">
        <v>0</v>
      </c>
      <c r="G137" s="215">
        <v>0</v>
      </c>
      <c r="H137" s="131"/>
    </row>
    <row r="138" spans="1:8" x14ac:dyDescent="0.25">
      <c r="A138" s="133"/>
      <c r="B138" s="204" t="str">
        <v>Concrete, 32 MPa, in-situ, no reinforcement, (Adbri Concrete
N Class GP/GL
32 MPa) (Adbri) (NSW)</v>
      </c>
      <c r="C138" s="132" t="str">
        <v>m³</v>
      </c>
      <c r="D138" s="198">
        <v>335.12</v>
      </c>
      <c r="E138" s="198">
        <v>0.13963333333333333</v>
      </c>
      <c r="F138" s="198">
        <v>0</v>
      </c>
      <c r="G138" s="215">
        <v>0</v>
      </c>
      <c r="H138" s="131"/>
    </row>
    <row r="139" spans="1:8" x14ac:dyDescent="0.25">
      <c r="A139" s="133"/>
      <c r="B139" s="204" t="str">
        <v>Concrete, 32 MPa, in-situ, no reinforcement, (Futurecrete®
N Class GP/GL:FA
32 MPa) (Adbri) (NSW)</v>
      </c>
      <c r="C139" s="132" t="str">
        <v>m³</v>
      </c>
      <c r="D139" s="198">
        <v>295.48</v>
      </c>
      <c r="E139" s="198">
        <v>0.12311666666666668</v>
      </c>
      <c r="F139" s="198">
        <v>0</v>
      </c>
      <c r="G139" s="215">
        <v>0</v>
      </c>
      <c r="H139" s="131"/>
    </row>
    <row r="140" spans="1:8" x14ac:dyDescent="0.25">
      <c r="A140" s="133"/>
      <c r="B140" s="204" t="str">
        <v>Concrete, 32 MPa, in-situ, no reinforcement, (S32MPA 22MPA AT
4 DAYS 20MM) (Adbri) (NSW)</v>
      </c>
      <c r="C140" s="132" t="str">
        <v>m³</v>
      </c>
      <c r="D140" s="198">
        <v>358.56</v>
      </c>
      <c r="E140" s="198">
        <v>0.14940000000000001</v>
      </c>
      <c r="F140" s="198">
        <v>0</v>
      </c>
      <c r="G140" s="215">
        <v>0</v>
      </c>
      <c r="H140" s="131"/>
    </row>
    <row r="141" spans="1:8" x14ac:dyDescent="0.25">
      <c r="A141" s="133"/>
      <c r="B141" s="204" t="str">
        <v>Concrete, 32 MPa, in-situ, no reinforcement, (S32MPA KERB&amp;GUTTER MACHINE PLACED 10MM) (Adbri) (NSW)</v>
      </c>
      <c r="C141" s="132" t="str">
        <v>m³</v>
      </c>
      <c r="D141" s="198">
        <v>307.26</v>
      </c>
      <c r="E141" s="198">
        <v>0.128025</v>
      </c>
      <c r="F141" s="198">
        <v>0</v>
      </c>
      <c r="G141" s="215">
        <v>0</v>
      </c>
      <c r="H141" s="131"/>
    </row>
    <row r="142" spans="1:8" x14ac:dyDescent="0.25">
      <c r="A142" s="133"/>
      <c r="B142" s="204" t="str">
        <v>Concrete, 32 MPa, in-situ, no reinforcement, (S32MPA PT DECK 22MPA AT 5 DAYS 20MM) (Adbri) (NSW)</v>
      </c>
      <c r="C142" s="132" t="str">
        <v>m³</v>
      </c>
      <c r="D142" s="198">
        <v>347.94</v>
      </c>
      <c r="E142" s="198">
        <v>0.14497499999999999</v>
      </c>
      <c r="F142" s="198">
        <v>0</v>
      </c>
      <c r="G142" s="215">
        <v>0</v>
      </c>
      <c r="H142" s="131"/>
    </row>
    <row r="143" spans="1:8" x14ac:dyDescent="0.25">
      <c r="A143" s="133"/>
      <c r="B143" s="204" t="str">
        <v>Concrete, 32 MPa, in-situ, no reinforcement, Pre-mix Concrete Normal Class GP blend (Boral) (ACT), (Canberra) Normal Class GP blend 32MPa</v>
      </c>
      <c r="C143" s="132" t="str">
        <v>m³</v>
      </c>
      <c r="D143" s="198">
        <v>314</v>
      </c>
      <c r="E143" s="198">
        <v>0.13083333333333333</v>
      </c>
      <c r="F143" s="198">
        <v>0</v>
      </c>
      <c r="G143" s="215">
        <v>0</v>
      </c>
      <c r="H143" s="131"/>
    </row>
    <row r="144" spans="1:8" x14ac:dyDescent="0.25">
      <c r="A144" s="133"/>
      <c r="B144" s="204" t="str">
        <v>Concrete, 32 MPa, in-situ, no reinforcement, Pre-mix Concrete Normal Class GP/FA blend (Boral) (ACT), (Canberra) Normal Class GP/FA blend 32 MPa</v>
      </c>
      <c r="C144" s="132" t="str">
        <v>m³</v>
      </c>
      <c r="D144" s="198">
        <v>262</v>
      </c>
      <c r="E144" s="198">
        <v>0.10916666666666666</v>
      </c>
      <c r="F144" s="198">
        <v>0</v>
      </c>
      <c r="G144" s="215">
        <v>0</v>
      </c>
      <c r="H144" s="131"/>
    </row>
    <row r="145" spans="1:8" x14ac:dyDescent="0.25">
      <c r="A145" s="133"/>
      <c r="B145" s="204" t="str">
        <v>Concrete, 32 MPa, in-situ, no reinforcement, Pre-mix Concrete Normal Class GP/GGBFS blend (Boral) (ACT), (Canberra) Normal Class GP/GGBFS blend 32 MPa</v>
      </c>
      <c r="C145" s="132" t="str">
        <v>m³</v>
      </c>
      <c r="D145" s="198">
        <v>224</v>
      </c>
      <c r="E145" s="198">
        <v>9.3333333333333338E-2</v>
      </c>
      <c r="F145" s="198">
        <v>0</v>
      </c>
      <c r="G145" s="215">
        <v>0</v>
      </c>
      <c r="H145" s="131"/>
    </row>
    <row r="146" spans="1:8" x14ac:dyDescent="0.25">
      <c r="A146" s="133"/>
      <c r="B146" s="204" t="str">
        <v>Concrete, 32 MPa, in-situ, no reinforcement, Pre-mix Concrete ENVIROCRETE 30% (Boral) (ACT), (Canberra) ENVIROCRETE 30% 32 MPa</v>
      </c>
      <c r="C146" s="132" t="str">
        <v>m³</v>
      </c>
      <c r="D146" s="198">
        <v>262</v>
      </c>
      <c r="E146" s="198">
        <v>0.10916666666666666</v>
      </c>
      <c r="F146" s="198">
        <v>0</v>
      </c>
      <c r="G146" s="215">
        <v>0</v>
      </c>
      <c r="H146" s="131"/>
    </row>
    <row r="147" spans="1:8" x14ac:dyDescent="0.25">
      <c r="A147" s="133"/>
      <c r="B147" s="204" t="str">
        <v>Concrete, 32 MPa, in-situ, no reinforcement, Pre-mix Concrete ENVIROCRETE 40% (Boral) (ACT), (Canberra) ENVIROCRETE 40% 32 MPa</v>
      </c>
      <c r="C147" s="132" t="str">
        <v>m³</v>
      </c>
      <c r="D147" s="198">
        <v>240</v>
      </c>
      <c r="E147" s="198">
        <v>0.1</v>
      </c>
      <c r="F147" s="198">
        <v>0</v>
      </c>
      <c r="G147" s="215">
        <v>0</v>
      </c>
      <c r="H147" s="131"/>
    </row>
    <row r="148" spans="1:8" x14ac:dyDescent="0.25">
      <c r="A148" s="133"/>
      <c r="B148" s="204" t="str">
        <v>Concrete, 32 MPa, in-situ, no reinforcement, Pre-mix Concrete ENVIROCRETE PLUS (Boral) (ACT), (Canberra) ENVIROCRETE PLUS 32MPa</v>
      </c>
      <c r="C148" s="132" t="str">
        <v>m³</v>
      </c>
      <c r="D148" s="198">
        <v>228</v>
      </c>
      <c r="E148" s="198">
        <v>9.5000000000000001E-2</v>
      </c>
      <c r="F148" s="198">
        <v>0</v>
      </c>
      <c r="G148" s="215">
        <v>0</v>
      </c>
      <c r="H148" s="131"/>
    </row>
    <row r="149" spans="1:8" x14ac:dyDescent="0.25">
      <c r="A149" s="133"/>
      <c r="B149" s="204" t="str">
        <v>Concrete, 32 MPa, in-situ, no reinforcement, Pre-mix Concrete ENVISIA (Boral) (ACT), (Canberra) ENVISIA 32MPa</v>
      </c>
      <c r="C149" s="132" t="str">
        <v>m³</v>
      </c>
      <c r="D149" s="198">
        <v>197</v>
      </c>
      <c r="E149" s="198">
        <v>8.2083333333333328E-2</v>
      </c>
      <c r="F149" s="198">
        <v>0</v>
      </c>
      <c r="G149" s="215">
        <v>0</v>
      </c>
      <c r="H149" s="131"/>
    </row>
    <row r="150" spans="1:8" x14ac:dyDescent="0.25">
      <c r="A150" s="133"/>
      <c r="B150" s="204" t="str">
        <v>Concrete, 32 MPa, in-situ, no reinforcement, Pre-mix Concrete KERB MACHINE (Boral) (ACT), (Canberra) KERB MACHINE 32MPa 10MM</v>
      </c>
      <c r="C150" s="132" t="str">
        <v>m³</v>
      </c>
      <c r="D150" s="198">
        <v>295</v>
      </c>
      <c r="E150" s="198">
        <v>0.12291666666666666</v>
      </c>
      <c r="F150" s="198">
        <v>0</v>
      </c>
      <c r="G150" s="215">
        <v>0</v>
      </c>
      <c r="H150" s="131"/>
    </row>
    <row r="151" spans="1:8" x14ac:dyDescent="0.25">
      <c r="A151" s="133"/>
      <c r="B151" s="204" t="str">
        <v>Concrete, 32 MPa, in-situ, no reinforcement, Pre-mix Concrete Normal Class GP blend (Boral) (NSW), (Newcastle) Normal Class GP blend 32MPa</v>
      </c>
      <c r="C151" s="132" t="str">
        <v>m³</v>
      </c>
      <c r="D151" s="198">
        <v>306</v>
      </c>
      <c r="E151" s="198">
        <v>0.1275</v>
      </c>
      <c r="F151" s="198">
        <v>0</v>
      </c>
      <c r="G151" s="215">
        <v>0</v>
      </c>
      <c r="H151" s="131"/>
    </row>
    <row r="152" spans="1:8" x14ac:dyDescent="0.25">
      <c r="A152" s="133"/>
      <c r="B152" s="204" t="str">
        <v>Concrete, 32 MPa, in-situ, no reinforcement, Pre-mix Concrete Normal Class GP/FA blend (Boral) (NSW), (Newcastle) Normal Class GP/FA blend 32 MPa</v>
      </c>
      <c r="C152" s="132" t="str">
        <v>m³</v>
      </c>
      <c r="D152" s="198">
        <v>250</v>
      </c>
      <c r="E152" s="198">
        <v>0.10416666666666667</v>
      </c>
      <c r="F152" s="198">
        <v>0</v>
      </c>
      <c r="G152" s="215">
        <v>0</v>
      </c>
      <c r="H152" s="131"/>
    </row>
    <row r="153" spans="1:8" x14ac:dyDescent="0.25">
      <c r="A153" s="133"/>
      <c r="B153" s="204" t="str">
        <v>Concrete, 32 MPa, in-situ, no reinforcement, Pre-mix Concrete ENVIROCRETE 30% (Boral) (NSW), (Newcastle) ENVIROCRETE 30% 32 MPa</v>
      </c>
      <c r="C153" s="132" t="str">
        <v>m³</v>
      </c>
      <c r="D153" s="198">
        <v>250</v>
      </c>
      <c r="E153" s="198">
        <v>0.10416666666666667</v>
      </c>
      <c r="F153" s="198">
        <v>0</v>
      </c>
      <c r="G153" s="215">
        <v>0</v>
      </c>
      <c r="H153" s="131"/>
    </row>
    <row r="154" spans="1:8" x14ac:dyDescent="0.25">
      <c r="A154" s="133"/>
      <c r="B154" s="204" t="str">
        <v>Concrete, 32 MPa, in-situ, no reinforcement, Pre-mix Concrete ENVIROCRETE 40% (Boral) (NSW), (Newcastle) ENVIROCRETE 40% 32 MPa</v>
      </c>
      <c r="C154" s="132" t="str">
        <v>m³</v>
      </c>
      <c r="D154" s="198">
        <v>232</v>
      </c>
      <c r="E154" s="198">
        <v>9.6666666666666665E-2</v>
      </c>
      <c r="F154" s="198">
        <v>0</v>
      </c>
      <c r="G154" s="215">
        <v>0</v>
      </c>
      <c r="H154" s="131"/>
    </row>
    <row r="155" spans="1:8" x14ac:dyDescent="0.25">
      <c r="A155" s="133"/>
      <c r="B155" s="204" t="str">
        <v>Concrete, 32 MPa, in-situ, no reinforcement, Pre-mix Concrete ENVIROCRETE PLUS (Boral) (NSW), (Newcastle) ENVIROCRETE PLUS 32MPa</v>
      </c>
      <c r="C155" s="132" t="str">
        <v>m³</v>
      </c>
      <c r="D155" s="198">
        <v>220</v>
      </c>
      <c r="E155" s="198">
        <v>9.166666666666666E-2</v>
      </c>
      <c r="F155" s="198">
        <v>0</v>
      </c>
      <c r="G155" s="215">
        <v>0</v>
      </c>
      <c r="H155" s="131"/>
    </row>
    <row r="156" spans="1:8" x14ac:dyDescent="0.25">
      <c r="A156" s="133"/>
      <c r="B156" s="204" t="str">
        <v>Concrete, 32 MPa, in-situ, no reinforcement, Pre-mix Concrete ENVISIA (Boral) (NSW), (Newcastle) ENVISIA 32MPa</v>
      </c>
      <c r="C156" s="132" t="str">
        <v>m³</v>
      </c>
      <c r="D156" s="198">
        <v>198</v>
      </c>
      <c r="E156" s="198">
        <v>8.2500000000000004E-2</v>
      </c>
      <c r="F156" s="198">
        <v>0</v>
      </c>
      <c r="G156" s="215">
        <v>0</v>
      </c>
      <c r="H156" s="131"/>
    </row>
    <row r="157" spans="1:8" x14ac:dyDescent="0.25">
      <c r="A157" s="133"/>
      <c r="B157" s="204" t="str">
        <v>Concrete, 32 MPa, in-situ, no reinforcement, Pre-mix Concrete Normal Class GP/GGBFS blend (Boral) (NSW), (Newcastle) Normal Class GP/GGBFS blend 32 MPa</v>
      </c>
      <c r="C157" s="132" t="str">
        <v>m³</v>
      </c>
      <c r="D157" s="198">
        <v>218</v>
      </c>
      <c r="E157" s="198">
        <v>9.0833333333333335E-2</v>
      </c>
      <c r="F157" s="198">
        <v>0</v>
      </c>
      <c r="G157" s="215">
        <v>0</v>
      </c>
      <c r="H157" s="131"/>
    </row>
    <row r="158" spans="1:8" x14ac:dyDescent="0.25">
      <c r="A158" s="133"/>
      <c r="B158" s="204" t="str">
        <v>Concrete, 32 MPa, in-situ, no reinforcement, Pre-mix Concrete KERB MACHINE (Boral) (NSW), (Newcastle) KERB MACHINE 32MPa 10MM</v>
      </c>
      <c r="C158" s="132" t="str">
        <v>m³</v>
      </c>
      <c r="D158" s="198">
        <v>287</v>
      </c>
      <c r="E158" s="198">
        <v>0.11958333333333333</v>
      </c>
      <c r="F158" s="198">
        <v>0</v>
      </c>
      <c r="G158" s="215">
        <v>0</v>
      </c>
      <c r="H158" s="131"/>
    </row>
    <row r="159" spans="1:8" x14ac:dyDescent="0.25">
      <c r="A159" s="133"/>
      <c r="B159" s="204" t="str">
        <v>Concrete, 32 MPa, in-situ, no reinforcement, Pre-mix Concrete Normal Class GP blend (Boral) (NSW), (Sydney) Normal Class GP blend 32MPa</v>
      </c>
      <c r="C159" s="132" t="str">
        <v>m³</v>
      </c>
      <c r="D159" s="198">
        <v>314</v>
      </c>
      <c r="E159" s="198">
        <v>0.13083333333333333</v>
      </c>
      <c r="F159" s="198">
        <v>0</v>
      </c>
      <c r="G159" s="215">
        <v>0</v>
      </c>
      <c r="H159" s="131"/>
    </row>
    <row r="160" spans="1:8" x14ac:dyDescent="0.25">
      <c r="A160" s="133"/>
      <c r="B160" s="204" t="str">
        <v>Concrete, 32 MPa, in-situ, no reinforcement, Pre-mix Concrete Normal Class GP/FA blend (Boral) (NSW), (Sydney) Normal Class GP/FA blend 32 MPa</v>
      </c>
      <c r="C160" s="132" t="str">
        <v>m³</v>
      </c>
      <c r="D160" s="198">
        <v>260</v>
      </c>
      <c r="E160" s="198">
        <v>0.10833333333333334</v>
      </c>
      <c r="F160" s="198">
        <v>0</v>
      </c>
      <c r="G160" s="215">
        <v>0</v>
      </c>
      <c r="H160" s="131"/>
    </row>
    <row r="161" spans="1:8" x14ac:dyDescent="0.25">
      <c r="A161" s="133"/>
      <c r="B161" s="204" t="str">
        <v>Concrete, 32 MPa, in-situ, no reinforcement, Pre-mix Concrete Normal Class GP/GGBFS blend (Boral) (NSW), (Sydney) Normal Class GP/GGBFS blend 32 MPa</v>
      </c>
      <c r="C161" s="132" t="str">
        <v>m³</v>
      </c>
      <c r="D161" s="198">
        <v>221</v>
      </c>
      <c r="E161" s="198">
        <v>9.2083333333333336E-2</v>
      </c>
      <c r="F161" s="198">
        <v>0</v>
      </c>
      <c r="G161" s="215">
        <v>0</v>
      </c>
      <c r="H161" s="131"/>
    </row>
    <row r="162" spans="1:8" x14ac:dyDescent="0.25">
      <c r="A162" s="133"/>
      <c r="B162" s="204" t="str">
        <v>Concrete, 32 MPa, in-situ, no reinforcement, Pre-mix Concrete Normal Class GP/GGBFS/FA blend (Boral) (NSW), (Sydney) Normal Class GP/GGBFS/FA blend 32 MPa</v>
      </c>
      <c r="C162" s="132" t="str">
        <v>m³</v>
      </c>
      <c r="D162" s="198">
        <v>207</v>
      </c>
      <c r="E162" s="198">
        <v>8.6249999999999993E-2</v>
      </c>
      <c r="F162" s="198">
        <v>0</v>
      </c>
      <c r="G162" s="215">
        <v>0</v>
      </c>
      <c r="H162" s="131"/>
    </row>
    <row r="163" spans="1:8" x14ac:dyDescent="0.25">
      <c r="A163" s="133"/>
      <c r="B163" s="204" t="str">
        <v>Concrete, 32 MPa, in-situ, no reinforcement, Pre-mix Concrete ENVIROCRETE 30% (Boral) (NSW), (Sydney) ENVIROCRETE 30% 32 MPa</v>
      </c>
      <c r="C163" s="132" t="str">
        <v>m³</v>
      </c>
      <c r="D163" s="198">
        <v>260</v>
      </c>
      <c r="E163" s="198">
        <v>0.10833333333333334</v>
      </c>
      <c r="F163" s="198">
        <v>0</v>
      </c>
      <c r="G163" s="215">
        <v>0</v>
      </c>
      <c r="H163" s="131"/>
    </row>
    <row r="164" spans="1:8" x14ac:dyDescent="0.25">
      <c r="A164" s="133"/>
      <c r="B164" s="204" t="str">
        <v>Concrete, 32 MPa, in-situ, no reinforcement, Pre-mix Concrete ENVIROCRETE 40% (Boral) (NSW), (Sydney) ENVIROCRETE 40% 32 MPa</v>
      </c>
      <c r="C164" s="132" t="str">
        <v>m³</v>
      </c>
      <c r="D164" s="198">
        <v>238</v>
      </c>
      <c r="E164" s="198">
        <v>9.9166666666666667E-2</v>
      </c>
      <c r="F164" s="198">
        <v>0</v>
      </c>
      <c r="G164" s="215">
        <v>0</v>
      </c>
      <c r="H164" s="131"/>
    </row>
    <row r="165" spans="1:8" x14ac:dyDescent="0.25">
      <c r="A165" s="133"/>
      <c r="B165" s="204" t="str">
        <v>Concrete, 32 MPa, in-situ, no reinforcement, Pre-mix Concrete ENVIROCRETE PLUS (Boral) (NSW), (Sydney) ENVIROCRETE PLUS 32MPa</v>
      </c>
      <c r="C165" s="132" t="str">
        <v>m³</v>
      </c>
      <c r="D165" s="198">
        <v>229</v>
      </c>
      <c r="E165" s="198">
        <v>9.5416666666666664E-2</v>
      </c>
      <c r="F165" s="198">
        <v>0</v>
      </c>
      <c r="G165" s="215">
        <v>0</v>
      </c>
      <c r="H165" s="131"/>
    </row>
    <row r="166" spans="1:8" x14ac:dyDescent="0.25">
      <c r="A166" s="133"/>
      <c r="B166" s="204" t="str">
        <v>Concrete, 32 MPa, in-situ, no reinforcement, Pre-mix Concrete ENVISIA (Boral) (NSW), (Sydney) ENVISIA 32MPa</v>
      </c>
      <c r="C166" s="132" t="str">
        <v>m³</v>
      </c>
      <c r="D166" s="198">
        <v>198</v>
      </c>
      <c r="E166" s="198">
        <v>8.2500000000000004E-2</v>
      </c>
      <c r="F166" s="198">
        <v>0</v>
      </c>
      <c r="G166" s="215">
        <v>0</v>
      </c>
      <c r="H166" s="131"/>
    </row>
    <row r="167" spans="1:8" x14ac:dyDescent="0.25">
      <c r="A167" s="133"/>
      <c r="B167" s="204" t="str">
        <v>Concrete, 32 MPa, in-situ, no reinforcement, Pre-mix Concrete KERB MACHINE (Boral) (NSW), (Sydney) KERB MACHINE 32MPa 10MM</v>
      </c>
      <c r="C167" s="132" t="str">
        <v>m³</v>
      </c>
      <c r="D167" s="198">
        <v>287</v>
      </c>
      <c r="E167" s="198">
        <v>0.11958333333333333</v>
      </c>
      <c r="F167" s="198">
        <v>0</v>
      </c>
      <c r="G167" s="215">
        <v>0</v>
      </c>
      <c r="H167" s="131"/>
    </row>
    <row r="168" spans="1:8" x14ac:dyDescent="0.25">
      <c r="A168" s="133"/>
      <c r="B168" s="204" t="str">
        <v>Concrete, 32 MPa, in-situ, no reinforcement, Pre-mix Concrete Normal Class GP blend (Boral) (NSW), (Wollongong) Normal Class GP blend 32MPa</v>
      </c>
      <c r="C168" s="132" t="str">
        <v>m³</v>
      </c>
      <c r="D168" s="198">
        <v>310</v>
      </c>
      <c r="E168" s="198">
        <v>0.12916666666666668</v>
      </c>
      <c r="F168" s="198">
        <v>0</v>
      </c>
      <c r="G168" s="215">
        <v>0</v>
      </c>
      <c r="H168" s="131"/>
    </row>
    <row r="169" spans="1:8" x14ac:dyDescent="0.25">
      <c r="A169" s="133"/>
      <c r="B169" s="204" t="str">
        <v>Concrete, 32 MPa, in-situ, no reinforcement, Pre-mix Concrete Normal Class GP/FA blend (Boral) (NSW), (Wollongong) Normal Class GP/FA blend 32 MPa</v>
      </c>
      <c r="C169" s="132" t="str">
        <v>m³</v>
      </c>
      <c r="D169" s="198">
        <v>257</v>
      </c>
      <c r="E169" s="198">
        <v>0.10708333333333334</v>
      </c>
      <c r="F169" s="198">
        <v>0</v>
      </c>
      <c r="G169" s="215">
        <v>0</v>
      </c>
      <c r="H169" s="131"/>
    </row>
    <row r="170" spans="1:8" x14ac:dyDescent="0.25">
      <c r="A170" s="133"/>
      <c r="B170" s="204" t="str">
        <v>Concrete, 32 MPa, in-situ, no reinforcement, Pre-mix Concrete Normal Class GP/GGBFS blend (Boral) (NSW), (Wollongong) Normal Class GP/GGBFS blend 32 MPa</v>
      </c>
      <c r="C170" s="132" t="str">
        <v>m³</v>
      </c>
      <c r="D170" s="198">
        <v>216</v>
      </c>
      <c r="E170" s="198">
        <v>0.09</v>
      </c>
      <c r="F170" s="198">
        <v>0</v>
      </c>
      <c r="G170" s="215">
        <v>0</v>
      </c>
      <c r="H170" s="131"/>
    </row>
    <row r="171" spans="1:8" x14ac:dyDescent="0.25">
      <c r="A171" s="133"/>
      <c r="B171" s="204" t="str">
        <v>Concrete, 32 MPa, in-situ, no reinforcement, Pre-mix Concrete KERB MACHINE (Boral) (NSW), (Wollongong) KERB MACHINE 32MPa 10MM</v>
      </c>
      <c r="C171" s="132" t="str">
        <v>m³</v>
      </c>
      <c r="D171" s="198">
        <v>288</v>
      </c>
      <c r="E171" s="198">
        <v>0.12</v>
      </c>
      <c r="F171" s="198">
        <v>0</v>
      </c>
      <c r="G171" s="215">
        <v>0</v>
      </c>
      <c r="H171" s="131"/>
    </row>
    <row r="172" spans="1:8" x14ac:dyDescent="0.25">
      <c r="A172" s="133"/>
      <c r="B172" s="204" t="str">
        <v>Concrete, 32 MPa, in-situ, no reinforcement, Pre-mix Concrete Normal Class GP/GGBFS/FA blend (Boral) (NSW), (Wollongong) Normal Class GP/GGBFS/FA blend 32 MPa</v>
      </c>
      <c r="C172" s="132" t="str">
        <v>m³</v>
      </c>
      <c r="D172" s="198">
        <v>185</v>
      </c>
      <c r="E172" s="198">
        <v>7.7083333333333337E-2</v>
      </c>
      <c r="F172" s="198">
        <v>0</v>
      </c>
      <c r="G172" s="215">
        <v>0</v>
      </c>
      <c r="H172" s="131"/>
    </row>
    <row r="173" spans="1:8" x14ac:dyDescent="0.25">
      <c r="A173" s="133"/>
      <c r="B173" s="204" t="str">
        <v>Concrete, 32 MPa, in-situ, no reinforcement, Pre-mix Concrete ENVIROCRETE 30% (Boral) (NSW), (Wollongong) ENVIROCRETE 30% 32 MPa</v>
      </c>
      <c r="C173" s="132" t="str">
        <v>m³</v>
      </c>
      <c r="D173" s="198">
        <v>257</v>
      </c>
      <c r="E173" s="198">
        <v>0.10708333333333334</v>
      </c>
      <c r="F173" s="198">
        <v>0</v>
      </c>
      <c r="G173" s="215">
        <v>0</v>
      </c>
      <c r="H173" s="131"/>
    </row>
    <row r="174" spans="1:8" x14ac:dyDescent="0.25">
      <c r="A174" s="133"/>
      <c r="B174" s="204" t="str">
        <v>Concrete, 32 MPa, in-situ, no reinforcement, Pre-mix Concrete ENVIROCRETE 40% (Boral) (NSW), (Wollongong) ENVIROCRETE 40% 32 MPa</v>
      </c>
      <c r="C174" s="132" t="str">
        <v>m³</v>
      </c>
      <c r="D174" s="198">
        <v>233</v>
      </c>
      <c r="E174" s="198">
        <v>9.7083333333333327E-2</v>
      </c>
      <c r="F174" s="198">
        <v>0</v>
      </c>
      <c r="G174" s="215">
        <v>0</v>
      </c>
      <c r="H174" s="131"/>
    </row>
    <row r="175" spans="1:8" x14ac:dyDescent="0.25">
      <c r="A175" s="133"/>
      <c r="B175" s="204" t="str">
        <v>Concrete, 32 MPa, in-situ, no reinforcement, Pre-mix Concrete ENVIROCRETE PLUS (Boral) (NSW), (Wollongong) ENVIROCRETE PLUS 32MPa</v>
      </c>
      <c r="C175" s="132" t="str">
        <v>m³</v>
      </c>
      <c r="D175" s="198">
        <v>224</v>
      </c>
      <c r="E175" s="198">
        <v>9.3333333333333338E-2</v>
      </c>
      <c r="F175" s="198">
        <v>0</v>
      </c>
      <c r="G175" s="215">
        <v>0</v>
      </c>
      <c r="H175" s="131"/>
    </row>
    <row r="176" spans="1:8" x14ac:dyDescent="0.25">
      <c r="A176" s="133"/>
      <c r="B176" s="204" t="str">
        <v>Concrete, 32 MPa, in-situ, no reinforcement, Pre-mix Concrete ENVISIA (Boral) (NSW), (Wollongong) ENVISIA 32MPa</v>
      </c>
      <c r="C176" s="132" t="str">
        <v>m³</v>
      </c>
      <c r="D176" s="198">
        <v>193</v>
      </c>
      <c r="E176" s="198">
        <v>8.0416666666666664E-2</v>
      </c>
      <c r="F176" s="198">
        <v>0</v>
      </c>
      <c r="G176" s="215">
        <v>0</v>
      </c>
      <c r="H176" s="131"/>
    </row>
    <row r="177" spans="1:8" x14ac:dyDescent="0.25">
      <c r="A177" s="133"/>
      <c r="B177" s="204" t="str">
        <v>Concrete, 32 MPa, in-situ, no reinforcement, Pre-mix Concrete Normal Class GP blend (Boral) (TAS), (Hobart) Normal Class GP blend 32MPa</v>
      </c>
      <c r="C177" s="132" t="str">
        <v>m³</v>
      </c>
      <c r="D177" s="198">
        <v>308</v>
      </c>
      <c r="E177" s="198">
        <v>0.12833333333333333</v>
      </c>
      <c r="F177" s="198">
        <v>0</v>
      </c>
      <c r="G177" s="215">
        <v>0</v>
      </c>
      <c r="H177" s="131"/>
    </row>
    <row r="178" spans="1:8" x14ac:dyDescent="0.25">
      <c r="A178" s="133"/>
      <c r="B178" s="204" t="str">
        <v>Concrete, 32 MPa, in-situ, no reinforcement, Pre-mix Concrete ENVISIA (Boral) (TAS), (Hobart) ENVISIA 32 MPa</v>
      </c>
      <c r="C178" s="132" t="str">
        <v>m³</v>
      </c>
      <c r="D178" s="198">
        <v>276</v>
      </c>
      <c r="E178" s="198">
        <v>0.115</v>
      </c>
      <c r="F178" s="198">
        <v>0</v>
      </c>
      <c r="G178" s="215">
        <v>0</v>
      </c>
      <c r="H178" s="131"/>
    </row>
    <row r="179" spans="1:8" x14ac:dyDescent="0.25">
      <c r="A179" s="133"/>
      <c r="B179" s="204" t="str">
        <v>Concrete, 32 MPa, in-situ, no reinforcement, Pre-mix Concrete Normal Class GP blend (Boral) (TAS), (Launceston) Normal Class GP blend 32MPa</v>
      </c>
      <c r="C179" s="132" t="str">
        <v>m³</v>
      </c>
      <c r="D179" s="198">
        <v>306</v>
      </c>
      <c r="E179" s="198">
        <v>0.1275</v>
      </c>
      <c r="F179" s="198">
        <v>0</v>
      </c>
      <c r="G179" s="215">
        <v>0</v>
      </c>
      <c r="H179" s="131"/>
    </row>
    <row r="180" spans="1:8" x14ac:dyDescent="0.25">
      <c r="A180" s="133"/>
      <c r="B180" s="204" t="str">
        <v>Concrete, 32 MPa, in-situ, no reinforcement, Pre-mix Concrete ENVISIA (Boral) (TAS), (Launceston) ENVISIA 32 MPa</v>
      </c>
      <c r="C180" s="132" t="str">
        <v>m³</v>
      </c>
      <c r="D180" s="198">
        <v>268</v>
      </c>
      <c r="E180" s="198">
        <v>0.11166666666666666</v>
      </c>
      <c r="F180" s="198">
        <v>0</v>
      </c>
      <c r="G180" s="215">
        <v>0</v>
      </c>
      <c r="H180" s="131"/>
    </row>
    <row r="181" spans="1:8" x14ac:dyDescent="0.25">
      <c r="A181" s="133"/>
      <c r="B181" s="204" t="str">
        <v>Concrete, 32 MPa, in-situ, no reinforcement, GP, Normal Class (WA Premix) (WA), (Perth)</v>
      </c>
      <c r="C181" s="132" t="str">
        <v>m³</v>
      </c>
      <c r="D181" s="198">
        <v>363</v>
      </c>
      <c r="E181" s="198">
        <v>0.15125</v>
      </c>
      <c r="F181" s="198">
        <v>0</v>
      </c>
      <c r="G181" s="215">
        <v>0</v>
      </c>
      <c r="H181" s="131"/>
    </row>
    <row r="182" spans="1:8" x14ac:dyDescent="0.25">
      <c r="A182" s="133"/>
      <c r="B182" s="204" t="str">
        <v>Concrete, 32 MPa, in-situ, no reinforcement, Blend, Normal Class (WA Premix) (WA), (Perth)</v>
      </c>
      <c r="C182" s="132" t="str">
        <v>m³</v>
      </c>
      <c r="D182" s="198">
        <v>349</v>
      </c>
      <c r="E182" s="198">
        <v>0.14541666666666667</v>
      </c>
      <c r="F182" s="198">
        <v>0</v>
      </c>
      <c r="G182" s="215">
        <v>0</v>
      </c>
      <c r="H182" s="131"/>
    </row>
    <row r="183" spans="1:8" x14ac:dyDescent="0.25">
      <c r="A183" s="133"/>
      <c r="B183" s="204" t="str">
        <v>Concrete, 32 MPa, in-situ, no reinforcement, AQ1339, Special Class (WA Premix) (WA), (Perth)</v>
      </c>
      <c r="C183" s="132" t="str">
        <v>m³</v>
      </c>
      <c r="D183" s="198">
        <v>399</v>
      </c>
      <c r="E183" s="198">
        <v>0.16625000000000001</v>
      </c>
      <c r="F183" s="198">
        <v>0</v>
      </c>
      <c r="G183" s="215">
        <v>0</v>
      </c>
      <c r="H183" s="131"/>
    </row>
    <row r="184" spans="1:8" x14ac:dyDescent="0.25">
      <c r="A184" s="133"/>
      <c r="B184" s="204" t="str">
        <v>Concrete, 32 MPa, in-situ, no reinforcement, AQ1340, Special Class (WA Premix) (WA), (Perth)</v>
      </c>
      <c r="C184" s="132" t="str">
        <v>m³</v>
      </c>
      <c r="D184" s="198">
        <v>399</v>
      </c>
      <c r="E184" s="198">
        <v>0.16625000000000001</v>
      </c>
      <c r="F184" s="198">
        <v>0</v>
      </c>
      <c r="G184" s="215">
        <v>0</v>
      </c>
      <c r="H184" s="131"/>
    </row>
    <row r="185" spans="1:8" x14ac:dyDescent="0.25">
      <c r="A185" s="133"/>
      <c r="B185" s="204" t="str">
        <v>Concrete, 32 MPa, in-situ, no reinforcement, AQ2339, Special Class (WA Premix) (WA), (Perth)</v>
      </c>
      <c r="C185" s="132" t="str">
        <v>m³</v>
      </c>
      <c r="D185" s="198">
        <v>317</v>
      </c>
      <c r="E185" s="198">
        <v>0.13208333333333333</v>
      </c>
      <c r="F185" s="198">
        <v>0</v>
      </c>
      <c r="G185" s="215">
        <v>0</v>
      </c>
      <c r="H185" s="131"/>
    </row>
    <row r="186" spans="1:8" x14ac:dyDescent="0.25">
      <c r="A186" s="133"/>
      <c r="B186" s="204" t="str">
        <v>Concrete, 32 MPa, in-situ, no reinforcement, AQ2340, Special Class (WA Premix) (WA), (Perth)</v>
      </c>
      <c r="C186" s="132" t="str">
        <v>m³</v>
      </c>
      <c r="D186" s="198">
        <v>318</v>
      </c>
      <c r="E186" s="198">
        <v>0.13250000000000001</v>
      </c>
      <c r="F186" s="198">
        <v>0</v>
      </c>
      <c r="G186" s="215">
        <v>0</v>
      </c>
      <c r="H186" s="131"/>
    </row>
    <row r="187" spans="1:8" x14ac:dyDescent="0.25">
      <c r="A187" s="133"/>
      <c r="B187" s="204" t="str">
        <v>Concrete, 32 MPa, in-situ, no reinforcement, Ready-Mix Concrete (LC)50 (Concrite) (NSW) (Sydney Region, NSW)</v>
      </c>
      <c r="C187" s="132" t="str">
        <v>m³</v>
      </c>
      <c r="D187" s="198">
        <v>187</v>
      </c>
      <c r="E187" s="198">
        <v>7.7916666666666662E-2</v>
      </c>
      <c r="F187" s="198">
        <v>0</v>
      </c>
      <c r="G187" s="215">
        <v>0</v>
      </c>
      <c r="H187" s="131"/>
    </row>
    <row r="188" spans="1:8" x14ac:dyDescent="0.25">
      <c r="A188" s="133"/>
      <c r="B188" s="204" t="str">
        <v>Concrete, 32 MPa, in-situ, no reinforcement, Ready-Mix Concrete (LC)40 (Concrite) (NSW) (Sydney Region, NSW)</v>
      </c>
      <c r="C188" s="132" t="str">
        <v>m³</v>
      </c>
      <c r="D188" s="198">
        <v>215</v>
      </c>
      <c r="E188" s="198">
        <v>8.9583333333333334E-2</v>
      </c>
      <c r="F188" s="198">
        <v>0</v>
      </c>
      <c r="G188" s="215">
        <v>0</v>
      </c>
      <c r="H188" s="131"/>
    </row>
    <row r="189" spans="1:8" x14ac:dyDescent="0.25">
      <c r="A189" s="133"/>
      <c r="B189" s="204" t="str">
        <v>Concrete, 32 MPa, in-situ, no reinforcement, Ready-Mix Concrete (LC)30 (Concrite) (NSW) (Sydney Region, NSW)</v>
      </c>
      <c r="C189" s="132" t="str">
        <v>m³</v>
      </c>
      <c r="D189" s="198">
        <v>274</v>
      </c>
      <c r="E189" s="198">
        <v>0.11416666666666667</v>
      </c>
      <c r="F189" s="198">
        <v>0</v>
      </c>
      <c r="G189" s="215">
        <v>0</v>
      </c>
      <c r="H189" s="131"/>
    </row>
    <row r="190" spans="1:8" x14ac:dyDescent="0.25">
      <c r="A190" s="133"/>
      <c r="B190" s="204" t="str">
        <v>Concrete, 32 MPa, in-situ, no reinforcement, Ready-Mix Concrete (LCHP) (Concrite) (NSW) (Sydney Region, NSW)</v>
      </c>
      <c r="C190" s="132" t="str">
        <v>m³</v>
      </c>
      <c r="D190" s="198">
        <v>224</v>
      </c>
      <c r="E190" s="198">
        <v>9.3333333333333338E-2</v>
      </c>
      <c r="F190" s="198">
        <v>0</v>
      </c>
      <c r="G190" s="215">
        <v>0</v>
      </c>
      <c r="H190" s="131"/>
    </row>
    <row r="191" spans="1:8" x14ac:dyDescent="0.25">
      <c r="A191" s="133"/>
      <c r="B191" s="204" t="str">
        <v>Concrete, 32 MPa, in-situ, no reinforcement, Ready-Mix Concrete (LCP) (Concrite) (NSW) (Sydney Region, NSW)</v>
      </c>
      <c r="C191" s="132" t="str">
        <v>m³</v>
      </c>
      <c r="D191" s="198">
        <v>239</v>
      </c>
      <c r="E191" s="198">
        <v>9.9583333333333329E-2</v>
      </c>
      <c r="F191" s="198">
        <v>0</v>
      </c>
      <c r="G191" s="215">
        <v>0</v>
      </c>
      <c r="H191" s="131"/>
    </row>
    <row r="192" spans="1:8" x14ac:dyDescent="0.25">
      <c r="A192" s="133"/>
      <c r="B192" s="204" t="str">
        <v>Concrete, 32 MPa, in-situ, no reinforcement, Ready-Mix Concrete Normal class GP blend (Concrite) (NSW) (Sydney Region, NSW)</v>
      </c>
      <c r="C192" s="132" t="str">
        <v>m³</v>
      </c>
      <c r="D192" s="198">
        <v>297</v>
      </c>
      <c r="E192" s="198">
        <v>0.12375</v>
      </c>
      <c r="F192" s="198">
        <v>0</v>
      </c>
      <c r="G192" s="215">
        <v>0</v>
      </c>
      <c r="H192" s="131"/>
    </row>
    <row r="193" spans="1:8" x14ac:dyDescent="0.25">
      <c r="A193" s="133"/>
      <c r="B193" s="204" t="str">
        <v>Concrete, 32 MPa, in-situ, no reinforcement, Ready-Mix Concrete KERB MACHINE (Concrite) (NSW) (Sydney Region, NSW)</v>
      </c>
      <c r="C193" s="132" t="str">
        <v>m³</v>
      </c>
      <c r="D193" s="198">
        <v>180</v>
      </c>
      <c r="E193" s="198">
        <v>7.4999999999999997E-2</v>
      </c>
      <c r="F193" s="198">
        <v>0</v>
      </c>
      <c r="G193" s="215">
        <v>0</v>
      </c>
      <c r="H193" s="131"/>
    </row>
    <row r="194" spans="1:8" x14ac:dyDescent="0.25">
      <c r="A194" s="133"/>
      <c r="B194" s="204" t="str">
        <v>Concrete, 32 MPa, in-situ, no reinforcement, Ready-Mix Concrete SLAG AGG CONCRETE MIX, (LC)50 (Concrite) (NSW) (Sydney Region, NSW)</v>
      </c>
      <c r="C194" s="132" t="str">
        <v>m³</v>
      </c>
      <c r="D194" s="198">
        <v>204</v>
      </c>
      <c r="E194" s="198">
        <v>8.5000000000000006E-2</v>
      </c>
      <c r="F194" s="198">
        <v>0</v>
      </c>
      <c r="G194" s="215">
        <v>0</v>
      </c>
      <c r="H194" s="131"/>
    </row>
    <row r="195" spans="1:8" x14ac:dyDescent="0.25">
      <c r="A195" s="133"/>
      <c r="B195" s="204" t="str">
        <v>Concrete, 32 MPa, in-situ, no reinforcement, Ready-Mix Concrete SLAG AGG CONCRETE MIX, (LC)40 (Concrite) (NSW) (Sydney Region, NSW)</v>
      </c>
      <c r="C195" s="132" t="str">
        <v>m³</v>
      </c>
      <c r="D195" s="198">
        <v>223</v>
      </c>
      <c r="E195" s="198">
        <v>9.2916666666666661E-2</v>
      </c>
      <c r="F195" s="198">
        <v>0</v>
      </c>
      <c r="G195" s="215">
        <v>0</v>
      </c>
      <c r="H195" s="131"/>
    </row>
    <row r="196" spans="1:8" x14ac:dyDescent="0.25">
      <c r="A196" s="133"/>
      <c r="B196" s="204" t="str">
        <v>Concrete, 32 MPa, in-situ, no reinforcement, Ready-Mix Concrete SLAG AGG CONCRETE MIX, (LC)30 (Concrite) (NSW) (Sydney Region, NSW)</v>
      </c>
      <c r="C196" s="132" t="str">
        <v>m³</v>
      </c>
      <c r="D196" s="198">
        <v>266</v>
      </c>
      <c r="E196" s="198">
        <v>0.11083333333333334</v>
      </c>
      <c r="F196" s="198">
        <v>0</v>
      </c>
      <c r="G196" s="215">
        <v>0</v>
      </c>
      <c r="H196" s="131"/>
    </row>
    <row r="197" spans="1:8" x14ac:dyDescent="0.25">
      <c r="A197" s="133"/>
      <c r="B197" s="204" t="str">
        <v>Concrete, 32 MPa, in-situ, no reinforcement, Ready-Mix Concrete (LC)30 32MPa (Concrite) (NSW) (Southern Highlands, NSW)</v>
      </c>
      <c r="C197" s="132" t="str">
        <v>m³</v>
      </c>
      <c r="D197" s="198">
        <v>270</v>
      </c>
      <c r="E197" s="198">
        <v>0.1125</v>
      </c>
      <c r="F197" s="198">
        <v>0</v>
      </c>
      <c r="G197" s="215">
        <v>0</v>
      </c>
      <c r="H197" s="131"/>
    </row>
    <row r="198" spans="1:8" x14ac:dyDescent="0.25">
      <c r="A198" s="133"/>
      <c r="B198" s="204" t="str">
        <v>Concrete, 32 MPa, in-situ, no reinforcement, Ready-Mix Concrete NORMAL CLASS GP BLEND (Concrite) (NSW) (Southern Highlands, NSW)</v>
      </c>
      <c r="C198" s="132" t="str">
        <v>m³</v>
      </c>
      <c r="D198" s="198">
        <v>302</v>
      </c>
      <c r="E198" s="198">
        <v>0.12583333333333332</v>
      </c>
      <c r="F198" s="198">
        <v>0</v>
      </c>
      <c r="G198" s="215">
        <v>0</v>
      </c>
      <c r="H198" s="131"/>
    </row>
    <row r="199" spans="1:8" x14ac:dyDescent="0.25">
      <c r="A199" s="133"/>
      <c r="B199" s="204" t="str">
        <v>Concrete, 32 MPa, in-situ, no reinforcement, Ready-Mix Concrete KERB MACHINE 10MM (Concrite) (NSW) (Southern Highlands, NSW)</v>
      </c>
      <c r="C199" s="132" t="str">
        <v>m³</v>
      </c>
      <c r="D199" s="198">
        <v>281</v>
      </c>
      <c r="E199" s="198">
        <v>0.11708333333333333</v>
      </c>
      <c r="F199" s="198">
        <v>0</v>
      </c>
      <c r="G199" s="215">
        <v>0</v>
      </c>
      <c r="H199" s="131"/>
    </row>
    <row r="200" spans="1:8" x14ac:dyDescent="0.25">
      <c r="A200" s="133"/>
      <c r="B200" s="204" t="str">
        <v>Concrete, 32 MPa, in-situ, no reinforcement, Ready-Mix Concrete LC30 32MPa (Concrite) (ACT) (Canberra, ACT)</v>
      </c>
      <c r="C200" s="132" t="str">
        <v>m³</v>
      </c>
      <c r="D200" s="198">
        <v>268</v>
      </c>
      <c r="E200" s="198">
        <v>0.11166666666666666</v>
      </c>
      <c r="F200" s="198">
        <v>0</v>
      </c>
      <c r="G200" s="215">
        <v>0</v>
      </c>
      <c r="H200" s="131"/>
    </row>
    <row r="201" spans="1:8" x14ac:dyDescent="0.25">
      <c r="A201" s="133"/>
      <c r="B201" s="204" t="str">
        <v>Concrete, 32 MPa, in-situ, no reinforcement, Ready-Mix Concrete NORMAL CLASS GP BLEND (Concrite) (ACT) (Canberra, ACT)</v>
      </c>
      <c r="C201" s="132" t="str">
        <v>m³</v>
      </c>
      <c r="D201" s="198">
        <v>323</v>
      </c>
      <c r="E201" s="198">
        <v>0.13458333333333333</v>
      </c>
      <c r="F201" s="198">
        <v>0</v>
      </c>
      <c r="G201" s="215">
        <v>0</v>
      </c>
      <c r="H201" s="131"/>
    </row>
    <row r="202" spans="1:8" x14ac:dyDescent="0.25">
      <c r="A202" s="133"/>
      <c r="B202" s="204" t="str">
        <v>Concrete, 32 MPa, in-situ, no reinforcement, Ready-Mix Concrete KERB MACHINE 10MM (Concrite) (ACT) (Canberra, ACT)</v>
      </c>
      <c r="C202" s="132" t="str">
        <v>m³</v>
      </c>
      <c r="D202" s="198">
        <v>271</v>
      </c>
      <c r="E202" s="198">
        <v>0.11291666666666667</v>
      </c>
      <c r="F202" s="198">
        <v>0</v>
      </c>
      <c r="G202" s="215">
        <v>0</v>
      </c>
      <c r="H202" s="131"/>
    </row>
    <row r="203" spans="1:8" x14ac:dyDescent="0.25">
      <c r="A203" s="133"/>
      <c r="B203" s="204" t="str">
        <v>Concrete, 32 MPa, in-situ, no reinforcement, (Adbri Concrete
N Class GP/GL:FA
32 MPa) (Adbri) (NSW)</v>
      </c>
      <c r="C203" s="132" t="str">
        <v>m³</v>
      </c>
      <c r="D203" s="198">
        <v>302.66543000000001</v>
      </c>
      <c r="E203" s="198">
        <v>0.12611059583333334</v>
      </c>
      <c r="F203" s="198">
        <v>0</v>
      </c>
      <c r="G203" s="215">
        <v>0</v>
      </c>
      <c r="H203" s="131"/>
    </row>
    <row r="204" spans="1:8" x14ac:dyDescent="0.25">
      <c r="A204" s="133"/>
      <c r="B204" s="204" t="str">
        <v>Concrete, 32 MPa, in-situ, no reinforcement, (Futurecrete®  Ultra
N Class Ternary
32 MPa) (Adbri) (NSW)</v>
      </c>
      <c r="C204" s="132" t="str">
        <v>m³</v>
      </c>
      <c r="D204" s="198">
        <v>243.58269999999999</v>
      </c>
      <c r="E204" s="198">
        <v>0.10149279166666667</v>
      </c>
      <c r="F204" s="198">
        <v>0</v>
      </c>
      <c r="G204" s="215">
        <v>0</v>
      </c>
      <c r="H204" s="131"/>
    </row>
    <row r="205" spans="1:8" x14ac:dyDescent="0.25">
      <c r="A205" s="133"/>
      <c r="B205" s="204" t="str">
        <v>Concrete, 32 MPa, in-situ, no reinforcement, (Futurecrete®  S Class
GP/GL 32 MPa) (Adbri) (SA)</v>
      </c>
      <c r="C205" s="132" t="str">
        <v>m³</v>
      </c>
      <c r="D205" s="198">
        <v>252.01</v>
      </c>
      <c r="E205" s="198">
        <v>0.10500416666666666</v>
      </c>
      <c r="F205" s="198">
        <v>0</v>
      </c>
      <c r="G205" s="215">
        <v>0</v>
      </c>
      <c r="H205" s="131"/>
    </row>
    <row r="206" spans="1:8" x14ac:dyDescent="0.25">
      <c r="A206" s="133"/>
      <c r="B206" s="204" t="str">
        <v>Concrete, 32 MPa, in-situ, no reinforcement, (Adbri N Class
GP/GL 32 MPa) (Adbri) (SA)</v>
      </c>
      <c r="C206" s="132" t="str">
        <v>m³</v>
      </c>
      <c r="D206" s="198">
        <v>240.19</v>
      </c>
      <c r="E206" s="198">
        <v>0.10007916666666666</v>
      </c>
      <c r="F206" s="198">
        <v>0</v>
      </c>
      <c r="G206" s="215">
        <v>0</v>
      </c>
      <c r="H206" s="131"/>
    </row>
    <row r="207" spans="1:8" x14ac:dyDescent="0.25">
      <c r="A207" s="133"/>
      <c r="B207" s="204" t="str">
        <v>Concrete, 32 MPa, in-situ, no reinforcement, (Futurecrete®  N Class
GP/GL:FA 32 MPa) (Adbri) (SA)</v>
      </c>
      <c r="C207" s="132" t="str">
        <v>m³</v>
      </c>
      <c r="D207" s="198">
        <v>194.06</v>
      </c>
      <c r="E207" s="198">
        <v>8.0858333333333338E-2</v>
      </c>
      <c r="F207" s="198">
        <v>0</v>
      </c>
      <c r="G207" s="215">
        <v>0</v>
      </c>
      <c r="H207" s="131"/>
    </row>
    <row r="208" spans="1:8" x14ac:dyDescent="0.25">
      <c r="A208" s="133"/>
      <c r="B208" s="204" t="str">
        <v>Concrete, 32 MPa, in-situ, no reinforcement, (Futurecrete®  N
Class GP/GL:Slag
32 MPa) (Adbri) (SA)</v>
      </c>
      <c r="C208" s="132" t="str">
        <v>m³</v>
      </c>
      <c r="D208" s="198">
        <v>188.38</v>
      </c>
      <c r="E208" s="198">
        <v>7.8491666666666668E-2</v>
      </c>
      <c r="F208" s="198">
        <v>0</v>
      </c>
      <c r="G208" s="215">
        <v>0</v>
      </c>
      <c r="H208" s="131"/>
    </row>
    <row r="209" spans="1:8" x14ac:dyDescent="0.25">
      <c r="A209" s="133"/>
      <c r="B209" s="204" t="str">
        <v>Concrete, 32 MPa, in-situ, no reinforcement, (Futurecrete®  S Class
GP/GL:Slag 32 MPa) (Adbri) (SA)</v>
      </c>
      <c r="C209" s="132" t="str">
        <v>m³</v>
      </c>
      <c r="D209" s="198">
        <v>188.16</v>
      </c>
      <c r="E209" s="198">
        <v>7.8399999999999997E-2</v>
      </c>
      <c r="F209" s="198">
        <v>0</v>
      </c>
      <c r="G209" s="215">
        <v>0</v>
      </c>
      <c r="H209" s="131"/>
    </row>
    <row r="210" spans="1:8" x14ac:dyDescent="0.25">
      <c r="A210" s="133"/>
      <c r="B210" s="204" t="str">
        <v>Concrete, 32 MPa, in-situ, no reinforcement, (CS3220BGS)(B) (BCG) (WA), (Perth)</v>
      </c>
      <c r="C210" s="132" t="str">
        <v>m³</v>
      </c>
      <c r="D210" s="198">
        <v>252.83</v>
      </c>
      <c r="E210" s="198">
        <v>0.10534583333333333</v>
      </c>
      <c r="F210" s="198">
        <v>0</v>
      </c>
      <c r="G210" s="215">
        <v>0</v>
      </c>
      <c r="H210" s="131"/>
    </row>
    <row r="211" spans="1:8" x14ac:dyDescent="0.25">
      <c r="A211" s="133"/>
      <c r="B211" s="204" t="str">
        <v>Concrete, 32 MPa, in-situ, no reinforcement, (CS3220ASC)(GP) (BCG) (WA), (Perth)</v>
      </c>
      <c r="C211" s="132" t="str">
        <v>m³</v>
      </c>
      <c r="D211" s="198">
        <v>373.69</v>
      </c>
      <c r="E211" s="198">
        <v>0.15570416666666667</v>
      </c>
      <c r="F211" s="198">
        <v>0</v>
      </c>
      <c r="G211" s="215">
        <v>0</v>
      </c>
      <c r="H211" s="131"/>
    </row>
    <row r="212" spans="1:8" x14ac:dyDescent="0.25">
      <c r="A212" s="133"/>
      <c r="B212" s="204" t="str">
        <v>Concrete, 32 MPa, in-situ, no reinforcement, (R3220A)(GP) (BCG) (WA), (Perth)</v>
      </c>
      <c r="C212" s="132" t="str">
        <v>m³</v>
      </c>
      <c r="D212" s="198">
        <v>368.61</v>
      </c>
      <c r="E212" s="198">
        <v>0.15358750000000002</v>
      </c>
      <c r="F212" s="198">
        <v>0</v>
      </c>
      <c r="G212" s="215">
        <v>0</v>
      </c>
      <c r="H212" s="131"/>
    </row>
    <row r="213" spans="1:8" x14ac:dyDescent="0.25">
      <c r="A213" s="133"/>
      <c r="B213" s="204" t="str">
        <v>Concrete, 32 MPa, in-situ, no reinforcement, (QE327LSPR) (Ecopact) (Holcim) (QLD) (Brisbane)</v>
      </c>
      <c r="C213" s="132" t="str">
        <v>m³</v>
      </c>
      <c r="D213" s="198">
        <v>273.64999999999998</v>
      </c>
      <c r="E213" s="198">
        <v>0.11402083333333334</v>
      </c>
      <c r="F213" s="198">
        <v>0</v>
      </c>
      <c r="G213" s="215">
        <v>0</v>
      </c>
      <c r="H213" s="131"/>
    </row>
    <row r="214" spans="1:8" x14ac:dyDescent="0.25">
      <c r="A214" s="133"/>
      <c r="B214" s="204" t="str">
        <v>Concrete, 32 MPa, in-situ, no reinforcement, (QE327LSPR) (Ecopact) (Holcim) (QLD), Gold Coast</v>
      </c>
      <c r="C214" s="132" t="str">
        <v>m³</v>
      </c>
      <c r="D214" s="198">
        <v>258.64</v>
      </c>
      <c r="E214" s="198">
        <v>0.10776666666666666</v>
      </c>
      <c r="F214" s="198">
        <v>0</v>
      </c>
      <c r="G214" s="215">
        <v>0</v>
      </c>
      <c r="H214" s="131"/>
    </row>
    <row r="215" spans="1:8" x14ac:dyDescent="0.25">
      <c r="A215" s="133"/>
      <c r="B215" s="204" t="str">
        <v>Concrete, 32 MPa, in-situ, no reinforcement, (LH3220E)(LH) (BCG) (WA), (Perth)</v>
      </c>
      <c r="C215" s="132" t="str">
        <v>m³</v>
      </c>
      <c r="D215" s="198">
        <v>180.72</v>
      </c>
      <c r="E215" s="198">
        <v>7.5300000000000006E-2</v>
      </c>
      <c r="F215" s="198">
        <v>0</v>
      </c>
      <c r="G215" s="215">
        <v>0</v>
      </c>
      <c r="H215" s="131"/>
    </row>
    <row r="216" spans="1:8" x14ac:dyDescent="0.25">
      <c r="A216" s="133"/>
      <c r="B216" s="204" t="str">
        <v>Concrete, 32 MPa, in-situ, no reinforcement, (VE322EF26) (Ecopact) (Holcim) (VIC)</v>
      </c>
      <c r="C216" s="132" t="str">
        <v>m³</v>
      </c>
      <c r="D216" s="198">
        <v>264.45</v>
      </c>
      <c r="E216" s="198">
        <v>0.11018749999999999</v>
      </c>
      <c r="F216" s="198">
        <v>0</v>
      </c>
      <c r="G216" s="215">
        <v>0</v>
      </c>
      <c r="H216" s="131"/>
    </row>
    <row r="217" spans="1:8" x14ac:dyDescent="0.25">
      <c r="A217" s="133"/>
      <c r="B217" s="204" t="str">
        <v>Concrete, 32 MPa, in-situ, no reinforcement, (32MPa 7MM BLOCKMIX) (Adbri) (QLD)</v>
      </c>
      <c r="C217" s="132" t="str">
        <v>m³</v>
      </c>
      <c r="D217" s="198">
        <v>270.27699999999999</v>
      </c>
      <c r="E217" s="198">
        <v>0.11261541666666668</v>
      </c>
      <c r="F217" s="198">
        <v>0</v>
      </c>
      <c r="G217" s="215">
        <v>0</v>
      </c>
      <c r="H217" s="131"/>
    </row>
    <row r="218" spans="1:8" x14ac:dyDescent="0.25">
      <c r="A218" s="133"/>
      <c r="B218" s="204" t="str">
        <v>Concrete, 32 MPa, in-situ, no reinforcement, (SE322FE56) (Ecopact) (Holcim) (SA) (Adelaide)</v>
      </c>
      <c r="C218" s="132" t="str">
        <v>m³</v>
      </c>
      <c r="D218" s="198">
        <v>244.34</v>
      </c>
      <c r="E218" s="198">
        <v>0.10180833333333333</v>
      </c>
      <c r="F218" s="198">
        <v>0</v>
      </c>
      <c r="G218" s="215">
        <v>0</v>
      </c>
      <c r="H218" s="131"/>
    </row>
    <row r="219" spans="1:8" x14ac:dyDescent="0.25">
      <c r="A219" s="133"/>
      <c r="B219" s="204" t="str">
        <v>Concrete, 32 MPa, in-situ, no reinforcement, (SE322E2) (Ecopact) (Holcim) (SA) (Adelaide)</v>
      </c>
      <c r="C219" s="132" t="str">
        <v>m³</v>
      </c>
      <c r="D219" s="198">
        <v>238.33</v>
      </c>
      <c r="E219" s="198">
        <v>9.9304166666666666E-2</v>
      </c>
      <c r="F219" s="198">
        <v>0</v>
      </c>
      <c r="G219" s="215">
        <v>0</v>
      </c>
      <c r="H219" s="131"/>
    </row>
    <row r="220" spans="1:8" x14ac:dyDescent="0.25">
      <c r="A220" s="133"/>
      <c r="B220" s="204" t="str">
        <v>Concrete, 32 MPa, in-situ, no reinforcement, (QE322LPN2) (Ecopact) (Holcim) (QLD) (Brisbane)</v>
      </c>
      <c r="C220" s="132" t="str">
        <v>m³</v>
      </c>
      <c r="D220" s="198">
        <v>261.16000000000003</v>
      </c>
      <c r="E220" s="198">
        <v>0.10881666666666667</v>
      </c>
      <c r="F220" s="198">
        <v>0</v>
      </c>
      <c r="G220" s="215">
        <v>0</v>
      </c>
      <c r="H220" s="131"/>
    </row>
    <row r="221" spans="1:8" x14ac:dyDescent="0.25">
      <c r="A221" s="133"/>
      <c r="B221" s="204" t="str">
        <v>Concrete, 32 MPa, in-situ, no reinforcement, (VZ322E5) (Ecopact) (Holcim) (VIC)</v>
      </c>
      <c r="C221" s="132" t="str">
        <v>m³</v>
      </c>
      <c r="D221" s="198">
        <v>221.27</v>
      </c>
      <c r="E221" s="198">
        <v>9.2195833333333338E-2</v>
      </c>
      <c r="F221" s="198">
        <v>0</v>
      </c>
      <c r="G221" s="215">
        <v>0</v>
      </c>
      <c r="H221" s="131"/>
    </row>
    <row r="222" spans="1:8" x14ac:dyDescent="0.25">
      <c r="A222" s="133"/>
      <c r="B222" s="204" t="str">
        <v>Concrete, 32 MPa, in-situ, no reinforcement, (WE324EKC)(Ecopact) (Holcim) (WA), (Perth Metro)</v>
      </c>
      <c r="C222" s="132" t="str">
        <v>m³</v>
      </c>
      <c r="D222" s="198">
        <v>253.13</v>
      </c>
      <c r="E222" s="198">
        <v>0.10547083333333333</v>
      </c>
      <c r="F222" s="198">
        <v>0</v>
      </c>
      <c r="G222" s="215">
        <v>0</v>
      </c>
      <c r="H222" s="131"/>
    </row>
    <row r="223" spans="1:8" x14ac:dyDescent="0.25">
      <c r="A223" s="133"/>
      <c r="B223" s="204" t="str">
        <v>Concrete, 32 MPa, in-situ, no reinforcement, (QE322L652) (Ecopact) (Holcim) (QLD) (Brisbane)</v>
      </c>
      <c r="C223" s="132" t="str">
        <v>m³</v>
      </c>
      <c r="D223" s="198">
        <v>235.15</v>
      </c>
      <c r="E223" s="198">
        <v>9.7979166666666659E-2</v>
      </c>
      <c r="F223" s="198">
        <v>0</v>
      </c>
      <c r="G223" s="215">
        <v>0</v>
      </c>
      <c r="H223" s="131"/>
    </row>
    <row r="224" spans="1:8" x14ac:dyDescent="0.25">
      <c r="A224" s="133"/>
      <c r="B224" s="204" t="str">
        <v>Concrete, 32 MPa, in-situ, no reinforcement, (WE321EBMX)(Ecopact) (Holcim) (WA), (Perth Metro)</v>
      </c>
      <c r="C224" s="132" t="str">
        <v>m³</v>
      </c>
      <c r="D224" s="198">
        <v>242.11</v>
      </c>
      <c r="E224" s="198">
        <v>0.10087916666666666</v>
      </c>
      <c r="F224" s="198">
        <v>0</v>
      </c>
      <c r="G224" s="215">
        <v>0</v>
      </c>
      <c r="H224" s="131"/>
    </row>
    <row r="225" spans="1:8" x14ac:dyDescent="0.25">
      <c r="A225" s="133"/>
      <c r="B225" s="204" t="str">
        <v>Concrete, 32 MPa, in-situ, no reinforcement, (Futurecrete®
Ultra N class GP/ GL:Slag 32 MPa) (Adbri) (QLD)</v>
      </c>
      <c r="C225" s="132" t="str">
        <v>m³</v>
      </c>
      <c r="D225" s="198">
        <v>225.16399999999999</v>
      </c>
      <c r="E225" s="198">
        <v>9.3818333333333337E-2</v>
      </c>
      <c r="F225" s="198">
        <v>0</v>
      </c>
      <c r="G225" s="215">
        <v>0</v>
      </c>
      <c r="H225" s="131"/>
    </row>
    <row r="226" spans="1:8" x14ac:dyDescent="0.25">
      <c r="A226" s="133"/>
      <c r="B226" s="204" t="str">
        <v>Concrete, 32 MPa, in-situ, no reinforcement, (WE322E2)(Ecopact) (Holcim) (WA), (Perth Metro)</v>
      </c>
      <c r="C226" s="132" t="str">
        <v>m³</v>
      </c>
      <c r="D226" s="198">
        <v>228.15</v>
      </c>
      <c r="E226" s="198">
        <v>9.5062499999999994E-2</v>
      </c>
      <c r="F226" s="198">
        <v>0</v>
      </c>
      <c r="G226" s="215">
        <v>0</v>
      </c>
      <c r="H226" s="131"/>
    </row>
    <row r="227" spans="1:8" x14ac:dyDescent="0.25">
      <c r="A227" s="133"/>
      <c r="B227" s="204" t="str">
        <v>Concrete, 32 MPa, in-situ, no reinforcement, (WE322E4)(Ecopact) (Holcim) (WA), (Perth Metro)</v>
      </c>
      <c r="C227" s="132" t="str">
        <v>m³</v>
      </c>
      <c r="D227" s="198">
        <v>228.15</v>
      </c>
      <c r="E227" s="198">
        <v>9.5062499999999994E-2</v>
      </c>
      <c r="F227" s="198">
        <v>0</v>
      </c>
      <c r="G227" s="215">
        <v>0</v>
      </c>
      <c r="H227" s="131"/>
    </row>
    <row r="228" spans="1:8" x14ac:dyDescent="0.25">
      <c r="A228" s="133"/>
      <c r="B228" s="204" t="str">
        <v>Concrete, 32 MPa, in-situ, no reinforcement, (QE321E100)(Ecopact) (Holcim) (QLD) (Sunshine Coast)</v>
      </c>
      <c r="C228" s="132" t="str">
        <v>m³</v>
      </c>
      <c r="D228" s="198">
        <v>196.22</v>
      </c>
      <c r="E228" s="198">
        <v>8.1758333333333336E-2</v>
      </c>
      <c r="F228" s="198">
        <v>0</v>
      </c>
      <c r="G228" s="215">
        <v>0</v>
      </c>
      <c r="H228" s="131"/>
    </row>
    <row r="229" spans="1:8" x14ac:dyDescent="0.25">
      <c r="A229" s="133"/>
      <c r="B229" s="204" t="str">
        <v>Concrete, 32 MPa, in-situ, no reinforcement, (QE322E100)(Ecopact) (Holcim) (QLD) (Sunshine Coast)</v>
      </c>
      <c r="C229" s="132" t="str">
        <v>m³</v>
      </c>
      <c r="D229" s="198">
        <v>187.2</v>
      </c>
      <c r="E229" s="198">
        <v>7.8E-2</v>
      </c>
      <c r="F229" s="198">
        <v>0</v>
      </c>
      <c r="G229" s="215">
        <v>0</v>
      </c>
      <c r="H229" s="131"/>
    </row>
    <row r="230" spans="1:8" x14ac:dyDescent="0.25">
      <c r="A230" s="133"/>
      <c r="B230" s="204" t="str">
        <v>Concrete, 32 MPa, in-situ, no reinforcement, (QE321E) (Ecopact) (Holcim) (QLD), Gold Coast</v>
      </c>
      <c r="C230" s="132" t="str">
        <v>m³</v>
      </c>
      <c r="D230" s="198">
        <v>198.15</v>
      </c>
      <c r="E230" s="198">
        <v>8.2562499999999997E-2</v>
      </c>
      <c r="F230" s="198">
        <v>0</v>
      </c>
      <c r="G230" s="215">
        <v>0</v>
      </c>
      <c r="H230" s="131"/>
    </row>
    <row r="231" spans="1:8" x14ac:dyDescent="0.25">
      <c r="A231" s="133"/>
      <c r="B231" s="204" t="str">
        <v>Concrete (in-situ), 32MPa, Pre-mix Concrete EFM32 (Barro Group) (Australia)</v>
      </c>
      <c r="C231" s="132" t="str">
        <v>m³</v>
      </c>
      <c r="D231" s="198">
        <v>175.53</v>
      </c>
      <c r="E231" s="198">
        <v>7.3628355704697987E-2</v>
      </c>
      <c r="F231" s="198">
        <v>0</v>
      </c>
      <c r="G231" s="215">
        <v>0</v>
      </c>
      <c r="H231" s="131"/>
    </row>
    <row r="232" spans="1:8" x14ac:dyDescent="0.25">
      <c r="A232" s="133"/>
      <c r="B232" s="204" t="str">
        <v>Concrete (in-situ), 32MPa, Pre-mix Concrete EN32 (Barro Group) (Australia)</v>
      </c>
      <c r="C232" s="132" t="str">
        <v>m³</v>
      </c>
      <c r="D232" s="198">
        <v>196.51599999999999</v>
      </c>
      <c r="E232" s="198">
        <v>8.2431208053691279E-2</v>
      </c>
      <c r="F232" s="198">
        <v>0</v>
      </c>
      <c r="G232" s="215">
        <v>0</v>
      </c>
      <c r="H232" s="131"/>
    </row>
    <row r="233" spans="1:8" x14ac:dyDescent="0.25">
      <c r="A233" s="133"/>
      <c r="B233" s="204" t="str">
        <v>Concrete (in-situ), 32MPa, Pre-mix Concrete EVR330 (Barro Group) (Australia)</v>
      </c>
      <c r="C233" s="132" t="str">
        <v>m³</v>
      </c>
      <c r="D233" s="198">
        <v>262.54699999999997</v>
      </c>
      <c r="E233" s="198">
        <v>0.11012877516778523</v>
      </c>
      <c r="F233" s="198">
        <v>0</v>
      </c>
      <c r="G233" s="215">
        <v>0</v>
      </c>
      <c r="H233" s="131"/>
    </row>
    <row r="234" spans="1:8" x14ac:dyDescent="0.25">
      <c r="A234" s="133"/>
      <c r="B234" s="204" t="str">
        <v>Concrete (in-situ), 32MPa, Pre-mix Concrete E32700 (Barro Group) (Australia)</v>
      </c>
      <c r="C234" s="132" t="str">
        <v>m³</v>
      </c>
      <c r="D234" s="198">
        <v>232.52199999999999</v>
      </c>
      <c r="E234" s="198">
        <v>9.7534395973154359E-2</v>
      </c>
      <c r="F234" s="198">
        <v>0</v>
      </c>
      <c r="G234" s="215">
        <v>0</v>
      </c>
      <c r="H234" s="131"/>
    </row>
    <row r="235" spans="1:8" x14ac:dyDescent="0.25">
      <c r="A235" s="133"/>
      <c r="B235" s="204" t="str">
        <v>Concrete (in-situ), 32MPa, Pre-mix Concrete E32600 (Barro Group) (Australia)</v>
      </c>
      <c r="C235" s="132" t="str">
        <v>m³</v>
      </c>
      <c r="D235" s="198">
        <v>250.518</v>
      </c>
      <c r="E235" s="198">
        <v>0.10508305369127517</v>
      </c>
      <c r="F235" s="198">
        <v>0</v>
      </c>
      <c r="G235" s="215">
        <v>0</v>
      </c>
      <c r="H235" s="131"/>
    </row>
    <row r="236" spans="1:8" x14ac:dyDescent="0.25">
      <c r="A236" s="133"/>
      <c r="B236" s="204" t="str">
        <v>Concrete (in-situ), 32MPa, Pre-mix Concrete EPG32 (Barro Group) (Australia)</v>
      </c>
      <c r="C236" s="132" t="str">
        <v>m³</v>
      </c>
      <c r="D236" s="198">
        <v>192.52499999999998</v>
      </c>
      <c r="E236" s="198">
        <v>8.0757130872483207E-2</v>
      </c>
      <c r="F236" s="198">
        <v>0</v>
      </c>
      <c r="G236" s="215">
        <v>0</v>
      </c>
      <c r="H236" s="131"/>
    </row>
    <row r="237" spans="1:8" x14ac:dyDescent="0.25">
      <c r="A237" s="133"/>
      <c r="B237" s="204" t="str">
        <v>Concrete (in-situ), Krb 280kg, Pre-mix Concrete EKB280 (Barro Group) (Australia)</v>
      </c>
      <c r="C237" s="132" t="str">
        <v>m³</v>
      </c>
      <c r="D237" s="198">
        <v>185.47899999999998</v>
      </c>
      <c r="E237" s="198">
        <v>7.7801593959731546E-2</v>
      </c>
      <c r="F237" s="198">
        <v>0</v>
      </c>
      <c r="G237" s="215">
        <v>0</v>
      </c>
      <c r="H237" s="131"/>
    </row>
    <row r="238" spans="1:8" x14ac:dyDescent="0.25">
      <c r="A238" s="133"/>
      <c r="B238" s="204" t="str">
        <v>Concrete (in-situ), Krb 320kg, Pre-mix Concrete EKB320 (Barro Group) (Australia)</v>
      </c>
      <c r="C238" s="132" t="str">
        <v>m³</v>
      </c>
      <c r="D238" s="198">
        <v>206.48999999999998</v>
      </c>
      <c r="E238" s="198">
        <v>8.6614932885906035E-2</v>
      </c>
      <c r="F238" s="198">
        <v>0</v>
      </c>
      <c r="G238" s="215">
        <v>0</v>
      </c>
      <c r="H238" s="131"/>
    </row>
    <row r="239" spans="1:8" x14ac:dyDescent="0.25">
      <c r="A239" s="133"/>
      <c r="B239" s="204" t="str">
        <v>Concrete (in-situ), 32MPa, Pre-mix Concrete EPG32L (Barro Group) (Australia)</v>
      </c>
      <c r="C239" s="132" t="str">
        <v>m³</v>
      </c>
      <c r="D239" s="198">
        <v>180.524</v>
      </c>
      <c r="E239" s="198">
        <v>7.5723154362416112E-2</v>
      </c>
      <c r="F239" s="198">
        <v>0</v>
      </c>
      <c r="G239" s="215">
        <v>0</v>
      </c>
      <c r="H239" s="131"/>
    </row>
    <row r="240" spans="1:8" x14ac:dyDescent="0.25">
      <c r="A240" s="133"/>
      <c r="B240" s="204" t="str">
        <v>Concrete (in-situ), Krb 280kg, Pre-mix Concrete EKB280L (Barro Group) (Australia)</v>
      </c>
      <c r="C240" s="132" t="str">
        <v>m³</v>
      </c>
      <c r="D240" s="198">
        <v>174.47799999999998</v>
      </c>
      <c r="E240" s="198">
        <v>7.3187080536912752E-2</v>
      </c>
      <c r="F240" s="198">
        <v>0</v>
      </c>
      <c r="G240" s="215">
        <v>0</v>
      </c>
      <c r="H240" s="131"/>
    </row>
    <row r="241" spans="1:8" x14ac:dyDescent="0.25">
      <c r="A241" s="133"/>
      <c r="B241" s="204" t="str">
        <v>Concrete (in-situ), Krb 320kg, Pre-mix Concrete EKB320L (Barro Group) (Australia)</v>
      </c>
      <c r="C241" s="132" t="str">
        <v>m³</v>
      </c>
      <c r="D241" s="198">
        <v>193.48899999999998</v>
      </c>
      <c r="E241" s="198">
        <v>8.1161493288590597E-2</v>
      </c>
      <c r="F241" s="198">
        <v>0</v>
      </c>
      <c r="G241" s="215">
        <v>0</v>
      </c>
      <c r="H241" s="131"/>
    </row>
    <row r="242" spans="1:8" x14ac:dyDescent="0.25">
      <c r="A242" s="133"/>
      <c r="B242" s="204" t="str">
        <v>Concrete (in-situ), , ENVISIA concrete in-situ Melb metro - 32 MPa (Boral) (Australia)</v>
      </c>
      <c r="C242" s="132" t="str">
        <v>m³</v>
      </c>
      <c r="D242" s="198">
        <v>205</v>
      </c>
      <c r="E242" s="198">
        <v>8.5416666666666669E-2</v>
      </c>
      <c r="F242" s="198">
        <v>0</v>
      </c>
      <c r="G242" s="215">
        <v>0</v>
      </c>
      <c r="H242" s="131"/>
    </row>
    <row r="243" spans="1:8" x14ac:dyDescent="0.25">
      <c r="A243" s="133"/>
      <c r="B243" s="204" t="str">
        <v>Concrete (in-situ), , Envirocrete plus concrete in-situ Melb metro - 32 MPa (Boral) (Australia)</v>
      </c>
      <c r="C243" s="132" t="str">
        <v>m³</v>
      </c>
      <c r="D243" s="198">
        <v>232</v>
      </c>
      <c r="E243" s="198">
        <v>9.6666666666666665E-2</v>
      </c>
      <c r="F243" s="198">
        <v>0</v>
      </c>
      <c r="G243" s="215">
        <v>0</v>
      </c>
      <c r="H243" s="131"/>
    </row>
    <row r="244" spans="1:8" x14ac:dyDescent="0.25">
      <c r="A244" s="133"/>
      <c r="B244" s="204" t="str">
        <v>Concrete (in-situ), , Envirocrete concrete in-situ Melb metro - 32 MPa (Boral) (Australia)</v>
      </c>
      <c r="C244" s="132" t="str">
        <v>m³</v>
      </c>
      <c r="D244" s="198">
        <v>240</v>
      </c>
      <c r="E244" s="198">
        <v>0.1</v>
      </c>
      <c r="F244" s="198">
        <v>0</v>
      </c>
      <c r="G244" s="215">
        <v>0</v>
      </c>
      <c r="H244" s="131"/>
    </row>
    <row r="245" spans="1:8" x14ac:dyDescent="0.25">
      <c r="A245" s="133"/>
      <c r="B245" s="204" t="str">
        <v>Concrete (in-situ), , Envirocrete 40% concrete in-situ Melb metro - 32 MPa (Boral) (Australia)</v>
      </c>
      <c r="C245" s="132" t="str">
        <v>m³</v>
      </c>
      <c r="D245" s="198">
        <v>270</v>
      </c>
      <c r="E245" s="198">
        <v>0.1125</v>
      </c>
      <c r="F245" s="198">
        <v>0</v>
      </c>
      <c r="G245" s="215">
        <v>0</v>
      </c>
      <c r="H245" s="131"/>
    </row>
    <row r="246" spans="1:8" x14ac:dyDescent="0.25">
      <c r="A246" s="133"/>
      <c r="B246" s="204" t="str">
        <v>Concrete (in-situ), , Envirocrete 30% concrete in-situ Melb metro - 32 MPa (Boral) (Australia)</v>
      </c>
      <c r="C246" s="132" t="str">
        <v>m³</v>
      </c>
      <c r="D246" s="198">
        <v>307</v>
      </c>
      <c r="E246" s="198">
        <v>0.12791666666666668</v>
      </c>
      <c r="F246" s="198">
        <v>0</v>
      </c>
      <c r="G246" s="215">
        <v>0</v>
      </c>
      <c r="H246" s="131"/>
    </row>
    <row r="247" spans="1:8" x14ac:dyDescent="0.25">
      <c r="A247" s="133"/>
      <c r="B247" s="204" t="str">
        <v>Concrete (in-situ), , Normal GP blend concrete in-situ Melb metro - 32 MPa (Boral) (Australia)</v>
      </c>
      <c r="C247" s="132" t="str">
        <v>m³</v>
      </c>
      <c r="D247" s="198">
        <v>326</v>
      </c>
      <c r="E247" s="198">
        <v>0.13583333333333333</v>
      </c>
      <c r="F247" s="198">
        <v>0</v>
      </c>
      <c r="G247" s="215">
        <v>0</v>
      </c>
      <c r="H247" s="131"/>
    </row>
    <row r="248" spans="1:8" x14ac:dyDescent="0.25">
      <c r="A248" s="133"/>
      <c r="B248" s="204" t="str">
        <v>Concrete (in-situ), , Normal GP /FA blend blend concrete in-situ Melb metro - 32 MPa (Boral) (Australia)</v>
      </c>
      <c r="C248" s="132" t="str">
        <v>m³</v>
      </c>
      <c r="D248" s="198">
        <v>298</v>
      </c>
      <c r="E248" s="198">
        <v>0.12416666666666666</v>
      </c>
      <c r="F248" s="198">
        <v>0</v>
      </c>
      <c r="G248" s="215">
        <v>0</v>
      </c>
      <c r="H248" s="131"/>
    </row>
    <row r="249" spans="1:8" x14ac:dyDescent="0.25">
      <c r="A249" s="133"/>
      <c r="B249" s="204" t="str">
        <v>Concrete (in-situ), , Normal GP /GGBFS blend blend concrete in-situ Melb metro - 32 MPa (Boral) (Australia)</v>
      </c>
      <c r="C249" s="132" t="str">
        <v>m³</v>
      </c>
      <c r="D249" s="198">
        <v>290</v>
      </c>
      <c r="E249" s="198">
        <v>0.12083333333333333</v>
      </c>
      <c r="F249" s="198">
        <v>0</v>
      </c>
      <c r="G249" s="215">
        <v>0</v>
      </c>
      <c r="H249" s="131"/>
    </row>
    <row r="250" spans="1:8" x14ac:dyDescent="0.25">
      <c r="A250" s="133"/>
      <c r="B250" s="204" t="str">
        <v>Concrete (in-situ), , ENVISIA concrete in-situ Perth metro - 32 MPa (Boral) (Australia)</v>
      </c>
      <c r="C250" s="132" t="str">
        <v>m³</v>
      </c>
      <c r="D250" s="198">
        <v>205</v>
      </c>
      <c r="E250" s="198">
        <v>8.5416666666666669E-2</v>
      </c>
      <c r="F250" s="198">
        <v>0</v>
      </c>
      <c r="G250" s="215">
        <v>0</v>
      </c>
      <c r="H250" s="131"/>
    </row>
    <row r="251" spans="1:8" x14ac:dyDescent="0.25">
      <c r="A251" s="133"/>
      <c r="B251" s="204" t="str">
        <v>Concrete (in-situ), , Envirocrete plus concrete in-situ Perth metro - 32 MPa (Boral) (Australia)</v>
      </c>
      <c r="C251" s="132" t="str">
        <v>m³</v>
      </c>
      <c r="D251" s="198">
        <v>212</v>
      </c>
      <c r="E251" s="198">
        <v>8.8333333333333333E-2</v>
      </c>
      <c r="F251" s="198">
        <v>0</v>
      </c>
      <c r="G251" s="215">
        <v>0</v>
      </c>
      <c r="H251" s="131"/>
    </row>
    <row r="252" spans="1:8" x14ac:dyDescent="0.25">
      <c r="A252" s="133"/>
      <c r="B252" s="204" t="str">
        <v>Concrete (in-situ), , Envirocrete concrete in-situ Perth metro - 32 MPa (Boral) (Australia)</v>
      </c>
      <c r="C252" s="132" t="str">
        <v>m³</v>
      </c>
      <c r="D252" s="198">
        <v>220</v>
      </c>
      <c r="E252" s="198">
        <v>9.166666666666666E-2</v>
      </c>
      <c r="F252" s="198">
        <v>0</v>
      </c>
      <c r="G252" s="215">
        <v>0</v>
      </c>
      <c r="H252" s="131"/>
    </row>
    <row r="253" spans="1:8" x14ac:dyDescent="0.25">
      <c r="A253" s="133"/>
      <c r="B253" s="204" t="str">
        <v>Concrete (in-situ), , Envirocrete 30% concrete in-situ Perth metro - 32 MPa (Boral) (Australia)</v>
      </c>
      <c r="C253" s="132" t="str">
        <v>m³</v>
      </c>
      <c r="D253" s="198">
        <v>220</v>
      </c>
      <c r="E253" s="198">
        <v>9.166666666666666E-2</v>
      </c>
      <c r="F253" s="198">
        <v>0</v>
      </c>
      <c r="G253" s="215">
        <v>0</v>
      </c>
      <c r="H253" s="131"/>
    </row>
    <row r="254" spans="1:8" x14ac:dyDescent="0.25">
      <c r="A254" s="133"/>
      <c r="B254" s="204" t="str">
        <v>Concrete (in-situ), , Normal GP blend concrete in-situ Perth metro - 32 MPa (Boral) (Australia)</v>
      </c>
      <c r="C254" s="132" t="str">
        <v>m³</v>
      </c>
      <c r="D254" s="198">
        <v>295</v>
      </c>
      <c r="E254" s="198">
        <v>0.12291666666666666</v>
      </c>
      <c r="F254" s="198">
        <v>0</v>
      </c>
      <c r="G254" s="215">
        <v>0</v>
      </c>
      <c r="H254" s="131"/>
    </row>
    <row r="255" spans="1:8" x14ac:dyDescent="0.25">
      <c r="A255" s="133"/>
      <c r="B255" s="204" t="str">
        <v>Concrete (in-situ), , Normal GP /GGBFS blend blend concrete in-situ Perth metro - 32 MPa (Boral) (Australia)</v>
      </c>
      <c r="C255" s="132" t="str">
        <v>m³</v>
      </c>
      <c r="D255" s="198">
        <v>235</v>
      </c>
      <c r="E255" s="198">
        <v>9.7916666666666666E-2</v>
      </c>
      <c r="F255" s="198">
        <v>0</v>
      </c>
      <c r="G255" s="215">
        <v>0</v>
      </c>
      <c r="H255" s="131"/>
    </row>
    <row r="256" spans="1:8" x14ac:dyDescent="0.25">
      <c r="A256" s="133"/>
      <c r="B256" s="204" t="str">
        <v>Concrete (in-situ), , ENVISIA concrete in-situ QLD metro - 32 MPa (Boral) (Australia)</v>
      </c>
      <c r="C256" s="132" t="str">
        <v>m³</v>
      </c>
      <c r="D256" s="198">
        <v>217</v>
      </c>
      <c r="E256" s="198">
        <v>9.0416666666666673E-2</v>
      </c>
      <c r="F256" s="198">
        <v>0</v>
      </c>
      <c r="G256" s="215">
        <v>0</v>
      </c>
      <c r="H256" s="131"/>
    </row>
    <row r="257" spans="1:8" x14ac:dyDescent="0.25">
      <c r="A257" s="133"/>
      <c r="B257" s="204" t="str">
        <v>Concrete (in-situ), , Envirocrete plus concrete in-situ QLD metro - 32 MPa (Boral) (Australia)</v>
      </c>
      <c r="C257" s="132" t="str">
        <v>m³</v>
      </c>
      <c r="D257" s="198">
        <v>215</v>
      </c>
      <c r="E257" s="198">
        <v>8.9583333333333334E-2</v>
      </c>
      <c r="F257" s="198">
        <v>0</v>
      </c>
      <c r="G257" s="215">
        <v>0</v>
      </c>
      <c r="H257" s="131"/>
    </row>
    <row r="258" spans="1:8" x14ac:dyDescent="0.25">
      <c r="A258" s="133"/>
      <c r="B258" s="204" t="str">
        <v>Concrete (in-situ), , Envirocrete 40% concrete in-situ QLD metro - 32 MPa (Boral) (Australia)</v>
      </c>
      <c r="C258" s="132" t="str">
        <v>m³</v>
      </c>
      <c r="D258" s="198">
        <v>228</v>
      </c>
      <c r="E258" s="198">
        <v>9.5000000000000001E-2</v>
      </c>
      <c r="F258" s="198">
        <v>0</v>
      </c>
      <c r="G258" s="215">
        <v>0</v>
      </c>
      <c r="H258" s="131"/>
    </row>
    <row r="259" spans="1:8" x14ac:dyDescent="0.25">
      <c r="A259" s="133"/>
      <c r="B259" s="204" t="str">
        <v>Concrete (in-situ), , Envirocrete 30% concrete in-situ QLD metro - 32 MPa (Boral) (Australia)</v>
      </c>
      <c r="C259" s="132" t="str">
        <v>m³</v>
      </c>
      <c r="D259" s="198">
        <v>267</v>
      </c>
      <c r="E259" s="198">
        <v>0.11125</v>
      </c>
      <c r="F259" s="198">
        <v>0</v>
      </c>
      <c r="G259" s="215">
        <v>0</v>
      </c>
      <c r="H259" s="131"/>
    </row>
    <row r="260" spans="1:8" x14ac:dyDescent="0.25">
      <c r="A260" s="133"/>
      <c r="B260" s="204" t="str">
        <v>Concrete (in-situ), , Normal GP blend concrete in-situ QLD metro - 32 MPa (Boral) (Australia)</v>
      </c>
      <c r="C260" s="132" t="str">
        <v>m³</v>
      </c>
      <c r="D260" s="198">
        <v>346</v>
      </c>
      <c r="E260" s="198">
        <v>0.14416666666666667</v>
      </c>
      <c r="F260" s="198">
        <v>0</v>
      </c>
      <c r="G260" s="215">
        <v>0</v>
      </c>
      <c r="H260" s="131"/>
    </row>
    <row r="261" spans="1:8" x14ac:dyDescent="0.25">
      <c r="A261" s="133"/>
      <c r="B261" s="204" t="str">
        <v>32 MPa, , Normal Class 32MPa - straight cement (Gunlake) (Australia)</v>
      </c>
      <c r="C261" s="132" t="str">
        <v>m³</v>
      </c>
      <c r="D261" s="198">
        <v>350.05009999999999</v>
      </c>
      <c r="E261" s="198">
        <v>0.14585420833333335</v>
      </c>
      <c r="F261" s="198">
        <v>0</v>
      </c>
      <c r="G261" s="215">
        <v>0</v>
      </c>
      <c r="H261" s="131"/>
    </row>
    <row r="262" spans="1:8" x14ac:dyDescent="0.25">
      <c r="A262" s="133"/>
      <c r="B262" s="204" t="str">
        <v>32 MPa, , Normal Class 32MPa (NC3228PCI) - cement and fly-ash (Gunlake) (Australia)</v>
      </c>
      <c r="C262" s="132" t="str">
        <v>m³</v>
      </c>
      <c r="D262" s="198">
        <v>286.05689999999998</v>
      </c>
      <c r="E262" s="198">
        <v>0.119190375</v>
      </c>
      <c r="F262" s="198">
        <v>0</v>
      </c>
      <c r="G262" s="215">
        <v>0</v>
      </c>
      <c r="H262" s="131"/>
    </row>
    <row r="263" spans="1:8" x14ac:dyDescent="0.25">
      <c r="A263" s="133"/>
      <c r="B263" s="204" t="str">
        <v>32 MPa, , Normal Class 32MPa (NC3228PCI) - cement, slag and fly-ash (Gunlake) (Australia)</v>
      </c>
      <c r="C263" s="132" t="str">
        <v>m³</v>
      </c>
      <c r="D263" s="198">
        <v>225.06739999999999</v>
      </c>
      <c r="E263" s="198">
        <v>9.3778083333333331E-2</v>
      </c>
      <c r="F263" s="198">
        <v>0</v>
      </c>
      <c r="G263" s="215">
        <v>0</v>
      </c>
      <c r="H263" s="131"/>
    </row>
    <row r="264" spans="1:8" x14ac:dyDescent="0.25">
      <c r="A264" s="133"/>
      <c r="B264" s="204" t="str">
        <v>32 MPa, , Special Class 32MPa (GD322AP2) - green star mix with cement, high slag and fly-ash (Gunlake) (Australia)</v>
      </c>
      <c r="C264" s="132" t="str">
        <v>m³</v>
      </c>
      <c r="D264" s="198">
        <v>242.077</v>
      </c>
      <c r="E264" s="198">
        <v>0.10086541666666667</v>
      </c>
      <c r="F264" s="198">
        <v>0</v>
      </c>
      <c r="G264" s="215">
        <v>0</v>
      </c>
      <c r="H264" s="131"/>
    </row>
    <row r="265" spans="1:8" x14ac:dyDescent="0.25">
      <c r="A265" s="133"/>
      <c r="B265" s="204" t="str">
        <v>32 MPa, , ENVISIA 32 MPa (Boral) (Australia)</v>
      </c>
      <c r="C265" s="132" t="str">
        <v>m³</v>
      </c>
      <c r="D265" s="198">
        <v>207</v>
      </c>
      <c r="E265" s="198">
        <v>8.6249999999999993E-2</v>
      </c>
      <c r="F265" s="198">
        <v>0</v>
      </c>
      <c r="G265" s="215">
        <v>0</v>
      </c>
      <c r="H265" s="131"/>
    </row>
    <row r="266" spans="1:8" x14ac:dyDescent="0.25">
      <c r="A266" s="133"/>
      <c r="B266" s="204" t="str">
        <v>32 MPa, , ENVIROCRETE PLUS 32 MPa (Boral) (Australia)</v>
      </c>
      <c r="C266" s="132" t="str">
        <v>m³</v>
      </c>
      <c r="D266" s="198">
        <v>232</v>
      </c>
      <c r="E266" s="198">
        <v>9.6666666666666665E-2</v>
      </c>
      <c r="F266" s="198">
        <v>0</v>
      </c>
      <c r="G266" s="215">
        <v>0</v>
      </c>
      <c r="H266" s="131"/>
    </row>
    <row r="267" spans="1:8" x14ac:dyDescent="0.25">
      <c r="A267" s="133"/>
      <c r="B267" s="204" t="str">
        <v>32 MPa, , ENVIROCRETE 40% 32 MPa (Boral) (Australia)</v>
      </c>
      <c r="C267" s="132" t="str">
        <v>m³</v>
      </c>
      <c r="D267" s="198">
        <v>282</v>
      </c>
      <c r="E267" s="198">
        <v>0.11749999999999999</v>
      </c>
      <c r="F267" s="198">
        <v>0</v>
      </c>
      <c r="G267" s="215">
        <v>0</v>
      </c>
      <c r="H267" s="131"/>
    </row>
    <row r="268" spans="1:8" x14ac:dyDescent="0.25">
      <c r="A268" s="133"/>
      <c r="B268" s="204" t="str">
        <v>32 MPa, , ENVIROCRETE 30% 32 MPa (Boral) (Australia)</v>
      </c>
      <c r="C268" s="132" t="str">
        <v>m³</v>
      </c>
      <c r="D268" s="198">
        <v>315</v>
      </c>
      <c r="E268" s="198">
        <v>0.13125000000000001</v>
      </c>
      <c r="F268" s="198">
        <v>0</v>
      </c>
      <c r="G268" s="215">
        <v>0</v>
      </c>
      <c r="H268" s="131"/>
    </row>
    <row r="269" spans="1:8" x14ac:dyDescent="0.25">
      <c r="A269" s="133"/>
      <c r="B269" s="204" t="str">
        <v>32 MPa, , ENVIROCRETE 32 MPa (Boral) (Australia)</v>
      </c>
      <c r="C269" s="132" t="str">
        <v>m³</v>
      </c>
      <c r="D269" s="198">
        <v>241</v>
      </c>
      <c r="E269" s="198">
        <v>0.10041666666666667</v>
      </c>
      <c r="F269" s="198">
        <v>0</v>
      </c>
      <c r="G269" s="215">
        <v>0</v>
      </c>
      <c r="H269" s="131"/>
    </row>
    <row r="270" spans="1:8" x14ac:dyDescent="0.25">
      <c r="A270" s="133"/>
      <c r="B270" s="204" t="str">
        <v>32 MPa, , NORMAL CLASS GP BLEND 32 MPa (Boral) (Australia)</v>
      </c>
      <c r="C270" s="132" t="str">
        <v>m³</v>
      </c>
      <c r="D270" s="198">
        <v>327</v>
      </c>
      <c r="E270" s="198">
        <v>0.13625000000000001</v>
      </c>
      <c r="F270" s="198">
        <v>0</v>
      </c>
      <c r="G270" s="215">
        <v>0</v>
      </c>
      <c r="H270" s="131"/>
    </row>
    <row r="271" spans="1:8" x14ac:dyDescent="0.25">
      <c r="A271" s="133"/>
      <c r="B271" s="204" t="str">
        <v>32 MPa, , NORMAL CLASS GP/FA BLEND 32 MPa (Boral) (Australia)</v>
      </c>
      <c r="C271" s="132" t="str">
        <v>m³</v>
      </c>
      <c r="D271" s="198">
        <v>305</v>
      </c>
      <c r="E271" s="198">
        <v>0.12708333333333333</v>
      </c>
      <c r="F271" s="198">
        <v>0</v>
      </c>
      <c r="G271" s="215">
        <v>0</v>
      </c>
      <c r="H271" s="131"/>
    </row>
    <row r="272" spans="1:8" x14ac:dyDescent="0.25">
      <c r="A272" s="133"/>
      <c r="B272" s="204" t="str">
        <v>32 MPa, , NORMAL CLASS GP/GGBFS BLEND 32 MPa (Boral) (Australia)</v>
      </c>
      <c r="C272" s="132" t="str">
        <v>m³</v>
      </c>
      <c r="D272" s="198">
        <v>292</v>
      </c>
      <c r="E272" s="198">
        <v>0.12166666666666667</v>
      </c>
      <c r="F272" s="198">
        <v>0</v>
      </c>
      <c r="G272" s="215">
        <v>0</v>
      </c>
      <c r="H272" s="131"/>
    </row>
    <row r="273" spans="1:8" x14ac:dyDescent="0.25">
      <c r="A273" s="133"/>
      <c r="B273" s="204" t="str">
        <v>32 MPa, , VR330 32 MPa GP/FA (Boral) (Australia)</v>
      </c>
      <c r="C273" s="132" t="str">
        <v>m³</v>
      </c>
      <c r="D273" s="198">
        <v>310</v>
      </c>
      <c r="E273" s="198">
        <v>0.12916666666666668</v>
      </c>
      <c r="F273" s="198">
        <v>0</v>
      </c>
      <c r="G273" s="215">
        <v>0</v>
      </c>
      <c r="H273" s="131"/>
    </row>
    <row r="274" spans="1:8" x14ac:dyDescent="0.25">
      <c r="A274" s="133"/>
      <c r="B274" s="204" t="str">
        <v>32 MPa, , VR330 32 MPa GP/SLAG (Boral) (Australia)</v>
      </c>
      <c r="C274" s="132" t="str">
        <v>m³</v>
      </c>
      <c r="D274" s="198">
        <v>243</v>
      </c>
      <c r="E274" s="198">
        <v>0.10125000000000001</v>
      </c>
      <c r="F274" s="198">
        <v>0</v>
      </c>
      <c r="G274" s="215">
        <v>0</v>
      </c>
      <c r="H274" s="131"/>
    </row>
    <row r="275" spans="1:8" x14ac:dyDescent="0.25">
      <c r="A275" s="133"/>
      <c r="B275" s="204" t="str">
        <v>32 MPa, , HIGH SLUMP 32 MPa (Boral) (Australia)</v>
      </c>
      <c r="C275" s="132" t="str">
        <v>m³</v>
      </c>
      <c r="D275" s="198">
        <v>306</v>
      </c>
      <c r="E275" s="198">
        <v>0.1275</v>
      </c>
      <c r="F275" s="198">
        <v>0</v>
      </c>
      <c r="G275" s="215">
        <v>0</v>
      </c>
      <c r="H275" s="131"/>
    </row>
    <row r="276" spans="1:8" x14ac:dyDescent="0.25">
      <c r="A276" s="133"/>
      <c r="B276" s="204" t="str">
        <v>32 MPa, , SHOTCRETE 32 MPa (Boral) (Australia)</v>
      </c>
      <c r="C276" s="132" t="str">
        <v>m³</v>
      </c>
      <c r="D276" s="198">
        <v>418</v>
      </c>
      <c r="E276" s="198">
        <v>0.17416666666666666</v>
      </c>
      <c r="F276" s="198">
        <v>0</v>
      </c>
      <c r="G276" s="215">
        <v>0</v>
      </c>
      <c r="H276" s="131"/>
    </row>
    <row r="277" spans="1:8" x14ac:dyDescent="0.25">
      <c r="A277" s="133"/>
      <c r="B277" s="204" t="str">
        <v>32 MPa, TAS, VR330/32/EXP CL A concrete manufactured in our Northern Region (Hazell Bros Concrete Pty Ltd) (Australia)</v>
      </c>
      <c r="C277" s="132" t="str">
        <v>m³</v>
      </c>
      <c r="D277" s="198">
        <v>323.24506708425298</v>
      </c>
      <c r="E277" s="198">
        <v>0.13468544461843873</v>
      </c>
      <c r="F277" s="198">
        <v>0</v>
      </c>
      <c r="G277" s="215">
        <v>0</v>
      </c>
      <c r="H277" s="131"/>
    </row>
    <row r="278" spans="1:8" x14ac:dyDescent="0.25">
      <c r="A278" s="133"/>
      <c r="B278" s="204" t="str">
        <v>32 MPa, TAS, VR330/32/EXP CL A concrete  manufactured in our Southern Region (Hazell Bros Concrete Pty Ltd) (Australia)</v>
      </c>
      <c r="C278" s="132" t="str">
        <v>m³</v>
      </c>
      <c r="D278" s="198">
        <v>324.98720326899996</v>
      </c>
      <c r="E278" s="198">
        <v>0.13541133469541666</v>
      </c>
      <c r="F278" s="198">
        <v>0</v>
      </c>
      <c r="G278" s="215">
        <v>0</v>
      </c>
      <c r="H278" s="131"/>
    </row>
    <row r="279" spans="1:8" x14ac:dyDescent="0.25">
      <c r="A279" s="133"/>
      <c r="B279" s="204" t="str">
        <v>32 MPa, NSW, Concrete: S32 650BF manufactured at Prestons (Advanced Readymix) (Australia)</v>
      </c>
      <c r="C279" s="132" t="str">
        <v>m³</v>
      </c>
      <c r="D279" s="198">
        <v>300.56960670239999</v>
      </c>
      <c r="E279" s="198">
        <v>0.12523733612599999</v>
      </c>
      <c r="F279" s="198">
        <v>0</v>
      </c>
      <c r="G279" s="215">
        <v>0</v>
      </c>
      <c r="H279" s="131"/>
    </row>
    <row r="280" spans="1:8" x14ac:dyDescent="0.25">
      <c r="A280" s="133"/>
      <c r="B280" s="204" t="str">
        <v>32 MPa, NSW, Concrete: S32 650BF manufactured at Smithfield (Advanced Readymix) (Australia)</v>
      </c>
      <c r="C280" s="132" t="str">
        <v>m³</v>
      </c>
      <c r="D280" s="198">
        <v>292.55211727520003</v>
      </c>
      <c r="E280" s="198">
        <v>0.12189671553133333</v>
      </c>
      <c r="F280" s="198">
        <v>0</v>
      </c>
      <c r="G280" s="215">
        <v>0</v>
      </c>
      <c r="H280" s="131"/>
    </row>
    <row r="281" spans="1:8" x14ac:dyDescent="0.25">
      <c r="A281" s="133"/>
      <c r="B281" s="204" t="str">
        <v>32 MPa, NSW, Concrete: GS32/20/100 manufactured at Prestons (Advanced Readymix) (Australia)</v>
      </c>
      <c r="C281" s="132" t="str">
        <v>m³</v>
      </c>
      <c r="D281" s="198">
        <v>248.94432217760001</v>
      </c>
      <c r="E281" s="198">
        <v>0.10372680090733333</v>
      </c>
      <c r="F281" s="198">
        <v>0</v>
      </c>
      <c r="G281" s="215">
        <v>0</v>
      </c>
      <c r="H281" s="131"/>
    </row>
    <row r="282" spans="1:8" x14ac:dyDescent="0.25">
      <c r="A282" s="133"/>
      <c r="B282" s="204" t="str">
        <v>32 MPa, NSW, Concrete: GS32/20/100 manufactured at Smithfield (Advanced Readymix) (Australia)</v>
      </c>
      <c r="C282" s="132" t="str">
        <v>m³</v>
      </c>
      <c r="D282" s="198">
        <v>244.36759941999998</v>
      </c>
      <c r="E282" s="198">
        <v>0.10181983309166666</v>
      </c>
      <c r="F282" s="198">
        <v>0</v>
      </c>
      <c r="G282" s="215">
        <v>0</v>
      </c>
      <c r="H282" s="131"/>
    </row>
    <row r="283" spans="1:8" x14ac:dyDescent="0.25">
      <c r="A283" s="133"/>
      <c r="B283" s="204" t="str">
        <v>32 MPa, NSW, Concrete: N32/20/100G3 manufactured at Prestons (Advanced Readymix) (Australia)</v>
      </c>
      <c r="C283" s="132" t="str">
        <v>m³</v>
      </c>
      <c r="D283" s="198">
        <v>227.18258307081999</v>
      </c>
      <c r="E283" s="198">
        <v>9.465940961284168E-2</v>
      </c>
      <c r="F283" s="198">
        <v>0</v>
      </c>
      <c r="G283" s="215">
        <v>0</v>
      </c>
      <c r="H283" s="131"/>
    </row>
    <row r="284" spans="1:8" x14ac:dyDescent="0.25">
      <c r="A284" s="133"/>
      <c r="B284" s="204" t="str">
        <v>32 MPa, NSW, Concrete: N32/20/100G3 manufactured at Smithfield (Advanced Readymix) (Australia)</v>
      </c>
      <c r="C284" s="132" t="str">
        <v>m³</v>
      </c>
      <c r="D284" s="198">
        <v>210.63959638378</v>
      </c>
      <c r="E284" s="198">
        <v>8.7766498493241654E-2</v>
      </c>
      <c r="F284" s="198">
        <v>0</v>
      </c>
      <c r="G284" s="215">
        <v>0</v>
      </c>
      <c r="H284" s="131"/>
    </row>
    <row r="285" spans="1:8" x14ac:dyDescent="0.25">
      <c r="A285" s="133"/>
      <c r="B285" s="204" t="str">
        <v>32 MPa, NSW, Concrete: NS32/20/100 manufactured at Prestons (Advanced Readymix) (Australia)</v>
      </c>
      <c r="C285" s="132" t="str">
        <v>m³</v>
      </c>
      <c r="D285" s="198">
        <v>181.38263579010001</v>
      </c>
      <c r="E285" s="198">
        <v>7.5576098245875009E-2</v>
      </c>
      <c r="F285" s="198">
        <v>0</v>
      </c>
      <c r="G285" s="215">
        <v>0</v>
      </c>
      <c r="H285" s="131"/>
    </row>
    <row r="286" spans="1:8" x14ac:dyDescent="0.25">
      <c r="A286" s="133"/>
      <c r="B286" s="204" t="str">
        <v>32 MPa, NSW, Concrete: S32/20/80PNL manufactured at Prestons (Advanced Readymix) (Australia)</v>
      </c>
      <c r="C286" s="132" t="str">
        <v>m³</v>
      </c>
      <c r="D286" s="198">
        <v>192.04031317969998</v>
      </c>
      <c r="E286" s="198">
        <v>8.0016797158208336E-2</v>
      </c>
      <c r="F286" s="198">
        <v>0</v>
      </c>
      <c r="G286" s="215">
        <v>0</v>
      </c>
      <c r="H286" s="131"/>
    </row>
    <row r="287" spans="1:8" x14ac:dyDescent="0.25">
      <c r="A287" s="133"/>
      <c r="B287" s="204" t="str">
        <v>32 MPa, NSW, Concrete: NS32/20/100 manufactured at Smithfield (Advanced Readymix) (Australia)</v>
      </c>
      <c r="C287" s="132" t="str">
        <v>m³</v>
      </c>
      <c r="D287" s="198">
        <v>175.98079645110002</v>
      </c>
      <c r="E287" s="198">
        <v>7.3325331854624989E-2</v>
      </c>
      <c r="F287" s="198">
        <v>0</v>
      </c>
      <c r="G287" s="215">
        <v>0</v>
      </c>
      <c r="H287" s="131"/>
    </row>
    <row r="288" spans="1:8" x14ac:dyDescent="0.25">
      <c r="A288" s="133"/>
      <c r="B288" s="204" t="str">
        <v>32 MPa, NSW, Concrete: S32/20/80PNL manufactured at Smithfield (Advanced Readymix) (Australia)</v>
      </c>
      <c r="C288" s="132" t="str">
        <v>m³</v>
      </c>
      <c r="D288" s="198">
        <v>182.85812296970002</v>
      </c>
      <c r="E288" s="198">
        <v>7.6190884570708328E-2</v>
      </c>
      <c r="F288" s="198">
        <v>0</v>
      </c>
      <c r="G288" s="215">
        <v>0</v>
      </c>
      <c r="H288" s="131"/>
    </row>
    <row r="289" spans="1:8" x14ac:dyDescent="0.25">
      <c r="A289" s="133"/>
      <c r="B289" s="204" t="str">
        <v>32 MPa, NSW, Concrete:  S32/10/30 Slip manufactured at Prestons (Advanced Readymix) (Australia)</v>
      </c>
      <c r="C289" s="132" t="str">
        <v>m³</v>
      </c>
      <c r="D289" s="198">
        <v>290.30332448040002</v>
      </c>
      <c r="E289" s="198">
        <v>0.1209597185335</v>
      </c>
      <c r="F289" s="198">
        <v>0</v>
      </c>
      <c r="G289" s="215">
        <v>0</v>
      </c>
      <c r="H289" s="131"/>
    </row>
    <row r="290" spans="1:8" x14ac:dyDescent="0.25">
      <c r="A290" s="133"/>
      <c r="B290" s="204" t="str">
        <v>32 MPa, NSW, Concrete: S32/20/5D manufactured at Prestons (Advanced Readymix) (Australia)</v>
      </c>
      <c r="C290" s="132" t="str">
        <v>m³</v>
      </c>
      <c r="D290" s="198">
        <v>217.40497572086997</v>
      </c>
      <c r="E290" s="198">
        <v>9.0585406550362499E-2</v>
      </c>
      <c r="F290" s="198">
        <v>0</v>
      </c>
      <c r="G290" s="215">
        <v>0</v>
      </c>
      <c r="H290" s="131"/>
    </row>
    <row r="291" spans="1:8" x14ac:dyDescent="0.25">
      <c r="A291" s="133"/>
      <c r="B291" s="204" t="str">
        <v>32 MPa, NSW, Concrete: S32/20/5D manufactured at Smithfield (Advanced Readymix) (Australia)</v>
      </c>
      <c r="C291" s="132" t="str">
        <v>m³</v>
      </c>
      <c r="D291" s="198">
        <v>212.11420805188001</v>
      </c>
      <c r="E291" s="198">
        <v>8.8380920021616668E-2</v>
      </c>
      <c r="F291" s="198">
        <v>0</v>
      </c>
      <c r="G291" s="215">
        <v>0</v>
      </c>
      <c r="H291" s="131"/>
    </row>
    <row r="292" spans="1:8" x14ac:dyDescent="0.25">
      <c r="A292" s="133"/>
      <c r="B292" s="204" t="str">
        <v>32 MPa, NSW, Concrete: NS32/20/80 manufactured at Prestons (Advanced Readymix) (Australia)</v>
      </c>
      <c r="C292" s="132" t="str">
        <v>m³</v>
      </c>
      <c r="D292" s="198">
        <v>180.80247594724997</v>
      </c>
      <c r="E292" s="198">
        <v>7.5334364978020832E-2</v>
      </c>
      <c r="F292" s="198">
        <v>0</v>
      </c>
      <c r="G292" s="215">
        <v>0</v>
      </c>
      <c r="H292" s="131"/>
    </row>
    <row r="293" spans="1:8" x14ac:dyDescent="0.25">
      <c r="A293" s="133"/>
      <c r="B293" s="204" t="str">
        <v>32 MPa, NSW, Concrete: N32/20/80 manufactured at Prestons (Advanced Readymix) (Australia)</v>
      </c>
      <c r="C293" s="132" t="str">
        <v>m³</v>
      </c>
      <c r="D293" s="198">
        <v>182.44417548791</v>
      </c>
      <c r="E293" s="198">
        <v>7.6018406453295842E-2</v>
      </c>
      <c r="F293" s="198">
        <v>0</v>
      </c>
      <c r="G293" s="215">
        <v>0</v>
      </c>
      <c r="H293" s="131"/>
    </row>
    <row r="294" spans="1:8" x14ac:dyDescent="0.25">
      <c r="A294" s="133"/>
      <c r="B294" s="204" t="str">
        <v>32 MPa, NSW, Concrete: NS32/20/80 manufactured at Smithfield (Advanced Readymix) (Australia)</v>
      </c>
      <c r="C294" s="132" t="str">
        <v>m³</v>
      </c>
      <c r="D294" s="198">
        <v>175.39946607664001</v>
      </c>
      <c r="E294" s="198">
        <v>7.3083110865266684E-2</v>
      </c>
      <c r="F294" s="198">
        <v>0</v>
      </c>
      <c r="G294" s="215">
        <v>0</v>
      </c>
      <c r="H294" s="131"/>
    </row>
    <row r="295" spans="1:8" x14ac:dyDescent="0.25">
      <c r="A295" s="133"/>
      <c r="B295" s="204" t="str">
        <v>32 MPa, NSW, Concrete: N32/20/80 manufactured at Smithfield (Advanced Readymix) (Australia)</v>
      </c>
      <c r="C295" s="132" t="str">
        <v>m³</v>
      </c>
      <c r="D295" s="198">
        <v>173.70384044658999</v>
      </c>
      <c r="E295" s="198">
        <v>7.2376600186079151E-2</v>
      </c>
      <c r="F295" s="198">
        <v>0</v>
      </c>
      <c r="G295" s="215">
        <v>0</v>
      </c>
      <c r="H295" s="131"/>
    </row>
    <row r="296" spans="1:8" x14ac:dyDescent="0.25">
      <c r="A296" s="133"/>
      <c r="B296" s="204" t="str">
        <v>32 MPa, NSW, Concrete: S32/10/30 Slip manufactured at Smithfield (Advanced Readymix) (Australia)</v>
      </c>
      <c r="C296" s="132" t="str">
        <v>m³</v>
      </c>
      <c r="D296" s="198">
        <v>265.13609738989999</v>
      </c>
      <c r="E296" s="198">
        <v>0.11047337391245832</v>
      </c>
      <c r="F296" s="198">
        <v>0</v>
      </c>
      <c r="G296" s="215">
        <v>0</v>
      </c>
      <c r="H296" s="131"/>
    </row>
    <row r="297" spans="1:8" x14ac:dyDescent="0.25">
      <c r="A297" s="133"/>
      <c r="B297" s="204" t="str">
        <v>32 MPa, NSW, Concrete: S32/20/CLR manufactured at Prestons (Advanced Readymix) (Australia)</v>
      </c>
      <c r="C297" s="132" t="str">
        <v>m³</v>
      </c>
      <c r="D297" s="198">
        <v>196.65844374764998</v>
      </c>
      <c r="E297" s="198">
        <v>8.1941018228187501E-2</v>
      </c>
      <c r="F297" s="198">
        <v>0</v>
      </c>
      <c r="G297" s="215">
        <v>0</v>
      </c>
      <c r="H297" s="131"/>
    </row>
    <row r="298" spans="1:8" x14ac:dyDescent="0.25">
      <c r="A298" s="133"/>
      <c r="B298" s="204" t="str">
        <v>32 MPa, NSW, Concrete: S32/20/CLR manufactured at Smithfield (Advanced Readymix) (Australia)</v>
      </c>
      <c r="C298" s="132" t="str">
        <v>m³</v>
      </c>
      <c r="D298" s="198">
        <v>188.20502259980998</v>
      </c>
      <c r="E298" s="198">
        <v>7.8418759416587505E-2</v>
      </c>
      <c r="F298" s="198">
        <v>0</v>
      </c>
      <c r="G298" s="215">
        <v>0</v>
      </c>
      <c r="H298" s="131"/>
    </row>
    <row r="299" spans="1:8" x14ac:dyDescent="0.25">
      <c r="A299" s="133"/>
      <c r="B299" s="204" t="str">
        <v>32 MPa, NSW, Concrete:  N32/20/80 with 4 kg/m3 Emesh manufactured at Prestons (Advanced Readymix) (Australia)</v>
      </c>
      <c r="C299" s="132" t="str">
        <v>m³</v>
      </c>
      <c r="D299" s="198">
        <v>188.92607337000001</v>
      </c>
      <c r="E299" s="198">
        <v>7.871919723750001E-2</v>
      </c>
      <c r="F299" s="198">
        <v>0</v>
      </c>
      <c r="G299" s="215">
        <v>0</v>
      </c>
      <c r="H299" s="131"/>
    </row>
    <row r="300" spans="1:8" x14ac:dyDescent="0.25">
      <c r="A300" s="133"/>
      <c r="B300" s="204" t="str">
        <v>32 MPa, NSW, Concrete: N32/20/80 with 4 kg/m3 Emesh manufactured at Smithfield (Advanced Readymix) (Australia)</v>
      </c>
      <c r="C300" s="132" t="str">
        <v>m³</v>
      </c>
      <c r="D300" s="198">
        <v>180.18573832870001</v>
      </c>
      <c r="E300" s="198">
        <v>7.507739097029166E-2</v>
      </c>
      <c r="F300" s="198">
        <v>0</v>
      </c>
      <c r="G300" s="215">
        <v>0</v>
      </c>
      <c r="H300" s="131"/>
    </row>
    <row r="301" spans="1:8" x14ac:dyDescent="0.25">
      <c r="A301" s="133"/>
      <c r="B301" s="204" t="str">
        <v>32 MPa, TAS, N32/20N concrete  manufactured in our Southern Region (Hazell Bros Concrete Pty Ltd) (Australia)</v>
      </c>
      <c r="C301" s="132" t="str">
        <v>m³</v>
      </c>
      <c r="D301" s="198">
        <v>266.06710795399999</v>
      </c>
      <c r="E301" s="198">
        <v>0.11086129498083333</v>
      </c>
      <c r="F301" s="198">
        <v>0</v>
      </c>
      <c r="G301" s="215">
        <v>0</v>
      </c>
      <c r="H301" s="131"/>
    </row>
    <row r="302" spans="1:8" x14ac:dyDescent="0.25">
      <c r="A302" s="133"/>
      <c r="B302" s="204" t="str">
        <v>32 MPa, NSW, Pre-mix concrete N3220 (Western Suburbs Concrete) (Australia)</v>
      </c>
      <c r="C302" s="132" t="str">
        <v>m³</v>
      </c>
      <c r="D302" s="198">
        <v>249.08429906699999</v>
      </c>
      <c r="E302" s="198">
        <v>0.10378512461125</v>
      </c>
      <c r="F302" s="198">
        <v>0</v>
      </c>
      <c r="G302" s="215">
        <v>0</v>
      </c>
      <c r="H302" s="131"/>
    </row>
    <row r="303" spans="1:8" x14ac:dyDescent="0.25">
      <c r="A303" s="133"/>
      <c r="B303" s="204" t="str">
        <v>32 MPa, NSW, Pre-mix concrete GS3220-1 (Western Suburbs Concrete) (Australia)</v>
      </c>
      <c r="C303" s="132" t="str">
        <v>m³</v>
      </c>
      <c r="D303" s="198">
        <v>246.24971427900002</v>
      </c>
      <c r="E303" s="198">
        <v>0.10260404761625</v>
      </c>
      <c r="F303" s="198">
        <v>0</v>
      </c>
      <c r="G303" s="215">
        <v>0</v>
      </c>
      <c r="H303" s="131"/>
    </row>
    <row r="304" spans="1:8" x14ac:dyDescent="0.25">
      <c r="A304" s="133"/>
      <c r="B304" s="204" t="str">
        <v>32 MPa, NSW, Pre-mix concrete S32EXTP (Western Suburbs Concrete) (Australia)</v>
      </c>
      <c r="C304" s="132" t="str">
        <v>m³</v>
      </c>
      <c r="D304" s="198">
        <v>273.02826538400001</v>
      </c>
      <c r="E304" s="198">
        <v>0.11376177724333333</v>
      </c>
      <c r="F304" s="198">
        <v>0</v>
      </c>
      <c r="G304" s="215">
        <v>0</v>
      </c>
      <c r="H304" s="131"/>
    </row>
    <row r="305" spans="1:8" x14ac:dyDescent="0.25">
      <c r="A305" s="133"/>
      <c r="B305" s="204" t="str">
        <v>32 MPa, NSW, Pre-mix concrete WN3220 (Western Suburbs Concrete) (Australia)</v>
      </c>
      <c r="C305" s="132" t="str">
        <v>m³</v>
      </c>
      <c r="D305" s="198">
        <v>246.838340117</v>
      </c>
      <c r="E305" s="198">
        <v>0.10284930838208335</v>
      </c>
      <c r="F305" s="198">
        <v>0</v>
      </c>
      <c r="G305" s="215">
        <v>0</v>
      </c>
      <c r="H305" s="131"/>
    </row>
    <row r="306" spans="1:8" x14ac:dyDescent="0.25">
      <c r="A306" s="133"/>
      <c r="B306" s="204" t="str">
        <v>32 MPa, TAS, N32/20N concrete manufactured in our Northern Region (Hazell Bros Concrete Pty Ltd) (Australia)</v>
      </c>
      <c r="C306" s="132" t="str">
        <v>m³</v>
      </c>
      <c r="D306" s="198">
        <v>266.57859036836805</v>
      </c>
      <c r="E306" s="198">
        <v>0.11107441265348666</v>
      </c>
      <c r="F306" s="198">
        <v>0</v>
      </c>
      <c r="G306" s="215">
        <v>0</v>
      </c>
      <c r="H306" s="131"/>
    </row>
    <row r="307" spans="1:8" x14ac:dyDescent="0.25">
      <c r="A307" s="133"/>
      <c r="B307" s="204" t="str">
        <v>32 MPa, NSW, Pre-mix concrete WGS3220-1 (Western Suburbs Concrete) (Australia)</v>
      </c>
      <c r="C307" s="132" t="str">
        <v>m³</v>
      </c>
      <c r="D307" s="198">
        <v>237.274178909</v>
      </c>
      <c r="E307" s="198">
        <v>9.8864241212083342E-2</v>
      </c>
      <c r="F307" s="198">
        <v>0</v>
      </c>
      <c r="G307" s="215">
        <v>0</v>
      </c>
      <c r="H307" s="131"/>
    </row>
    <row r="308" spans="1:8" x14ac:dyDescent="0.25">
      <c r="A308" s="133"/>
      <c r="B308" s="204" t="str">
        <v>32 MPa, NSW, Pre-mix concrete WGS3220-2 (Western Suburbs Concrete) (Australia)</v>
      </c>
      <c r="C308" s="132" t="str">
        <v>m³</v>
      </c>
      <c r="D308" s="198">
        <v>223.97938887999999</v>
      </c>
      <c r="E308" s="198">
        <v>9.3324745366666656E-2</v>
      </c>
      <c r="F308" s="198">
        <v>0</v>
      </c>
      <c r="G308" s="215">
        <v>0</v>
      </c>
      <c r="H308" s="131"/>
    </row>
    <row r="309" spans="1:8" x14ac:dyDescent="0.25">
      <c r="A309" s="133"/>
      <c r="B309" s="204" t="str">
        <v>32 MPa, TAS, N32/20N/SCM concrete  manufactured in our Southern Region (Hazell Bros Concrete Pty Ltd) (Australia)</v>
      </c>
      <c r="C309" s="132" t="str">
        <v>m³</v>
      </c>
      <c r="D309" s="198">
        <v>205.21288832100001</v>
      </c>
      <c r="E309" s="198">
        <v>8.5505370133749994E-2</v>
      </c>
      <c r="F309" s="198">
        <v>0</v>
      </c>
      <c r="G309" s="215">
        <v>0</v>
      </c>
      <c r="H309" s="131"/>
    </row>
    <row r="310" spans="1:8" x14ac:dyDescent="0.25">
      <c r="A310" s="133"/>
      <c r="B310" s="204" t="str">
        <v>32 MPa, NSW, Pre-mix concrete GS3220-2 (Western Suburbs Concrete) (Australia)</v>
      </c>
      <c r="C310" s="132" t="str">
        <v>m³</v>
      </c>
      <c r="D310" s="198">
        <v>199.21890796100001</v>
      </c>
      <c r="E310" s="198">
        <v>8.3007878317083339E-2</v>
      </c>
      <c r="F310" s="198">
        <v>0</v>
      </c>
      <c r="G310" s="215">
        <v>0</v>
      </c>
      <c r="H310" s="131"/>
    </row>
    <row r="311" spans="1:8" x14ac:dyDescent="0.25">
      <c r="A311" s="133"/>
      <c r="B311" s="204" t="str">
        <v>32 MPa, NSW, Pre-mix concrete S32AZZIN (Western Suburbs Concrete) (Australia)</v>
      </c>
      <c r="C311" s="132" t="str">
        <v>m³</v>
      </c>
      <c r="D311" s="198">
        <v>320.62971298599996</v>
      </c>
      <c r="E311" s="198">
        <v>0.13359571374416668</v>
      </c>
      <c r="F311" s="198">
        <v>0</v>
      </c>
      <c r="G311" s="215">
        <v>0</v>
      </c>
      <c r="H311" s="131"/>
    </row>
    <row r="312" spans="1:8" x14ac:dyDescent="0.25">
      <c r="A312" s="133"/>
      <c r="B312" s="204" t="str">
        <v>32 MPa, NSW, Pre-mix concrete S32IN (Western Suburbs Concrete) (Australia)</v>
      </c>
      <c r="C312" s="132" t="str">
        <v>m³</v>
      </c>
      <c r="D312" s="198">
        <v>320.62971298599996</v>
      </c>
      <c r="E312" s="198">
        <v>0.13359571374416668</v>
      </c>
      <c r="F312" s="198">
        <v>0</v>
      </c>
      <c r="G312" s="215">
        <v>0</v>
      </c>
      <c r="H312" s="131"/>
    </row>
    <row r="313" spans="1:8" x14ac:dyDescent="0.25">
      <c r="A313" s="133"/>
      <c r="B313" s="204" t="str">
        <v>32 MPa, NSW, Pre-mix concrete S32RCIN (Western Suburbs Concrete) (Australia)</v>
      </c>
      <c r="C313" s="132" t="str">
        <v>m³</v>
      </c>
      <c r="D313" s="198">
        <v>295.77433194400004</v>
      </c>
      <c r="E313" s="198">
        <v>0.12323930497666667</v>
      </c>
      <c r="F313" s="198">
        <v>0</v>
      </c>
      <c r="G313" s="215">
        <v>0</v>
      </c>
      <c r="H313" s="131"/>
    </row>
    <row r="314" spans="1:8" x14ac:dyDescent="0.25">
      <c r="A314" s="133"/>
      <c r="B314" s="204" t="str">
        <v>32 MPa, NSW, Concrete: NS32/20/100 manufactured at Seven Hills (Advanced Readymix) (Australia)</v>
      </c>
      <c r="C314" s="132" t="str">
        <v>m³</v>
      </c>
      <c r="D314" s="198">
        <v>200.11932003820002</v>
      </c>
      <c r="E314" s="198">
        <v>8.3383050015916657E-2</v>
      </c>
      <c r="F314" s="198">
        <v>0</v>
      </c>
      <c r="G314" s="215">
        <v>0</v>
      </c>
      <c r="H314" s="131"/>
    </row>
    <row r="315" spans="1:8" x14ac:dyDescent="0.25">
      <c r="A315" s="133"/>
      <c r="B315" s="204" t="str">
        <v>32 MPa, NSW, Concrete: S32/20/5D manufactured at Seven Hills (Advanced Readymix) (Australia)</v>
      </c>
      <c r="C315" s="132" t="str">
        <v>m³</v>
      </c>
      <c r="D315" s="198">
        <v>236.2313780504</v>
      </c>
      <c r="E315" s="198">
        <v>9.8429740854333342E-2</v>
      </c>
      <c r="F315" s="198">
        <v>0</v>
      </c>
      <c r="G315" s="215">
        <v>0</v>
      </c>
      <c r="H315" s="131"/>
    </row>
    <row r="316" spans="1:8" x14ac:dyDescent="0.25">
      <c r="A316" s="133"/>
      <c r="B316" s="204" t="str">
        <v>32 MPa, NSW, Concrete: S32/20/80PNL manufactured at Seven Hills (Advanced Readymix) (Australia)</v>
      </c>
      <c r="C316" s="132" t="str">
        <v>m³</v>
      </c>
      <c r="D316" s="198">
        <v>208.31291444460001</v>
      </c>
      <c r="E316" s="198">
        <v>8.6797047685249998E-2</v>
      </c>
      <c r="F316" s="198">
        <v>0</v>
      </c>
      <c r="G316" s="215">
        <v>0</v>
      </c>
      <c r="H316" s="131"/>
    </row>
    <row r="317" spans="1:8" x14ac:dyDescent="0.25">
      <c r="A317" s="133"/>
      <c r="B317" s="204" t="str">
        <v>32 MPa, TAS, N32/20N/SCM concrete manufactured in our Northern Region (Hazell Bros Concrete Pty Ltd) (Australia)</v>
      </c>
      <c r="C317" s="132" t="str">
        <v>m³</v>
      </c>
      <c r="D317" s="198">
        <v>204.44927532503598</v>
      </c>
      <c r="E317" s="198">
        <v>8.5187198052098331E-2</v>
      </c>
      <c r="F317" s="198">
        <v>0</v>
      </c>
      <c r="G317" s="215">
        <v>0</v>
      </c>
      <c r="H317" s="131"/>
    </row>
    <row r="318" spans="1:8" x14ac:dyDescent="0.25">
      <c r="A318" s="133"/>
      <c r="B318" s="204" t="str">
        <v>32 MPa, NSW, Concrete: NS32/20/80 manufactured at Seven Hills (Advanced Readymix) (Australia)</v>
      </c>
      <c r="C318" s="132" t="str">
        <v>m³</v>
      </c>
      <c r="D318" s="198">
        <v>199.53958158169999</v>
      </c>
      <c r="E318" s="198">
        <v>8.3141492325708333E-2</v>
      </c>
      <c r="F318" s="198">
        <v>0</v>
      </c>
      <c r="G318" s="215">
        <v>0</v>
      </c>
      <c r="H318" s="131"/>
    </row>
    <row r="319" spans="1:8" x14ac:dyDescent="0.25">
      <c r="A319" s="133"/>
      <c r="B319" s="204" t="str">
        <v>32 MPa, NSW, Concrete: N32/20/80 manufactured at Seven Hills (Advanced Readymix) (Australia)</v>
      </c>
      <c r="C319" s="132" t="str">
        <v>m³</v>
      </c>
      <c r="D319" s="198">
        <v>197.35640899379999</v>
      </c>
      <c r="E319" s="198">
        <v>8.2231837080749992E-2</v>
      </c>
      <c r="F319" s="198">
        <v>0</v>
      </c>
      <c r="G319" s="215">
        <v>0</v>
      </c>
      <c r="H319" s="131"/>
    </row>
    <row r="320" spans="1:8" x14ac:dyDescent="0.25">
      <c r="A320" s="133"/>
      <c r="B320" s="204" t="str">
        <v>32 MPa, NSW, Concrete: N32/20/100G3 manufactured at Seven Hills (Advanced Readymix) (Australia)</v>
      </c>
      <c r="C320" s="132" t="str">
        <v>m³</v>
      </c>
      <c r="D320" s="198">
        <v>243.0535284119</v>
      </c>
      <c r="E320" s="198">
        <v>0.10127230350495835</v>
      </c>
      <c r="F320" s="198">
        <v>0</v>
      </c>
      <c r="G320" s="215">
        <v>0</v>
      </c>
      <c r="H320" s="131"/>
    </row>
    <row r="321" spans="1:8" x14ac:dyDescent="0.25">
      <c r="A321" s="133"/>
      <c r="B321" s="204" t="str">
        <v>32 MPa, NSW, Readymix concrete: D32JKERBR53 (Daracrete Pty Ltd) (Australia)</v>
      </c>
      <c r="C321" s="132" t="str">
        <v>m³</v>
      </c>
      <c r="D321" s="198">
        <v>298.53749523099998</v>
      </c>
      <c r="E321" s="198">
        <v>0.12439062301291666</v>
      </c>
      <c r="F321" s="198">
        <v>0</v>
      </c>
      <c r="G321" s="215">
        <v>0</v>
      </c>
      <c r="H321" s="131"/>
    </row>
    <row r="322" spans="1:8" x14ac:dyDescent="0.25">
      <c r="A322" s="133"/>
      <c r="B322" s="204" t="str">
        <v>32 MPa, NSW, Concrete: GS32/20/100 manufactured at Seven Hills (Advanced Readymix) (Australia)</v>
      </c>
      <c r="C322" s="132" t="str">
        <v>m³</v>
      </c>
      <c r="D322" s="198">
        <v>286.56814698860001</v>
      </c>
      <c r="E322" s="198">
        <v>0.11940339457858333</v>
      </c>
      <c r="F322" s="198">
        <v>0</v>
      </c>
      <c r="G322" s="215">
        <v>0</v>
      </c>
      <c r="H322" s="131"/>
    </row>
    <row r="323" spans="1:8" x14ac:dyDescent="0.25">
      <c r="A323" s="133"/>
      <c r="B323" s="204" t="str">
        <v>32 MPa, NSW, Concrete: S32 650BF manufactured at Seven Hills (Advanced Readymix) (Australia)</v>
      </c>
      <c r="C323" s="132" t="str">
        <v>m³</v>
      </c>
      <c r="D323" s="198">
        <v>345.22139192229997</v>
      </c>
      <c r="E323" s="198">
        <v>0.14384224663429165</v>
      </c>
      <c r="F323" s="198">
        <v>0</v>
      </c>
      <c r="G323" s="215">
        <v>0</v>
      </c>
      <c r="H323" s="131"/>
    </row>
    <row r="324" spans="1:8" x14ac:dyDescent="0.25">
      <c r="A324" s="133"/>
      <c r="B324" s="204" t="str">
        <v>32 MPa, NSW, Concrete: N32/20/80 with 4 kg/m3 Emesh manufactured at Seven Hills (Advanced Readymix) (Australia)</v>
      </c>
      <c r="C324" s="132" t="str">
        <v>m³</v>
      </c>
      <c r="D324" s="198">
        <v>203.83830687290001</v>
      </c>
      <c r="E324" s="198">
        <v>8.4932627863708338E-2</v>
      </c>
      <c r="F324" s="198">
        <v>0</v>
      </c>
      <c r="G324" s="215">
        <v>0</v>
      </c>
      <c r="H324" s="131"/>
    </row>
    <row r="325" spans="1:8" x14ac:dyDescent="0.25">
      <c r="A325" s="133"/>
      <c r="B325" s="204" t="str">
        <v>32 MPa, NSW, Concrete: S32/20/CLR manufactured at Seven Hills (Advanced Readymix) (Australia)</v>
      </c>
      <c r="C325" s="132" t="str">
        <v>m³</v>
      </c>
      <c r="D325" s="198">
        <v>215.51596306941997</v>
      </c>
      <c r="E325" s="198">
        <v>8.9798317945591663E-2</v>
      </c>
      <c r="F325" s="198">
        <v>0</v>
      </c>
      <c r="G325" s="215">
        <v>0</v>
      </c>
      <c r="H325" s="131"/>
    </row>
    <row r="326" spans="1:8" x14ac:dyDescent="0.25">
      <c r="A326" s="133"/>
      <c r="B326" s="204" t="str">
        <v>32 MPa, NSW, Readymix concrete: D327KERB (Daracrete Pty Ltd) (Australia)</v>
      </c>
      <c r="C326" s="132" t="str">
        <v>m³</v>
      </c>
      <c r="D326" s="198">
        <v>346.95309270500002</v>
      </c>
      <c r="E326" s="198">
        <v>0.14456378862708333</v>
      </c>
      <c r="F326" s="198">
        <v>0</v>
      </c>
      <c r="G326" s="215">
        <v>0</v>
      </c>
      <c r="H326" s="131"/>
    </row>
    <row r="327" spans="1:8" x14ac:dyDescent="0.25">
      <c r="A327" s="133"/>
      <c r="B327" s="204" t="str">
        <v>32 MPa, NSW, Concrete: S32/10/30 Slip manufactured at Seven Hills (Advanced Readymix) (Australia)</v>
      </c>
      <c r="C327" s="132" t="str">
        <v>m³</v>
      </c>
      <c r="D327" s="198">
        <v>312.25500141750001</v>
      </c>
      <c r="E327" s="198">
        <v>0.130106250590625</v>
      </c>
      <c r="F327" s="198">
        <v>0</v>
      </c>
      <c r="G327" s="215">
        <v>0</v>
      </c>
      <c r="H327" s="131"/>
    </row>
    <row r="328" spans="1:8" x14ac:dyDescent="0.25">
      <c r="A328" s="133"/>
      <c r="B328" s="204" t="str">
        <v>32 MPa, NSW, Readymix concrete: DARASPRAY32 (Daracrete Pty Ltd) (Australia)</v>
      </c>
      <c r="C328" s="132" t="str">
        <v>m³</v>
      </c>
      <c r="D328" s="198">
        <v>326.695711442</v>
      </c>
      <c r="E328" s="198">
        <v>0.13612321310083333</v>
      </c>
      <c r="F328" s="198">
        <v>0</v>
      </c>
      <c r="G328" s="215">
        <v>0</v>
      </c>
      <c r="H328" s="131"/>
    </row>
    <row r="329" spans="1:8" x14ac:dyDescent="0.25">
      <c r="A329" s="133"/>
      <c r="B329" s="204" t="str">
        <v>32 MPa, TAS, S32/20N OFF WHITE concrete  manufactured in our Southern Region (Hazell Bros Concrete Pty Ltd) (Australia)</v>
      </c>
      <c r="C329" s="132" t="str">
        <v>m³</v>
      </c>
      <c r="D329" s="198">
        <v>371.92863364959999</v>
      </c>
      <c r="E329" s="198">
        <v>0.15497026402066666</v>
      </c>
      <c r="F329" s="198">
        <v>0</v>
      </c>
      <c r="G329" s="215">
        <v>0</v>
      </c>
      <c r="H329" s="131"/>
    </row>
    <row r="330" spans="1:8" x14ac:dyDescent="0.25">
      <c r="A330" s="133"/>
      <c r="B330" s="217" t="str">
        <v>32 MPa, TAS, S32/20N OFF WHITE concrete  manufactured in our Northern Region (Hazell Bros Concrete Pty Ltd) (Australia)</v>
      </c>
      <c r="C330" s="218" t="str">
        <v>m³</v>
      </c>
      <c r="D330" s="219">
        <v>365.1006535839</v>
      </c>
      <c r="E330" s="219">
        <v>0.15212527232662498</v>
      </c>
      <c r="F330" s="219">
        <v>0</v>
      </c>
      <c r="G330" s="220">
        <v>0</v>
      </c>
      <c r="H330" s="131"/>
    </row>
    <row r="331" spans="1:8" x14ac:dyDescent="0.25">
      <c r="B331" s="130"/>
      <c r="C331" s="130"/>
      <c r="D331" s="207"/>
      <c r="E331" s="207"/>
      <c r="F331" s="207"/>
      <c r="G331" s="207"/>
    </row>
  </sheetData>
  <dataValidations disablePrompts="1" count="1">
    <dataValidation type="list" allowBlank="1" showInputMessage="1" showErrorMessage="1" sqref="B6:B8" xr:uid="{C6181614-2B41-47F7-B062-CF4C2C2A966B}">
      <formula1>"Tier 1,Tier 2,Tier 3,Tier 4"</formula1>
    </dataValidation>
  </dataValidation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C60B4-BAB8-4B03-958D-C78AE9A9EF76}">
  <sheetPr codeName="Sheet8">
    <tabColor rgb="FF00CCFF"/>
  </sheetPr>
  <dimension ref="A1:H437"/>
  <sheetViews>
    <sheetView workbookViewId="0"/>
  </sheetViews>
  <sheetFormatPr defaultColWidth="9.1796875" defaultRowHeight="12.5" x14ac:dyDescent="0.25"/>
  <cols>
    <col min="1" max="1" width="26.26953125" style="132" customWidth="1"/>
    <col min="2" max="2" width="133.726562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&gt;32 MPa to ≤40 MPa</v>
      </c>
    </row>
    <row r="2" spans="1:8" ht="13" x14ac:dyDescent="0.25">
      <c r="A2" s="202"/>
    </row>
    <row r="3" spans="1:8" ht="13" x14ac:dyDescent="0.25">
      <c r="A3" s="202" t="s">
        <v>5626</v>
      </c>
      <c r="B3" s="132" t="s">
        <v>5788</v>
      </c>
    </row>
    <row r="4" spans="1:8" ht="13" x14ac:dyDescent="0.25">
      <c r="A4" s="202"/>
    </row>
    <row r="5" spans="1:8" ht="69.75" customHeight="1" x14ac:dyDescent="0.3">
      <c r="A5" s="227" t="s">
        <v>5628</v>
      </c>
      <c r="B5" s="200" t="s">
        <v>5785</v>
      </c>
    </row>
    <row r="6" spans="1:8" ht="13" x14ac:dyDescent="0.3">
      <c r="A6" s="227" t="s">
        <v>5630</v>
      </c>
      <c r="B6" s="201" t="s">
        <v>71</v>
      </c>
    </row>
    <row r="7" spans="1:8" ht="13" x14ac:dyDescent="0.3">
      <c r="A7" s="227" t="s">
        <v>5631</v>
      </c>
      <c r="B7" s="201" t="s">
        <v>71</v>
      </c>
    </row>
    <row r="8" spans="1:8" ht="13" x14ac:dyDescent="0.3">
      <c r="A8" s="227" t="s">
        <v>5632</v>
      </c>
      <c r="B8" s="201" t="s">
        <v>71</v>
      </c>
    </row>
    <row r="9" spans="1:8" ht="13" x14ac:dyDescent="0.3">
      <c r="A9" s="227" t="s">
        <v>5633</v>
      </c>
      <c r="B9" s="202" t="s">
        <v>71</v>
      </c>
    </row>
    <row r="10" spans="1:8" ht="13" x14ac:dyDescent="0.3">
      <c r="A10" s="227"/>
      <c r="B10" s="202"/>
    </row>
    <row r="11" spans="1:8" ht="13" x14ac:dyDescent="0.3">
      <c r="A11" s="227" t="s">
        <v>5634</v>
      </c>
      <c r="B11" s="202"/>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1451</v>
      </c>
      <c r="C16" s="313" t="s">
        <v>24</v>
      </c>
      <c r="D16" s="314" t="s">
        <v>146</v>
      </c>
      <c r="E16" s="315" t="s">
        <v>153</v>
      </c>
      <c r="F16" s="314" t="s">
        <v>147</v>
      </c>
      <c r="G16" s="314" t="s">
        <v>154</v>
      </c>
      <c r="H16" s="131"/>
    </row>
    <row r="17" spans="1:8" ht="13" x14ac:dyDescent="0.3">
      <c r="A17" s="133"/>
      <c r="B17" s="211"/>
      <c r="C17" s="212" t="s">
        <v>5636</v>
      </c>
      <c r="D17" s="196" t="str" cm="1">
        <f t="array" ref="D17">IF(AND(_xlfn.ANCHORARRAY(C23)=C23),C23,"Mixed")</f>
        <v>m³</v>
      </c>
      <c r="E17" s="196" t="s">
        <v>2774</v>
      </c>
      <c r="F17" s="196" t="str" cm="1">
        <f t="array" ref="F17">IF(AND(_xlfn.ANCHORARRAY(C23)=C23),C23,"Mixed")</f>
        <v>m³</v>
      </c>
      <c r="G17" s="213" t="s">
        <v>2774</v>
      </c>
      <c r="H17" s="131"/>
    </row>
    <row r="18" spans="1:8" s="200" customFormat="1" ht="13" x14ac:dyDescent="0.3">
      <c r="A18" s="221"/>
      <c r="B18" s="214"/>
      <c r="C18" s="202" t="s">
        <v>5637</v>
      </c>
      <c r="D18" s="198">
        <f>MAX(_xlfn.ANCHORARRAY(D23))</f>
        <v>545.20299999999997</v>
      </c>
      <c r="E18" s="198">
        <f t="shared" ref="E18:G18" si="0">MAX(_xlfn.ANCHORARRAY(E23))</f>
        <v>0.22716791666666666</v>
      </c>
      <c r="F18" s="198">
        <f t="shared" si="0"/>
        <v>0</v>
      </c>
      <c r="G18" s="215">
        <f t="shared" si="0"/>
        <v>0</v>
      </c>
      <c r="H18" s="222"/>
    </row>
    <row r="19" spans="1:8" ht="13" x14ac:dyDescent="0.25">
      <c r="A19" s="133"/>
      <c r="B19" s="204"/>
      <c r="C19" s="202" t="s">
        <v>5638</v>
      </c>
      <c r="D19" s="198">
        <f>MIN(_xlfn.ANCHORARRAY(D23))</f>
        <v>198</v>
      </c>
      <c r="E19" s="198">
        <f t="shared" ref="E19:G19" si="1">MIN(_xlfn.ANCHORARRAY(E23))</f>
        <v>8.2500000000000004E-2</v>
      </c>
      <c r="F19" s="198">
        <f t="shared" si="1"/>
        <v>0</v>
      </c>
      <c r="G19" s="215">
        <f t="shared" si="1"/>
        <v>0</v>
      </c>
      <c r="H19" s="131"/>
    </row>
    <row r="20" spans="1:8" ht="13" x14ac:dyDescent="0.25">
      <c r="A20" s="133"/>
      <c r="B20" s="204"/>
      <c r="C20" s="202" t="s">
        <v>5639</v>
      </c>
      <c r="D20" s="198">
        <f>AVERAGE(_xlfn.ANCHORARRAY(D23))</f>
        <v>305.39750692508125</v>
      </c>
      <c r="E20" s="198">
        <f t="shared" ref="E20:G20" si="2">AVERAGE(_xlfn.ANCHORARRAY(E23))</f>
        <v>0.12724896121878382</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436">_xlfn.UNIQUE(_xlfn._xlws.FILTER('EPD List'!D:D,ISNUMBER(SEARCH(B16,'EPD List'!C:C)),0))</f>
        <v>Concrete, 40 MPa, in-situ, no reinforcement, (QE407LSPR) (Ecopact) (Holcim) (QLD) (Brisbane)</v>
      </c>
      <c r="C23" s="132" t="str" cm="1">
        <f t="array" ref="C23:C436">_xlfn.IFNA(INDEX('EPD List'!$A:$AB,MATCH(_xlfn.ANCHORARRAY(B23),'EPD List'!$D:$D,0),MATCH(C$16,'EPD List'!$7:$7,0)),"")</f>
        <v>m³</v>
      </c>
      <c r="D23" s="198" cm="1">
        <f t="array" ref="D23:D436">_xlfn.IFNA(VALUE((INDEX('EPD List'!$A:$AD,MATCH(_xlfn.ANCHORARRAY($B23),'EPD List'!$D:$D,0),MATCH(D$16,'EPD List'!$7:$7,0)))),"")</f>
        <v>322.69</v>
      </c>
      <c r="E23" s="198" cm="1">
        <f t="array" ref="E23:E436">_xlfn.IFNA(VALUE((INDEX('EPD List'!$A:$AD,MATCH(_xlfn.ANCHORARRAY($B23),'EPD List'!$D:$D,0),MATCH(E$16,'EPD List'!$7:$7,0)))),"")</f>
        <v>0.13445416666666665</v>
      </c>
      <c r="F23" s="198" cm="1">
        <f t="array" ref="F23:F436">_xlfn.IFNA(VALUE((INDEX('EPD List'!$A:$AD,MATCH(_xlfn.ANCHORARRAY($B23),'EPD List'!$D:$D,0),MATCH(F$16,'EPD List'!$7:$7,0)))),"")</f>
        <v>0</v>
      </c>
      <c r="G23" s="215" cm="1">
        <f t="array" ref="G23:G436">_xlfn.IFNA(VALUE((INDEX('EPD List'!$A:$AD,MATCH(_xlfn.ANCHORARRAY($B23),'EPD List'!$D:$D,0),MATCH(G$16,'EPD List'!$7:$7,0)))),"")</f>
        <v>0</v>
      </c>
      <c r="H23" s="131"/>
    </row>
    <row r="24" spans="1:8" x14ac:dyDescent="0.25">
      <c r="A24" s="133"/>
      <c r="B24" s="204" t="str">
        <v>Concrete, 40 MPa, in-situ, no reinforcement, (VE401EAPF) (Ecopact) (Holcim) (VIC)</v>
      </c>
      <c r="C24" s="132" t="str">
        <v>m³</v>
      </c>
      <c r="D24" s="198">
        <v>315.62</v>
      </c>
      <c r="E24" s="198">
        <v>0.13150833333333334</v>
      </c>
      <c r="F24" s="198">
        <v>0</v>
      </c>
      <c r="G24" s="215">
        <v>0</v>
      </c>
      <c r="H24" s="131"/>
    </row>
    <row r="25" spans="1:8" x14ac:dyDescent="0.25">
      <c r="A25" s="133"/>
      <c r="B25" s="204" t="str">
        <v>Concrete, 40 MPa, in-situ, no reinforcement, (VE401EVMW) (Ecopact) (Holcim) (VIC)</v>
      </c>
      <c r="C25" s="132" t="str">
        <v>m³</v>
      </c>
      <c r="D25" s="198">
        <v>237.37</v>
      </c>
      <c r="E25" s="198">
        <v>9.8904166666666668E-2</v>
      </c>
      <c r="F25" s="198">
        <v>0</v>
      </c>
      <c r="G25" s="215">
        <v>0</v>
      </c>
      <c r="H25" s="131"/>
    </row>
    <row r="26" spans="1:8" x14ac:dyDescent="0.25">
      <c r="A26" s="133"/>
      <c r="B26" s="204" t="str">
        <v>Concrete, 40 MPa, in-situ, no reinforcement, (SE401EWC) (Ecopact) (Holcim) (SA) (Adelaide)</v>
      </c>
      <c r="C26" s="132" t="str">
        <v>m³</v>
      </c>
      <c r="D26" s="198">
        <v>268.37</v>
      </c>
      <c r="E26" s="198">
        <v>0.11182083333333333</v>
      </c>
      <c r="F26" s="198">
        <v>0</v>
      </c>
      <c r="G26" s="215">
        <v>0</v>
      </c>
      <c r="H26" s="131"/>
    </row>
    <row r="27" spans="1:8" x14ac:dyDescent="0.25">
      <c r="A27" s="133"/>
      <c r="B27" s="204" t="str">
        <v>Concrete, 40 MPa, in-situ, no reinforcement, (SE402E56) (Ecopact) (Holcim) (SA) (Adelaide)</v>
      </c>
      <c r="C27" s="132" t="str">
        <v>m³</v>
      </c>
      <c r="D27" s="198">
        <v>274.35000000000002</v>
      </c>
      <c r="E27" s="198">
        <v>0.1143125</v>
      </c>
      <c r="F27" s="198">
        <v>0</v>
      </c>
      <c r="G27" s="215">
        <v>0</v>
      </c>
      <c r="H27" s="131"/>
    </row>
    <row r="28" spans="1:8" x14ac:dyDescent="0.25">
      <c r="A28" s="133"/>
      <c r="B28" s="204" t="str">
        <v>Concrete, 40 MPa, in-situ, no reinforcement, (SE401EAV) (Ecopact) (Holcim) (SA) (Adelaide)</v>
      </c>
      <c r="C28" s="132" t="str">
        <v>m³</v>
      </c>
      <c r="D28" s="198">
        <v>291.37</v>
      </c>
      <c r="E28" s="198">
        <v>0.12140416666666666</v>
      </c>
      <c r="F28" s="198">
        <v>0</v>
      </c>
      <c r="G28" s="215">
        <v>0</v>
      </c>
      <c r="H28" s="131"/>
    </row>
    <row r="29" spans="1:8" x14ac:dyDescent="0.25">
      <c r="A29" s="133"/>
      <c r="B29" s="204" t="str">
        <v>Concrete, 40 MPa, in-situ, no reinforcement, (SE402E562) (Ecopact) (Holcim) (SA) (Adelaide)</v>
      </c>
      <c r="C29" s="132" t="str">
        <v>m³</v>
      </c>
      <c r="D29" s="198">
        <v>276.35000000000002</v>
      </c>
      <c r="E29" s="198">
        <v>0.11514583333333334</v>
      </c>
      <c r="F29" s="198">
        <v>0</v>
      </c>
      <c r="G29" s="215">
        <v>0</v>
      </c>
      <c r="H29" s="131"/>
    </row>
    <row r="30" spans="1:8" x14ac:dyDescent="0.25">
      <c r="A30" s="133"/>
      <c r="B30" s="204" t="str">
        <v>Concrete, 40 MPa, in-situ, no reinforcement, (VE401E56) (Ecopact) (Holcim) (VIC)</v>
      </c>
      <c r="C30" s="132" t="str">
        <v>m³</v>
      </c>
      <c r="D30" s="198">
        <v>279.33</v>
      </c>
      <c r="E30" s="198">
        <v>0.1163875</v>
      </c>
      <c r="F30" s="198">
        <v>0</v>
      </c>
      <c r="G30" s="215">
        <v>0</v>
      </c>
      <c r="H30" s="131"/>
    </row>
    <row r="31" spans="1:8" x14ac:dyDescent="0.25">
      <c r="A31" s="133"/>
      <c r="B31" s="204" t="str">
        <v>Concrete, 40 MPa, in-situ, no reinforcement, (SE402E) (Ecopact) (Holcim) (SA) (Adelaide)</v>
      </c>
      <c r="C31" s="132" t="str">
        <v>m³</v>
      </c>
      <c r="D31" s="198">
        <v>263.31</v>
      </c>
      <c r="E31" s="198">
        <v>0.1097125</v>
      </c>
      <c r="F31" s="198">
        <v>0</v>
      </c>
      <c r="G31" s="215">
        <v>0</v>
      </c>
      <c r="H31" s="131"/>
    </row>
    <row r="32" spans="1:8" x14ac:dyDescent="0.25">
      <c r="A32" s="133"/>
      <c r="B32" s="204" t="str">
        <v>Concrete, 40 MPa, in-situ, no reinforcement, (SE402E2) (Ecopact) (Holcim) (SA) (Adelaide)</v>
      </c>
      <c r="C32" s="132" t="str">
        <v>m³</v>
      </c>
      <c r="D32" s="198">
        <v>264.31</v>
      </c>
      <c r="E32" s="198">
        <v>0.11012916666666667</v>
      </c>
      <c r="F32" s="198">
        <v>0</v>
      </c>
      <c r="G32" s="215">
        <v>0</v>
      </c>
      <c r="H32" s="131"/>
    </row>
    <row r="33" spans="1:8" x14ac:dyDescent="0.25">
      <c r="A33" s="133"/>
      <c r="B33" s="204" t="str">
        <v>Concrete, 40 MPa, in-situ, no reinforcement, (VE402E5) (Ecopact) (Holcim) (VIC)</v>
      </c>
      <c r="C33" s="132" t="str">
        <v>m³</v>
      </c>
      <c r="D33" s="198">
        <v>245.28</v>
      </c>
      <c r="E33" s="198">
        <v>0.1022</v>
      </c>
      <c r="F33" s="198">
        <v>0</v>
      </c>
      <c r="G33" s="215">
        <v>0</v>
      </c>
      <c r="H33" s="131"/>
    </row>
    <row r="34" spans="1:8" x14ac:dyDescent="0.25">
      <c r="A34" s="133"/>
      <c r="B34" s="204" t="str">
        <v>Concrete, 40 MPa, in-situ, no reinforcement, (SE401E5) (Ecopact) (Holcim) (SA) (Adelaide)</v>
      </c>
      <c r="C34" s="132" t="str">
        <v>m³</v>
      </c>
      <c r="D34" s="198">
        <v>272.31</v>
      </c>
      <c r="E34" s="198">
        <v>0.11346249999999999</v>
      </c>
      <c r="F34" s="198">
        <v>0</v>
      </c>
      <c r="G34" s="215">
        <v>0</v>
      </c>
      <c r="H34" s="131"/>
    </row>
    <row r="35" spans="1:8" x14ac:dyDescent="0.25">
      <c r="A35" s="133"/>
      <c r="B35" s="204" t="str">
        <v>Concrete, 40 MPa, in-situ, no reinforcement, (QE401E)(Ecopact) (Holcim) (QLD) (Sunshine Coast)</v>
      </c>
      <c r="C35" s="132" t="str">
        <v>m³</v>
      </c>
      <c r="D35" s="198">
        <v>221.25</v>
      </c>
      <c r="E35" s="198">
        <v>9.2187500000000006E-2</v>
      </c>
      <c r="F35" s="198">
        <v>0</v>
      </c>
      <c r="G35" s="215">
        <v>0</v>
      </c>
      <c r="H35" s="131"/>
    </row>
    <row r="36" spans="1:8" x14ac:dyDescent="0.25">
      <c r="A36" s="133"/>
      <c r="B36" s="204" t="str">
        <v>Concrete, 40 MPa, in-situ, no reinforcement, (VE402E /
BE402E) (Ecopact) (Holcim) (VIC)</v>
      </c>
      <c r="C36" s="132" t="str">
        <v>m³</v>
      </c>
      <c r="D36" s="198">
        <v>262.29000000000002</v>
      </c>
      <c r="E36" s="198">
        <v>0.1092875</v>
      </c>
      <c r="F36" s="198">
        <v>0</v>
      </c>
      <c r="G36" s="215">
        <v>0</v>
      </c>
      <c r="H36" s="131"/>
    </row>
    <row r="37" spans="1:8" x14ac:dyDescent="0.25">
      <c r="A37" s="133"/>
      <c r="B37" s="204" t="str">
        <v>Concrete, 40 MPa, in-situ, no reinforcement, (QE402E100)(Ecopact) (Holcim) (QLD) (Sunshine Coast)</v>
      </c>
      <c r="C37" s="132" t="str">
        <v>m³</v>
      </c>
      <c r="D37" s="198">
        <v>221.24</v>
      </c>
      <c r="E37" s="198">
        <v>9.2183333333333339E-2</v>
      </c>
      <c r="F37" s="198">
        <v>0</v>
      </c>
      <c r="G37" s="215">
        <v>0</v>
      </c>
      <c r="H37" s="131"/>
    </row>
    <row r="38" spans="1:8" x14ac:dyDescent="0.25">
      <c r="A38" s="133"/>
      <c r="B38" s="204" t="str">
        <v>Concrete, 40 MPa, in-situ, no reinforcement, (VE402E56) (Ecopact) (Holcim) (VIC)</v>
      </c>
      <c r="C38" s="132" t="str">
        <v>m³</v>
      </c>
      <c r="D38" s="198">
        <v>283.3</v>
      </c>
      <c r="E38" s="198">
        <v>0.11804166666666667</v>
      </c>
      <c r="F38" s="198">
        <v>0</v>
      </c>
      <c r="G38" s="215">
        <v>0</v>
      </c>
      <c r="H38" s="131"/>
    </row>
    <row r="39" spans="1:8" x14ac:dyDescent="0.25">
      <c r="A39" s="133"/>
      <c r="B39" s="204" t="str">
        <v>Concrete, 40 MPa, in-situ, no reinforcement, (40MPa 10MM BLOCKMIX) (Adbri) (QLD)</v>
      </c>
      <c r="C39" s="132" t="str">
        <v>m³</v>
      </c>
      <c r="D39" s="198">
        <v>282.298</v>
      </c>
      <c r="E39" s="198">
        <v>0.11762416666666665</v>
      </c>
      <c r="F39" s="198">
        <v>0</v>
      </c>
      <c r="G39" s="215">
        <v>0</v>
      </c>
      <c r="H39" s="131"/>
    </row>
    <row r="40" spans="1:8" x14ac:dyDescent="0.25">
      <c r="A40" s="133"/>
      <c r="B40" s="204" t="str">
        <v>Concrete, 40 MPa, in-situ, no reinforcement, (Futurecrete®
Ultra N class GP/ GL:Slag 40 MPa) (Adbri) (QLD)</v>
      </c>
      <c r="C40" s="132" t="str">
        <v>m³</v>
      </c>
      <c r="D40" s="198">
        <v>276.29000000000002</v>
      </c>
      <c r="E40" s="198">
        <v>0.11512083333333334</v>
      </c>
      <c r="F40" s="198">
        <v>0</v>
      </c>
      <c r="G40" s="215">
        <v>0</v>
      </c>
      <c r="H40" s="131"/>
    </row>
    <row r="41" spans="1:8" x14ac:dyDescent="0.25">
      <c r="A41" s="133"/>
      <c r="B41" s="204" t="str">
        <v>Concrete, 40 MPa, in-situ, no reinforcement, (VE401EAV) (Ecopact) (Holcim) (VIC)</v>
      </c>
      <c r="C41" s="132" t="str">
        <v>m³</v>
      </c>
      <c r="D41" s="198">
        <v>279.29000000000002</v>
      </c>
      <c r="E41" s="198">
        <v>0.11637083333333334</v>
      </c>
      <c r="F41" s="198">
        <v>0</v>
      </c>
      <c r="G41" s="215">
        <v>0</v>
      </c>
      <c r="H41" s="131"/>
    </row>
    <row r="42" spans="1:8" x14ac:dyDescent="0.25">
      <c r="A42" s="133"/>
      <c r="B42" s="204" t="str">
        <v>Concrete, 40 MPa, in-situ, no reinforcement, (QE402EBF2) (Ecopact) (Holcim) (QLD) (Brisbane)</v>
      </c>
      <c r="C42" s="132" t="str">
        <v>m³</v>
      </c>
      <c r="D42" s="198">
        <v>341.35</v>
      </c>
      <c r="E42" s="198">
        <v>0.14222916666666668</v>
      </c>
      <c r="F42" s="198">
        <v>0</v>
      </c>
      <c r="G42" s="215">
        <v>0</v>
      </c>
      <c r="H42" s="131"/>
    </row>
    <row r="43" spans="1:8" x14ac:dyDescent="0.25">
      <c r="A43" s="133"/>
      <c r="B43" s="204" t="str">
        <v>Concrete, 40 MPa, in-situ, no reinforcement, (VE402EAP) (Ecopact) (Holcim) (VIC)</v>
      </c>
      <c r="C43" s="132" t="str">
        <v>m³</v>
      </c>
      <c r="D43" s="198">
        <v>310.31</v>
      </c>
      <c r="E43" s="198">
        <v>0.12929583333333336</v>
      </c>
      <c r="F43" s="198">
        <v>0</v>
      </c>
      <c r="G43" s="215">
        <v>0</v>
      </c>
      <c r="H43" s="131"/>
    </row>
    <row r="44" spans="1:8" x14ac:dyDescent="0.25">
      <c r="A44" s="133"/>
      <c r="B44" s="204" t="str">
        <v>Concrete, 40 MPa, in-situ, no reinforcement, (QE401L100)(Ecopact) (Holcim) (QLD) (Sunshine Coast)</v>
      </c>
      <c r="C44" s="132" t="str">
        <v>m³</v>
      </c>
      <c r="D44" s="198">
        <v>305.27999999999997</v>
      </c>
      <c r="E44" s="198">
        <v>0.12719999999999998</v>
      </c>
      <c r="F44" s="198">
        <v>0</v>
      </c>
      <c r="G44" s="215">
        <v>0</v>
      </c>
      <c r="H44" s="131"/>
    </row>
    <row r="45" spans="1:8" x14ac:dyDescent="0.25">
      <c r="A45" s="133"/>
      <c r="B45" s="204" t="str">
        <v>Concrete, 40 MPa, in-situ, no reinforcement, (Futurecrete®  N
class GP/GL:Slag
40 MPa) (Adbri) (QLD)</v>
      </c>
      <c r="C45" s="132" t="str">
        <v>m³</v>
      </c>
      <c r="D45" s="198">
        <v>268.24599999999998</v>
      </c>
      <c r="E45" s="198">
        <v>0.11176916666666667</v>
      </c>
      <c r="F45" s="198">
        <v>0</v>
      </c>
      <c r="G45" s="215">
        <v>0</v>
      </c>
      <c r="H45" s="131"/>
    </row>
    <row r="46" spans="1:8" x14ac:dyDescent="0.25">
      <c r="A46" s="133"/>
      <c r="B46" s="204" t="str">
        <v>Concrete, 40 MPa, in-situ, no reinforcement, (QE402L100)(Ecopact) (Holcim) (QLD) (Sunshine Coast)</v>
      </c>
      <c r="C46" s="132" t="str">
        <v>m³</v>
      </c>
      <c r="D46" s="198">
        <v>295.27</v>
      </c>
      <c r="E46" s="198">
        <v>0.12302916666666666</v>
      </c>
      <c r="F46" s="198">
        <v>0</v>
      </c>
      <c r="G46" s="215">
        <v>0</v>
      </c>
      <c r="H46" s="131"/>
    </row>
    <row r="47" spans="1:8" x14ac:dyDescent="0.25">
      <c r="A47" s="133"/>
      <c r="B47" s="204" t="str">
        <v>Concrete, 40 MPa, in-situ, no reinforcement, (QE401L)(Ecopact) (Holcim) (QLD) (Sunshine Coast)</v>
      </c>
      <c r="C47" s="132" t="str">
        <v>m³</v>
      </c>
      <c r="D47" s="198">
        <v>297.27</v>
      </c>
      <c r="E47" s="198">
        <v>0.1238625</v>
      </c>
      <c r="F47" s="198">
        <v>0</v>
      </c>
      <c r="G47" s="215">
        <v>0</v>
      </c>
      <c r="H47" s="131"/>
    </row>
    <row r="48" spans="1:8" x14ac:dyDescent="0.25">
      <c r="A48" s="133"/>
      <c r="B48" s="204" t="str">
        <v>Concrete, 40 MPa, in-situ, no reinforcement, (NE402E1A1)(Ecopact) (Holcim) (NSW), (Sydney)</v>
      </c>
      <c r="C48" s="132" t="str">
        <v>m³</v>
      </c>
      <c r="D48" s="198">
        <v>298.27</v>
      </c>
      <c r="E48" s="198">
        <v>0.12427916666666666</v>
      </c>
      <c r="F48" s="198">
        <v>0</v>
      </c>
      <c r="G48" s="215">
        <v>0</v>
      </c>
      <c r="H48" s="131"/>
    </row>
    <row r="49" spans="1:8" x14ac:dyDescent="0.25">
      <c r="A49" s="133"/>
      <c r="B49" s="204" t="str">
        <v>Concrete, 40 MPa, in-situ, no reinforcement, (QE402L)(Ecopact) (Holcim) (QLD) (Sunshine Coast)</v>
      </c>
      <c r="C49" s="132" t="str">
        <v>m³</v>
      </c>
      <c r="D49" s="198">
        <v>287.26</v>
      </c>
      <c r="E49" s="198">
        <v>0.11969166666666667</v>
      </c>
      <c r="F49" s="198">
        <v>0</v>
      </c>
      <c r="G49" s="215">
        <v>0</v>
      </c>
      <c r="H49" s="131"/>
    </row>
    <row r="50" spans="1:8" x14ac:dyDescent="0.25">
      <c r="A50" s="133"/>
      <c r="B50" s="204" t="str">
        <v>Concrete, 40 MPa, in-situ, no reinforcement, (40MPa 20MM 3 GST POINTS CONCRETE) (Adbri) (VIC)</v>
      </c>
      <c r="C50" s="132" t="str">
        <v>m³</v>
      </c>
      <c r="D50" s="198">
        <v>257.22000000000003</v>
      </c>
      <c r="E50" s="198">
        <v>0.10717500000000001</v>
      </c>
      <c r="F50" s="198">
        <v>0</v>
      </c>
      <c r="G50" s="215">
        <v>0</v>
      </c>
      <c r="H50" s="131"/>
    </row>
    <row r="51" spans="1:8" x14ac:dyDescent="0.25">
      <c r="A51" s="133"/>
      <c r="B51" s="204" t="str">
        <v>Concrete, 40 MPa, in-situ, no reinforcement, (NE401E1)(Ecopact) (Holcim) (NSW), (Sydney)</v>
      </c>
      <c r="C51" s="132" t="str">
        <v>m³</v>
      </c>
      <c r="D51" s="198">
        <v>202.17</v>
      </c>
      <c r="E51" s="198">
        <v>8.4237500000000007E-2</v>
      </c>
      <c r="F51" s="198">
        <v>0</v>
      </c>
      <c r="G51" s="215">
        <v>0</v>
      </c>
      <c r="H51" s="131"/>
    </row>
    <row r="52" spans="1:8" x14ac:dyDescent="0.25">
      <c r="A52" s="133"/>
      <c r="B52" s="204" t="str">
        <v>Concrete, 40 MPa, in-situ, no reinforcement, (40MPa 14MM 150MM SLUMP CONCRETE) (Adbri) (VIC)</v>
      </c>
      <c r="C52" s="132" t="str">
        <v>m³</v>
      </c>
      <c r="D52" s="198">
        <v>253.21</v>
      </c>
      <c r="E52" s="198">
        <v>0.10550416666666668</v>
      </c>
      <c r="F52" s="198">
        <v>0</v>
      </c>
      <c r="G52" s="215">
        <v>0</v>
      </c>
      <c r="H52" s="131"/>
    </row>
    <row r="53" spans="1:8" x14ac:dyDescent="0.25">
      <c r="A53" s="133"/>
      <c r="B53" s="204" t="str">
        <v>Concrete, 40 MPa, in-situ, no reinforcement, (Futurecrete® N Class
GP:GL:Slag 40 MPa
- Winnellie) (Adbri) (NT)</v>
      </c>
      <c r="C53" s="132" t="str">
        <v>m³</v>
      </c>
      <c r="D53" s="198">
        <v>298.24599999999998</v>
      </c>
      <c r="E53" s="198">
        <v>0.12426916666666667</v>
      </c>
      <c r="F53" s="198">
        <v>0</v>
      </c>
      <c r="G53" s="215">
        <v>0</v>
      </c>
      <c r="H53" s="131"/>
    </row>
    <row r="54" spans="1:8" x14ac:dyDescent="0.25">
      <c r="A54" s="133"/>
      <c r="B54" s="204" t="str">
        <v>Concrete, 40 MPa, in-situ, no reinforcement, (NE402PTS2)(Ecopact) (Holcim) (NSW), (Sydney)</v>
      </c>
      <c r="C54" s="132" t="str">
        <v>m³</v>
      </c>
      <c r="D54" s="198">
        <v>293.24</v>
      </c>
      <c r="E54" s="198">
        <v>0.12218333333333334</v>
      </c>
      <c r="F54" s="198">
        <v>0</v>
      </c>
      <c r="G54" s="215">
        <v>0</v>
      </c>
      <c r="H54" s="131"/>
    </row>
    <row r="55" spans="1:8" x14ac:dyDescent="0.25">
      <c r="A55" s="133"/>
      <c r="B55" s="204" t="str">
        <v>Concrete, 40 MPa, in-situ, no reinforcement, (QE401E) (Ecopact) (Holcim) (QLD), Gold Coast</v>
      </c>
      <c r="C55" s="132" t="str">
        <v>m³</v>
      </c>
      <c r="D55" s="198">
        <v>220.18</v>
      </c>
      <c r="E55" s="198">
        <v>9.1741666666666666E-2</v>
      </c>
      <c r="F55" s="198">
        <v>0</v>
      </c>
      <c r="G55" s="215">
        <v>0</v>
      </c>
      <c r="H55" s="131"/>
    </row>
    <row r="56" spans="1:8" x14ac:dyDescent="0.25">
      <c r="A56" s="133"/>
      <c r="B56" s="204" t="str">
        <v>Concrete, 40 MPa, in-situ, no reinforcement, (NE402E1)(Ecopact) (Holcim) (NSW), (Sydney)</v>
      </c>
      <c r="C56" s="132" t="str">
        <v>m³</v>
      </c>
      <c r="D56" s="198">
        <v>199.16</v>
      </c>
      <c r="E56" s="198">
        <v>8.2983333333333339E-2</v>
      </c>
      <c r="F56" s="198">
        <v>0</v>
      </c>
      <c r="G56" s="215">
        <v>0</v>
      </c>
      <c r="H56" s="131"/>
    </row>
    <row r="57" spans="1:8" x14ac:dyDescent="0.25">
      <c r="A57" s="133"/>
      <c r="B57" s="204" t="str">
        <v>Concrete, 40 MPa, in-situ, no reinforcement, (NE402E5)(Ecopact) (Holcim) (NSW), (Sydney)</v>
      </c>
      <c r="C57" s="132" t="str">
        <v>m³</v>
      </c>
      <c r="D57" s="198">
        <v>200.16</v>
      </c>
      <c r="E57" s="198">
        <v>8.3400000000000002E-2</v>
      </c>
      <c r="F57" s="198">
        <v>0</v>
      </c>
      <c r="G57" s="215">
        <v>0</v>
      </c>
      <c r="H57" s="131"/>
    </row>
    <row r="58" spans="1:8" x14ac:dyDescent="0.25">
      <c r="A58" s="133"/>
      <c r="B58" s="204" t="str">
        <v>Concrete, 40 MPa, in-situ, no reinforcement, (NE402PT2)(Ecopact) (Holcim) (NSW), (Sydney)</v>
      </c>
      <c r="C58" s="132" t="str">
        <v>m³</v>
      </c>
      <c r="D58" s="198">
        <v>288.23</v>
      </c>
      <c r="E58" s="198">
        <v>0.12009583333333333</v>
      </c>
      <c r="F58" s="198">
        <v>0</v>
      </c>
      <c r="G58" s="215">
        <v>0</v>
      </c>
      <c r="H58" s="131"/>
    </row>
    <row r="59" spans="1:8" x14ac:dyDescent="0.25">
      <c r="A59" s="133"/>
      <c r="B59" s="204" t="str">
        <v>Concrete, 40 MPa, in-situ, no reinforcement, (40MPa 20MM FIBRE CONCRETE) (Adbri) (VIC)</v>
      </c>
      <c r="C59" s="132" t="str">
        <v>m³</v>
      </c>
      <c r="D59" s="198">
        <v>290.23</v>
      </c>
      <c r="E59" s="198">
        <v>0.12092916666666667</v>
      </c>
      <c r="F59" s="198">
        <v>0</v>
      </c>
      <c r="G59" s="215">
        <v>0</v>
      </c>
      <c r="H59" s="131"/>
    </row>
    <row r="60" spans="1:8" x14ac:dyDescent="0.25">
      <c r="A60" s="133"/>
      <c r="B60" s="204" t="str">
        <v>Concrete, 40 MPa, in-situ, no reinforcement, (Futurecrete®
N class GP/GL:FA
40 MPa) (Adbri) (QLD)</v>
      </c>
      <c r="C60" s="132" t="str">
        <v>m³</v>
      </c>
      <c r="D60" s="198">
        <v>324.25599999999997</v>
      </c>
      <c r="E60" s="198">
        <v>0.13510666666666668</v>
      </c>
      <c r="F60" s="198">
        <v>0</v>
      </c>
      <c r="G60" s="215">
        <v>0</v>
      </c>
      <c r="H60" s="131"/>
    </row>
    <row r="61" spans="1:8" x14ac:dyDescent="0.25">
      <c r="A61" s="133"/>
      <c r="B61" s="204" t="str">
        <v>Concrete, 40 MPa, in-situ, no reinforcement, (Adbri concrete
N class GP/GL
40 MPa) (Adbri) (QLD)</v>
      </c>
      <c r="C61" s="132" t="str">
        <v>m³</v>
      </c>
      <c r="D61" s="198">
        <v>390.30799999999999</v>
      </c>
      <c r="E61" s="198">
        <v>0.16262833333333335</v>
      </c>
      <c r="F61" s="198">
        <v>0</v>
      </c>
      <c r="G61" s="215">
        <v>0</v>
      </c>
      <c r="H61" s="131"/>
    </row>
    <row r="62" spans="1:8" x14ac:dyDescent="0.25">
      <c r="A62" s="133"/>
      <c r="B62" s="204" t="str">
        <v>Concrete, 40 MPa, in-situ, no reinforcement, (40MPa 14MM TREMIE 160 SLUMP) (Adbri) (VIC)</v>
      </c>
      <c r="C62" s="132" t="str">
        <v>m³</v>
      </c>
      <c r="D62" s="198">
        <v>317.25</v>
      </c>
      <c r="E62" s="198">
        <v>0.13218749999999999</v>
      </c>
      <c r="F62" s="198">
        <v>0</v>
      </c>
      <c r="G62" s="215">
        <v>0</v>
      </c>
      <c r="H62" s="131"/>
    </row>
    <row r="63" spans="1:8" x14ac:dyDescent="0.25">
      <c r="A63" s="133"/>
      <c r="B63" s="204" t="str">
        <v>Concrete, 40 MPa, in-situ, no reinforcement, (QE401EEZY) (Ecopact) (Holcim) (QLD), Gold Coast</v>
      </c>
      <c r="C63" s="132" t="str">
        <v>m³</v>
      </c>
      <c r="D63" s="198">
        <v>241.19</v>
      </c>
      <c r="E63" s="198">
        <v>0.10049583333333334</v>
      </c>
      <c r="F63" s="198">
        <v>0</v>
      </c>
      <c r="G63" s="215">
        <v>0</v>
      </c>
      <c r="H63" s="131"/>
    </row>
    <row r="64" spans="1:8" x14ac:dyDescent="0.25">
      <c r="A64" s="133"/>
      <c r="B64" s="204" t="str">
        <v>Concrete, 40 MPa, in-situ, no reinforcement, (NE401E2)(Ecopact) (Holcim) (NSW), (Sydney)</v>
      </c>
      <c r="C64" s="132" t="str">
        <v>m³</v>
      </c>
      <c r="D64" s="198">
        <v>216.17</v>
      </c>
      <c r="E64" s="198">
        <v>9.0070833333333336E-2</v>
      </c>
      <c r="F64" s="198">
        <v>0</v>
      </c>
      <c r="G64" s="215">
        <v>0</v>
      </c>
      <c r="H64" s="131"/>
    </row>
    <row r="65" spans="1:8" x14ac:dyDescent="0.25">
      <c r="A65" s="133"/>
      <c r="B65" s="204" t="str">
        <v>Concrete, 40 MPa, in-situ, no reinforcement, (QE407EBMX) (Ecopact) (Holcim) (QLD), Gold Coast</v>
      </c>
      <c r="C65" s="132" t="str">
        <v>m³</v>
      </c>
      <c r="D65" s="198">
        <v>258.2</v>
      </c>
      <c r="E65" s="198">
        <v>0.10758333333333334</v>
      </c>
      <c r="F65" s="198">
        <v>0</v>
      </c>
      <c r="G65" s="215">
        <v>0</v>
      </c>
      <c r="H65" s="131"/>
    </row>
    <row r="66" spans="1:8" x14ac:dyDescent="0.25">
      <c r="A66" s="133"/>
      <c r="B66" s="204" t="str">
        <v>Concrete, 40 MPa, in-situ, no reinforcement, (QE401E200) (Ecopact) (Holcim) (QLD) (Brisbane)</v>
      </c>
      <c r="C66" s="132" t="str">
        <v>m³</v>
      </c>
      <c r="D66" s="198">
        <v>233.18</v>
      </c>
      <c r="E66" s="198">
        <v>9.7158333333333333E-2</v>
      </c>
      <c r="F66" s="198">
        <v>0</v>
      </c>
      <c r="G66" s="215">
        <v>0</v>
      </c>
      <c r="H66" s="131"/>
    </row>
    <row r="67" spans="1:8" x14ac:dyDescent="0.25">
      <c r="A67" s="133"/>
      <c r="B67" s="204" t="str">
        <v>Concrete, 40 MPa, in-situ, no reinforcement, (QE401EDUF) (Ecopact) (Holcim) (QLD), Gold Coast</v>
      </c>
      <c r="C67" s="132" t="str">
        <v>m³</v>
      </c>
      <c r="D67" s="198">
        <v>259.2</v>
      </c>
      <c r="E67" s="198">
        <v>0.108</v>
      </c>
      <c r="F67" s="198">
        <v>0</v>
      </c>
      <c r="G67" s="215">
        <v>0</v>
      </c>
      <c r="H67" s="131"/>
    </row>
    <row r="68" spans="1:8" x14ac:dyDescent="0.25">
      <c r="A68" s="133"/>
      <c r="B68" s="204" t="str">
        <v>Concrete, 40 MPa, in-situ, no reinforcement, (40MPa 20MM
PANEL CONCRETE
30% BL 120 SL) (Adbri) (VIC)</v>
      </c>
      <c r="C68" s="132" t="str">
        <v>m³</v>
      </c>
      <c r="D68" s="198">
        <v>259.2</v>
      </c>
      <c r="E68" s="198">
        <v>0.108</v>
      </c>
      <c r="F68" s="198">
        <v>0</v>
      </c>
      <c r="G68" s="215">
        <v>0</v>
      </c>
      <c r="H68" s="131"/>
    </row>
    <row r="69" spans="1:8" x14ac:dyDescent="0.25">
      <c r="A69" s="133"/>
      <c r="B69" s="204" t="str">
        <v>Concrete, 40 MPa, in-situ, no reinforcement, (QE402E100) (Ecopact) (Holcim) (QLD), Gold Coast</v>
      </c>
      <c r="C69" s="132" t="str">
        <v>m³</v>
      </c>
      <c r="D69" s="198">
        <v>234.18</v>
      </c>
      <c r="E69" s="198">
        <v>9.7575000000000009E-2</v>
      </c>
      <c r="F69" s="198">
        <v>0</v>
      </c>
      <c r="G69" s="215">
        <v>0</v>
      </c>
      <c r="H69" s="131"/>
    </row>
    <row r="70" spans="1:8" x14ac:dyDescent="0.25">
      <c r="A70" s="133"/>
      <c r="B70" s="204" t="str">
        <v>Concrete, 40 MPa, in-situ, no reinforcement, (QE401EEZY) (Ecopact) (Holcim) (QLD) (Brisbane)</v>
      </c>
      <c r="C70" s="132" t="str">
        <v>m³</v>
      </c>
      <c r="D70" s="198">
        <v>234.18</v>
      </c>
      <c r="E70" s="198">
        <v>9.7575000000000009E-2</v>
      </c>
      <c r="F70" s="198">
        <v>0</v>
      </c>
      <c r="G70" s="215">
        <v>0</v>
      </c>
      <c r="H70" s="131"/>
    </row>
    <row r="71" spans="1:8" x14ac:dyDescent="0.25">
      <c r="A71" s="133"/>
      <c r="B71" s="204" t="str">
        <v>Concrete, 40 MPa, in-situ, no reinforcement, (QE402EEZY) (Ecopact) (Holcim) (QLD), Gold Coast</v>
      </c>
      <c r="C71" s="132" t="str">
        <v>m³</v>
      </c>
      <c r="D71" s="198">
        <v>235.18</v>
      </c>
      <c r="E71" s="198">
        <v>9.7991666666666671E-2</v>
      </c>
      <c r="F71" s="198">
        <v>0</v>
      </c>
      <c r="G71" s="215">
        <v>0</v>
      </c>
      <c r="H71" s="131"/>
    </row>
    <row r="72" spans="1:8" x14ac:dyDescent="0.25">
      <c r="A72" s="133"/>
      <c r="B72" s="204" t="str">
        <v>Concrete, 40 MPa, in-situ, no reinforcement, (QE401EL21) (Ecopact) (Holcim) (QLD), Gold Coast</v>
      </c>
      <c r="C72" s="132" t="str">
        <v>m³</v>
      </c>
      <c r="D72" s="198">
        <v>250.19</v>
      </c>
      <c r="E72" s="198">
        <v>0.10424583333333334</v>
      </c>
      <c r="F72" s="198">
        <v>0</v>
      </c>
      <c r="G72" s="215">
        <v>0</v>
      </c>
      <c r="H72" s="131"/>
    </row>
    <row r="73" spans="1:8" x14ac:dyDescent="0.25">
      <c r="A73" s="133"/>
      <c r="B73" s="204" t="str">
        <v>Concrete, 40 MPa, in-situ, no reinforcement, (QE402E100) (Ecopact) (Holcim) (QLD) (Brisbane)</v>
      </c>
      <c r="C73" s="132" t="str">
        <v>m³</v>
      </c>
      <c r="D73" s="198">
        <v>224.17</v>
      </c>
      <c r="E73" s="198">
        <v>9.3404166666666677E-2</v>
      </c>
      <c r="F73" s="198">
        <v>0</v>
      </c>
      <c r="G73" s="215">
        <v>0</v>
      </c>
      <c r="H73" s="131"/>
    </row>
    <row r="74" spans="1:8" x14ac:dyDescent="0.25">
      <c r="A74" s="133"/>
      <c r="B74" s="204" t="str">
        <v>Concrete, 40 MPa, in-situ, no reinforcement, (QE402PT2) (Ecopact) (Holcim) (QLD), Gold Coast</v>
      </c>
      <c r="C74" s="132" t="str">
        <v>m³</v>
      </c>
      <c r="D74" s="198">
        <v>305.23</v>
      </c>
      <c r="E74" s="198">
        <v>0.12717916666666665</v>
      </c>
      <c r="F74" s="198">
        <v>0</v>
      </c>
      <c r="G74" s="215">
        <v>0</v>
      </c>
      <c r="H74" s="131"/>
    </row>
    <row r="75" spans="1:8" x14ac:dyDescent="0.25">
      <c r="A75" s="133"/>
      <c r="B75" s="204" t="str">
        <v>Concrete, 40 MPa, in-situ, no reinforcement, (QE401EL21) (Ecopact) (Holcim) (QLD) (Brisbane)</v>
      </c>
      <c r="C75" s="132" t="str">
        <v>m³</v>
      </c>
      <c r="D75" s="198">
        <v>239.18</v>
      </c>
      <c r="E75" s="198">
        <v>9.9658333333333335E-2</v>
      </c>
      <c r="F75" s="198">
        <v>0</v>
      </c>
      <c r="G75" s="215">
        <v>0</v>
      </c>
      <c r="H75" s="131"/>
    </row>
    <row r="76" spans="1:8" x14ac:dyDescent="0.25">
      <c r="A76" s="133"/>
      <c r="B76" s="204" t="str">
        <v>Concrete, 40 MPa, in-situ, no reinforcement, (QE401EDUF) (Ecopact) (Holcim) (QLD) (Brisbane)</v>
      </c>
      <c r="C76" s="132" t="str">
        <v>m³</v>
      </c>
      <c r="D76" s="198">
        <v>253.19</v>
      </c>
      <c r="E76" s="198">
        <v>0.10549583333333334</v>
      </c>
      <c r="F76" s="198">
        <v>0</v>
      </c>
      <c r="G76" s="215">
        <v>0</v>
      </c>
      <c r="H76" s="131"/>
    </row>
    <row r="77" spans="1:8" x14ac:dyDescent="0.25">
      <c r="A77" s="133"/>
      <c r="B77" s="204" t="str">
        <v>Concrete, 40 MPa, in-situ, no reinforcement, (QE401E100) (Ecopact) (Holcim) (QLD), Gold Coast</v>
      </c>
      <c r="C77" s="132" t="str">
        <v>m³</v>
      </c>
      <c r="D77" s="198">
        <v>240.18</v>
      </c>
      <c r="E77" s="198">
        <v>0.10007500000000001</v>
      </c>
      <c r="F77" s="198">
        <v>0</v>
      </c>
      <c r="G77" s="215">
        <v>0</v>
      </c>
      <c r="H77" s="131"/>
    </row>
    <row r="78" spans="1:8" x14ac:dyDescent="0.25">
      <c r="A78" s="133"/>
      <c r="B78" s="204" t="str">
        <v>Concrete, 40 MPa, in-situ, no reinforcement, (Adbri concrete
N class GP/GL:FA
40 MPa) (Adbri) (QLD)</v>
      </c>
      <c r="C78" s="132" t="str">
        <v>m³</v>
      </c>
      <c r="D78" s="198">
        <v>327.245</v>
      </c>
      <c r="E78" s="198">
        <v>0.13635208333333335</v>
      </c>
      <c r="F78" s="198">
        <v>0</v>
      </c>
      <c r="G78" s="215">
        <v>0</v>
      </c>
      <c r="H78" s="131"/>
    </row>
    <row r="79" spans="1:8" x14ac:dyDescent="0.25">
      <c r="A79" s="133"/>
      <c r="B79" s="204" t="str">
        <v>Concrete, 40 MPa, in-situ, no reinforcement, (QE402EEZY) (Ecopact) (Holcim) (QLD) (Brisbane)</v>
      </c>
      <c r="C79" s="132" t="str">
        <v>m³</v>
      </c>
      <c r="D79" s="198">
        <v>227.17</v>
      </c>
      <c r="E79" s="198">
        <v>9.4654166666666678E-2</v>
      </c>
      <c r="F79" s="198">
        <v>0</v>
      </c>
      <c r="G79" s="215">
        <v>0</v>
      </c>
      <c r="H79" s="131"/>
    </row>
    <row r="80" spans="1:8" x14ac:dyDescent="0.25">
      <c r="A80" s="133"/>
      <c r="B80" s="204" t="str">
        <v>Concrete, 40 MPa, in-situ, no reinforcement, (QE402E) (Ecopact) (Holcim) (QLD), Gold Coast</v>
      </c>
      <c r="C80" s="132" t="str">
        <v>m³</v>
      </c>
      <c r="D80" s="198">
        <v>228.17</v>
      </c>
      <c r="E80" s="198">
        <v>9.5070833333333341E-2</v>
      </c>
      <c r="F80" s="198">
        <v>0</v>
      </c>
      <c r="G80" s="215">
        <v>0</v>
      </c>
      <c r="H80" s="131"/>
    </row>
    <row r="81" spans="1:8" x14ac:dyDescent="0.25">
      <c r="A81" s="133"/>
      <c r="B81" s="204" t="str">
        <v>Concrete, 40 MPa, in-situ, no reinforcement, (QE401E200) (Ecopact) (Holcim) (QLD), Gold Coast</v>
      </c>
      <c r="C81" s="132" t="str">
        <v>m³</v>
      </c>
      <c r="D81" s="198">
        <v>242.18</v>
      </c>
      <c r="E81" s="198">
        <v>0.10090833333333334</v>
      </c>
      <c r="F81" s="198">
        <v>0</v>
      </c>
      <c r="G81" s="215">
        <v>0</v>
      </c>
      <c r="H81" s="131"/>
    </row>
    <row r="82" spans="1:8" x14ac:dyDescent="0.25">
      <c r="A82" s="133"/>
      <c r="B82" s="204" t="str">
        <v>Concrete, 40 MPa, in-situ, no reinforcement, (40MPa PT 14MM
22 IN 3 DAYS) (Adbri) (VIC)</v>
      </c>
      <c r="C82" s="132" t="str">
        <v>m³</v>
      </c>
      <c r="D82" s="198">
        <v>310.23</v>
      </c>
      <c r="E82" s="198">
        <v>0.1292625</v>
      </c>
      <c r="F82" s="198">
        <v>0</v>
      </c>
      <c r="G82" s="215">
        <v>0</v>
      </c>
      <c r="H82" s="131"/>
    </row>
    <row r="83" spans="1:8" x14ac:dyDescent="0.25">
      <c r="A83" s="133"/>
      <c r="B83" s="204" t="str">
        <v>Concrete, 40 MPa, in-situ, no reinforcement, (QE407EBMX) (Ecopact) (Holcim) (QLD) (Brisbane)</v>
      </c>
      <c r="C83" s="132" t="str">
        <v>m³</v>
      </c>
      <c r="D83" s="198">
        <v>258.19</v>
      </c>
      <c r="E83" s="198">
        <v>0.10757916666666667</v>
      </c>
      <c r="F83" s="198">
        <v>0</v>
      </c>
      <c r="G83" s="215">
        <v>0</v>
      </c>
      <c r="H83" s="131"/>
    </row>
    <row r="84" spans="1:8" x14ac:dyDescent="0.25">
      <c r="A84" s="133"/>
      <c r="B84" s="204" t="str">
        <v>Concrete, 40 MPa, in-situ, no reinforcement, (QE401E100) (Ecopact) (Holcim) (QLD) (Brisbane)</v>
      </c>
      <c r="C84" s="132" t="str">
        <v>m³</v>
      </c>
      <c r="D84" s="198">
        <v>231.17</v>
      </c>
      <c r="E84" s="198">
        <v>9.6320833333333342E-2</v>
      </c>
      <c r="F84" s="198">
        <v>0</v>
      </c>
      <c r="G84" s="215">
        <v>0</v>
      </c>
      <c r="H84" s="131"/>
    </row>
    <row r="85" spans="1:8" x14ac:dyDescent="0.25">
      <c r="A85" s="133"/>
      <c r="B85" s="204" t="str">
        <v>Concrete, 40 MPa, in-situ, no reinforcement, (QE402E) (Ecopact) (Holcim) (QLD) (Brisbane)</v>
      </c>
      <c r="C85" s="132" t="str">
        <v>m³</v>
      </c>
      <c r="D85" s="198">
        <v>219.16</v>
      </c>
      <c r="E85" s="198">
        <v>9.1316666666666671E-2</v>
      </c>
      <c r="F85" s="198">
        <v>0</v>
      </c>
      <c r="G85" s="215">
        <v>0</v>
      </c>
      <c r="H85" s="131"/>
    </row>
    <row r="86" spans="1:8" x14ac:dyDescent="0.25">
      <c r="A86" s="133"/>
      <c r="B86" s="204" t="str">
        <v>Concrete, 40 MPa, in-situ, no reinforcement, (CS4020E5)(LH) (BCG) (WA), (Perth)</v>
      </c>
      <c r="C86" s="132" t="str">
        <v>m³</v>
      </c>
      <c r="D86" s="198">
        <v>219.16</v>
      </c>
      <c r="E86" s="198">
        <v>9.1316666666666671E-2</v>
      </c>
      <c r="F86" s="198">
        <v>0</v>
      </c>
      <c r="G86" s="215">
        <v>0</v>
      </c>
      <c r="H86" s="131"/>
    </row>
    <row r="87" spans="1:8" x14ac:dyDescent="0.25">
      <c r="A87" s="133"/>
      <c r="B87" s="204" t="str">
        <v>Concrete, 40 MPa, in-situ, no reinforcement, (40MPa 14MM
20MPa IN 2 DAYS) (Adbri) (VIC)</v>
      </c>
      <c r="C87" s="132" t="str">
        <v>m³</v>
      </c>
      <c r="D87" s="198">
        <v>351.25</v>
      </c>
      <c r="E87" s="198">
        <v>0.14635416666666665</v>
      </c>
      <c r="F87" s="198">
        <v>0</v>
      </c>
      <c r="G87" s="215">
        <v>0</v>
      </c>
      <c r="H87" s="131"/>
    </row>
    <row r="88" spans="1:8" x14ac:dyDescent="0.25">
      <c r="A88" s="133"/>
      <c r="B88" s="204" t="str">
        <v>Concrete, 40 MPa, in-situ, no reinforcement, (QE402PT1) (Ecopact) (Holcim) (QLD), Gold Coast</v>
      </c>
      <c r="C88" s="132" t="str">
        <v>m³</v>
      </c>
      <c r="D88" s="198">
        <v>312.22000000000003</v>
      </c>
      <c r="E88" s="198">
        <v>0.13009166666666666</v>
      </c>
      <c r="F88" s="198">
        <v>0</v>
      </c>
      <c r="G88" s="215">
        <v>0</v>
      </c>
      <c r="H88" s="131"/>
    </row>
    <row r="89" spans="1:8" x14ac:dyDescent="0.25">
      <c r="A89" s="133"/>
      <c r="B89" s="204" t="str">
        <v>Concrete, 40 MPa, in-situ, no reinforcement, (40MPa 7MM
SPRAY CONCRETE (30kg/SF)) (Adbri) (VIC)</v>
      </c>
      <c r="C89" s="132" t="str">
        <v>m³</v>
      </c>
      <c r="D89" s="198">
        <v>281.19</v>
      </c>
      <c r="E89" s="198">
        <v>0.1171625</v>
      </c>
      <c r="F89" s="198">
        <v>0</v>
      </c>
      <c r="G89" s="215">
        <v>0</v>
      </c>
      <c r="H89" s="131"/>
    </row>
    <row r="90" spans="1:8" x14ac:dyDescent="0.25">
      <c r="A90" s="133"/>
      <c r="B90" s="204" t="str">
        <v>Concrete, 40 MPa, in-situ, no reinforcement, (WE404E1)(Ecopact) (Holcim) (WA), (Perth Metro)</v>
      </c>
      <c r="C90" s="132" t="str">
        <v>m³</v>
      </c>
      <c r="D90" s="198">
        <v>270.18</v>
      </c>
      <c r="E90" s="198">
        <v>0.11257500000000001</v>
      </c>
      <c r="F90" s="198">
        <v>0</v>
      </c>
      <c r="G90" s="215">
        <v>0</v>
      </c>
      <c r="H90" s="131"/>
    </row>
    <row r="91" spans="1:8" x14ac:dyDescent="0.25">
      <c r="A91" s="133"/>
      <c r="B91" s="204" t="str">
        <v>Concrete, 40 MPa, in-situ, no reinforcement, (WE401E1)(Ecopact) (Holcim) (WA), (Perth Metro)</v>
      </c>
      <c r="C91" s="132" t="str">
        <v>m³</v>
      </c>
      <c r="D91" s="198">
        <v>270.18</v>
      </c>
      <c r="E91" s="198">
        <v>0.11257500000000001</v>
      </c>
      <c r="F91" s="198">
        <v>0</v>
      </c>
      <c r="G91" s="215">
        <v>0</v>
      </c>
      <c r="H91" s="131"/>
    </row>
    <row r="92" spans="1:8" x14ac:dyDescent="0.25">
      <c r="A92" s="133"/>
      <c r="B92" s="204" t="str">
        <v>Concrete, 40 MPa, in-situ, no reinforcement, (WE404E2)(Ecopact) (Holcim) (WA), (Perth Metro)</v>
      </c>
      <c r="C92" s="132" t="str">
        <v>m³</v>
      </c>
      <c r="D92" s="198">
        <v>271.18</v>
      </c>
      <c r="E92" s="198">
        <v>0.11299166666666667</v>
      </c>
      <c r="F92" s="198">
        <v>0</v>
      </c>
      <c r="G92" s="215">
        <v>0</v>
      </c>
      <c r="H92" s="131"/>
    </row>
    <row r="93" spans="1:8" x14ac:dyDescent="0.25">
      <c r="A93" s="133"/>
      <c r="B93" s="204" t="str">
        <v>Concrete, 40 MPa, in-situ, no reinforcement, (WE401E2)(Ecopact) (Holcim) (WA), (Perth Metro)</v>
      </c>
      <c r="C93" s="132" t="str">
        <v>m³</v>
      </c>
      <c r="D93" s="198">
        <v>271.18</v>
      </c>
      <c r="E93" s="198">
        <v>0.11299166666666667</v>
      </c>
      <c r="F93" s="198">
        <v>0</v>
      </c>
      <c r="G93" s="215">
        <v>0</v>
      </c>
      <c r="H93" s="131"/>
    </row>
    <row r="94" spans="1:8" x14ac:dyDescent="0.25">
      <c r="A94" s="133"/>
      <c r="B94" s="204" t="str">
        <v>Concrete, 40 MPa, in-situ, no reinforcement, (WE404E4)(Ecopact) (Holcim) (WA), (Perth Metro)</v>
      </c>
      <c r="C94" s="132" t="str">
        <v>m³</v>
      </c>
      <c r="D94" s="198">
        <v>271.18</v>
      </c>
      <c r="E94" s="198">
        <v>0.11299166666666667</v>
      </c>
      <c r="F94" s="198">
        <v>0</v>
      </c>
      <c r="G94" s="215">
        <v>0</v>
      </c>
      <c r="H94" s="131"/>
    </row>
    <row r="95" spans="1:8" x14ac:dyDescent="0.25">
      <c r="A95" s="133"/>
      <c r="B95" s="204" t="str">
        <v>Concrete, 40 MPa, in-situ, no reinforcement, (WE401E4)(Ecopact) (Holcim) (WA), (Perth Metro)</v>
      </c>
      <c r="C95" s="132" t="str">
        <v>m³</v>
      </c>
      <c r="D95" s="198">
        <v>271.18</v>
      </c>
      <c r="E95" s="198">
        <v>0.11299166666666667</v>
      </c>
      <c r="F95" s="198">
        <v>0</v>
      </c>
      <c r="G95" s="215">
        <v>0</v>
      </c>
      <c r="H95" s="131"/>
    </row>
    <row r="96" spans="1:8" x14ac:dyDescent="0.25">
      <c r="A96" s="133"/>
      <c r="B96" s="204" t="str">
        <v>Concrete, 40 MPa, in-situ, no reinforcement, (QE402PT1) (Ecopact) (Holcim) (QLD) (Brisbane)</v>
      </c>
      <c r="C96" s="132" t="str">
        <v>m³</v>
      </c>
      <c r="D96" s="198">
        <v>293.19</v>
      </c>
      <c r="E96" s="198">
        <v>0.12216250000000001</v>
      </c>
      <c r="F96" s="198">
        <v>0</v>
      </c>
      <c r="G96" s="215">
        <v>0</v>
      </c>
      <c r="H96" s="131"/>
    </row>
    <row r="97" spans="1:8" x14ac:dyDescent="0.25">
      <c r="A97" s="133"/>
      <c r="B97" s="204" t="str">
        <v>Concrete, 40 MPa, in-situ, no reinforcement, (QE402PT2) (Ecopact) (Holcim) (QLD) (Brisbane)</v>
      </c>
      <c r="C97" s="132" t="str">
        <v>m³</v>
      </c>
      <c r="D97" s="198">
        <v>293.19</v>
      </c>
      <c r="E97" s="198">
        <v>0.12216250000000001</v>
      </c>
      <c r="F97" s="198">
        <v>0</v>
      </c>
      <c r="G97" s="215">
        <v>0</v>
      </c>
      <c r="H97" s="131"/>
    </row>
    <row r="98" spans="1:8" x14ac:dyDescent="0.25">
      <c r="A98" s="133"/>
      <c r="B98" s="204" t="str">
        <v>Concrete, 40 MPa, in-situ, no reinforcement, (WE402E1)(Ecopact) (Holcim) (WA), (Perth Metro)</v>
      </c>
      <c r="C98" s="132" t="str">
        <v>m³</v>
      </c>
      <c r="D98" s="198">
        <v>263.17</v>
      </c>
      <c r="E98" s="198">
        <v>0.10965416666666668</v>
      </c>
      <c r="F98" s="198">
        <v>0</v>
      </c>
      <c r="G98" s="215">
        <v>0</v>
      </c>
      <c r="H98" s="131"/>
    </row>
    <row r="99" spans="1:8" x14ac:dyDescent="0.25">
      <c r="A99" s="133"/>
      <c r="B99" s="204" t="str">
        <v>Concrete, 40 MPa, in-situ, no reinforcement, (QE402PT3) (Ecopact) (Holcim) (QLD) (Brisbane)</v>
      </c>
      <c r="C99" s="132" t="str">
        <v>m³</v>
      </c>
      <c r="D99" s="198">
        <v>294.19</v>
      </c>
      <c r="E99" s="198">
        <v>0.12257916666666667</v>
      </c>
      <c r="F99" s="198">
        <v>0</v>
      </c>
      <c r="G99" s="215">
        <v>0</v>
      </c>
      <c r="H99" s="131"/>
    </row>
    <row r="100" spans="1:8" x14ac:dyDescent="0.25">
      <c r="A100" s="133"/>
      <c r="B100" s="204" t="str">
        <v>Concrete, 40 MPa, in-situ, no reinforcement, (QE401LMO1) (Ecopact) (Holcim) (QLD) (Brisbane)</v>
      </c>
      <c r="C100" s="132" t="str">
        <v>m³</v>
      </c>
      <c r="D100" s="198">
        <v>310.2</v>
      </c>
      <c r="E100" s="198">
        <v>0.12925</v>
      </c>
      <c r="F100" s="198">
        <v>0</v>
      </c>
      <c r="G100" s="215">
        <v>0</v>
      </c>
      <c r="H100" s="131"/>
    </row>
    <row r="101" spans="1:8" x14ac:dyDescent="0.25">
      <c r="A101" s="133"/>
      <c r="B101" s="204" t="str">
        <v>Concrete, 40 MPa, in-situ, no reinforcement, (WE402E2)(Ecopact) (Holcim) (WA), (Perth Metro)</v>
      </c>
      <c r="C101" s="132" t="str">
        <v>m³</v>
      </c>
      <c r="D101" s="198">
        <v>264.17</v>
      </c>
      <c r="E101" s="198">
        <v>0.11007083333333334</v>
      </c>
      <c r="F101" s="198">
        <v>0</v>
      </c>
      <c r="G101" s="215">
        <v>0</v>
      </c>
      <c r="H101" s="131"/>
    </row>
    <row r="102" spans="1:8" x14ac:dyDescent="0.25">
      <c r="A102" s="133"/>
      <c r="B102" s="204" t="str">
        <v>Concrete, 40 MPa, in-situ, no reinforcement, (WE402E4)(Ecopact) (Holcim) (WA), (Perth Metro)</v>
      </c>
      <c r="C102" s="132" t="str">
        <v>m³</v>
      </c>
      <c r="D102" s="198">
        <v>264.17</v>
      </c>
      <c r="E102" s="198">
        <v>0.11007083333333334</v>
      </c>
      <c r="F102" s="198">
        <v>0</v>
      </c>
      <c r="G102" s="215">
        <v>0</v>
      </c>
      <c r="H102" s="131"/>
    </row>
    <row r="103" spans="1:8" x14ac:dyDescent="0.25">
      <c r="A103" s="133"/>
      <c r="B103" s="204" t="str">
        <v>Concrete, 40 MPa, in-situ, no reinforcement, (QE4022A31) (Ecopact) (Holcim) (QLD), Gold Coast</v>
      </c>
      <c r="C103" s="132" t="str">
        <v>m³</v>
      </c>
      <c r="D103" s="198">
        <v>311.2</v>
      </c>
      <c r="E103" s="198">
        <v>0.12966666666666665</v>
      </c>
      <c r="F103" s="198">
        <v>0</v>
      </c>
      <c r="G103" s="215">
        <v>0</v>
      </c>
      <c r="H103" s="131"/>
    </row>
    <row r="104" spans="1:8" x14ac:dyDescent="0.25">
      <c r="A104" s="133"/>
      <c r="B104" s="204" t="str">
        <v>Concrete, 40 MPa, in-situ, no reinforcement, (QE4022A41) (Ecopact) (Holcim) (QLD), Gold Coast</v>
      </c>
      <c r="C104" s="132" t="str">
        <v>m³</v>
      </c>
      <c r="D104" s="198">
        <v>311.2</v>
      </c>
      <c r="E104" s="198">
        <v>0.12966666666666665</v>
      </c>
      <c r="F104" s="198">
        <v>0</v>
      </c>
      <c r="G104" s="215">
        <v>0</v>
      </c>
      <c r="H104" s="131"/>
    </row>
    <row r="105" spans="1:8" x14ac:dyDescent="0.25">
      <c r="A105" s="133"/>
      <c r="B105" s="204" t="str">
        <v>Concrete, 40 MPa, in-situ, no reinforcement, (QE4022A51) (Ecopact) (Holcim) (QLD), Gold Coast</v>
      </c>
      <c r="C105" s="132" t="str">
        <v>m³</v>
      </c>
      <c r="D105" s="198">
        <v>311.2</v>
      </c>
      <c r="E105" s="198">
        <v>0.12966666666666665</v>
      </c>
      <c r="F105" s="198">
        <v>0</v>
      </c>
      <c r="G105" s="215">
        <v>0</v>
      </c>
      <c r="H105" s="131"/>
    </row>
    <row r="106" spans="1:8" x14ac:dyDescent="0.25">
      <c r="A106" s="133"/>
      <c r="B106" s="204" t="str">
        <v>Concrete, 40 MPa, in-situ, no reinforcement, (QE401LMO1) (Ecopact) (Holcim) (QLD), Gold Coast</v>
      </c>
      <c r="C106" s="132" t="str">
        <v>m³</v>
      </c>
      <c r="D106" s="198">
        <v>311.2</v>
      </c>
      <c r="E106" s="198">
        <v>0.12966666666666665</v>
      </c>
      <c r="F106" s="198">
        <v>0</v>
      </c>
      <c r="G106" s="215">
        <v>0</v>
      </c>
      <c r="H106" s="131"/>
    </row>
    <row r="107" spans="1:8" x14ac:dyDescent="0.25">
      <c r="A107" s="133"/>
      <c r="B107" s="204" t="str">
        <v>Concrete, 40 MPa, in-situ, no reinforcement, (QE402PT3) (Ecopact) (Holcim) (QLD), Gold Coast</v>
      </c>
      <c r="C107" s="132" t="str">
        <v>m³</v>
      </c>
      <c r="D107" s="198">
        <v>312.2</v>
      </c>
      <c r="E107" s="198">
        <v>0.13008333333333333</v>
      </c>
      <c r="F107" s="198">
        <v>0</v>
      </c>
      <c r="G107" s="215">
        <v>0</v>
      </c>
      <c r="H107" s="131"/>
    </row>
    <row r="108" spans="1:8" x14ac:dyDescent="0.25">
      <c r="A108" s="133"/>
      <c r="B108" s="204" t="str">
        <v>Concrete, 40 MPa, in-situ, no reinforcement, (QE4022A32) (Ecopact) (Holcim) (QLD), Gold Coast</v>
      </c>
      <c r="C108" s="132" t="str">
        <v>m³</v>
      </c>
      <c r="D108" s="198">
        <v>312.2</v>
      </c>
      <c r="E108" s="198">
        <v>0.13008333333333333</v>
      </c>
      <c r="F108" s="198">
        <v>0</v>
      </c>
      <c r="G108" s="215">
        <v>0</v>
      </c>
      <c r="H108" s="131"/>
    </row>
    <row r="109" spans="1:8" x14ac:dyDescent="0.25">
      <c r="A109" s="133"/>
      <c r="B109" s="204" t="str">
        <v>Concrete, 40 MPa, in-situ, no reinforcement, (QE4022A42) (Ecopact) (Holcim) (QLD), Gold Coast</v>
      </c>
      <c r="C109" s="132" t="str">
        <v>m³</v>
      </c>
      <c r="D109" s="198">
        <v>312.2</v>
      </c>
      <c r="E109" s="198">
        <v>0.13008333333333333</v>
      </c>
      <c r="F109" s="198">
        <v>0</v>
      </c>
      <c r="G109" s="215">
        <v>0</v>
      </c>
      <c r="H109" s="131"/>
    </row>
    <row r="110" spans="1:8" x14ac:dyDescent="0.25">
      <c r="A110" s="133"/>
      <c r="B110" s="204" t="str">
        <v>Concrete, 40 MPa, in-situ, no reinforcement, (QE4022A52) (Ecopact) (Holcim) (QLD), Gold Coast</v>
      </c>
      <c r="C110" s="132" t="str">
        <v>m³</v>
      </c>
      <c r="D110" s="198">
        <v>312.2</v>
      </c>
      <c r="E110" s="198">
        <v>0.13008333333333333</v>
      </c>
      <c r="F110" s="198">
        <v>0</v>
      </c>
      <c r="G110" s="215">
        <v>0</v>
      </c>
      <c r="H110" s="131"/>
    </row>
    <row r="111" spans="1:8" x14ac:dyDescent="0.25">
      <c r="A111" s="133"/>
      <c r="B111" s="204" t="str">
        <v>Concrete, 40 MPa, in-situ, no reinforcement, (QE4022A53) (Ecopact) (Holcim) (QLD), Gold Coast</v>
      </c>
      <c r="C111" s="132" t="str">
        <v>m³</v>
      </c>
      <c r="D111" s="198">
        <v>312.2</v>
      </c>
      <c r="E111" s="198">
        <v>0.13008333333333333</v>
      </c>
      <c r="F111" s="198">
        <v>0</v>
      </c>
      <c r="G111" s="215">
        <v>0</v>
      </c>
      <c r="H111" s="131"/>
    </row>
    <row r="112" spans="1:8" x14ac:dyDescent="0.25">
      <c r="A112" s="133"/>
      <c r="B112" s="204" t="str">
        <v>Concrete, 40 MPa, in-situ, no reinforcement, (QE402L652) (Ecopact) (Holcim) (QLD), Gold Coast</v>
      </c>
      <c r="C112" s="132" t="str">
        <v>m³</v>
      </c>
      <c r="D112" s="198">
        <v>312.2</v>
      </c>
      <c r="E112" s="198">
        <v>0.13008333333333333</v>
      </c>
      <c r="F112" s="198">
        <v>0</v>
      </c>
      <c r="G112" s="215">
        <v>0</v>
      </c>
      <c r="H112" s="131"/>
    </row>
    <row r="113" spans="1:8" x14ac:dyDescent="0.25">
      <c r="A113" s="133"/>
      <c r="B113" s="204" t="str">
        <v>Concrete, 40 MPa, in-situ, no reinforcement, (QE402LMO1) (Ecopact) (Holcim) (QLD) (Brisbane)</v>
      </c>
      <c r="C113" s="132" t="str">
        <v>m³</v>
      </c>
      <c r="D113" s="198">
        <v>301.19</v>
      </c>
      <c r="E113" s="198">
        <v>0.12549583333333333</v>
      </c>
      <c r="F113" s="198">
        <v>0</v>
      </c>
      <c r="G113" s="215">
        <v>0</v>
      </c>
      <c r="H113" s="131"/>
    </row>
    <row r="114" spans="1:8" x14ac:dyDescent="0.25">
      <c r="A114" s="133"/>
      <c r="B114" s="204" t="str">
        <v>Concrete, 40 MPa, in-situ, no reinforcement, (NE401E1L2)(Ecopact) (Holcim) (NSW), (Sydney)</v>
      </c>
      <c r="C114" s="132" t="str">
        <v>m³</v>
      </c>
      <c r="D114" s="198">
        <v>206.13</v>
      </c>
      <c r="E114" s="198">
        <v>8.5887499999999992E-2</v>
      </c>
      <c r="F114" s="198">
        <v>0</v>
      </c>
      <c r="G114" s="215">
        <v>0</v>
      </c>
      <c r="H114" s="131"/>
    </row>
    <row r="115" spans="1:8" x14ac:dyDescent="0.25">
      <c r="A115" s="133"/>
      <c r="B115" s="204" t="str">
        <v>Concrete, 40 MPa, in-situ, no reinforcement, (QE402L652) (Ecopact) (Holcim) (QLD) (Brisbane)</v>
      </c>
      <c r="C115" s="132" t="str">
        <v>m³</v>
      </c>
      <c r="D115" s="198">
        <v>287.18</v>
      </c>
      <c r="E115" s="198">
        <v>0.11965833333333334</v>
      </c>
      <c r="F115" s="198">
        <v>0</v>
      </c>
      <c r="G115" s="215">
        <v>0</v>
      </c>
      <c r="H115" s="131"/>
    </row>
    <row r="116" spans="1:8" x14ac:dyDescent="0.25">
      <c r="A116" s="133"/>
      <c r="B116" s="204" t="str">
        <v>Concrete, 40 MPa, in-situ, no reinforcement, (Futurecrete®  N
class Ternary
40 MPa) (Adbri) (QLD)</v>
      </c>
      <c r="C116" s="132" t="str">
        <v>m³</v>
      </c>
      <c r="D116" s="198">
        <v>336.209</v>
      </c>
      <c r="E116" s="198">
        <v>0.14008708333333333</v>
      </c>
      <c r="F116" s="198">
        <v>0</v>
      </c>
      <c r="G116" s="215">
        <v>0</v>
      </c>
      <c r="H116" s="131"/>
    </row>
    <row r="117" spans="1:8" x14ac:dyDescent="0.25">
      <c r="A117" s="133"/>
      <c r="B117" s="204" t="str">
        <v>Concrete, 40 MPa, in-situ, no reinforcement, (Futurecrete®  Special
Class GP 40 MPa
22 hours) (Adbri) (NT)</v>
      </c>
      <c r="C117" s="132" t="str">
        <v>m³</v>
      </c>
      <c r="D117" s="198">
        <v>448.27800000000002</v>
      </c>
      <c r="E117" s="198">
        <v>0.18678250000000002</v>
      </c>
      <c r="F117" s="198">
        <v>0</v>
      </c>
      <c r="G117" s="215">
        <v>0</v>
      </c>
      <c r="H117" s="131"/>
    </row>
    <row r="118" spans="1:8" x14ac:dyDescent="0.25">
      <c r="A118" s="133"/>
      <c r="B118" s="204" t="str">
        <v>Concrete, 40 MPa, in-situ, no reinforcement, (QE402LPN2) (Ecopact) (Holcim) (QLD), Gold Coast</v>
      </c>
      <c r="C118" s="132" t="str">
        <v>m³</v>
      </c>
      <c r="D118" s="198">
        <v>308.19</v>
      </c>
      <c r="E118" s="198">
        <v>0.12841249999999998</v>
      </c>
      <c r="F118" s="198">
        <v>0</v>
      </c>
      <c r="G118" s="215">
        <v>0</v>
      </c>
      <c r="H118" s="131"/>
    </row>
    <row r="119" spans="1:8" x14ac:dyDescent="0.25">
      <c r="A119" s="133"/>
      <c r="B119" s="204" t="str">
        <v>Concrete, 40 MPa, in-situ, no reinforcement, (Adbri Concrete N Class GP/GL 40 MPa) (Adbri) (VIC)</v>
      </c>
      <c r="C119" s="132" t="str">
        <v>m³</v>
      </c>
      <c r="D119" s="198">
        <v>318.19</v>
      </c>
      <c r="E119" s="198">
        <v>0.13257916666666666</v>
      </c>
      <c r="F119" s="198">
        <v>0</v>
      </c>
      <c r="G119" s="215">
        <v>0</v>
      </c>
      <c r="H119" s="131"/>
    </row>
    <row r="120" spans="1:8" x14ac:dyDescent="0.25">
      <c r="A120" s="133"/>
      <c r="B120" s="204" t="str">
        <v>Concrete, 40 MPa, in-situ, no reinforcement, (QE401ELCF) (Ecopact) (Holcim) (QLD) (Brisbane)</v>
      </c>
      <c r="C120" s="132" t="str">
        <v>m³</v>
      </c>
      <c r="D120" s="198">
        <v>289.17</v>
      </c>
      <c r="E120" s="198">
        <v>0.12048750000000001</v>
      </c>
      <c r="F120" s="198">
        <v>0</v>
      </c>
      <c r="G120" s="215">
        <v>0</v>
      </c>
      <c r="H120" s="131"/>
    </row>
    <row r="121" spans="1:8" x14ac:dyDescent="0.25">
      <c r="A121" s="133"/>
      <c r="B121" s="204" t="str">
        <v>Concrete, 40 MPa, in-situ, no reinforcement, (QE401ECFA) (Ecopact) (Holcim) (QLD) (Brisbane)</v>
      </c>
      <c r="C121" s="132" t="str">
        <v>m³</v>
      </c>
      <c r="D121" s="198">
        <v>289.16000000000003</v>
      </c>
      <c r="E121" s="198">
        <v>0.12048333333333335</v>
      </c>
      <c r="F121" s="198">
        <v>0</v>
      </c>
      <c r="G121" s="215">
        <v>0</v>
      </c>
      <c r="H121" s="131"/>
    </row>
    <row r="122" spans="1:8" x14ac:dyDescent="0.25">
      <c r="A122" s="133"/>
      <c r="B122" s="204" t="str">
        <v>Concrete, 40 MPa, in-situ, no reinforcement, (VE404EWC) (Ecopact) (Holcim) (VIC)</v>
      </c>
      <c r="C122" s="132" t="str">
        <v>m³</v>
      </c>
      <c r="D122" s="198">
        <v>241.13</v>
      </c>
      <c r="E122" s="198">
        <v>0.10047083333333333</v>
      </c>
      <c r="F122" s="198">
        <v>0</v>
      </c>
      <c r="G122" s="215">
        <v>0</v>
      </c>
      <c r="H122" s="131"/>
    </row>
    <row r="123" spans="1:8" x14ac:dyDescent="0.25">
      <c r="A123" s="133"/>
      <c r="B123" s="204" t="str">
        <v>Concrete, 40 MPa, in-situ, no reinforcement, (VE402ESW) (Ecopact) (Holcim) (VIC)</v>
      </c>
      <c r="C123" s="132" t="str">
        <v>m³</v>
      </c>
      <c r="D123" s="198">
        <v>241.13</v>
      </c>
      <c r="E123" s="198">
        <v>0.10047083333333333</v>
      </c>
      <c r="F123" s="198">
        <v>0</v>
      </c>
      <c r="G123" s="215">
        <v>0</v>
      </c>
      <c r="H123" s="131"/>
    </row>
    <row r="124" spans="1:8" x14ac:dyDescent="0.25">
      <c r="A124" s="133"/>
      <c r="B124" s="204" t="str">
        <v>Concrete, 40 MPa, in-situ, no reinforcement, (Adbri Concrete N Class GP:GL 40 MPa
- Katherine) (Adbri) (NT)</v>
      </c>
      <c r="C124" s="132" t="str">
        <v>m³</v>
      </c>
      <c r="D124" s="198">
        <v>406.15899999999999</v>
      </c>
      <c r="E124" s="198">
        <v>0.16923291666666665</v>
      </c>
      <c r="F124" s="198">
        <v>0</v>
      </c>
      <c r="G124" s="215">
        <v>0</v>
      </c>
      <c r="H124" s="131"/>
    </row>
    <row r="125" spans="1:8" x14ac:dyDescent="0.25">
      <c r="A125" s="133"/>
      <c r="B125" s="204" t="str">
        <v>Concrete, 40 MPa, in-situ, no reinforcement, (Adbri Concrete N Class GP:GL 40 MPa
- Alice Springs) (Adbri) (NT)</v>
      </c>
      <c r="C125" s="132" t="str">
        <v>m³</v>
      </c>
      <c r="D125" s="198">
        <v>545.20299999999997</v>
      </c>
      <c r="E125" s="198">
        <v>0.22716791666666666</v>
      </c>
      <c r="F125" s="198">
        <v>0</v>
      </c>
      <c r="G125" s="215">
        <v>0</v>
      </c>
      <c r="H125" s="131"/>
    </row>
    <row r="126" spans="1:8" x14ac:dyDescent="0.25">
      <c r="A126" s="133"/>
      <c r="B126" s="204" t="str">
        <v>Concrete, 35 MPa, in-situ, no reinforcement, (S35MPA S CLASS 20MM R83 MACHINE PLACED) (Adbri) (NSW)</v>
      </c>
      <c r="C126" s="132" t="str">
        <v>m³</v>
      </c>
      <c r="D126" s="198">
        <v>356.61</v>
      </c>
      <c r="E126" s="198">
        <v>0.14858750000000001</v>
      </c>
      <c r="F126" s="198">
        <v>0</v>
      </c>
      <c r="G126" s="215">
        <v>0</v>
      </c>
      <c r="H126" s="131"/>
    </row>
    <row r="127" spans="1:8" x14ac:dyDescent="0.25">
      <c r="A127" s="133"/>
      <c r="B127" s="204" t="str">
        <v>Concrete, 35 MPa, in-situ, no reinforcement, (S35MPA S CLASS 20MM R83 SLIPFORM) (Adbri) (NSW)</v>
      </c>
      <c r="C127" s="132" t="str">
        <v>m³</v>
      </c>
      <c r="D127" s="198">
        <v>355.03</v>
      </c>
      <c r="E127" s="198">
        <v>0.14792916666666667</v>
      </c>
      <c r="F127" s="198">
        <v>0</v>
      </c>
      <c r="G127" s="215">
        <v>0</v>
      </c>
      <c r="H127" s="131"/>
    </row>
    <row r="128" spans="1:8" x14ac:dyDescent="0.25">
      <c r="A128" s="133"/>
      <c r="B128" s="204" t="str">
        <v>Concrete, 40 MPa, in-situ, no reinforcement, (Futurecrete®  S Class
GP/GL:FA 40 MPa) (Adbri) (SA)</v>
      </c>
      <c r="C128" s="132" t="str">
        <v>m³</v>
      </c>
      <c r="D128" s="198">
        <v>234.82</v>
      </c>
      <c r="E128" s="198">
        <v>9.784166666666666E-2</v>
      </c>
      <c r="F128" s="198">
        <v>0</v>
      </c>
      <c r="G128" s="215">
        <v>0</v>
      </c>
      <c r="H128" s="131"/>
    </row>
    <row r="129" spans="1:8" x14ac:dyDescent="0.25">
      <c r="A129" s="133"/>
      <c r="B129" s="204" t="str">
        <v>Concrete, 40 MPa, in-situ, no reinforcement, (S40MPA 22MPA AT 7 DAYS 20MM) (Adbri) (NSW)</v>
      </c>
      <c r="C129" s="132" t="str">
        <v>m³</v>
      </c>
      <c r="D129" s="198">
        <v>398.24</v>
      </c>
      <c r="E129" s="198">
        <v>0.16593333333333335</v>
      </c>
      <c r="F129" s="198">
        <v>0</v>
      </c>
      <c r="G129" s="215">
        <v>0</v>
      </c>
      <c r="H129" s="131"/>
    </row>
    <row r="130" spans="1:8" x14ac:dyDescent="0.25">
      <c r="A130" s="133"/>
      <c r="B130" s="204" t="str">
        <v>Concrete, 40 MPa, in-situ, no reinforcement, (S40MPA 22MPA AT 5 DAYS 20MM) (Adbri) (NSW)</v>
      </c>
      <c r="C130" s="132" t="str">
        <v>m³</v>
      </c>
      <c r="D130" s="198">
        <v>401.06</v>
      </c>
      <c r="E130" s="198">
        <v>0.16710833333333333</v>
      </c>
      <c r="F130" s="198">
        <v>0</v>
      </c>
      <c r="G130" s="215">
        <v>0</v>
      </c>
      <c r="H130" s="131"/>
    </row>
    <row r="131" spans="1:8" x14ac:dyDescent="0.25">
      <c r="A131" s="133"/>
      <c r="B131" s="204" t="str">
        <v>Concrete, 40 MPa, in-situ, no reinforcement, (S40MPA 25MPA AT 7 DAYS 20MM) (Adbri) (NSW)</v>
      </c>
      <c r="C131" s="132" t="str">
        <v>m³</v>
      </c>
      <c r="D131" s="198">
        <v>401.06</v>
      </c>
      <c r="E131" s="198">
        <v>0.16710833333333333</v>
      </c>
      <c r="F131" s="198">
        <v>0</v>
      </c>
      <c r="G131" s="215">
        <v>0</v>
      </c>
      <c r="H131" s="131"/>
    </row>
    <row r="132" spans="1:8" x14ac:dyDescent="0.25">
      <c r="A132" s="133"/>
      <c r="B132" s="204" t="str">
        <v>Concrete, 40 MPa, in-situ, no reinforcement, (S40MPA 22MPA AT 4 DAYS 20MM) (Adbri) (NSW)</v>
      </c>
      <c r="C132" s="132" t="str">
        <v>m³</v>
      </c>
      <c r="D132" s="198">
        <v>405.74</v>
      </c>
      <c r="E132" s="198">
        <v>0.16905833333333334</v>
      </c>
      <c r="F132" s="198">
        <v>0</v>
      </c>
      <c r="G132" s="215">
        <v>0</v>
      </c>
      <c r="H132" s="131"/>
    </row>
    <row r="133" spans="1:8" x14ac:dyDescent="0.25">
      <c r="A133" s="133"/>
      <c r="B133" s="204" t="str">
        <v>Concrete, 40 MPa, in-situ, no reinforcement, (S40MPA 25MPA AT 5 DAYS 20MM) (Adbri) (NSW)</v>
      </c>
      <c r="C133" s="132" t="str">
        <v>m³</v>
      </c>
      <c r="D133" s="198">
        <v>410.45</v>
      </c>
      <c r="E133" s="198">
        <v>0.17102083333333332</v>
      </c>
      <c r="F133" s="198">
        <v>0</v>
      </c>
      <c r="G133" s="215">
        <v>0</v>
      </c>
      <c r="H133" s="131"/>
    </row>
    <row r="134" spans="1:8" x14ac:dyDescent="0.25">
      <c r="A134" s="133"/>
      <c r="B134" s="204" t="str">
        <v>Concrete, 40 MPa, in-situ, no reinforcement, (S40MPA 22MPA AT 4 DAYS 20MM 120MM SLUMP) (Adbri) (NSW)</v>
      </c>
      <c r="C134" s="132" t="str">
        <v>m³</v>
      </c>
      <c r="D134" s="198">
        <v>424.55</v>
      </c>
      <c r="E134" s="198">
        <v>0.17689583333333334</v>
      </c>
      <c r="F134" s="198">
        <v>0</v>
      </c>
      <c r="G134" s="215">
        <v>0</v>
      </c>
      <c r="H134" s="131"/>
    </row>
    <row r="135" spans="1:8" x14ac:dyDescent="0.25">
      <c r="A135" s="133"/>
      <c r="B135" s="204" t="str">
        <v>Concrete, 40 MPa, in-situ, no reinforcement, (S40MPA PT DECK
25MPA AT 3 DAYS
20MM) (Adbri) (NSW)</v>
      </c>
      <c r="C135" s="132" t="str">
        <v>m³</v>
      </c>
      <c r="D135" s="198">
        <v>424.55</v>
      </c>
      <c r="E135" s="198">
        <v>0.17689583333333334</v>
      </c>
      <c r="F135" s="198">
        <v>0</v>
      </c>
      <c r="G135" s="215">
        <v>0</v>
      </c>
      <c r="H135" s="131"/>
    </row>
    <row r="136" spans="1:8" x14ac:dyDescent="0.25">
      <c r="A136" s="133"/>
      <c r="B136" s="204" t="str">
        <v>Concrete, 40 MPa, in-situ, no reinforcement, (Futurecrete®  Ultra N Class GP/ GL:Slag 40 MPa) (Adbri) (NSW)</v>
      </c>
      <c r="C136" s="132" t="str">
        <v>m³</v>
      </c>
      <c r="D136" s="198">
        <v>287.0163</v>
      </c>
      <c r="E136" s="198">
        <v>0.11959012500000002</v>
      </c>
      <c r="F136" s="198">
        <v>0</v>
      </c>
      <c r="G136" s="215">
        <v>0</v>
      </c>
      <c r="H136" s="131"/>
    </row>
    <row r="137" spans="1:8" x14ac:dyDescent="0.25">
      <c r="A137" s="133"/>
      <c r="B137" s="204" t="str">
        <v>Concrete, 40 MPa, in-situ, no reinforcement, (S40MPA RTA
SP40HC 20MM SP [HIGH EARLY]) (Adbri) (NSW)</v>
      </c>
      <c r="C137" s="132" t="str">
        <v>m³</v>
      </c>
      <c r="D137" s="198">
        <v>502.89</v>
      </c>
      <c r="E137" s="198">
        <v>0.20953749999999999</v>
      </c>
      <c r="F137" s="198">
        <v>0</v>
      </c>
      <c r="G137" s="215">
        <v>0</v>
      </c>
      <c r="H137" s="131"/>
    </row>
    <row r="138" spans="1:8" x14ac:dyDescent="0.25">
      <c r="A138" s="133"/>
      <c r="B138" s="204" t="str">
        <v>Concrete, 40 MPa, in-situ, no reinforcement, (S40MPA 20MM RTA 3201 SP40H) (Adbri) (NSW)</v>
      </c>
      <c r="C138" s="132" t="str">
        <v>m³</v>
      </c>
      <c r="D138" s="198">
        <v>513.4</v>
      </c>
      <c r="E138" s="198">
        <v>0.21391666666666664</v>
      </c>
      <c r="F138" s="198">
        <v>0</v>
      </c>
      <c r="G138" s="215">
        <v>0</v>
      </c>
      <c r="H138" s="131"/>
    </row>
    <row r="139" spans="1:8" x14ac:dyDescent="0.25">
      <c r="A139" s="133"/>
      <c r="B139" s="204" t="str">
        <v>Concrete, 40 MPa, in-situ, no reinforcement, (Futurecrete®  Ultra S40MPA 20MM RMS B80 B2
EXPOSURE AP) (Adbri) (NSW)</v>
      </c>
      <c r="C139" s="132" t="str">
        <v>m³</v>
      </c>
      <c r="D139" s="198">
        <v>283.18529999999998</v>
      </c>
      <c r="E139" s="198">
        <v>0.117993875</v>
      </c>
      <c r="F139" s="198">
        <v>0</v>
      </c>
      <c r="G139" s="215">
        <v>0</v>
      </c>
      <c r="H139" s="131"/>
    </row>
    <row r="140" spans="1:8" x14ac:dyDescent="0.25">
      <c r="A140" s="133"/>
      <c r="B140" s="204" t="str">
        <v>Concrete, 40 MPa, in-situ, no reinforcement, (Futurecrete® S40MPA HY-LINE 2INCH 10MM PUMP
) (Adbri) (NSW)</v>
      </c>
      <c r="C140" s="132" t="str">
        <v>m³</v>
      </c>
      <c r="D140" s="198">
        <v>338.58319999999998</v>
      </c>
      <c r="E140" s="198">
        <v>0.14107633333333333</v>
      </c>
      <c r="F140" s="198">
        <v>0</v>
      </c>
      <c r="G140" s="215">
        <v>0</v>
      </c>
      <c r="H140" s="131"/>
    </row>
    <row r="141" spans="1:8" x14ac:dyDescent="0.25">
      <c r="A141" s="133"/>
      <c r="B141" s="204" t="str">
        <v>Concrete, 40 MPa, in-situ, no reinforcement, (Adbri Concrete
N Class GP/GL:FA
40 MPa) (Adbri) (NSW)</v>
      </c>
      <c r="C141" s="132" t="str">
        <v>m³</v>
      </c>
      <c r="D141" s="198">
        <v>366.72216000000003</v>
      </c>
      <c r="E141" s="198">
        <v>0.15280090000000002</v>
      </c>
      <c r="F141" s="198">
        <v>0</v>
      </c>
      <c r="G141" s="215">
        <v>0</v>
      </c>
      <c r="H141" s="131"/>
    </row>
    <row r="142" spans="1:8" x14ac:dyDescent="0.25">
      <c r="A142" s="133"/>
      <c r="B142" s="204" t="str">
        <v>Concrete, 40 MPa, in-situ, no reinforcement, (General) (Holcim) (NSW)(ACT)</v>
      </c>
      <c r="C142" s="132" t="str">
        <v>m³</v>
      </c>
      <c r="D142" s="198">
        <v>405</v>
      </c>
      <c r="E142" s="198">
        <v>0.16875000000000001</v>
      </c>
      <c r="F142" s="198">
        <v>0</v>
      </c>
      <c r="G142" s="215">
        <v>0</v>
      </c>
      <c r="H142" s="131"/>
    </row>
    <row r="143" spans="1:8" x14ac:dyDescent="0.25">
      <c r="A143" s="133"/>
      <c r="B143" s="204" t="str">
        <v>Concrete, 40 MPa, in-situ, no reinforcement, (Fly Ash) (Holcim) (NSW)(ACT)</v>
      </c>
      <c r="C143" s="132" t="str">
        <v>m³</v>
      </c>
      <c r="D143" s="198">
        <v>328</v>
      </c>
      <c r="E143" s="198">
        <v>0.13666666666666666</v>
      </c>
      <c r="F143" s="198">
        <v>0</v>
      </c>
      <c r="G143" s="215">
        <v>0</v>
      </c>
      <c r="H143" s="131"/>
    </row>
    <row r="144" spans="1:8" x14ac:dyDescent="0.25">
      <c r="A144" s="133"/>
      <c r="B144" s="204" t="str">
        <v>Concrete, 40 MPa, in-situ, no reinforcement, (GGBS Slag) (Holcim) (NSW)(ACT)</v>
      </c>
      <c r="C144" s="132" t="str">
        <v>m³</v>
      </c>
      <c r="D144" s="198">
        <v>243</v>
      </c>
      <c r="E144" s="198">
        <v>0.10125000000000001</v>
      </c>
      <c r="F144" s="198">
        <v>0</v>
      </c>
      <c r="G144" s="215">
        <v>0</v>
      </c>
      <c r="H144" s="131"/>
    </row>
    <row r="145" spans="1:8" x14ac:dyDescent="0.25">
      <c r="A145" s="133"/>
      <c r="B145" s="204" t="str">
        <v>Concrete, 40 MPa, in-situ, no reinforcement, (Triple Blend) (Holcim) (NSW)(ACT)</v>
      </c>
      <c r="C145" s="132" t="str">
        <v>m³</v>
      </c>
      <c r="D145" s="198">
        <v>219</v>
      </c>
      <c r="E145" s="198">
        <v>9.1249999999999998E-2</v>
      </c>
      <c r="F145" s="198">
        <v>0</v>
      </c>
      <c r="G145" s="215">
        <v>0</v>
      </c>
      <c r="H145" s="131"/>
    </row>
    <row r="146" spans="1:8" x14ac:dyDescent="0.25">
      <c r="A146" s="133"/>
      <c r="B146" s="204" t="str">
        <v>Concrete, 40 MPa, in-situ, no reinforcement,(General)  (Holcim)  (QLD)</v>
      </c>
      <c r="C146" s="132" t="str">
        <v>m³</v>
      </c>
      <c r="D146" s="198">
        <v>355</v>
      </c>
      <c r="E146" s="198">
        <v>0.14791666666666667</v>
      </c>
      <c r="F146" s="198">
        <v>0</v>
      </c>
      <c r="G146" s="215">
        <v>0</v>
      </c>
      <c r="H146" s="131"/>
    </row>
    <row r="147" spans="1:8" x14ac:dyDescent="0.25">
      <c r="A147" s="133"/>
      <c r="B147" s="204" t="str">
        <v>Concrete, 40 MPa, in-situ, no reinforcement,(Fly Ash)  (Holcim)  (QLD)</v>
      </c>
      <c r="C147" s="132" t="str">
        <v>m³</v>
      </c>
      <c r="D147" s="198">
        <v>297</v>
      </c>
      <c r="E147" s="198">
        <v>0.12375</v>
      </c>
      <c r="F147" s="198">
        <v>0</v>
      </c>
      <c r="G147" s="215">
        <v>0</v>
      </c>
      <c r="H147" s="131"/>
    </row>
    <row r="148" spans="1:8" x14ac:dyDescent="0.25">
      <c r="A148" s="133"/>
      <c r="B148" s="204" t="str">
        <v>Concrete, 40 MPa, in-situ, no reinforcement,(Triple Blend)  (Holcim)  (QLD)</v>
      </c>
      <c r="C148" s="132" t="str">
        <v>m³</v>
      </c>
      <c r="D148" s="198">
        <v>218</v>
      </c>
      <c r="E148" s="198">
        <v>9.0833333333333335E-2</v>
      </c>
      <c r="F148" s="198">
        <v>0</v>
      </c>
      <c r="G148" s="215">
        <v>0</v>
      </c>
      <c r="H148" s="131"/>
    </row>
    <row r="149" spans="1:8" x14ac:dyDescent="0.25">
      <c r="A149" s="133"/>
      <c r="B149" s="204" t="str">
        <v>Concrete, 40 MPa, in-situ, no reinforcement, (General) (Holcim) (VIC)</v>
      </c>
      <c r="C149" s="132" t="str">
        <v>m³</v>
      </c>
      <c r="D149" s="198">
        <v>386</v>
      </c>
      <c r="E149" s="198">
        <v>0.16083333333333333</v>
      </c>
      <c r="F149" s="198">
        <v>0</v>
      </c>
      <c r="G149" s="215">
        <v>0</v>
      </c>
      <c r="H149" s="131"/>
    </row>
    <row r="150" spans="1:8" x14ac:dyDescent="0.25">
      <c r="A150" s="133"/>
      <c r="B150" s="204" t="str">
        <v>Concrete, 40 MPa, in-situ, no reinforcement, (Fly Ash) (Holcim) (VIC)</v>
      </c>
      <c r="C150" s="132" t="str">
        <v>m³</v>
      </c>
      <c r="D150" s="198">
        <v>302</v>
      </c>
      <c r="E150" s="198">
        <v>0.12583333333333332</v>
      </c>
      <c r="F150" s="198">
        <v>0</v>
      </c>
      <c r="G150" s="215">
        <v>0</v>
      </c>
      <c r="H150" s="131"/>
    </row>
    <row r="151" spans="1:8" x14ac:dyDescent="0.25">
      <c r="A151" s="133"/>
      <c r="B151" s="204" t="str">
        <v>Concrete, 40 MPa, in-situ, no reinforcement, (Triple Blend) (Holcim) (VIC)</v>
      </c>
      <c r="C151" s="132" t="str">
        <v>m³</v>
      </c>
      <c r="D151" s="198">
        <v>272</v>
      </c>
      <c r="E151" s="198">
        <v>0.11333333333333333</v>
      </c>
      <c r="F151" s="198">
        <v>0</v>
      </c>
      <c r="G151" s="215">
        <v>0</v>
      </c>
      <c r="H151" s="131"/>
    </row>
    <row r="152" spans="1:8" x14ac:dyDescent="0.25">
      <c r="A152" s="133"/>
      <c r="B152" s="204" t="str">
        <v>Concrete, 40 MPa, in-situ, no reinforcement, (General) (Holcim) (SA)</v>
      </c>
      <c r="C152" s="132" t="str">
        <v>m³</v>
      </c>
      <c r="D152" s="198">
        <v>413</v>
      </c>
      <c r="E152" s="198">
        <v>0.17208333333333334</v>
      </c>
      <c r="F152" s="198">
        <v>0</v>
      </c>
      <c r="G152" s="215">
        <v>0</v>
      </c>
      <c r="H152" s="131"/>
    </row>
    <row r="153" spans="1:8" x14ac:dyDescent="0.25">
      <c r="A153" s="133"/>
      <c r="B153" s="204" t="str">
        <v>Concrete,  MPa, in-situ, no reinforcement, (Fly Ash) (Holcim) (SA)</v>
      </c>
      <c r="C153" s="132" t="str">
        <v>m³</v>
      </c>
      <c r="D153" s="198">
        <v>198</v>
      </c>
      <c r="E153" s="198">
        <v>8.2500000000000004E-2</v>
      </c>
      <c r="F153" s="198">
        <v>0</v>
      </c>
      <c r="G153" s="215">
        <v>0</v>
      </c>
      <c r="H153" s="131"/>
    </row>
    <row r="154" spans="1:8" x14ac:dyDescent="0.25">
      <c r="A154" s="133"/>
      <c r="B154" s="204" t="str">
        <v>Concrete,  MPa, in-situ, no reinforcement, (GGBS Slag) (Holcim) (SA)</v>
      </c>
      <c r="C154" s="132" t="str">
        <v>m³</v>
      </c>
      <c r="D154" s="198">
        <v>200</v>
      </c>
      <c r="E154" s="198">
        <v>8.3333333333333329E-2</v>
      </c>
      <c r="F154" s="198">
        <v>0</v>
      </c>
      <c r="G154" s="215">
        <v>0</v>
      </c>
      <c r="H154" s="131"/>
    </row>
    <row r="155" spans="1:8" x14ac:dyDescent="0.25">
      <c r="A155" s="133"/>
      <c r="B155" s="204" t="str">
        <v>Concrete, 40 MPa, in-situ, no reinforcement, (General) (Holcim) (WA)</v>
      </c>
      <c r="C155" s="132" t="str">
        <v>m³</v>
      </c>
      <c r="D155" s="198">
        <v>370</v>
      </c>
      <c r="E155" s="198">
        <v>0.15416666666666667</v>
      </c>
      <c r="F155" s="198">
        <v>0</v>
      </c>
      <c r="G155" s="215">
        <v>0</v>
      </c>
      <c r="H155" s="131"/>
    </row>
    <row r="156" spans="1:8" x14ac:dyDescent="0.25">
      <c r="A156" s="133"/>
      <c r="B156" s="204" t="str">
        <v>Concrete,  MPa, in-situ, no reinforcement, (GGBS Slag) (Holcim) (WA)</v>
      </c>
      <c r="C156" s="132" t="str">
        <v>m³</v>
      </c>
      <c r="D156" s="198">
        <v>207</v>
      </c>
      <c r="E156" s="198">
        <v>8.6249999999999993E-2</v>
      </c>
      <c r="F156" s="198">
        <v>0</v>
      </c>
      <c r="G156" s="215">
        <v>0</v>
      </c>
      <c r="H156" s="131"/>
    </row>
    <row r="157" spans="1:8" x14ac:dyDescent="0.25">
      <c r="A157" s="133"/>
      <c r="B157" s="204" t="str">
        <v>Concrete, 40 MPa, in-situ, no reinforcement, (NE402E151)(Ecopact) (Holcim) (ACT)</v>
      </c>
      <c r="C157" s="132" t="str">
        <v>m³</v>
      </c>
      <c r="D157" s="198">
        <v>260.60000000000002</v>
      </c>
      <c r="E157" s="198">
        <v>0.10858333333333334</v>
      </c>
      <c r="F157" s="198">
        <v>0</v>
      </c>
      <c r="G157" s="215">
        <v>0</v>
      </c>
      <c r="H157" s="131"/>
    </row>
    <row r="158" spans="1:8" x14ac:dyDescent="0.25">
      <c r="A158" s="133"/>
      <c r="B158" s="204" t="str">
        <v>Concrete, 40 MPa, in-situ, no reinforcement, (NE402E351)(Ecopact) (Holcim) (ACT)</v>
      </c>
      <c r="C158" s="132" t="str">
        <v>m³</v>
      </c>
      <c r="D158" s="198">
        <v>263.05</v>
      </c>
      <c r="E158" s="198">
        <v>0.10960416666666667</v>
      </c>
      <c r="F158" s="198">
        <v>0</v>
      </c>
      <c r="G158" s="215">
        <v>0</v>
      </c>
      <c r="H158" s="131"/>
    </row>
    <row r="159" spans="1:8" x14ac:dyDescent="0.25">
      <c r="A159" s="133"/>
      <c r="B159" s="204" t="str">
        <v>Concrete, 40 MPa, in-situ, no reinforcement, (NE401E151)(Ecopact) (Holcim) (ACT)</v>
      </c>
      <c r="C159" s="132" t="str">
        <v>m³</v>
      </c>
      <c r="D159" s="198">
        <v>260.86</v>
      </c>
      <c r="E159" s="198">
        <v>0.10869166666666667</v>
      </c>
      <c r="F159" s="198">
        <v>0</v>
      </c>
      <c r="G159" s="215">
        <v>0</v>
      </c>
      <c r="H159" s="131"/>
    </row>
    <row r="160" spans="1:8" x14ac:dyDescent="0.25">
      <c r="A160" s="133"/>
      <c r="B160" s="204" t="str">
        <v>Concrete, 40 MPa, in-situ, no reinforcement, (NE401E351)(Ecopact) (Holcim) (ACT)</v>
      </c>
      <c r="C160" s="132" t="str">
        <v>m³</v>
      </c>
      <c r="D160" s="198">
        <v>263.24</v>
      </c>
      <c r="E160" s="198">
        <v>0.10968333333333334</v>
      </c>
      <c r="F160" s="198">
        <v>0</v>
      </c>
      <c r="G160" s="215">
        <v>0</v>
      </c>
      <c r="H160" s="131"/>
    </row>
    <row r="161" spans="1:8" x14ac:dyDescent="0.25">
      <c r="A161" s="133"/>
      <c r="B161" s="204" t="str">
        <v>Concrete, 40 MPa, in-situ, no reinforcement, (VS401O100) (Holcim) (VIC)</v>
      </c>
      <c r="C161" s="132" t="str">
        <v>m³</v>
      </c>
      <c r="D161" s="198">
        <v>451.63</v>
      </c>
      <c r="E161" s="198">
        <v>0.18817916666666668</v>
      </c>
      <c r="F161" s="198">
        <v>0</v>
      </c>
      <c r="G161" s="215">
        <v>0</v>
      </c>
      <c r="H161" s="131"/>
    </row>
    <row r="162" spans="1:8" x14ac:dyDescent="0.25">
      <c r="A162" s="133"/>
      <c r="B162" s="204" t="str">
        <v>Concrete, 40 MPa, in-situ, no reinforcement, (VS404FSWC) (Holcim) (VIC)</v>
      </c>
      <c r="C162" s="132" t="str">
        <v>m³</v>
      </c>
      <c r="D162" s="198">
        <v>302.33</v>
      </c>
      <c r="E162" s="198">
        <v>0.12597083333333334</v>
      </c>
      <c r="F162" s="198">
        <v>0</v>
      </c>
      <c r="G162" s="215">
        <v>0</v>
      </c>
      <c r="H162" s="131"/>
    </row>
    <row r="163" spans="1:8" x14ac:dyDescent="0.25">
      <c r="A163" s="133"/>
      <c r="B163" s="204" t="str">
        <v>Concrete, 40 MPa, in-situ, no reinforcement, (VE402ENV) (Holcim) (VIC)</v>
      </c>
      <c r="C163" s="132" t="str">
        <v>m³</v>
      </c>
      <c r="D163" s="198">
        <v>278.68</v>
      </c>
      <c r="E163" s="198">
        <v>0.11611666666666667</v>
      </c>
      <c r="F163" s="198">
        <v>0</v>
      </c>
      <c r="G163" s="215">
        <v>0</v>
      </c>
      <c r="H163" s="131"/>
    </row>
    <row r="164" spans="1:8" x14ac:dyDescent="0.25">
      <c r="A164" s="133"/>
      <c r="B164" s="204" t="str">
        <v>Concrete, 40 MPa, in-situ, no reinforcement, (VS402FVRT) (Holcim) (VIC)</v>
      </c>
      <c r="C164" s="132" t="str">
        <v>m³</v>
      </c>
      <c r="D164" s="198">
        <v>254.7</v>
      </c>
      <c r="E164" s="198">
        <v>0.106125</v>
      </c>
      <c r="F164" s="198">
        <v>0</v>
      </c>
      <c r="G164" s="215">
        <v>0</v>
      </c>
      <c r="H164" s="131"/>
    </row>
    <row r="165" spans="1:8" x14ac:dyDescent="0.25">
      <c r="A165" s="133"/>
      <c r="B165" s="204" t="str">
        <v>Concrete, 40 MPa, in-situ, no reinforcement, (VS401VMWT) (Holcim) (VIC)</v>
      </c>
      <c r="C165" s="132" t="str">
        <v>m³</v>
      </c>
      <c r="D165" s="198">
        <v>252.32</v>
      </c>
      <c r="E165" s="198">
        <v>0.10513333333333333</v>
      </c>
      <c r="F165" s="198">
        <v>0</v>
      </c>
      <c r="G165" s="215">
        <v>0</v>
      </c>
      <c r="H165" s="131"/>
    </row>
    <row r="166" spans="1:8" x14ac:dyDescent="0.25">
      <c r="A166" s="133"/>
      <c r="B166" s="204" t="str">
        <v>Concrete, 40 MPa, in-situ, no reinforcement, (QS402PR02) (Holcim) (QLD), South East Queensland</v>
      </c>
      <c r="C166" s="132" t="str">
        <v>m³</v>
      </c>
      <c r="D166" s="198">
        <v>424.99</v>
      </c>
      <c r="E166" s="198">
        <v>0.17707916666666668</v>
      </c>
      <c r="F166" s="198">
        <v>0</v>
      </c>
      <c r="G166" s="215">
        <v>0</v>
      </c>
      <c r="H166" s="131"/>
    </row>
    <row r="167" spans="1:8" x14ac:dyDescent="0.25">
      <c r="A167" s="133"/>
      <c r="B167" s="204" t="str">
        <v>Concrete, 40 MPa, in-situ, no reinforcement, (QS402PR37) (Holcim) (QLD), South East Queensland</v>
      </c>
      <c r="C167" s="132" t="str">
        <v>m³</v>
      </c>
      <c r="D167" s="198">
        <v>426.26</v>
      </c>
      <c r="E167" s="198">
        <v>0.17760833333333334</v>
      </c>
      <c r="F167" s="198">
        <v>0</v>
      </c>
      <c r="G167" s="215">
        <v>0</v>
      </c>
      <c r="H167" s="131"/>
    </row>
    <row r="168" spans="1:8" x14ac:dyDescent="0.25">
      <c r="A168" s="133"/>
      <c r="B168" s="204" t="str">
        <v>Concrete, 40 MPa, in-situ, no reinforcement, (QS402PR35) (Holcim) (QLD), South East Queensland</v>
      </c>
      <c r="C168" s="132" t="str">
        <v>m³</v>
      </c>
      <c r="D168" s="198">
        <v>407.83</v>
      </c>
      <c r="E168" s="198">
        <v>0.16992916666666666</v>
      </c>
      <c r="F168" s="198">
        <v>0</v>
      </c>
      <c r="G168" s="215">
        <v>0</v>
      </c>
      <c r="H168" s="131"/>
    </row>
    <row r="169" spans="1:8" x14ac:dyDescent="0.25">
      <c r="A169" s="133"/>
      <c r="B169" s="204" t="str">
        <v>Concrete, 40 MPa, in-situ, no reinforcement, (QS402MRF4) (Holcim) (QLD), South East Queensland</v>
      </c>
      <c r="C169" s="132" t="str">
        <v>m³</v>
      </c>
      <c r="D169" s="198">
        <v>379.5</v>
      </c>
      <c r="E169" s="198">
        <v>0.15812499999999999</v>
      </c>
      <c r="F169" s="198">
        <v>0</v>
      </c>
      <c r="G169" s="215">
        <v>0</v>
      </c>
      <c r="H169" s="131"/>
    </row>
    <row r="170" spans="1:8" x14ac:dyDescent="0.25">
      <c r="A170" s="133"/>
      <c r="B170" s="204" t="str">
        <v>Concrete, 40 MPa, in-situ, no reinforcement, (QE402E)(Holcim) (QLD), (North QLD)</v>
      </c>
      <c r="C170" s="132" t="str">
        <v>m³</v>
      </c>
      <c r="D170" s="198">
        <v>286.14</v>
      </c>
      <c r="E170" s="198">
        <v>0.119225</v>
      </c>
      <c r="F170" s="198">
        <v>0</v>
      </c>
      <c r="G170" s="215">
        <v>0</v>
      </c>
      <c r="H170" s="131"/>
    </row>
    <row r="171" spans="1:8" x14ac:dyDescent="0.25">
      <c r="A171" s="133"/>
      <c r="B171" s="204" t="str">
        <v>Concrete, 40 MPa, in-situ, no reinforcement, (QE402E1)(Holcim) (QLD), (North QLD)</v>
      </c>
      <c r="C171" s="132" t="str">
        <v>m³</v>
      </c>
      <c r="D171" s="198">
        <v>286.95</v>
      </c>
      <c r="E171" s="198">
        <v>0.1195625</v>
      </c>
      <c r="F171" s="198">
        <v>0</v>
      </c>
      <c r="G171" s="215">
        <v>0</v>
      </c>
      <c r="H171" s="131"/>
    </row>
    <row r="172" spans="1:8" x14ac:dyDescent="0.25">
      <c r="A172" s="133"/>
      <c r="B172" s="204" t="str">
        <v>Concrete, 40 MPa, in-situ, no reinforcement, (QE401E)(Holcim) (QLD), (North QLD)</v>
      </c>
      <c r="C172" s="132" t="str">
        <v>m³</v>
      </c>
      <c r="D172" s="198">
        <v>292.06</v>
      </c>
      <c r="E172" s="198">
        <v>0.12169166666666667</v>
      </c>
      <c r="F172" s="198">
        <v>0</v>
      </c>
      <c r="G172" s="215">
        <v>0</v>
      </c>
      <c r="H172" s="131"/>
    </row>
    <row r="173" spans="1:8" x14ac:dyDescent="0.25">
      <c r="A173" s="133"/>
      <c r="B173" s="204" t="str">
        <v>Concrete, 40 MPa, in-situ, no reinforcement, (QE401E1)(Holcim) (QLD), (North QLD)</v>
      </c>
      <c r="C173" s="132" t="str">
        <v>m³</v>
      </c>
      <c r="D173" s="198">
        <v>292.68</v>
      </c>
      <c r="E173" s="198">
        <v>0.12195</v>
      </c>
      <c r="F173" s="198">
        <v>0</v>
      </c>
      <c r="G173" s="215">
        <v>0</v>
      </c>
      <c r="H173" s="131"/>
    </row>
    <row r="174" spans="1:8" x14ac:dyDescent="0.25">
      <c r="A174" s="133"/>
      <c r="B174" s="204" t="str">
        <v>Concrete, 40 MPa, in-situ, no reinforcement, (Futurecrete®  N
Class GP/GL:Slag
40 MPa) (Adbri) (SA)</v>
      </c>
      <c r="C174" s="132" t="str">
        <v>m³</v>
      </c>
      <c r="D174" s="198">
        <v>227.06</v>
      </c>
      <c r="E174" s="198">
        <v>9.4608333333333336E-2</v>
      </c>
      <c r="F174" s="198">
        <v>0</v>
      </c>
      <c r="G174" s="215">
        <v>0</v>
      </c>
      <c r="H174" s="131"/>
    </row>
    <row r="175" spans="1:8" x14ac:dyDescent="0.25">
      <c r="A175" s="133"/>
      <c r="B175" s="204" t="str">
        <v>Concrete, 40 MPa, in-situ, no reinforcement, (Futurecrete®  N Class
GP/GL:FA 40 MPa) (Adbri) (SA)</v>
      </c>
      <c r="C175" s="132" t="str">
        <v>m³</v>
      </c>
      <c r="D175" s="198">
        <v>233.63</v>
      </c>
      <c r="E175" s="198">
        <v>9.7345833333333326E-2</v>
      </c>
      <c r="F175" s="198">
        <v>0</v>
      </c>
      <c r="G175" s="215">
        <v>0</v>
      </c>
      <c r="H175" s="131"/>
    </row>
    <row r="176" spans="1:8" x14ac:dyDescent="0.25">
      <c r="A176" s="133"/>
      <c r="B176" s="204" t="str">
        <v>Concrete, 40 MPa, in-situ, no reinforcement, (Futurecrete®  S Class
GP/GL:Slag 40 MPa) (Adbri) (SA)</v>
      </c>
      <c r="C176" s="132" t="str">
        <v>m³</v>
      </c>
      <c r="D176" s="198">
        <v>225.98</v>
      </c>
      <c r="E176" s="198">
        <v>9.415833333333333E-2</v>
      </c>
      <c r="F176" s="198">
        <v>0</v>
      </c>
      <c r="G176" s="215">
        <v>0</v>
      </c>
      <c r="H176" s="131"/>
    </row>
    <row r="177" spans="1:8" x14ac:dyDescent="0.25">
      <c r="A177" s="133"/>
      <c r="B177" s="204" t="str">
        <v>Concrete, 35 MPa, in-situ, no reinforcement, (S35MPA S CLASS 20MM R83 FIBRE) (Adbri) (NSW)</v>
      </c>
      <c r="C177" s="132" t="str">
        <v>m³</v>
      </c>
      <c r="D177" s="198">
        <v>338.84</v>
      </c>
      <c r="E177" s="198">
        <v>0.14118333333333333</v>
      </c>
      <c r="F177" s="198">
        <v>0</v>
      </c>
      <c r="G177" s="215">
        <v>0</v>
      </c>
      <c r="H177" s="131"/>
    </row>
    <row r="178" spans="1:8" x14ac:dyDescent="0.25">
      <c r="A178" s="133"/>
      <c r="B178" s="204" t="str">
        <v>Concrete, 40 MPa, in-situ, no reinforcement, (S40MPA 20MM RMS B80 B1 EXPOSURE AP) (Adbri) (NSW)</v>
      </c>
      <c r="C178" s="132" t="str">
        <v>m³</v>
      </c>
      <c r="D178" s="198">
        <v>360.88</v>
      </c>
      <c r="E178" s="198">
        <v>0.15036666666666668</v>
      </c>
      <c r="F178" s="198">
        <v>0</v>
      </c>
      <c r="G178" s="215">
        <v>0</v>
      </c>
      <c r="H178" s="131"/>
    </row>
    <row r="179" spans="1:8" x14ac:dyDescent="0.25">
      <c r="A179" s="133"/>
      <c r="B179" s="204" t="str">
        <v>Concrete, 40 MPa, in-situ, no reinforcement, (S40MPA 22MPA AT 3 DAYS 20MM) (Adbri) (NSW)</v>
      </c>
      <c r="C179" s="132" t="str">
        <v>m³</v>
      </c>
      <c r="D179" s="198">
        <v>415.12</v>
      </c>
      <c r="E179" s="198">
        <v>0.17296666666666666</v>
      </c>
      <c r="F179" s="198">
        <v>0</v>
      </c>
      <c r="G179" s="215">
        <v>0</v>
      </c>
      <c r="H179" s="131"/>
    </row>
    <row r="180" spans="1:8" x14ac:dyDescent="0.25">
      <c r="A180" s="133"/>
      <c r="B180" s="204" t="str">
        <v>Concrete, 40 MPa, in-situ, no reinforcement, (S40MPA PT DECK
25MPA AT 4 DAYS
20MM) (Adbri) (NSW)</v>
      </c>
      <c r="C180" s="132" t="str">
        <v>m³</v>
      </c>
      <c r="D180" s="198">
        <v>415.12</v>
      </c>
      <c r="E180" s="198">
        <v>0.17296666666666666</v>
      </c>
      <c r="F180" s="198">
        <v>0</v>
      </c>
      <c r="G180" s="215">
        <v>0</v>
      </c>
      <c r="H180" s="131"/>
    </row>
    <row r="181" spans="1:8" x14ac:dyDescent="0.25">
      <c r="A181" s="133"/>
      <c r="B181" s="204" t="str">
        <v>Concrete, 40 MPa, in-situ, no reinforcement, Pre-mix Concrete Normal Class GP blend (Boral) (ACT), (Canberra) Normal Class GP blend 40MPa</v>
      </c>
      <c r="C181" s="132" t="str">
        <v>m³</v>
      </c>
      <c r="D181" s="198">
        <v>358</v>
      </c>
      <c r="E181" s="198">
        <v>0.14916666666666667</v>
      </c>
      <c r="F181" s="198">
        <v>0</v>
      </c>
      <c r="G181" s="215">
        <v>0</v>
      </c>
      <c r="H181" s="131"/>
    </row>
    <row r="182" spans="1:8" x14ac:dyDescent="0.25">
      <c r="A182" s="133"/>
      <c r="B182" s="204" t="str">
        <v>Concrete, 40 MPa, in-situ, no reinforcement, Pre-mix Concrete Normal Class GP/FA blend (Boral) (ACT), (Canberra) Normal Class GP/FA blend 40 MPa</v>
      </c>
      <c r="C182" s="132" t="str">
        <v>m³</v>
      </c>
      <c r="D182" s="198">
        <v>336</v>
      </c>
      <c r="E182" s="198">
        <v>0.14000000000000001</v>
      </c>
      <c r="F182" s="198">
        <v>0</v>
      </c>
      <c r="G182" s="215">
        <v>0</v>
      </c>
      <c r="H182" s="131"/>
    </row>
    <row r="183" spans="1:8" x14ac:dyDescent="0.25">
      <c r="A183" s="133"/>
      <c r="B183" s="204" t="str">
        <v>Concrete, 40 MPa, in-situ, no reinforcement, Pre-mix Concrete Normal Class GP/GGBFS blend (Boral) (ACT), (Canberra) Normal Class GP/GGBFS blend 40 MPa</v>
      </c>
      <c r="C183" s="132" t="str">
        <v>m³</v>
      </c>
      <c r="D183" s="198">
        <v>254</v>
      </c>
      <c r="E183" s="198">
        <v>0.10583333333333333</v>
      </c>
      <c r="F183" s="198">
        <v>0</v>
      </c>
      <c r="G183" s="215">
        <v>0</v>
      </c>
      <c r="H183" s="131"/>
    </row>
    <row r="184" spans="1:8" x14ac:dyDescent="0.25">
      <c r="A184" s="133"/>
      <c r="B184" s="204" t="str">
        <v>Concrete, 40 MPa, in-situ, no reinforcement, Pre-mix Concrete ENVIROCRETE 30% (Boral) (ACT), (Canberra) ENVIROCRETE 30% 40 MPa</v>
      </c>
      <c r="C184" s="132" t="str">
        <v>m³</v>
      </c>
      <c r="D184" s="198">
        <v>316</v>
      </c>
      <c r="E184" s="198">
        <v>0.13166666666666665</v>
      </c>
      <c r="F184" s="198">
        <v>0</v>
      </c>
      <c r="G184" s="215">
        <v>0</v>
      </c>
      <c r="H184" s="131"/>
    </row>
    <row r="185" spans="1:8" x14ac:dyDescent="0.25">
      <c r="A185" s="133"/>
      <c r="B185" s="204" t="str">
        <v>Concrete, 40 MPa, in-situ, no reinforcement, Pre-mix Concrete POST TENSIONED (Boral) (ACT), (Canberra) POST TENSIONED 40MPa 22@3</v>
      </c>
      <c r="C185" s="132" t="str">
        <v>m³</v>
      </c>
      <c r="D185" s="198">
        <v>373</v>
      </c>
      <c r="E185" s="198">
        <v>0.15541666666666668</v>
      </c>
      <c r="F185" s="198">
        <v>0</v>
      </c>
      <c r="G185" s="215">
        <v>0</v>
      </c>
      <c r="H185" s="131"/>
    </row>
    <row r="186" spans="1:8" x14ac:dyDescent="0.25">
      <c r="A186" s="133"/>
      <c r="B186" s="204" t="str">
        <v>Concrete, 40 MPa, in-situ, no reinforcement, Pre-mix Concrete ENVIROCRETE 40% (Boral) (ACT), (Canberra) ENVIROCRETE 40% 40 MPa</v>
      </c>
      <c r="C186" s="132" t="str">
        <v>m³</v>
      </c>
      <c r="D186" s="198">
        <v>286</v>
      </c>
      <c r="E186" s="198">
        <v>0.11916666666666667</v>
      </c>
      <c r="F186" s="198">
        <v>0</v>
      </c>
      <c r="G186" s="215">
        <v>0</v>
      </c>
      <c r="H186" s="131"/>
    </row>
    <row r="187" spans="1:8" x14ac:dyDescent="0.25">
      <c r="A187" s="133"/>
      <c r="B187" s="204" t="str">
        <v>Concrete, 40 MPa, in-situ, no reinforcement, Pre-mix Concrete ENVIROCRETE PLUS (Boral) (ACT), (Canberra) ENVIROCRETE PLUS 40MPa</v>
      </c>
      <c r="C187" s="132" t="str">
        <v>m³</v>
      </c>
      <c r="D187" s="198">
        <v>271</v>
      </c>
      <c r="E187" s="198">
        <v>0.11291666666666667</v>
      </c>
      <c r="F187" s="198">
        <v>0</v>
      </c>
      <c r="G187" s="215">
        <v>0</v>
      </c>
      <c r="H187" s="131"/>
    </row>
    <row r="188" spans="1:8" x14ac:dyDescent="0.25">
      <c r="A188" s="133"/>
      <c r="B188" s="204" t="str">
        <v>Concrete, 40 MPa, in-situ, no reinforcement, Pre-mix Concrete POST TENSIONED (Boral) (ACT), (Canberra) POST TENSIONED 40MPa 22@4</v>
      </c>
      <c r="C188" s="132" t="str">
        <v>m³</v>
      </c>
      <c r="D188" s="198">
        <v>371</v>
      </c>
      <c r="E188" s="198">
        <v>0.15458333333333332</v>
      </c>
      <c r="F188" s="198">
        <v>0</v>
      </c>
      <c r="G188" s="215">
        <v>0</v>
      </c>
      <c r="H188" s="131"/>
    </row>
    <row r="189" spans="1:8" x14ac:dyDescent="0.25">
      <c r="A189" s="133"/>
      <c r="B189" s="204" t="str">
        <v>Concrete, 40 MPa, in-situ, no reinforcement, Pre-mix Concrete POST TENSIONED (Boral) (ACT), (Canberra) POST TENSIONED 40MPa 22@5</v>
      </c>
      <c r="C189" s="132" t="str">
        <v>m³</v>
      </c>
      <c r="D189" s="198">
        <v>372</v>
      </c>
      <c r="E189" s="198">
        <v>0.155</v>
      </c>
      <c r="F189" s="198">
        <v>0</v>
      </c>
      <c r="G189" s="215">
        <v>0</v>
      </c>
      <c r="H189" s="131"/>
    </row>
    <row r="190" spans="1:8" x14ac:dyDescent="0.25">
      <c r="A190" s="133"/>
      <c r="B190" s="204" t="str">
        <v>Concrete, 40 MPa, in-situ, no reinforcement, Pre-mix Concrete ENVISIA (Boral) (ACT), (Canberra) ENVISIA 40MPa</v>
      </c>
      <c r="C190" s="132" t="str">
        <v>m³</v>
      </c>
      <c r="D190" s="198">
        <v>251</v>
      </c>
      <c r="E190" s="198">
        <v>0.10458333333333333</v>
      </c>
      <c r="F190" s="198">
        <v>0</v>
      </c>
      <c r="G190" s="215">
        <v>0</v>
      </c>
      <c r="H190" s="131"/>
    </row>
    <row r="191" spans="1:8" x14ac:dyDescent="0.25">
      <c r="A191" s="133"/>
      <c r="B191" s="204" t="str">
        <v>Concrete, 40 MPa, in-situ, no reinforcement, Pre-mix Concrete TREMIE (Boral) (ACT), (Canberra) TREMIE 40MPa</v>
      </c>
      <c r="C191" s="132" t="str">
        <v>m³</v>
      </c>
      <c r="D191" s="198">
        <v>314</v>
      </c>
      <c r="E191" s="198">
        <v>0.13083333333333333</v>
      </c>
      <c r="F191" s="198">
        <v>0</v>
      </c>
      <c r="G191" s="215">
        <v>0</v>
      </c>
      <c r="H191" s="131"/>
    </row>
    <row r="192" spans="1:8" x14ac:dyDescent="0.25">
      <c r="A192" s="133"/>
      <c r="B192" s="204" t="str">
        <v>Concrete, 40 MPa, in-situ, no reinforcement, Pre-mix Concrete SHOTCRETE (Boral) (ACT), (Canberra) SHOTCRETE 40MPa 10MM</v>
      </c>
      <c r="C192" s="132" t="str">
        <v>m³</v>
      </c>
      <c r="D192" s="198">
        <v>363</v>
      </c>
      <c r="E192" s="198">
        <v>0.15125</v>
      </c>
      <c r="F192" s="198">
        <v>0</v>
      </c>
      <c r="G192" s="215">
        <v>0</v>
      </c>
      <c r="H192" s="131"/>
    </row>
    <row r="193" spans="1:8" x14ac:dyDescent="0.25">
      <c r="A193" s="133"/>
      <c r="B193" s="204" t="str">
        <v>Concrete, 40 MPa, in-situ, no reinforcement, Pre-mix Concrete TfNSW B80 (Boral) (ACT), (Canberra) TfNSW B80 40MPa 20MM PUMP B1 EXPOSURE</v>
      </c>
      <c r="C193" s="132" t="str">
        <v>m³</v>
      </c>
      <c r="D193" s="198">
        <v>320</v>
      </c>
      <c r="E193" s="198">
        <v>0.13333333333333333</v>
      </c>
      <c r="F193" s="198">
        <v>0</v>
      </c>
      <c r="G193" s="215">
        <v>0</v>
      </c>
      <c r="H193" s="131"/>
    </row>
    <row r="194" spans="1:8" x14ac:dyDescent="0.25">
      <c r="A194" s="133"/>
      <c r="B194" s="204" t="str">
        <v>Concrete, 40 MPa, in-situ, no reinforcement, Pre-mix Concrete TfNSW B80 (Boral) (ACT), (Canberra) TfNSW B80 40MPa 20MM PUMP B2 EXPOSURE</v>
      </c>
      <c r="C194" s="132" t="str">
        <v>m³</v>
      </c>
      <c r="D194" s="198">
        <v>327</v>
      </c>
      <c r="E194" s="198">
        <v>0.13625000000000001</v>
      </c>
      <c r="F194" s="198">
        <v>0</v>
      </c>
      <c r="G194" s="215">
        <v>0</v>
      </c>
      <c r="H194" s="131"/>
    </row>
    <row r="195" spans="1:8" x14ac:dyDescent="0.25">
      <c r="A195" s="133"/>
      <c r="B195" s="204" t="str">
        <v>Concrete, 40 MPa, in-situ, no reinforcement, Pre-mix Concrete TfNSW B80 (Boral) (ACT), (Canberra) TfNSW B80 40MPa 20MM TREMIE B2 EXPOSURE</v>
      </c>
      <c r="C195" s="132" t="str">
        <v>m³</v>
      </c>
      <c r="D195" s="198">
        <v>336</v>
      </c>
      <c r="E195" s="198">
        <v>0.14000000000000001</v>
      </c>
      <c r="F195" s="198">
        <v>0</v>
      </c>
      <c r="G195" s="215">
        <v>0</v>
      </c>
      <c r="H195" s="131"/>
    </row>
    <row r="196" spans="1:8" x14ac:dyDescent="0.25">
      <c r="A196" s="133"/>
      <c r="B196" s="204" t="str">
        <v>Concrete, 35 MPa, in-situ, no reinforcement, Pre-mix Concrete TfNSW R83 (Boral) (ACT), (Canberra) TfNSW R83 35MPa 20MM HAND/MACHINE PLACED</v>
      </c>
      <c r="C196" s="132" t="str">
        <v>m³</v>
      </c>
      <c r="D196" s="198">
        <v>294</v>
      </c>
      <c r="E196" s="198">
        <v>0.1225</v>
      </c>
      <c r="F196" s="198">
        <v>0</v>
      </c>
      <c r="G196" s="215">
        <v>0</v>
      </c>
      <c r="H196" s="131"/>
    </row>
    <row r="197" spans="1:8" x14ac:dyDescent="0.25">
      <c r="A197" s="133"/>
      <c r="B197" s="204" t="str">
        <v>Concrete, 40 MPa, in-situ, no reinforcement, Pre-mix Concrete Normal Class GP blend (Boral) (NSW), (Newcastle) Normal Class GP blend 40MPa</v>
      </c>
      <c r="C197" s="132" t="str">
        <v>m³</v>
      </c>
      <c r="D197" s="198">
        <v>349</v>
      </c>
      <c r="E197" s="198">
        <v>0.14541666666666667</v>
      </c>
      <c r="F197" s="198">
        <v>0</v>
      </c>
      <c r="G197" s="215">
        <v>0</v>
      </c>
      <c r="H197" s="131"/>
    </row>
    <row r="198" spans="1:8" x14ac:dyDescent="0.25">
      <c r="A198" s="133"/>
      <c r="B198" s="204" t="str">
        <v>Concrete, 40 MPa, in-situ, no reinforcement, Pre-mix Concrete Normal Class GP/FA blend (Boral) (NSW), (Newcastle) Normal Class GP/FA blend 40 MPa</v>
      </c>
      <c r="C198" s="132" t="str">
        <v>m³</v>
      </c>
      <c r="D198" s="198">
        <v>324</v>
      </c>
      <c r="E198" s="198">
        <v>0.13500000000000001</v>
      </c>
      <c r="F198" s="198">
        <v>0</v>
      </c>
      <c r="G198" s="215">
        <v>0</v>
      </c>
      <c r="H198" s="131"/>
    </row>
    <row r="199" spans="1:8" x14ac:dyDescent="0.25">
      <c r="A199" s="133"/>
      <c r="B199" s="204" t="str">
        <v>Concrete, 40 MPa, in-situ, no reinforcement, Pre-mix Concrete ENVIROCRETE 30% (Boral) (NSW), (Newcastle) ENVIROCRETE 30% 40 MPa</v>
      </c>
      <c r="C199" s="132" t="str">
        <v>m³</v>
      </c>
      <c r="D199" s="198">
        <v>304</v>
      </c>
      <c r="E199" s="198">
        <v>0.12666666666666668</v>
      </c>
      <c r="F199" s="198">
        <v>0</v>
      </c>
      <c r="G199" s="215">
        <v>0</v>
      </c>
      <c r="H199" s="131"/>
    </row>
    <row r="200" spans="1:8" x14ac:dyDescent="0.25">
      <c r="A200" s="133"/>
      <c r="B200" s="204" t="str">
        <v>Concrete, 40 MPa, in-situ, no reinforcement, Pre-mix Concrete ENVIROCRETE 40% (Boral) (NSW), (Newcastle) ENVIROCRETE 40% 40 MPa</v>
      </c>
      <c r="C200" s="132" t="str">
        <v>m³</v>
      </c>
      <c r="D200" s="198">
        <v>276</v>
      </c>
      <c r="E200" s="198">
        <v>0.115</v>
      </c>
      <c r="F200" s="198">
        <v>0</v>
      </c>
      <c r="G200" s="215">
        <v>0</v>
      </c>
      <c r="H200" s="131"/>
    </row>
    <row r="201" spans="1:8" x14ac:dyDescent="0.25">
      <c r="A201" s="133"/>
      <c r="B201" s="204" t="str">
        <v>Concrete, 40 MPa, in-situ, no reinforcement, Pre-mix Concrete ENVIROCRETE PLUS (Boral) (NSW), (Newcastle) ENVIROCRETE PLUS 40MPa</v>
      </c>
      <c r="C201" s="132" t="str">
        <v>m³</v>
      </c>
      <c r="D201" s="198">
        <v>265</v>
      </c>
      <c r="E201" s="198">
        <v>0.11041666666666666</v>
      </c>
      <c r="F201" s="198">
        <v>0</v>
      </c>
      <c r="G201" s="215">
        <v>0</v>
      </c>
      <c r="H201" s="131"/>
    </row>
    <row r="202" spans="1:8" x14ac:dyDescent="0.25">
      <c r="A202" s="133"/>
      <c r="B202" s="204" t="str">
        <v>Concrete, 40 MPa, in-situ, no reinforcement, Pre-mix Concrete ENVISIA (Boral) (NSW), (Newcastle) ENVISIA 40MPa</v>
      </c>
      <c r="C202" s="132" t="str">
        <v>m³</v>
      </c>
      <c r="D202" s="198">
        <v>249</v>
      </c>
      <c r="E202" s="198">
        <v>0.10375</v>
      </c>
      <c r="F202" s="198">
        <v>0</v>
      </c>
      <c r="G202" s="215">
        <v>0</v>
      </c>
      <c r="H202" s="131"/>
    </row>
    <row r="203" spans="1:8" x14ac:dyDescent="0.25">
      <c r="A203" s="133"/>
      <c r="B203" s="204" t="str">
        <v>Concrete, 40 MPa, in-situ, no reinforcement, Pre-mix Concrete POST TENSIONED (Boral) (NSW), (Newcastle) POST TENSIONED 40MPa 22@3</v>
      </c>
      <c r="C203" s="132" t="str">
        <v>m³</v>
      </c>
      <c r="D203" s="198">
        <v>335</v>
      </c>
      <c r="E203" s="198">
        <v>0.13958333333333334</v>
      </c>
      <c r="F203" s="198">
        <v>0</v>
      </c>
      <c r="G203" s="215">
        <v>0</v>
      </c>
      <c r="H203" s="131"/>
    </row>
    <row r="204" spans="1:8" x14ac:dyDescent="0.25">
      <c r="A204" s="133"/>
      <c r="B204" s="204" t="str">
        <v>Concrete, 40 MPa, in-situ, no reinforcement, Pre-mix Concrete POST TENSIONED (Boral) (NSW), (Newcastle) POST TENSIONED 40MPa 22@4</v>
      </c>
      <c r="C204" s="132" t="str">
        <v>m³</v>
      </c>
      <c r="D204" s="198">
        <v>323</v>
      </c>
      <c r="E204" s="198">
        <v>0.13458333333333333</v>
      </c>
      <c r="F204" s="198">
        <v>0</v>
      </c>
      <c r="G204" s="215">
        <v>0</v>
      </c>
      <c r="H204" s="131"/>
    </row>
    <row r="205" spans="1:8" x14ac:dyDescent="0.25">
      <c r="A205" s="133"/>
      <c r="B205" s="204" t="str">
        <v>Concrete, 40 MPa, in-situ, no reinforcement, Pre-mix Concrete POST TENSIONED (Boral) (NSW), (Newcastle) POST TENSIONED 40MPa 22@5</v>
      </c>
      <c r="C205" s="132" t="str">
        <v>m³</v>
      </c>
      <c r="D205" s="198">
        <v>315</v>
      </c>
      <c r="E205" s="198">
        <v>0.13125000000000001</v>
      </c>
      <c r="F205" s="198">
        <v>0</v>
      </c>
      <c r="G205" s="215">
        <v>0</v>
      </c>
      <c r="H205" s="131"/>
    </row>
    <row r="206" spans="1:8" x14ac:dyDescent="0.25">
      <c r="A206" s="133"/>
      <c r="B206" s="204" t="str">
        <v>Concrete, 40 MPa, in-situ, no reinforcement, Pre-mix Concrete TREMIE (Boral) (NSW), (Newcastle) TREMIE 40MPa</v>
      </c>
      <c r="C206" s="132" t="str">
        <v>m³</v>
      </c>
      <c r="D206" s="198">
        <v>258</v>
      </c>
      <c r="E206" s="198">
        <v>0.1075</v>
      </c>
      <c r="F206" s="198">
        <v>0</v>
      </c>
      <c r="G206" s="215">
        <v>0</v>
      </c>
      <c r="H206" s="131"/>
    </row>
    <row r="207" spans="1:8" x14ac:dyDescent="0.25">
      <c r="A207" s="133"/>
      <c r="B207" s="204" t="str">
        <v>Concrete, 40 MPa, in-situ, no reinforcement, Pre-mix Concrete SHOTCRETE (Boral) (NSW), (Newcastle) SHOTCRETE 40MPa 10MM</v>
      </c>
      <c r="C207" s="132" t="str">
        <v>m³</v>
      </c>
      <c r="D207" s="198">
        <v>309</v>
      </c>
      <c r="E207" s="198">
        <v>0.12875</v>
      </c>
      <c r="F207" s="198">
        <v>0</v>
      </c>
      <c r="G207" s="215">
        <v>0</v>
      </c>
      <c r="H207" s="131"/>
    </row>
    <row r="208" spans="1:8" x14ac:dyDescent="0.25">
      <c r="A208" s="133"/>
      <c r="B208" s="204" t="str">
        <v>Concrete, 40 MPa, in-situ, no reinforcement, Pre-mix Concrete Normal Class GP/GGBFS blend (Boral) (NSW), (Newcastle) Normal Class GP/GGBFS blend 40 MPa</v>
      </c>
      <c r="C208" s="132" t="str">
        <v>m³</v>
      </c>
      <c r="D208" s="198">
        <v>247</v>
      </c>
      <c r="E208" s="198">
        <v>0.10291666666666667</v>
      </c>
      <c r="F208" s="198">
        <v>0</v>
      </c>
      <c r="G208" s="215">
        <v>0</v>
      </c>
      <c r="H208" s="131"/>
    </row>
    <row r="209" spans="1:8" x14ac:dyDescent="0.25">
      <c r="A209" s="133"/>
      <c r="B209" s="204" t="str">
        <v>Concrete, 40 MPa, in-situ, no reinforcement, Pre-mix Concrete TfNSW B80 (Boral) (NSW), (Newcastle) TfNSW B80 40MPa 20MM PUMP B1 EXPOSURE</v>
      </c>
      <c r="C209" s="132" t="str">
        <v>m³</v>
      </c>
      <c r="D209" s="198">
        <v>308</v>
      </c>
      <c r="E209" s="198">
        <v>0.12833333333333333</v>
      </c>
      <c r="F209" s="198">
        <v>0</v>
      </c>
      <c r="G209" s="215">
        <v>0</v>
      </c>
      <c r="H209" s="131"/>
    </row>
    <row r="210" spans="1:8" x14ac:dyDescent="0.25">
      <c r="A210" s="133"/>
      <c r="B210" s="204" t="str">
        <v>Concrete, 40 MPa, in-situ, no reinforcement, Pre-mix Concrete TfNSW B80 (Boral) (NSW), (Newcastle) TfNSW B80 40MPa 20MM PUMP B2 EXPOSURE</v>
      </c>
      <c r="C210" s="132" t="str">
        <v>m³</v>
      </c>
      <c r="D210" s="198">
        <v>314</v>
      </c>
      <c r="E210" s="198">
        <v>0.13083333333333333</v>
      </c>
      <c r="F210" s="198">
        <v>0</v>
      </c>
      <c r="G210" s="215">
        <v>0</v>
      </c>
      <c r="H210" s="131"/>
    </row>
    <row r="211" spans="1:8" x14ac:dyDescent="0.25">
      <c r="A211" s="133"/>
      <c r="B211" s="204" t="str">
        <v>Concrete, 40 MPa, in-situ, no reinforcement, Pre-mix Concrete TfNSW B80 (Boral) (NSW), (Newcastle) TfNSW B80 40MPa 20MM TREMIE B2 EXPOSURE</v>
      </c>
      <c r="C211" s="132" t="str">
        <v>m³</v>
      </c>
      <c r="D211" s="198">
        <v>322</v>
      </c>
      <c r="E211" s="198">
        <v>0.13416666666666666</v>
      </c>
      <c r="F211" s="198">
        <v>0</v>
      </c>
      <c r="G211" s="215">
        <v>0</v>
      </c>
      <c r="H211" s="131"/>
    </row>
    <row r="212" spans="1:8" x14ac:dyDescent="0.25">
      <c r="A212" s="133"/>
      <c r="B212" s="204" t="str">
        <v>Concrete, 40 MPa, in-situ, no reinforcement, Pre-mix Concrete Normal Class GP blend (Boral) (NSW), (Sydney) Normal Class GP blend 40MPa</v>
      </c>
      <c r="C212" s="132" t="str">
        <v>m³</v>
      </c>
      <c r="D212" s="198">
        <v>357</v>
      </c>
      <c r="E212" s="198">
        <v>0.14874999999999999</v>
      </c>
      <c r="F212" s="198">
        <v>0</v>
      </c>
      <c r="G212" s="215">
        <v>0</v>
      </c>
      <c r="H212" s="131"/>
    </row>
    <row r="213" spans="1:8" x14ac:dyDescent="0.25">
      <c r="A213" s="133"/>
      <c r="B213" s="204" t="str">
        <v>Concrete, 40 MPa, in-situ, no reinforcement, Pre-mix Concrete Normal Class GP/FA blend (Boral) (NSW), (Sydney) Normal Class GP/FA blend 40 MPa</v>
      </c>
      <c r="C213" s="132" t="str">
        <v>m³</v>
      </c>
      <c r="D213" s="198">
        <v>333</v>
      </c>
      <c r="E213" s="198">
        <v>0.13875000000000001</v>
      </c>
      <c r="F213" s="198">
        <v>0</v>
      </c>
      <c r="G213" s="215">
        <v>0</v>
      </c>
      <c r="H213" s="131"/>
    </row>
    <row r="214" spans="1:8" x14ac:dyDescent="0.25">
      <c r="A214" s="133"/>
      <c r="B214" s="204" t="str">
        <v>Concrete, 40 MPa, in-situ, no reinforcement, Pre-mix Concrete Normal Class GP/GGBFS blend (Boral) (NSW), (Sydney) Normal Class GP/GGBFS blend 40 MPa</v>
      </c>
      <c r="C214" s="132" t="str">
        <v>m³</v>
      </c>
      <c r="D214" s="198">
        <v>250</v>
      </c>
      <c r="E214" s="198">
        <v>0.10416666666666667</v>
      </c>
      <c r="F214" s="198">
        <v>0</v>
      </c>
      <c r="G214" s="215">
        <v>0</v>
      </c>
      <c r="H214" s="131"/>
    </row>
    <row r="215" spans="1:8" x14ac:dyDescent="0.25">
      <c r="A215" s="133"/>
      <c r="B215" s="204" t="str">
        <v>Concrete, 40 MPa, in-situ, no reinforcement, Pre-mix Concrete Normal Class GP/GGBFS /FA blend (Boral) (NSW), (Sydney) Normal Class GP/GGBFS /FA blend 40 MPa</v>
      </c>
      <c r="C215" s="132" t="str">
        <v>m³</v>
      </c>
      <c r="D215" s="198">
        <v>246</v>
      </c>
      <c r="E215" s="198">
        <v>0.10249999999999999</v>
      </c>
      <c r="F215" s="198">
        <v>0</v>
      </c>
      <c r="G215" s="215">
        <v>0</v>
      </c>
      <c r="H215" s="131"/>
    </row>
    <row r="216" spans="1:8" x14ac:dyDescent="0.25">
      <c r="A216" s="133"/>
      <c r="B216" s="204" t="str">
        <v>Concrete, 40 MPa, in-situ, no reinforcement, Pre-mix Concrete ENVIROCRETE 30% (Boral) (NSW), (Sydney) ENVIROCRETE 30% 40 MPa</v>
      </c>
      <c r="C216" s="132" t="str">
        <v>m³</v>
      </c>
      <c r="D216" s="198">
        <v>312</v>
      </c>
      <c r="E216" s="198">
        <v>0.13</v>
      </c>
      <c r="F216" s="198">
        <v>0</v>
      </c>
      <c r="G216" s="215">
        <v>0</v>
      </c>
      <c r="H216" s="131"/>
    </row>
    <row r="217" spans="1:8" x14ac:dyDescent="0.25">
      <c r="A217" s="133"/>
      <c r="B217" s="204" t="str">
        <v>Concrete, 40 MPa, in-situ, no reinforcement, Pre-mix Concrete ENVIROCRETE 40% (Boral) (NSW), (Sydney) ENVIROCRETE 40% 40 MPa</v>
      </c>
      <c r="C217" s="132" t="str">
        <v>m³</v>
      </c>
      <c r="D217" s="198">
        <v>282</v>
      </c>
      <c r="E217" s="198">
        <v>0.11749999999999999</v>
      </c>
      <c r="F217" s="198">
        <v>0</v>
      </c>
      <c r="G217" s="215">
        <v>0</v>
      </c>
      <c r="H217" s="131"/>
    </row>
    <row r="218" spans="1:8" x14ac:dyDescent="0.25">
      <c r="A218" s="133"/>
      <c r="B218" s="204" t="str">
        <v>Concrete, 40 MPa, in-situ, no reinforcement, Pre-mix Concrete ENVIROCRETE PLUS (Boral) (NSW), (Sydney) ENVIROCRETE PLUS 40MPa</v>
      </c>
      <c r="C218" s="132" t="str">
        <v>m³</v>
      </c>
      <c r="D218" s="198">
        <v>272</v>
      </c>
      <c r="E218" s="198">
        <v>0.11333333333333333</v>
      </c>
      <c r="F218" s="198">
        <v>0</v>
      </c>
      <c r="G218" s="215">
        <v>0</v>
      </c>
      <c r="H218" s="131"/>
    </row>
    <row r="219" spans="1:8" x14ac:dyDescent="0.25">
      <c r="A219" s="133"/>
      <c r="B219" s="204" t="str">
        <v>Concrete, 40 MPa, in-situ, no reinforcement, Pre-mix Concrete TREMIE (Boral) (NSW), (Sydney) TREMIE 40MPa</v>
      </c>
      <c r="C219" s="132" t="str">
        <v>m³</v>
      </c>
      <c r="D219" s="198">
        <v>258</v>
      </c>
      <c r="E219" s="198">
        <v>0.1075</v>
      </c>
      <c r="F219" s="198">
        <v>0</v>
      </c>
      <c r="G219" s="215">
        <v>0</v>
      </c>
      <c r="H219" s="131"/>
    </row>
    <row r="220" spans="1:8" x14ac:dyDescent="0.25">
      <c r="A220" s="133"/>
      <c r="B220" s="204" t="str">
        <v>Concrete, 40 MPa, in-situ, no reinforcement, Pre-mix Concrete ENVISIA (Boral) (NSW), (Sydney) ENVISIA 40MPa</v>
      </c>
      <c r="C220" s="132" t="str">
        <v>m³</v>
      </c>
      <c r="D220" s="198">
        <v>249</v>
      </c>
      <c r="E220" s="198">
        <v>0.10375</v>
      </c>
      <c r="F220" s="198">
        <v>0</v>
      </c>
      <c r="G220" s="215">
        <v>0</v>
      </c>
      <c r="H220" s="131"/>
    </row>
    <row r="221" spans="1:8" x14ac:dyDescent="0.25">
      <c r="A221" s="133"/>
      <c r="B221" s="204" t="str">
        <v>Concrete, 40 MPa, in-situ, no reinforcement, Pre-mix Concrete SHOTCRETE (Boral) (NSW), (Sydney) SHOTCRETE 40MPa 10MM</v>
      </c>
      <c r="C221" s="132" t="str">
        <v>m³</v>
      </c>
      <c r="D221" s="198">
        <v>309</v>
      </c>
      <c r="E221" s="198">
        <v>0.12875</v>
      </c>
      <c r="F221" s="198">
        <v>0</v>
      </c>
      <c r="G221" s="215">
        <v>0</v>
      </c>
      <c r="H221" s="131"/>
    </row>
    <row r="222" spans="1:8" x14ac:dyDescent="0.25">
      <c r="A222" s="133"/>
      <c r="B222" s="204" t="str">
        <v>Concrete, 40 MPa, in-situ, no reinforcement, Pre-mix Concrete POST TENSIONED (Boral) (NSW), (Sydney) POST TENSIONED 40MPa 22@3</v>
      </c>
      <c r="C222" s="132" t="str">
        <v>m³</v>
      </c>
      <c r="D222" s="198">
        <v>342</v>
      </c>
      <c r="E222" s="198">
        <v>0.14249999999999999</v>
      </c>
      <c r="F222" s="198">
        <v>0</v>
      </c>
      <c r="G222" s="215">
        <v>0</v>
      </c>
      <c r="H222" s="131"/>
    </row>
    <row r="223" spans="1:8" x14ac:dyDescent="0.25">
      <c r="A223" s="133"/>
      <c r="B223" s="204" t="str">
        <v>Concrete, 40 MPa, in-situ, no reinforcement, Pre-mix Concrete POST TENSIONED (Boral) (NSW), (Sydney) POST TENSIONED 40MPa 22@4</v>
      </c>
      <c r="C223" s="132" t="str">
        <v>m³</v>
      </c>
      <c r="D223" s="198">
        <v>335</v>
      </c>
      <c r="E223" s="198">
        <v>0.13958333333333334</v>
      </c>
      <c r="F223" s="198">
        <v>0</v>
      </c>
      <c r="G223" s="215">
        <v>0</v>
      </c>
      <c r="H223" s="131"/>
    </row>
    <row r="224" spans="1:8" x14ac:dyDescent="0.25">
      <c r="A224" s="133"/>
      <c r="B224" s="204" t="str">
        <v>Concrete, 40 MPa, in-situ, no reinforcement, Pre-mix Concrete POST TENSIONED (Boral) (NSW), (Sydney) POST TENSIONED 40MPa 22@5</v>
      </c>
      <c r="C224" s="132" t="str">
        <v>m³</v>
      </c>
      <c r="D224" s="198">
        <v>325</v>
      </c>
      <c r="E224" s="198">
        <v>0.13541666666666666</v>
      </c>
      <c r="F224" s="198">
        <v>0</v>
      </c>
      <c r="G224" s="215">
        <v>0</v>
      </c>
      <c r="H224" s="131"/>
    </row>
    <row r="225" spans="1:8" x14ac:dyDescent="0.25">
      <c r="A225" s="133"/>
      <c r="B225" s="204" t="str">
        <v>Concrete, 40 MPa, in-situ, no reinforcement, Pre-mix Concrete TfNSW B80 (Boral) (NSW), (Sydney) TfNSW B80 40MPa 20MM TREMIE B2 EXPOSURE</v>
      </c>
      <c r="C225" s="132" t="str">
        <v>m³</v>
      </c>
      <c r="D225" s="198">
        <v>235</v>
      </c>
      <c r="E225" s="198">
        <v>9.7916666666666666E-2</v>
      </c>
      <c r="F225" s="198">
        <v>0</v>
      </c>
      <c r="G225" s="215">
        <v>0</v>
      </c>
      <c r="H225" s="131"/>
    </row>
    <row r="226" spans="1:8" x14ac:dyDescent="0.25">
      <c r="A226" s="133"/>
      <c r="B226" s="204" t="str">
        <v>Concrete, 35 MPa, in-situ, no reinforcement, Pre-mix Concrete TfNSW R83 (Boral) (NSW), (Sydney) TfNSW R83 35MPa 20MM HAND/MACHINE PLACED</v>
      </c>
      <c r="C226" s="132" t="str">
        <v>m³</v>
      </c>
      <c r="D226" s="198">
        <v>289</v>
      </c>
      <c r="E226" s="198">
        <v>0.12041666666666667</v>
      </c>
      <c r="F226" s="198">
        <v>0</v>
      </c>
      <c r="G226" s="215">
        <v>0</v>
      </c>
      <c r="H226" s="131"/>
    </row>
    <row r="227" spans="1:8" x14ac:dyDescent="0.25">
      <c r="A227" s="133"/>
      <c r="B227" s="204" t="str">
        <v>Concrete, 40 MPa, in-situ, no reinforcement, Pre-mix Concrete TfNSW B80 (Boral) (NSW), (Sydney) TfNSW B80 40MPa 20MM PUMP B1 EXPOSURE</v>
      </c>
      <c r="C227" s="132" t="str">
        <v>m³</v>
      </c>
      <c r="D227" s="198">
        <v>313</v>
      </c>
      <c r="E227" s="198">
        <v>0.13041666666666665</v>
      </c>
      <c r="F227" s="198">
        <v>0</v>
      </c>
      <c r="G227" s="215">
        <v>0</v>
      </c>
      <c r="H227" s="131"/>
    </row>
    <row r="228" spans="1:8" x14ac:dyDescent="0.25">
      <c r="A228" s="133"/>
      <c r="B228" s="204" t="str">
        <v>Concrete, 40 MPa, in-situ, no reinforcement, Pre-mix Concrete TfNSW B80 (Boral) (NSW), (Sydney) TfNSW B80 40MPa 20MM PUMP B2 EXPOSURE</v>
      </c>
      <c r="C228" s="132" t="str">
        <v>m³</v>
      </c>
      <c r="D228" s="198">
        <v>231</v>
      </c>
      <c r="E228" s="198">
        <v>9.6250000000000002E-2</v>
      </c>
      <c r="F228" s="198">
        <v>0</v>
      </c>
      <c r="G228" s="215">
        <v>0</v>
      </c>
      <c r="H228" s="131"/>
    </row>
    <row r="229" spans="1:8" x14ac:dyDescent="0.25">
      <c r="A229" s="133"/>
      <c r="B229" s="204" t="str">
        <v>Concrete, 40 MPa, in-situ, no reinforcement, Pre-mix Concrete Normal Class GP blend (Boral) (NSW), (Wollongong) Normal Class GP blend 40MPa</v>
      </c>
      <c r="C229" s="132" t="str">
        <v>m³</v>
      </c>
      <c r="D229" s="198">
        <v>354</v>
      </c>
      <c r="E229" s="198">
        <v>0.14749999999999999</v>
      </c>
      <c r="F229" s="198">
        <v>0</v>
      </c>
      <c r="G229" s="215">
        <v>0</v>
      </c>
      <c r="H229" s="131"/>
    </row>
    <row r="230" spans="1:8" x14ac:dyDescent="0.25">
      <c r="A230" s="133"/>
      <c r="B230" s="204" t="str">
        <v>Concrete, 40 MPa, in-situ, no reinforcement, Pre-mix Concrete Normal Class GP/FA blend (Boral) (NSW), (Wollongong) Normal Class GP/FA blend 40 MPa</v>
      </c>
      <c r="C230" s="132" t="str">
        <v>m³</v>
      </c>
      <c r="D230" s="198">
        <v>330</v>
      </c>
      <c r="E230" s="198">
        <v>0.13750000000000001</v>
      </c>
      <c r="F230" s="198">
        <v>0</v>
      </c>
      <c r="G230" s="215">
        <v>0</v>
      </c>
      <c r="H230" s="131"/>
    </row>
    <row r="231" spans="1:8" x14ac:dyDescent="0.25">
      <c r="A231" s="133"/>
      <c r="B231" s="204" t="str">
        <v>Concrete, 40 MPa, in-situ, no reinforcement, Pre-mix Concrete Normal Class GP/GGBFS blend (Boral) (NSW), (Wollongong) Normal Class GP/GGBFS blend 40 MPa</v>
      </c>
      <c r="C231" s="132" t="str">
        <v>m³</v>
      </c>
      <c r="D231" s="198">
        <v>245</v>
      </c>
      <c r="E231" s="198">
        <v>0.10208333333333333</v>
      </c>
      <c r="F231" s="198">
        <v>0</v>
      </c>
      <c r="G231" s="215">
        <v>0</v>
      </c>
      <c r="H231" s="131"/>
    </row>
    <row r="232" spans="1:8" x14ac:dyDescent="0.25">
      <c r="A232" s="133"/>
      <c r="B232" s="204" t="str">
        <v>Concrete, 40 MPa, in-situ, no reinforcement, Pre-mix Concrete TfNSW B80 (Boral) (NSW), (Wollongong) TfNSW B80 40MPa 20MM PUMP B1 EXPOSURE</v>
      </c>
      <c r="C232" s="132" t="str">
        <v>m³</v>
      </c>
      <c r="D232" s="198">
        <v>313</v>
      </c>
      <c r="E232" s="198">
        <v>0.13041666666666665</v>
      </c>
      <c r="F232" s="198">
        <v>0</v>
      </c>
      <c r="G232" s="215">
        <v>0</v>
      </c>
      <c r="H232" s="131"/>
    </row>
    <row r="233" spans="1:8" x14ac:dyDescent="0.25">
      <c r="A233" s="133"/>
      <c r="B233" s="204" t="str">
        <v>Concrete, 40 MPa, in-situ, no reinforcement, Pre-mix Concrete Normal Class GP/GGBFS /FA blend (Boral) (NSW), (Wollongong) Normal Class GP/GGBFS /FA blend 40 MPa</v>
      </c>
      <c r="C233" s="132" t="str">
        <v>m³</v>
      </c>
      <c r="D233" s="198">
        <v>256</v>
      </c>
      <c r="E233" s="198">
        <v>0.10666666666666667</v>
      </c>
      <c r="F233" s="198">
        <v>0</v>
      </c>
      <c r="G233" s="215">
        <v>0</v>
      </c>
      <c r="H233" s="131"/>
    </row>
    <row r="234" spans="1:8" x14ac:dyDescent="0.25">
      <c r="A234" s="133"/>
      <c r="B234" s="204" t="str">
        <v>Concrete, 40 MPa, in-situ, no reinforcement, Pre-mix Concrete TfNSW B80 (Boral) (NSW), (Wollongong) TfNSW B80 40MPa 20MM PUMP B2 EXPOSURE</v>
      </c>
      <c r="C234" s="132" t="str">
        <v>m³</v>
      </c>
      <c r="D234" s="198">
        <v>320</v>
      </c>
      <c r="E234" s="198">
        <v>0.13333333333333333</v>
      </c>
      <c r="F234" s="198">
        <v>0</v>
      </c>
      <c r="G234" s="215">
        <v>0</v>
      </c>
      <c r="H234" s="131"/>
    </row>
    <row r="235" spans="1:8" x14ac:dyDescent="0.25">
      <c r="A235" s="133"/>
      <c r="B235" s="204" t="str">
        <v>Concrete, 40 MPa, in-situ, no reinforcement, Pre-mix Concrete TfNSW B80 (Boral) (NSW), (Wollongong) TfNSW B80 40MPa 20MM TREMIE B2 EXPOSURE</v>
      </c>
      <c r="C235" s="132" t="str">
        <v>m³</v>
      </c>
      <c r="D235" s="198">
        <v>329</v>
      </c>
      <c r="E235" s="198">
        <v>0.13708333333333333</v>
      </c>
      <c r="F235" s="198">
        <v>0</v>
      </c>
      <c r="G235" s="215">
        <v>0</v>
      </c>
      <c r="H235" s="131"/>
    </row>
    <row r="236" spans="1:8" x14ac:dyDescent="0.25">
      <c r="A236" s="133"/>
      <c r="B236" s="204" t="str">
        <v>Concrete, 35 MPa, in-situ, no reinforcement, Pre-mix Concrete TfNSW R83 (Boral) (NSW), (Wollongong) TfNSW R83 35MPa 20MM HAND/MACHINE PLACED</v>
      </c>
      <c r="C236" s="132" t="str">
        <v>m³</v>
      </c>
      <c r="D236" s="198">
        <v>287</v>
      </c>
      <c r="E236" s="198">
        <v>0.11958333333333333</v>
      </c>
      <c r="F236" s="198">
        <v>0</v>
      </c>
      <c r="G236" s="215">
        <v>0</v>
      </c>
      <c r="H236" s="131"/>
    </row>
    <row r="237" spans="1:8" x14ac:dyDescent="0.25">
      <c r="A237" s="133"/>
      <c r="B237" s="204" t="str">
        <v>Concrete, 40 MPa, in-situ, no reinforcement, Pre-mix Concrete ENVIROCRETE 30% (Boral) (NSW), (Wollongong) ENVIROCRETE 30% 40 MPa</v>
      </c>
      <c r="C237" s="132" t="str">
        <v>m³</v>
      </c>
      <c r="D237" s="198">
        <v>310</v>
      </c>
      <c r="E237" s="198">
        <v>0.12916666666666668</v>
      </c>
      <c r="F237" s="198">
        <v>0</v>
      </c>
      <c r="G237" s="215">
        <v>0</v>
      </c>
      <c r="H237" s="131"/>
    </row>
    <row r="238" spans="1:8" x14ac:dyDescent="0.25">
      <c r="A238" s="133"/>
      <c r="B238" s="204" t="str">
        <v>Concrete, 40 MPa, in-situ, no reinforcement, Pre-mix Concrete ENVIROCRETE 40% (Boral) (NSW), (Wollongong) ENVIROCRETE 40% 40 MPa</v>
      </c>
      <c r="C238" s="132" t="str">
        <v>m³</v>
      </c>
      <c r="D238" s="198">
        <v>278</v>
      </c>
      <c r="E238" s="198">
        <v>0.11583333333333333</v>
      </c>
      <c r="F238" s="198">
        <v>0</v>
      </c>
      <c r="G238" s="215">
        <v>0</v>
      </c>
      <c r="H238" s="131"/>
    </row>
    <row r="239" spans="1:8" x14ac:dyDescent="0.25">
      <c r="A239" s="133"/>
      <c r="B239" s="204" t="str">
        <v>Concrete, 40 MPa, in-situ, no reinforcement, Pre-mix Concrete ENVIROCRETE PLUS (Boral) (NSW), (Wollongong) ENVIROCRETE PLUS 40MPa</v>
      </c>
      <c r="C239" s="132" t="str">
        <v>m³</v>
      </c>
      <c r="D239" s="198">
        <v>268</v>
      </c>
      <c r="E239" s="198">
        <v>0.11166666666666666</v>
      </c>
      <c r="F239" s="198">
        <v>0</v>
      </c>
      <c r="G239" s="215">
        <v>0</v>
      </c>
      <c r="H239" s="131"/>
    </row>
    <row r="240" spans="1:8" x14ac:dyDescent="0.25">
      <c r="A240" s="133"/>
      <c r="B240" s="204" t="str">
        <v>Concrete, 40 MPa, in-situ, no reinforcement, Pre-mix Concrete ENVISIA (Boral) (NSW), (Wollongong) ENVISIA 40MPa</v>
      </c>
      <c r="C240" s="132" t="str">
        <v>m³</v>
      </c>
      <c r="D240" s="198">
        <v>247</v>
      </c>
      <c r="E240" s="198">
        <v>0.10291666666666667</v>
      </c>
      <c r="F240" s="198">
        <v>0</v>
      </c>
      <c r="G240" s="215">
        <v>0</v>
      </c>
      <c r="H240" s="131"/>
    </row>
    <row r="241" spans="1:8" x14ac:dyDescent="0.25">
      <c r="A241" s="133"/>
      <c r="B241" s="204" t="str">
        <v>Concrete, 40 MPa, in-situ, no reinforcement, Pre-mix Concrete POST TENSIONED (Boral) (NSW), (Wollongong) POST TENSIONED 40MPa 22@3</v>
      </c>
      <c r="C241" s="132" t="str">
        <v>m³</v>
      </c>
      <c r="D241" s="198">
        <v>339</v>
      </c>
      <c r="E241" s="198">
        <v>0.14124999999999999</v>
      </c>
      <c r="F241" s="198">
        <v>0</v>
      </c>
      <c r="G241" s="215">
        <v>0</v>
      </c>
      <c r="H241" s="131"/>
    </row>
    <row r="242" spans="1:8" x14ac:dyDescent="0.25">
      <c r="A242" s="133"/>
      <c r="B242" s="204" t="str">
        <v>Concrete, 40 MPa, in-situ, no reinforcement, Pre-mix Concrete POST TENSIONED (Boral) (NSW), (Wollongong) POST TENSIONED 40MPa 22@4</v>
      </c>
      <c r="C242" s="132" t="str">
        <v>m³</v>
      </c>
      <c r="D242" s="198">
        <v>330</v>
      </c>
      <c r="E242" s="198">
        <v>0.13750000000000001</v>
      </c>
      <c r="F242" s="198">
        <v>0</v>
      </c>
      <c r="G242" s="215">
        <v>0</v>
      </c>
      <c r="H242" s="131"/>
    </row>
    <row r="243" spans="1:8" x14ac:dyDescent="0.25">
      <c r="A243" s="133"/>
      <c r="B243" s="204" t="str">
        <v>Concrete, 40 MPa, in-situ, no reinforcement, Pre-mix Concrete POST TENSIONED (Boral) (NSW), (Wollongong) POST TENSIONED 40MPa 22@5</v>
      </c>
      <c r="C243" s="132" t="str">
        <v>m³</v>
      </c>
      <c r="D243" s="198">
        <v>321</v>
      </c>
      <c r="E243" s="198">
        <v>0.13375000000000001</v>
      </c>
      <c r="F243" s="198">
        <v>0</v>
      </c>
      <c r="G243" s="215">
        <v>0</v>
      </c>
      <c r="H243" s="131"/>
    </row>
    <row r="244" spans="1:8" x14ac:dyDescent="0.25">
      <c r="A244" s="133"/>
      <c r="B244" s="204" t="str">
        <v>Concrete, 40 MPa, in-situ, no reinforcement, Pre-mix Concrete TREMIE (Boral) (NSW), (Wollongong) TREMIE 40MPa</v>
      </c>
      <c r="C244" s="132" t="str">
        <v>m³</v>
      </c>
      <c r="D244" s="198">
        <v>309</v>
      </c>
      <c r="E244" s="198">
        <v>0.12875</v>
      </c>
      <c r="F244" s="198">
        <v>0</v>
      </c>
      <c r="G244" s="215">
        <v>0</v>
      </c>
      <c r="H244" s="131"/>
    </row>
    <row r="245" spans="1:8" x14ac:dyDescent="0.25">
      <c r="A245" s="133"/>
      <c r="B245" s="204" t="str">
        <v>Concrete, 40 MPa, in-situ, no reinforcement, Pre-mix Concrete SHOTCRETE (Boral) (NSW), (Wollongong) SHOTCRETE 40MPa 10MM</v>
      </c>
      <c r="C245" s="132" t="str">
        <v>m³</v>
      </c>
      <c r="D245" s="198">
        <v>374</v>
      </c>
      <c r="E245" s="198">
        <v>0.15583333333333332</v>
      </c>
      <c r="F245" s="198">
        <v>0</v>
      </c>
      <c r="G245" s="215">
        <v>0</v>
      </c>
      <c r="H245" s="131"/>
    </row>
    <row r="246" spans="1:8" x14ac:dyDescent="0.25">
      <c r="A246" s="133"/>
      <c r="B246" s="204" t="str">
        <v>Concrete, 40 MPa, in-situ, no reinforcement, Pre-mix Concrete Normal Class GP blend (Boral) (TAS), (Hobart) Normal Class GP blend 40MPa</v>
      </c>
      <c r="C246" s="132" t="str">
        <v>m³</v>
      </c>
      <c r="D246" s="198">
        <v>382</v>
      </c>
      <c r="E246" s="198">
        <v>0.15916666666666668</v>
      </c>
      <c r="F246" s="198">
        <v>0</v>
      </c>
      <c r="G246" s="215">
        <v>0</v>
      </c>
      <c r="H246" s="131"/>
    </row>
    <row r="247" spans="1:8" x14ac:dyDescent="0.25">
      <c r="A247" s="133"/>
      <c r="B247" s="204" t="str">
        <v>Concrete, 40 MPa, in-situ, no reinforcement, Pre-mix Concrete ENVISIA (Boral) (TAS), (Hobart) ENVISIA 40 MPa</v>
      </c>
      <c r="C247" s="132" t="str">
        <v>m³</v>
      </c>
      <c r="D247" s="198">
        <v>340</v>
      </c>
      <c r="E247" s="198">
        <v>0.14166666666666666</v>
      </c>
      <c r="F247" s="198">
        <v>0</v>
      </c>
      <c r="G247" s="215">
        <v>0</v>
      </c>
      <c r="H247" s="131"/>
    </row>
    <row r="248" spans="1:8" x14ac:dyDescent="0.25">
      <c r="A248" s="133"/>
      <c r="B248" s="204" t="str">
        <v>Concrete, 40 MPa, in-situ, no reinforcement, Pre-mix Concrete Normal Class GP blend (Boral) (TAS), (Launceston) Normal Class GP blend 40MPa</v>
      </c>
      <c r="C248" s="132" t="str">
        <v>m³</v>
      </c>
      <c r="D248" s="198">
        <v>372</v>
      </c>
      <c r="E248" s="198">
        <v>0.155</v>
      </c>
      <c r="F248" s="198">
        <v>0</v>
      </c>
      <c r="G248" s="215">
        <v>0</v>
      </c>
      <c r="H248" s="131"/>
    </row>
    <row r="249" spans="1:8" x14ac:dyDescent="0.25">
      <c r="A249" s="133"/>
      <c r="B249" s="204" t="str">
        <v>Concrete, 40 MPa, in-situ, no reinforcement, Pre-mix Concrete ENVISIA (Boral) (TAS), (Launceston) ENVISIA 40 MPa</v>
      </c>
      <c r="C249" s="132" t="str">
        <v>m³</v>
      </c>
      <c r="D249" s="198">
        <v>330</v>
      </c>
      <c r="E249" s="198">
        <v>0.13750000000000001</v>
      </c>
      <c r="F249" s="198">
        <v>0</v>
      </c>
      <c r="G249" s="215">
        <v>0</v>
      </c>
      <c r="H249" s="131"/>
    </row>
    <row r="250" spans="1:8" x14ac:dyDescent="0.25">
      <c r="A250" s="133"/>
      <c r="B250" s="204" t="str">
        <v>Concrete, 40 MPa, in-situ, no reinforcement, GP, Normal Class (WA Premix) (WA), (Perth)</v>
      </c>
      <c r="C250" s="132" t="str">
        <v>m³</v>
      </c>
      <c r="D250" s="198">
        <v>434</v>
      </c>
      <c r="E250" s="198">
        <v>0.18083333333333335</v>
      </c>
      <c r="F250" s="198">
        <v>0</v>
      </c>
      <c r="G250" s="215">
        <v>0</v>
      </c>
      <c r="H250" s="131"/>
    </row>
    <row r="251" spans="1:8" x14ac:dyDescent="0.25">
      <c r="A251" s="133"/>
      <c r="B251" s="204" t="str">
        <v>Concrete, 40 MPa, in-situ, no reinforcement, Blend, Normal Class (WA Premix) (WA), (Perth)</v>
      </c>
      <c r="C251" s="132" t="str">
        <v>m³</v>
      </c>
      <c r="D251" s="198">
        <v>239</v>
      </c>
      <c r="E251" s="198">
        <v>9.9583333333333329E-2</v>
      </c>
      <c r="F251" s="198">
        <v>0</v>
      </c>
      <c r="G251" s="215">
        <v>0</v>
      </c>
      <c r="H251" s="131"/>
    </row>
    <row r="252" spans="1:8" x14ac:dyDescent="0.25">
      <c r="A252" s="133"/>
      <c r="B252" s="204" t="str">
        <v>Concrete, 40 MPa, in-situ, no reinforcement, AH6395, Special Class (WA Premix) (WA), (Perth)</v>
      </c>
      <c r="C252" s="132" t="str">
        <v>m³</v>
      </c>
      <c r="D252" s="198">
        <v>215</v>
      </c>
      <c r="E252" s="198">
        <v>8.9583333333333334E-2</v>
      </c>
      <c r="F252" s="198">
        <v>0</v>
      </c>
      <c r="G252" s="215">
        <v>0</v>
      </c>
      <c r="H252" s="131"/>
    </row>
    <row r="253" spans="1:8" x14ac:dyDescent="0.25">
      <c r="A253" s="133"/>
      <c r="B253" s="204" t="str">
        <v>Concrete, 40 MPa, in-situ, no reinforcement, AH6415, Special Class (WA Premix) (WA), (Perth)</v>
      </c>
      <c r="C253" s="132" t="str">
        <v>m³</v>
      </c>
      <c r="D253" s="198">
        <v>237</v>
      </c>
      <c r="E253" s="198">
        <v>9.8750000000000004E-2</v>
      </c>
      <c r="F253" s="198">
        <v>0</v>
      </c>
      <c r="G253" s="215">
        <v>0</v>
      </c>
      <c r="H253" s="131"/>
    </row>
    <row r="254" spans="1:8" x14ac:dyDescent="0.25">
      <c r="A254" s="133"/>
      <c r="B254" s="204" t="str">
        <v>Concrete, 40 MPa, in-situ, no reinforcement, AH6416, Special Class (WA Premix) (WA), (Perth)</v>
      </c>
      <c r="C254" s="132" t="str">
        <v>m³</v>
      </c>
      <c r="D254" s="198">
        <v>238</v>
      </c>
      <c r="E254" s="198">
        <v>9.9166666666666667E-2</v>
      </c>
      <c r="F254" s="198">
        <v>0</v>
      </c>
      <c r="G254" s="215">
        <v>0</v>
      </c>
      <c r="H254" s="131"/>
    </row>
    <row r="255" spans="1:8" x14ac:dyDescent="0.25">
      <c r="A255" s="133"/>
      <c r="B255" s="204" t="str">
        <v>Concrete, 40 MPa, in-situ, no reinforcement, BH6395, Special Class (WA Premix) (WA), (Perth)</v>
      </c>
      <c r="C255" s="132" t="str">
        <v>m³</v>
      </c>
      <c r="D255" s="198">
        <v>215</v>
      </c>
      <c r="E255" s="198">
        <v>8.9583333333333334E-2</v>
      </c>
      <c r="F255" s="198">
        <v>0</v>
      </c>
      <c r="G255" s="215">
        <v>0</v>
      </c>
      <c r="H255" s="131"/>
    </row>
    <row r="256" spans="1:8" x14ac:dyDescent="0.25">
      <c r="A256" s="133"/>
      <c r="B256" s="204" t="str">
        <v>Concrete, 40 MPa, in-situ, no reinforcement, CH1420, Special Class (WA Premix) (WA), (Perth)</v>
      </c>
      <c r="C256" s="132" t="str">
        <v>m³</v>
      </c>
      <c r="D256" s="198">
        <v>483</v>
      </c>
      <c r="E256" s="198">
        <v>0.20125000000000001</v>
      </c>
      <c r="F256" s="198">
        <v>0</v>
      </c>
      <c r="G256" s="215">
        <v>0</v>
      </c>
      <c r="H256" s="131"/>
    </row>
    <row r="257" spans="1:8" x14ac:dyDescent="0.25">
      <c r="A257" s="133"/>
      <c r="B257" s="204" t="str">
        <v>Concrete, 40 MPa, in-situ, no reinforcement, CH6422, Special Class (WA Premix) (WA), (Perth)</v>
      </c>
      <c r="C257" s="132" t="str">
        <v>m³</v>
      </c>
      <c r="D257" s="198">
        <v>240</v>
      </c>
      <c r="E257" s="198">
        <v>0.1</v>
      </c>
      <c r="F257" s="198">
        <v>0</v>
      </c>
      <c r="G257" s="215">
        <v>0</v>
      </c>
      <c r="H257" s="131"/>
    </row>
    <row r="258" spans="1:8" x14ac:dyDescent="0.25">
      <c r="A258" s="133"/>
      <c r="B258" s="204" t="str">
        <v>Concrete, 40 MPa, in-situ, no reinforcement, BP6418, Special Class (WA Premix) (WA), (Perth)</v>
      </c>
      <c r="C258" s="132" t="str">
        <v>m³</v>
      </c>
      <c r="D258" s="198">
        <v>242</v>
      </c>
      <c r="E258" s="198">
        <v>0.10083333333333333</v>
      </c>
      <c r="F258" s="198">
        <v>0</v>
      </c>
      <c r="G258" s="215">
        <v>0</v>
      </c>
      <c r="H258" s="131"/>
    </row>
    <row r="259" spans="1:8" x14ac:dyDescent="0.25">
      <c r="A259" s="133"/>
      <c r="B259" s="204" t="str">
        <v>Concrete, 40 MPa, in-situ, no reinforcement, BP8418, Special Class (WA Premix) (WA), (Perth)</v>
      </c>
      <c r="C259" s="132" t="str">
        <v>m³</v>
      </c>
      <c r="D259" s="198">
        <v>254</v>
      </c>
      <c r="E259" s="198">
        <v>0.10583333333333333</v>
      </c>
      <c r="F259" s="198">
        <v>0</v>
      </c>
      <c r="G259" s="215">
        <v>0</v>
      </c>
      <c r="H259" s="131"/>
    </row>
    <row r="260" spans="1:8" x14ac:dyDescent="0.25">
      <c r="A260" s="133"/>
      <c r="B260" s="204" t="str">
        <v>Concrete, 40 MPa, in-situ, no reinforcement, AH1395, Special Class (WA Premix) (WA), (Perth)</v>
      </c>
      <c r="C260" s="132" t="str">
        <v>m³</v>
      </c>
      <c r="D260" s="198">
        <v>460</v>
      </c>
      <c r="E260" s="198">
        <v>0.19166666666666668</v>
      </c>
      <c r="F260" s="198">
        <v>0</v>
      </c>
      <c r="G260" s="215">
        <v>0</v>
      </c>
      <c r="H260" s="131"/>
    </row>
    <row r="261" spans="1:8" x14ac:dyDescent="0.25">
      <c r="A261" s="133"/>
      <c r="B261" s="204" t="str">
        <v>Concrete, 40 MPa, in-situ, no reinforcement, AH1404, Special Class (WA Premix) (WA), (Perth)</v>
      </c>
      <c r="C261" s="132" t="str">
        <v>m³</v>
      </c>
      <c r="D261" s="198">
        <v>470</v>
      </c>
      <c r="E261" s="198">
        <v>0.19583333333333333</v>
      </c>
      <c r="F261" s="198">
        <v>0</v>
      </c>
      <c r="G261" s="215">
        <v>0</v>
      </c>
      <c r="H261" s="131"/>
    </row>
    <row r="262" spans="1:8" x14ac:dyDescent="0.25">
      <c r="A262" s="133"/>
      <c r="B262" s="204" t="str">
        <v>Concrete, 40 MPa, in-situ, no reinforcement, BH1395, Special Class (WA Premix) (WA), (Perth)</v>
      </c>
      <c r="C262" s="132" t="str">
        <v>m³</v>
      </c>
      <c r="D262" s="198">
        <v>460</v>
      </c>
      <c r="E262" s="198">
        <v>0.19166666666666668</v>
      </c>
      <c r="F262" s="198">
        <v>0</v>
      </c>
      <c r="G262" s="215">
        <v>0</v>
      </c>
      <c r="H262" s="131"/>
    </row>
    <row r="263" spans="1:8" x14ac:dyDescent="0.25">
      <c r="A263" s="133"/>
      <c r="B263" s="204" t="str">
        <v>Concrete, 40 MPa, in-situ, no reinforcement, BKA410, Special Class (WA Premix) (WA), (Perth)</v>
      </c>
      <c r="C263" s="132" t="str">
        <v>m³</v>
      </c>
      <c r="D263" s="198">
        <v>367</v>
      </c>
      <c r="E263" s="198">
        <v>0.15291666666666667</v>
      </c>
      <c r="F263" s="198">
        <v>0</v>
      </c>
      <c r="G263" s="215">
        <v>0</v>
      </c>
      <c r="H263" s="131"/>
    </row>
    <row r="264" spans="1:8" x14ac:dyDescent="0.25">
      <c r="A264" s="133"/>
      <c r="B264" s="204" t="str">
        <v>Concrete, 40 MPa, in-situ, no reinforcement, CK9439, Special Class (WA Premix) (WA), (Perth)</v>
      </c>
      <c r="C264" s="132" t="str">
        <v>m³</v>
      </c>
      <c r="D264" s="198">
        <v>499</v>
      </c>
      <c r="E264" s="198">
        <v>0.20791666666666667</v>
      </c>
      <c r="F264" s="198">
        <v>0</v>
      </c>
      <c r="G264" s="215">
        <v>0</v>
      </c>
      <c r="H264" s="131"/>
    </row>
    <row r="265" spans="1:8" x14ac:dyDescent="0.25">
      <c r="A265" s="133"/>
      <c r="B265" s="204" t="str">
        <v>Concrete, 40 MPa, in-situ, no reinforcement, CC1421, Special Class (WA Premix) (WA), (Perth)</v>
      </c>
      <c r="C265" s="132" t="str">
        <v>m³</v>
      </c>
      <c r="D265" s="198">
        <v>485</v>
      </c>
      <c r="E265" s="198">
        <v>0.20208333333333334</v>
      </c>
      <c r="F265" s="198">
        <v>0</v>
      </c>
      <c r="G265" s="215">
        <v>0</v>
      </c>
      <c r="H265" s="131"/>
    </row>
    <row r="266" spans="1:8" x14ac:dyDescent="0.25">
      <c r="A266" s="133"/>
      <c r="B266" s="204" t="str">
        <v>Concrete, 40 MPa, in-situ, no reinforcement, Ready-Mix Concrete (LC)50 (Concrite) (NSW) (Sydney Region, NSW)</v>
      </c>
      <c r="C266" s="132" t="str">
        <v>m³</v>
      </c>
      <c r="D266" s="198">
        <v>219</v>
      </c>
      <c r="E266" s="198">
        <v>9.1249999999999998E-2</v>
      </c>
      <c r="F266" s="198">
        <v>0</v>
      </c>
      <c r="G266" s="215">
        <v>0</v>
      </c>
      <c r="H266" s="131"/>
    </row>
    <row r="267" spans="1:8" x14ac:dyDescent="0.25">
      <c r="A267" s="133"/>
      <c r="B267" s="204" t="str">
        <v>Concrete, 40 MPa, in-situ, no reinforcement, Ready-Mix Concrete (LC)40 (Concrite) (NSW) (Sydney Region, NSW)</v>
      </c>
      <c r="C267" s="132" t="str">
        <v>m³</v>
      </c>
      <c r="D267" s="198">
        <v>253</v>
      </c>
      <c r="E267" s="198">
        <v>0.10541666666666667</v>
      </c>
      <c r="F267" s="198">
        <v>0</v>
      </c>
      <c r="G267" s="215">
        <v>0</v>
      </c>
      <c r="H267" s="131"/>
    </row>
    <row r="268" spans="1:8" x14ac:dyDescent="0.25">
      <c r="A268" s="133"/>
      <c r="B268" s="204" t="str">
        <v>Concrete, 40 MPa, in-situ, no reinforcement, Ready-Mix Concrete (LC)30 (Concrite) (NSW) (Sydney Region, NSW)</v>
      </c>
      <c r="C268" s="132" t="str">
        <v>m³</v>
      </c>
      <c r="D268" s="198">
        <v>326</v>
      </c>
      <c r="E268" s="198">
        <v>0.13583333333333333</v>
      </c>
      <c r="F268" s="198">
        <v>0</v>
      </c>
      <c r="G268" s="215">
        <v>0</v>
      </c>
      <c r="H268" s="131"/>
    </row>
    <row r="269" spans="1:8" x14ac:dyDescent="0.25">
      <c r="A269" s="133"/>
      <c r="B269" s="204" t="str">
        <v>Concrete, 40 MPa, in-situ, no reinforcement, Ready-Mix Concrete (LCHP) (Concrite) (NSW) (Sydney Region, NSW)</v>
      </c>
      <c r="C269" s="132" t="str">
        <v>m³</v>
      </c>
      <c r="D269" s="198">
        <v>267</v>
      </c>
      <c r="E269" s="198">
        <v>0.11125</v>
      </c>
      <c r="F269" s="198">
        <v>0</v>
      </c>
      <c r="G269" s="215">
        <v>0</v>
      </c>
      <c r="H269" s="131"/>
    </row>
    <row r="270" spans="1:8" x14ac:dyDescent="0.25">
      <c r="A270" s="133"/>
      <c r="B270" s="204" t="str">
        <v>Concrete, 40 MPa, in-situ, no reinforcement, Ready-Mix Concrete (LCP) (Concrite) (NSW) (Sydney Region, NSW)</v>
      </c>
      <c r="C270" s="132" t="str">
        <v>m³</v>
      </c>
      <c r="D270" s="198">
        <v>280</v>
      </c>
      <c r="E270" s="198">
        <v>0.11666666666666667</v>
      </c>
      <c r="F270" s="198">
        <v>0</v>
      </c>
      <c r="G270" s="215">
        <v>0</v>
      </c>
      <c r="H270" s="131"/>
    </row>
    <row r="271" spans="1:8" x14ac:dyDescent="0.25">
      <c r="A271" s="133"/>
      <c r="B271" s="204" t="str">
        <v>Concrete, 40 MPa, in-situ, no reinforcement, Ready-Mix Concrete Normal class GP blend (Concrite) (NSW) (Sydney Region, NSW)</v>
      </c>
      <c r="C271" s="132" t="str">
        <v>m³</v>
      </c>
      <c r="D271" s="198">
        <v>341</v>
      </c>
      <c r="E271" s="198">
        <v>0.14208333333333334</v>
      </c>
      <c r="F271" s="198">
        <v>0</v>
      </c>
      <c r="G271" s="215">
        <v>0</v>
      </c>
      <c r="H271" s="131"/>
    </row>
    <row r="272" spans="1:8" x14ac:dyDescent="0.25">
      <c r="A272" s="133"/>
      <c r="B272" s="204" t="str">
        <v>Concrete, 40 MPa, in-situ, no reinforcement, Ready-Mix Concrete POST TENSIONED (Concrite) (NSW) (Sydney Region, NSW)</v>
      </c>
      <c r="C272" s="132" t="str">
        <v>m³</v>
      </c>
      <c r="D272" s="198">
        <v>325</v>
      </c>
      <c r="E272" s="198">
        <v>0.13541666666666666</v>
      </c>
      <c r="F272" s="198">
        <v>0</v>
      </c>
      <c r="G272" s="215">
        <v>0</v>
      </c>
      <c r="H272" s="131"/>
    </row>
    <row r="273" spans="1:8" x14ac:dyDescent="0.25">
      <c r="A273" s="133"/>
      <c r="B273" s="204" t="str">
        <v>Concrete, 40 MPa, in-situ, no reinforcement, Ready-Mix Concrete TREMIE 40MPa (Concrite) (NSW) (Sydney Region, NSW)</v>
      </c>
      <c r="C273" s="132" t="str">
        <v>m³</v>
      </c>
      <c r="D273" s="198">
        <v>317</v>
      </c>
      <c r="E273" s="198">
        <v>0.13208333333333333</v>
      </c>
      <c r="F273" s="198">
        <v>0</v>
      </c>
      <c r="G273" s="215">
        <v>0</v>
      </c>
      <c r="H273" s="131"/>
    </row>
    <row r="274" spans="1:8" x14ac:dyDescent="0.25">
      <c r="A274" s="133"/>
      <c r="B274" s="204" t="str">
        <v>Concrete, 40 MPa, in-situ, no reinforcement, Ready-Mix Concrete TfNSW B80 20MM PUMP B1 EXPOSURE (Concrite) (NSW) (Sydney Region, NSW)</v>
      </c>
      <c r="C274" s="132" t="str">
        <v>m³</v>
      </c>
      <c r="D274" s="198">
        <v>317</v>
      </c>
      <c r="E274" s="198">
        <v>0.13208333333333333</v>
      </c>
      <c r="F274" s="198">
        <v>0</v>
      </c>
      <c r="G274" s="215">
        <v>0</v>
      </c>
      <c r="H274" s="131"/>
    </row>
    <row r="275" spans="1:8" x14ac:dyDescent="0.25">
      <c r="A275" s="133"/>
      <c r="B275" s="204" t="str">
        <v>Concrete, 40 MPa, in-situ, no reinforcement, Ready-Mix Concrete TfNSW B80 20MM PUMP B2 EXPOSURE (Concrite) (NSW) (Sydney Region, NSW)</v>
      </c>
      <c r="C275" s="132" t="str">
        <v>m³</v>
      </c>
      <c r="D275" s="198">
        <v>248</v>
      </c>
      <c r="E275" s="198">
        <v>0.10333333333333333</v>
      </c>
      <c r="F275" s="198">
        <v>0</v>
      </c>
      <c r="G275" s="215">
        <v>0</v>
      </c>
      <c r="H275" s="131"/>
    </row>
    <row r="276" spans="1:8" x14ac:dyDescent="0.25">
      <c r="A276" s="133"/>
      <c r="B276" s="204" t="str">
        <v>Concrete, 40 MPa, in-situ, no reinforcement, Ready-Mix Concrete SLAG AGG CONCRETE MIX, (LC)50 (Concrite) (NSW) (Sydney Region, NSW)</v>
      </c>
      <c r="C276" s="132" t="str">
        <v>m³</v>
      </c>
      <c r="D276" s="198">
        <v>233</v>
      </c>
      <c r="E276" s="198">
        <v>9.7083333333333327E-2</v>
      </c>
      <c r="F276" s="198">
        <v>0</v>
      </c>
      <c r="G276" s="215">
        <v>0</v>
      </c>
      <c r="H276" s="131"/>
    </row>
    <row r="277" spans="1:8" x14ac:dyDescent="0.25">
      <c r="A277" s="133"/>
      <c r="B277" s="204" t="str">
        <v>Concrete, 40 MPa, in-situ, no reinforcement, Ready-Mix Concrete SLAG AGG CONCRETE MIX, (LC)40 (Concrite) (NSW) (Sydney Region, NSW)</v>
      </c>
      <c r="C277" s="132" t="str">
        <v>m³</v>
      </c>
      <c r="D277" s="198">
        <v>262</v>
      </c>
      <c r="E277" s="198">
        <v>0.10916666666666666</v>
      </c>
      <c r="F277" s="198">
        <v>0</v>
      </c>
      <c r="G277" s="215">
        <v>0</v>
      </c>
      <c r="H277" s="131"/>
    </row>
    <row r="278" spans="1:8" x14ac:dyDescent="0.25">
      <c r="A278" s="133"/>
      <c r="B278" s="204" t="str">
        <v>Concrete, 40 MPa, in-situ, no reinforcement, Ready-Mix Concrete SLAG AGG CONCRETE MIX, (LC)30 (Concrite) (NSW) (Sydney Region, NSW)</v>
      </c>
      <c r="C278" s="132" t="str">
        <v>m³</v>
      </c>
      <c r="D278" s="198">
        <v>306</v>
      </c>
      <c r="E278" s="198">
        <v>0.1275</v>
      </c>
      <c r="F278" s="198">
        <v>0</v>
      </c>
      <c r="G278" s="215">
        <v>0</v>
      </c>
      <c r="H278" s="131"/>
    </row>
    <row r="279" spans="1:8" x14ac:dyDescent="0.25">
      <c r="A279" s="133"/>
      <c r="B279" s="204" t="str">
        <v>Concrete, 40 MPa, in-situ, no reinforcement, Ready-Mix Concrete (LC)30 40MPa (Concrite) (NSW) (Southern Highlands, NSW)</v>
      </c>
      <c r="C279" s="132" t="str">
        <v>m³</v>
      </c>
      <c r="D279" s="198">
        <v>320</v>
      </c>
      <c r="E279" s="198">
        <v>0.13333333333333333</v>
      </c>
      <c r="F279" s="198">
        <v>0</v>
      </c>
      <c r="G279" s="215">
        <v>0</v>
      </c>
      <c r="H279" s="131"/>
    </row>
    <row r="280" spans="1:8" x14ac:dyDescent="0.25">
      <c r="A280" s="133"/>
      <c r="B280" s="204" t="str">
        <v>Concrete, 40 MPa, in-situ, no reinforcement, Ready-Mix Concrete NORMAL CLASS GP BLEND (Concrite) (NSW) (Southern Highlands, NSW)</v>
      </c>
      <c r="C280" s="132" t="str">
        <v>m³</v>
      </c>
      <c r="D280" s="198">
        <v>369</v>
      </c>
      <c r="E280" s="198">
        <v>0.15375</v>
      </c>
      <c r="F280" s="198">
        <v>0</v>
      </c>
      <c r="G280" s="215">
        <v>0</v>
      </c>
      <c r="H280" s="131"/>
    </row>
    <row r="281" spans="1:8" x14ac:dyDescent="0.25">
      <c r="A281" s="133"/>
      <c r="B281" s="204" t="str">
        <v>Concrete, 40 MPa, in-situ, no reinforcement, Ready-Mix Concrete POST TENSIONED 40MPa 22@4 (Concrite) (NSW) (Southern Highlands, NSW)</v>
      </c>
      <c r="C281" s="132" t="str">
        <v>m³</v>
      </c>
      <c r="D281" s="198">
        <v>371</v>
      </c>
      <c r="E281" s="198">
        <v>0.15458333333333332</v>
      </c>
      <c r="F281" s="198">
        <v>0</v>
      </c>
      <c r="G281" s="215">
        <v>0</v>
      </c>
      <c r="H281" s="131"/>
    </row>
    <row r="282" spans="1:8" x14ac:dyDescent="0.25">
      <c r="A282" s="133"/>
      <c r="B282" s="204" t="str">
        <v>Concrete, 40 MPa, in-situ, no reinforcement, Ready-Mix Concrete LC30 40MPa (Concrite) (ACT) (Canberra, ACT)</v>
      </c>
      <c r="C282" s="132" t="str">
        <v>m³</v>
      </c>
      <c r="D282" s="198">
        <v>330</v>
      </c>
      <c r="E282" s="198">
        <v>0.13750000000000001</v>
      </c>
      <c r="F282" s="198">
        <v>0</v>
      </c>
      <c r="G282" s="215">
        <v>0</v>
      </c>
      <c r="H282" s="131"/>
    </row>
    <row r="283" spans="1:8" x14ac:dyDescent="0.25">
      <c r="A283" s="133"/>
      <c r="B283" s="204" t="str">
        <v>Concrete, 40 MPa, in-situ, no reinforcement, Ready-Mix Concrete NORMAL CLASS GP BLEND (Concrite) (ACT) (Canberra, ACT)</v>
      </c>
      <c r="C283" s="132" t="str">
        <v>m³</v>
      </c>
      <c r="D283" s="198">
        <v>367</v>
      </c>
      <c r="E283" s="198">
        <v>0.15291666666666667</v>
      </c>
      <c r="F283" s="198">
        <v>0</v>
      </c>
      <c r="G283" s="215">
        <v>0</v>
      </c>
      <c r="H283" s="131"/>
    </row>
    <row r="284" spans="1:8" x14ac:dyDescent="0.25">
      <c r="A284" s="133"/>
      <c r="B284" s="204" t="str">
        <v>Concrete, 40 MPa, in-situ, no reinforcement, Ready-Mix Concrete POST TENSIONED 40MPa 22@5 (Concrite) (ACT) (Canberra, ACT)</v>
      </c>
      <c r="C284" s="132" t="str">
        <v>m³</v>
      </c>
      <c r="D284" s="198">
        <v>313</v>
      </c>
      <c r="E284" s="198">
        <v>0.13041666666666665</v>
      </c>
      <c r="F284" s="198">
        <v>0</v>
      </c>
      <c r="G284" s="215">
        <v>0</v>
      </c>
      <c r="H284" s="131"/>
    </row>
    <row r="285" spans="1:8" x14ac:dyDescent="0.25">
      <c r="A285" s="133"/>
      <c r="B285" s="204" t="str">
        <v>Concrete, 40 MPa, in-situ, no reinforcement, Ready-Mix Concrete SHOTCRETE 40MPa 10MM (Concrite) (ACT) (Canberra, ACT)</v>
      </c>
      <c r="C285" s="132" t="str">
        <v>m³</v>
      </c>
      <c r="D285" s="198">
        <v>363</v>
      </c>
      <c r="E285" s="198">
        <v>0.15125</v>
      </c>
      <c r="F285" s="198">
        <v>0</v>
      </c>
      <c r="G285" s="215">
        <v>0</v>
      </c>
      <c r="H285" s="131"/>
    </row>
    <row r="286" spans="1:8" x14ac:dyDescent="0.25">
      <c r="A286" s="133"/>
      <c r="B286" s="204" t="str">
        <v>Concrete, 40 MPa, in-situ, no reinforcement, Ready-Mix Concrete TFNSW B80 20MM PUMP B1 EXPOSURE (Concrite) (ACT) (Canberra, ACT)</v>
      </c>
      <c r="C286" s="132" t="str">
        <v>m³</v>
      </c>
      <c r="D286" s="198">
        <v>322</v>
      </c>
      <c r="E286" s="198">
        <v>0.13416666666666666</v>
      </c>
      <c r="F286" s="198">
        <v>0</v>
      </c>
      <c r="G286" s="215">
        <v>0</v>
      </c>
      <c r="H286" s="131"/>
    </row>
    <row r="287" spans="1:8" x14ac:dyDescent="0.25">
      <c r="A287" s="133"/>
      <c r="B287" s="204" t="str">
        <v>Concrete, 40 MPa, in-situ, no reinforcement, Ready-Mix Concrete TFNSW B80 20MM TREMIE B2 EXPOSURE (Concrite) (ACT) (Canberra, ACT)</v>
      </c>
      <c r="C287" s="132" t="str">
        <v>m³</v>
      </c>
      <c r="D287" s="198">
        <v>366</v>
      </c>
      <c r="E287" s="198">
        <v>0.1525</v>
      </c>
      <c r="F287" s="198">
        <v>0</v>
      </c>
      <c r="G287" s="215">
        <v>0</v>
      </c>
      <c r="H287" s="131"/>
    </row>
    <row r="288" spans="1:8" x14ac:dyDescent="0.25">
      <c r="A288" s="133"/>
      <c r="B288" s="204" t="str">
        <v>Concrete, 40 MPa, in-situ, no reinforcement, (Futurecrete® S40MPA JUMP/ SLIP/COLUMNS 10MM SP) (Adbri) (NSW)</v>
      </c>
      <c r="C288" s="132" t="str">
        <v>m³</v>
      </c>
      <c r="D288" s="198">
        <v>324.8886</v>
      </c>
      <c r="E288" s="198">
        <v>0.13537025</v>
      </c>
      <c r="F288" s="198">
        <v>0</v>
      </c>
      <c r="G288" s="215">
        <v>0</v>
      </c>
      <c r="H288" s="131"/>
    </row>
    <row r="289" spans="1:8" x14ac:dyDescent="0.25">
      <c r="A289" s="133"/>
      <c r="B289" s="204" t="str">
        <v>Concrete, 40 MPa, in-situ, no reinforcement, (Futurecrete®  Ultra
N Class Ternary
40 MPa) (Adbri) (NSW)</v>
      </c>
      <c r="C289" s="132" t="str">
        <v>m³</v>
      </c>
      <c r="D289" s="198">
        <v>301.24640000000005</v>
      </c>
      <c r="E289" s="198">
        <v>0.12551933333333334</v>
      </c>
      <c r="F289" s="198">
        <v>0</v>
      </c>
      <c r="G289" s="215">
        <v>0</v>
      </c>
      <c r="H289" s="131"/>
    </row>
    <row r="290" spans="1:8" x14ac:dyDescent="0.25">
      <c r="A290" s="133"/>
      <c r="B290" s="204" t="str">
        <v>Concrete, 40 MPa, in-situ, no reinforcement, (Futurecrete®  Ultra S40 10MM RMS B80 B2 HWC) (Adbri) (NSW)</v>
      </c>
      <c r="C290" s="132" t="str">
        <v>m³</v>
      </c>
      <c r="D290" s="198">
        <v>283.52600000000001</v>
      </c>
      <c r="E290" s="198">
        <v>0.11813583333333334</v>
      </c>
      <c r="F290" s="198">
        <v>0</v>
      </c>
      <c r="G290" s="215">
        <v>0</v>
      </c>
      <c r="H290" s="131"/>
    </row>
    <row r="291" spans="1:8" x14ac:dyDescent="0.25">
      <c r="A291" s="133"/>
      <c r="B291" s="204" t="str">
        <v>Concrete, 40 MPa, in-situ, no reinforcement, (Futurecrete®
Ultra S40MPA
BLOCKFILL 10MM
230MM SLUMP SP) (Adbri) (NSW)</v>
      </c>
      <c r="C291" s="132" t="str">
        <v>m³</v>
      </c>
      <c r="D291" s="198">
        <v>282.86599999999999</v>
      </c>
      <c r="E291" s="198">
        <v>0.11786083333333333</v>
      </c>
      <c r="F291" s="198">
        <v>0</v>
      </c>
      <c r="G291" s="215">
        <v>0</v>
      </c>
      <c r="H291" s="131"/>
    </row>
    <row r="292" spans="1:8" x14ac:dyDescent="0.25">
      <c r="A292" s="133"/>
      <c r="B292" s="204" t="str">
        <v>Concrete, 40 MPa, in-situ, no reinforcement, (Futurecrete®
Ultra S40MPA
BLOCKFILL 10MM) (Adbri) (NSW)</v>
      </c>
      <c r="C292" s="132" t="str">
        <v>m³</v>
      </c>
      <c r="D292" s="198">
        <v>280.50560000000002</v>
      </c>
      <c r="E292" s="198">
        <v>0.11687733333333335</v>
      </c>
      <c r="F292" s="198">
        <v>0</v>
      </c>
      <c r="G292" s="215">
        <v>0</v>
      </c>
      <c r="H292" s="131"/>
    </row>
    <row r="293" spans="1:8" x14ac:dyDescent="0.25">
      <c r="A293" s="133"/>
      <c r="B293" s="204" t="str">
        <v>Concrete, 40 MPa, in-situ, no reinforcement, (Futurecrete®  Ultra S40MPA PILE/ TREMIE 10MM SP) (Adbri) (NSW)</v>
      </c>
      <c r="C293" s="132" t="str">
        <v>m³</v>
      </c>
      <c r="D293" s="198">
        <v>280.46559999999999</v>
      </c>
      <c r="E293" s="198">
        <v>0.11686066666666667</v>
      </c>
      <c r="F293" s="198">
        <v>0</v>
      </c>
      <c r="G293" s="215">
        <v>0</v>
      </c>
      <c r="H293" s="131"/>
    </row>
    <row r="294" spans="1:8" x14ac:dyDescent="0.25">
      <c r="A294" s="133"/>
      <c r="B294" s="204" t="str">
        <v>Concrete, 40 MPa, in-situ, no reinforcement, (Futurecrete®  Ultra S40MPA 10MM RITEK SYSTEM) (Adbri) (NSW)</v>
      </c>
      <c r="C294" s="132" t="str">
        <v>m³</v>
      </c>
      <c r="D294" s="198">
        <v>278.08530000000002</v>
      </c>
      <c r="E294" s="198">
        <v>0.11586887500000001</v>
      </c>
      <c r="F294" s="198">
        <v>0</v>
      </c>
      <c r="G294" s="215">
        <v>0</v>
      </c>
      <c r="H294" s="131"/>
    </row>
    <row r="295" spans="1:8" x14ac:dyDescent="0.25">
      <c r="A295" s="133"/>
      <c r="B295" s="204" t="str">
        <v>Concrete, 40 MPa, in-situ, no reinforcement, (Futurecrete®
Ultra S40MPA
10MM AFS WALL SYSTEM) (Adbri) (NSW)</v>
      </c>
      <c r="C295" s="132" t="str">
        <v>m³</v>
      </c>
      <c r="D295" s="198">
        <v>275.73489999999998</v>
      </c>
      <c r="E295" s="198">
        <v>0.11488954166666666</v>
      </c>
      <c r="F295" s="198">
        <v>0</v>
      </c>
      <c r="G295" s="215">
        <v>0</v>
      </c>
      <c r="H295" s="131"/>
    </row>
    <row r="296" spans="1:8" x14ac:dyDescent="0.25">
      <c r="A296" s="133"/>
      <c r="B296" s="204" t="str">
        <v>Concrete, 40 MPa, in-situ, no reinforcement, (Futurecrete®  S Class
GP/GL 40 MPa) (Adbri) (SA)</v>
      </c>
      <c r="C296" s="132" t="str">
        <v>m³</v>
      </c>
      <c r="D296" s="198">
        <v>305.81</v>
      </c>
      <c r="E296" s="198">
        <v>0.12742083333333334</v>
      </c>
      <c r="F296" s="198">
        <v>0</v>
      </c>
      <c r="G296" s="215">
        <v>0</v>
      </c>
      <c r="H296" s="131"/>
    </row>
    <row r="297" spans="1:8" x14ac:dyDescent="0.25">
      <c r="A297" s="133"/>
      <c r="B297" s="204" t="str">
        <v>Concrete, 40 MPa, in-situ, no reinforcement, (Adbri N Class
GP/GL 40 MPa) (Adbri) (SA)</v>
      </c>
      <c r="C297" s="132" t="str">
        <v>m³</v>
      </c>
      <c r="D297" s="198">
        <v>290.99</v>
      </c>
      <c r="E297" s="198">
        <v>0.12124583333333333</v>
      </c>
      <c r="F297" s="198">
        <v>0</v>
      </c>
      <c r="G297" s="215">
        <v>0</v>
      </c>
      <c r="H297" s="131"/>
    </row>
    <row r="298" spans="1:8" x14ac:dyDescent="0.25">
      <c r="A298" s="133"/>
      <c r="B298" s="204" t="str">
        <v>Concrete, 35 MPa, in-situ, no reinforcement, (Futurecrete® S35MPA S CLASS 20MM R83 HAND PLACE) (Adbri) (NSW)</v>
      </c>
      <c r="C298" s="132" t="str">
        <v>m³</v>
      </c>
      <c r="D298" s="198">
        <v>279.3202</v>
      </c>
      <c r="E298" s="198">
        <v>0.11638341666666667</v>
      </c>
      <c r="F298" s="198">
        <v>0</v>
      </c>
      <c r="G298" s="215">
        <v>0</v>
      </c>
      <c r="H298" s="131"/>
    </row>
    <row r="299" spans="1:8" x14ac:dyDescent="0.25">
      <c r="A299" s="133"/>
      <c r="B299" s="204" t="str">
        <v>Concrete, 40 MPa, in-situ, no reinforcement, (R4020B)(GB) (BCG) (WA), (Perth)</v>
      </c>
      <c r="C299" s="132" t="str">
        <v>m³</v>
      </c>
      <c r="D299" s="198">
        <v>321.8</v>
      </c>
      <c r="E299" s="198">
        <v>0.13408333333333333</v>
      </c>
      <c r="F299" s="198">
        <v>0</v>
      </c>
      <c r="G299" s="215">
        <v>0</v>
      </c>
      <c r="H299" s="131"/>
    </row>
    <row r="300" spans="1:8" x14ac:dyDescent="0.25">
      <c r="A300" s="133"/>
      <c r="B300" s="204" t="str">
        <v>Concrete, 40 MPa, in-situ, no reinforcement, (Futurecrete®  Special
GP/GL:Slag 40 MPa
4D 85/60) (Adbri) (SA)</v>
      </c>
      <c r="C300" s="132" t="str">
        <v>m³</v>
      </c>
      <c r="D300" s="198">
        <v>227.06</v>
      </c>
      <c r="E300" s="198">
        <v>9.4608333333333336E-2</v>
      </c>
      <c r="F300" s="198">
        <v>0</v>
      </c>
      <c r="G300" s="215">
        <v>0</v>
      </c>
      <c r="H300" s="131"/>
    </row>
    <row r="301" spans="1:8" x14ac:dyDescent="0.25">
      <c r="A301" s="133"/>
      <c r="B301" s="204" t="str">
        <v>Concrete, 40 MPa, in-situ, no reinforcement, (QE407LSPR) (Ecopact) (Holcim) (QLD), Gold Coast</v>
      </c>
      <c r="C301" s="132" t="str">
        <v>m³</v>
      </c>
      <c r="D301" s="198">
        <v>295.67</v>
      </c>
      <c r="E301" s="198">
        <v>0.12319583333333332</v>
      </c>
      <c r="F301" s="198">
        <v>0</v>
      </c>
      <c r="G301" s="215">
        <v>0</v>
      </c>
      <c r="H301" s="131"/>
    </row>
    <row r="302" spans="1:8" x14ac:dyDescent="0.25">
      <c r="A302" s="133"/>
      <c r="B302" s="204" t="str">
        <v>Concrete, 40 MPa, in-situ, no reinforcement, (R4020A)(GP) (BCG) (WA), (Perth)</v>
      </c>
      <c r="C302" s="132" t="str">
        <v>m³</v>
      </c>
      <c r="D302" s="198">
        <v>432.5</v>
      </c>
      <c r="E302" s="198">
        <v>0.18020833333333333</v>
      </c>
      <c r="F302" s="198">
        <v>0</v>
      </c>
      <c r="G302" s="215">
        <v>0</v>
      </c>
      <c r="H302" s="131"/>
    </row>
    <row r="303" spans="1:8" x14ac:dyDescent="0.25">
      <c r="A303" s="133"/>
      <c r="B303" s="204" t="str">
        <v>Concrete, 40 MPa, in-situ, no reinforcement, (WE404EQ01)(Ecopact) (Holcim) (WA), (Perth Metro)</v>
      </c>
      <c r="C303" s="132" t="str">
        <v>m³</v>
      </c>
      <c r="D303" s="198">
        <v>225.73</v>
      </c>
      <c r="E303" s="198">
        <v>9.4054166666666661E-2</v>
      </c>
      <c r="F303" s="198">
        <v>0</v>
      </c>
      <c r="G303" s="215">
        <v>0</v>
      </c>
      <c r="H303" s="131"/>
    </row>
    <row r="304" spans="1:8" x14ac:dyDescent="0.25">
      <c r="A304" s="133"/>
      <c r="B304" s="204" t="str">
        <v>Concrete, 40 MPa, in-situ, no reinforcement, (TR4010E1)(LH) (BCG) (WA), (Perth)</v>
      </c>
      <c r="C304" s="132" t="str">
        <v>m³</v>
      </c>
      <c r="D304" s="198">
        <v>243.66</v>
      </c>
      <c r="E304" s="198">
        <v>0.101525</v>
      </c>
      <c r="F304" s="198">
        <v>0</v>
      </c>
      <c r="G304" s="215">
        <v>0</v>
      </c>
      <c r="H304" s="131"/>
    </row>
    <row r="305" spans="1:8" x14ac:dyDescent="0.25">
      <c r="A305" s="133"/>
      <c r="B305" s="204" t="str">
        <v>Concrete, 40 MPa, in-situ, no reinforcement, (Adbri Concrete N Class GP:GL 40 MPa- Winnellie) (Adbri) (NT)</v>
      </c>
      <c r="C305" s="132" t="str">
        <v>m³</v>
      </c>
      <c r="D305" s="198">
        <v>403.25599999999997</v>
      </c>
      <c r="E305" s="198">
        <v>0.16802333333333333</v>
      </c>
      <c r="F305" s="198">
        <v>0</v>
      </c>
      <c r="G305" s="215">
        <v>0</v>
      </c>
      <c r="H305" s="131"/>
    </row>
    <row r="306" spans="1:8" x14ac:dyDescent="0.25">
      <c r="A306" s="133"/>
      <c r="B306" s="204" t="str">
        <v>Concrete, 40 MPa, in-situ, no reinforcement, (VE402EF2) (Ecopact) (Holcim) (VIC)</v>
      </c>
      <c r="C306" s="132" t="str">
        <v>m³</v>
      </c>
      <c r="D306" s="198">
        <v>286.45999999999998</v>
      </c>
      <c r="E306" s="198">
        <v>0.11935833333333334</v>
      </c>
      <c r="F306" s="198">
        <v>0</v>
      </c>
      <c r="G306" s="215">
        <v>0</v>
      </c>
      <c r="H306" s="131"/>
    </row>
    <row r="307" spans="1:8" x14ac:dyDescent="0.25">
      <c r="A307" s="133"/>
      <c r="B307" s="204" t="str">
        <v>Concrete, 40 MPa, in-situ, no reinforcement, (QE402EBF1) (Ecopact) (Holcim) (QLD) (Brisbane)</v>
      </c>
      <c r="C307" s="132" t="str">
        <v>m³</v>
      </c>
      <c r="D307" s="198">
        <v>333.34</v>
      </c>
      <c r="E307" s="198">
        <v>0.13889166666666669</v>
      </c>
      <c r="F307" s="198">
        <v>0</v>
      </c>
      <c r="G307" s="215">
        <v>0</v>
      </c>
      <c r="H307" s="131"/>
    </row>
    <row r="308" spans="1:8" x14ac:dyDescent="0.25">
      <c r="A308" s="133"/>
      <c r="B308" s="204" t="str">
        <v>Concrete, 40 MPa, in-situ, no reinforcement, (SE401EAV6) (Ecopact) (Holcim) (SA) (Adelaide)</v>
      </c>
      <c r="C308" s="132" t="str">
        <v>m³</v>
      </c>
      <c r="D308" s="198">
        <v>294.37</v>
      </c>
      <c r="E308" s="198">
        <v>0.12265416666666666</v>
      </c>
      <c r="F308" s="198">
        <v>0</v>
      </c>
      <c r="G308" s="215">
        <v>0</v>
      </c>
      <c r="H308" s="131"/>
    </row>
    <row r="309" spans="1:8" x14ac:dyDescent="0.25">
      <c r="A309" s="133"/>
      <c r="B309" s="204" t="str">
        <v>Concrete, 40 MPa, in-situ, no reinforcement, (CS4020A9)(GP) (BCG) (WA), (Perth)</v>
      </c>
      <c r="C309" s="132" t="str">
        <v>m³</v>
      </c>
      <c r="D309" s="198">
        <v>465.94</v>
      </c>
      <c r="E309" s="198">
        <v>0.19414166666666668</v>
      </c>
      <c r="F309" s="198">
        <v>0</v>
      </c>
      <c r="G309" s="215">
        <v>0</v>
      </c>
      <c r="H309" s="131"/>
    </row>
    <row r="310" spans="1:8" x14ac:dyDescent="0.25">
      <c r="A310" s="133"/>
      <c r="B310" s="204" t="str">
        <v>Concrete, 40 MPa, in-situ, no reinforcement, (VE401EAP) (Ecopact) (Holcim) (VIC)</v>
      </c>
      <c r="C310" s="132" t="str">
        <v>m³</v>
      </c>
      <c r="D310" s="198">
        <v>293.32</v>
      </c>
      <c r="E310" s="198">
        <v>0.12221666666666667</v>
      </c>
      <c r="F310" s="198">
        <v>0</v>
      </c>
      <c r="G310" s="215">
        <v>0</v>
      </c>
      <c r="H310" s="131"/>
    </row>
    <row r="311" spans="1:8" x14ac:dyDescent="0.25">
      <c r="A311" s="133"/>
      <c r="B311" s="204" t="str">
        <v>Concrete, 40 MPa, in-situ, no reinforcement, (40MPa 7MM BLOCKMIX) (Adbri) (QLD)</v>
      </c>
      <c r="C311" s="132" t="str">
        <v>m³</v>
      </c>
      <c r="D311" s="198">
        <v>292.31799999999998</v>
      </c>
      <c r="E311" s="198">
        <v>0.12179916666666667</v>
      </c>
      <c r="F311" s="198">
        <v>0</v>
      </c>
      <c r="G311" s="215">
        <v>0</v>
      </c>
      <c r="H311" s="131"/>
    </row>
    <row r="312" spans="1:8" x14ac:dyDescent="0.25">
      <c r="A312" s="133"/>
      <c r="B312" s="204" t="str">
        <v>Concrete, 40 MPa, in-situ, no reinforcement, (CS4020BGS)(B) (BCG) (WA), (Perth)</v>
      </c>
      <c r="C312" s="132" t="str">
        <v>m³</v>
      </c>
      <c r="D312" s="198">
        <v>288.27999999999997</v>
      </c>
      <c r="E312" s="198">
        <v>0.12011666666666666</v>
      </c>
      <c r="F312" s="198">
        <v>0</v>
      </c>
      <c r="G312" s="215">
        <v>0</v>
      </c>
      <c r="H312" s="131"/>
    </row>
    <row r="313" spans="1:8" x14ac:dyDescent="0.25">
      <c r="A313" s="133"/>
      <c r="B313" s="204" t="str">
        <v>Concrete, 40 MPa, in-situ, no reinforcement, (SE401E3) (Ecopact) (Holcim) (SA) (Adelaide)</v>
      </c>
      <c r="C313" s="132" t="str">
        <v>m³</v>
      </c>
      <c r="D313" s="198">
        <v>271.31</v>
      </c>
      <c r="E313" s="198">
        <v>0.11304583333333333</v>
      </c>
      <c r="F313" s="198">
        <v>0</v>
      </c>
      <c r="G313" s="215">
        <v>0</v>
      </c>
      <c r="H313" s="131"/>
    </row>
    <row r="314" spans="1:8" x14ac:dyDescent="0.25">
      <c r="A314" s="133"/>
      <c r="B314" s="204" t="str">
        <v>Concrete, 40 MPa, in-situ, no reinforcement, (SE402E3) (Ecopact) (Holcim) (SA) (Adelaide)</v>
      </c>
      <c r="C314" s="132" t="str">
        <v>m³</v>
      </c>
      <c r="D314" s="198">
        <v>264.31</v>
      </c>
      <c r="E314" s="198">
        <v>0.11012916666666667</v>
      </c>
      <c r="F314" s="198">
        <v>0</v>
      </c>
      <c r="G314" s="215">
        <v>0</v>
      </c>
      <c r="H314" s="131"/>
    </row>
    <row r="315" spans="1:8" x14ac:dyDescent="0.25">
      <c r="A315" s="133"/>
      <c r="B315" s="204" t="str">
        <v>Concrete, 40 MPa, in-situ, no reinforcement, (QE402EBR2) (Ecopact) (Holcim) (QLD) (Brisbane)</v>
      </c>
      <c r="C315" s="132" t="str">
        <v>m³</v>
      </c>
      <c r="D315" s="198">
        <v>303.2</v>
      </c>
      <c r="E315" s="198">
        <v>0.12633333333333333</v>
      </c>
      <c r="F315" s="198">
        <v>0</v>
      </c>
      <c r="G315" s="215">
        <v>0</v>
      </c>
      <c r="H315" s="131"/>
    </row>
    <row r="316" spans="1:8" x14ac:dyDescent="0.25">
      <c r="A316" s="133"/>
      <c r="B316" s="204" t="str">
        <v>Concrete, 40 MPa, in-situ, no reinforcement, (QE402EBR1) (Ecopact) (Holcim) (QLD) (Brisbane)</v>
      </c>
      <c r="C316" s="132" t="str">
        <v>m³</v>
      </c>
      <c r="D316" s="198">
        <v>296.19</v>
      </c>
      <c r="E316" s="198">
        <v>0.12341250000000001</v>
      </c>
      <c r="F316" s="198">
        <v>0</v>
      </c>
      <c r="G316" s="215">
        <v>0</v>
      </c>
      <c r="H316" s="131"/>
    </row>
    <row r="317" spans="1:8" x14ac:dyDescent="0.25">
      <c r="A317" s="133"/>
      <c r="B317" s="204" t="str">
        <v>Concrete, 40 MPa, in-situ, no reinforcement, (QE402EXT1) (Ecopact) (Holcim) (QLD) (Brisbane)</v>
      </c>
      <c r="C317" s="132" t="str">
        <v>m³</v>
      </c>
      <c r="D317" s="198">
        <v>296.19</v>
      </c>
      <c r="E317" s="198">
        <v>0.12341250000000001</v>
      </c>
      <c r="F317" s="198">
        <v>0</v>
      </c>
      <c r="G317" s="215">
        <v>0</v>
      </c>
      <c r="H317" s="131"/>
    </row>
    <row r="318" spans="1:8" x14ac:dyDescent="0.25">
      <c r="A318" s="133"/>
      <c r="B318" s="204" t="str">
        <v>Concrete, 40 MPa, in-situ, no reinforcement, (QE402LPN2) (Ecopact) (Holcim) (QLD) (Brisbane)</v>
      </c>
      <c r="C318" s="132" t="str">
        <v>m³</v>
      </c>
      <c r="D318" s="198">
        <v>289.18</v>
      </c>
      <c r="E318" s="198">
        <v>0.12049166666666668</v>
      </c>
      <c r="F318" s="198">
        <v>0</v>
      </c>
      <c r="G318" s="215">
        <v>0</v>
      </c>
      <c r="H318" s="131"/>
    </row>
    <row r="319" spans="1:8" x14ac:dyDescent="0.25">
      <c r="A319" s="133"/>
      <c r="B319" s="204" t="str">
        <v>Concrete, 40 MPa, in-situ, no reinforcement, (VE402EVR2) (Ecopact) (Holcim) (VIC)</v>
      </c>
      <c r="C319" s="132" t="str">
        <v>m³</v>
      </c>
      <c r="D319" s="198">
        <v>247.27</v>
      </c>
      <c r="E319" s="198">
        <v>0.10302916666666667</v>
      </c>
      <c r="F319" s="198">
        <v>0</v>
      </c>
      <c r="G319" s="215">
        <v>0</v>
      </c>
      <c r="H319" s="131"/>
    </row>
    <row r="320" spans="1:8" x14ac:dyDescent="0.25">
      <c r="A320" s="133"/>
      <c r="B320" s="204" t="str">
        <v>Concrete, 40 MPa, in-situ, no reinforcement, (Futurecrete®  N Class
GP/GL:Slag 40 MPa) (Adbri) (VIC)</v>
      </c>
      <c r="C320" s="132" t="str">
        <v>m³</v>
      </c>
      <c r="D320" s="198">
        <v>253.19</v>
      </c>
      <c r="E320" s="198">
        <v>0.10549583333333334</v>
      </c>
      <c r="F320" s="198">
        <v>0</v>
      </c>
      <c r="G320" s="215">
        <v>0</v>
      </c>
      <c r="H320" s="131"/>
    </row>
    <row r="321" spans="1:8" x14ac:dyDescent="0.25">
      <c r="A321" s="133"/>
      <c r="B321" s="204" t="str">
        <v>Concrete, 40 MPa, in-situ, no reinforcement, (QE401E100)(Ecopact) (Holcim) (QLD) (Sunshine Coast)</v>
      </c>
      <c r="C321" s="132" t="str">
        <v>m³</v>
      </c>
      <c r="D321" s="198">
        <v>225.25</v>
      </c>
      <c r="E321" s="198">
        <v>9.3854166666666669E-2</v>
      </c>
      <c r="F321" s="198">
        <v>0</v>
      </c>
      <c r="G321" s="215">
        <v>0</v>
      </c>
      <c r="H321" s="131"/>
    </row>
    <row r="322" spans="1:8" x14ac:dyDescent="0.25">
      <c r="A322" s="133"/>
      <c r="B322" s="204" t="str">
        <v>Concrete, 40 MPa, in-situ, no reinforcement, (QE402E)(Ecopact) (Holcim) (QLD) (Sunshine Coast)</v>
      </c>
      <c r="C322" s="132" t="str">
        <v>m³</v>
      </c>
      <c r="D322" s="198">
        <v>215.23</v>
      </c>
      <c r="E322" s="198">
        <v>8.9679166666666671E-2</v>
      </c>
      <c r="F322" s="198">
        <v>0</v>
      </c>
      <c r="G322" s="215">
        <v>0</v>
      </c>
      <c r="H322" s="131"/>
    </row>
    <row r="323" spans="1:8" x14ac:dyDescent="0.25">
      <c r="A323" s="133"/>
      <c r="B323" s="204" t="str">
        <v>Concrete, 40 MPa, in-situ, no reinforcement, (Futurecrete®  Ultra
N Class GP/GL:Slag
40 MPa) (Adbri) (VIC)</v>
      </c>
      <c r="C323" s="132" t="str">
        <v>m³</v>
      </c>
      <c r="D323" s="198">
        <v>210.19</v>
      </c>
      <c r="E323" s="198">
        <v>8.7579166666666666E-2</v>
      </c>
      <c r="F323" s="198">
        <v>0</v>
      </c>
      <c r="G323" s="215">
        <v>0</v>
      </c>
      <c r="H323" s="131"/>
    </row>
    <row r="324" spans="1:8" x14ac:dyDescent="0.25">
      <c r="A324" s="133"/>
      <c r="B324" s="204" t="str">
        <v>Concrete, 40 MPa, in-situ, no reinforcement, (NE401E5)(Ecopact) (Holcim) (NSW), (Sydney)</v>
      </c>
      <c r="C324" s="132" t="str">
        <v>m³</v>
      </c>
      <c r="D324" s="198">
        <v>202.17</v>
      </c>
      <c r="E324" s="198">
        <v>8.4237500000000007E-2</v>
      </c>
      <c r="F324" s="198">
        <v>0</v>
      </c>
      <c r="G324" s="215">
        <v>0</v>
      </c>
      <c r="H324" s="131"/>
    </row>
    <row r="325" spans="1:8" x14ac:dyDescent="0.25">
      <c r="A325" s="133"/>
      <c r="B325" s="204" t="str">
        <v>Concrete (in-situ), , ENVISIA concrete in-situ Melb metro - 40 MPa (Boral) (Australia)</v>
      </c>
      <c r="C325" s="132" t="str">
        <v>m³</v>
      </c>
      <c r="D325" s="198">
        <v>282</v>
      </c>
      <c r="E325" s="198">
        <v>0.11749999999999999</v>
      </c>
      <c r="F325" s="198">
        <v>0</v>
      </c>
      <c r="G325" s="215">
        <v>0</v>
      </c>
      <c r="H325" s="131"/>
    </row>
    <row r="326" spans="1:8" x14ac:dyDescent="0.25">
      <c r="A326" s="133"/>
      <c r="B326" s="204" t="str">
        <v>Concrete (in-situ), , Envirocrete plus concrete in-situ Melb metro - 40 MPa (Boral) (Australia)</v>
      </c>
      <c r="C326" s="132" t="str">
        <v>m³</v>
      </c>
      <c r="D326" s="198">
        <v>270</v>
      </c>
      <c r="E326" s="198">
        <v>0.1125</v>
      </c>
      <c r="F326" s="198">
        <v>0</v>
      </c>
      <c r="G326" s="215">
        <v>0</v>
      </c>
      <c r="H326" s="131"/>
    </row>
    <row r="327" spans="1:8" x14ac:dyDescent="0.25">
      <c r="A327" s="133"/>
      <c r="B327" s="204" t="str">
        <v>Concrete (in-situ), , Envirocrete concrete in-situ Melb metro - 40 MPa (Boral) (Australia)</v>
      </c>
      <c r="C327" s="132" t="str">
        <v>m³</v>
      </c>
      <c r="D327" s="198">
        <v>288</v>
      </c>
      <c r="E327" s="198">
        <v>0.12</v>
      </c>
      <c r="F327" s="198">
        <v>0</v>
      </c>
      <c r="G327" s="215">
        <v>0</v>
      </c>
      <c r="H327" s="131"/>
    </row>
    <row r="328" spans="1:8" x14ac:dyDescent="0.25">
      <c r="A328" s="133"/>
      <c r="B328" s="204" t="str">
        <v>Concrete (in-situ), , Envirocrete 40% concrete in-situ Melb metro - 40 MPa (Boral) (Australia)</v>
      </c>
      <c r="C328" s="132" t="str">
        <v>m³</v>
      </c>
      <c r="D328" s="198">
        <v>322</v>
      </c>
      <c r="E328" s="198">
        <v>0.13416666666666666</v>
      </c>
      <c r="F328" s="198">
        <v>0</v>
      </c>
      <c r="G328" s="215">
        <v>0</v>
      </c>
      <c r="H328" s="131"/>
    </row>
    <row r="329" spans="1:8" x14ac:dyDescent="0.25">
      <c r="A329" s="133"/>
      <c r="B329" s="204" t="str">
        <v>Concrete (in-situ), , Envirocrete 30% concrete in-situ Melb metro - 40 MPa (Boral) (Australia)</v>
      </c>
      <c r="C329" s="132" t="str">
        <v>m³</v>
      </c>
      <c r="D329" s="198">
        <v>369</v>
      </c>
      <c r="E329" s="198">
        <v>0.15375</v>
      </c>
      <c r="F329" s="198">
        <v>0</v>
      </c>
      <c r="G329" s="215">
        <v>0</v>
      </c>
      <c r="H329" s="131"/>
    </row>
    <row r="330" spans="1:8" x14ac:dyDescent="0.25">
      <c r="A330" s="133"/>
      <c r="B330" s="204" t="str">
        <v>Concrete (in-situ), , Normal GP blend concrete in-situ Melb metro - 40 MPa (Boral) (Australia)</v>
      </c>
      <c r="C330" s="132" t="str">
        <v>m³</v>
      </c>
      <c r="D330" s="198">
        <v>387</v>
      </c>
      <c r="E330" s="198">
        <v>0.16125</v>
      </c>
      <c r="F330" s="198">
        <v>0</v>
      </c>
      <c r="G330" s="215">
        <v>0</v>
      </c>
      <c r="H330" s="131"/>
    </row>
    <row r="331" spans="1:8" x14ac:dyDescent="0.25">
      <c r="A331" s="133"/>
      <c r="B331" s="204" t="str">
        <v>Concrete (in-situ), , Normal GP /FA blend blend concrete in-situ Melb metro - 40 MPa (Boral) (Australia)</v>
      </c>
      <c r="C331" s="132" t="str">
        <v>m³</v>
      </c>
      <c r="D331" s="198">
        <v>360</v>
      </c>
      <c r="E331" s="198">
        <v>0.15</v>
      </c>
      <c r="F331" s="198">
        <v>0</v>
      </c>
      <c r="G331" s="215">
        <v>0</v>
      </c>
      <c r="H331" s="131"/>
    </row>
    <row r="332" spans="1:8" x14ac:dyDescent="0.25">
      <c r="A332" s="133"/>
      <c r="B332" s="204" t="str">
        <v>Concrete (in-situ), , Normal GP /GGBFS blend blend concrete in-situ Melb metro - 40 MPa (Boral) (Australia)</v>
      </c>
      <c r="C332" s="132" t="str">
        <v>m³</v>
      </c>
      <c r="D332" s="198">
        <v>343</v>
      </c>
      <c r="E332" s="198">
        <v>0.14291666666666666</v>
      </c>
      <c r="F332" s="198">
        <v>0</v>
      </c>
      <c r="G332" s="215">
        <v>0</v>
      </c>
      <c r="H332" s="131"/>
    </row>
    <row r="333" spans="1:8" x14ac:dyDescent="0.25">
      <c r="A333" s="133"/>
      <c r="B333" s="204" t="str">
        <v>Concrete (in-situ), , ENVISIA concrete in-situ Perth metro - 40 MPa (Boral) (Australia)</v>
      </c>
      <c r="C333" s="132" t="str">
        <v>m³</v>
      </c>
      <c r="D333" s="198">
        <v>239</v>
      </c>
      <c r="E333" s="198">
        <v>9.9583333333333329E-2</v>
      </c>
      <c r="F333" s="198">
        <v>0</v>
      </c>
      <c r="G333" s="215">
        <v>0</v>
      </c>
      <c r="H333" s="131"/>
    </row>
    <row r="334" spans="1:8" x14ac:dyDescent="0.25">
      <c r="A334" s="133"/>
      <c r="B334" s="204" t="str">
        <v>Concrete (in-situ), , Envirocrete plus concrete in-situ Perth metro - 40 MPa (Boral) (Australia)</v>
      </c>
      <c r="C334" s="132" t="str">
        <v>m³</v>
      </c>
      <c r="D334" s="198">
        <v>258</v>
      </c>
      <c r="E334" s="198">
        <v>0.1075</v>
      </c>
      <c r="F334" s="198">
        <v>0</v>
      </c>
      <c r="G334" s="215">
        <v>0</v>
      </c>
      <c r="H334" s="131"/>
    </row>
    <row r="335" spans="1:8" x14ac:dyDescent="0.25">
      <c r="A335" s="133"/>
      <c r="B335" s="204" t="str">
        <v>Concrete (in-situ), , Envirocrete concrete in-situ Perth metro - 40 MPa (Boral) (Australia)</v>
      </c>
      <c r="C335" s="132" t="str">
        <v>m³</v>
      </c>
      <c r="D335" s="198">
        <v>272</v>
      </c>
      <c r="E335" s="198">
        <v>0.11333333333333333</v>
      </c>
      <c r="F335" s="198">
        <v>0</v>
      </c>
      <c r="G335" s="215">
        <v>0</v>
      </c>
      <c r="H335" s="131"/>
    </row>
    <row r="336" spans="1:8" x14ac:dyDescent="0.25">
      <c r="A336" s="133"/>
      <c r="B336" s="204" t="str">
        <v>Concrete (in-situ), , Envirocrete 30% concrete in-situ Perth metro - 40 MPa (Boral) (Australia)</v>
      </c>
      <c r="C336" s="132" t="str">
        <v>m³</v>
      </c>
      <c r="D336" s="198">
        <v>272</v>
      </c>
      <c r="E336" s="198">
        <v>0.11333333333333333</v>
      </c>
      <c r="F336" s="198">
        <v>0</v>
      </c>
      <c r="G336" s="215">
        <v>0</v>
      </c>
      <c r="H336" s="131"/>
    </row>
    <row r="337" spans="1:8" x14ac:dyDescent="0.25">
      <c r="A337" s="133"/>
      <c r="B337" s="204" t="str">
        <v>Concrete (in-situ), , Normal GP blend concrete in-situ Perth metro - 40 MPa (Boral) (Australia)</v>
      </c>
      <c r="C337" s="132" t="str">
        <v>m³</v>
      </c>
      <c r="D337" s="198">
        <v>356</v>
      </c>
      <c r="E337" s="198">
        <v>0.14833333333333334</v>
      </c>
      <c r="F337" s="198">
        <v>0</v>
      </c>
      <c r="G337" s="215">
        <v>0</v>
      </c>
      <c r="H337" s="131"/>
    </row>
    <row r="338" spans="1:8" x14ac:dyDescent="0.25">
      <c r="A338" s="133"/>
      <c r="B338" s="204" t="str">
        <v>Concrete (in-situ), , Normal GP /GGBFS blend blend concrete in-situ Perth metro - 40 MPa (Boral) (Australia)</v>
      </c>
      <c r="C338" s="132" t="str">
        <v>m³</v>
      </c>
      <c r="D338" s="198">
        <v>277</v>
      </c>
      <c r="E338" s="198">
        <v>0.11541666666666667</v>
      </c>
      <c r="F338" s="198">
        <v>0</v>
      </c>
      <c r="G338" s="215">
        <v>0</v>
      </c>
      <c r="H338" s="131"/>
    </row>
    <row r="339" spans="1:8" x14ac:dyDescent="0.25">
      <c r="A339" s="133"/>
      <c r="B339" s="204" t="str">
        <v>Concrete (in-situ), , ENVISIA concrete in-situ QLD metro - 40 MPa (Boral) (Australia)</v>
      </c>
      <c r="C339" s="132" t="str">
        <v>m³</v>
      </c>
      <c r="D339" s="198">
        <v>259</v>
      </c>
      <c r="E339" s="198">
        <v>0.10791666666666666</v>
      </c>
      <c r="F339" s="198">
        <v>0</v>
      </c>
      <c r="G339" s="215">
        <v>0</v>
      </c>
      <c r="H339" s="131"/>
    </row>
    <row r="340" spans="1:8" x14ac:dyDescent="0.25">
      <c r="A340" s="133"/>
      <c r="B340" s="204" t="str">
        <v>Concrete (in-situ), , Envirocrete plus concrete in-situ QLD metro - 40 MPa (Boral) (Australia)</v>
      </c>
      <c r="C340" s="132" t="str">
        <v>m³</v>
      </c>
      <c r="D340" s="198">
        <v>256</v>
      </c>
      <c r="E340" s="198">
        <v>0.10666666666666667</v>
      </c>
      <c r="F340" s="198">
        <v>0</v>
      </c>
      <c r="G340" s="215">
        <v>0</v>
      </c>
      <c r="H340" s="131"/>
    </row>
    <row r="341" spans="1:8" x14ac:dyDescent="0.25">
      <c r="A341" s="133"/>
      <c r="B341" s="204" t="str">
        <v>Concrete (in-situ), , Envirocrete 40% concrete in-situ QLD metro - 40 MPa (Boral) (Australia)</v>
      </c>
      <c r="C341" s="132" t="str">
        <v>m³</v>
      </c>
      <c r="D341" s="198">
        <v>280</v>
      </c>
      <c r="E341" s="198">
        <v>0.11666666666666667</v>
      </c>
      <c r="F341" s="198">
        <v>0</v>
      </c>
      <c r="G341" s="215">
        <v>0</v>
      </c>
      <c r="H341" s="131"/>
    </row>
    <row r="342" spans="1:8" x14ac:dyDescent="0.25">
      <c r="A342" s="133"/>
      <c r="B342" s="204" t="str">
        <v>Concrete (in-situ), , Envirocrete 30% concrete in-situ QLD metro - 40 MPa (Boral) (Australia)</v>
      </c>
      <c r="C342" s="132" t="str">
        <v>m³</v>
      </c>
      <c r="D342" s="198">
        <v>335</v>
      </c>
      <c r="E342" s="198">
        <v>0.13958333333333334</v>
      </c>
      <c r="F342" s="198">
        <v>0</v>
      </c>
      <c r="G342" s="215">
        <v>0</v>
      </c>
      <c r="H342" s="131"/>
    </row>
    <row r="343" spans="1:8" x14ac:dyDescent="0.25">
      <c r="A343" s="133"/>
      <c r="B343" s="204" t="str">
        <v>Concrete (in-situ), , Normal GP blend concrete in-situ QLD metro - 40 MPa (Boral) (Australia)</v>
      </c>
      <c r="C343" s="132" t="str">
        <v>m³</v>
      </c>
      <c r="D343" s="198">
        <v>415</v>
      </c>
      <c r="E343" s="198">
        <v>0.17291666666666666</v>
      </c>
      <c r="F343" s="198">
        <v>0</v>
      </c>
      <c r="G343" s="215">
        <v>0</v>
      </c>
      <c r="H343" s="131"/>
    </row>
    <row r="344" spans="1:8" x14ac:dyDescent="0.25">
      <c r="A344" s="133"/>
      <c r="B344" s="204" t="str">
        <v>40 MPa, , Normal Class 40MPa - straight cement (Gunlake) (Australia)</v>
      </c>
      <c r="C344" s="132" t="str">
        <v>m³</v>
      </c>
      <c r="D344" s="198">
        <v>392.05099999999999</v>
      </c>
      <c r="E344" s="198">
        <v>0.16335458333333333</v>
      </c>
      <c r="F344" s="198">
        <v>0</v>
      </c>
      <c r="G344" s="215">
        <v>0</v>
      </c>
      <c r="H344" s="131"/>
    </row>
    <row r="345" spans="1:8" x14ac:dyDescent="0.25">
      <c r="A345" s="133"/>
      <c r="B345" s="204" t="str">
        <v>40 MPa, , Normal Class 40MPa (NC4028PCI) - cement and fly-ash (Gunlake) (Australia)</v>
      </c>
      <c r="C345" s="132" t="str">
        <v>m³</v>
      </c>
      <c r="D345" s="198">
        <v>318.06299999999999</v>
      </c>
      <c r="E345" s="198">
        <v>0.13252625000000001</v>
      </c>
      <c r="F345" s="198">
        <v>0</v>
      </c>
      <c r="G345" s="215">
        <v>0</v>
      </c>
      <c r="H345" s="131"/>
    </row>
    <row r="346" spans="1:8" x14ac:dyDescent="0.25">
      <c r="A346" s="133"/>
      <c r="B346" s="204" t="str">
        <v>40 MPa, , Normal Class 40MPa (NC4028PCI) - cement, slag and fly-ash (Gunlake) (Australia)</v>
      </c>
      <c r="C346" s="132" t="str">
        <v>m³</v>
      </c>
      <c r="D346" s="198">
        <v>249.0778</v>
      </c>
      <c r="E346" s="198">
        <v>0.10378241666666665</v>
      </c>
      <c r="F346" s="198">
        <v>0</v>
      </c>
      <c r="G346" s="215">
        <v>0</v>
      </c>
      <c r="H346" s="131"/>
    </row>
    <row r="347" spans="1:8" x14ac:dyDescent="0.25">
      <c r="A347" s="133"/>
      <c r="B347" s="204" t="str">
        <v>40 MPa, , Special Class 40MPa (ES4022@3AB) - post tensioned mix with cement and fly-ash (Gunlake) (Australia)</v>
      </c>
      <c r="C347" s="132" t="str">
        <v>m³</v>
      </c>
      <c r="D347" s="198">
        <v>355.06240000000003</v>
      </c>
      <c r="E347" s="198">
        <v>0.14794266666666667</v>
      </c>
      <c r="F347" s="198">
        <v>0</v>
      </c>
      <c r="G347" s="215">
        <v>0</v>
      </c>
      <c r="H347" s="131"/>
    </row>
    <row r="348" spans="1:8" x14ac:dyDescent="0.25">
      <c r="A348" s="133"/>
      <c r="B348" s="204" t="str">
        <v>40 MPa, , Special Class 40MPa(ES4022@4) - post tensioned mix with cement and fly-ash (Gunlake) (Australia)</v>
      </c>
      <c r="C348" s="132" t="str">
        <v>m³</v>
      </c>
      <c r="D348" s="198">
        <v>337.06099999999998</v>
      </c>
      <c r="E348" s="198">
        <v>0.14044208333333333</v>
      </c>
      <c r="F348" s="198">
        <v>0</v>
      </c>
      <c r="G348" s="215">
        <v>0</v>
      </c>
      <c r="H348" s="131"/>
    </row>
    <row r="349" spans="1:8" x14ac:dyDescent="0.25">
      <c r="A349" s="133"/>
      <c r="B349" s="204" t="str">
        <v>40 MPa, , Special Class 40MPa (ES4022@5) - post tensioned mix with cement and fly-ash (Gunlake) (Australia)</v>
      </c>
      <c r="C349" s="132" t="str">
        <v>m³</v>
      </c>
      <c r="D349" s="198">
        <v>328.06060000000002</v>
      </c>
      <c r="E349" s="198">
        <v>0.13669191666666666</v>
      </c>
      <c r="F349" s="198">
        <v>0</v>
      </c>
      <c r="G349" s="215">
        <v>0</v>
      </c>
      <c r="H349" s="131"/>
    </row>
    <row r="350" spans="1:8" x14ac:dyDescent="0.25">
      <c r="A350" s="133"/>
      <c r="B350" s="204" t="str">
        <v>40 MPa, , Special Class 40MPa (GD402AP2) - green star mix with cement, high slag and fly-ash (Gunlake) (Australia)</v>
      </c>
      <c r="C350" s="132" t="str">
        <v>m³</v>
      </c>
      <c r="D350" s="198">
        <v>267.08240000000001</v>
      </c>
      <c r="E350" s="198">
        <v>0.11128433333333333</v>
      </c>
      <c r="F350" s="198">
        <v>0</v>
      </c>
      <c r="G350" s="215">
        <v>0</v>
      </c>
      <c r="H350" s="131"/>
    </row>
    <row r="351" spans="1:8" x14ac:dyDescent="0.25">
      <c r="A351" s="133"/>
      <c r="B351" s="204" t="str">
        <v>40 MPa, , Post Tension 40 MPa • 44% Indicative Cement Replacement - Fly Ash/GGBFS (Hymix) (Australia)</v>
      </c>
      <c r="C351" s="132" t="str">
        <v>m³</v>
      </c>
      <c r="D351" s="198">
        <v>293</v>
      </c>
      <c r="E351" s="198">
        <v>0.12208333333333334</v>
      </c>
      <c r="F351" s="198">
        <v>0</v>
      </c>
      <c r="G351" s="215">
        <v>0</v>
      </c>
      <c r="H351" s="131"/>
    </row>
    <row r="352" spans="1:8" x14ac:dyDescent="0.25">
      <c r="A352" s="133"/>
      <c r="B352" s="204" t="str">
        <v>40 MPa, , Long Line 40 MPa 25% Indicative Cement Replacement, Fly Ash (Hymix) (Australia)</v>
      </c>
      <c r="C352" s="132" t="str">
        <v>m³</v>
      </c>
      <c r="D352" s="198">
        <v>276</v>
      </c>
      <c r="E352" s="198">
        <v>0.115</v>
      </c>
      <c r="F352" s="198">
        <v>0</v>
      </c>
      <c r="G352" s="215">
        <v>0</v>
      </c>
      <c r="H352" s="131"/>
    </row>
    <row r="353" spans="1:8" x14ac:dyDescent="0.25">
      <c r="A353" s="133"/>
      <c r="B353" s="204" t="str">
        <v>40 MPa, , Column &amp; Wall 40 MPa 25% Indicative Cement Replacement - Fly Ash (Hymix) (Australia)</v>
      </c>
      <c r="C353" s="132" t="str">
        <v>m³</v>
      </c>
      <c r="D353" s="198">
        <v>289</v>
      </c>
      <c r="E353" s="198">
        <v>0.12041666666666667</v>
      </c>
      <c r="F353" s="198">
        <v>0</v>
      </c>
      <c r="G353" s="215">
        <v>0</v>
      </c>
      <c r="H353" s="131"/>
    </row>
    <row r="354" spans="1:8" x14ac:dyDescent="0.25">
      <c r="A354" s="133"/>
      <c r="B354" s="204" t="str">
        <v>40 MPa, , Mix A: Precast 40 MPa - 25% Indicative Cement Replacement - Fly Ash (Hymix) (Australia)</v>
      </c>
      <c r="C354" s="132" t="str">
        <v>m³</v>
      </c>
      <c r="D354" s="198">
        <v>336</v>
      </c>
      <c r="E354" s="198">
        <v>0.14000000000000001</v>
      </c>
      <c r="F354" s="198">
        <v>0</v>
      </c>
      <c r="G354" s="215">
        <v>0</v>
      </c>
      <c r="H354" s="131"/>
    </row>
    <row r="355" spans="1:8" x14ac:dyDescent="0.25">
      <c r="A355" s="133"/>
      <c r="B355" s="204" t="str">
        <v>40 MPa, , Post Tension 40 MPa 26% Indicative Cement Replacement — GGBFS (Hymix) (Australia)</v>
      </c>
      <c r="C355" s="132" t="str">
        <v>m³</v>
      </c>
      <c r="D355" s="198">
        <v>370</v>
      </c>
      <c r="E355" s="198">
        <v>0.15416666666666667</v>
      </c>
      <c r="F355" s="198">
        <v>0</v>
      </c>
      <c r="G355" s="215">
        <v>0</v>
      </c>
      <c r="H355" s="131"/>
    </row>
    <row r="356" spans="1:8" x14ac:dyDescent="0.25">
      <c r="A356" s="133"/>
      <c r="B356" s="204" t="str">
        <v>40 MPa, , Level 2 Podium 40 MPa 27% Indicative Cement Replacement - Fly Ash (Hymix) (Australia)</v>
      </c>
      <c r="C356" s="132" t="str">
        <v>m³</v>
      </c>
      <c r="D356" s="198">
        <v>332</v>
      </c>
      <c r="E356" s="198">
        <v>0.13833333333333334</v>
      </c>
      <c r="F356" s="198">
        <v>0</v>
      </c>
      <c r="G356" s="215">
        <v>0</v>
      </c>
      <c r="H356" s="131"/>
    </row>
    <row r="357" spans="1:8" x14ac:dyDescent="0.25">
      <c r="A357" s="133"/>
      <c r="B357" s="204" t="str">
        <v>40 MPa, , Basement Slabs (RC) 40 MPa 25% Indicative Cement Replacement - Fly Ash/GGBFS Blend (Hymix) (Australia)</v>
      </c>
      <c r="C357" s="132" t="str">
        <v>m³</v>
      </c>
      <c r="D357" s="198">
        <v>324</v>
      </c>
      <c r="E357" s="198">
        <v>0.13500000000000001</v>
      </c>
      <c r="F357" s="198">
        <v>0</v>
      </c>
      <c r="G357" s="215">
        <v>0</v>
      </c>
      <c r="H357" s="131"/>
    </row>
    <row r="358" spans="1:8" x14ac:dyDescent="0.25">
      <c r="A358" s="133"/>
      <c r="B358" s="204" t="str">
        <v>40 MPa, , Stairs 40 MPa 25% Indicative Cement Replacement - Fly Ash/GGBFS Blend (Hymix) (Australia)</v>
      </c>
      <c r="C358" s="132" t="str">
        <v>m³</v>
      </c>
      <c r="D358" s="198">
        <v>331</v>
      </c>
      <c r="E358" s="198">
        <v>0.13791666666666666</v>
      </c>
      <c r="F358" s="198">
        <v>0</v>
      </c>
      <c r="G358" s="215">
        <v>0</v>
      </c>
      <c r="H358" s="131"/>
    </row>
    <row r="359" spans="1:8" x14ac:dyDescent="0.25">
      <c r="A359" s="133"/>
      <c r="B359" s="204" t="str">
        <v>40 MPa, , Tower Columns &amp; Wall 40 MPa 25% Indicative Cement Replacement — GGBFS (Hymix) (Australia)</v>
      </c>
      <c r="C359" s="132" t="str">
        <v>m³</v>
      </c>
      <c r="D359" s="198">
        <v>343</v>
      </c>
      <c r="E359" s="198">
        <v>0.14291666666666666</v>
      </c>
      <c r="F359" s="198">
        <v>0</v>
      </c>
      <c r="G359" s="215">
        <v>0</v>
      </c>
      <c r="H359" s="131"/>
    </row>
    <row r="360" spans="1:8" x14ac:dyDescent="0.25">
      <c r="A360" s="133"/>
      <c r="B360" s="204" t="str">
        <v>40 MPa, , Tower Columns &amp; Wall 40 MPa 50% Indicative Cement Replacement — GGBFS (Hymix) (Australia)</v>
      </c>
      <c r="C360" s="132" t="str">
        <v>m³</v>
      </c>
      <c r="D360" s="198">
        <v>282</v>
      </c>
      <c r="E360" s="198">
        <v>0.11749999999999999</v>
      </c>
      <c r="F360" s="198">
        <v>0</v>
      </c>
      <c r="G360" s="215">
        <v>0</v>
      </c>
      <c r="H360" s="131"/>
    </row>
    <row r="361" spans="1:8" x14ac:dyDescent="0.25">
      <c r="A361" s="133"/>
      <c r="B361" s="204" t="str">
        <v>40 MPa, , Stairs 40 MPa 50% Indicative Cement Replacement - Fly Ash/GGBFS Blend (Hymix) (Australia)</v>
      </c>
      <c r="C361" s="132" t="str">
        <v>m³</v>
      </c>
      <c r="D361" s="198">
        <v>256</v>
      </c>
      <c r="E361" s="198">
        <v>0.10666666666666667</v>
      </c>
      <c r="F361" s="198">
        <v>0</v>
      </c>
      <c r="G361" s="215">
        <v>0</v>
      </c>
      <c r="H361" s="131"/>
    </row>
    <row r="362" spans="1:8" x14ac:dyDescent="0.25">
      <c r="A362" s="133"/>
      <c r="B362" s="204" t="str">
        <v>40 MPa, , Basement Slabs (RC) 40 MPa 50% Indicative Cement Replacement - Fly Ash/GGBFS Blend (Hymix) (Australia)</v>
      </c>
      <c r="C362" s="132" t="str">
        <v>m³</v>
      </c>
      <c r="D362" s="198">
        <v>254</v>
      </c>
      <c r="E362" s="198">
        <v>0.10583333333333333</v>
      </c>
      <c r="F362" s="198">
        <v>0</v>
      </c>
      <c r="G362" s="215">
        <v>0</v>
      </c>
      <c r="H362" s="131"/>
    </row>
    <row r="363" spans="1:8" x14ac:dyDescent="0.25">
      <c r="A363" s="133"/>
      <c r="B363" s="204" t="str">
        <v>40 MPa, , ENVISIA 40 MPa (Boral) (Australia)</v>
      </c>
      <c r="C363" s="132" t="str">
        <v>m³</v>
      </c>
      <c r="D363" s="198">
        <v>284</v>
      </c>
      <c r="E363" s="198">
        <v>0.11833333333333333</v>
      </c>
      <c r="F363" s="198">
        <v>0</v>
      </c>
      <c r="G363" s="215">
        <v>0</v>
      </c>
      <c r="H363" s="131"/>
    </row>
    <row r="364" spans="1:8" x14ac:dyDescent="0.25">
      <c r="A364" s="133"/>
      <c r="B364" s="204" t="str">
        <v>40 MPa, , ENVIROCRETE PLUS 40 MPa (Boral) (Australia)</v>
      </c>
      <c r="C364" s="132" t="str">
        <v>m³</v>
      </c>
      <c r="D364" s="198">
        <v>271</v>
      </c>
      <c r="E364" s="198">
        <v>0.11291666666666667</v>
      </c>
      <c r="F364" s="198">
        <v>0</v>
      </c>
      <c r="G364" s="215">
        <v>0</v>
      </c>
      <c r="H364" s="131"/>
    </row>
    <row r="365" spans="1:8" x14ac:dyDescent="0.25">
      <c r="A365" s="133"/>
      <c r="B365" s="204" t="str">
        <v>40 MPa, , ENVIROCRETE 40% 40 MPa (Boral) (Australia)</v>
      </c>
      <c r="C365" s="132" t="str">
        <v>m³</v>
      </c>
      <c r="D365" s="198">
        <v>336</v>
      </c>
      <c r="E365" s="198">
        <v>0.14000000000000001</v>
      </c>
      <c r="F365" s="198">
        <v>0</v>
      </c>
      <c r="G365" s="215">
        <v>0</v>
      </c>
      <c r="H365" s="131"/>
    </row>
    <row r="366" spans="1:8" x14ac:dyDescent="0.25">
      <c r="A366" s="133"/>
      <c r="B366" s="204" t="str">
        <v>40 MPa, , ENVIROCRETE 30% 40 MPa (Boral) (Australia)</v>
      </c>
      <c r="C366" s="132" t="str">
        <v>m³</v>
      </c>
      <c r="D366" s="198">
        <v>375</v>
      </c>
      <c r="E366" s="198">
        <v>0.15625</v>
      </c>
      <c r="F366" s="198">
        <v>0</v>
      </c>
      <c r="G366" s="215">
        <v>0</v>
      </c>
      <c r="H366" s="131"/>
    </row>
    <row r="367" spans="1:8" x14ac:dyDescent="0.25">
      <c r="A367" s="133"/>
      <c r="B367" s="204" t="str">
        <v>40 MPa, , ENVIROCRETE 40 MPa (Boral) (Australia)</v>
      </c>
      <c r="C367" s="132" t="str">
        <v>m³</v>
      </c>
      <c r="D367" s="198">
        <v>289</v>
      </c>
      <c r="E367" s="198">
        <v>0.12041666666666667</v>
      </c>
      <c r="F367" s="198">
        <v>0</v>
      </c>
      <c r="G367" s="215">
        <v>0</v>
      </c>
      <c r="H367" s="131"/>
    </row>
    <row r="368" spans="1:8" x14ac:dyDescent="0.25">
      <c r="A368" s="133"/>
      <c r="B368" s="204" t="str">
        <v>40 MPa, , NORMAL CLASS GP BLEND 40 MPa (Boral) (Australia)</v>
      </c>
      <c r="C368" s="132" t="str">
        <v>m³</v>
      </c>
      <c r="D368" s="198">
        <v>384</v>
      </c>
      <c r="E368" s="198">
        <v>0.16</v>
      </c>
      <c r="F368" s="198">
        <v>0</v>
      </c>
      <c r="G368" s="215">
        <v>0</v>
      </c>
      <c r="H368" s="131"/>
    </row>
    <row r="369" spans="1:8" x14ac:dyDescent="0.25">
      <c r="A369" s="133"/>
      <c r="B369" s="204" t="str">
        <v>40 MPa, , NORMAL CLASS GP/FA BLEND 40 MPa (Boral) (Australia)</v>
      </c>
      <c r="C369" s="132" t="str">
        <v>m³</v>
      </c>
      <c r="D369" s="198">
        <v>355</v>
      </c>
      <c r="E369" s="198">
        <v>0.14791666666666667</v>
      </c>
      <c r="F369" s="198">
        <v>0</v>
      </c>
      <c r="G369" s="215">
        <v>0</v>
      </c>
      <c r="H369" s="131"/>
    </row>
    <row r="370" spans="1:8" x14ac:dyDescent="0.25">
      <c r="A370" s="133"/>
      <c r="B370" s="204" t="str">
        <v>40 MPa, , NORMAL CLASS GP/GGBFS BLEND 40 MPa (Boral) (Australia)</v>
      </c>
      <c r="C370" s="132" t="str">
        <v>m³</v>
      </c>
      <c r="D370" s="198">
        <v>341</v>
      </c>
      <c r="E370" s="198">
        <v>0.14208333333333334</v>
      </c>
      <c r="F370" s="198">
        <v>0</v>
      </c>
      <c r="G370" s="215">
        <v>0</v>
      </c>
      <c r="H370" s="131"/>
    </row>
    <row r="371" spans="1:8" x14ac:dyDescent="0.25">
      <c r="A371" s="133"/>
      <c r="B371" s="204" t="str">
        <v>40 MPa, , VR400 40 MPa GP/FA (Boral) (Australia)</v>
      </c>
      <c r="C371" s="132" t="str">
        <v>m³</v>
      </c>
      <c r="D371" s="198">
        <v>357</v>
      </c>
      <c r="E371" s="198">
        <v>0.14874999999999999</v>
      </c>
      <c r="F371" s="198">
        <v>0</v>
      </c>
      <c r="G371" s="215">
        <v>0</v>
      </c>
      <c r="H371" s="131"/>
    </row>
    <row r="372" spans="1:8" x14ac:dyDescent="0.25">
      <c r="A372" s="133"/>
      <c r="B372" s="204" t="str">
        <v>40 MPa, , VR400 40 MPa GP/SLAG (Boral) (Australia)</v>
      </c>
      <c r="C372" s="132" t="str">
        <v>m³</v>
      </c>
      <c r="D372" s="198">
        <v>278</v>
      </c>
      <c r="E372" s="198">
        <v>0.11583333333333333</v>
      </c>
      <c r="F372" s="198">
        <v>0</v>
      </c>
      <c r="G372" s="215">
        <v>0</v>
      </c>
      <c r="H372" s="131"/>
    </row>
    <row r="373" spans="1:8" x14ac:dyDescent="0.25">
      <c r="A373" s="133"/>
      <c r="B373" s="204" t="str">
        <v>40 MPa, , VR400 40 MPa TREMIE GP/SLAG (Boral) (Australia)</v>
      </c>
      <c r="C373" s="132" t="str">
        <v>m³</v>
      </c>
      <c r="D373" s="198">
        <v>280</v>
      </c>
      <c r="E373" s="198">
        <v>0.11666666666666667</v>
      </c>
      <c r="F373" s="198">
        <v>0</v>
      </c>
      <c r="G373" s="215">
        <v>0</v>
      </c>
      <c r="H373" s="131"/>
    </row>
    <row r="374" spans="1:8" x14ac:dyDescent="0.25">
      <c r="A374" s="133"/>
      <c r="B374" s="204" t="str">
        <v>40 MPa, , VR400 40 MPa TREMIE/CFA GP/SLAG (Boral) (Australia)</v>
      </c>
      <c r="C374" s="132" t="str">
        <v>m³</v>
      </c>
      <c r="D374" s="198">
        <v>323</v>
      </c>
      <c r="E374" s="198">
        <v>0.13458333333333333</v>
      </c>
      <c r="F374" s="198">
        <v>0</v>
      </c>
      <c r="G374" s="215">
        <v>0</v>
      </c>
      <c r="H374" s="131"/>
    </row>
    <row r="375" spans="1:8" x14ac:dyDescent="0.25">
      <c r="A375" s="133"/>
      <c r="B375" s="204" t="str">
        <v>40 MPa, , VR400 40 MPa SHOTCRETE (Boral) (Australia)</v>
      </c>
      <c r="C375" s="132" t="str">
        <v>m³</v>
      </c>
      <c r="D375" s="198">
        <v>415</v>
      </c>
      <c r="E375" s="198">
        <v>0.17291666666666666</v>
      </c>
      <c r="F375" s="198">
        <v>0</v>
      </c>
      <c r="G375" s="215">
        <v>0</v>
      </c>
      <c r="H375" s="131"/>
    </row>
    <row r="376" spans="1:8" x14ac:dyDescent="0.25">
      <c r="A376" s="133"/>
      <c r="B376" s="204" t="str">
        <v>40 MPa, , HIGH SLUMP 40 MPa (Boral) (Australia)</v>
      </c>
      <c r="C376" s="132" t="str">
        <v>m³</v>
      </c>
      <c r="D376" s="198">
        <v>349</v>
      </c>
      <c r="E376" s="198">
        <v>0.14541666666666667</v>
      </c>
      <c r="F376" s="198">
        <v>0</v>
      </c>
      <c r="G376" s="215">
        <v>0</v>
      </c>
      <c r="H376" s="131"/>
    </row>
    <row r="377" spans="1:8" x14ac:dyDescent="0.25">
      <c r="A377" s="133"/>
      <c r="B377" s="204" t="str">
        <v>40 MPa, , TREMIE 40 MPa (Boral) (Australia)</v>
      </c>
      <c r="C377" s="132" t="str">
        <v>m³</v>
      </c>
      <c r="D377" s="198">
        <v>318</v>
      </c>
      <c r="E377" s="198">
        <v>0.13250000000000001</v>
      </c>
      <c r="F377" s="198">
        <v>0</v>
      </c>
      <c r="G377" s="215">
        <v>0</v>
      </c>
      <c r="H377" s="131"/>
    </row>
    <row r="378" spans="1:8" x14ac:dyDescent="0.25">
      <c r="A378" s="133"/>
      <c r="B378" s="204" t="str">
        <v>40 MPa, , POST TENSIONED 40 MPa 22@3 (Boral) (Australia)</v>
      </c>
      <c r="C378" s="132" t="str">
        <v>m³</v>
      </c>
      <c r="D378" s="198">
        <v>407</v>
      </c>
      <c r="E378" s="198">
        <v>0.16958333333333334</v>
      </c>
      <c r="F378" s="198">
        <v>0</v>
      </c>
      <c r="G378" s="215">
        <v>0</v>
      </c>
      <c r="H378" s="131"/>
    </row>
    <row r="379" spans="1:8" x14ac:dyDescent="0.25">
      <c r="A379" s="133"/>
      <c r="B379" s="204" t="str">
        <v>40 MPa, , POST TENSIONED 40 MPa 22@4 (Boral) (Australia)</v>
      </c>
      <c r="C379" s="132" t="str">
        <v>m³</v>
      </c>
      <c r="D379" s="198">
        <v>392</v>
      </c>
      <c r="E379" s="198">
        <v>0.16333333333333333</v>
      </c>
      <c r="F379" s="198">
        <v>0</v>
      </c>
      <c r="G379" s="215">
        <v>0</v>
      </c>
      <c r="H379" s="131"/>
    </row>
    <row r="380" spans="1:8" x14ac:dyDescent="0.25">
      <c r="A380" s="133"/>
      <c r="B380" s="204" t="str">
        <v>40 MPa, , SHOTCRETE 40 MPa (Boral) (Australia)</v>
      </c>
      <c r="C380" s="132" t="str">
        <v>m³</v>
      </c>
      <c r="D380" s="198">
        <v>439</v>
      </c>
      <c r="E380" s="198">
        <v>0.18291666666666667</v>
      </c>
      <c r="F380" s="198">
        <v>0</v>
      </c>
      <c r="G380" s="215">
        <v>0</v>
      </c>
      <c r="H380" s="131"/>
    </row>
    <row r="381" spans="1:8" x14ac:dyDescent="0.25">
      <c r="A381" s="133"/>
      <c r="B381" s="204" t="str">
        <v>40 MPa, TAS, VR400/40/EXP CL B2 concrete manufactured in our Northern Region (Hazell Bros Concrete Pty Ltd) (Australia)</v>
      </c>
      <c r="C381" s="132" t="str">
        <v>m³</v>
      </c>
      <c r="D381" s="198">
        <v>499.88830040148696</v>
      </c>
      <c r="E381" s="198">
        <v>0.20828679183395291</v>
      </c>
      <c r="F381" s="198">
        <v>0</v>
      </c>
      <c r="G381" s="215">
        <v>0</v>
      </c>
      <c r="H381" s="131"/>
    </row>
    <row r="382" spans="1:8" x14ac:dyDescent="0.25">
      <c r="A382" s="133"/>
      <c r="B382" s="204" t="str">
        <v>40 MPa, TAS, VR400/40/EXP CL B2 concrete  manufactured in our Southern Region (Hazell Bros Concrete Pty Ltd) (Australia)</v>
      </c>
      <c r="C382" s="132" t="str">
        <v>m³</v>
      </c>
      <c r="D382" s="198">
        <v>388.20643679499995</v>
      </c>
      <c r="E382" s="198">
        <v>0.16175268199791668</v>
      </c>
      <c r="F382" s="198">
        <v>0</v>
      </c>
      <c r="G382" s="215">
        <v>0</v>
      </c>
      <c r="H382" s="131"/>
    </row>
    <row r="383" spans="1:8" x14ac:dyDescent="0.25">
      <c r="A383" s="133"/>
      <c r="B383" s="204" t="str">
        <v>40 MPa, TAS, VR400/40/SPRAY concrete  manufactured in our Southern Region (Hazell Bros Concrete Pty Ltd) (Australia)</v>
      </c>
      <c r="C383" s="132" t="str">
        <v>m³</v>
      </c>
      <c r="D383" s="198">
        <v>427.07287532999999</v>
      </c>
      <c r="E383" s="198">
        <v>0.17794703138750001</v>
      </c>
      <c r="F383" s="198">
        <v>0</v>
      </c>
      <c r="G383" s="215">
        <v>0</v>
      </c>
      <c r="H383" s="131"/>
    </row>
    <row r="384" spans="1:8" x14ac:dyDescent="0.25">
      <c r="A384" s="133"/>
      <c r="B384" s="204" t="str">
        <v>40 MPa, TAS, VR400/40/SPRAY concrete manufactured in our Northern Region (Hazell Bros Concrete Pty Ltd) (Australia)</v>
      </c>
      <c r="C384" s="132" t="str">
        <v>m³</v>
      </c>
      <c r="D384" s="198">
        <v>405.59220245334097</v>
      </c>
      <c r="E384" s="198">
        <v>0.16899675102222542</v>
      </c>
      <c r="F384" s="198">
        <v>0</v>
      </c>
      <c r="G384" s="215">
        <v>0</v>
      </c>
      <c r="H384" s="131"/>
    </row>
    <row r="385" spans="1:8" x14ac:dyDescent="0.25">
      <c r="A385" s="133"/>
      <c r="B385" s="204" t="str">
        <v>40 MPa, TAS, S40/10 SHOTCRETE concrete  manufactured in our Northern Region (Hazell Bros Concrete Pty Ltd) (Australia)</v>
      </c>
      <c r="C385" s="132" t="str">
        <v>m³</v>
      </c>
      <c r="D385" s="198">
        <v>376.85056018785798</v>
      </c>
      <c r="E385" s="198">
        <v>0.15702106674494082</v>
      </c>
      <c r="F385" s="198">
        <v>0</v>
      </c>
      <c r="G385" s="215">
        <v>0</v>
      </c>
      <c r="H385" s="131"/>
    </row>
    <row r="386" spans="1:8" x14ac:dyDescent="0.25">
      <c r="A386" s="133"/>
      <c r="B386" s="204" t="str">
        <v>40 MPa, TAS, S40/10 SHOTCRETE concrete  manufactured in our Southern Region (Hazell Bros Concrete Pty Ltd) (Australia)</v>
      </c>
      <c r="C386" s="132" t="str">
        <v>m³</v>
      </c>
      <c r="D386" s="198">
        <v>382.50308529</v>
      </c>
      <c r="E386" s="198">
        <v>0.1593762855375</v>
      </c>
      <c r="F386" s="198">
        <v>0</v>
      </c>
      <c r="G386" s="215">
        <v>0</v>
      </c>
      <c r="H386" s="131"/>
    </row>
    <row r="387" spans="1:8" x14ac:dyDescent="0.25">
      <c r="A387" s="133"/>
      <c r="B387" s="204" t="str">
        <v>40 MPa, NSW, Concrete: AD40PANW, AL40PANW, PE40PANW manufactured at Prestons (Advanced Readymix) (Australia)</v>
      </c>
      <c r="C387" s="132" t="str">
        <v>m³</v>
      </c>
      <c r="D387" s="198">
        <v>359.66414596419997</v>
      </c>
      <c r="E387" s="198">
        <v>0.14986006081841668</v>
      </c>
      <c r="F387" s="198">
        <v>0</v>
      </c>
      <c r="G387" s="215">
        <v>0</v>
      </c>
      <c r="H387" s="131"/>
    </row>
    <row r="388" spans="1:8" x14ac:dyDescent="0.25">
      <c r="A388" s="133"/>
      <c r="B388" s="204" t="str">
        <v>40 MPa, NSW, Concrete: AD40PANW, AL40PANW, PE40PANW manufactured at Seven Hills (Advanced Readymix) (Australia)</v>
      </c>
      <c r="C388" s="132" t="str">
        <v>m³</v>
      </c>
      <c r="D388" s="198">
        <v>355.56043081039996</v>
      </c>
      <c r="E388" s="198">
        <v>0.14815017950433335</v>
      </c>
      <c r="F388" s="198">
        <v>0</v>
      </c>
      <c r="G388" s="215">
        <v>0</v>
      </c>
      <c r="H388" s="131"/>
    </row>
    <row r="389" spans="1:8" x14ac:dyDescent="0.25">
      <c r="A389" s="133"/>
      <c r="B389" s="204" t="str">
        <v>40 MPa, NSW, Concrete: AD40PANW, AL40PANW, PE40PANW manufactured at Smithfield (Advanced Readymix) (Australia)</v>
      </c>
      <c r="C389" s="132" t="str">
        <v>m³</v>
      </c>
      <c r="D389" s="198">
        <v>356.74261774479999</v>
      </c>
      <c r="E389" s="198">
        <v>0.1486427573936667</v>
      </c>
      <c r="F389" s="198">
        <v>0</v>
      </c>
      <c r="G389" s="215">
        <v>0</v>
      </c>
      <c r="H389" s="131"/>
    </row>
    <row r="390" spans="1:8" x14ac:dyDescent="0.25">
      <c r="A390" s="133"/>
      <c r="B390" s="204" t="str">
        <v>40 MPa, NSW, Concrete: S40/10/100 manufactured at Prestons (Advanced Readymix) (Australia)</v>
      </c>
      <c r="C390" s="132" t="str">
        <v>m³</v>
      </c>
      <c r="D390" s="198">
        <v>369.62324779869994</v>
      </c>
      <c r="E390" s="198">
        <v>0.15400968658279166</v>
      </c>
      <c r="F390" s="198">
        <v>0</v>
      </c>
      <c r="G390" s="215">
        <v>0</v>
      </c>
      <c r="H390" s="131"/>
    </row>
    <row r="391" spans="1:8" x14ac:dyDescent="0.25">
      <c r="A391" s="133"/>
      <c r="B391" s="204" t="str">
        <v>40 MPa, NSW, Concrete: S40/10/100 manufactured at Smithfield (Advanced Readymix) (Australia)</v>
      </c>
      <c r="C391" s="132" t="str">
        <v>m³</v>
      </c>
      <c r="D391" s="198">
        <v>360.94118830350004</v>
      </c>
      <c r="E391" s="198">
        <v>0.15039216179312501</v>
      </c>
      <c r="F391" s="198">
        <v>0</v>
      </c>
      <c r="G391" s="215">
        <v>0</v>
      </c>
      <c r="H391" s="131"/>
    </row>
    <row r="392" spans="1:8" x14ac:dyDescent="0.25">
      <c r="A392" s="133"/>
      <c r="B392" s="204" t="str">
        <v>40 MPa, NSW, Concrete: AD40PAN, AL40PAN, PE40PAN manufactured at Prestons (Advanced Readymix) (Australia)</v>
      </c>
      <c r="C392" s="132" t="str">
        <v>m³</v>
      </c>
      <c r="D392" s="198">
        <v>357.62915339460005</v>
      </c>
      <c r="E392" s="198">
        <v>0.14901214724775003</v>
      </c>
      <c r="F392" s="198">
        <v>0</v>
      </c>
      <c r="G392" s="215">
        <v>0</v>
      </c>
      <c r="H392" s="131"/>
    </row>
    <row r="393" spans="1:8" x14ac:dyDescent="0.25">
      <c r="A393" s="133"/>
      <c r="B393" s="204" t="str">
        <v>40 MPa, NSW, Concrete: AD40PAN, AL40PAN, PE40PAN manufactured at Seven Hills (Advanced Readymix) (Australia)</v>
      </c>
      <c r="C393" s="132" t="str">
        <v>m³</v>
      </c>
      <c r="D393" s="198">
        <v>353.52406633319998</v>
      </c>
      <c r="E393" s="198">
        <v>0.14730169430550002</v>
      </c>
      <c r="F393" s="198">
        <v>0</v>
      </c>
      <c r="G393" s="215">
        <v>0</v>
      </c>
      <c r="H393" s="131"/>
    </row>
    <row r="394" spans="1:8" x14ac:dyDescent="0.25">
      <c r="A394" s="133"/>
      <c r="B394" s="204" t="str">
        <v>40 MPa, NSW, Concrete: AD40PAN, AL40PAN, PE40PAN manufactured at Smithfield (Advanced Readymix) (Australia)</v>
      </c>
      <c r="C394" s="132" t="str">
        <v>m³</v>
      </c>
      <c r="D394" s="198">
        <v>354.70184064290004</v>
      </c>
      <c r="E394" s="198">
        <v>0.14779243360120833</v>
      </c>
      <c r="F394" s="198">
        <v>0</v>
      </c>
      <c r="G394" s="215">
        <v>0</v>
      </c>
      <c r="H394" s="131"/>
    </row>
    <row r="395" spans="1:8" x14ac:dyDescent="0.25">
      <c r="A395" s="133"/>
      <c r="B395" s="204" t="str">
        <v>40 MPa, NSW, Concrete: GS40PAN2P manufactured at Prestons (Advanced Readymix) (Australia)</v>
      </c>
      <c r="C395" s="132" t="str">
        <v>m³</v>
      </c>
      <c r="D395" s="198">
        <v>338.82728457699994</v>
      </c>
      <c r="E395" s="198">
        <v>0.14117803524041667</v>
      </c>
      <c r="F395" s="198">
        <v>0</v>
      </c>
      <c r="G395" s="215">
        <v>0</v>
      </c>
      <c r="H395" s="131"/>
    </row>
    <row r="396" spans="1:8" x14ac:dyDescent="0.25">
      <c r="A396" s="133"/>
      <c r="B396" s="204" t="str">
        <v>40 MPa, NSW, Concrete: GS40PAN2P manufactured at Smithfield (Advanced Readymix) (Australia)</v>
      </c>
      <c r="C396" s="132" t="str">
        <v>m³</v>
      </c>
      <c r="D396" s="198">
        <v>335.90775616280001</v>
      </c>
      <c r="E396" s="198">
        <v>0.13996156506783333</v>
      </c>
      <c r="F396" s="198">
        <v>0</v>
      </c>
      <c r="G396" s="215">
        <v>0</v>
      </c>
      <c r="H396" s="131"/>
    </row>
    <row r="397" spans="1:8" x14ac:dyDescent="0.25">
      <c r="A397" s="133"/>
      <c r="B397" s="204" t="str">
        <v>40 MPa, NSW, Concrete: GS40PAN2P manufactured at Seven Hills (Advanced Readymix) (Australia)</v>
      </c>
      <c r="C397" s="132" t="str">
        <v>m³</v>
      </c>
      <c r="D397" s="198">
        <v>334.17035707240001</v>
      </c>
      <c r="E397" s="198">
        <v>0.13923764878016667</v>
      </c>
      <c r="F397" s="198">
        <v>0</v>
      </c>
      <c r="G397" s="215">
        <v>0</v>
      </c>
      <c r="H397" s="131"/>
    </row>
    <row r="398" spans="1:8" x14ac:dyDescent="0.25">
      <c r="A398" s="133"/>
      <c r="B398" s="204" t="str">
        <v>40 MPa, NSW, Concrete: S40/20/80LS manufactured at Prestons (Advanced Readymix) (Australia)</v>
      </c>
      <c r="C398" s="132" t="str">
        <v>m³</v>
      </c>
      <c r="D398" s="198">
        <v>309.86950034929993</v>
      </c>
      <c r="E398" s="198">
        <v>0.12911229181220832</v>
      </c>
      <c r="F398" s="198">
        <v>0</v>
      </c>
      <c r="G398" s="215">
        <v>0</v>
      </c>
      <c r="H398" s="131"/>
    </row>
    <row r="399" spans="1:8" x14ac:dyDescent="0.25">
      <c r="A399" s="133"/>
      <c r="B399" s="204" t="str">
        <v>40 MPa, NSW, Concrete: S40 650BF manufactured at Prestons (Advanced Readymix) (Australia)</v>
      </c>
      <c r="C399" s="132" t="str">
        <v>m³</v>
      </c>
      <c r="D399" s="198">
        <v>328.20423489000007</v>
      </c>
      <c r="E399" s="198">
        <v>0.13675176453750001</v>
      </c>
      <c r="F399" s="198">
        <v>0</v>
      </c>
      <c r="G399" s="215">
        <v>0</v>
      </c>
      <c r="H399" s="131"/>
    </row>
    <row r="400" spans="1:8" x14ac:dyDescent="0.25">
      <c r="A400" s="133"/>
      <c r="B400" s="204" t="str">
        <v>40 MPa, NSW, Concrete: S40 650BF manufactured at Smithfield (Advanced Readymix) (Australia)</v>
      </c>
      <c r="C400" s="132" t="str">
        <v>m³</v>
      </c>
      <c r="D400" s="198">
        <v>320.86302655120005</v>
      </c>
      <c r="E400" s="198">
        <v>0.13369292772966668</v>
      </c>
      <c r="F400" s="198">
        <v>0</v>
      </c>
      <c r="G400" s="215">
        <v>0</v>
      </c>
      <c r="H400" s="131"/>
    </row>
    <row r="401" spans="1:8" x14ac:dyDescent="0.25">
      <c r="A401" s="133"/>
      <c r="B401" s="204" t="str">
        <v>40 MPa, NSW, Concrete: S40/20/80LS manufactured at Smithfield (Advanced Readymix) (Australia)</v>
      </c>
      <c r="C401" s="132" t="str">
        <v>m³</v>
      </c>
      <c r="D401" s="198">
        <v>284.23678823179995</v>
      </c>
      <c r="E401" s="198">
        <v>0.11843199509658332</v>
      </c>
      <c r="F401" s="198">
        <v>0</v>
      </c>
      <c r="G401" s="215">
        <v>0</v>
      </c>
      <c r="H401" s="131"/>
    </row>
    <row r="402" spans="1:8" x14ac:dyDescent="0.25">
      <c r="A402" s="133"/>
      <c r="B402" s="204" t="str">
        <v>40 MPa, NSW, Concrete:  N40/20/100G3 manufactured at Prestons (Advanced Readymix) (Australia)</v>
      </c>
      <c r="C402" s="132" t="str">
        <v>m³</v>
      </c>
      <c r="D402" s="198">
        <v>239.81749309433002</v>
      </c>
      <c r="E402" s="198">
        <v>9.9923955455970839E-2</v>
      </c>
      <c r="F402" s="198">
        <v>0</v>
      </c>
      <c r="G402" s="215">
        <v>0</v>
      </c>
      <c r="H402" s="131"/>
    </row>
    <row r="403" spans="1:8" x14ac:dyDescent="0.25">
      <c r="A403" s="133"/>
      <c r="B403" s="204" t="str">
        <v>40 MPa, NSW, Concrete: NS40/20/100 manufactured at Prestons (Advanced Readymix) (Australia)</v>
      </c>
      <c r="C403" s="132" t="str">
        <v>m³</v>
      </c>
      <c r="D403" s="198">
        <v>219.29866779299999</v>
      </c>
      <c r="E403" s="198">
        <v>9.1374444913750005E-2</v>
      </c>
      <c r="F403" s="198">
        <v>0</v>
      </c>
      <c r="G403" s="215">
        <v>0</v>
      </c>
      <c r="H403" s="131"/>
    </row>
    <row r="404" spans="1:8" x14ac:dyDescent="0.25">
      <c r="A404" s="133"/>
      <c r="B404" s="204" t="str">
        <v>40 MPa, NSW, Concrete: N40/20/100G3 manufactured at Smithfield (Advanced Readymix) (Australia)</v>
      </c>
      <c r="C404" s="132" t="str">
        <v>m³</v>
      </c>
      <c r="D404" s="198">
        <v>222.70787065468997</v>
      </c>
      <c r="E404" s="198">
        <v>9.2794946106120837E-2</v>
      </c>
      <c r="F404" s="198">
        <v>0</v>
      </c>
      <c r="G404" s="215">
        <v>0</v>
      </c>
      <c r="H404" s="131"/>
    </row>
    <row r="405" spans="1:8" x14ac:dyDescent="0.25">
      <c r="A405" s="133"/>
      <c r="B405" s="204" t="str">
        <v>40 MPa, NSW, Concrete: NS40/20/100 manufactured at Smithfield (Advanced Readymix) (Australia)</v>
      </c>
      <c r="C405" s="132" t="str">
        <v>m³</v>
      </c>
      <c r="D405" s="198">
        <v>214.24318398060001</v>
      </c>
      <c r="E405" s="198">
        <v>8.9267993325250011E-2</v>
      </c>
      <c r="F405" s="198">
        <v>0</v>
      </c>
      <c r="G405" s="215">
        <v>0</v>
      </c>
      <c r="H405" s="131"/>
    </row>
    <row r="406" spans="1:8" x14ac:dyDescent="0.25">
      <c r="A406" s="133"/>
      <c r="B406" s="204" t="str">
        <v>40 MPa, NSW, Concrete: NS40/20/80 manufactured at Prestons (Advanced Readymix) (Australia)</v>
      </c>
      <c r="C406" s="132" t="str">
        <v>m³</v>
      </c>
      <c r="D406" s="198">
        <v>218.6843785488</v>
      </c>
      <c r="E406" s="198">
        <v>9.1118491061999998E-2</v>
      </c>
      <c r="F406" s="198">
        <v>0</v>
      </c>
      <c r="G406" s="215">
        <v>0</v>
      </c>
      <c r="H406" s="131"/>
    </row>
    <row r="407" spans="1:8" x14ac:dyDescent="0.25">
      <c r="A407" s="133"/>
      <c r="B407" s="204" t="str">
        <v>40 MPa, NSW, Concrete: N40/20/80 manufactured at Prestons (Advanced Readymix) (Australia)</v>
      </c>
      <c r="C407" s="132" t="str">
        <v>m³</v>
      </c>
      <c r="D407" s="198">
        <v>219.32451815730002</v>
      </c>
      <c r="E407" s="198">
        <v>9.1385215898874994E-2</v>
      </c>
      <c r="F407" s="198">
        <v>0</v>
      </c>
      <c r="G407" s="215">
        <v>0</v>
      </c>
      <c r="H407" s="131"/>
    </row>
    <row r="408" spans="1:8" x14ac:dyDescent="0.25">
      <c r="A408" s="133"/>
      <c r="B408" s="204" t="str">
        <v>40 MPa, NSW, Concrete: NS40/20/80 manufactured at Smithfield (Advanced Readymix) (Australia)</v>
      </c>
      <c r="C408" s="132" t="str">
        <v>m³</v>
      </c>
      <c r="D408" s="198">
        <v>213.627661227</v>
      </c>
      <c r="E408" s="198">
        <v>8.9011525511249995E-2</v>
      </c>
      <c r="F408" s="198">
        <v>0</v>
      </c>
      <c r="G408" s="215">
        <v>0</v>
      </c>
      <c r="H408" s="131"/>
    </row>
    <row r="409" spans="1:8" x14ac:dyDescent="0.25">
      <c r="A409" s="133"/>
      <c r="B409" s="204" t="str">
        <v>40 MPa, NSW, Concrete: N40/20/80 manufactured at Smithfield (Advanced Readymix) (Australia)</v>
      </c>
      <c r="C409" s="132" t="str">
        <v>m³</v>
      </c>
      <c r="D409" s="198">
        <v>211.4520873498</v>
      </c>
      <c r="E409" s="198">
        <v>8.8105036395750014E-2</v>
      </c>
      <c r="F409" s="198">
        <v>0</v>
      </c>
      <c r="G409" s="215">
        <v>0</v>
      </c>
      <c r="H409" s="131"/>
    </row>
    <row r="410" spans="1:8" x14ac:dyDescent="0.25">
      <c r="A410" s="133"/>
      <c r="B410" s="204" t="str">
        <v>40 MPa, NSW, Pre-mix concrete TR4020 (Western Suburbs Concrete) (Australia)</v>
      </c>
      <c r="C410" s="132" t="str">
        <v>m³</v>
      </c>
      <c r="D410" s="198">
        <v>294.78092769500006</v>
      </c>
      <c r="E410" s="198">
        <v>0.12282538653958334</v>
      </c>
      <c r="F410" s="198">
        <v>0</v>
      </c>
      <c r="G410" s="215">
        <v>0</v>
      </c>
      <c r="H410" s="131"/>
    </row>
    <row r="411" spans="1:8" x14ac:dyDescent="0.25">
      <c r="A411" s="133"/>
      <c r="B411" s="204" t="str">
        <v>40 MPa, NSW, Concrete: S40/20/CLR manufactured at Prestons (Advanced Readymix) (Australia)</v>
      </c>
      <c r="C411" s="132" t="str">
        <v>m³</v>
      </c>
      <c r="D411" s="198">
        <v>247.13090068662001</v>
      </c>
      <c r="E411" s="198">
        <v>0.10297120861942501</v>
      </c>
      <c r="F411" s="198">
        <v>0</v>
      </c>
      <c r="G411" s="215">
        <v>0</v>
      </c>
      <c r="H411" s="131"/>
    </row>
    <row r="412" spans="1:8" x14ac:dyDescent="0.25">
      <c r="A412" s="133"/>
      <c r="B412" s="204" t="str">
        <v>40 MPa, TAS, S40/20 PANEL MIX concrete  manufactured in our Southern Region (Hazell Bros Concrete Pty Ltd) (Australia)</v>
      </c>
      <c r="C412" s="132" t="str">
        <v>m³</v>
      </c>
      <c r="D412" s="198">
        <v>315.07047830900001</v>
      </c>
      <c r="E412" s="198">
        <v>0.13127936596208334</v>
      </c>
      <c r="F412" s="198">
        <v>0</v>
      </c>
      <c r="G412" s="215">
        <v>0</v>
      </c>
      <c r="H412" s="131"/>
    </row>
    <row r="413" spans="1:8" x14ac:dyDescent="0.25">
      <c r="A413" s="133"/>
      <c r="B413" s="204" t="str">
        <v>40 MPa, NSW, Concrete: S40/20/CLR manufactured at Smithfield (Advanced Readymix) (Australia)</v>
      </c>
      <c r="C413" s="132" t="str">
        <v>m³</v>
      </c>
      <c r="D413" s="198">
        <v>225.88566574625</v>
      </c>
      <c r="E413" s="198">
        <v>9.4119027394270832E-2</v>
      </c>
      <c r="F413" s="198">
        <v>0</v>
      </c>
      <c r="G413" s="215">
        <v>0</v>
      </c>
      <c r="H413" s="131"/>
    </row>
    <row r="414" spans="1:8" x14ac:dyDescent="0.25">
      <c r="A414" s="133"/>
      <c r="B414" s="204" t="str">
        <v>40 MPa, NSW, Pre-mix concrete CFA4010 (Western Suburbs Concrete) (Australia)</v>
      </c>
      <c r="C414" s="132" t="str">
        <v>m³</v>
      </c>
      <c r="D414" s="198">
        <v>270.68168125999995</v>
      </c>
      <c r="E414" s="198">
        <v>0.11278403385833331</v>
      </c>
      <c r="F414" s="198">
        <v>0</v>
      </c>
      <c r="G414" s="215">
        <v>0</v>
      </c>
      <c r="H414" s="131"/>
    </row>
    <row r="415" spans="1:8" x14ac:dyDescent="0.25">
      <c r="A415" s="133"/>
      <c r="B415" s="204" t="str">
        <v>40 MPa, TAS, N40/20N concrete  manufactured in our Southern Region (Hazell Bros Concrete Pty Ltd) (Australia)</v>
      </c>
      <c r="C415" s="132" t="str">
        <v>m³</v>
      </c>
      <c r="D415" s="198">
        <v>310.21181393900002</v>
      </c>
      <c r="E415" s="198">
        <v>0.12925492247458331</v>
      </c>
      <c r="F415" s="198">
        <v>0</v>
      </c>
      <c r="G415" s="215">
        <v>0</v>
      </c>
      <c r="H415" s="131"/>
    </row>
    <row r="416" spans="1:8" x14ac:dyDescent="0.25">
      <c r="A416" s="133"/>
      <c r="B416" s="204" t="str">
        <v>40 MPa, TAS, N40/20N/SCM concrete  manufactured in our Southern Region (Hazell Bros Concrete Pty Ltd) (Australia)</v>
      </c>
      <c r="C416" s="132" t="str">
        <v>m³</v>
      </c>
      <c r="D416" s="198">
        <v>238.24592206800003</v>
      </c>
      <c r="E416" s="198">
        <v>9.9269134195000011E-2</v>
      </c>
      <c r="F416" s="198">
        <v>0</v>
      </c>
      <c r="G416" s="215">
        <v>0</v>
      </c>
      <c r="H416" s="131"/>
    </row>
    <row r="417" spans="1:8" x14ac:dyDescent="0.25">
      <c r="A417" s="133"/>
      <c r="B417" s="204" t="str">
        <v>40 MPa, NSW, Pre-mix concrete WN4020 (Western Suburbs Concrete) (Australia)</v>
      </c>
      <c r="C417" s="132" t="str">
        <v>m³</v>
      </c>
      <c r="D417" s="198">
        <v>298.30464986999999</v>
      </c>
      <c r="E417" s="198">
        <v>0.12429360411250001</v>
      </c>
      <c r="F417" s="198">
        <v>0</v>
      </c>
      <c r="G417" s="215">
        <v>0</v>
      </c>
      <c r="H417" s="131"/>
    </row>
    <row r="418" spans="1:8" x14ac:dyDescent="0.25">
      <c r="A418" s="133"/>
      <c r="B418" s="204" t="str">
        <v>40 MPa, TAS, S40/20/W/HES PANEL concrete  manufactured in our Northern Region (Hazell Bros Concrete Pty Ltd) (Australia)</v>
      </c>
      <c r="C418" s="132" t="str">
        <v>m³</v>
      </c>
      <c r="D418" s="198">
        <v>325.18454036091202</v>
      </c>
      <c r="E418" s="198">
        <v>0.13549355848371336</v>
      </c>
      <c r="F418" s="198">
        <v>0</v>
      </c>
      <c r="G418" s="215">
        <v>0</v>
      </c>
      <c r="H418" s="131"/>
    </row>
    <row r="419" spans="1:8" x14ac:dyDescent="0.25">
      <c r="A419" s="133"/>
      <c r="B419" s="204" t="str">
        <v>40 MPa, NSW, Pre-mix concrete GS4020-1 (Western Suburbs Concrete) (Australia)</v>
      </c>
      <c r="C419" s="132" t="str">
        <v>m³</v>
      </c>
      <c r="D419" s="198">
        <v>284.87945972299997</v>
      </c>
      <c r="E419" s="198">
        <v>0.11869977488458335</v>
      </c>
      <c r="F419" s="198">
        <v>0</v>
      </c>
      <c r="G419" s="215">
        <v>0</v>
      </c>
      <c r="H419" s="131"/>
    </row>
    <row r="420" spans="1:8" x14ac:dyDescent="0.25">
      <c r="A420" s="133"/>
      <c r="B420" s="204" t="str">
        <v>40 MPa, TAS, N40/20N concrete manufactured in our Northern Region (Hazell Bros Concrete Pty Ltd) (Australia)</v>
      </c>
      <c r="C420" s="132" t="str">
        <v>m³</v>
      </c>
      <c r="D420" s="198">
        <v>301.43663425938496</v>
      </c>
      <c r="E420" s="198">
        <v>0.12559859760807709</v>
      </c>
      <c r="F420" s="198">
        <v>0</v>
      </c>
      <c r="G420" s="215">
        <v>0</v>
      </c>
      <c r="H420" s="131"/>
    </row>
    <row r="421" spans="1:8" x14ac:dyDescent="0.25">
      <c r="A421" s="133"/>
      <c r="B421" s="204" t="str">
        <v>40 MPa, NSW, Pre-mix concrete GS4020-2 (Western Suburbs Concrete) (Australia)</v>
      </c>
      <c r="C421" s="132" t="str">
        <v>m³</v>
      </c>
      <c r="D421" s="198">
        <v>247.98067436399998</v>
      </c>
      <c r="E421" s="198">
        <v>0.103325280985</v>
      </c>
      <c r="F421" s="198">
        <v>0</v>
      </c>
      <c r="G421" s="215">
        <v>0</v>
      </c>
      <c r="H421" s="131"/>
    </row>
    <row r="422" spans="1:8" x14ac:dyDescent="0.25">
      <c r="A422" s="133"/>
      <c r="B422" s="204" t="str">
        <v>40 MPa, NSW, Pre-mix concrete WGS4020-1 (Western Suburbs Concrete) (Australia)</v>
      </c>
      <c r="C422" s="132" t="str">
        <v>m³</v>
      </c>
      <c r="D422" s="198">
        <v>274.14409328400001</v>
      </c>
      <c r="E422" s="198">
        <v>0.114226705535</v>
      </c>
      <c r="F422" s="198">
        <v>0</v>
      </c>
      <c r="G422" s="215">
        <v>0</v>
      </c>
      <c r="H422" s="131"/>
    </row>
    <row r="423" spans="1:8" x14ac:dyDescent="0.25">
      <c r="A423" s="133"/>
      <c r="B423" s="204" t="str">
        <v>40 MPa, NSW, Pre-mix concrete WGS4020-2 (Western Suburbs Concrete) (Australia)</v>
      </c>
      <c r="C423" s="132" t="str">
        <v>m³</v>
      </c>
      <c r="D423" s="198">
        <v>258.74186361299996</v>
      </c>
      <c r="E423" s="198">
        <v>0.10780910983875</v>
      </c>
      <c r="F423" s="198">
        <v>0</v>
      </c>
      <c r="G423" s="215">
        <v>0</v>
      </c>
      <c r="H423" s="131"/>
    </row>
    <row r="424" spans="1:8" x14ac:dyDescent="0.25">
      <c r="A424" s="133"/>
      <c r="B424" s="204" t="str">
        <v>40 MPa, NSW, Pre-mix concrete S40AZZINCH (Western Suburbs Concrete) (Australia)</v>
      </c>
      <c r="C424" s="132" t="str">
        <v>m³</v>
      </c>
      <c r="D424" s="198">
        <v>336.390092229</v>
      </c>
      <c r="E424" s="198">
        <v>0.14016253842874998</v>
      </c>
      <c r="F424" s="198">
        <v>0</v>
      </c>
      <c r="G424" s="215">
        <v>0</v>
      </c>
      <c r="H424" s="131"/>
    </row>
    <row r="425" spans="1:8" x14ac:dyDescent="0.25">
      <c r="A425" s="133"/>
      <c r="B425" s="204" t="str">
        <v>40 MPa, NSW, Pre-mix concrete S40IN (Western Suburbs Concrete) (Australia)</v>
      </c>
      <c r="C425" s="132" t="str">
        <v>m³</v>
      </c>
      <c r="D425" s="198">
        <v>336.390092229</v>
      </c>
      <c r="E425" s="198">
        <v>0.14016253842874998</v>
      </c>
      <c r="F425" s="198">
        <v>0</v>
      </c>
      <c r="G425" s="215">
        <v>0</v>
      </c>
      <c r="H425" s="131"/>
    </row>
    <row r="426" spans="1:8" x14ac:dyDescent="0.25">
      <c r="A426" s="133"/>
      <c r="B426" s="204" t="str">
        <v>40 MPa, NSW, Pre-mix concrete S40ADDIN (Western Suburbs Concrete) (Australia)</v>
      </c>
      <c r="C426" s="132" t="str">
        <v>m³</v>
      </c>
      <c r="D426" s="198">
        <v>333.08718092499998</v>
      </c>
      <c r="E426" s="198">
        <v>0.13878632538541666</v>
      </c>
      <c r="F426" s="198">
        <v>0</v>
      </c>
      <c r="G426" s="215">
        <v>0</v>
      </c>
      <c r="H426" s="131"/>
    </row>
    <row r="427" spans="1:8" x14ac:dyDescent="0.25">
      <c r="A427" s="133"/>
      <c r="B427" s="204" t="str">
        <v>40 MPa, NSW, Pre-mix concrete S40RCIN (Western Suburbs Concrete) (Australia)</v>
      </c>
      <c r="C427" s="132" t="str">
        <v>m³</v>
      </c>
      <c r="D427" s="198">
        <v>332.93803133500001</v>
      </c>
      <c r="E427" s="198">
        <v>0.13872417972291667</v>
      </c>
      <c r="F427" s="198">
        <v>0</v>
      </c>
      <c r="G427" s="215">
        <v>0</v>
      </c>
      <c r="H427" s="131"/>
    </row>
    <row r="428" spans="1:8" x14ac:dyDescent="0.25">
      <c r="A428" s="133"/>
      <c r="B428" s="204" t="str">
        <v>40 MPa, TAS, N40/20N/SCM concrete manufactured in our Northern Region (Hazell Bros Concrete Pty Ltd) (Australia)</v>
      </c>
      <c r="C428" s="132" t="str">
        <v>m³</v>
      </c>
      <c r="D428" s="198">
        <v>235.139454339704</v>
      </c>
      <c r="E428" s="198">
        <v>9.7974772641543334E-2</v>
      </c>
      <c r="F428" s="198">
        <v>0</v>
      </c>
      <c r="G428" s="215">
        <v>0</v>
      </c>
      <c r="H428" s="131"/>
    </row>
    <row r="429" spans="1:8" x14ac:dyDescent="0.25">
      <c r="A429" s="133"/>
      <c r="B429" s="204" t="str">
        <v>40 MPa, NSW, Concrete: NS40/20/100 manufactured at Seven Hills (Advanced Readymix) (Australia)</v>
      </c>
      <c r="C429" s="132" t="str">
        <v>m³</v>
      </c>
      <c r="D429" s="198">
        <v>245.89305730290002</v>
      </c>
      <c r="E429" s="198">
        <v>0.102455440542875</v>
      </c>
      <c r="F429" s="198">
        <v>0</v>
      </c>
      <c r="G429" s="215">
        <v>0</v>
      </c>
      <c r="H429" s="131"/>
    </row>
    <row r="430" spans="1:8" x14ac:dyDescent="0.25">
      <c r="A430" s="133"/>
      <c r="B430" s="204" t="str">
        <v>40 MPa, NSW, Concrete: N40/20/100G3 manufactured at Seven Hills (Advanced Readymix) (Australia)</v>
      </c>
      <c r="C430" s="132" t="str">
        <v>m³</v>
      </c>
      <c r="D430" s="198">
        <v>255.91020118860001</v>
      </c>
      <c r="E430" s="198">
        <v>0.10662925049525</v>
      </c>
      <c r="F430" s="198">
        <v>0</v>
      </c>
      <c r="G430" s="215">
        <v>0</v>
      </c>
      <c r="H430" s="131"/>
    </row>
    <row r="431" spans="1:8" x14ac:dyDescent="0.25">
      <c r="A431" s="133"/>
      <c r="B431" s="204" t="str">
        <v>40 MPa, NSW, Concrete: NS40/20/80 manufactured at Seven Hills (Advanced Readymix) (Australia)</v>
      </c>
      <c r="C431" s="132" t="str">
        <v>m³</v>
      </c>
      <c r="D431" s="198">
        <v>245.27920776069999</v>
      </c>
      <c r="E431" s="198">
        <v>0.10219966990029165</v>
      </c>
      <c r="F431" s="198">
        <v>0</v>
      </c>
      <c r="G431" s="215">
        <v>0</v>
      </c>
      <c r="H431" s="131"/>
    </row>
    <row r="432" spans="1:8" x14ac:dyDescent="0.25">
      <c r="A432" s="133"/>
      <c r="B432" s="204" t="str">
        <v>40 MPa, NSW, Concrete: N40/20/80 manufactured at Seven Hills (Advanced Readymix) (Australia)</v>
      </c>
      <c r="C432" s="132" t="str">
        <v>m³</v>
      </c>
      <c r="D432" s="198">
        <v>242.72292384509998</v>
      </c>
      <c r="E432" s="198">
        <v>0.10113455160212499</v>
      </c>
      <c r="F432" s="198">
        <v>0</v>
      </c>
      <c r="G432" s="215">
        <v>0</v>
      </c>
      <c r="H432" s="131"/>
    </row>
    <row r="433" spans="1:8" x14ac:dyDescent="0.25">
      <c r="A433" s="133"/>
      <c r="B433" s="204" t="str">
        <v>40 MPa, NSW, Concrete: S40/10/100 manufactured at Seven Hills (Advanced Readymix) (Australia)</v>
      </c>
      <c r="C433" s="132" t="str">
        <v>m³</v>
      </c>
      <c r="D433" s="198">
        <v>427.65989696060001</v>
      </c>
      <c r="E433" s="198">
        <v>0.17819162373358333</v>
      </c>
      <c r="F433" s="198">
        <v>0</v>
      </c>
      <c r="G433" s="215">
        <v>0</v>
      </c>
      <c r="H433" s="131"/>
    </row>
    <row r="434" spans="1:8" x14ac:dyDescent="0.25">
      <c r="A434" s="133"/>
      <c r="B434" s="204" t="str">
        <v>40 MPa, NSW, Concrete: S40 650BF manufactured at Seven Hills (Advanced Readymix) (Australia)</v>
      </c>
      <c r="C434" s="132" t="str">
        <v>m³</v>
      </c>
      <c r="D434" s="198">
        <v>379.5206695736</v>
      </c>
      <c r="E434" s="198">
        <v>0.15813361232233336</v>
      </c>
      <c r="F434" s="198">
        <v>0</v>
      </c>
      <c r="G434" s="215">
        <v>0</v>
      </c>
      <c r="H434" s="131"/>
    </row>
    <row r="435" spans="1:8" x14ac:dyDescent="0.25">
      <c r="A435" s="133"/>
      <c r="B435" s="204" t="str">
        <v>40 MPa, NSW, Concrete: S40/20/80LS manufactured at Seven Hills (Advanced Readymix) (Australia)</v>
      </c>
      <c r="C435" s="132" t="str">
        <v>m³</v>
      </c>
      <c r="D435" s="198">
        <v>335.20719113050001</v>
      </c>
      <c r="E435" s="198">
        <v>0.13966966297104166</v>
      </c>
      <c r="F435" s="198">
        <v>0</v>
      </c>
      <c r="G435" s="215">
        <v>0</v>
      </c>
      <c r="H435" s="131"/>
    </row>
    <row r="436" spans="1:8" x14ac:dyDescent="0.25">
      <c r="A436" s="133"/>
      <c r="B436" s="217" t="str">
        <v>40 MPa, NSW, Concrete: S40/20/CLR manufactured at Seven Hills (Advanced Readymix) (Australia)</v>
      </c>
      <c r="C436" s="218" t="str">
        <v>m³</v>
      </c>
      <c r="D436" s="219">
        <v>260.80984289574002</v>
      </c>
      <c r="E436" s="219">
        <v>0.10867076787322501</v>
      </c>
      <c r="F436" s="219">
        <v>0</v>
      </c>
      <c r="G436" s="220">
        <v>0</v>
      </c>
      <c r="H436" s="131"/>
    </row>
    <row r="437" spans="1:8" x14ac:dyDescent="0.25">
      <c r="B437" s="130"/>
      <c r="C437" s="130"/>
      <c r="D437" s="207"/>
      <c r="E437" s="207"/>
      <c r="F437" s="207"/>
      <c r="G437" s="207"/>
    </row>
  </sheetData>
  <dataValidations count="1">
    <dataValidation type="list" allowBlank="1" showInputMessage="1" showErrorMessage="1" sqref="B6:B8" xr:uid="{636A1DC9-2250-415E-BACA-2BC8B58EE3B3}">
      <formula1>"Tier 1,Tier 2,Tier 3,Tier 4"</formula1>
    </dataValidation>
  </dataValidation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415BE-8EF0-41E0-BE0F-C674E8888A10}">
  <sheetPr codeName="Sheet9">
    <tabColor rgb="FF00CCFF"/>
  </sheetPr>
  <dimension ref="A1:H337"/>
  <sheetViews>
    <sheetView topLeftCell="A286" workbookViewId="0">
      <selection activeCell="B22" sqref="B22:G336"/>
    </sheetView>
  </sheetViews>
  <sheetFormatPr defaultColWidth="9.1796875" defaultRowHeight="12.5" x14ac:dyDescent="0.25"/>
  <cols>
    <col min="1" max="1" width="26.26953125" style="132" customWidth="1"/>
    <col min="2" max="2" width="16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&gt;40 MPa to ≤50 MPa</v>
      </c>
    </row>
    <row r="2" spans="1:8" ht="13" x14ac:dyDescent="0.25">
      <c r="A2" s="202"/>
    </row>
    <row r="3" spans="1:8" ht="13" x14ac:dyDescent="0.25">
      <c r="A3" s="202" t="s">
        <v>5626</v>
      </c>
      <c r="B3" s="132" t="s">
        <v>5789</v>
      </c>
    </row>
    <row r="4" spans="1:8" ht="13" x14ac:dyDescent="0.25">
      <c r="A4" s="202"/>
    </row>
    <row r="5" spans="1:8" ht="73.5" customHeight="1" x14ac:dyDescent="0.3">
      <c r="A5" s="227" t="s">
        <v>5628</v>
      </c>
      <c r="B5" s="200" t="s">
        <v>5790</v>
      </c>
    </row>
    <row r="6" spans="1:8" ht="13" x14ac:dyDescent="0.3">
      <c r="A6" s="227" t="s">
        <v>5630</v>
      </c>
      <c r="B6" s="201" t="s">
        <v>71</v>
      </c>
    </row>
    <row r="7" spans="1:8" ht="13" x14ac:dyDescent="0.3">
      <c r="A7" s="227" t="s">
        <v>5631</v>
      </c>
      <c r="B7" s="201" t="s">
        <v>71</v>
      </c>
    </row>
    <row r="8" spans="1:8" ht="13" x14ac:dyDescent="0.3">
      <c r="A8" s="227" t="s">
        <v>5632</v>
      </c>
      <c r="B8" s="201" t="s">
        <v>71</v>
      </c>
    </row>
    <row r="9" spans="1:8" ht="13" x14ac:dyDescent="0.3">
      <c r="A9" s="227" t="s">
        <v>5633</v>
      </c>
      <c r="B9" s="202" t="s">
        <v>71</v>
      </c>
    </row>
    <row r="10" spans="1:8" ht="13" x14ac:dyDescent="0.3">
      <c r="A10" s="227"/>
      <c r="B10" s="202"/>
    </row>
    <row r="11" spans="1:8" ht="13" x14ac:dyDescent="0.3">
      <c r="A11" s="227" t="s">
        <v>5634</v>
      </c>
      <c r="B11" s="202"/>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2057</v>
      </c>
      <c r="C16" s="311" t="s">
        <v>24</v>
      </c>
      <c r="D16" s="345" t="s">
        <v>146</v>
      </c>
      <c r="E16" s="209" t="s">
        <v>153</v>
      </c>
      <c r="F16" s="208" t="s">
        <v>147</v>
      </c>
      <c r="G16" s="208" t="s">
        <v>154</v>
      </c>
      <c r="H16" s="131"/>
    </row>
    <row r="17" spans="1:8" ht="13" x14ac:dyDescent="0.3">
      <c r="A17" s="133"/>
      <c r="B17" s="317"/>
      <c r="C17" s="206" t="s">
        <v>5636</v>
      </c>
      <c r="D17" s="207" t="str" cm="1">
        <f t="array" ref="D17">IF(AND(_xlfn.ANCHORARRAY(C23)=C23),C23,"Mixed")</f>
        <v>m³</v>
      </c>
      <c r="E17" s="207" t="s">
        <v>2774</v>
      </c>
      <c r="F17" s="207" t="str" cm="1">
        <f t="array" ref="F17">IF(AND(_xlfn.ANCHORARRAY(C23)=C23),C23,"Mixed")</f>
        <v>m³</v>
      </c>
      <c r="G17" s="318" t="s">
        <v>2774</v>
      </c>
      <c r="H17" s="131"/>
    </row>
    <row r="18" spans="1:8" s="200" customFormat="1" ht="13" x14ac:dyDescent="0.3">
      <c r="A18" s="221"/>
      <c r="B18" s="214"/>
      <c r="C18" s="202" t="s">
        <v>5637</v>
      </c>
      <c r="D18" s="198">
        <f>MAX(_xlfn.ANCHORARRAY(D23))</f>
        <v>609.23299999999995</v>
      </c>
      <c r="E18" s="198">
        <f t="shared" ref="E18:G18" si="0">MAX(_xlfn.ANCHORARRAY(E23))</f>
        <v>0.25384708333333333</v>
      </c>
      <c r="F18" s="198">
        <f t="shared" si="0"/>
        <v>0</v>
      </c>
      <c r="G18" s="215">
        <f t="shared" si="0"/>
        <v>0</v>
      </c>
      <c r="H18" s="222"/>
    </row>
    <row r="19" spans="1:8" ht="13" x14ac:dyDescent="0.25">
      <c r="A19" s="133"/>
      <c r="B19" s="204"/>
      <c r="C19" s="202" t="s">
        <v>5638</v>
      </c>
      <c r="D19" s="198">
        <f>MIN(_xlfn.ANCHORARRAY(D23))</f>
        <v>101</v>
      </c>
      <c r="E19" s="198">
        <f t="shared" ref="E19:G19" si="1">MIN(_xlfn.ANCHORARRAY(E23))</f>
        <v>4.2083333333333334E-2</v>
      </c>
      <c r="F19" s="198">
        <f t="shared" si="1"/>
        <v>0</v>
      </c>
      <c r="G19" s="215">
        <f t="shared" si="1"/>
        <v>0</v>
      </c>
      <c r="H19" s="131"/>
    </row>
    <row r="20" spans="1:8" ht="13" x14ac:dyDescent="0.25">
      <c r="A20" s="133"/>
      <c r="B20" s="204"/>
      <c r="C20" s="202" t="s">
        <v>5639</v>
      </c>
      <c r="D20" s="198">
        <f>AVERAGE(_xlfn.ANCHORARRAY(D23))</f>
        <v>354.0975183898617</v>
      </c>
      <c r="E20" s="198">
        <f t="shared" ref="E20:G20" si="2">AVERAGE(_xlfn.ANCHORARRAY(E23))</f>
        <v>0.14760461461395208</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336">_xlfn.UNIQUE(_xlfn._xlws.FILTER('EPD List'!D:D,ISNUMBER(SEARCH(B16,'EPD List'!C:C)),0))</f>
        <v>Concrete, 50 MPa, in-situ, no reinforcement, (R5020B)(GB) (BCG) (WA), (Perth)</v>
      </c>
      <c r="C23" s="132" t="str" cm="1">
        <f t="array" ref="C23:C336">_xlfn.IFNA(INDEX('EPD List'!$A:$AB,MATCH(_xlfn.ANCHORARRAY(B23),'EPD List'!$D:$D,0),MATCH(C$16,'EPD List'!$7:$7,0)),"")</f>
        <v>m³</v>
      </c>
      <c r="D23" s="198" cm="1">
        <f t="array" ref="D23:D336">_xlfn.IFNA(VALUE((INDEX('EPD List'!$A:$AD,MATCH(_xlfn.ANCHORARRAY($B23),'EPD List'!$D:$D,0),MATCH(D$16,'EPD List'!$7:$7,0)))),"")</f>
        <v>386.63</v>
      </c>
      <c r="E23" s="198" cm="1">
        <f t="array" ref="E23:E336">_xlfn.IFNA(VALUE((INDEX('EPD List'!$A:$AD,MATCH(_xlfn.ANCHORARRAY($B23),'EPD List'!$D:$D,0),MATCH(E$16,'EPD List'!$7:$7,0)))),"")</f>
        <v>0.16109583333333335</v>
      </c>
      <c r="F23" s="198" cm="1">
        <f t="array" ref="F23:F336">_xlfn.IFNA(VALUE((INDEX('EPD List'!$A:$AD,MATCH(_xlfn.ANCHORARRAY($B23),'EPD List'!$D:$D,0),MATCH(F$16,'EPD List'!$7:$7,0)))),"")</f>
        <v>0</v>
      </c>
      <c r="G23" s="215" cm="1">
        <f t="array" ref="G23:G336">_xlfn.IFNA(VALUE((INDEX('EPD List'!$A:$AD,MATCH(_xlfn.ANCHORARRAY($B23),'EPD List'!$D:$D,0),MATCH(G$16,'EPD List'!$7:$7,0)))),"")</f>
        <v>0</v>
      </c>
      <c r="H23" s="131"/>
    </row>
    <row r="24" spans="1:8" x14ac:dyDescent="0.25">
      <c r="A24" s="133"/>
      <c r="B24" s="204" t="str">
        <v>Concrete, 50 MPa, in-situ, no reinforcement, (VE501EVMW) (Ecopact) (Holcim) (VIC)</v>
      </c>
      <c r="C24" s="132" t="str">
        <v>m³</v>
      </c>
      <c r="D24" s="198">
        <v>272.38</v>
      </c>
      <c r="E24" s="198">
        <v>0.11349166666666666</v>
      </c>
      <c r="F24" s="198">
        <v>0</v>
      </c>
      <c r="G24" s="215">
        <v>0</v>
      </c>
      <c r="H24" s="131"/>
    </row>
    <row r="25" spans="1:8" x14ac:dyDescent="0.25">
      <c r="A25" s="133"/>
      <c r="B25" s="204" t="str">
        <v>Concrete, 50 MPa, in-situ, no reinforcement, (SE502E56) (Ecopact) (Holcim) (SA) (Adelaide)</v>
      </c>
      <c r="C25" s="132" t="str">
        <v>m³</v>
      </c>
      <c r="D25" s="198">
        <v>328.38</v>
      </c>
      <c r="E25" s="198">
        <v>0.136825</v>
      </c>
      <c r="F25" s="198">
        <v>0</v>
      </c>
      <c r="G25" s="215">
        <v>0</v>
      </c>
      <c r="H25" s="131"/>
    </row>
    <row r="26" spans="1:8" x14ac:dyDescent="0.25">
      <c r="A26" s="133"/>
      <c r="B26" s="204" t="str">
        <v>Concrete, 50 MPa, in-situ, no reinforcement, (SE501EAV) (Ecopact) (Holcim) (SA) (Adelaide)</v>
      </c>
      <c r="C26" s="132" t="str">
        <v>m³</v>
      </c>
      <c r="D26" s="198">
        <v>330.38</v>
      </c>
      <c r="E26" s="198">
        <v>0.13765833333333335</v>
      </c>
      <c r="F26" s="198">
        <v>0</v>
      </c>
      <c r="G26" s="215">
        <v>0</v>
      </c>
      <c r="H26" s="131"/>
    </row>
    <row r="27" spans="1:8" x14ac:dyDescent="0.25">
      <c r="A27" s="133"/>
      <c r="B27" s="204" t="str">
        <v>Concrete, 50 MPa, in-situ, no reinforcement, (SE501E3) (Ecopact) (Holcim) (SA) (Adelaide)</v>
      </c>
      <c r="C27" s="132" t="str">
        <v>m³</v>
      </c>
      <c r="D27" s="198">
        <v>312.33999999999997</v>
      </c>
      <c r="E27" s="198">
        <v>0.13014166666666668</v>
      </c>
      <c r="F27" s="198">
        <v>0</v>
      </c>
      <c r="G27" s="215">
        <v>0</v>
      </c>
      <c r="H27" s="131"/>
    </row>
    <row r="28" spans="1:8" x14ac:dyDescent="0.25">
      <c r="A28" s="133"/>
      <c r="B28" s="204" t="str">
        <v>Concrete, 50 MPa, in-situ, no reinforcement, (SE501E5) (Ecopact) (Holcim) (SA) (Adelaide)</v>
      </c>
      <c r="C28" s="132" t="str">
        <v>m³</v>
      </c>
      <c r="D28" s="198">
        <v>313.33999999999997</v>
      </c>
      <c r="E28" s="198">
        <v>0.13055833333333333</v>
      </c>
      <c r="F28" s="198">
        <v>0</v>
      </c>
      <c r="G28" s="215">
        <v>0</v>
      </c>
      <c r="H28" s="131"/>
    </row>
    <row r="29" spans="1:8" x14ac:dyDescent="0.25">
      <c r="A29" s="133"/>
      <c r="B29" s="204" t="str">
        <v>Concrete, 50 MPa, in-situ, no reinforcement, (SE502E2) (Ecopact) (Holcim) (SA) (Adelaide)</v>
      </c>
      <c r="C29" s="132" t="str">
        <v>m³</v>
      </c>
      <c r="D29" s="198">
        <v>304.33</v>
      </c>
      <c r="E29" s="198">
        <v>0.12680416666666669</v>
      </c>
      <c r="F29" s="198">
        <v>0</v>
      </c>
      <c r="G29" s="215">
        <v>0</v>
      </c>
      <c r="H29" s="131"/>
    </row>
    <row r="30" spans="1:8" x14ac:dyDescent="0.25">
      <c r="A30" s="133"/>
      <c r="B30" s="204" t="str">
        <v>Concrete, 50 MPa, in-situ, no reinforcement, (SE501EDTW) (Ecopact) (Holcim) (SA) (Adelaide)</v>
      </c>
      <c r="C30" s="132" t="str">
        <v>m³</v>
      </c>
      <c r="D30" s="198">
        <v>388.42</v>
      </c>
      <c r="E30" s="198">
        <v>0.16184166666666666</v>
      </c>
      <c r="F30" s="198">
        <v>0</v>
      </c>
      <c r="G30" s="215">
        <v>0</v>
      </c>
      <c r="H30" s="131"/>
    </row>
    <row r="31" spans="1:8" x14ac:dyDescent="0.25">
      <c r="A31" s="133"/>
      <c r="B31" s="204" t="str">
        <v>Concrete, 50 MPa, in-situ, no reinforcement, (SE502E3) (Ecopact) (Holcim) (SA) (Adelaide)</v>
      </c>
      <c r="C31" s="132" t="str">
        <v>m³</v>
      </c>
      <c r="D31" s="198">
        <v>305.33</v>
      </c>
      <c r="E31" s="198">
        <v>0.12722083333333334</v>
      </c>
      <c r="F31" s="198">
        <v>0</v>
      </c>
      <c r="G31" s="215">
        <v>0</v>
      </c>
      <c r="H31" s="131"/>
    </row>
    <row r="32" spans="1:8" x14ac:dyDescent="0.25">
      <c r="A32" s="133"/>
      <c r="B32" s="204" t="str">
        <v>Concrete, 50 MPa, in-situ, no reinforcement, (50MPa 7MM BLOCKMIX) (Adbri) (QLD)</v>
      </c>
      <c r="C32" s="132" t="str">
        <v>m³</v>
      </c>
      <c r="D32" s="198">
        <v>336.36</v>
      </c>
      <c r="E32" s="198">
        <v>0.14015000000000002</v>
      </c>
      <c r="F32" s="198">
        <v>0</v>
      </c>
      <c r="G32" s="215">
        <v>0</v>
      </c>
      <c r="H32" s="131"/>
    </row>
    <row r="33" spans="1:8" x14ac:dyDescent="0.25">
      <c r="A33" s="133"/>
      <c r="B33" s="204" t="str">
        <v>Concrete, 50 MPa, in-situ, no reinforcement, (VE501E56) (Ecopact) (Holcim) (VIC)</v>
      </c>
      <c r="C33" s="132" t="str">
        <v>m³</v>
      </c>
      <c r="D33" s="198">
        <v>340.36</v>
      </c>
      <c r="E33" s="198">
        <v>0.14181666666666667</v>
      </c>
      <c r="F33" s="198">
        <v>0</v>
      </c>
      <c r="G33" s="215">
        <v>0</v>
      </c>
      <c r="H33" s="131"/>
    </row>
    <row r="34" spans="1:8" x14ac:dyDescent="0.25">
      <c r="A34" s="133"/>
      <c r="B34" s="204" t="str">
        <v>Concrete, 50 MPa, in-situ, no reinforcement, (VE502E) (Ecopact) (Holcim) (VIC)</v>
      </c>
      <c r="C34" s="132" t="str">
        <v>m³</v>
      </c>
      <c r="D34" s="198">
        <v>303.32</v>
      </c>
      <c r="E34" s="198">
        <v>0.12638333333333335</v>
      </c>
      <c r="F34" s="198">
        <v>0</v>
      </c>
      <c r="G34" s="215">
        <v>0</v>
      </c>
      <c r="H34" s="131"/>
    </row>
    <row r="35" spans="1:8" x14ac:dyDescent="0.25">
      <c r="A35" s="133"/>
      <c r="B35" s="204" t="str">
        <v>Concrete, 50 MPa, in-situ, no reinforcement, (VE502E5) (Ecopact) (Holcim) (VIC)</v>
      </c>
      <c r="C35" s="132" t="str">
        <v>m³</v>
      </c>
      <c r="D35" s="198">
        <v>294.31</v>
      </c>
      <c r="E35" s="198">
        <v>0.12262916666666666</v>
      </c>
      <c r="F35" s="198">
        <v>0</v>
      </c>
      <c r="G35" s="215">
        <v>0</v>
      </c>
      <c r="H35" s="131"/>
    </row>
    <row r="36" spans="1:8" x14ac:dyDescent="0.25">
      <c r="A36" s="133"/>
      <c r="B36" s="204" t="str">
        <v>Concrete, 50 MPa, in-situ, no reinforcement, (VE502EVR2) (Ecopact) (Holcim) (VIC)</v>
      </c>
      <c r="C36" s="132" t="str">
        <v>m³</v>
      </c>
      <c r="D36" s="198">
        <v>279.29000000000002</v>
      </c>
      <c r="E36" s="198">
        <v>0.11637083333333334</v>
      </c>
      <c r="F36" s="198">
        <v>0</v>
      </c>
      <c r="G36" s="215">
        <v>0</v>
      </c>
      <c r="H36" s="131"/>
    </row>
    <row r="37" spans="1:8" x14ac:dyDescent="0.25">
      <c r="A37" s="133"/>
      <c r="B37" s="204" t="str">
        <v>Concrete, 50 MPa, in-situ, no reinforcement, (50MPa 14MM TREMIE 160 SLUMP) (Adbri) (VIC)</v>
      </c>
      <c r="C37" s="132" t="str">
        <v>m³</v>
      </c>
      <c r="D37" s="198">
        <v>293.29000000000002</v>
      </c>
      <c r="E37" s="198">
        <v>0.12220416666666667</v>
      </c>
      <c r="F37" s="198">
        <v>0</v>
      </c>
      <c r="G37" s="215">
        <v>0</v>
      </c>
      <c r="H37" s="131"/>
    </row>
    <row r="38" spans="1:8" x14ac:dyDescent="0.25">
      <c r="A38" s="133"/>
      <c r="B38" s="204" t="str">
        <v>Concrete, 50 MPa, in-situ, no reinforcement, (VE501EAV) (Ecopact) (Holcim) (VIC)</v>
      </c>
      <c r="C38" s="132" t="str">
        <v>m³</v>
      </c>
      <c r="D38" s="198">
        <v>307.3</v>
      </c>
      <c r="E38" s="198">
        <v>0.12804166666666666</v>
      </c>
      <c r="F38" s="198">
        <v>0</v>
      </c>
      <c r="G38" s="215">
        <v>0</v>
      </c>
      <c r="H38" s="131"/>
    </row>
    <row r="39" spans="1:8" x14ac:dyDescent="0.25">
      <c r="A39" s="133"/>
      <c r="B39" s="204" t="str">
        <v>Concrete, 50 MPa, in-situ, no reinforcement, (Futurecrete®  N
class GP/GL:Slag
50 MPa) (Adbri) (QLD)</v>
      </c>
      <c r="C39" s="132" t="str">
        <v>m³</v>
      </c>
      <c r="D39" s="198">
        <v>344.33600000000001</v>
      </c>
      <c r="E39" s="198">
        <v>0.14347333333333334</v>
      </c>
      <c r="F39" s="198">
        <v>0</v>
      </c>
      <c r="G39" s="215">
        <v>0</v>
      </c>
      <c r="H39" s="131"/>
    </row>
    <row r="40" spans="1:8" x14ac:dyDescent="0.25">
      <c r="A40" s="133"/>
      <c r="B40" s="204" t="str">
        <v>Concrete, 50 MPa, in-situ, no reinforcement, (NE502E1A1)(Ecopact) (Holcim) (NSW), (Sydney)</v>
      </c>
      <c r="C40" s="132" t="str">
        <v>m³</v>
      </c>
      <c r="D40" s="198">
        <v>353.33</v>
      </c>
      <c r="E40" s="198">
        <v>0.14722083333333336</v>
      </c>
      <c r="F40" s="198">
        <v>0</v>
      </c>
      <c r="G40" s="215">
        <v>0</v>
      </c>
      <c r="H40" s="131"/>
    </row>
    <row r="41" spans="1:8" x14ac:dyDescent="0.25">
      <c r="A41" s="133"/>
      <c r="B41" s="204" t="str">
        <v>Concrete, 50 MPa, in-situ, no reinforcement, (VE501EAP) (Ecopact) (Holcim) (VIC)</v>
      </c>
      <c r="C41" s="132" t="str">
        <v>m³</v>
      </c>
      <c r="D41" s="198">
        <v>375.34</v>
      </c>
      <c r="E41" s="198">
        <v>0.15639166666666668</v>
      </c>
      <c r="F41" s="198">
        <v>0</v>
      </c>
      <c r="G41" s="215">
        <v>0</v>
      </c>
      <c r="H41" s="131"/>
    </row>
    <row r="42" spans="1:8" x14ac:dyDescent="0.25">
      <c r="A42" s="133"/>
      <c r="B42" s="204" t="str">
        <v>Concrete, 50 MPa, in-situ, no reinforcement, (Futurecrete®  Ultra
N Class GP/GL:Slag
50 MPa) (Adbri) (VIC)</v>
      </c>
      <c r="C42" s="132" t="str">
        <v>m³</v>
      </c>
      <c r="D42" s="198">
        <v>242.21</v>
      </c>
      <c r="E42" s="198">
        <v>0.10092083333333333</v>
      </c>
      <c r="F42" s="198">
        <v>0</v>
      </c>
      <c r="G42" s="215">
        <v>0</v>
      </c>
      <c r="H42" s="131"/>
    </row>
    <row r="43" spans="1:8" x14ac:dyDescent="0.25">
      <c r="A43" s="133"/>
      <c r="B43" s="204" t="str">
        <v>Concrete, 50 MPa, in-situ, no reinforcement, (NE501E1)(Ecopact) (Holcim) (NSW), (Sydney)</v>
      </c>
      <c r="C43" s="132" t="str">
        <v>m³</v>
      </c>
      <c r="D43" s="198">
        <v>247.21</v>
      </c>
      <c r="E43" s="198">
        <v>0.10300416666666667</v>
      </c>
      <c r="F43" s="198">
        <v>0</v>
      </c>
      <c r="G43" s="215">
        <v>0</v>
      </c>
      <c r="H43" s="131"/>
    </row>
    <row r="44" spans="1:8" x14ac:dyDescent="0.25">
      <c r="A44" s="133"/>
      <c r="B44" s="204" t="str">
        <v>Concrete, 50 MPa, in-situ, no reinforcement, (NE501E5)(Ecopact) (Holcim) (NSW), (Sydney)</v>
      </c>
      <c r="C44" s="132" t="str">
        <v>m³</v>
      </c>
      <c r="D44" s="198">
        <v>248.21</v>
      </c>
      <c r="E44" s="198">
        <v>0.10342083333333334</v>
      </c>
      <c r="F44" s="198">
        <v>0</v>
      </c>
      <c r="G44" s="215">
        <v>0</v>
      </c>
      <c r="H44" s="131"/>
    </row>
    <row r="45" spans="1:8" x14ac:dyDescent="0.25">
      <c r="A45" s="133"/>
      <c r="B45" s="204" t="str">
        <v>Concrete, 50 MPa, in-situ, no reinforcement, (50MPa 20MM 3 GST POINTS CONCRETE) (Adbri) (VIC)</v>
      </c>
      <c r="C45" s="132" t="str">
        <v>m³</v>
      </c>
      <c r="D45" s="198">
        <v>298.25</v>
      </c>
      <c r="E45" s="198">
        <v>0.12427083333333333</v>
      </c>
      <c r="F45" s="198">
        <v>0</v>
      </c>
      <c r="G45" s="215">
        <v>0</v>
      </c>
      <c r="H45" s="131"/>
    </row>
    <row r="46" spans="1:8" x14ac:dyDescent="0.25">
      <c r="A46" s="133"/>
      <c r="B46" s="204" t="str">
        <v>Concrete, 50 MPa, in-situ, no reinforcement, (QE502MRF4) (Ecopact) (Holcim) (QLD) (Brisbane)</v>
      </c>
      <c r="C46" s="132" t="str">
        <v>m³</v>
      </c>
      <c r="D46" s="198">
        <v>400.33</v>
      </c>
      <c r="E46" s="198">
        <v>0.16680416666666667</v>
      </c>
      <c r="F46" s="198">
        <v>0</v>
      </c>
      <c r="G46" s="215">
        <v>0</v>
      </c>
      <c r="H46" s="131"/>
    </row>
    <row r="47" spans="1:8" x14ac:dyDescent="0.25">
      <c r="A47" s="133"/>
      <c r="B47" s="204" t="str">
        <v>Concrete, 50 MPa, in-situ, no reinforcement, (NE502E1)(Ecopact) (Holcim) (NSW), (Sydney)</v>
      </c>
      <c r="C47" s="132" t="str">
        <v>m³</v>
      </c>
      <c r="D47" s="198">
        <v>243.2</v>
      </c>
      <c r="E47" s="198">
        <v>0.10133333333333334</v>
      </c>
      <c r="F47" s="198">
        <v>0</v>
      </c>
      <c r="G47" s="215">
        <v>0</v>
      </c>
      <c r="H47" s="131"/>
    </row>
    <row r="48" spans="1:8" x14ac:dyDescent="0.25">
      <c r="A48" s="133"/>
      <c r="B48" s="204" t="str">
        <v>Concrete, 50 MPa, in-situ, no reinforcement, (NE502E5)(Ecopact) (Holcim) (NSW), (Sydney)</v>
      </c>
      <c r="C48" s="132" t="str">
        <v>m³</v>
      </c>
      <c r="D48" s="198">
        <v>244.2</v>
      </c>
      <c r="E48" s="198">
        <v>0.10175000000000001</v>
      </c>
      <c r="F48" s="198">
        <v>0</v>
      </c>
      <c r="G48" s="215">
        <v>0</v>
      </c>
      <c r="H48" s="131"/>
    </row>
    <row r="49" spans="1:8" x14ac:dyDescent="0.25">
      <c r="A49" s="133"/>
      <c r="B49" s="204" t="str">
        <v>Concrete, 50 MPa, in-situ, no reinforcement, (Futurecrete® N Class
GP:GL:Slag 50 MPa
- Winnellie) (Adbri) (NT)</v>
      </c>
      <c r="C49" s="132" t="str">
        <v>m³</v>
      </c>
      <c r="D49" s="198">
        <v>351.286</v>
      </c>
      <c r="E49" s="198">
        <v>0.14636916666666666</v>
      </c>
      <c r="F49" s="198">
        <v>0</v>
      </c>
      <c r="G49" s="215">
        <v>0</v>
      </c>
      <c r="H49" s="131"/>
    </row>
    <row r="50" spans="1:8" x14ac:dyDescent="0.25">
      <c r="A50" s="133"/>
      <c r="B50" s="204" t="str">
        <v>Concrete, 50 MPa, in-situ, no reinforcement, (50MPa 14MM TRAMWAYS
25% SLAG) (Adbri) (VIC)</v>
      </c>
      <c r="C50" s="132" t="str">
        <v>m³</v>
      </c>
      <c r="D50" s="198">
        <v>332.27</v>
      </c>
      <c r="E50" s="198">
        <v>0.13844583333333332</v>
      </c>
      <c r="F50" s="198">
        <v>0</v>
      </c>
      <c r="G50" s="215">
        <v>0</v>
      </c>
      <c r="H50" s="131"/>
    </row>
    <row r="51" spans="1:8" x14ac:dyDescent="0.25">
      <c r="A51" s="133"/>
      <c r="B51" s="204" t="str">
        <v>Concrete, 50 MPa, in-situ, no reinforcement, (QE501EEZY) (Ecopact) (Holcim) (QLD), Gold Coast</v>
      </c>
      <c r="C51" s="132" t="str">
        <v>m³</v>
      </c>
      <c r="D51" s="198">
        <v>301.24</v>
      </c>
      <c r="E51" s="198">
        <v>0.12551666666666667</v>
      </c>
      <c r="F51" s="198">
        <v>0</v>
      </c>
      <c r="G51" s="215">
        <v>0</v>
      </c>
      <c r="H51" s="131"/>
    </row>
    <row r="52" spans="1:8" x14ac:dyDescent="0.25">
      <c r="A52" s="133"/>
      <c r="B52" s="204" t="str">
        <v>Concrete, 50 MPa, in-situ, no reinforcement, (QE502E100) (Ecopact) (Holcim) (QLD) (Brisbane)</v>
      </c>
      <c r="C52" s="132" t="str">
        <v>m³</v>
      </c>
      <c r="D52" s="198">
        <v>294.23</v>
      </c>
      <c r="E52" s="198">
        <v>0.12259583333333333</v>
      </c>
      <c r="F52" s="198">
        <v>0</v>
      </c>
      <c r="G52" s="215">
        <v>0</v>
      </c>
      <c r="H52" s="131"/>
    </row>
    <row r="53" spans="1:8" x14ac:dyDescent="0.25">
      <c r="A53" s="133"/>
      <c r="B53" s="204" t="str">
        <v>Concrete, 50 MPa, in-situ, no reinforcement, (QE501EEZY) (Ecopact) (Holcim) (QLD) (Brisbane)</v>
      </c>
      <c r="C53" s="132" t="str">
        <v>m³</v>
      </c>
      <c r="D53" s="198">
        <v>307.24</v>
      </c>
      <c r="E53" s="198">
        <v>0.12801666666666667</v>
      </c>
      <c r="F53" s="198">
        <v>0</v>
      </c>
      <c r="G53" s="215">
        <v>0</v>
      </c>
      <c r="H53" s="131"/>
    </row>
    <row r="54" spans="1:8" x14ac:dyDescent="0.25">
      <c r="A54" s="133"/>
      <c r="B54" s="204" t="str">
        <v>Concrete, 50 MPa, in-situ, no reinforcement, (QE501EL21) (Ecopact) (Holcim) (QLD), Gold Coast</v>
      </c>
      <c r="C54" s="132" t="str">
        <v>m³</v>
      </c>
      <c r="D54" s="198">
        <v>308.24</v>
      </c>
      <c r="E54" s="198">
        <v>0.12843333333333332</v>
      </c>
      <c r="F54" s="198">
        <v>0</v>
      </c>
      <c r="G54" s="215">
        <v>0</v>
      </c>
      <c r="H54" s="131"/>
    </row>
    <row r="55" spans="1:8" x14ac:dyDescent="0.25">
      <c r="A55" s="133"/>
      <c r="B55" s="204" t="str">
        <v>Concrete, 50 MPa, in-situ, no reinforcement, (QE501EDUF) (Ecopact) (Holcim) (QLD), Gold Coast</v>
      </c>
      <c r="C55" s="132" t="str">
        <v>m³</v>
      </c>
      <c r="D55" s="198">
        <v>309.24</v>
      </c>
      <c r="E55" s="198">
        <v>0.12884999999999999</v>
      </c>
      <c r="F55" s="198">
        <v>0</v>
      </c>
      <c r="G55" s="215">
        <v>0</v>
      </c>
      <c r="H55" s="131"/>
    </row>
    <row r="56" spans="1:8" x14ac:dyDescent="0.25">
      <c r="A56" s="133"/>
      <c r="B56" s="204" t="str">
        <v>Concrete, 50 MPa, in-situ, no reinforcement, (Adbri concrete
N class GP/GL
50 MPa) (Adbri) (QLD)</v>
      </c>
      <c r="C56" s="132" t="str">
        <v>m³</v>
      </c>
      <c r="D56" s="198">
        <v>482.37099999999998</v>
      </c>
      <c r="E56" s="198">
        <v>0.20098791666666668</v>
      </c>
      <c r="F56" s="198">
        <v>0</v>
      </c>
      <c r="G56" s="215">
        <v>0</v>
      </c>
      <c r="H56" s="131"/>
    </row>
    <row r="57" spans="1:8" x14ac:dyDescent="0.25">
      <c r="A57" s="133"/>
      <c r="B57" s="204" t="str">
        <v>Concrete, 50 MPa, in-situ, no reinforcement, (QE507EBMX) (Ecopact) (Holcim) (QLD) (Brisbane)</v>
      </c>
      <c r="C57" s="132" t="str">
        <v>m³</v>
      </c>
      <c r="D57" s="198">
        <v>299.23</v>
      </c>
      <c r="E57" s="198">
        <v>0.12467916666666667</v>
      </c>
      <c r="F57" s="198">
        <v>0</v>
      </c>
      <c r="G57" s="215">
        <v>0</v>
      </c>
      <c r="H57" s="131"/>
    </row>
    <row r="58" spans="1:8" x14ac:dyDescent="0.25">
      <c r="A58" s="133"/>
      <c r="B58" s="204" t="str">
        <v>Concrete, 50 MPa, in-situ, no reinforcement, (QE502EEZY) (Ecopact) (Holcim) (QLD) (Brisbane)</v>
      </c>
      <c r="C58" s="132" t="str">
        <v>m³</v>
      </c>
      <c r="D58" s="198">
        <v>299.23</v>
      </c>
      <c r="E58" s="198">
        <v>0.12467916666666667</v>
      </c>
      <c r="F58" s="198">
        <v>0</v>
      </c>
      <c r="G58" s="215">
        <v>0</v>
      </c>
      <c r="H58" s="131"/>
    </row>
    <row r="59" spans="1:8" x14ac:dyDescent="0.25">
      <c r="A59" s="133"/>
      <c r="B59" s="204" t="str">
        <v>Concrete, 50 MPa, in-situ, no reinforcement, (QE501E100) (Ecopact) (Holcim) (QLD), Gold Coast</v>
      </c>
      <c r="C59" s="132" t="str">
        <v>m³</v>
      </c>
      <c r="D59" s="198">
        <v>301.23</v>
      </c>
      <c r="E59" s="198">
        <v>0.1255125</v>
      </c>
      <c r="F59" s="198">
        <v>0</v>
      </c>
      <c r="G59" s="215">
        <v>0</v>
      </c>
      <c r="H59" s="131"/>
    </row>
    <row r="60" spans="1:8" x14ac:dyDescent="0.25">
      <c r="A60" s="133"/>
      <c r="B60" s="204" t="str">
        <v>Concrete, 50 MPa, in-situ, no reinforcement, (QE502E100) (Ecopact) (Holcim) (QLD), Gold Coast</v>
      </c>
      <c r="C60" s="132" t="str">
        <v>m³</v>
      </c>
      <c r="D60" s="198">
        <v>288.22000000000003</v>
      </c>
      <c r="E60" s="198">
        <v>0.12009166666666667</v>
      </c>
      <c r="F60" s="198">
        <v>0</v>
      </c>
      <c r="G60" s="215">
        <v>0</v>
      </c>
      <c r="H60" s="131"/>
    </row>
    <row r="61" spans="1:8" x14ac:dyDescent="0.25">
      <c r="A61" s="133"/>
      <c r="B61" s="204" t="str">
        <v>Concrete, 50 MPa, in-situ, no reinforcement, (QE501E100) (Ecopact) (Holcim) (QLD) (Brisbane)</v>
      </c>
      <c r="C61" s="132" t="str">
        <v>m³</v>
      </c>
      <c r="D61" s="198">
        <v>302.23</v>
      </c>
      <c r="E61" s="198">
        <v>0.12592916666666665</v>
      </c>
      <c r="F61" s="198">
        <v>0</v>
      </c>
      <c r="G61" s="215">
        <v>0</v>
      </c>
      <c r="H61" s="131"/>
    </row>
    <row r="62" spans="1:8" x14ac:dyDescent="0.25">
      <c r="A62" s="133"/>
      <c r="B62" s="204" t="str">
        <v>Concrete, 50 MPa, in-situ, no reinforcement, (QE501EDUF) (Ecopact) (Holcim) (QLD) (Brisbane)</v>
      </c>
      <c r="C62" s="132" t="str">
        <v>m³</v>
      </c>
      <c r="D62" s="198">
        <v>280.20999999999998</v>
      </c>
      <c r="E62" s="198">
        <v>0.11675416666666667</v>
      </c>
      <c r="F62" s="198">
        <v>0</v>
      </c>
      <c r="G62" s="215">
        <v>0</v>
      </c>
      <c r="H62" s="131"/>
    </row>
    <row r="63" spans="1:8" x14ac:dyDescent="0.25">
      <c r="A63" s="133"/>
      <c r="B63" s="204" t="str">
        <v>Concrete, 50 MPa, in-situ, no reinforcement, (Adbri concrete
N class GP/GL:FA
50 MPa) (Adbri) (QLD)</v>
      </c>
      <c r="C63" s="132" t="str">
        <v>m³</v>
      </c>
      <c r="D63" s="198">
        <v>397.291</v>
      </c>
      <c r="E63" s="198">
        <v>0.16553791666666665</v>
      </c>
      <c r="F63" s="198">
        <v>0</v>
      </c>
      <c r="G63" s="215">
        <v>0</v>
      </c>
      <c r="H63" s="131"/>
    </row>
    <row r="64" spans="1:8" x14ac:dyDescent="0.25">
      <c r="A64" s="133"/>
      <c r="B64" s="204" t="str">
        <v>Concrete, 50 MPa, in-situ, no reinforcement, (QE501E200) (Ecopact) (Holcim) (QLD) (Brisbane)</v>
      </c>
      <c r="C64" s="132" t="str">
        <v>m³</v>
      </c>
      <c r="D64" s="198">
        <v>336.24</v>
      </c>
      <c r="E64" s="198">
        <v>0.1401</v>
      </c>
      <c r="F64" s="198">
        <v>0</v>
      </c>
      <c r="G64" s="215">
        <v>0</v>
      </c>
      <c r="H64" s="131"/>
    </row>
    <row r="65" spans="1:8" x14ac:dyDescent="0.25">
      <c r="A65" s="133"/>
      <c r="B65" s="204" t="str">
        <v>Concrete, 50 MPa, in-situ, no reinforcement, (QE501E200) (Ecopact) (Holcim) (QLD), Gold Coast</v>
      </c>
      <c r="C65" s="132" t="str">
        <v>m³</v>
      </c>
      <c r="D65" s="198">
        <v>327.23</v>
      </c>
      <c r="E65" s="198">
        <v>0.13634583333333333</v>
      </c>
      <c r="F65" s="198">
        <v>0</v>
      </c>
      <c r="G65" s="215">
        <v>0</v>
      </c>
      <c r="H65" s="131"/>
    </row>
    <row r="66" spans="1:8" x14ac:dyDescent="0.25">
      <c r="A66" s="133"/>
      <c r="B66" s="204" t="str">
        <v>Concrete, 50 MPa, in-situ, no reinforcement, (WE501E2)(Ecopact) (Holcim) (WA), (Perth Metro)</v>
      </c>
      <c r="C66" s="132" t="str">
        <v>m³</v>
      </c>
      <c r="D66" s="198">
        <v>313.20999999999998</v>
      </c>
      <c r="E66" s="198">
        <v>0.13050416666666664</v>
      </c>
      <c r="F66" s="198">
        <v>0</v>
      </c>
      <c r="G66" s="215">
        <v>0</v>
      </c>
      <c r="H66" s="131"/>
    </row>
    <row r="67" spans="1:8" x14ac:dyDescent="0.25">
      <c r="A67" s="133"/>
      <c r="B67" s="204" t="str">
        <v>Concrete, 50 MPa, in-situ, no reinforcement, (WE501E4)(Ecopact) (Holcim) (WA), (Perth Metro)</v>
      </c>
      <c r="C67" s="132" t="str">
        <v>m³</v>
      </c>
      <c r="D67" s="198">
        <v>313.20999999999998</v>
      </c>
      <c r="E67" s="198">
        <v>0.13050416666666664</v>
      </c>
      <c r="F67" s="198">
        <v>0</v>
      </c>
      <c r="G67" s="215">
        <v>0</v>
      </c>
      <c r="H67" s="131"/>
    </row>
    <row r="68" spans="1:8" x14ac:dyDescent="0.25">
      <c r="A68" s="133"/>
      <c r="B68" s="204" t="str">
        <v>Concrete, 50 MPa, in-situ, no reinforcement, (WE502E2)(Ecopact) (Holcim) (WA), (Perth Metro)</v>
      </c>
      <c r="C68" s="132" t="str">
        <v>m³</v>
      </c>
      <c r="D68" s="198">
        <v>320.20999999999998</v>
      </c>
      <c r="E68" s="198">
        <v>0.13342083333333332</v>
      </c>
      <c r="F68" s="198">
        <v>0</v>
      </c>
      <c r="G68" s="215">
        <v>0</v>
      </c>
      <c r="H68" s="131"/>
    </row>
    <row r="69" spans="1:8" x14ac:dyDescent="0.25">
      <c r="A69" s="133"/>
      <c r="B69" s="204" t="str">
        <v>Concrete, 50 MPa, in-situ, no reinforcement, (WE502E4)(Ecopact) (Holcim) (WA), (Perth Metro)</v>
      </c>
      <c r="C69" s="132" t="str">
        <v>m³</v>
      </c>
      <c r="D69" s="198">
        <v>320.20999999999998</v>
      </c>
      <c r="E69" s="198">
        <v>0.13342083333333332</v>
      </c>
      <c r="F69" s="198">
        <v>0</v>
      </c>
      <c r="G69" s="215">
        <v>0</v>
      </c>
      <c r="H69" s="131"/>
    </row>
    <row r="70" spans="1:8" x14ac:dyDescent="0.25">
      <c r="A70" s="133"/>
      <c r="B70" s="204" t="str">
        <v>Concrete, 50 MPa, in-situ, no reinforcement, (QE502LPN2) (Ecopact) (Holcim) (QLD) (Brisbane)</v>
      </c>
      <c r="C70" s="132" t="str">
        <v>m³</v>
      </c>
      <c r="D70" s="198">
        <v>398.26</v>
      </c>
      <c r="E70" s="198">
        <v>0.16594166666666665</v>
      </c>
      <c r="F70" s="198">
        <v>0</v>
      </c>
      <c r="G70" s="215">
        <v>0</v>
      </c>
      <c r="H70" s="131"/>
    </row>
    <row r="71" spans="1:8" x14ac:dyDescent="0.25">
      <c r="A71" s="133"/>
      <c r="B71" s="204" t="str">
        <v>Concrete, 50 MPa, in-situ, no reinforcement, (QE502LPN2) (Ecopact) (Holcim) (QLD), Gold Coast</v>
      </c>
      <c r="C71" s="132" t="str">
        <v>m³</v>
      </c>
      <c r="D71" s="198">
        <v>363.23</v>
      </c>
      <c r="E71" s="198">
        <v>0.15134583333333332</v>
      </c>
      <c r="F71" s="198">
        <v>0</v>
      </c>
      <c r="G71" s="215">
        <v>0</v>
      </c>
      <c r="H71" s="131"/>
    </row>
    <row r="72" spans="1:8" x14ac:dyDescent="0.25">
      <c r="A72" s="133"/>
      <c r="B72" s="204" t="str">
        <v>Concrete, 50 MPa, in-situ, no reinforcement, (50MPa 20MM
PANEL CONCRETE
120 SLUMP) (Adbri) (VIC)</v>
      </c>
      <c r="C72" s="132" t="str">
        <v>m³</v>
      </c>
      <c r="D72" s="198">
        <v>382.23</v>
      </c>
      <c r="E72" s="198">
        <v>0.1592625</v>
      </c>
      <c r="F72" s="198">
        <v>0</v>
      </c>
      <c r="G72" s="215">
        <v>0</v>
      </c>
      <c r="H72" s="131"/>
    </row>
    <row r="73" spans="1:8" x14ac:dyDescent="0.25">
      <c r="A73" s="133"/>
      <c r="B73" s="204" t="str">
        <v>Concrete, 50 MPa, in-situ, no reinforcement, (QE501ELCF) (Ecopact) (Holcim) (QLD) (Brisbane)</v>
      </c>
      <c r="C73" s="132" t="str">
        <v>m³</v>
      </c>
      <c r="D73" s="198">
        <v>320.19</v>
      </c>
      <c r="E73" s="198">
        <v>0.13341249999999999</v>
      </c>
      <c r="F73" s="198">
        <v>0</v>
      </c>
      <c r="G73" s="215">
        <v>0</v>
      </c>
      <c r="H73" s="131"/>
    </row>
    <row r="74" spans="1:8" x14ac:dyDescent="0.25">
      <c r="A74" s="133"/>
      <c r="B74" s="204" t="str">
        <v>Concrete, 50 MPa, in-situ, no reinforcement, (Adbri Concrete N Class GP/GL 50 MPa) (Adbri) (VIC)</v>
      </c>
      <c r="C74" s="132" t="str">
        <v>m³</v>
      </c>
      <c r="D74" s="198">
        <v>370.21</v>
      </c>
      <c r="E74" s="198">
        <v>0.15425416666666666</v>
      </c>
      <c r="F74" s="198">
        <v>0</v>
      </c>
      <c r="G74" s="215">
        <v>0</v>
      </c>
      <c r="H74" s="131"/>
    </row>
    <row r="75" spans="1:8" x14ac:dyDescent="0.25">
      <c r="A75" s="133"/>
      <c r="B75" s="204" t="str">
        <v>Concrete, 50 MPa, in-situ, no reinforcement, (QE501ECFA) (Ecopact) (Holcim) (QLD) (Brisbane)</v>
      </c>
      <c r="C75" s="132" t="str">
        <v>m³</v>
      </c>
      <c r="D75" s="198">
        <v>320.18</v>
      </c>
      <c r="E75" s="198">
        <v>0.13340833333333332</v>
      </c>
      <c r="F75" s="198">
        <v>0</v>
      </c>
      <c r="G75" s="215">
        <v>0</v>
      </c>
      <c r="H75" s="131"/>
    </row>
    <row r="76" spans="1:8" x14ac:dyDescent="0.25">
      <c r="A76" s="133"/>
      <c r="B76" s="204" t="str">
        <v>Concrete, 50 MPa, in-situ, no reinforcement, (VE502ESW) (Ecopact) (Holcim) (VIC)</v>
      </c>
      <c r="C76" s="132" t="str">
        <v>m³</v>
      </c>
      <c r="D76" s="198">
        <v>269.14999999999998</v>
      </c>
      <c r="E76" s="198">
        <v>0.11214583333333332</v>
      </c>
      <c r="F76" s="198">
        <v>0</v>
      </c>
      <c r="G76" s="215">
        <v>0</v>
      </c>
      <c r="H76" s="131"/>
    </row>
    <row r="77" spans="1:8" x14ac:dyDescent="0.25">
      <c r="A77" s="133"/>
      <c r="B77" s="204" t="str">
        <v>Concrete, 50 MPa, in-situ, no reinforcement, (Adbri Concrete N Class GP:GL 50 MPa
- Katherine) (Adbri) (NT)</v>
      </c>
      <c r="C77" s="132" t="str">
        <v>m³</v>
      </c>
      <c r="D77" s="198">
        <v>513.21400000000006</v>
      </c>
      <c r="E77" s="198">
        <v>0.21383916666666666</v>
      </c>
      <c r="F77" s="198">
        <v>0</v>
      </c>
      <c r="G77" s="215">
        <v>0</v>
      </c>
      <c r="H77" s="131"/>
    </row>
    <row r="78" spans="1:8" x14ac:dyDescent="0.25">
      <c r="A78" s="133"/>
      <c r="B78" s="204" t="str">
        <v>Concrete, 50 MPa, in-situ, no reinforcement, (Adbri Concrete N Class GP:GL 50 MPa
- Alice Springs) (Adbri) (NT)</v>
      </c>
      <c r="C78" s="132" t="str">
        <v>m³</v>
      </c>
      <c r="D78" s="198">
        <v>609.23299999999995</v>
      </c>
      <c r="E78" s="198">
        <v>0.25384708333333333</v>
      </c>
      <c r="F78" s="198">
        <v>0</v>
      </c>
      <c r="G78" s="215">
        <v>0</v>
      </c>
      <c r="H78" s="131"/>
    </row>
    <row r="79" spans="1:8" x14ac:dyDescent="0.25">
      <c r="A79" s="133"/>
      <c r="B79" s="204" t="str">
        <v>Concrete, 50 MPa, in-situ, no reinforcement, (Futurecrete®  S Class
GP/GL:Slag 50 MPa) (Adbri) (SA)</v>
      </c>
      <c r="C79" s="132" t="str">
        <v>m³</v>
      </c>
      <c r="D79" s="198">
        <v>303.66000000000003</v>
      </c>
      <c r="E79" s="198">
        <v>0.126525</v>
      </c>
      <c r="F79" s="198">
        <v>0</v>
      </c>
      <c r="G79" s="215">
        <v>0</v>
      </c>
      <c r="H79" s="131"/>
    </row>
    <row r="80" spans="1:8" x14ac:dyDescent="0.25">
      <c r="A80" s="133"/>
      <c r="B80" s="204" t="str">
        <v>Concrete, 50 MPa, in-situ, no reinforcement, (S50MPA PT
22MPA AT 3 DAYS
20MM) (Adbri) (NSW)</v>
      </c>
      <c r="C80" s="132" t="str">
        <v>m³</v>
      </c>
      <c r="D80" s="198">
        <v>508.53</v>
      </c>
      <c r="E80" s="198">
        <v>0.21188749999999998</v>
      </c>
      <c r="F80" s="198">
        <v>0</v>
      </c>
      <c r="G80" s="215">
        <v>0</v>
      </c>
      <c r="H80" s="131"/>
    </row>
    <row r="81" spans="1:8" x14ac:dyDescent="0.25">
      <c r="A81" s="133"/>
      <c r="B81" s="204" t="str">
        <v>Concrete, 50 MPa, in-situ, no reinforcement, (S50MPA 20MM RMS B80 B1
EXPOSURE PRCST) (Adbri) (NSW)</v>
      </c>
      <c r="C81" s="132" t="str">
        <v>m³</v>
      </c>
      <c r="D81" s="198">
        <v>455.28</v>
      </c>
      <c r="E81" s="198">
        <v>0.18969999999999998</v>
      </c>
      <c r="F81" s="198">
        <v>0</v>
      </c>
      <c r="G81" s="215">
        <v>0</v>
      </c>
      <c r="H81" s="131"/>
    </row>
    <row r="82" spans="1:8" x14ac:dyDescent="0.25">
      <c r="A82" s="133"/>
      <c r="B82" s="204" t="str">
        <v>Concrete, 50 MPa, in-situ, no reinforcement, (Futurecrete® S50MPA HY-LINE 2INCH 10MM PUMP
) (Adbri) (NSW)</v>
      </c>
      <c r="C82" s="132" t="str">
        <v>m³</v>
      </c>
      <c r="D82" s="198">
        <v>401.3655</v>
      </c>
      <c r="E82" s="198">
        <v>0.16723562499999997</v>
      </c>
      <c r="F82" s="198">
        <v>0</v>
      </c>
      <c r="G82" s="215">
        <v>0</v>
      </c>
      <c r="H82" s="131"/>
    </row>
    <row r="83" spans="1:8" x14ac:dyDescent="0.25">
      <c r="A83" s="133"/>
      <c r="B83" s="204" t="str">
        <v>Concrete, 50 MPa, in-situ, no reinforcement, (Futurecrete®  Ultra N Class GP/ GL:Slag 50 MPa) (Adbri) (NSW)</v>
      </c>
      <c r="C83" s="132" t="str">
        <v>m³</v>
      </c>
      <c r="D83" s="198">
        <v>335.03340000000003</v>
      </c>
      <c r="E83" s="198">
        <v>0.13959725000000001</v>
      </c>
      <c r="F83" s="198">
        <v>0</v>
      </c>
      <c r="G83" s="215">
        <v>0</v>
      </c>
      <c r="H83" s="131"/>
    </row>
    <row r="84" spans="1:8" x14ac:dyDescent="0.25">
      <c r="A84" s="133"/>
      <c r="B84" s="204" t="str">
        <v>Concrete, 50 MPa, in-situ, no reinforcement, (Futurecrete® S50MPA JUMP/ SLIP/COLUMNS 10MM SP) (Adbri) (NSW)</v>
      </c>
      <c r="C84" s="132" t="str">
        <v>m³</v>
      </c>
      <c r="D84" s="198">
        <v>419.47409999999996</v>
      </c>
      <c r="E84" s="198">
        <v>0.17478087499999997</v>
      </c>
      <c r="F84" s="198">
        <v>0</v>
      </c>
      <c r="G84" s="215">
        <v>0</v>
      </c>
      <c r="H84" s="131"/>
    </row>
    <row r="85" spans="1:8" x14ac:dyDescent="0.25">
      <c r="A85" s="133"/>
      <c r="B85" s="204" t="str">
        <v>Concrete, 50 MPa, in-situ, no reinforcement, (Futurecrete®
N Class Ternary
50 MPa) (Adbri) (NSW)</v>
      </c>
      <c r="C85" s="132" t="str">
        <v>m³</v>
      </c>
      <c r="D85" s="198">
        <v>389.7928</v>
      </c>
      <c r="E85" s="198">
        <v>0.16241366666666665</v>
      </c>
      <c r="F85" s="198">
        <v>0</v>
      </c>
      <c r="G85" s="215">
        <v>0</v>
      </c>
      <c r="H85" s="131"/>
    </row>
    <row r="86" spans="1:8" x14ac:dyDescent="0.25">
      <c r="A86" s="133"/>
      <c r="B86" s="204" t="str">
        <v>Concrete, 50 MPa, in-situ, no reinforcement, (Futurecrete® Ultra S50MPA 20MM RMS B80 C1 EXPOSURE AP) (Adbri) (NSW)</v>
      </c>
      <c r="C86" s="132" t="str">
        <v>m³</v>
      </c>
      <c r="D86" s="198">
        <v>317.84030000000001</v>
      </c>
      <c r="E86" s="198">
        <v>0.13243345833333334</v>
      </c>
      <c r="F86" s="198">
        <v>0</v>
      </c>
      <c r="G86" s="215">
        <v>0</v>
      </c>
      <c r="H86" s="131"/>
    </row>
    <row r="87" spans="1:8" x14ac:dyDescent="0.25">
      <c r="A87" s="133"/>
      <c r="B87" s="204" t="str">
        <v>Concrete, 50 MPa, in-situ, no reinforcement, (Futurecrete® Ultra S50MPA BLOCKFILL 10MM 230MM SLUMP) (Adbri) (NSW)</v>
      </c>
      <c r="C87" s="132" t="str">
        <v>m³</v>
      </c>
      <c r="D87" s="198">
        <v>321.51020000000005</v>
      </c>
      <c r="E87" s="198">
        <v>0.13396258333333336</v>
      </c>
      <c r="F87" s="198">
        <v>0</v>
      </c>
      <c r="G87" s="215">
        <v>0</v>
      </c>
      <c r="H87" s="131"/>
    </row>
    <row r="88" spans="1:8" x14ac:dyDescent="0.25">
      <c r="A88" s="133"/>
      <c r="B88" s="204" t="str">
        <v>Concrete, 50 MPa, in-situ, no reinforcement, (General) (Holcim) (NSW)(ACT)</v>
      </c>
      <c r="C88" s="132" t="str">
        <v>m³</v>
      </c>
      <c r="D88" s="198">
        <v>514</v>
      </c>
      <c r="E88" s="198">
        <v>0.21416666666666667</v>
      </c>
      <c r="F88" s="198">
        <v>0</v>
      </c>
      <c r="G88" s="215">
        <v>0</v>
      </c>
      <c r="H88" s="131"/>
    </row>
    <row r="89" spans="1:8" x14ac:dyDescent="0.25">
      <c r="A89" s="133"/>
      <c r="B89" s="204" t="str">
        <v>Concrete, 50 MPa, in-situ, no reinforcement, (Fly Ash) (Holcim) (NSW)(ACT)</v>
      </c>
      <c r="C89" s="132" t="str">
        <v>m³</v>
      </c>
      <c r="D89" s="198">
        <v>414</v>
      </c>
      <c r="E89" s="198">
        <v>0.17249999999999999</v>
      </c>
      <c r="F89" s="198">
        <v>0</v>
      </c>
      <c r="G89" s="215">
        <v>0</v>
      </c>
      <c r="H89" s="131"/>
    </row>
    <row r="90" spans="1:8" x14ac:dyDescent="0.25">
      <c r="A90" s="133"/>
      <c r="B90" s="204" t="str">
        <v>Concrete, 50 MPa, in-situ, no reinforcement, (GGBS Slag) (Holcim) (NSW)(ACT)</v>
      </c>
      <c r="C90" s="132" t="str">
        <v>m³</v>
      </c>
      <c r="D90" s="198">
        <v>303</v>
      </c>
      <c r="E90" s="198">
        <v>0.12625</v>
      </c>
      <c r="F90" s="198">
        <v>0</v>
      </c>
      <c r="G90" s="215">
        <v>0</v>
      </c>
      <c r="H90" s="131"/>
    </row>
    <row r="91" spans="1:8" x14ac:dyDescent="0.25">
      <c r="A91" s="133"/>
      <c r="B91" s="204" t="str">
        <v>Concrete, 50 MPa, in-situ, no reinforcement, (Triple Blend) (Holcim) (NSW)(ACT)</v>
      </c>
      <c r="C91" s="132" t="str">
        <v>m³</v>
      </c>
      <c r="D91" s="198">
        <v>284</v>
      </c>
      <c r="E91" s="198">
        <v>0.11833333333333333</v>
      </c>
      <c r="F91" s="198">
        <v>0</v>
      </c>
      <c r="G91" s="215">
        <v>0</v>
      </c>
      <c r="H91" s="131"/>
    </row>
    <row r="92" spans="1:8" x14ac:dyDescent="0.25">
      <c r="A92" s="133"/>
      <c r="B92" s="204" t="str">
        <v>Concrete, 50 MPa, in-situ, no reinforcement,(Fly Ash)  (Holcim)  (QLD)</v>
      </c>
      <c r="C92" s="132" t="str">
        <v>m³</v>
      </c>
      <c r="D92" s="198">
        <v>363</v>
      </c>
      <c r="E92" s="198">
        <v>0.15125</v>
      </c>
      <c r="F92" s="198">
        <v>0</v>
      </c>
      <c r="G92" s="215">
        <v>0</v>
      </c>
      <c r="H92" s="131"/>
    </row>
    <row r="93" spans="1:8" x14ac:dyDescent="0.25">
      <c r="A93" s="133"/>
      <c r="B93" s="204" t="str">
        <v>Concrete, 50 MPa, in-situ, no reinforcement,(Triple Blend)  (Holcim)  (QLD)</v>
      </c>
      <c r="C93" s="132" t="str">
        <v>m³</v>
      </c>
      <c r="D93" s="198">
        <v>296</v>
      </c>
      <c r="E93" s="198">
        <v>0.12333333333333334</v>
      </c>
      <c r="F93" s="198">
        <v>0</v>
      </c>
      <c r="G93" s="215">
        <v>0</v>
      </c>
      <c r="H93" s="131"/>
    </row>
    <row r="94" spans="1:8" x14ac:dyDescent="0.25">
      <c r="A94" s="133"/>
      <c r="B94" s="204" t="str">
        <v>Concrete, 50 MPa, in-situ, no reinforcement, (General) (Holcim) (VIC)</v>
      </c>
      <c r="C94" s="132" t="str">
        <v>m³</v>
      </c>
      <c r="D94" s="198">
        <v>454</v>
      </c>
      <c r="E94" s="198">
        <v>0.18916666666666668</v>
      </c>
      <c r="F94" s="198">
        <v>0</v>
      </c>
      <c r="G94" s="215">
        <v>0</v>
      </c>
      <c r="H94" s="131"/>
    </row>
    <row r="95" spans="1:8" x14ac:dyDescent="0.25">
      <c r="A95" s="133"/>
      <c r="B95" s="204" t="str">
        <v>Concrete, 50 MPa, in-situ, no reinforcement, (Fly Ash) (Holcim) (VIC)</v>
      </c>
      <c r="C95" s="132" t="str">
        <v>m³</v>
      </c>
      <c r="D95" s="198">
        <v>363</v>
      </c>
      <c r="E95" s="198">
        <v>0.15125</v>
      </c>
      <c r="F95" s="198">
        <v>0</v>
      </c>
      <c r="G95" s="215">
        <v>0</v>
      </c>
      <c r="H95" s="131"/>
    </row>
    <row r="96" spans="1:8" x14ac:dyDescent="0.25">
      <c r="A96" s="133"/>
      <c r="B96" s="204" t="str">
        <v>Concrete, 50 MPa, in-situ, no reinforcement, (Triple Blend) (Holcim) (VIC)</v>
      </c>
      <c r="C96" s="132" t="str">
        <v>m³</v>
      </c>
      <c r="D96" s="198">
        <v>302</v>
      </c>
      <c r="E96" s="198">
        <v>0.12583333333333332</v>
      </c>
      <c r="F96" s="198">
        <v>0</v>
      </c>
      <c r="G96" s="215">
        <v>0</v>
      </c>
      <c r="H96" s="131"/>
    </row>
    <row r="97" spans="1:8" x14ac:dyDescent="0.25">
      <c r="A97" s="133"/>
      <c r="B97" s="204" t="str">
        <v>Concrete, 50 MPa, in-situ, no reinforcement, (GGBS Slag) (Holcim) (SA)</v>
      </c>
      <c r="C97" s="132" t="str">
        <v>m³</v>
      </c>
      <c r="D97" s="198">
        <v>303</v>
      </c>
      <c r="E97" s="198">
        <v>0.12625</v>
      </c>
      <c r="F97" s="198">
        <v>0</v>
      </c>
      <c r="G97" s="215">
        <v>0</v>
      </c>
      <c r="H97" s="131"/>
    </row>
    <row r="98" spans="1:8" x14ac:dyDescent="0.25">
      <c r="A98" s="133"/>
      <c r="B98" s="204" t="str">
        <v>Concrete, 50 MPa, in-situ, no reinforcement, (GGBS Slag) (Holcim) (WA)</v>
      </c>
      <c r="C98" s="132" t="str">
        <v>m³</v>
      </c>
      <c r="D98" s="198">
        <v>334</v>
      </c>
      <c r="E98" s="198">
        <v>0.13916666666666666</v>
      </c>
      <c r="F98" s="198">
        <v>0</v>
      </c>
      <c r="G98" s="215">
        <v>0</v>
      </c>
      <c r="H98" s="131"/>
    </row>
    <row r="99" spans="1:8" x14ac:dyDescent="0.25">
      <c r="A99" s="133"/>
      <c r="B99" s="204" t="str">
        <v>Concrete, 50 MPa, in-situ, no reinforcement, (VS504FSWC) (Holcim) (VIC)</v>
      </c>
      <c r="C99" s="132" t="str">
        <v>m³</v>
      </c>
      <c r="D99" s="198">
        <v>334.84</v>
      </c>
      <c r="E99" s="198">
        <v>0.13951666666666665</v>
      </c>
      <c r="F99" s="198">
        <v>0</v>
      </c>
      <c r="G99" s="215">
        <v>0</v>
      </c>
      <c r="H99" s="131"/>
    </row>
    <row r="100" spans="1:8" x14ac:dyDescent="0.25">
      <c r="A100" s="133"/>
      <c r="B100" s="204" t="str">
        <v>Concrete, 50 MPa, in-situ, no reinforcement, (VE502ENV) (Holcim) (VIC)</v>
      </c>
      <c r="C100" s="132" t="str">
        <v>m³</v>
      </c>
      <c r="D100" s="198">
        <v>333.89</v>
      </c>
      <c r="E100" s="198">
        <v>0.13912083333333333</v>
      </c>
      <c r="F100" s="198">
        <v>0</v>
      </c>
      <c r="G100" s="215">
        <v>0</v>
      </c>
      <c r="H100" s="131"/>
    </row>
    <row r="101" spans="1:8" x14ac:dyDescent="0.25">
      <c r="A101" s="133"/>
      <c r="B101" s="204" t="str">
        <v>Concrete, 50 MPa, in-situ, no reinforcement, (VS502FVRT) (Holcim) (VIC)</v>
      </c>
      <c r="C101" s="132" t="str">
        <v>m³</v>
      </c>
      <c r="D101" s="198">
        <v>286.08</v>
      </c>
      <c r="E101" s="198">
        <v>0.11919999999999999</v>
      </c>
      <c r="F101" s="198">
        <v>0</v>
      </c>
      <c r="G101" s="215">
        <v>0</v>
      </c>
      <c r="H101" s="131"/>
    </row>
    <row r="102" spans="1:8" x14ac:dyDescent="0.25">
      <c r="A102" s="133"/>
      <c r="B102" s="204" t="str">
        <v>Concrete, 50 MPa, in-situ, no reinforcement, (QS502PR13) (Holcim) (QLD), South East Queensland</v>
      </c>
      <c r="C102" s="132" t="str">
        <v>m³</v>
      </c>
      <c r="D102" s="198">
        <v>381.9</v>
      </c>
      <c r="E102" s="198">
        <v>0.15912499999999999</v>
      </c>
      <c r="F102" s="198">
        <v>0</v>
      </c>
      <c r="G102" s="215">
        <v>0</v>
      </c>
      <c r="H102" s="131"/>
    </row>
    <row r="103" spans="1:8" x14ac:dyDescent="0.25">
      <c r="A103" s="133"/>
      <c r="B103" s="204" t="str">
        <v>Concrete, 50 MPa, in-situ, no reinforcement, (QS502PR38) (Holcim) (QLD), South East Queensland</v>
      </c>
      <c r="C103" s="132" t="str">
        <v>m³</v>
      </c>
      <c r="D103" s="198">
        <v>436.45</v>
      </c>
      <c r="E103" s="198">
        <v>0.18185416666666665</v>
      </c>
      <c r="F103" s="198">
        <v>0</v>
      </c>
      <c r="G103" s="215">
        <v>0</v>
      </c>
      <c r="H103" s="131"/>
    </row>
    <row r="104" spans="1:8" x14ac:dyDescent="0.25">
      <c r="A104" s="133"/>
      <c r="B104" s="204" t="str">
        <v>Concrete, 50 MPa, in-situ, no reinforcement, (QS502PR36) (Holcim) (QLD), South East Queensland</v>
      </c>
      <c r="C104" s="132" t="str">
        <v>m³</v>
      </c>
      <c r="D104" s="198">
        <v>408.02</v>
      </c>
      <c r="E104" s="198">
        <v>0.17000833333333332</v>
      </c>
      <c r="F104" s="198">
        <v>0</v>
      </c>
      <c r="G104" s="215">
        <v>0</v>
      </c>
      <c r="H104" s="131"/>
    </row>
    <row r="105" spans="1:8" x14ac:dyDescent="0.25">
      <c r="A105" s="133"/>
      <c r="B105" s="204" t="str">
        <v>Concrete, 50 MPa, in-situ, no reinforcement, (QS502MRF4) (Holcim) (QLD), South East Queensland</v>
      </c>
      <c r="C105" s="132" t="str">
        <v>m³</v>
      </c>
      <c r="D105" s="198">
        <v>395.24</v>
      </c>
      <c r="E105" s="198">
        <v>0.16468333333333335</v>
      </c>
      <c r="F105" s="198">
        <v>0</v>
      </c>
      <c r="G105" s="215">
        <v>0</v>
      </c>
      <c r="H105" s="131"/>
    </row>
    <row r="106" spans="1:8" x14ac:dyDescent="0.25">
      <c r="A106" s="133"/>
      <c r="B106" s="204" t="str">
        <v>Concrete, 50 MPa, in-situ, no reinforcement, (QS502PR12) (Holcim) (QLD), South East Queensland</v>
      </c>
      <c r="C106" s="132" t="str">
        <v>m³</v>
      </c>
      <c r="D106" s="198">
        <v>408.58</v>
      </c>
      <c r="E106" s="198">
        <v>0.17024166666666665</v>
      </c>
      <c r="F106" s="198">
        <v>0</v>
      </c>
      <c r="G106" s="215">
        <v>0</v>
      </c>
      <c r="H106" s="131"/>
    </row>
    <row r="107" spans="1:8" x14ac:dyDescent="0.25">
      <c r="A107" s="133"/>
      <c r="B107" s="204" t="str">
        <v>Concrete, 50 MPa, in-situ, no reinforcement, (QE502E)(Holcim) (QLD), (North QLD)</v>
      </c>
      <c r="C107" s="132" t="str">
        <v>m³</v>
      </c>
      <c r="D107" s="198">
        <v>360.54</v>
      </c>
      <c r="E107" s="198">
        <v>0.150225</v>
      </c>
      <c r="F107" s="198">
        <v>0</v>
      </c>
      <c r="G107" s="215">
        <v>0</v>
      </c>
      <c r="H107" s="131"/>
    </row>
    <row r="108" spans="1:8" x14ac:dyDescent="0.25">
      <c r="A108" s="133"/>
      <c r="B108" s="204" t="str">
        <v>Concrete, 50 MPa, in-situ, no reinforcement, (QE502E1)(Holcim) (QLD), (North QLD)</v>
      </c>
      <c r="C108" s="132" t="str">
        <v>m³</v>
      </c>
      <c r="D108" s="198">
        <v>362.11</v>
      </c>
      <c r="E108" s="198">
        <v>0.15087916666666668</v>
      </c>
      <c r="F108" s="198">
        <v>0</v>
      </c>
      <c r="G108" s="215">
        <v>0</v>
      </c>
      <c r="H108" s="131"/>
    </row>
    <row r="109" spans="1:8" x14ac:dyDescent="0.25">
      <c r="A109" s="133"/>
      <c r="B109" s="204" t="str">
        <v>Concrete, 50 MPa, in-situ, no reinforcement, (QE501E)(Holcim) (QLD), (North QLD)</v>
      </c>
      <c r="C109" s="132" t="str">
        <v>m³</v>
      </c>
      <c r="D109" s="198">
        <v>365.28</v>
      </c>
      <c r="E109" s="198">
        <v>0.1522</v>
      </c>
      <c r="F109" s="198">
        <v>0</v>
      </c>
      <c r="G109" s="215">
        <v>0</v>
      </c>
      <c r="H109" s="131"/>
    </row>
    <row r="110" spans="1:8" x14ac:dyDescent="0.25">
      <c r="A110" s="133"/>
      <c r="B110" s="204" t="str">
        <v>Concrete, 50 MPa, in-situ, no reinforcement, (QE501E1)(Holcim) (QLD), (North QLD)</v>
      </c>
      <c r="C110" s="132" t="str">
        <v>m³</v>
      </c>
      <c r="D110" s="198">
        <v>366.34</v>
      </c>
      <c r="E110" s="198">
        <v>0.15264166666666665</v>
      </c>
      <c r="F110" s="198">
        <v>0</v>
      </c>
      <c r="G110" s="215">
        <v>0</v>
      </c>
      <c r="H110" s="131"/>
    </row>
    <row r="111" spans="1:8" x14ac:dyDescent="0.25">
      <c r="A111" s="133"/>
      <c r="B111" s="204" t="str">
        <v>Concrete, 50 MPa, in-situ, no reinforcement, (QE502EUF)(Holcim) (QLD), (North QLD)</v>
      </c>
      <c r="C111" s="132" t="str">
        <v>m³</v>
      </c>
      <c r="D111" s="198">
        <v>395.6</v>
      </c>
      <c r="E111" s="198">
        <v>0.16483333333333333</v>
      </c>
      <c r="F111" s="198">
        <v>0</v>
      </c>
      <c r="G111" s="215">
        <v>0</v>
      </c>
      <c r="H111" s="131"/>
    </row>
    <row r="112" spans="1:8" x14ac:dyDescent="0.25">
      <c r="A112" s="133"/>
      <c r="B112" s="204" t="str">
        <v>Concrete, 50 MPa, in-situ, no reinforcement, (Adbri N Class
GP/GL 50 MPa) (Adbri) (SA)</v>
      </c>
      <c r="C112" s="132" t="str">
        <v>m³</v>
      </c>
      <c r="D112" s="198">
        <v>389.23</v>
      </c>
      <c r="E112" s="198">
        <v>0.16217916666666668</v>
      </c>
      <c r="F112" s="198">
        <v>0</v>
      </c>
      <c r="G112" s="215">
        <v>0</v>
      </c>
      <c r="H112" s="131"/>
    </row>
    <row r="113" spans="1:8" x14ac:dyDescent="0.25">
      <c r="A113" s="133"/>
      <c r="B113" s="204" t="str">
        <v>Concrete, 50 MPa, in-situ, no reinforcement, (Futurecrete®  N
Class GP/GL:Slag
50 MPa) (Adbri) (SA)</v>
      </c>
      <c r="C113" s="132" t="str">
        <v>m³</v>
      </c>
      <c r="D113" s="198">
        <v>299.49</v>
      </c>
      <c r="E113" s="198">
        <v>0.1247875</v>
      </c>
      <c r="F113" s="198">
        <v>0</v>
      </c>
      <c r="G113" s="215">
        <v>0</v>
      </c>
      <c r="H113" s="131"/>
    </row>
    <row r="114" spans="1:8" x14ac:dyDescent="0.25">
      <c r="A114" s="133"/>
      <c r="B114" s="204" t="str">
        <v>Concrete, 50 MPa, in-situ, no reinforcement, (Futurecrete®  N Class
GP/GL:FA 50 MPa) (Adbri) (SA)</v>
      </c>
      <c r="C114" s="132" t="str">
        <v>m³</v>
      </c>
      <c r="D114" s="198">
        <v>311.22000000000003</v>
      </c>
      <c r="E114" s="198">
        <v>0.12967500000000001</v>
      </c>
      <c r="F114" s="198">
        <v>0</v>
      </c>
      <c r="G114" s="215">
        <v>0</v>
      </c>
      <c r="H114" s="131"/>
    </row>
    <row r="115" spans="1:8" x14ac:dyDescent="0.25">
      <c r="A115" s="133"/>
      <c r="B115" s="204" t="str">
        <v>Concrete, 50 MPa, in-situ, no reinforcement, Pre-mix Concrete Normal Class GP blend (Boral) (ACT), (Canberra) Normal Class GP blend 50MPa</v>
      </c>
      <c r="C115" s="132" t="str">
        <v>m³</v>
      </c>
      <c r="D115" s="198">
        <v>454</v>
      </c>
      <c r="E115" s="198">
        <v>0.18916666666666668</v>
      </c>
      <c r="F115" s="198">
        <v>0</v>
      </c>
      <c r="G115" s="215">
        <v>0</v>
      </c>
      <c r="H115" s="131"/>
    </row>
    <row r="116" spans="1:8" x14ac:dyDescent="0.25">
      <c r="A116" s="133"/>
      <c r="B116" s="204" t="str">
        <v>Concrete, 50 MPa, in-situ, no reinforcement, Pre-mix Concrete Normal Class GP/FA blend (Boral) (ACT), (Canberra) Normal Class GP/FA blend 50 MPa</v>
      </c>
      <c r="C116" s="132" t="str">
        <v>m³</v>
      </c>
      <c r="D116" s="198">
        <v>424</v>
      </c>
      <c r="E116" s="198">
        <v>0.17666666666666667</v>
      </c>
      <c r="F116" s="198">
        <v>0</v>
      </c>
      <c r="G116" s="215">
        <v>0</v>
      </c>
      <c r="H116" s="131"/>
    </row>
    <row r="117" spans="1:8" x14ac:dyDescent="0.25">
      <c r="A117" s="133"/>
      <c r="B117" s="204" t="str">
        <v>Concrete, 50 MPa, in-situ, no reinforcement, Pre-mix Concrete Normal Class GP/GGBFS blend (Boral) (ACT), (Canberra) Normal Class GP/GGBFS blend 50 MPa</v>
      </c>
      <c r="C117" s="132" t="str">
        <v>m³</v>
      </c>
      <c r="D117" s="198">
        <v>321</v>
      </c>
      <c r="E117" s="198">
        <v>0.13375000000000001</v>
      </c>
      <c r="F117" s="198">
        <v>0</v>
      </c>
      <c r="G117" s="215">
        <v>0</v>
      </c>
      <c r="H117" s="131"/>
    </row>
    <row r="118" spans="1:8" x14ac:dyDescent="0.25">
      <c r="A118" s="133"/>
      <c r="B118" s="204" t="str">
        <v>Concrete, 50 MPa, in-situ, no reinforcement, Pre-mix Concrete ENVIROCRETE 30% (Boral) (ACT), (Canberra) ENVIROCRETE 30% 50 MPa</v>
      </c>
      <c r="C118" s="132" t="str">
        <v>m³</v>
      </c>
      <c r="D118" s="198">
        <v>397</v>
      </c>
      <c r="E118" s="198">
        <v>0.16541666666666666</v>
      </c>
      <c r="F118" s="198">
        <v>0</v>
      </c>
      <c r="G118" s="215">
        <v>0</v>
      </c>
      <c r="H118" s="131"/>
    </row>
    <row r="119" spans="1:8" x14ac:dyDescent="0.25">
      <c r="A119" s="133"/>
      <c r="B119" s="204" t="str">
        <v>Concrete, 50 MPa, in-situ, no reinforcement, Pre-mix Concrete ENVIROCRETE 40% (Boral) (ACT), (Canberra) ENVIROCRETE 40% 50 MPa</v>
      </c>
      <c r="C119" s="132" t="str">
        <v>m³</v>
      </c>
      <c r="D119" s="198">
        <v>355</v>
      </c>
      <c r="E119" s="198">
        <v>0.14791666666666667</v>
      </c>
      <c r="F119" s="198">
        <v>0</v>
      </c>
      <c r="G119" s="215">
        <v>0</v>
      </c>
      <c r="H119" s="131"/>
    </row>
    <row r="120" spans="1:8" x14ac:dyDescent="0.25">
      <c r="A120" s="133"/>
      <c r="B120" s="204" t="str">
        <v>Concrete, 50 MPa, in-situ, no reinforcement, Pre-mix Concrete ENVIROCRETE PLUS (Boral) (ACT), (Canberra) ENVIROCRETE PLUS 50MPa</v>
      </c>
      <c r="C120" s="132" t="str">
        <v>m³</v>
      </c>
      <c r="D120" s="198">
        <v>341</v>
      </c>
      <c r="E120" s="198">
        <v>0.14208333333333334</v>
      </c>
      <c r="F120" s="198">
        <v>0</v>
      </c>
      <c r="G120" s="215">
        <v>0</v>
      </c>
      <c r="H120" s="131"/>
    </row>
    <row r="121" spans="1:8" x14ac:dyDescent="0.25">
      <c r="A121" s="133"/>
      <c r="B121" s="204" t="str">
        <v>Concrete, 50 MPa, in-situ, no reinforcement, Pre-mix Concrete HIGH SLUMP (Boral) (ACT), (Canberra) HIGH SLUMP 50MPa</v>
      </c>
      <c r="C121" s="132" t="str">
        <v>m³</v>
      </c>
      <c r="D121" s="198">
        <v>436</v>
      </c>
      <c r="E121" s="198">
        <v>0.18166666666666667</v>
      </c>
      <c r="F121" s="198">
        <v>0</v>
      </c>
      <c r="G121" s="215">
        <v>0</v>
      </c>
      <c r="H121" s="131"/>
    </row>
    <row r="122" spans="1:8" x14ac:dyDescent="0.25">
      <c r="A122" s="133"/>
      <c r="B122" s="204" t="str">
        <v>Concrete, 50 MPa, in-situ, no reinforcement, Pre-mix Concrete ENVISIA (Boral) (ACT), (Canberra) ENVISIA 50MPa</v>
      </c>
      <c r="C122" s="132" t="str">
        <v>m³</v>
      </c>
      <c r="D122" s="198">
        <v>327</v>
      </c>
      <c r="E122" s="198">
        <v>0.13625000000000001</v>
      </c>
      <c r="F122" s="198">
        <v>0</v>
      </c>
      <c r="G122" s="215">
        <v>0</v>
      </c>
      <c r="H122" s="131"/>
    </row>
    <row r="123" spans="1:8" x14ac:dyDescent="0.25">
      <c r="A123" s="133"/>
      <c r="B123" s="204" t="str">
        <v>Concrete, 50 MPa, in-situ, no reinforcement, Pre-mix Concrete TREMIE (Boral) (ACT), (Canberra) TREMIE 50MPa</v>
      </c>
      <c r="C123" s="132" t="str">
        <v>m³</v>
      </c>
      <c r="D123" s="198">
        <v>387</v>
      </c>
      <c r="E123" s="198">
        <v>0.16125</v>
      </c>
      <c r="F123" s="198">
        <v>0</v>
      </c>
      <c r="G123" s="215">
        <v>0</v>
      </c>
      <c r="H123" s="131"/>
    </row>
    <row r="124" spans="1:8" x14ac:dyDescent="0.25">
      <c r="A124" s="133"/>
      <c r="B124" s="204" t="str">
        <v>Concrete, 50 MPa, in-situ, no reinforcement, Pre-mix Concrete TfNSW B80 (Boral) (ACT), (Canberra) TfNSW B80 50MPa 20MM TREMIE CFA C1 EXPOSURE</v>
      </c>
      <c r="C124" s="132" t="str">
        <v>m³</v>
      </c>
      <c r="D124" s="198">
        <v>358</v>
      </c>
      <c r="E124" s="198">
        <v>0.14916666666666667</v>
      </c>
      <c r="F124" s="198">
        <v>0</v>
      </c>
      <c r="G124" s="215">
        <v>0</v>
      </c>
      <c r="H124" s="131"/>
    </row>
    <row r="125" spans="1:8" x14ac:dyDescent="0.25">
      <c r="A125" s="133"/>
      <c r="B125" s="204" t="str">
        <v>Concrete, 50 MPa, in-situ, no reinforcement, Pre-mix Concrete TfNSW B80 (Boral) (ACT), (Canberra) TfNSW B80 50MPa 20MM TREMIE B2 EXPOSURE</v>
      </c>
      <c r="C125" s="132" t="str">
        <v>m³</v>
      </c>
      <c r="D125" s="198">
        <v>415</v>
      </c>
      <c r="E125" s="198">
        <v>0.17291666666666666</v>
      </c>
      <c r="F125" s="198">
        <v>0</v>
      </c>
      <c r="G125" s="215">
        <v>0</v>
      </c>
      <c r="H125" s="131"/>
    </row>
    <row r="126" spans="1:8" x14ac:dyDescent="0.25">
      <c r="A126" s="133"/>
      <c r="B126" s="204" t="str">
        <v>Concrete, 50 MPa, in-situ, no reinforcement, Pre-mix Concrete Normal Class GP blend (Boral) (NSW), (Newcastle) Normal Class GP blend 50MPa</v>
      </c>
      <c r="C126" s="132" t="str">
        <v>m³</v>
      </c>
      <c r="D126" s="198">
        <v>444</v>
      </c>
      <c r="E126" s="198">
        <v>0.185</v>
      </c>
      <c r="F126" s="198">
        <v>0</v>
      </c>
      <c r="G126" s="215">
        <v>0</v>
      </c>
      <c r="H126" s="131"/>
    </row>
    <row r="127" spans="1:8" x14ac:dyDescent="0.25">
      <c r="A127" s="133"/>
      <c r="B127" s="204" t="str">
        <v>Concrete, 50 MPa, in-situ, no reinforcement, Pre-mix Concrete Normal Class GP/FA blend (Boral) (NSW), (Newcastle) Normal Class GP/FA blend 50 MPa</v>
      </c>
      <c r="C127" s="132" t="str">
        <v>m³</v>
      </c>
      <c r="D127" s="198">
        <v>410</v>
      </c>
      <c r="E127" s="198">
        <v>0.17083333333333334</v>
      </c>
      <c r="F127" s="198">
        <v>0</v>
      </c>
      <c r="G127" s="215">
        <v>0</v>
      </c>
      <c r="H127" s="131"/>
    </row>
    <row r="128" spans="1:8" x14ac:dyDescent="0.25">
      <c r="A128" s="133"/>
      <c r="B128" s="204" t="str">
        <v>Concrete, 50 MPa, in-situ, no reinforcement, Pre-mix Concrete ENVIROCRETE 30% (Boral) (NSW), (Newcastle) ENVIROCRETE 30% 50 MPa</v>
      </c>
      <c r="C128" s="132" t="str">
        <v>m³</v>
      </c>
      <c r="D128" s="198">
        <v>385</v>
      </c>
      <c r="E128" s="198">
        <v>0.16041666666666668</v>
      </c>
      <c r="F128" s="198">
        <v>0</v>
      </c>
      <c r="G128" s="215">
        <v>0</v>
      </c>
      <c r="H128" s="131"/>
    </row>
    <row r="129" spans="1:8" x14ac:dyDescent="0.25">
      <c r="A129" s="133"/>
      <c r="B129" s="204" t="str">
        <v>Concrete, 50 MPa, in-situ, no reinforcement, Pre-mix Concrete ENVIROCRETE 40% (Boral) (NSW), (Newcastle) ENVIROCRETE 40% 50 MPa</v>
      </c>
      <c r="C129" s="132" t="str">
        <v>m³</v>
      </c>
      <c r="D129" s="198">
        <v>345</v>
      </c>
      <c r="E129" s="198">
        <v>0.14374999999999999</v>
      </c>
      <c r="F129" s="198">
        <v>0</v>
      </c>
      <c r="G129" s="215">
        <v>0</v>
      </c>
      <c r="H129" s="131"/>
    </row>
    <row r="130" spans="1:8" x14ac:dyDescent="0.25">
      <c r="A130" s="133"/>
      <c r="B130" s="204" t="str">
        <v>Concrete, 50 MPa, in-situ, no reinforcement, Pre-mix Concrete ENVIROCRETE PLUS (Boral) (NSW), (Newcastle) ENVIROCRETE PLUS 50MPa</v>
      </c>
      <c r="C130" s="132" t="str">
        <v>m³</v>
      </c>
      <c r="D130" s="198">
        <v>333</v>
      </c>
      <c r="E130" s="198">
        <v>0.13875000000000001</v>
      </c>
      <c r="F130" s="198">
        <v>0</v>
      </c>
      <c r="G130" s="215">
        <v>0</v>
      </c>
      <c r="H130" s="131"/>
    </row>
    <row r="131" spans="1:8" x14ac:dyDescent="0.25">
      <c r="A131" s="133"/>
      <c r="B131" s="204" t="str">
        <v>Concrete, 50 MPa, in-situ, no reinforcement, Pre-mix Concrete ENVISIA (Boral) (NSW), (Newcastle) ENVISIA 50MPa</v>
      </c>
      <c r="C131" s="132" t="str">
        <v>m³</v>
      </c>
      <c r="D131" s="198">
        <v>324</v>
      </c>
      <c r="E131" s="198">
        <v>0.13500000000000001</v>
      </c>
      <c r="F131" s="198">
        <v>0</v>
      </c>
      <c r="G131" s="215">
        <v>0</v>
      </c>
      <c r="H131" s="131"/>
    </row>
    <row r="132" spans="1:8" x14ac:dyDescent="0.25">
      <c r="A132" s="133"/>
      <c r="B132" s="204" t="str">
        <v>Concrete, 50 MPa, in-situ, no reinforcement, Pre-mix Concrete HIGH SLUMP (Boral) (NSW), (Newcastle) HIGH SLUMP 50MPa</v>
      </c>
      <c r="C132" s="132" t="str">
        <v>m³</v>
      </c>
      <c r="D132" s="198">
        <v>427</v>
      </c>
      <c r="E132" s="198">
        <v>0.17791666666666667</v>
      </c>
      <c r="F132" s="198">
        <v>0</v>
      </c>
      <c r="G132" s="215">
        <v>0</v>
      </c>
      <c r="H132" s="131"/>
    </row>
    <row r="133" spans="1:8" x14ac:dyDescent="0.25">
      <c r="A133" s="133"/>
      <c r="B133" s="204" t="str">
        <v>Concrete, 50 MPa, in-situ, no reinforcement, Pre-mix Concrete TREMIE (Boral) (NSW), (Newcastle) TREMIE 50MPa</v>
      </c>
      <c r="C133" s="132" t="str">
        <v>m³</v>
      </c>
      <c r="D133" s="198">
        <v>335</v>
      </c>
      <c r="E133" s="198">
        <v>0.13958333333333334</v>
      </c>
      <c r="F133" s="198">
        <v>0</v>
      </c>
      <c r="G133" s="215">
        <v>0</v>
      </c>
      <c r="H133" s="131"/>
    </row>
    <row r="134" spans="1:8" x14ac:dyDescent="0.25">
      <c r="A134" s="133"/>
      <c r="B134" s="204" t="str">
        <v>Concrete, 50 MPa, in-situ, no reinforcement, Pre-mix Concrete Normal Class GP/GGBFS blend (Boral) (NSW), (Newcastle) Normal Class GP/GGBFS blend 50 MPa</v>
      </c>
      <c r="C134" s="132" t="str">
        <v>m³</v>
      </c>
      <c r="D134" s="198">
        <v>313</v>
      </c>
      <c r="E134" s="198">
        <v>0.13041666666666665</v>
      </c>
      <c r="F134" s="198">
        <v>0</v>
      </c>
      <c r="G134" s="215">
        <v>0</v>
      </c>
      <c r="H134" s="131"/>
    </row>
    <row r="135" spans="1:8" x14ac:dyDescent="0.25">
      <c r="A135" s="133"/>
      <c r="B135" s="204" t="str">
        <v>Concrete, 50 MPa, in-situ, no reinforcement, Pre-mix Concrete TfNSW B80 (Boral) (NSW), (Newcastle) TfNSW B80 50MPa 20MM TREMIE CFA C1 EXPOSURE</v>
      </c>
      <c r="C135" s="132" t="str">
        <v>m³</v>
      </c>
      <c r="D135" s="198">
        <v>341</v>
      </c>
      <c r="E135" s="198">
        <v>0.14208333333333334</v>
      </c>
      <c r="F135" s="198">
        <v>0</v>
      </c>
      <c r="G135" s="215">
        <v>0</v>
      </c>
      <c r="H135" s="131"/>
    </row>
    <row r="136" spans="1:8" x14ac:dyDescent="0.25">
      <c r="A136" s="133"/>
      <c r="B136" s="204" t="str">
        <v>Concrete, 50 MPa, in-situ, no reinforcement, Pre-mix Concrete TfNSW B80 (Boral) (NSW), (Newcastle) TfNSW B80 50MPa 20MM PUMP B2 EXPOSURE</v>
      </c>
      <c r="C136" s="132" t="str">
        <v>m³</v>
      </c>
      <c r="D136" s="198">
        <v>426</v>
      </c>
      <c r="E136" s="198">
        <v>0.17749999999999999</v>
      </c>
      <c r="F136" s="198">
        <v>0</v>
      </c>
      <c r="G136" s="215">
        <v>0</v>
      </c>
      <c r="H136" s="131"/>
    </row>
    <row r="137" spans="1:8" x14ac:dyDescent="0.25">
      <c r="A137" s="133"/>
      <c r="B137" s="204" t="str">
        <v>Concrete, 50 MPa, in-situ, no reinforcement, Pre-mix Concrete TfNSW B80 (Boral) (NSW), (Newcastle) TfNSW B80 50MPa 20MM TREMIE B2 EXPOSURE</v>
      </c>
      <c r="C137" s="132" t="str">
        <v>m³</v>
      </c>
      <c r="D137" s="198">
        <v>101</v>
      </c>
      <c r="E137" s="198">
        <v>4.2083333333333334E-2</v>
      </c>
      <c r="F137" s="198">
        <v>0</v>
      </c>
      <c r="G137" s="215">
        <v>0</v>
      </c>
      <c r="H137" s="131"/>
    </row>
    <row r="138" spans="1:8" x14ac:dyDescent="0.25">
      <c r="A138" s="133"/>
      <c r="B138" s="204" t="str">
        <v>Concrete, 50 MPa, in-situ, no reinforcement, Pre-mix Concrete Normal Class GP blend (Boral) (NSW), (Sydney) Normal Class GP blend 50MPa</v>
      </c>
      <c r="C138" s="132" t="str">
        <v>m³</v>
      </c>
      <c r="D138" s="198">
        <v>454</v>
      </c>
      <c r="E138" s="198">
        <v>0.18916666666666668</v>
      </c>
      <c r="F138" s="198">
        <v>0</v>
      </c>
      <c r="G138" s="215">
        <v>0</v>
      </c>
      <c r="H138" s="131"/>
    </row>
    <row r="139" spans="1:8" x14ac:dyDescent="0.25">
      <c r="A139" s="133"/>
      <c r="B139" s="204" t="str">
        <v>Concrete, 50 MPa, in-situ, no reinforcement, Pre-mix Concrete Normal Class GP/FA blend (Boral) (NSW), (Sydney) Normal Class GP/FA blend 50 MPa</v>
      </c>
      <c r="C139" s="132" t="str">
        <v>m³</v>
      </c>
      <c r="D139" s="198">
        <v>421</v>
      </c>
      <c r="E139" s="198">
        <v>0.17541666666666667</v>
      </c>
      <c r="F139" s="198">
        <v>0</v>
      </c>
      <c r="G139" s="215">
        <v>0</v>
      </c>
      <c r="H139" s="131"/>
    </row>
    <row r="140" spans="1:8" x14ac:dyDescent="0.25">
      <c r="A140" s="133"/>
      <c r="B140" s="204" t="str">
        <v>Concrete, 50 MPa, in-situ, no reinforcement, Pre-mix Concrete Normal Class GP/GGBFS blend (Boral) (NSW), (Sydney) Normal Class GP/GGBFS blend 50 MPa</v>
      </c>
      <c r="C140" s="132" t="str">
        <v>m³</v>
      </c>
      <c r="D140" s="198">
        <v>316</v>
      </c>
      <c r="E140" s="198">
        <v>0.13166666666666665</v>
      </c>
      <c r="F140" s="198">
        <v>0</v>
      </c>
      <c r="G140" s="215">
        <v>0</v>
      </c>
      <c r="H140" s="131"/>
    </row>
    <row r="141" spans="1:8" x14ac:dyDescent="0.25">
      <c r="A141" s="133"/>
      <c r="B141" s="204" t="str">
        <v>Concrete, 50 MPa, in-situ, no reinforcement, Pre-mix Concrete Normal Class GP/GGBFS/FA blend (Boral) (NSW), (Sydney) Normal Class GP/GGBFS/FA blend 50 MPa</v>
      </c>
      <c r="C141" s="132" t="str">
        <v>m³</v>
      </c>
      <c r="D141" s="198">
        <v>378</v>
      </c>
      <c r="E141" s="198">
        <v>0.1575</v>
      </c>
      <c r="F141" s="198">
        <v>0</v>
      </c>
      <c r="G141" s="215">
        <v>0</v>
      </c>
      <c r="H141" s="131"/>
    </row>
    <row r="142" spans="1:8" x14ac:dyDescent="0.25">
      <c r="A142" s="133"/>
      <c r="B142" s="204" t="str">
        <v>Concrete, 50 MPa, in-situ, no reinforcement, Pre-mix Concrete ENVIROCRETE 30% (Boral) (NSW), (Sydney) ENVIROCRETE 30% 50 MPa</v>
      </c>
      <c r="C142" s="132" t="str">
        <v>m³</v>
      </c>
      <c r="D142" s="198">
        <v>393</v>
      </c>
      <c r="E142" s="198">
        <v>0.16375000000000001</v>
      </c>
      <c r="F142" s="198">
        <v>0</v>
      </c>
      <c r="G142" s="215">
        <v>0</v>
      </c>
      <c r="H142" s="131"/>
    </row>
    <row r="143" spans="1:8" x14ac:dyDescent="0.25">
      <c r="A143" s="133"/>
      <c r="B143" s="204" t="str">
        <v>Concrete, 50 MPa, in-situ, no reinforcement, Pre-mix Concrete ENVIROCRETE 40% (Boral) (NSW), (Sydney) ENVIROCRETE 40% 50 MPa</v>
      </c>
      <c r="C143" s="132" t="str">
        <v>m³</v>
      </c>
      <c r="D143" s="198">
        <v>348</v>
      </c>
      <c r="E143" s="198">
        <v>0.14499999999999999</v>
      </c>
      <c r="F143" s="198">
        <v>0</v>
      </c>
      <c r="G143" s="215">
        <v>0</v>
      </c>
      <c r="H143" s="131"/>
    </row>
    <row r="144" spans="1:8" x14ac:dyDescent="0.25">
      <c r="A144" s="133"/>
      <c r="B144" s="204" t="str">
        <v>Concrete, 50 MPa, in-situ, no reinforcement, Pre-mix Concrete ENVIROCRETE PLUS (Boral) (NSW), (Sydney) ENVIROCRETE PLUS 50MPa</v>
      </c>
      <c r="C144" s="132" t="str">
        <v>m³</v>
      </c>
      <c r="D144" s="198">
        <v>337</v>
      </c>
      <c r="E144" s="198">
        <v>0.14041666666666666</v>
      </c>
      <c r="F144" s="198">
        <v>0</v>
      </c>
      <c r="G144" s="215">
        <v>0</v>
      </c>
      <c r="H144" s="131"/>
    </row>
    <row r="145" spans="1:8" x14ac:dyDescent="0.25">
      <c r="A145" s="133"/>
      <c r="B145" s="204" t="str">
        <v>Concrete, 50 MPa, in-situ, no reinforcement, Pre-mix Concrete TREMIE (Boral) (NSW), (Sydney) TREMIE 50MPa</v>
      </c>
      <c r="C145" s="132" t="str">
        <v>m³</v>
      </c>
      <c r="D145" s="198">
        <v>335</v>
      </c>
      <c r="E145" s="198">
        <v>0.13958333333333334</v>
      </c>
      <c r="F145" s="198">
        <v>0</v>
      </c>
      <c r="G145" s="215">
        <v>0</v>
      </c>
      <c r="H145" s="131"/>
    </row>
    <row r="146" spans="1:8" x14ac:dyDescent="0.25">
      <c r="A146" s="133"/>
      <c r="B146" s="204" t="str">
        <v>Concrete, 50 MPa, in-situ, no reinforcement, Pre-mix Concrete ENVISIA (Boral) (NSW), (Sydney) ENVISIA 50MPa</v>
      </c>
      <c r="C146" s="132" t="str">
        <v>m³</v>
      </c>
      <c r="D146" s="198">
        <v>324</v>
      </c>
      <c r="E146" s="198">
        <v>0.13500000000000001</v>
      </c>
      <c r="F146" s="198">
        <v>0</v>
      </c>
      <c r="G146" s="215">
        <v>0</v>
      </c>
      <c r="H146" s="131"/>
    </row>
    <row r="147" spans="1:8" x14ac:dyDescent="0.25">
      <c r="A147" s="133"/>
      <c r="B147" s="204" t="str">
        <v>Concrete, 50 MPa, in-situ, no reinforcement, Pre-mix Concrete HIGH SLUMP (Boral) (NSW), (Sydney) HIGH SLUMP 50MPa</v>
      </c>
      <c r="C147" s="132" t="str">
        <v>m³</v>
      </c>
      <c r="D147" s="198">
        <v>328</v>
      </c>
      <c r="E147" s="198">
        <v>0.13666666666666666</v>
      </c>
      <c r="F147" s="198">
        <v>0</v>
      </c>
      <c r="G147" s="215">
        <v>0</v>
      </c>
      <c r="H147" s="131"/>
    </row>
    <row r="148" spans="1:8" x14ac:dyDescent="0.25">
      <c r="A148" s="133"/>
      <c r="B148" s="204" t="str">
        <v>Concrete, 50 MPa, in-situ, no reinforcement, Pre-mix Concrete TfNSW B80 (Boral) (NSW), (Sydney) TfNSW B80 50MPa 20MM TREMIE CFA C1 EXPOSURE</v>
      </c>
      <c r="C148" s="132" t="str">
        <v>m³</v>
      </c>
      <c r="D148" s="198">
        <v>248</v>
      </c>
      <c r="E148" s="198">
        <v>0.10333333333333333</v>
      </c>
      <c r="F148" s="198">
        <v>0</v>
      </c>
      <c r="G148" s="215">
        <v>0</v>
      </c>
      <c r="H148" s="131"/>
    </row>
    <row r="149" spans="1:8" x14ac:dyDescent="0.25">
      <c r="A149" s="133"/>
      <c r="B149" s="204" t="str">
        <v>Concrete, 50 MPa, in-situ, no reinforcement, Pre-mix Concrete TfNSW B80 (Boral) (NSW), (Sydney) TfNSW B80 50MPa 20MM PUMP B2 EXPOSURE</v>
      </c>
      <c r="C149" s="132" t="str">
        <v>m³</v>
      </c>
      <c r="D149" s="198">
        <v>239</v>
      </c>
      <c r="E149" s="198">
        <v>9.9583333333333329E-2</v>
      </c>
      <c r="F149" s="198">
        <v>0</v>
      </c>
      <c r="G149" s="215">
        <v>0</v>
      </c>
      <c r="H149" s="131"/>
    </row>
    <row r="150" spans="1:8" x14ac:dyDescent="0.25">
      <c r="A150" s="133"/>
      <c r="B150" s="204" t="str">
        <v>Concrete, 50 MPa, in-situ, no reinforcement, Pre-mix Concrete TfNSW B80 (Boral) (NSW), (Sydney) TfNSW B80 50MPa 20MM TREMIE B2 EXPOSURE</v>
      </c>
      <c r="C150" s="132" t="str">
        <v>m³</v>
      </c>
      <c r="D150" s="198">
        <v>233</v>
      </c>
      <c r="E150" s="198">
        <v>9.7083333333333327E-2</v>
      </c>
      <c r="F150" s="198">
        <v>0</v>
      </c>
      <c r="G150" s="215">
        <v>0</v>
      </c>
      <c r="H150" s="131"/>
    </row>
    <row r="151" spans="1:8" x14ac:dyDescent="0.25">
      <c r="A151" s="133"/>
      <c r="B151" s="204" t="str">
        <v>Concrete, 50 MPa, in-situ, no reinforcement, Pre-mix Concrete Normal Class GP blend (Boral) (NSW), (Wollongong) Normal Class GP blend 50MPa</v>
      </c>
      <c r="C151" s="132" t="str">
        <v>m³</v>
      </c>
      <c r="D151" s="198">
        <v>449</v>
      </c>
      <c r="E151" s="198">
        <v>0.18708333333333332</v>
      </c>
      <c r="F151" s="198">
        <v>0</v>
      </c>
      <c r="G151" s="215">
        <v>0</v>
      </c>
      <c r="H151" s="131"/>
    </row>
    <row r="152" spans="1:8" x14ac:dyDescent="0.25">
      <c r="A152" s="133"/>
      <c r="B152" s="204" t="str">
        <v>Concrete, 50 MPa, in-situ, no reinforcement, Pre-mix Concrete Normal Class GP/FA blend (Boral) (NSW), (Wollongong) Normal Class GP/FA blend 50 MPa</v>
      </c>
      <c r="C152" s="132" t="str">
        <v>m³</v>
      </c>
      <c r="D152" s="198">
        <v>417</v>
      </c>
      <c r="E152" s="198">
        <v>0.17374999999999999</v>
      </c>
      <c r="F152" s="198">
        <v>0</v>
      </c>
      <c r="G152" s="215">
        <v>0</v>
      </c>
      <c r="H152" s="131"/>
    </row>
    <row r="153" spans="1:8" x14ac:dyDescent="0.25">
      <c r="A153" s="133"/>
      <c r="B153" s="204" t="str">
        <v>Concrete, 50 MPa, in-situ, no reinforcement, Pre-mix Concrete Normal Class GP/GGBFS blend (Boral) (NSW), (Wollongong) Normal Class GP/GGBFS blend 50 MPa</v>
      </c>
      <c r="C153" s="132" t="str">
        <v>m³</v>
      </c>
      <c r="D153" s="198">
        <v>309</v>
      </c>
      <c r="E153" s="198">
        <v>0.12875</v>
      </c>
      <c r="F153" s="198">
        <v>0</v>
      </c>
      <c r="G153" s="215">
        <v>0</v>
      </c>
      <c r="H153" s="131"/>
    </row>
    <row r="154" spans="1:8" x14ac:dyDescent="0.25">
      <c r="A154" s="133"/>
      <c r="B154" s="204" t="str">
        <v>Concrete, 50 MPa, in-situ, no reinforcement, Pre-mix Concrete Normal Class GP/GGBFS/FA blend (Boral) (NSW), (Wollongong) Normal Class GP/GGBFS/FA blend 50 MPa</v>
      </c>
      <c r="C154" s="132" t="str">
        <v>m³</v>
      </c>
      <c r="D154" s="198">
        <v>376</v>
      </c>
      <c r="E154" s="198">
        <v>0.15666666666666668</v>
      </c>
      <c r="F154" s="198">
        <v>0</v>
      </c>
      <c r="G154" s="215">
        <v>0</v>
      </c>
      <c r="H154" s="131"/>
    </row>
    <row r="155" spans="1:8" x14ac:dyDescent="0.25">
      <c r="A155" s="133"/>
      <c r="B155" s="204" t="str">
        <v>Concrete, 50 MPa, in-situ, no reinforcement, Pre-mix Concrete TfNSW B80 (Boral) (NSW), (Wollongong) TfNSW B80 50MPa 20MM TREMIE CFA C1 EXPOSURE</v>
      </c>
      <c r="C155" s="132" t="str">
        <v>m³</v>
      </c>
      <c r="D155" s="198">
        <v>349</v>
      </c>
      <c r="E155" s="198">
        <v>0.14541666666666667</v>
      </c>
      <c r="F155" s="198">
        <v>0</v>
      </c>
      <c r="G155" s="215">
        <v>0</v>
      </c>
      <c r="H155" s="131"/>
    </row>
    <row r="156" spans="1:8" x14ac:dyDescent="0.25">
      <c r="A156" s="133"/>
      <c r="B156" s="204" t="str">
        <v>Concrete, 50 MPa, in-situ, no reinforcement, Pre-mix Concrete ENVIROCRETE 30% (Boral) (NSW), (Wollongong) ENVIROCRETE 30% 50 MPa</v>
      </c>
      <c r="C156" s="132" t="str">
        <v>m³</v>
      </c>
      <c r="D156" s="198">
        <v>388</v>
      </c>
      <c r="E156" s="198">
        <v>0.16166666666666665</v>
      </c>
      <c r="F156" s="198">
        <v>0</v>
      </c>
      <c r="G156" s="215">
        <v>0</v>
      </c>
      <c r="H156" s="131"/>
    </row>
    <row r="157" spans="1:8" x14ac:dyDescent="0.25">
      <c r="A157" s="133"/>
      <c r="B157" s="204" t="str">
        <v>Concrete, 50 MPa, in-situ, no reinforcement, Pre-mix Concrete ENVIROCRETE 40% (Boral) (NSW), (Wollongong) ENVIROCRETE 40% 50 MPa</v>
      </c>
      <c r="C157" s="132" t="str">
        <v>m³</v>
      </c>
      <c r="D157" s="198">
        <v>345</v>
      </c>
      <c r="E157" s="198">
        <v>0.14374999999999999</v>
      </c>
      <c r="F157" s="198">
        <v>0</v>
      </c>
      <c r="G157" s="215">
        <v>0</v>
      </c>
      <c r="H157" s="131"/>
    </row>
    <row r="158" spans="1:8" x14ac:dyDescent="0.25">
      <c r="A158" s="133"/>
      <c r="B158" s="204" t="str">
        <v>Concrete, 50 MPa, in-situ, no reinforcement, Pre-mix Concrete ENVIROCRETE PLUS (Boral) (NSW), (Wollongong) ENVIROCRETE PLUS 50MPa</v>
      </c>
      <c r="C158" s="132" t="str">
        <v>m³</v>
      </c>
      <c r="D158" s="198">
        <v>334</v>
      </c>
      <c r="E158" s="198">
        <v>0.13916666666666666</v>
      </c>
      <c r="F158" s="198">
        <v>0</v>
      </c>
      <c r="G158" s="215">
        <v>0</v>
      </c>
      <c r="H158" s="131"/>
    </row>
    <row r="159" spans="1:8" x14ac:dyDescent="0.25">
      <c r="A159" s="133"/>
      <c r="B159" s="204" t="str">
        <v>Concrete, 50 MPa, in-situ, no reinforcement, Pre-mix Concrete ENVISIA (Boral) (NSW), (Wollongong) ENVISIA 50MPa</v>
      </c>
      <c r="C159" s="132" t="str">
        <v>m³</v>
      </c>
      <c r="D159" s="198">
        <v>321</v>
      </c>
      <c r="E159" s="198">
        <v>0.13375000000000001</v>
      </c>
      <c r="F159" s="198">
        <v>0</v>
      </c>
      <c r="G159" s="215">
        <v>0</v>
      </c>
      <c r="H159" s="131"/>
    </row>
    <row r="160" spans="1:8" x14ac:dyDescent="0.25">
      <c r="A160" s="133"/>
      <c r="B160" s="204" t="str">
        <v>Concrete, 50 MPa, in-situ, no reinforcement, Pre-mix Concrete HIGH SLUMP (Boral) (NSW), (Wollongong) HIGH SLUMP 50MPa</v>
      </c>
      <c r="C160" s="132" t="str">
        <v>m³</v>
      </c>
      <c r="D160" s="198">
        <v>429</v>
      </c>
      <c r="E160" s="198">
        <v>0.17874999999999999</v>
      </c>
      <c r="F160" s="198">
        <v>0</v>
      </c>
      <c r="G160" s="215">
        <v>0</v>
      </c>
      <c r="H160" s="131"/>
    </row>
    <row r="161" spans="1:8" x14ac:dyDescent="0.25">
      <c r="A161" s="133"/>
      <c r="B161" s="204" t="str">
        <v>Concrete, 50 MPa, in-situ, no reinforcement, Pre-mix Concrete TREMIE (Boral) (NSW), (Wollongong) TREMIE 50MPa</v>
      </c>
      <c r="C161" s="132" t="str">
        <v>m³</v>
      </c>
      <c r="D161" s="198">
        <v>378</v>
      </c>
      <c r="E161" s="198">
        <v>0.1575</v>
      </c>
      <c r="F161" s="198">
        <v>0</v>
      </c>
      <c r="G161" s="215">
        <v>0</v>
      </c>
      <c r="H161" s="131"/>
    </row>
    <row r="162" spans="1:8" x14ac:dyDescent="0.25">
      <c r="A162" s="133"/>
      <c r="B162" s="204" t="str">
        <v>Concrete, 50 MPa, in-situ, no reinforcement, Pre-mix Concrete ENVISIA (Boral) (TAS), (Hobart) ENVISIA 50 MPa</v>
      </c>
      <c r="C162" s="132" t="str">
        <v>m³</v>
      </c>
      <c r="D162" s="198">
        <v>399</v>
      </c>
      <c r="E162" s="198">
        <v>0.16625000000000001</v>
      </c>
      <c r="F162" s="198">
        <v>0</v>
      </c>
      <c r="G162" s="215">
        <v>0</v>
      </c>
      <c r="H162" s="131"/>
    </row>
    <row r="163" spans="1:8" x14ac:dyDescent="0.25">
      <c r="A163" s="133"/>
      <c r="B163" s="204" t="str">
        <v>Concrete, 50 MPa, in-situ, no reinforcement, Pre-mix Concrete Normal Class GP blend (Boral) (TAS), (Hobart) Normal Class GP blend 50MPa</v>
      </c>
      <c r="C163" s="132" t="str">
        <v>m³</v>
      </c>
      <c r="D163" s="198">
        <v>498</v>
      </c>
      <c r="E163" s="198">
        <v>0.20749999999999999</v>
      </c>
      <c r="F163" s="198">
        <v>0</v>
      </c>
      <c r="G163" s="215">
        <v>0</v>
      </c>
      <c r="H163" s="131"/>
    </row>
    <row r="164" spans="1:8" x14ac:dyDescent="0.25">
      <c r="A164" s="133"/>
      <c r="B164" s="204" t="str">
        <v>Concrete, 50 MPa, in-situ, no reinforcement, Pre-mix Concrete HIGH STRENGTH (Boral) (TAS), (Hobart) HIGH STRENGTH 50 MPa</v>
      </c>
      <c r="C164" s="132" t="str">
        <v>m³</v>
      </c>
      <c r="D164" s="198">
        <v>498</v>
      </c>
      <c r="E164" s="198">
        <v>0.20749999999999999</v>
      </c>
      <c r="F164" s="198">
        <v>0</v>
      </c>
      <c r="G164" s="215">
        <v>0</v>
      </c>
      <c r="H164" s="131"/>
    </row>
    <row r="165" spans="1:8" x14ac:dyDescent="0.25">
      <c r="A165" s="133"/>
      <c r="B165" s="204" t="str">
        <v>Concrete, 50 MPa, in-situ, no reinforcement, Pre-mix Concrete (Boral) (TAS), (Hobart) VICROADS VR450 50 MPa 20MM TREMIE B2 / CFA C1 EXPOSURE</v>
      </c>
      <c r="C165" s="132" t="str">
        <v>m³</v>
      </c>
      <c r="D165" s="198">
        <v>513</v>
      </c>
      <c r="E165" s="198">
        <v>0.21375</v>
      </c>
      <c r="F165" s="198">
        <v>0</v>
      </c>
      <c r="G165" s="215">
        <v>0</v>
      </c>
      <c r="H165" s="131"/>
    </row>
    <row r="166" spans="1:8" x14ac:dyDescent="0.25">
      <c r="A166" s="133"/>
      <c r="B166" s="204" t="str">
        <v>Concrete, 50 MPa, in-situ, no reinforcement, Pre-mix Concrete Normal Class GP blend (Boral) (TAS), (Launceston) Normal Class GP blend 50MPa</v>
      </c>
      <c r="C166" s="132" t="str">
        <v>m³</v>
      </c>
      <c r="D166" s="198">
        <v>490</v>
      </c>
      <c r="E166" s="198">
        <v>0.20416666666666666</v>
      </c>
      <c r="F166" s="198">
        <v>0</v>
      </c>
      <c r="G166" s="215">
        <v>0</v>
      </c>
      <c r="H166" s="131"/>
    </row>
    <row r="167" spans="1:8" x14ac:dyDescent="0.25">
      <c r="A167" s="133"/>
      <c r="B167" s="204" t="str">
        <v>Concrete, 50 MPa, in-situ, no reinforcement, Pre-mix Concrete ENVISIA (Boral) (TAS), (Launceston) ENVISIA 50 MPa</v>
      </c>
      <c r="C167" s="132" t="str">
        <v>m³</v>
      </c>
      <c r="D167" s="198">
        <v>386</v>
      </c>
      <c r="E167" s="198">
        <v>0.16083333333333333</v>
      </c>
      <c r="F167" s="198">
        <v>0</v>
      </c>
      <c r="G167" s="215">
        <v>0</v>
      </c>
      <c r="H167" s="131"/>
    </row>
    <row r="168" spans="1:8" x14ac:dyDescent="0.25">
      <c r="A168" s="133"/>
      <c r="B168" s="204" t="str">
        <v>Concrete, 50 MPa, in-situ, no reinforcement, Pre-mix Concrete HIGH STRENGTH (Boral) (TAS), (Launceston) HIGH STRENGTH 50 MPa</v>
      </c>
      <c r="C168" s="132" t="str">
        <v>m³</v>
      </c>
      <c r="D168" s="198">
        <v>490</v>
      </c>
      <c r="E168" s="198">
        <v>0.20416666666666666</v>
      </c>
      <c r="F168" s="198">
        <v>0</v>
      </c>
      <c r="G168" s="215">
        <v>0</v>
      </c>
      <c r="H168" s="131"/>
    </row>
    <row r="169" spans="1:8" x14ac:dyDescent="0.25">
      <c r="A169" s="133"/>
      <c r="B169" s="204" t="str">
        <v>Concrete, 50 MPa, in-situ, no reinforcement, Pre-mix Concrete (Boral) (TAS), (Launceston) VICROADS VR450 50 MPa 20MM TREMIE B2 / CFA C1 EXPOSURE</v>
      </c>
      <c r="C169" s="132" t="str">
        <v>m³</v>
      </c>
      <c r="D169" s="198">
        <v>473</v>
      </c>
      <c r="E169" s="198">
        <v>0.19708333333333333</v>
      </c>
      <c r="F169" s="198">
        <v>0</v>
      </c>
      <c r="G169" s="215">
        <v>0</v>
      </c>
      <c r="H169" s="131"/>
    </row>
    <row r="170" spans="1:8" x14ac:dyDescent="0.25">
      <c r="A170" s="133"/>
      <c r="B170" s="204" t="str">
        <v>Concrete, 50 MPa, in-situ, no reinforcement, GP, Normal Class (WA Premix) (WA), (Perth)</v>
      </c>
      <c r="C170" s="132" t="str">
        <v>m³</v>
      </c>
      <c r="D170" s="198">
        <v>505</v>
      </c>
      <c r="E170" s="198">
        <v>0.21041666666666667</v>
      </c>
      <c r="F170" s="198">
        <v>0</v>
      </c>
      <c r="G170" s="215">
        <v>0</v>
      </c>
      <c r="H170" s="131"/>
    </row>
    <row r="171" spans="1:8" x14ac:dyDescent="0.25">
      <c r="A171" s="133"/>
      <c r="B171" s="204" t="str">
        <v>Concrete, 50 MPa, in-situ, no reinforcement, AH1440, Special Class (WA Premix) (WA), (Perth)</v>
      </c>
      <c r="C171" s="132" t="str">
        <v>m³</v>
      </c>
      <c r="D171" s="198">
        <v>510</v>
      </c>
      <c r="E171" s="198">
        <v>0.21249999999999999</v>
      </c>
      <c r="F171" s="198">
        <v>0</v>
      </c>
      <c r="G171" s="215">
        <v>0</v>
      </c>
      <c r="H171" s="131"/>
    </row>
    <row r="172" spans="1:8" x14ac:dyDescent="0.25">
      <c r="A172" s="133"/>
      <c r="B172" s="204" t="str">
        <v>Concrete, 50 MPa, in-situ, no reinforcement, AH1450, Special Class (WA Premix) (WA), (Perth)</v>
      </c>
      <c r="C172" s="132" t="str">
        <v>m³</v>
      </c>
      <c r="D172" s="198">
        <v>517</v>
      </c>
      <c r="E172" s="198">
        <v>0.21541666666666667</v>
      </c>
      <c r="F172" s="198">
        <v>0</v>
      </c>
      <c r="G172" s="215">
        <v>0</v>
      </c>
      <c r="H172" s="131"/>
    </row>
    <row r="173" spans="1:8" x14ac:dyDescent="0.25">
      <c r="A173" s="133"/>
      <c r="B173" s="204" t="str">
        <v>Concrete, 50 MPa, in-situ, no reinforcement, BH1450, Special Class (WA Premix) (WA), (Perth)</v>
      </c>
      <c r="C173" s="132" t="str">
        <v>m³</v>
      </c>
      <c r="D173" s="198">
        <v>523</v>
      </c>
      <c r="E173" s="198">
        <v>0.21791666666666668</v>
      </c>
      <c r="F173" s="198">
        <v>0</v>
      </c>
      <c r="G173" s="215">
        <v>0</v>
      </c>
      <c r="H173" s="131"/>
    </row>
    <row r="174" spans="1:8" x14ac:dyDescent="0.25">
      <c r="A174" s="133"/>
      <c r="B174" s="204" t="str">
        <v>Concrete, 50 MPa, in-situ, no reinforcement, AH6444, Special Class (WA Premix) (WA), (Perth)</v>
      </c>
      <c r="C174" s="132" t="str">
        <v>m³</v>
      </c>
      <c r="D174" s="198">
        <v>251</v>
      </c>
      <c r="E174" s="198">
        <v>0.10458333333333333</v>
      </c>
      <c r="F174" s="198">
        <v>0</v>
      </c>
      <c r="G174" s="215">
        <v>0</v>
      </c>
      <c r="H174" s="131"/>
    </row>
    <row r="175" spans="1:8" x14ac:dyDescent="0.25">
      <c r="A175" s="133"/>
      <c r="B175" s="204" t="str">
        <v>Concrete, 50 MPa, in-situ, no reinforcement, AH6476, Special Class (WA Premix) (WA), (Perth)</v>
      </c>
      <c r="C175" s="132" t="str">
        <v>m³</v>
      </c>
      <c r="D175" s="198">
        <v>275</v>
      </c>
      <c r="E175" s="198">
        <v>0.11458333333333333</v>
      </c>
      <c r="F175" s="198">
        <v>0</v>
      </c>
      <c r="G175" s="215">
        <v>0</v>
      </c>
      <c r="H175" s="131"/>
    </row>
    <row r="176" spans="1:8" x14ac:dyDescent="0.25">
      <c r="A176" s="133"/>
      <c r="B176" s="204" t="str">
        <v>Concrete, 50 MPa, in-situ, no reinforcement, AH6445, Special Class (WA Premix) (WA), (Perth)</v>
      </c>
      <c r="C176" s="132" t="str">
        <v>m³</v>
      </c>
      <c r="D176" s="198">
        <v>252</v>
      </c>
      <c r="E176" s="198">
        <v>0.105</v>
      </c>
      <c r="F176" s="198">
        <v>0</v>
      </c>
      <c r="G176" s="215">
        <v>0</v>
      </c>
      <c r="H176" s="131"/>
    </row>
    <row r="177" spans="1:8" x14ac:dyDescent="0.25">
      <c r="A177" s="133"/>
      <c r="B177" s="204" t="str">
        <v>Concrete, 50 MPa, in-situ, no reinforcement, AH6450, Special Class (WA Premix) (WA), (Perth)</v>
      </c>
      <c r="C177" s="132" t="str">
        <v>m³</v>
      </c>
      <c r="D177" s="198">
        <v>255</v>
      </c>
      <c r="E177" s="198">
        <v>0.10625</v>
      </c>
      <c r="F177" s="198">
        <v>0</v>
      </c>
      <c r="G177" s="215">
        <v>0</v>
      </c>
      <c r="H177" s="131"/>
    </row>
    <row r="178" spans="1:8" x14ac:dyDescent="0.25">
      <c r="A178" s="133"/>
      <c r="B178" s="204" t="str">
        <v>Concrete, 50 MPa, in-situ, no reinforcement, BP6450, Special Class (WA Premix) (WA), (Perth)</v>
      </c>
      <c r="C178" s="132" t="str">
        <v>m³</v>
      </c>
      <c r="D178" s="198">
        <v>259</v>
      </c>
      <c r="E178" s="198">
        <v>0.10791666666666666</v>
      </c>
      <c r="F178" s="198">
        <v>0</v>
      </c>
      <c r="G178" s="215">
        <v>0</v>
      </c>
      <c r="H178" s="131"/>
    </row>
    <row r="179" spans="1:8" x14ac:dyDescent="0.25">
      <c r="A179" s="133"/>
      <c r="B179" s="204" t="str">
        <v>Concrete, 50 MPa, in-situ, no reinforcement, BP8450, Special Class (WA Premix) (WA), (Perth)</v>
      </c>
      <c r="C179" s="132" t="str">
        <v>m³</v>
      </c>
      <c r="D179" s="198">
        <v>271</v>
      </c>
      <c r="E179" s="198">
        <v>0.11291666666666667</v>
      </c>
      <c r="F179" s="198">
        <v>0</v>
      </c>
      <c r="G179" s="215">
        <v>0</v>
      </c>
      <c r="H179" s="131"/>
    </row>
    <row r="180" spans="1:8" x14ac:dyDescent="0.25">
      <c r="A180" s="133"/>
      <c r="B180" s="204" t="str">
        <v>Concrete, 50 MPa, in-situ, no reinforcement, AH1446, Special Class (WA Premix) (WA), (Perth)</v>
      </c>
      <c r="C180" s="132" t="str">
        <v>m³</v>
      </c>
      <c r="D180" s="198">
        <v>517</v>
      </c>
      <c r="E180" s="198">
        <v>0.21541666666666667</v>
      </c>
      <c r="F180" s="198">
        <v>0</v>
      </c>
      <c r="G180" s="215">
        <v>0</v>
      </c>
      <c r="H180" s="131"/>
    </row>
    <row r="181" spans="1:8" x14ac:dyDescent="0.25">
      <c r="A181" s="133"/>
      <c r="B181" s="204" t="str">
        <v>Concrete, 50 MPa, in-situ, no reinforcement, AH1448, Special Class (WA Premix) (WA), (Perth)</v>
      </c>
      <c r="C181" s="132" t="str">
        <v>m³</v>
      </c>
      <c r="D181" s="198">
        <v>521</v>
      </c>
      <c r="E181" s="198">
        <v>0.21708333333333332</v>
      </c>
      <c r="F181" s="198">
        <v>0</v>
      </c>
      <c r="G181" s="215">
        <v>0</v>
      </c>
      <c r="H181" s="131"/>
    </row>
    <row r="182" spans="1:8" x14ac:dyDescent="0.25">
      <c r="A182" s="133"/>
      <c r="B182" s="204" t="str">
        <v>Concrete, 50 MPa, in-situ, no reinforcement, AH9450, Special Class (WA Premix) (WA), (Perth)</v>
      </c>
      <c r="C182" s="132" t="str">
        <v>m³</v>
      </c>
      <c r="D182" s="198">
        <v>514</v>
      </c>
      <c r="E182" s="198">
        <v>0.21416666666666667</v>
      </c>
      <c r="F182" s="198">
        <v>0</v>
      </c>
      <c r="G182" s="215">
        <v>0</v>
      </c>
      <c r="H182" s="131"/>
    </row>
    <row r="183" spans="1:8" x14ac:dyDescent="0.25">
      <c r="A183" s="133"/>
      <c r="B183" s="204" t="str">
        <v>Concrete, 50 MPa, in-situ, no reinforcement, BH1446, Special Class (WA Premix) (WA), (Perth)</v>
      </c>
      <c r="C183" s="132" t="str">
        <v>m³</v>
      </c>
      <c r="D183" s="198">
        <v>518</v>
      </c>
      <c r="E183" s="198">
        <v>0.21583333333333332</v>
      </c>
      <c r="F183" s="198">
        <v>0</v>
      </c>
      <c r="G183" s="215">
        <v>0</v>
      </c>
      <c r="H183" s="131"/>
    </row>
    <row r="184" spans="1:8" x14ac:dyDescent="0.25">
      <c r="A184" s="133"/>
      <c r="B184" s="204" t="str">
        <v>Concrete, 50 MPa, in-situ, no reinforcement, BH1447, Special Class (WA Premix) (WA), (Perth)</v>
      </c>
      <c r="C184" s="132" t="str">
        <v>m³</v>
      </c>
      <c r="D184" s="198">
        <v>519</v>
      </c>
      <c r="E184" s="198">
        <v>0.21625</v>
      </c>
      <c r="F184" s="198">
        <v>0</v>
      </c>
      <c r="G184" s="215">
        <v>0</v>
      </c>
      <c r="H184" s="131"/>
    </row>
    <row r="185" spans="1:8" x14ac:dyDescent="0.25">
      <c r="A185" s="133"/>
      <c r="B185" s="204" t="str">
        <v>Concrete, 50 MPa, in-situ, no reinforcement, BH3500, Special Class (WA Premix) (WA), (Perth)</v>
      </c>
      <c r="C185" s="132" t="str">
        <v>m³</v>
      </c>
      <c r="D185" s="198">
        <v>421</v>
      </c>
      <c r="E185" s="198">
        <v>0.17541666666666667</v>
      </c>
      <c r="F185" s="198">
        <v>0</v>
      </c>
      <c r="G185" s="215">
        <v>0</v>
      </c>
      <c r="H185" s="131"/>
    </row>
    <row r="186" spans="1:8" x14ac:dyDescent="0.25">
      <c r="A186" s="133"/>
      <c r="B186" s="204" t="str">
        <v>Concrete, 50 MPa, in-situ, no reinforcement, CK9419, Special Class (WA Premix) (WA), (Perth)</v>
      </c>
      <c r="C186" s="132" t="str">
        <v>m³</v>
      </c>
      <c r="D186" s="198">
        <v>478</v>
      </c>
      <c r="E186" s="198">
        <v>0.19916666666666666</v>
      </c>
      <c r="F186" s="198">
        <v>0</v>
      </c>
      <c r="G186" s="215">
        <v>0</v>
      </c>
      <c r="H186" s="131"/>
    </row>
    <row r="187" spans="1:8" x14ac:dyDescent="0.25">
      <c r="A187" s="133"/>
      <c r="B187" s="204" t="str">
        <v>Concrete, 50 MPa, in-situ, no reinforcement, Ready-Mix Concrete (LC)50 (Concrite) (NSW) (Sydney Region, NSW)</v>
      </c>
      <c r="C187" s="132" t="str">
        <v>m³</v>
      </c>
      <c r="D187" s="198">
        <v>272</v>
      </c>
      <c r="E187" s="198">
        <v>0.11333333333333333</v>
      </c>
      <c r="F187" s="198">
        <v>0</v>
      </c>
      <c r="G187" s="215">
        <v>0</v>
      </c>
      <c r="H187" s="131"/>
    </row>
    <row r="188" spans="1:8" x14ac:dyDescent="0.25">
      <c r="A188" s="133"/>
      <c r="B188" s="204" t="str">
        <v>Concrete, 50 MPa, in-situ, no reinforcement, Ready-Mix Concrete (LC)40 (Concrite) (NSW) (Sydney Region, NSW)</v>
      </c>
      <c r="C188" s="132" t="str">
        <v>m³</v>
      </c>
      <c r="D188" s="198">
        <v>314</v>
      </c>
      <c r="E188" s="198">
        <v>0.13083333333333333</v>
      </c>
      <c r="F188" s="198">
        <v>0</v>
      </c>
      <c r="G188" s="215">
        <v>0</v>
      </c>
      <c r="H188" s="131"/>
    </row>
    <row r="189" spans="1:8" x14ac:dyDescent="0.25">
      <c r="A189" s="133"/>
      <c r="B189" s="204" t="str">
        <v>Concrete, 50 MPa, in-situ, no reinforcement, Ready-Mix Concrete (LC)30 (Concrite) (NSW) (Sydney Region, NSW)</v>
      </c>
      <c r="C189" s="132" t="str">
        <v>m³</v>
      </c>
      <c r="D189" s="198">
        <v>395</v>
      </c>
      <c r="E189" s="198">
        <v>0.16458333333333333</v>
      </c>
      <c r="F189" s="198">
        <v>0</v>
      </c>
      <c r="G189" s="215">
        <v>0</v>
      </c>
      <c r="H189" s="131"/>
    </row>
    <row r="190" spans="1:8" x14ac:dyDescent="0.25">
      <c r="A190" s="133"/>
      <c r="B190" s="204" t="str">
        <v>Concrete, 50 MPa, in-situ, no reinforcement, Ready-Mix Concrete (LCHP) (Concrite) (NSW) (Sydney Region, NSW)</v>
      </c>
      <c r="C190" s="132" t="str">
        <v>m³</v>
      </c>
      <c r="D190" s="198">
        <v>326</v>
      </c>
      <c r="E190" s="198">
        <v>0.13583333333333333</v>
      </c>
      <c r="F190" s="198">
        <v>0</v>
      </c>
      <c r="G190" s="215">
        <v>0</v>
      </c>
      <c r="H190" s="131"/>
    </row>
    <row r="191" spans="1:8" x14ac:dyDescent="0.25">
      <c r="A191" s="133"/>
      <c r="B191" s="204" t="str">
        <v>Concrete, 50 MPa, in-situ, no reinforcement, Ready-Mix Concrete (LCP) (Concrite) (NSW) (Sydney Region, NSW)</v>
      </c>
      <c r="C191" s="132" t="str">
        <v>m³</v>
      </c>
      <c r="D191" s="198">
        <v>348</v>
      </c>
      <c r="E191" s="198">
        <v>0.14499999999999999</v>
      </c>
      <c r="F191" s="198">
        <v>0</v>
      </c>
      <c r="G191" s="215">
        <v>0</v>
      </c>
      <c r="H191" s="131"/>
    </row>
    <row r="192" spans="1:8" x14ac:dyDescent="0.25">
      <c r="A192" s="133"/>
      <c r="B192" s="204" t="str">
        <v>Concrete, 50 MPa, in-situ, no reinforcement, Ready-Mix Concrete Normal class GP blend (Concrite) (NSW) (Sydney Region, NSW)</v>
      </c>
      <c r="C192" s="132" t="str">
        <v>m³</v>
      </c>
      <c r="D192" s="198">
        <v>435</v>
      </c>
      <c r="E192" s="198">
        <v>0.18124999999999999</v>
      </c>
      <c r="F192" s="198">
        <v>0</v>
      </c>
      <c r="G192" s="215">
        <v>0</v>
      </c>
      <c r="H192" s="131"/>
    </row>
    <row r="193" spans="1:8" x14ac:dyDescent="0.25">
      <c r="A193" s="133"/>
      <c r="B193" s="204" t="str">
        <v>Concrete, 50 MPa, in-situ, no reinforcement, Ready-Mix Concrete HIGH SLUMP (Concrite) (NSW) (Sydney Region, NSW)</v>
      </c>
      <c r="C193" s="132" t="str">
        <v>m³</v>
      </c>
      <c r="D193" s="198">
        <v>377</v>
      </c>
      <c r="E193" s="198">
        <v>0.15708333333333332</v>
      </c>
      <c r="F193" s="198">
        <v>0</v>
      </c>
      <c r="G193" s="215">
        <v>0</v>
      </c>
      <c r="H193" s="131"/>
    </row>
    <row r="194" spans="1:8" x14ac:dyDescent="0.25">
      <c r="A194" s="133"/>
      <c r="B194" s="204" t="str">
        <v>Concrete, 50 MPa, in-situ, no reinforcement, Ready-Mix Concrete TREMIE 50MPa (Concrite) (NSW) (Sydney Region, NSW)</v>
      </c>
      <c r="C194" s="132" t="str">
        <v>m³</v>
      </c>
      <c r="D194" s="198">
        <v>378</v>
      </c>
      <c r="E194" s="198">
        <v>0.1575</v>
      </c>
      <c r="F194" s="198">
        <v>0</v>
      </c>
      <c r="G194" s="215">
        <v>0</v>
      </c>
      <c r="H194" s="131"/>
    </row>
    <row r="195" spans="1:8" x14ac:dyDescent="0.25">
      <c r="A195" s="133"/>
      <c r="B195" s="204" t="str">
        <v>Concrete, 50 MPa, in-situ, no reinforcement, Ready-Mix Concrete TfNSW B80 10MM PUMP B2 EXPOSURE (Concrite) (NSW) (Sydney Region, NSW)</v>
      </c>
      <c r="C195" s="132" t="str">
        <v>m³</v>
      </c>
      <c r="D195" s="198">
        <v>250</v>
      </c>
      <c r="E195" s="198">
        <v>0.10416666666666667</v>
      </c>
      <c r="F195" s="198">
        <v>0</v>
      </c>
      <c r="G195" s="215">
        <v>0</v>
      </c>
      <c r="H195" s="131"/>
    </row>
    <row r="196" spans="1:8" x14ac:dyDescent="0.25">
      <c r="A196" s="133"/>
      <c r="B196" s="204" t="str">
        <v>Concrete, 50 MPa, in-situ, no reinforcement, Ready-Mix Concrete TfNSW B80 20MM PUMP B1 EXPOSURE (Concrite) (NSW) (Sydney Region, NSW)</v>
      </c>
      <c r="C196" s="132" t="str">
        <v>m³</v>
      </c>
      <c r="D196" s="198">
        <v>405</v>
      </c>
      <c r="E196" s="198">
        <v>0.16875000000000001</v>
      </c>
      <c r="F196" s="198">
        <v>0</v>
      </c>
      <c r="G196" s="215">
        <v>0</v>
      </c>
      <c r="H196" s="131"/>
    </row>
    <row r="197" spans="1:8" x14ac:dyDescent="0.25">
      <c r="A197" s="133"/>
      <c r="B197" s="204" t="str">
        <v>Concrete, 50 MPa, in-situ, no reinforcement, Ready-Mix Concrete TfNSW B80 20MM PUMP B2 EXPOSURE (Concrite) (NSW) (Sydney Region, NSW)</v>
      </c>
      <c r="C197" s="132" t="str">
        <v>m³</v>
      </c>
      <c r="D197" s="198">
        <v>251</v>
      </c>
      <c r="E197" s="198">
        <v>0.10458333333333333</v>
      </c>
      <c r="F197" s="198">
        <v>0</v>
      </c>
      <c r="G197" s="215">
        <v>0</v>
      </c>
      <c r="H197" s="131"/>
    </row>
    <row r="198" spans="1:8" x14ac:dyDescent="0.25">
      <c r="A198" s="133"/>
      <c r="B198" s="204" t="str">
        <v>Concrete, 50 MPa, in-situ, no reinforcement, Ready-Mix Concrete SLAG AGG CONCRETE MIX, (LC)50 (Concrite) (NSW) (Sydney Region, NSW)</v>
      </c>
      <c r="C198" s="132" t="str">
        <v>m³</v>
      </c>
      <c r="D198" s="198">
        <v>287</v>
      </c>
      <c r="E198" s="198">
        <v>0.11958333333333333</v>
      </c>
      <c r="F198" s="198">
        <v>0</v>
      </c>
      <c r="G198" s="215">
        <v>0</v>
      </c>
      <c r="H198" s="131"/>
    </row>
    <row r="199" spans="1:8" x14ac:dyDescent="0.25">
      <c r="A199" s="133"/>
      <c r="B199" s="204" t="str">
        <v>Concrete, 50 MPa, in-situ, no reinforcement, Ready-Mix Concrete SLAG AGG CONCRETE MIX, (LC)40 (Concrite) (NSW) (Sydney Region, NSW)</v>
      </c>
      <c r="C199" s="132" t="str">
        <v>m³</v>
      </c>
      <c r="D199" s="198">
        <v>323</v>
      </c>
      <c r="E199" s="198">
        <v>0.13458333333333333</v>
      </c>
      <c r="F199" s="198">
        <v>0</v>
      </c>
      <c r="G199" s="215">
        <v>0</v>
      </c>
      <c r="H199" s="131"/>
    </row>
    <row r="200" spans="1:8" x14ac:dyDescent="0.25">
      <c r="A200" s="133"/>
      <c r="B200" s="204" t="str">
        <v>Concrete, 50 MPa, in-situ, no reinforcement, Ready-Mix Concrete SLAG AGG CONCRETE MIX, (LC)30 (Concrite) (NSW) (Sydney Region, NSW)</v>
      </c>
      <c r="C200" s="132" t="str">
        <v>m³</v>
      </c>
      <c r="D200" s="198">
        <v>391</v>
      </c>
      <c r="E200" s="198">
        <v>0.16291666666666665</v>
      </c>
      <c r="F200" s="198">
        <v>0</v>
      </c>
      <c r="G200" s="215">
        <v>0</v>
      </c>
      <c r="H200" s="131"/>
    </row>
    <row r="201" spans="1:8" x14ac:dyDescent="0.25">
      <c r="A201" s="133"/>
      <c r="B201" s="204" t="str">
        <v>Concrete, 50 MPa, in-situ, no reinforcement, Ready-Mix Concrete (LC)30 50MPa (Concrite) (NSW) (Southern Highlands, NSW)</v>
      </c>
      <c r="C201" s="132" t="str">
        <v>m³</v>
      </c>
      <c r="D201" s="198">
        <v>393</v>
      </c>
      <c r="E201" s="198">
        <v>0.16375000000000001</v>
      </c>
      <c r="F201" s="198">
        <v>0</v>
      </c>
      <c r="G201" s="215">
        <v>0</v>
      </c>
      <c r="H201" s="131"/>
    </row>
    <row r="202" spans="1:8" x14ac:dyDescent="0.25">
      <c r="A202" s="133"/>
      <c r="B202" s="204" t="str">
        <v>Concrete, 50 MPa, in-situ, no reinforcement, Ready-Mix Concrete NORMAL CLASS GP BLEND (Concrite) (NSW) (Southern Highlands, NSW)</v>
      </c>
      <c r="C202" s="132" t="str">
        <v>m³</v>
      </c>
      <c r="D202" s="198">
        <v>446</v>
      </c>
      <c r="E202" s="198">
        <v>0.18583333333333332</v>
      </c>
      <c r="F202" s="198">
        <v>0</v>
      </c>
      <c r="G202" s="215">
        <v>0</v>
      </c>
      <c r="H202" s="131"/>
    </row>
    <row r="203" spans="1:8" x14ac:dyDescent="0.25">
      <c r="A203" s="133"/>
      <c r="B203" s="204" t="str">
        <v>Concrete, 50 MPa, in-situ, no reinforcement, Ready-Mix Concrete HIGH SLUMP (Concrite) (NSW) (Southern Highlands, NSW)</v>
      </c>
      <c r="C203" s="132" t="str">
        <v>m³</v>
      </c>
      <c r="D203" s="198">
        <v>398</v>
      </c>
      <c r="E203" s="198">
        <v>0.16583333333333333</v>
      </c>
      <c r="F203" s="198">
        <v>0</v>
      </c>
      <c r="G203" s="215">
        <v>0</v>
      </c>
      <c r="H203" s="131"/>
    </row>
    <row r="204" spans="1:8" x14ac:dyDescent="0.25">
      <c r="A204" s="133"/>
      <c r="B204" s="204" t="str">
        <v>Concrete, 50 MPa, in-situ, no reinforcement, Ready-Mix Concrete LC30 50MPa (Concrite) (ACT) (Canberra, ACT)</v>
      </c>
      <c r="C204" s="132" t="str">
        <v>m³</v>
      </c>
      <c r="D204" s="198">
        <v>408</v>
      </c>
      <c r="E204" s="198">
        <v>0.17</v>
      </c>
      <c r="F204" s="198">
        <v>0</v>
      </c>
      <c r="G204" s="215">
        <v>0</v>
      </c>
      <c r="H204" s="131"/>
    </row>
    <row r="205" spans="1:8" x14ac:dyDescent="0.25">
      <c r="A205" s="133"/>
      <c r="B205" s="204" t="str">
        <v>Concrete, 50 MPa, in-situ, no reinforcement, (Futurecrete® Ultra S50MPA DINCEL 10MM) (Adbri) (NSW)</v>
      </c>
      <c r="C205" s="132" t="str">
        <v>m³</v>
      </c>
      <c r="D205" s="198">
        <v>319.1198</v>
      </c>
      <c r="E205" s="198">
        <v>0.1329665833333333</v>
      </c>
      <c r="F205" s="198">
        <v>0</v>
      </c>
      <c r="G205" s="215">
        <v>0</v>
      </c>
      <c r="H205" s="131"/>
    </row>
    <row r="206" spans="1:8" x14ac:dyDescent="0.25">
      <c r="A206" s="133"/>
      <c r="B206" s="204" t="str">
        <v>Concrete, 50 MPa, in-situ, no reinforcement, (Futurecrete®  Ultra S50MPA PILE/ TREMIE 10MM SP) (Adbri) (NSW)</v>
      </c>
      <c r="C206" s="132" t="str">
        <v>m³</v>
      </c>
      <c r="D206" s="198">
        <v>319.1198</v>
      </c>
      <c r="E206" s="198">
        <v>0.1329665833333333</v>
      </c>
      <c r="F206" s="198">
        <v>0</v>
      </c>
      <c r="G206" s="215">
        <v>0</v>
      </c>
      <c r="H206" s="131"/>
    </row>
    <row r="207" spans="1:8" x14ac:dyDescent="0.25">
      <c r="A207" s="133"/>
      <c r="B207" s="204" t="str">
        <v>Concrete, 50 MPa, in-situ, no reinforcement, (Futurecrete® Ultra S50MPA 10MM RITEK) (Adbri) (NSW)</v>
      </c>
      <c r="C207" s="132" t="str">
        <v>m³</v>
      </c>
      <c r="D207" s="198">
        <v>316.01980000000003</v>
      </c>
      <c r="E207" s="198">
        <v>0.13167491666666667</v>
      </c>
      <c r="F207" s="198">
        <v>0</v>
      </c>
      <c r="G207" s="215">
        <v>0</v>
      </c>
      <c r="H207" s="131"/>
    </row>
    <row r="208" spans="1:8" x14ac:dyDescent="0.25">
      <c r="A208" s="133"/>
      <c r="B208" s="204" t="str">
        <v>Concrete, 50 MPa, in-situ, no reinforcement, (Futurecrete® Ultra S50MPA 10MM AFS WALL SYSTEM) (Adbri) (NSW)</v>
      </c>
      <c r="C208" s="132" t="str">
        <v>m³</v>
      </c>
      <c r="D208" s="198">
        <v>313.63940000000002</v>
      </c>
      <c r="E208" s="198">
        <v>0.13068308333333334</v>
      </c>
      <c r="F208" s="198">
        <v>0</v>
      </c>
      <c r="G208" s="215">
        <v>0</v>
      </c>
      <c r="H208" s="131"/>
    </row>
    <row r="209" spans="1:8" x14ac:dyDescent="0.25">
      <c r="A209" s="133"/>
      <c r="B209" s="204" t="str">
        <v>Concrete, 50 MPa, in-situ, no reinforcement, (Adbri Concrete
N Class GP/GL:FA
50 MPa) (Adbri) (NSW)</v>
      </c>
      <c r="C209" s="132" t="str">
        <v>m³</v>
      </c>
      <c r="D209" s="198">
        <v>450.92759999999998</v>
      </c>
      <c r="E209" s="198">
        <v>0.18788649999999998</v>
      </c>
      <c r="F209" s="198">
        <v>0</v>
      </c>
      <c r="G209" s="215">
        <v>0</v>
      </c>
      <c r="H209" s="131"/>
    </row>
    <row r="210" spans="1:8" x14ac:dyDescent="0.25">
      <c r="A210" s="133"/>
      <c r="B210" s="204" t="str">
        <v>Concrete, 50 MPa, in-situ, no reinforcement, (TR5014E1)(LH) (BCG) (WA), (Perth)</v>
      </c>
      <c r="C210" s="132" t="str">
        <v>m³</v>
      </c>
      <c r="D210" s="198">
        <v>289.95999999999998</v>
      </c>
      <c r="E210" s="198">
        <v>0.12081666666666667</v>
      </c>
      <c r="F210" s="198">
        <v>0</v>
      </c>
      <c r="G210" s="215">
        <v>0</v>
      </c>
      <c r="H210" s="131"/>
    </row>
    <row r="211" spans="1:8" x14ac:dyDescent="0.25">
      <c r="A211" s="133"/>
      <c r="B211" s="204" t="str">
        <v>Concrete, 50 MPa, in-situ, no reinforcement, (R5020A)(GP) (BCG) (WA), (Perth)</v>
      </c>
      <c r="C211" s="132" t="str">
        <v>m³</v>
      </c>
      <c r="D211" s="198">
        <v>515.87</v>
      </c>
      <c r="E211" s="198">
        <v>0.21494583333333334</v>
      </c>
      <c r="F211" s="198">
        <v>0</v>
      </c>
      <c r="G211" s="215">
        <v>0</v>
      </c>
      <c r="H211" s="131"/>
    </row>
    <row r="212" spans="1:8" x14ac:dyDescent="0.25">
      <c r="A212" s="133"/>
      <c r="B212" s="204" t="str">
        <v>Concrete, 50 MPa, in-situ, no reinforcement, (Adbri Concrete N Class GP:GL 50 MPa
- Winnellie) (Adbri) (NT)</v>
      </c>
      <c r="C212" s="132" t="str">
        <v>m³</v>
      </c>
      <c r="D212" s="198">
        <v>557.34100000000001</v>
      </c>
      <c r="E212" s="198">
        <v>0.23222541666666666</v>
      </c>
      <c r="F212" s="198">
        <v>0</v>
      </c>
      <c r="G212" s="215">
        <v>0</v>
      </c>
      <c r="H212" s="131"/>
    </row>
    <row r="213" spans="1:8" x14ac:dyDescent="0.25">
      <c r="A213" s="133"/>
      <c r="B213" s="204" t="str">
        <v>Concrete, 50 MPa, in-situ, no reinforcement, (WE504EQ01)(Ecopact) (Holcim) (WA), (Perth Metro)</v>
      </c>
      <c r="C213" s="132" t="str">
        <v>m³</v>
      </c>
      <c r="D213" s="198">
        <v>381.54</v>
      </c>
      <c r="E213" s="198">
        <v>0.15897500000000001</v>
      </c>
      <c r="F213" s="198">
        <v>0</v>
      </c>
      <c r="G213" s="215">
        <v>0</v>
      </c>
      <c r="H213" s="131"/>
    </row>
    <row r="214" spans="1:8" x14ac:dyDescent="0.25">
      <c r="A214" s="133"/>
      <c r="B214" s="204" t="str">
        <v>Concrete, 50 MPa, in-situ, no reinforcement, (SE501EHES) (Ecopact) (Holcim) (SA) (Adelaide)</v>
      </c>
      <c r="C214" s="132" t="str">
        <v>m³</v>
      </c>
      <c r="D214" s="198">
        <v>396.42</v>
      </c>
      <c r="E214" s="198">
        <v>0.16517500000000002</v>
      </c>
      <c r="F214" s="198">
        <v>0</v>
      </c>
      <c r="G214" s="215">
        <v>0</v>
      </c>
      <c r="H214" s="131"/>
    </row>
    <row r="215" spans="1:8" x14ac:dyDescent="0.25">
      <c r="A215" s="133"/>
      <c r="B215" s="204" t="str">
        <v>Concrete, 50 MPa, in-situ, no reinforcement, (SE501EPSW) (Ecopact) (Holcim) (SA) (Adelaide)</v>
      </c>
      <c r="C215" s="132" t="str">
        <v>m³</v>
      </c>
      <c r="D215" s="198">
        <v>387.42</v>
      </c>
      <c r="E215" s="198">
        <v>0.16142500000000001</v>
      </c>
      <c r="F215" s="198">
        <v>0</v>
      </c>
      <c r="G215" s="215">
        <v>0</v>
      </c>
      <c r="H215" s="131"/>
    </row>
    <row r="216" spans="1:8" x14ac:dyDescent="0.25">
      <c r="A216" s="133"/>
      <c r="B216" s="204" t="str">
        <v>Concrete, 50 MPa, in-situ, no reinforcement, (Futurecrete®
N class GP/GL:FA
50 MPa) (Adbri) (QLD)</v>
      </c>
      <c r="C216" s="132" t="str">
        <v>m³</v>
      </c>
      <c r="D216" s="198">
        <v>403.36700000000002</v>
      </c>
      <c r="E216" s="198">
        <v>0.16806958333333333</v>
      </c>
      <c r="F216" s="198">
        <v>0</v>
      </c>
      <c r="G216" s="215">
        <v>0</v>
      </c>
      <c r="H216" s="131"/>
    </row>
    <row r="217" spans="1:8" x14ac:dyDescent="0.25">
      <c r="A217" s="133"/>
      <c r="B217" s="204" t="str">
        <v>Concrete, 50 MPa, in-situ, no reinforcement, (CS5020BGS)(B) (BCG) (WA), (Perth)</v>
      </c>
      <c r="C217" s="132" t="str">
        <v>m³</v>
      </c>
      <c r="D217" s="198">
        <v>352.34</v>
      </c>
      <c r="E217" s="198">
        <v>0.14680833333333332</v>
      </c>
      <c r="F217" s="198">
        <v>0</v>
      </c>
      <c r="G217" s="215">
        <v>0</v>
      </c>
      <c r="H217" s="131"/>
    </row>
    <row r="218" spans="1:8" x14ac:dyDescent="0.25">
      <c r="A218" s="133"/>
      <c r="B218" s="204" t="str">
        <v>Concrete, 50 MPa, in-situ, no reinforcement, (VE502E56) (Ecopact) (Holcim) (VIC)</v>
      </c>
      <c r="C218" s="132" t="str">
        <v>m³</v>
      </c>
      <c r="D218" s="198">
        <v>340.33</v>
      </c>
      <c r="E218" s="198">
        <v>0.14180416666666668</v>
      </c>
      <c r="F218" s="198">
        <v>0</v>
      </c>
      <c r="G218" s="215">
        <v>0</v>
      </c>
      <c r="H218" s="131"/>
    </row>
    <row r="219" spans="1:8" x14ac:dyDescent="0.25">
      <c r="A219" s="133"/>
      <c r="B219" s="204" t="str">
        <v>Concrete, 50 MPa, in-situ, no reinforcement, (SE501EWC) (Ecopact) (Holcim) (SA) (Adelaide)</v>
      </c>
      <c r="C219" s="132" t="str">
        <v>m³</v>
      </c>
      <c r="D219" s="198">
        <v>299.38</v>
      </c>
      <c r="E219" s="198">
        <v>0.12474166666666667</v>
      </c>
      <c r="F219" s="198">
        <v>0</v>
      </c>
      <c r="G219" s="215">
        <v>0</v>
      </c>
      <c r="H219" s="131"/>
    </row>
    <row r="220" spans="1:8" x14ac:dyDescent="0.25">
      <c r="A220" s="133"/>
      <c r="B220" s="204" t="str">
        <v>Concrete, 50 MPa, in-situ, no reinforcement, (SE501E2) (Ecopact) (Holcim) (SA) (Adelaide)</v>
      </c>
      <c r="C220" s="132" t="str">
        <v>m³</v>
      </c>
      <c r="D220" s="198">
        <v>313.33999999999997</v>
      </c>
      <c r="E220" s="198">
        <v>0.13055833333333333</v>
      </c>
      <c r="F220" s="198">
        <v>0</v>
      </c>
      <c r="G220" s="215">
        <v>0</v>
      </c>
      <c r="H220" s="131"/>
    </row>
    <row r="221" spans="1:8" x14ac:dyDescent="0.25">
      <c r="A221" s="133"/>
      <c r="B221" s="204" t="str">
        <v>Concrete, 50 MPa, in-situ, no reinforcement, (SE502E5) (Ecopact) (Holcim) (SA) (Adelaide)</v>
      </c>
      <c r="C221" s="132" t="str">
        <v>m³</v>
      </c>
      <c r="D221" s="198">
        <v>308.33</v>
      </c>
      <c r="E221" s="198">
        <v>0.12847083333333334</v>
      </c>
      <c r="F221" s="198">
        <v>0</v>
      </c>
      <c r="G221" s="215">
        <v>0</v>
      </c>
      <c r="H221" s="131"/>
    </row>
    <row r="222" spans="1:8" x14ac:dyDescent="0.25">
      <c r="A222" s="133"/>
      <c r="B222" s="204" t="str">
        <v>Concrete, 50 MPa, in-situ, no reinforcement, (SE502E) (Ecopact) (Holcim) (SA) (Adelaide)</v>
      </c>
      <c r="C222" s="132" t="str">
        <v>m³</v>
      </c>
      <c r="D222" s="198">
        <v>303.33</v>
      </c>
      <c r="E222" s="198">
        <v>0.12638750000000001</v>
      </c>
      <c r="F222" s="198">
        <v>0</v>
      </c>
      <c r="G222" s="215">
        <v>0</v>
      </c>
      <c r="H222" s="131"/>
    </row>
    <row r="223" spans="1:8" x14ac:dyDescent="0.25">
      <c r="A223" s="133"/>
      <c r="B223" s="204" t="str">
        <v>Concrete, 50 MPa, in-situ, no reinforcement, (QE501EL21) (Ecopact) (Holcim) (QLD) (Brisbane)</v>
      </c>
      <c r="C223" s="132" t="str">
        <v>m³</v>
      </c>
      <c r="D223" s="198">
        <v>310.24</v>
      </c>
      <c r="E223" s="198">
        <v>0.12926666666666667</v>
      </c>
      <c r="F223" s="198">
        <v>0</v>
      </c>
      <c r="G223" s="215">
        <v>0</v>
      </c>
      <c r="H223" s="131"/>
    </row>
    <row r="224" spans="1:8" x14ac:dyDescent="0.25">
      <c r="A224" s="133"/>
      <c r="B224" s="204" t="str">
        <v>Concrete, 50 MPa, in-situ, no reinforcement, (WE504E2)(Ecopact) (Holcim) (WA), (Perth Metro)</v>
      </c>
      <c r="C224" s="132" t="str">
        <v>m³</v>
      </c>
      <c r="D224" s="198">
        <v>320.20999999999998</v>
      </c>
      <c r="E224" s="198">
        <v>0.13342083333333332</v>
      </c>
      <c r="F224" s="198">
        <v>0</v>
      </c>
      <c r="G224" s="215">
        <v>0</v>
      </c>
      <c r="H224" s="131"/>
    </row>
    <row r="225" spans="1:8" x14ac:dyDescent="0.25">
      <c r="A225" s="133"/>
      <c r="B225" s="204" t="str">
        <v>Concrete, 50 MPa, in-situ, no reinforcement, (WE504E4)(Ecopact) (Holcim) (WA), (Perth Metro)</v>
      </c>
      <c r="C225" s="132" t="str">
        <v>m³</v>
      </c>
      <c r="D225" s="198">
        <v>320.20999999999998</v>
      </c>
      <c r="E225" s="198">
        <v>0.13342083333333332</v>
      </c>
      <c r="F225" s="198">
        <v>0</v>
      </c>
      <c r="G225" s="215">
        <v>0</v>
      </c>
      <c r="H225" s="131"/>
    </row>
    <row r="226" spans="1:8" x14ac:dyDescent="0.25">
      <c r="A226" s="133"/>
      <c r="B226" s="204" t="str">
        <v>Concrete, 50 MPa, in-situ, no reinforcement, (Futurecrete®  N Class
GP/GL:Slag 50 MPa) (Adbri) (VIC)</v>
      </c>
      <c r="C226" s="132" t="str">
        <v>m³</v>
      </c>
      <c r="D226" s="198">
        <v>294.20999999999998</v>
      </c>
      <c r="E226" s="198">
        <v>0.1225875</v>
      </c>
      <c r="F226" s="198">
        <v>0</v>
      </c>
      <c r="G226" s="215">
        <v>0</v>
      </c>
      <c r="H226" s="131"/>
    </row>
    <row r="227" spans="1:8" x14ac:dyDescent="0.25">
      <c r="A227" s="133"/>
      <c r="B227" s="204" t="str">
        <v>Concrete, 50 MPa, in-situ, no reinforcement, (QE502E) (Ecopact) (Holcim) (QLD), Gold Coast</v>
      </c>
      <c r="C227" s="132" t="str">
        <v>m³</v>
      </c>
      <c r="D227" s="198">
        <v>289.22000000000003</v>
      </c>
      <c r="E227" s="198">
        <v>0.12050833333333334</v>
      </c>
      <c r="F227" s="198">
        <v>0</v>
      </c>
      <c r="G227" s="215">
        <v>0</v>
      </c>
      <c r="H227" s="131"/>
    </row>
    <row r="228" spans="1:8" x14ac:dyDescent="0.25">
      <c r="A228" s="133"/>
      <c r="B228" s="204" t="str">
        <v>Concrete, 50 MPa, in-situ, no reinforcement, (QE502EEZY) (Ecopact) (Holcim) (QLD), Gold Coast</v>
      </c>
      <c r="C228" s="132" t="str">
        <v>m³</v>
      </c>
      <c r="D228" s="198">
        <v>289.22000000000003</v>
      </c>
      <c r="E228" s="198">
        <v>0.12050833333333334</v>
      </c>
      <c r="F228" s="198">
        <v>0</v>
      </c>
      <c r="G228" s="215">
        <v>0</v>
      </c>
      <c r="H228" s="131"/>
    </row>
    <row r="229" spans="1:8" x14ac:dyDescent="0.25">
      <c r="A229" s="133"/>
      <c r="B229" s="204" t="str">
        <v>Concrete, 50 MPa, in-situ, no reinforcement, (QE501E) (Ecopact) (Holcim) (QLD), Gold Coast</v>
      </c>
      <c r="C229" s="132" t="str">
        <v>m³</v>
      </c>
      <c r="D229" s="198">
        <v>288.22000000000003</v>
      </c>
      <c r="E229" s="198">
        <v>0.12009166666666667</v>
      </c>
      <c r="F229" s="198">
        <v>0</v>
      </c>
      <c r="G229" s="215">
        <v>0</v>
      </c>
      <c r="H229" s="131"/>
    </row>
    <row r="230" spans="1:8" x14ac:dyDescent="0.25">
      <c r="A230" s="133"/>
      <c r="B230" s="204" t="str">
        <v>Concrete, 50 MPa, in-situ, no reinforcement, (QE502E) (Ecopact) (Holcim) (QLD) (Brisbane)</v>
      </c>
      <c r="C230" s="132" t="str">
        <v>m³</v>
      </c>
      <c r="D230" s="198">
        <v>286.22000000000003</v>
      </c>
      <c r="E230" s="198">
        <v>0.11925833333333334</v>
      </c>
      <c r="F230" s="198">
        <v>0</v>
      </c>
      <c r="G230" s="215">
        <v>0</v>
      </c>
      <c r="H230" s="131"/>
    </row>
    <row r="231" spans="1:8" x14ac:dyDescent="0.25">
      <c r="A231" s="133"/>
      <c r="B231" s="204" t="str">
        <v>Concrete (in-situ), 50MPa, Pre-mix Concrete E50SP (Barro Group) (Australia)</v>
      </c>
      <c r="C231" s="132" t="str">
        <v>m³</v>
      </c>
      <c r="D231" s="198">
        <v>269.63400000000001</v>
      </c>
      <c r="E231" s="198">
        <v>0.11310151006711408</v>
      </c>
      <c r="F231" s="198">
        <v>0</v>
      </c>
      <c r="G231" s="215">
        <v>0</v>
      </c>
      <c r="H231" s="131"/>
    </row>
    <row r="232" spans="1:8" x14ac:dyDescent="0.25">
      <c r="A232" s="133"/>
      <c r="B232" s="204" t="str">
        <v>Concrete (in-situ), 40MPa, Pre-mix Concrete EPG40F (Barro Group) (Australia)</v>
      </c>
      <c r="C232" s="132" t="str">
        <v>m³</v>
      </c>
      <c r="D232" s="198">
        <v>205.55800000000002</v>
      </c>
      <c r="E232" s="198">
        <v>8.6223993288590609E-2</v>
      </c>
      <c r="F232" s="198">
        <v>0</v>
      </c>
      <c r="G232" s="215">
        <v>0</v>
      </c>
      <c r="H232" s="131"/>
    </row>
    <row r="233" spans="1:8" x14ac:dyDescent="0.25">
      <c r="A233" s="133"/>
      <c r="B233" s="204" t="str">
        <v>Concrete (in-situ), 40MPa, Pre-mix Concrete EN40 (Barro Group) (Australia)</v>
      </c>
      <c r="C233" s="132" t="str">
        <v>m³</v>
      </c>
      <c r="D233" s="198">
        <v>222.535</v>
      </c>
      <c r="E233" s="198">
        <v>9.3345218120805373E-2</v>
      </c>
      <c r="F233" s="198">
        <v>0</v>
      </c>
      <c r="G233" s="215">
        <v>0</v>
      </c>
      <c r="H233" s="131"/>
    </row>
    <row r="234" spans="1:8" x14ac:dyDescent="0.25">
      <c r="A234" s="133"/>
      <c r="B234" s="204" t="str">
        <v>Concrete (in-situ), 40MPa, Pre-mix Concrete EVR400 (Barro Group) (Australia)</v>
      </c>
      <c r="C234" s="132" t="str">
        <v>m³</v>
      </c>
      <c r="D234" s="198">
        <v>300.56299999999999</v>
      </c>
      <c r="E234" s="198">
        <v>0.12607508389261746</v>
      </c>
      <c r="F234" s="198">
        <v>0</v>
      </c>
      <c r="G234" s="215">
        <v>0</v>
      </c>
      <c r="H234" s="131"/>
    </row>
    <row r="235" spans="1:8" x14ac:dyDescent="0.25">
      <c r="A235" s="133"/>
      <c r="B235" s="204" t="str">
        <v>Concrete (in-situ), 50MPa, Pre-mix Concrete EVR450 (Barro Group) (Australia)</v>
      </c>
      <c r="C235" s="132" t="str">
        <v>m³</v>
      </c>
      <c r="D235" s="198">
        <v>363.60699999999997</v>
      </c>
      <c r="E235" s="198">
        <v>0.15251971476510068</v>
      </c>
      <c r="F235" s="198">
        <v>0</v>
      </c>
      <c r="G235" s="215">
        <v>0</v>
      </c>
      <c r="H235" s="131"/>
    </row>
    <row r="236" spans="1:8" x14ac:dyDescent="0.25">
      <c r="A236" s="133"/>
      <c r="B236" s="204" t="str">
        <v>Concrete (in-situ), 40MPa, Pre-mix Concrete E40PT22N3 (Barro Group) (Australia)</v>
      </c>
      <c r="C236" s="132" t="str">
        <v>m³</v>
      </c>
      <c r="D236" s="198">
        <v>275.52800000000002</v>
      </c>
      <c r="E236" s="198">
        <v>0.1155738255033557</v>
      </c>
      <c r="F236" s="198">
        <v>0</v>
      </c>
      <c r="G236" s="215">
        <v>0</v>
      </c>
      <c r="H236" s="131"/>
    </row>
    <row r="237" spans="1:8" x14ac:dyDescent="0.25">
      <c r="A237" s="133"/>
      <c r="B237" s="204" t="str">
        <v>Concrete (in-situ), 40MPa, Pre-mix Concrete EGRA47 (Barro Group) (Australia)</v>
      </c>
      <c r="C237" s="132" t="str">
        <v>m³</v>
      </c>
      <c r="D237" s="198">
        <v>256.536</v>
      </c>
      <c r="E237" s="198">
        <v>0.10760738255033557</v>
      </c>
      <c r="F237" s="198">
        <v>0</v>
      </c>
      <c r="G237" s="215">
        <v>0</v>
      </c>
      <c r="H237" s="131"/>
    </row>
    <row r="238" spans="1:8" x14ac:dyDescent="0.25">
      <c r="A238" s="133"/>
      <c r="B238" s="204" t="str">
        <v>Concrete (in-situ), 50MPa, Pre-mix Concrete E50SPLS (Barro Group) (Australia)</v>
      </c>
      <c r="C238" s="132" t="str">
        <v>m³</v>
      </c>
      <c r="D238" s="198">
        <v>232.828</v>
      </c>
      <c r="E238" s="198">
        <v>9.766275167785235E-2</v>
      </c>
      <c r="F238" s="198">
        <v>0</v>
      </c>
      <c r="G238" s="215">
        <v>0</v>
      </c>
      <c r="H238" s="131"/>
    </row>
    <row r="239" spans="1:8" x14ac:dyDescent="0.25">
      <c r="A239" s="133"/>
      <c r="B239" s="204" t="str">
        <v>Concrete (in-situ), 40MPa, Pre-mix Concrete E40SPLS (Barro Group) (Australia)</v>
      </c>
      <c r="C239" s="132" t="str">
        <v>m³</v>
      </c>
      <c r="D239" s="198">
        <v>304.541</v>
      </c>
      <c r="E239" s="198">
        <v>0.12774370805369129</v>
      </c>
      <c r="F239" s="198">
        <v>0</v>
      </c>
      <c r="G239" s="215">
        <v>0</v>
      </c>
      <c r="H239" s="131"/>
    </row>
    <row r="240" spans="1:8" x14ac:dyDescent="0.25">
      <c r="A240" s="133"/>
      <c r="B240" s="204" t="str">
        <v>Concrete (in-situ), 50MPa, Pre-mix Concrete E50600 (Barro Group) (Australia)</v>
      </c>
      <c r="C240" s="132" t="str">
        <v>m³</v>
      </c>
      <c r="D240" s="198">
        <v>387.56900000000002</v>
      </c>
      <c r="E240" s="198">
        <v>0.16257088926174498</v>
      </c>
      <c r="F240" s="198">
        <v>0</v>
      </c>
      <c r="G240" s="215">
        <v>0</v>
      </c>
      <c r="H240" s="131"/>
    </row>
    <row r="241" spans="1:8" x14ac:dyDescent="0.25">
      <c r="A241" s="133"/>
      <c r="B241" s="204" t="str">
        <v>Concrete (in-situ), 40MPa, Pre-mix Concrete E40700 (Barro Group) (Australia)</v>
      </c>
      <c r="C241" s="132" t="str">
        <v>m³</v>
      </c>
      <c r="D241" s="198">
        <v>255.53199999999998</v>
      </c>
      <c r="E241" s="198">
        <v>0.10718624161073825</v>
      </c>
      <c r="F241" s="198">
        <v>0</v>
      </c>
      <c r="G241" s="215">
        <v>0</v>
      </c>
      <c r="H241" s="131"/>
    </row>
    <row r="242" spans="1:8" x14ac:dyDescent="0.25">
      <c r="A242" s="133"/>
      <c r="B242" s="204" t="str">
        <v>Concrete (in-situ), 50MPa, Pre-mix Concrete E50700 (Barro Group) (Australia)</v>
      </c>
      <c r="C242" s="132" t="str">
        <v>m³</v>
      </c>
      <c r="D242" s="198">
        <v>306.553</v>
      </c>
      <c r="E242" s="198">
        <v>0.12858766778523489</v>
      </c>
      <c r="F242" s="198">
        <v>0</v>
      </c>
      <c r="G242" s="215">
        <v>0</v>
      </c>
      <c r="H242" s="131"/>
    </row>
    <row r="243" spans="1:8" x14ac:dyDescent="0.25">
      <c r="A243" s="133"/>
      <c r="B243" s="204" t="str">
        <v>Concrete (in-situ), 40MPa, Pre-mix Concrete E40PT22N3M (Barro Group) (Australia)</v>
      </c>
      <c r="C243" s="132" t="str">
        <v>m³</v>
      </c>
      <c r="D243" s="198">
        <v>290.57499999999999</v>
      </c>
      <c r="E243" s="198">
        <v>0.12188548657718121</v>
      </c>
      <c r="F243" s="198">
        <v>0</v>
      </c>
      <c r="G243" s="215">
        <v>0</v>
      </c>
      <c r="H243" s="131"/>
    </row>
    <row r="244" spans="1:8" x14ac:dyDescent="0.25">
      <c r="A244" s="133"/>
      <c r="B244" s="204" t="str">
        <v>Concrete (in-situ), 50MPa, Pre-mix Concrete E50PT22N3 (Barro Group) (Australia)</v>
      </c>
      <c r="C244" s="132" t="str">
        <v>m³</v>
      </c>
      <c r="D244" s="198">
        <v>306.553</v>
      </c>
      <c r="E244" s="198">
        <v>0.12858766778523489</v>
      </c>
      <c r="F244" s="198">
        <v>0</v>
      </c>
      <c r="G244" s="215">
        <v>0</v>
      </c>
      <c r="H244" s="131"/>
    </row>
    <row r="245" spans="1:8" x14ac:dyDescent="0.25">
      <c r="A245" s="133"/>
      <c r="B245" s="204" t="str">
        <v>Concrete (in-situ), 40MPa, Pre-mix Concrete E40SP (Barro Group) (Australia)</v>
      </c>
      <c r="C245" s="132" t="str">
        <v>m³</v>
      </c>
      <c r="D245" s="198">
        <v>246.614</v>
      </c>
      <c r="E245" s="198">
        <v>0.10344546979865772</v>
      </c>
      <c r="F245" s="198">
        <v>0</v>
      </c>
      <c r="G245" s="215">
        <v>0</v>
      </c>
      <c r="H245" s="131"/>
    </row>
    <row r="246" spans="1:8" x14ac:dyDescent="0.25">
      <c r="A246" s="133"/>
      <c r="B246" s="204" t="str">
        <v>Concrete (in-situ), 50MPa, Pre-mix Concrete E50SPHE (Barro Group) (Australia)</v>
      </c>
      <c r="C246" s="132" t="str">
        <v>m³</v>
      </c>
      <c r="D246" s="198">
        <v>300.60999999999996</v>
      </c>
      <c r="E246" s="198">
        <v>0.12609479865771814</v>
      </c>
      <c r="F246" s="198">
        <v>0</v>
      </c>
      <c r="G246" s="215">
        <v>0</v>
      </c>
      <c r="H246" s="131"/>
    </row>
    <row r="247" spans="1:8" x14ac:dyDescent="0.25">
      <c r="A247" s="133"/>
      <c r="B247" s="204" t="str">
        <v>Concrete (in-situ), 50MPa, Pre-mix Concrete EFM50 (Barro Group) (Australia)</v>
      </c>
      <c r="C247" s="132" t="str">
        <v>m³</v>
      </c>
      <c r="D247" s="198">
        <v>261.63300000000004</v>
      </c>
      <c r="E247" s="198">
        <v>0.10974538590604027</v>
      </c>
      <c r="F247" s="198">
        <v>0</v>
      </c>
      <c r="G247" s="215">
        <v>0</v>
      </c>
      <c r="H247" s="131"/>
    </row>
    <row r="248" spans="1:8" x14ac:dyDescent="0.25">
      <c r="A248" s="133"/>
      <c r="B248" s="204" t="str">
        <v>Concrete (in-situ), 50MPa, Pre-mix Concrete EN50 (Barro Group) (Australia)</v>
      </c>
      <c r="C248" s="132" t="str">
        <v>m³</v>
      </c>
      <c r="D248" s="198">
        <v>280.57</v>
      </c>
      <c r="E248" s="198">
        <v>0.11768875838926175</v>
      </c>
      <c r="F248" s="198">
        <v>0</v>
      </c>
      <c r="G248" s="215">
        <v>0</v>
      </c>
      <c r="H248" s="131"/>
    </row>
    <row r="249" spans="1:8" x14ac:dyDescent="0.25">
      <c r="A249" s="133"/>
      <c r="B249" s="204" t="str">
        <v>Concrete (in-situ), 40MPa, Pre-mix Concrete EPG40 (Barro Group) (Australia)</v>
      </c>
      <c r="C249" s="132" t="str">
        <v>m³</v>
      </c>
      <c r="D249" s="198">
        <v>228.55699999999999</v>
      </c>
      <c r="E249" s="198">
        <v>9.587122483221476E-2</v>
      </c>
      <c r="F249" s="198">
        <v>0</v>
      </c>
      <c r="G249" s="215">
        <v>0</v>
      </c>
      <c r="H249" s="131"/>
    </row>
    <row r="250" spans="1:8" x14ac:dyDescent="0.25">
      <c r="A250" s="133"/>
      <c r="B250" s="204" t="str">
        <v>Concrete (in-situ), 40MPa, Pre-mix Concrete EPT4735 (Barro Group) (Australia)</v>
      </c>
      <c r="C250" s="132" t="str">
        <v>m³</v>
      </c>
      <c r="D250" s="198">
        <v>255.654</v>
      </c>
      <c r="E250" s="198">
        <v>0.10723741610738255</v>
      </c>
      <c r="F250" s="198">
        <v>0</v>
      </c>
      <c r="G250" s="215">
        <v>0</v>
      </c>
      <c r="H250" s="131"/>
    </row>
    <row r="251" spans="1:8" x14ac:dyDescent="0.25">
      <c r="A251" s="133"/>
      <c r="B251" s="204" t="str">
        <v>Concrete (in-situ), 40MPa, Pre-mix Concrete EPT4035 (Barro Group) (Australia)</v>
      </c>
      <c r="C251" s="132" t="str">
        <v>m³</v>
      </c>
      <c r="D251" s="198">
        <v>233.55199999999999</v>
      </c>
      <c r="E251" s="198">
        <v>9.7966442953020136E-2</v>
      </c>
      <c r="F251" s="198">
        <v>0</v>
      </c>
      <c r="G251" s="215">
        <v>0</v>
      </c>
      <c r="H251" s="131"/>
    </row>
    <row r="252" spans="1:8" x14ac:dyDescent="0.25">
      <c r="A252" s="133"/>
      <c r="B252" s="204" t="str">
        <v>Concrete (in-situ), 40MPa, Pre-mix Concrete EPT4050 (Barro Group) (Australia)</v>
      </c>
      <c r="C252" s="132" t="str">
        <v>m³</v>
      </c>
      <c r="D252" s="198">
        <v>202.55799999999999</v>
      </c>
      <c r="E252" s="198">
        <v>8.4965604026845637E-2</v>
      </c>
      <c r="F252" s="198">
        <v>0</v>
      </c>
      <c r="G252" s="215">
        <v>0</v>
      </c>
      <c r="H252" s="131"/>
    </row>
    <row r="253" spans="1:8" x14ac:dyDescent="0.25">
      <c r="A253" s="133"/>
      <c r="B253" s="204" t="str">
        <v>Concrete (in-situ), 40MPa, Pre-mix Concrete EPT4065 (Barro Group) (Australia)</v>
      </c>
      <c r="C253" s="132" t="str">
        <v>m³</v>
      </c>
      <c r="D253" s="198">
        <v>171.565</v>
      </c>
      <c r="E253" s="198">
        <v>7.1965184563758389E-2</v>
      </c>
      <c r="F253" s="198">
        <v>0</v>
      </c>
      <c r="G253" s="215">
        <v>0</v>
      </c>
      <c r="H253" s="131"/>
    </row>
    <row r="254" spans="1:8" x14ac:dyDescent="0.25">
      <c r="A254" s="133"/>
      <c r="B254" s="204" t="str">
        <v>Concrete (in-situ), 40MPa, Pre-mix Concrete EPG40L (Barro Group) (Australia)</v>
      </c>
      <c r="C254" s="132" t="str">
        <v>m³</v>
      </c>
      <c r="D254" s="198">
        <v>213.55499999999998</v>
      </c>
      <c r="E254" s="198">
        <v>8.9578439597315429E-2</v>
      </c>
      <c r="F254" s="198">
        <v>0</v>
      </c>
      <c r="G254" s="215">
        <v>0</v>
      </c>
      <c r="H254" s="131"/>
    </row>
    <row r="255" spans="1:8" x14ac:dyDescent="0.25">
      <c r="A255" s="133"/>
      <c r="B255" s="204" t="str">
        <v>Concrete (in-situ), 40MPa, Pre-mix Concrete EPT4735L (Barro Group) (Australia)</v>
      </c>
      <c r="C255" s="132" t="str">
        <v>m³</v>
      </c>
      <c r="D255" s="198">
        <v>238.65199999999999</v>
      </c>
      <c r="E255" s="198">
        <v>0.10010570469798658</v>
      </c>
      <c r="F255" s="198">
        <v>0</v>
      </c>
      <c r="G255" s="215">
        <v>0</v>
      </c>
      <c r="H255" s="131"/>
    </row>
    <row r="256" spans="1:8" x14ac:dyDescent="0.25">
      <c r="A256" s="133"/>
      <c r="B256" s="204" t="str">
        <v>Concrete (in-situ), 40MPa, Pre-mix Concrete EPT4035L (Barro Group) (Australia)</v>
      </c>
      <c r="C256" s="132" t="str">
        <v>m³</v>
      </c>
      <c r="D256" s="198">
        <v>218.54999999999998</v>
      </c>
      <c r="E256" s="198">
        <v>9.1673657718120805E-2</v>
      </c>
      <c r="F256" s="198">
        <v>0</v>
      </c>
      <c r="G256" s="215">
        <v>0</v>
      </c>
      <c r="H256" s="131"/>
    </row>
    <row r="257" spans="1:8" x14ac:dyDescent="0.25">
      <c r="A257" s="133"/>
      <c r="B257" s="204" t="str">
        <v>Concrete (in-situ), 40MPa, Pre-mix Concrete EPT4050L (Barro Group) (Australia)</v>
      </c>
      <c r="C257" s="132" t="str">
        <v>m³</v>
      </c>
      <c r="D257" s="198">
        <v>190.55699999999999</v>
      </c>
      <c r="E257" s="198">
        <v>7.9931627516778514E-2</v>
      </c>
      <c r="F257" s="198">
        <v>0</v>
      </c>
      <c r="G257" s="215">
        <v>0</v>
      </c>
      <c r="H257" s="131"/>
    </row>
    <row r="258" spans="1:8" x14ac:dyDescent="0.25">
      <c r="A258" s="133"/>
      <c r="B258" s="204" t="str">
        <v>Concrete (in-situ), 40MPa, Pre-mix Concrete EPT4065L (Barro Group) (Australia)</v>
      </c>
      <c r="C258" s="132" t="str">
        <v>m³</v>
      </c>
      <c r="D258" s="198">
        <v>163.56399999999999</v>
      </c>
      <c r="E258" s="198">
        <v>6.8609060402684566E-2</v>
      </c>
      <c r="F258" s="198">
        <v>0</v>
      </c>
      <c r="G258" s="215">
        <v>0</v>
      </c>
      <c r="H258" s="131"/>
    </row>
    <row r="259" spans="1:8" x14ac:dyDescent="0.25">
      <c r="A259" s="133"/>
      <c r="B259" s="204" t="str">
        <v>Concrete (in-situ), , ENVISIA concrete in-situ Melb metro - 50 MPa (Boral) (Australia)</v>
      </c>
      <c r="C259" s="132" t="str">
        <v>m³</v>
      </c>
      <c r="D259" s="198">
        <v>318</v>
      </c>
      <c r="E259" s="198">
        <v>0.13250000000000001</v>
      </c>
      <c r="F259" s="198">
        <v>0</v>
      </c>
      <c r="G259" s="215">
        <v>0</v>
      </c>
      <c r="H259" s="131"/>
    </row>
    <row r="260" spans="1:8" x14ac:dyDescent="0.25">
      <c r="A260" s="133"/>
      <c r="B260" s="204" t="str">
        <v>Concrete (in-situ), , Envirocrete plus concrete in-situ Melb metro - 50 MPa (Boral) (Australia)</v>
      </c>
      <c r="C260" s="132" t="str">
        <v>m³</v>
      </c>
      <c r="D260" s="198">
        <v>338</v>
      </c>
      <c r="E260" s="198">
        <v>0.14083333333333334</v>
      </c>
      <c r="F260" s="198">
        <v>0</v>
      </c>
      <c r="G260" s="215">
        <v>0</v>
      </c>
      <c r="H260" s="131"/>
    </row>
    <row r="261" spans="1:8" x14ac:dyDescent="0.25">
      <c r="A261" s="133"/>
      <c r="B261" s="204" t="str">
        <v>Concrete (in-situ), , Envirocrete concrete in-situ Melb metro - 50 MPa (Boral) (Australia)</v>
      </c>
      <c r="C261" s="132" t="str">
        <v>m³</v>
      </c>
      <c r="D261" s="198">
        <v>364</v>
      </c>
      <c r="E261" s="198">
        <v>0.15166666666666667</v>
      </c>
      <c r="F261" s="198">
        <v>0</v>
      </c>
      <c r="G261" s="215">
        <v>0</v>
      </c>
      <c r="H261" s="131"/>
    </row>
    <row r="262" spans="1:8" x14ac:dyDescent="0.25">
      <c r="A262" s="133"/>
      <c r="B262" s="204" t="str">
        <v>Concrete (in-situ), , Envirocrete 40% concrete in-situ Melb metro - 50 MPa (Boral) (Australia)</v>
      </c>
      <c r="C262" s="132" t="str">
        <v>m³</v>
      </c>
      <c r="D262" s="198">
        <v>397</v>
      </c>
      <c r="E262" s="198">
        <v>0.16541666666666666</v>
      </c>
      <c r="F262" s="198">
        <v>0</v>
      </c>
      <c r="G262" s="215">
        <v>0</v>
      </c>
      <c r="H262" s="131"/>
    </row>
    <row r="263" spans="1:8" x14ac:dyDescent="0.25">
      <c r="A263" s="133"/>
      <c r="B263" s="204" t="str">
        <v>Concrete (in-situ), , Envirocrete 30% concrete in-situ Melb metro - 50 MPa (Boral) (Australia)</v>
      </c>
      <c r="C263" s="132" t="str">
        <v>m³</v>
      </c>
      <c r="D263" s="198">
        <v>454</v>
      </c>
      <c r="E263" s="198">
        <v>0.18916666666666668</v>
      </c>
      <c r="F263" s="198">
        <v>0</v>
      </c>
      <c r="G263" s="215">
        <v>0</v>
      </c>
      <c r="H263" s="131"/>
    </row>
    <row r="264" spans="1:8" x14ac:dyDescent="0.25">
      <c r="A264" s="133"/>
      <c r="B264" s="204" t="str">
        <v>Concrete (in-situ), , Normal GP blend concrete in-situ Melb metro - 50 MPa (Boral) (Australia)</v>
      </c>
      <c r="C264" s="132" t="str">
        <v>m³</v>
      </c>
      <c r="D264" s="198">
        <v>490</v>
      </c>
      <c r="E264" s="198">
        <v>0.20416666666666666</v>
      </c>
      <c r="F264" s="198">
        <v>0</v>
      </c>
      <c r="G264" s="215">
        <v>0</v>
      </c>
      <c r="H264" s="131"/>
    </row>
    <row r="265" spans="1:8" x14ac:dyDescent="0.25">
      <c r="A265" s="133"/>
      <c r="B265" s="204" t="str">
        <v>Concrete (in-situ), , Normal GP /FA blend blend concrete in-situ Melb metro - 50 MPa (Boral) (Australia)</v>
      </c>
      <c r="C265" s="132" t="str">
        <v>m³</v>
      </c>
      <c r="D265" s="198">
        <v>469</v>
      </c>
      <c r="E265" s="198">
        <v>0.19541666666666666</v>
      </c>
      <c r="F265" s="198">
        <v>0</v>
      </c>
      <c r="G265" s="215">
        <v>0</v>
      </c>
      <c r="H265" s="131"/>
    </row>
    <row r="266" spans="1:8" x14ac:dyDescent="0.25">
      <c r="A266" s="133"/>
      <c r="B266" s="204" t="str">
        <v>Concrete (in-situ), , Normal GP /GGBFS blend blend concrete in-situ Melb metro - 50 MPa (Boral) (Australia)</v>
      </c>
      <c r="C266" s="132" t="str">
        <v>m³</v>
      </c>
      <c r="D266" s="198">
        <v>433</v>
      </c>
      <c r="E266" s="198">
        <v>0.18041666666666667</v>
      </c>
      <c r="F266" s="198">
        <v>0</v>
      </c>
      <c r="G266" s="215">
        <v>0</v>
      </c>
      <c r="H266" s="131"/>
    </row>
    <row r="267" spans="1:8" x14ac:dyDescent="0.25">
      <c r="A267" s="133"/>
      <c r="B267" s="204" t="str">
        <v>Concrete (in-situ), , ENVISIA concrete in-situ Perth metro - 50 MPa (Boral) (Australia)</v>
      </c>
      <c r="C267" s="132" t="str">
        <v>m³</v>
      </c>
      <c r="D267" s="198">
        <v>298</v>
      </c>
      <c r="E267" s="198">
        <v>0.12416666666666666</v>
      </c>
      <c r="F267" s="198">
        <v>0</v>
      </c>
      <c r="G267" s="215">
        <v>0</v>
      </c>
      <c r="H267" s="131"/>
    </row>
    <row r="268" spans="1:8" x14ac:dyDescent="0.25">
      <c r="A268" s="133"/>
      <c r="B268" s="204" t="str">
        <v>Concrete (in-situ), , Envirocrete plus concrete in-situ Perth metro - 50 MPa (Boral) (Australia)</v>
      </c>
      <c r="C268" s="132" t="str">
        <v>m³</v>
      </c>
      <c r="D268" s="198">
        <v>311</v>
      </c>
      <c r="E268" s="198">
        <v>0.12958333333333333</v>
      </c>
      <c r="F268" s="198">
        <v>0</v>
      </c>
      <c r="G268" s="215">
        <v>0</v>
      </c>
      <c r="H268" s="131"/>
    </row>
    <row r="269" spans="1:8" x14ac:dyDescent="0.25">
      <c r="A269" s="133"/>
      <c r="B269" s="204" t="str">
        <v>Concrete (in-situ), , Envirocrete concrete in-situ Perth metro - 50 MPa (Boral) (Australia)</v>
      </c>
      <c r="C269" s="132" t="str">
        <v>m³</v>
      </c>
      <c r="D269" s="198">
        <v>335</v>
      </c>
      <c r="E269" s="198">
        <v>0.13958333333333334</v>
      </c>
      <c r="F269" s="198">
        <v>0</v>
      </c>
      <c r="G269" s="215">
        <v>0</v>
      </c>
      <c r="H269" s="131"/>
    </row>
    <row r="270" spans="1:8" x14ac:dyDescent="0.25">
      <c r="A270" s="133"/>
      <c r="B270" s="204" t="str">
        <v>Concrete (in-situ), , Envirocrete 30% concrete in-situ Perth metro - 50 MPa (Boral) (Australia)</v>
      </c>
      <c r="C270" s="132" t="str">
        <v>m³</v>
      </c>
      <c r="D270" s="198">
        <v>335</v>
      </c>
      <c r="E270" s="198">
        <v>0.13958333333333334</v>
      </c>
      <c r="F270" s="198">
        <v>0</v>
      </c>
      <c r="G270" s="215">
        <v>0</v>
      </c>
      <c r="H270" s="131"/>
    </row>
    <row r="271" spans="1:8" x14ac:dyDescent="0.25">
      <c r="A271" s="133"/>
      <c r="B271" s="204" t="str">
        <v>Concrete (in-situ), , Normal GP blend concrete in-situ Perth metro - 50 MPa (Boral) (Australia)</v>
      </c>
      <c r="C271" s="132" t="str">
        <v>m³</v>
      </c>
      <c r="D271" s="198">
        <v>468</v>
      </c>
      <c r="E271" s="198">
        <v>0.19500000000000001</v>
      </c>
      <c r="F271" s="198">
        <v>0</v>
      </c>
      <c r="G271" s="215">
        <v>0</v>
      </c>
      <c r="H271" s="131"/>
    </row>
    <row r="272" spans="1:8" x14ac:dyDescent="0.25">
      <c r="A272" s="133"/>
      <c r="B272" s="204" t="str">
        <v>Concrete (in-situ), , Normal GP /GGBFS blend blend concrete in-situ Perth metro - 50 MPa (Boral) (Australia)</v>
      </c>
      <c r="C272" s="132" t="str">
        <v>m³</v>
      </c>
      <c r="D272" s="198">
        <v>356</v>
      </c>
      <c r="E272" s="198">
        <v>0.14833333333333334</v>
      </c>
      <c r="F272" s="198">
        <v>0</v>
      </c>
      <c r="G272" s="215">
        <v>0</v>
      </c>
      <c r="H272" s="131"/>
    </row>
    <row r="273" spans="1:8" x14ac:dyDescent="0.25">
      <c r="A273" s="133"/>
      <c r="B273" s="204" t="str">
        <v>Concrete (in-situ), , ENVISIA concrete in-situ QLD metro - 50 MPa (Boral) (Australia)</v>
      </c>
      <c r="C273" s="132" t="str">
        <v>m³</v>
      </c>
      <c r="D273" s="198">
        <v>320</v>
      </c>
      <c r="E273" s="198">
        <v>0.13333333333333333</v>
      </c>
      <c r="F273" s="198">
        <v>0</v>
      </c>
      <c r="G273" s="215">
        <v>0</v>
      </c>
      <c r="H273" s="131"/>
    </row>
    <row r="274" spans="1:8" x14ac:dyDescent="0.25">
      <c r="A274" s="133"/>
      <c r="B274" s="204" t="str">
        <v>Concrete (in-situ), , Envirocrete plus concrete in-situ QLD metro - 50 MPa (Boral) (Australia)</v>
      </c>
      <c r="C274" s="132" t="str">
        <v>m³</v>
      </c>
      <c r="D274" s="198">
        <v>326</v>
      </c>
      <c r="E274" s="198">
        <v>0.13583333333333333</v>
      </c>
      <c r="F274" s="198">
        <v>0</v>
      </c>
      <c r="G274" s="215">
        <v>0</v>
      </c>
      <c r="H274" s="131"/>
    </row>
    <row r="275" spans="1:8" x14ac:dyDescent="0.25">
      <c r="A275" s="133"/>
      <c r="B275" s="204" t="str">
        <v>Concrete (in-situ), , Envirocrete 40% concrete in-situ QLD metro - 50 MPa (Boral) (Australia)</v>
      </c>
      <c r="C275" s="132" t="str">
        <v>m³</v>
      </c>
      <c r="D275" s="198">
        <v>341</v>
      </c>
      <c r="E275" s="198">
        <v>0.14208333333333334</v>
      </c>
      <c r="F275" s="198">
        <v>0</v>
      </c>
      <c r="G275" s="215">
        <v>0</v>
      </c>
      <c r="H275" s="131"/>
    </row>
    <row r="276" spans="1:8" x14ac:dyDescent="0.25">
      <c r="A276" s="133"/>
      <c r="B276" s="204" t="str">
        <v>Concrete (in-situ), , Envirocrete 30% concrete in-situ QLD metro - 50 MPa (Boral) (Australia)</v>
      </c>
      <c r="C276" s="132" t="str">
        <v>m³</v>
      </c>
      <c r="D276" s="198">
        <v>435</v>
      </c>
      <c r="E276" s="198">
        <v>0.18124999999999999</v>
      </c>
      <c r="F276" s="198">
        <v>0</v>
      </c>
      <c r="G276" s="215">
        <v>0</v>
      </c>
      <c r="H276" s="131"/>
    </row>
    <row r="277" spans="1:8" x14ac:dyDescent="0.25">
      <c r="A277" s="133"/>
      <c r="B277" s="204" t="str">
        <v>Concrete (in-situ), , Normal GP blend concrete in-situ QLD metro - 50 MPa (Boral) (Australia)</v>
      </c>
      <c r="C277" s="132" t="str">
        <v>m³</v>
      </c>
      <c r="D277" s="198">
        <v>538</v>
      </c>
      <c r="E277" s="198">
        <v>0.22416666666666665</v>
      </c>
      <c r="F277" s="198">
        <v>0</v>
      </c>
      <c r="G277" s="215">
        <v>0</v>
      </c>
      <c r="H277" s="131"/>
    </row>
    <row r="278" spans="1:8" x14ac:dyDescent="0.25">
      <c r="A278" s="133"/>
      <c r="B278" s="204" t="str">
        <v>Concrete (in-situ), , Concrete in-situ QLD metro High slump 50 MPa (Boral) (Australia)</v>
      </c>
      <c r="C278" s="132" t="str">
        <v>m³</v>
      </c>
      <c r="D278" s="198">
        <v>351</v>
      </c>
      <c r="E278" s="198">
        <v>0.14624999999999999</v>
      </c>
      <c r="F278" s="198">
        <v>0</v>
      </c>
      <c r="G278" s="215">
        <v>0</v>
      </c>
      <c r="H278" s="131"/>
    </row>
    <row r="279" spans="1:8" x14ac:dyDescent="0.25">
      <c r="A279" s="133"/>
      <c r="B279" s="204" t="str">
        <v>50 MPa, , Normal Class 50MPa - straight cement (Gunlake) (Australia)</v>
      </c>
      <c r="C279" s="132" t="str">
        <v>m³</v>
      </c>
      <c r="D279" s="198">
        <v>438.0521</v>
      </c>
      <c r="E279" s="198">
        <v>0.18252170833333334</v>
      </c>
      <c r="F279" s="198">
        <v>0</v>
      </c>
      <c r="G279" s="215">
        <v>0</v>
      </c>
      <c r="H279" s="131"/>
    </row>
    <row r="280" spans="1:8" x14ac:dyDescent="0.25">
      <c r="A280" s="133"/>
      <c r="B280" s="204" t="str">
        <v>50 MPa, , Normal Class 50MPa (NC5028PCI) - cement and fly-ash (Gunlake) (Australia)</v>
      </c>
      <c r="C280" s="132" t="str">
        <v>m³</v>
      </c>
      <c r="D280" s="198">
        <v>418.0609</v>
      </c>
      <c r="E280" s="198">
        <v>0.17419204166666666</v>
      </c>
      <c r="F280" s="198">
        <v>0</v>
      </c>
      <c r="G280" s="215">
        <v>0</v>
      </c>
      <c r="H280" s="131"/>
    </row>
    <row r="281" spans="1:8" x14ac:dyDescent="0.25">
      <c r="A281" s="133"/>
      <c r="B281" s="204" t="str">
        <v>50 MPa, , Normal Class 50MPa (NC502APD) - cement, slag and fly-ash (Gunlake) (Australia)</v>
      </c>
      <c r="C281" s="132" t="str">
        <v>m³</v>
      </c>
      <c r="D281" s="198">
        <v>307.08629999999999</v>
      </c>
      <c r="E281" s="198">
        <v>0.12795262500000001</v>
      </c>
      <c r="F281" s="198">
        <v>0</v>
      </c>
      <c r="G281" s="215">
        <v>0</v>
      </c>
      <c r="H281" s="131"/>
    </row>
    <row r="282" spans="1:8" x14ac:dyDescent="0.25">
      <c r="A282" s="133"/>
      <c r="B282" s="204" t="str">
        <v>50 MPa, , Special Class 50MPa (GD502AP2) - green star mix with cement, high slag and fly-ash (Gunlake) (Australia)</v>
      </c>
      <c r="C282" s="132" t="str">
        <v>m³</v>
      </c>
      <c r="D282" s="198">
        <v>294.09519999999998</v>
      </c>
      <c r="E282" s="198">
        <v>0.12253966666666666</v>
      </c>
      <c r="F282" s="198">
        <v>0</v>
      </c>
      <c r="G282" s="215">
        <v>0</v>
      </c>
      <c r="H282" s="131"/>
    </row>
    <row r="283" spans="1:8" x14ac:dyDescent="0.25">
      <c r="A283" s="133"/>
      <c r="B283" s="204" t="str">
        <v>50 MPa, , Column &amp; Wall 50 MPa • Indicative Cement Replacement - Fly Ash/GGBFS (Hymix) (Australia)</v>
      </c>
      <c r="C283" s="132" t="str">
        <v>m³</v>
      </c>
      <c r="D283" s="198">
        <v>280</v>
      </c>
      <c r="E283" s="198">
        <v>0.11666666666666667</v>
      </c>
      <c r="F283" s="198">
        <v>0</v>
      </c>
      <c r="G283" s="215">
        <v>0</v>
      </c>
      <c r="H283" s="131"/>
    </row>
    <row r="284" spans="1:8" x14ac:dyDescent="0.25">
      <c r="A284" s="133"/>
      <c r="B284" s="204" t="str">
        <v>50 MPa, , Post Tension 50 MPa • 43% Indicative Cement Replacement - Fly Ash/GGBFS (Hymix) (Australia)</v>
      </c>
      <c r="C284" s="132" t="str">
        <v>m³</v>
      </c>
      <c r="D284" s="198">
        <v>288</v>
      </c>
      <c r="E284" s="198">
        <v>0.12</v>
      </c>
      <c r="F284" s="198">
        <v>0</v>
      </c>
      <c r="G284" s="215">
        <v>0</v>
      </c>
      <c r="H284" s="131"/>
    </row>
    <row r="285" spans="1:8" x14ac:dyDescent="0.25">
      <c r="A285" s="133"/>
      <c r="B285" s="204" t="str">
        <v>50 MPa, , Pump 50 MPa • 25% Indicative Cement Replacement, Fly Ash/GGBFS/Silica Fume (Hymix) (Australia)</v>
      </c>
      <c r="C285" s="132" t="str">
        <v>m³</v>
      </c>
      <c r="D285" s="198">
        <v>381</v>
      </c>
      <c r="E285" s="198">
        <v>0.15875</v>
      </c>
      <c r="F285" s="198">
        <v>0</v>
      </c>
      <c r="G285" s="215">
        <v>0</v>
      </c>
      <c r="H285" s="131"/>
    </row>
    <row r="286" spans="1:8" x14ac:dyDescent="0.25">
      <c r="A286" s="133"/>
      <c r="B286" s="204" t="str">
        <v>50 MPa, , Post Tension 50 MPa 25% Indicative Cement Replacement — GGBFS (Hymix) (Australia)</v>
      </c>
      <c r="C286" s="132" t="str">
        <v>m³</v>
      </c>
      <c r="D286" s="198">
        <v>399</v>
      </c>
      <c r="E286" s="198">
        <v>0.16625000000000001</v>
      </c>
      <c r="F286" s="198">
        <v>0</v>
      </c>
      <c r="G286" s="215">
        <v>0</v>
      </c>
      <c r="H286" s="131"/>
    </row>
    <row r="287" spans="1:8" x14ac:dyDescent="0.25">
      <c r="A287" s="133"/>
      <c r="B287" s="204" t="str">
        <v>50 MPa, , Tower Columns &amp; Wall 50 MPa 50% Indicative Cement Replacement - Fly Ash/GGBFS Blend (Hymix) (Australia)</v>
      </c>
      <c r="C287" s="132" t="str">
        <v>m³</v>
      </c>
      <c r="D287" s="198">
        <v>287</v>
      </c>
      <c r="E287" s="198">
        <v>0.11958333333333333</v>
      </c>
      <c r="F287" s="198">
        <v>0</v>
      </c>
      <c r="G287" s="215">
        <v>0</v>
      </c>
      <c r="H287" s="131"/>
    </row>
    <row r="288" spans="1:8" x14ac:dyDescent="0.25">
      <c r="A288" s="133"/>
      <c r="B288" s="204" t="str">
        <v>50 MPa, , Tower Columns &amp; Wall 50 MPa 28% Indicative Cement Replacement - Fly Ash/GGBFS/SiIica Fume Blend (Hymix) (Australia)</v>
      </c>
      <c r="C288" s="132" t="str">
        <v>m³</v>
      </c>
      <c r="D288" s="198">
        <v>402</v>
      </c>
      <c r="E288" s="198">
        <v>0.16750000000000001</v>
      </c>
      <c r="F288" s="198">
        <v>0</v>
      </c>
      <c r="G288" s="215">
        <v>0</v>
      </c>
      <c r="H288" s="131"/>
    </row>
    <row r="289" spans="1:8" x14ac:dyDescent="0.25">
      <c r="A289" s="133"/>
      <c r="B289" s="204" t="str">
        <v>50 MPa, , Tower Jumpform - Core 50 MPa 28% Indicative Cement Replacement - Fly Ash/GGBFS/Silica Fume Blend (Hymix) (Australia)</v>
      </c>
      <c r="C289" s="132" t="str">
        <v>m³</v>
      </c>
      <c r="D289" s="198">
        <v>397</v>
      </c>
      <c r="E289" s="198">
        <v>0.16541666666666666</v>
      </c>
      <c r="F289" s="198">
        <v>0</v>
      </c>
      <c r="G289" s="215">
        <v>0</v>
      </c>
      <c r="H289" s="131"/>
    </row>
    <row r="290" spans="1:8" x14ac:dyDescent="0.25">
      <c r="A290" s="133"/>
      <c r="B290" s="204" t="str">
        <v>50 MPa, , ENVISIA 50 MPa (Boral) (Australia)</v>
      </c>
      <c r="C290" s="132" t="str">
        <v>m³</v>
      </c>
      <c r="D290" s="198">
        <v>320</v>
      </c>
      <c r="E290" s="198">
        <v>0.13333333333333333</v>
      </c>
      <c r="F290" s="198">
        <v>0</v>
      </c>
      <c r="G290" s="215">
        <v>0</v>
      </c>
      <c r="H290" s="131"/>
    </row>
    <row r="291" spans="1:8" x14ac:dyDescent="0.25">
      <c r="A291" s="133"/>
      <c r="B291" s="204" t="str">
        <v>50 MPa, , ENVIROCRETE PLUS 50 MPa (Boral) (Australia)</v>
      </c>
      <c r="C291" s="132" t="str">
        <v>m³</v>
      </c>
      <c r="D291" s="198">
        <v>336</v>
      </c>
      <c r="E291" s="198">
        <v>0.14000000000000001</v>
      </c>
      <c r="F291" s="198">
        <v>0</v>
      </c>
      <c r="G291" s="215">
        <v>0</v>
      </c>
      <c r="H291" s="131"/>
    </row>
    <row r="292" spans="1:8" x14ac:dyDescent="0.25">
      <c r="A292" s="133"/>
      <c r="B292" s="204" t="str">
        <v>50 MPa, , ENVIROCRETE 40% 50 MPa (Boral) (Australia)</v>
      </c>
      <c r="C292" s="132" t="str">
        <v>m³</v>
      </c>
      <c r="D292" s="198">
        <v>413</v>
      </c>
      <c r="E292" s="198">
        <v>0.17208333333333334</v>
      </c>
      <c r="F292" s="198">
        <v>0</v>
      </c>
      <c r="G292" s="215">
        <v>0</v>
      </c>
      <c r="H292" s="131"/>
    </row>
    <row r="293" spans="1:8" x14ac:dyDescent="0.25">
      <c r="A293" s="133"/>
      <c r="B293" s="204" t="str">
        <v>50 MPa, , ENVIROCRETE 30% 50 MPa (Boral) (Australia)</v>
      </c>
      <c r="C293" s="132" t="str">
        <v>m³</v>
      </c>
      <c r="D293" s="198">
        <v>463</v>
      </c>
      <c r="E293" s="198">
        <v>0.19291666666666665</v>
      </c>
      <c r="F293" s="198">
        <v>0</v>
      </c>
      <c r="G293" s="215">
        <v>0</v>
      </c>
      <c r="H293" s="131"/>
    </row>
    <row r="294" spans="1:8" x14ac:dyDescent="0.25">
      <c r="A294" s="133"/>
      <c r="B294" s="204" t="str">
        <v>50 MPa, , ENVIROCRETE 50 MPa (Boral) (Australia)</v>
      </c>
      <c r="C294" s="132" t="str">
        <v>m³</v>
      </c>
      <c r="D294" s="198">
        <v>364</v>
      </c>
      <c r="E294" s="198">
        <v>0.15166666666666667</v>
      </c>
      <c r="F294" s="198">
        <v>0</v>
      </c>
      <c r="G294" s="215">
        <v>0</v>
      </c>
      <c r="H294" s="131"/>
    </row>
    <row r="295" spans="1:8" x14ac:dyDescent="0.25">
      <c r="A295" s="133"/>
      <c r="B295" s="204" t="str">
        <v>50 MPa, , NORMAL CLASS GP BLEND 50 MPa (Boral) (Australia)</v>
      </c>
      <c r="C295" s="132" t="str">
        <v>m³</v>
      </c>
      <c r="D295" s="198">
        <v>485</v>
      </c>
      <c r="E295" s="198">
        <v>0.20208333333333334</v>
      </c>
      <c r="F295" s="198">
        <v>0</v>
      </c>
      <c r="G295" s="215">
        <v>0</v>
      </c>
      <c r="H295" s="131"/>
    </row>
    <row r="296" spans="1:8" x14ac:dyDescent="0.25">
      <c r="A296" s="133"/>
      <c r="B296" s="204" t="str">
        <v>50 MPa, , NORMAL CLASS GP/FA BLEND 50 MPa (Boral) (Australia)</v>
      </c>
      <c r="C296" s="132" t="str">
        <v>m³</v>
      </c>
      <c r="D296" s="198">
        <v>414</v>
      </c>
      <c r="E296" s="198">
        <v>0.17249999999999999</v>
      </c>
      <c r="F296" s="198">
        <v>0</v>
      </c>
      <c r="G296" s="215">
        <v>0</v>
      </c>
      <c r="H296" s="131"/>
    </row>
    <row r="297" spans="1:8" x14ac:dyDescent="0.25">
      <c r="A297" s="133"/>
      <c r="B297" s="204" t="str">
        <v>50 MPa, , NORMAL CLASS GP/GGBFS BLEND 50 MPa (Boral) (Australia)</v>
      </c>
      <c r="C297" s="132" t="str">
        <v>m³</v>
      </c>
      <c r="D297" s="198">
        <v>444</v>
      </c>
      <c r="E297" s="198">
        <v>0.185</v>
      </c>
      <c r="F297" s="198">
        <v>0</v>
      </c>
      <c r="G297" s="215">
        <v>0</v>
      </c>
      <c r="H297" s="131"/>
    </row>
    <row r="298" spans="1:8" x14ac:dyDescent="0.25">
      <c r="A298" s="133"/>
      <c r="B298" s="204" t="str">
        <v>50 MPa, , VR450 50 MPa GP/SLAG (Boral) (Australia)</v>
      </c>
      <c r="C298" s="132" t="str">
        <v>m³</v>
      </c>
      <c r="D298" s="198">
        <v>309</v>
      </c>
      <c r="E298" s="198">
        <v>0.12875</v>
      </c>
      <c r="F298" s="198">
        <v>0</v>
      </c>
      <c r="G298" s="215">
        <v>0</v>
      </c>
      <c r="H298" s="131"/>
    </row>
    <row r="299" spans="1:8" x14ac:dyDescent="0.25">
      <c r="A299" s="133"/>
      <c r="B299" s="204" t="str">
        <v>50 MPa, , VR450 50 MPa GP/FA (Boral) (Australia)</v>
      </c>
      <c r="C299" s="132" t="str">
        <v>m³</v>
      </c>
      <c r="D299" s="198">
        <v>410</v>
      </c>
      <c r="E299" s="198">
        <v>0.17083333333333334</v>
      </c>
      <c r="F299" s="198">
        <v>0</v>
      </c>
      <c r="G299" s="215">
        <v>0</v>
      </c>
      <c r="H299" s="131"/>
    </row>
    <row r="300" spans="1:8" x14ac:dyDescent="0.25">
      <c r="A300" s="133"/>
      <c r="B300" s="204" t="str">
        <v>50 MPa, , VR450 50 MPa TREMIE GP/SLAG (Boral) (Australia)</v>
      </c>
      <c r="C300" s="132" t="str">
        <v>m³</v>
      </c>
      <c r="D300" s="198">
        <v>311</v>
      </c>
      <c r="E300" s="198">
        <v>0.12958333333333333</v>
      </c>
      <c r="F300" s="198">
        <v>0</v>
      </c>
      <c r="G300" s="215">
        <v>0</v>
      </c>
      <c r="H300" s="131"/>
    </row>
    <row r="301" spans="1:8" x14ac:dyDescent="0.25">
      <c r="A301" s="133"/>
      <c r="B301" s="204" t="str">
        <v>50 MPa, , VR450 50 MPa TREMIE/CFA GP/SLAG (Boral) (Australia)</v>
      </c>
      <c r="C301" s="132" t="str">
        <v>m³</v>
      </c>
      <c r="D301" s="198">
        <v>336</v>
      </c>
      <c r="E301" s="198">
        <v>0.14000000000000001</v>
      </c>
      <c r="F301" s="198">
        <v>0</v>
      </c>
      <c r="G301" s="215">
        <v>0</v>
      </c>
      <c r="H301" s="131"/>
    </row>
    <row r="302" spans="1:8" x14ac:dyDescent="0.25">
      <c r="A302" s="133"/>
      <c r="B302" s="204" t="str">
        <v>50 MPa, , HIGH SLUMP 50 MPa (Boral) (Australia)</v>
      </c>
      <c r="C302" s="132" t="str">
        <v>m³</v>
      </c>
      <c r="D302" s="198">
        <v>457</v>
      </c>
      <c r="E302" s="198">
        <v>0.19041666666666668</v>
      </c>
      <c r="F302" s="198">
        <v>0</v>
      </c>
      <c r="G302" s="215">
        <v>0</v>
      </c>
      <c r="H302" s="131"/>
    </row>
    <row r="303" spans="1:8" x14ac:dyDescent="0.25">
      <c r="A303" s="133"/>
      <c r="B303" s="204" t="str">
        <v>50 MPa, , TREMIE 50 MPa (Boral) (Australia)</v>
      </c>
      <c r="C303" s="132" t="str">
        <v>m³</v>
      </c>
      <c r="D303" s="198">
        <v>398</v>
      </c>
      <c r="E303" s="198">
        <v>0.16583333333333333</v>
      </c>
      <c r="F303" s="198">
        <v>0</v>
      </c>
      <c r="G303" s="215">
        <v>0</v>
      </c>
      <c r="H303" s="131"/>
    </row>
    <row r="304" spans="1:8" x14ac:dyDescent="0.25">
      <c r="A304" s="133"/>
      <c r="B304" s="204" t="str">
        <v>50 MPa, , VR450 50 MPa GP (Boral) (Australia)</v>
      </c>
      <c r="C304" s="132" t="str">
        <v>m³</v>
      </c>
      <c r="D304" s="198">
        <v>311</v>
      </c>
      <c r="E304" s="198">
        <v>0.12958333333333333</v>
      </c>
      <c r="F304" s="198">
        <v>0</v>
      </c>
      <c r="G304" s="215">
        <v>0</v>
      </c>
      <c r="H304" s="131"/>
    </row>
    <row r="305" spans="1:8" x14ac:dyDescent="0.25">
      <c r="A305" s="133"/>
      <c r="B305" s="204" t="str">
        <v>50 MPa, TAS, VR450/50/EXP CL C concrete  manufactured in our Northern Region (Hazell Bros Concrete Pty Ltd) (Australia)</v>
      </c>
      <c r="C305" s="132" t="str">
        <v>m³</v>
      </c>
      <c r="D305" s="198">
        <v>428.72781506982898</v>
      </c>
      <c r="E305" s="198">
        <v>0.17863658961242876</v>
      </c>
      <c r="F305" s="198">
        <v>0</v>
      </c>
      <c r="G305" s="215">
        <v>0</v>
      </c>
      <c r="H305" s="131"/>
    </row>
    <row r="306" spans="1:8" x14ac:dyDescent="0.25">
      <c r="A306" s="133"/>
      <c r="B306" s="204" t="str">
        <v>50 MPa, TAS, VR450/50/EXP CL C concrete  manufactured in our Southern Region (Hazell Bros Concrete Pty Ltd) (Australia)</v>
      </c>
      <c r="C306" s="132" t="str">
        <v>m³</v>
      </c>
      <c r="D306" s="198">
        <v>432.55016322999995</v>
      </c>
      <c r="E306" s="198">
        <v>0.18022923467916666</v>
      </c>
      <c r="F306" s="198">
        <v>0</v>
      </c>
      <c r="G306" s="215">
        <v>0</v>
      </c>
      <c r="H306" s="131"/>
    </row>
    <row r="307" spans="1:8" x14ac:dyDescent="0.25">
      <c r="A307" s="133"/>
      <c r="B307" s="204" t="str">
        <v>50 MPa, NSW, Concrete: S50/10/100 manufactured at Prestons (Advanced Readymix) (Australia)</v>
      </c>
      <c r="C307" s="132" t="str">
        <v>m³</v>
      </c>
      <c r="D307" s="198">
        <v>467.2615132368</v>
      </c>
      <c r="E307" s="198">
        <v>0.19469229718200001</v>
      </c>
      <c r="F307" s="198">
        <v>0</v>
      </c>
      <c r="G307" s="215">
        <v>0</v>
      </c>
      <c r="H307" s="131"/>
    </row>
    <row r="308" spans="1:8" x14ac:dyDescent="0.25">
      <c r="A308" s="133"/>
      <c r="B308" s="204" t="str">
        <v>50 MPa, NSW, Concrete: AD50PANW, AL50PANW, PE50PANW manufactured at Prestons (Advanced Readymix) (Australia)</v>
      </c>
      <c r="C308" s="132" t="str">
        <v>m³</v>
      </c>
      <c r="D308" s="198">
        <v>432.01901422270004</v>
      </c>
      <c r="E308" s="198">
        <v>0.18000792259279166</v>
      </c>
      <c r="F308" s="198">
        <v>0</v>
      </c>
      <c r="G308" s="215">
        <v>0</v>
      </c>
      <c r="H308" s="131"/>
    </row>
    <row r="309" spans="1:8" x14ac:dyDescent="0.25">
      <c r="A309" s="133"/>
      <c r="B309" s="204" t="str">
        <v>50 MPa, NSW, Concrete: AD50PANW, AL50PANW, PE50PANW manufactured at Seven Hills (Advanced Readymix) (Australia)</v>
      </c>
      <c r="C309" s="132" t="str">
        <v>m³</v>
      </c>
      <c r="D309" s="198">
        <v>428.88285750360001</v>
      </c>
      <c r="E309" s="198">
        <v>0.17870119062649997</v>
      </c>
      <c r="F309" s="198">
        <v>0</v>
      </c>
      <c r="G309" s="215">
        <v>0</v>
      </c>
      <c r="H309" s="131"/>
    </row>
    <row r="310" spans="1:8" x14ac:dyDescent="0.25">
      <c r="A310" s="133"/>
      <c r="B310" s="204" t="str">
        <v>50 MPa, NSW, Concrete: AD50PANW, AL50PANW, PE50PANW manufactured at Smithfield (Advanced Readymix) (Australia)</v>
      </c>
      <c r="C310" s="132" t="str">
        <v>m³</v>
      </c>
      <c r="D310" s="198">
        <v>430.00222150119998</v>
      </c>
      <c r="E310" s="198">
        <v>0.17916759229216669</v>
      </c>
      <c r="F310" s="198">
        <v>0</v>
      </c>
      <c r="G310" s="215">
        <v>0</v>
      </c>
      <c r="H310" s="131"/>
    </row>
    <row r="311" spans="1:8" x14ac:dyDescent="0.25">
      <c r="A311" s="133"/>
      <c r="B311" s="204" t="str">
        <v>50 MPa, NSW, Concrete: S50/10/100 manufactured at Smithfield (Advanced Readymix) (Australia)</v>
      </c>
      <c r="C311" s="132" t="str">
        <v>m³</v>
      </c>
      <c r="D311" s="198">
        <v>436.76315473130001</v>
      </c>
      <c r="E311" s="198">
        <v>0.18198464780470833</v>
      </c>
      <c r="F311" s="198">
        <v>0</v>
      </c>
      <c r="G311" s="215">
        <v>0</v>
      </c>
      <c r="H311" s="131"/>
    </row>
    <row r="312" spans="1:8" x14ac:dyDescent="0.25">
      <c r="A312" s="133"/>
      <c r="B312" s="204" t="str">
        <v>50 MPa, NSW, Concrete: AD50PAN, AL50PAN, PE50PAN manufactured at Prestons (Advanced Readymix) (Australia)</v>
      </c>
      <c r="C312" s="132" t="str">
        <v>m³</v>
      </c>
      <c r="D312" s="198">
        <v>429.7872994992</v>
      </c>
      <c r="E312" s="198">
        <v>0.17907804145799999</v>
      </c>
      <c r="F312" s="198">
        <v>0</v>
      </c>
      <c r="G312" s="215">
        <v>0</v>
      </c>
      <c r="H312" s="131"/>
    </row>
    <row r="313" spans="1:8" x14ac:dyDescent="0.25">
      <c r="A313" s="133"/>
      <c r="B313" s="204" t="str">
        <v>50 MPa, NSW, Concrete: AD50PAN, AL50PAN, PE50PAN manufactured at Seven Hills (Advanced Readymix) (Australia)</v>
      </c>
      <c r="C313" s="132" t="str">
        <v>m³</v>
      </c>
      <c r="D313" s="198">
        <v>426.64964295340002</v>
      </c>
      <c r="E313" s="198">
        <v>0.1777706845639167</v>
      </c>
      <c r="F313" s="198">
        <v>0</v>
      </c>
      <c r="G313" s="215">
        <v>0</v>
      </c>
      <c r="H313" s="131"/>
    </row>
    <row r="314" spans="1:8" x14ac:dyDescent="0.25">
      <c r="A314" s="133"/>
      <c r="B314" s="204" t="str">
        <v>50 MPa, NSW, Concrete: AD50PAN, AL50PAN, PE50PAN manufactured at Smithfield (Advanced Readymix) (Australia)</v>
      </c>
      <c r="C314" s="132" t="str">
        <v>m³</v>
      </c>
      <c r="D314" s="198">
        <v>427.76416827610001</v>
      </c>
      <c r="E314" s="198">
        <v>0.17823507011504167</v>
      </c>
      <c r="F314" s="198">
        <v>0</v>
      </c>
      <c r="G314" s="215">
        <v>0</v>
      </c>
      <c r="H314" s="131"/>
    </row>
    <row r="315" spans="1:8" x14ac:dyDescent="0.25">
      <c r="A315" s="133"/>
      <c r="B315" s="204" t="str">
        <v>50 MPa, NSW, Concrete: S50/20/100 manufactured at Prestons (Advanced Readymix) (Australia)</v>
      </c>
      <c r="C315" s="132" t="str">
        <v>m³</v>
      </c>
      <c r="D315" s="198">
        <v>446.6841751366</v>
      </c>
      <c r="E315" s="198">
        <v>0.18611840630691667</v>
      </c>
      <c r="F315" s="198">
        <v>0</v>
      </c>
      <c r="G315" s="215">
        <v>0</v>
      </c>
      <c r="H315" s="131"/>
    </row>
    <row r="316" spans="1:8" x14ac:dyDescent="0.25">
      <c r="A316" s="133"/>
      <c r="B316" s="204" t="str">
        <v>50 MPa, NSW, Concrete: S50/20/100 manufactured at Smithfield (Advanced Readymix) (Australia)</v>
      </c>
      <c r="C316" s="132" t="str">
        <v>m³</v>
      </c>
      <c r="D316" s="198">
        <v>417.41917303129998</v>
      </c>
      <c r="E316" s="198">
        <v>0.17392465542970834</v>
      </c>
      <c r="F316" s="198">
        <v>0</v>
      </c>
      <c r="G316" s="215">
        <v>0</v>
      </c>
      <c r="H316" s="131"/>
    </row>
    <row r="317" spans="1:8" x14ac:dyDescent="0.25">
      <c r="A317" s="133"/>
      <c r="B317" s="204" t="str">
        <v>50 MPa, NSW, Concrete: NS50/20/100 manufactured at Prestons (Advanced Readymix) (Australia)</v>
      </c>
      <c r="C317" s="132" t="str">
        <v>m³</v>
      </c>
      <c r="D317" s="198">
        <v>257.22751596749998</v>
      </c>
      <c r="E317" s="198">
        <v>0.10717813165312499</v>
      </c>
      <c r="F317" s="198">
        <v>0</v>
      </c>
      <c r="G317" s="215">
        <v>0</v>
      </c>
      <c r="H317" s="131"/>
    </row>
    <row r="318" spans="1:8" x14ac:dyDescent="0.25">
      <c r="A318" s="133"/>
      <c r="B318" s="204" t="str">
        <v>50 MPa, NSW, Concrete: NS50/20/100 (Advanced Readymix) (Australia)</v>
      </c>
      <c r="C318" s="132" t="str">
        <v>m³</v>
      </c>
      <c r="D318" s="198">
        <v>255.99100155860003</v>
      </c>
      <c r="E318" s="198">
        <v>0.10666291731608335</v>
      </c>
      <c r="F318" s="198">
        <v>0</v>
      </c>
      <c r="G318" s="215">
        <v>0</v>
      </c>
      <c r="H318" s="131"/>
    </row>
    <row r="319" spans="1:8" x14ac:dyDescent="0.25">
      <c r="A319" s="133"/>
      <c r="B319" s="204" t="str">
        <v>50 MPa, NSW, Concrete: NS50/20/80 manufactured at Prestons (Advanced Readymix) (Australia)</v>
      </c>
      <c r="C319" s="132" t="str">
        <v>m³</v>
      </c>
      <c r="D319" s="198">
        <v>256.64735612469997</v>
      </c>
      <c r="E319" s="198">
        <v>0.10693639838529166</v>
      </c>
      <c r="F319" s="198">
        <v>0</v>
      </c>
      <c r="G319" s="215">
        <v>0</v>
      </c>
      <c r="H319" s="131"/>
    </row>
    <row r="320" spans="1:8" x14ac:dyDescent="0.25">
      <c r="A320" s="133"/>
      <c r="B320" s="204" t="str">
        <v>50 MPa, NSW, Concrete: NS50/20/80 manufactured at Smithfield (Advanced Readymix) (Australia)</v>
      </c>
      <c r="C320" s="132" t="str">
        <v>m³</v>
      </c>
      <c r="D320" s="198">
        <v>255.4096711741</v>
      </c>
      <c r="E320" s="198">
        <v>0.10642069632254167</v>
      </c>
      <c r="F320" s="198">
        <v>0</v>
      </c>
      <c r="G320" s="215">
        <v>0</v>
      </c>
      <c r="H320" s="131"/>
    </row>
    <row r="321" spans="1:8" x14ac:dyDescent="0.25">
      <c r="A321" s="133"/>
      <c r="B321" s="204" t="str">
        <v>50 MPa, TAS, N50/20N concrete  manufactured in our Southern Region (Hazell Bros Concrete Pty Ltd) (Australia)</v>
      </c>
      <c r="C321" s="132" t="str">
        <v>m³</v>
      </c>
      <c r="D321" s="198">
        <v>392.04186702999993</v>
      </c>
      <c r="E321" s="198">
        <v>0.16335077792916664</v>
      </c>
      <c r="F321" s="198">
        <v>0</v>
      </c>
      <c r="G321" s="215">
        <v>0</v>
      </c>
      <c r="H321" s="131"/>
    </row>
    <row r="322" spans="1:8" x14ac:dyDescent="0.25">
      <c r="A322" s="133"/>
      <c r="B322" s="204" t="str">
        <v>50 MPa, TAS, N50/20N/SCM concrete  manufactured in our Southern Region (Hazell Bros Concrete Pty Ltd) (Australia)</v>
      </c>
      <c r="C322" s="132" t="str">
        <v>m³</v>
      </c>
      <c r="D322" s="198">
        <v>286.439607411</v>
      </c>
      <c r="E322" s="198">
        <v>0.11934983642124999</v>
      </c>
      <c r="F322" s="198">
        <v>0</v>
      </c>
      <c r="G322" s="215">
        <v>0</v>
      </c>
      <c r="H322" s="131"/>
    </row>
    <row r="323" spans="1:8" x14ac:dyDescent="0.25">
      <c r="A323" s="133"/>
      <c r="B323" s="204" t="str">
        <v>50 MPa, NSW, Pre-mix concrete GS5020-1 (Western Suburbs Concrete) (Australia)</v>
      </c>
      <c r="C323" s="132" t="str">
        <v>m³</v>
      </c>
      <c r="D323" s="198">
        <v>354.48406064200003</v>
      </c>
      <c r="E323" s="198">
        <v>0.14770169193416666</v>
      </c>
      <c r="F323" s="198">
        <v>0</v>
      </c>
      <c r="G323" s="215">
        <v>0</v>
      </c>
      <c r="H323" s="131"/>
    </row>
    <row r="324" spans="1:8" x14ac:dyDescent="0.25">
      <c r="A324" s="133"/>
      <c r="B324" s="204" t="str">
        <v>50 MPa, TAS, N50/20N concrete manufactured in our Northern Region (Hazell Bros Concrete Pty Ltd) (Australia)</v>
      </c>
      <c r="C324" s="132" t="str">
        <v>m³</v>
      </c>
      <c r="D324" s="198">
        <v>370.79212704405199</v>
      </c>
      <c r="E324" s="198">
        <v>0.15449671960168831</v>
      </c>
      <c r="F324" s="198">
        <v>0</v>
      </c>
      <c r="G324" s="215">
        <v>0</v>
      </c>
      <c r="H324" s="131"/>
    </row>
    <row r="325" spans="1:8" x14ac:dyDescent="0.25">
      <c r="A325" s="133"/>
      <c r="B325" s="204" t="str">
        <v>50 MPa, NSW, Pre-mix concrete GS5020-2 (Western Suburbs Concrete) (Australia)</v>
      </c>
      <c r="C325" s="132" t="str">
        <v>m³</v>
      </c>
      <c r="D325" s="198">
        <v>308.132914056</v>
      </c>
      <c r="E325" s="198">
        <v>0.12838871419</v>
      </c>
      <c r="F325" s="198">
        <v>0</v>
      </c>
      <c r="G325" s="215">
        <v>0</v>
      </c>
      <c r="H325" s="131"/>
    </row>
    <row r="326" spans="1:8" x14ac:dyDescent="0.25">
      <c r="A326" s="133"/>
      <c r="B326" s="204" t="str">
        <v>50 MPa, NSW, Pre-mix concrete WN5020 (Western Suburbs Concrete) (Australia)</v>
      </c>
      <c r="C326" s="132" t="str">
        <v>m³</v>
      </c>
      <c r="D326" s="198">
        <v>370.84436303800004</v>
      </c>
      <c r="E326" s="198">
        <v>0.15451848459916667</v>
      </c>
      <c r="F326" s="198">
        <v>0</v>
      </c>
      <c r="G326" s="215">
        <v>0</v>
      </c>
      <c r="H326" s="131"/>
    </row>
    <row r="327" spans="1:8" x14ac:dyDescent="0.25">
      <c r="A327" s="133"/>
      <c r="B327" s="204" t="str">
        <v>50 MPa, NSW, Pre-mix concrete WGS5020-1 (Western Suburbs Concrete) (Australia)</v>
      </c>
      <c r="C327" s="132" t="str">
        <v>m³</v>
      </c>
      <c r="D327" s="198">
        <v>340.45263876299998</v>
      </c>
      <c r="E327" s="198">
        <v>0.14185526615125002</v>
      </c>
      <c r="F327" s="198">
        <v>0</v>
      </c>
      <c r="G327" s="215">
        <v>0</v>
      </c>
      <c r="H327" s="131"/>
    </row>
    <row r="328" spans="1:8" x14ac:dyDescent="0.25">
      <c r="A328" s="133"/>
      <c r="B328" s="204" t="str">
        <v>50 MPa, NSW, Pre-mix concrete WGS5020-2 (Western Suburbs Concrete) (Australia)</v>
      </c>
      <c r="C328" s="132" t="str">
        <v>m³</v>
      </c>
      <c r="D328" s="198">
        <v>320.83891314199997</v>
      </c>
      <c r="E328" s="198">
        <v>0.13368288047583332</v>
      </c>
      <c r="F328" s="198">
        <v>0</v>
      </c>
      <c r="G328" s="215">
        <v>0</v>
      </c>
      <c r="H328" s="131"/>
    </row>
    <row r="329" spans="1:8" x14ac:dyDescent="0.25">
      <c r="A329" s="133"/>
      <c r="B329" s="204" t="str">
        <v>50 MPa, TAS, N50/20N/SCM concrete manufactured in our Northern Region (Hazell Bros Concrete Pty Ltd) (Australia)</v>
      </c>
      <c r="C329" s="132" t="str">
        <v>m³</v>
      </c>
      <c r="D329" s="198">
        <v>282.280868605948</v>
      </c>
      <c r="E329" s="198">
        <v>0.11761702858581168</v>
      </c>
      <c r="F329" s="198">
        <v>0</v>
      </c>
      <c r="G329" s="215">
        <v>0</v>
      </c>
      <c r="H329" s="131"/>
    </row>
    <row r="330" spans="1:8" x14ac:dyDescent="0.25">
      <c r="A330" s="133"/>
      <c r="B330" s="204" t="str">
        <v>50 MPa, NSW, Concrete: NS50/20/100 manufactured at Seven Hills (Advanced Readymix) (Australia)</v>
      </c>
      <c r="C330" s="132" t="str">
        <v>m³</v>
      </c>
      <c r="D330" s="198">
        <v>297.01542473720002</v>
      </c>
      <c r="E330" s="198">
        <v>0.12375642697383332</v>
      </c>
      <c r="F330" s="198">
        <v>0</v>
      </c>
      <c r="G330" s="215">
        <v>0</v>
      </c>
      <c r="H330" s="131"/>
    </row>
    <row r="331" spans="1:8" x14ac:dyDescent="0.25">
      <c r="A331" s="133"/>
      <c r="B331" s="204" t="str">
        <v>50 MPa, NSW, Concrete: S50/10/100 manufactured at Seven Hills (Advanced Readymix) (Australia)</v>
      </c>
      <c r="C331" s="132" t="str">
        <v>m³</v>
      </c>
      <c r="D331" s="198">
        <v>520.47567763429993</v>
      </c>
      <c r="E331" s="198">
        <v>0.21686486568095831</v>
      </c>
      <c r="F331" s="198">
        <v>0</v>
      </c>
      <c r="G331" s="215">
        <v>0</v>
      </c>
      <c r="H331" s="131"/>
    </row>
    <row r="332" spans="1:8" x14ac:dyDescent="0.25">
      <c r="A332" s="133"/>
      <c r="B332" s="204" t="str">
        <v>50 MPa, NSW, Readymix concrete: ECO52TER433 (Daracrete Pty Ltd) (Australia)</v>
      </c>
      <c r="C332" s="132" t="str">
        <v>m³</v>
      </c>
      <c r="D332" s="198">
        <v>238.03968605</v>
      </c>
      <c r="E332" s="198">
        <v>9.9183202520833333E-2</v>
      </c>
      <c r="F332" s="198">
        <v>0</v>
      </c>
      <c r="G332" s="215">
        <v>0</v>
      </c>
      <c r="H332" s="131"/>
    </row>
    <row r="333" spans="1:8" x14ac:dyDescent="0.25">
      <c r="A333" s="133"/>
      <c r="B333" s="204" t="str">
        <v>50 MPa, NSW, Concrete: NS50/20/80 manufactured at Seven Hills (Advanced Readymix) (Australia)</v>
      </c>
      <c r="C333" s="132" t="str">
        <v>m³</v>
      </c>
      <c r="D333" s="198">
        <v>296.4356862807</v>
      </c>
      <c r="E333" s="198">
        <v>0.12351486928362501</v>
      </c>
      <c r="F333" s="198">
        <v>0</v>
      </c>
      <c r="G333" s="215">
        <v>0</v>
      </c>
      <c r="H333" s="131"/>
    </row>
    <row r="334" spans="1:8" x14ac:dyDescent="0.25">
      <c r="A334" s="133"/>
      <c r="B334" s="204" t="str">
        <v>50 MPa, NSW, Readymix concrete: PC5510HWC500 - 55MPa (Daracrete Pty Ltd) (Australia)</v>
      </c>
      <c r="C334" s="132" t="str">
        <v>m³</v>
      </c>
      <c r="D334" s="198">
        <v>427.60258183100001</v>
      </c>
      <c r="E334" s="198">
        <v>0.17816774242958333</v>
      </c>
      <c r="F334" s="198">
        <v>0</v>
      </c>
      <c r="G334" s="215">
        <v>0</v>
      </c>
      <c r="H334" s="131"/>
    </row>
    <row r="335" spans="1:8" x14ac:dyDescent="0.25">
      <c r="A335" s="133"/>
      <c r="B335" s="204" t="str">
        <v>50 MPa, NSW, Concrete: S50/20/100 manufactured at Seven Hills (Advanced Readymix) (Australia)</v>
      </c>
      <c r="C335" s="132" t="str">
        <v>m³</v>
      </c>
      <c r="D335" s="198">
        <v>497.72000031840003</v>
      </c>
      <c r="E335" s="198">
        <v>0.20738333346599999</v>
      </c>
      <c r="F335" s="198">
        <v>0</v>
      </c>
      <c r="G335" s="215">
        <v>0</v>
      </c>
      <c r="H335" s="131"/>
    </row>
    <row r="336" spans="1:8" x14ac:dyDescent="0.25">
      <c r="A336" s="133"/>
      <c r="B336" s="217" t="str">
        <v>50 MPa, NSW, Readymix concrete: PC5520180 (Daracrete Pty Ltd) (Australia)</v>
      </c>
      <c r="C336" s="218" t="str">
        <v>m³</v>
      </c>
      <c r="D336" s="219">
        <v>426.45841461600003</v>
      </c>
      <c r="E336" s="219">
        <v>0.17769100609000002</v>
      </c>
      <c r="F336" s="219">
        <v>0</v>
      </c>
      <c r="G336" s="220">
        <v>0</v>
      </c>
      <c r="H336" s="131"/>
    </row>
    <row r="337" spans="2:7" x14ac:dyDescent="0.25">
      <c r="B337" s="130"/>
      <c r="C337" s="130"/>
      <c r="D337" s="207"/>
      <c r="E337" s="207"/>
      <c r="F337" s="207"/>
      <c r="G337" s="207"/>
    </row>
  </sheetData>
  <dataValidations disablePrompts="1" count="1">
    <dataValidation type="list" allowBlank="1" showInputMessage="1" showErrorMessage="1" sqref="B6:B8" xr:uid="{CBDC1E43-3342-4B5D-85E7-90174A73EE5B}">
      <formula1>"Tier 1,Tier 2,Tier 3,Tier 4"</formula1>
    </dataValidation>
  </dataValidation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534F3-E5F8-4567-B7A2-2F9FA98D0743}">
  <sheetPr codeName="Sheet10">
    <tabColor rgb="FF00CCFF"/>
  </sheetPr>
  <dimension ref="A1:H92"/>
  <sheetViews>
    <sheetView workbookViewId="0"/>
  </sheetViews>
  <sheetFormatPr defaultColWidth="9.1796875" defaultRowHeight="12.5" x14ac:dyDescent="0.25"/>
  <cols>
    <col min="1" max="1" width="26.26953125" style="132" customWidth="1"/>
    <col min="2" max="2" width="124.179687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&gt;50 MPa to ≤65 MPa</v>
      </c>
    </row>
    <row r="2" spans="1:8" ht="13" x14ac:dyDescent="0.25">
      <c r="A2" s="202"/>
    </row>
    <row r="3" spans="1:8" ht="13" x14ac:dyDescent="0.25">
      <c r="A3" s="202" t="s">
        <v>5626</v>
      </c>
      <c r="B3" s="132" t="s">
        <v>5791</v>
      </c>
    </row>
    <row r="4" spans="1:8" ht="13" x14ac:dyDescent="0.25">
      <c r="A4" s="202"/>
    </row>
    <row r="5" spans="1:8" ht="73.5" customHeight="1" x14ac:dyDescent="0.3">
      <c r="A5" s="227" t="s">
        <v>5628</v>
      </c>
      <c r="B5" s="200" t="s">
        <v>5792</v>
      </c>
    </row>
    <row r="6" spans="1:8" ht="13" x14ac:dyDescent="0.3">
      <c r="A6" s="227" t="s">
        <v>5630</v>
      </c>
      <c r="B6" s="201" t="s">
        <v>71</v>
      </c>
    </row>
    <row r="7" spans="1:8" ht="13" x14ac:dyDescent="0.3">
      <c r="A7" s="227" t="s">
        <v>5631</v>
      </c>
      <c r="B7" s="201" t="s">
        <v>71</v>
      </c>
    </row>
    <row r="8" spans="1:8" ht="13" x14ac:dyDescent="0.3">
      <c r="A8" s="227" t="s">
        <v>5632</v>
      </c>
      <c r="B8" s="201" t="s">
        <v>72</v>
      </c>
    </row>
    <row r="9" spans="1:8" ht="13" x14ac:dyDescent="0.3">
      <c r="A9" s="227" t="s">
        <v>5633</v>
      </c>
      <c r="B9" s="202" t="s">
        <v>72</v>
      </c>
    </row>
    <row r="10" spans="1:8" ht="13" x14ac:dyDescent="0.3">
      <c r="A10" s="227"/>
      <c r="B10" s="202"/>
    </row>
    <row r="11" spans="1:8" ht="25.5" x14ac:dyDescent="0.3">
      <c r="A11" s="227" t="s">
        <v>5634</v>
      </c>
      <c r="B11" s="200" t="s">
        <v>5793</v>
      </c>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2540</v>
      </c>
      <c r="C16" s="313" t="s">
        <v>24</v>
      </c>
      <c r="D16" s="314" t="s">
        <v>146</v>
      </c>
      <c r="E16" s="315" t="s">
        <v>153</v>
      </c>
      <c r="F16" s="314" t="s">
        <v>147</v>
      </c>
      <c r="G16" s="314" t="s">
        <v>154</v>
      </c>
      <c r="H16" s="131"/>
    </row>
    <row r="17" spans="1:8" ht="13" x14ac:dyDescent="0.3">
      <c r="A17" s="133"/>
      <c r="B17" s="211"/>
      <c r="C17" s="212" t="s">
        <v>5636</v>
      </c>
      <c r="D17" s="196" t="str" cm="1">
        <f t="array" ref="D17">IF(AND(_xlfn.ANCHORARRAY(C23)=C23),C23,"Mixed")</f>
        <v>m³</v>
      </c>
      <c r="E17" s="196" t="s">
        <v>2774</v>
      </c>
      <c r="F17" s="196" t="str" cm="1">
        <f t="array" ref="F17">IF(AND(_xlfn.ANCHORARRAY(C23)=C23),C23,"Mixed")</f>
        <v>m³</v>
      </c>
      <c r="G17" s="213" t="s">
        <v>2774</v>
      </c>
      <c r="H17" s="131"/>
    </row>
    <row r="18" spans="1:8" s="200" customFormat="1" ht="13" x14ac:dyDescent="0.3">
      <c r="A18" s="221"/>
      <c r="B18" s="214"/>
      <c r="C18" s="202" t="s">
        <v>5637</v>
      </c>
      <c r="D18" s="230">
        <f>Concrete_50MPa!D18</f>
        <v>609.23299999999995</v>
      </c>
      <c r="E18" s="230">
        <f>Concrete_50MPa!E18</f>
        <v>0.25384708333333333</v>
      </c>
      <c r="F18" s="198">
        <f t="shared" ref="F18:G18" si="0">MAX(_xlfn.ANCHORARRAY(F23))</f>
        <v>0</v>
      </c>
      <c r="G18" s="215">
        <f t="shared" si="0"/>
        <v>0</v>
      </c>
      <c r="H18" s="222"/>
    </row>
    <row r="19" spans="1:8" ht="13" x14ac:dyDescent="0.25">
      <c r="A19" s="133"/>
      <c r="B19" s="204"/>
      <c r="C19" s="202" t="s">
        <v>5638</v>
      </c>
      <c r="D19" s="198">
        <f>MIN(_xlfn.ANCHORARRAY(D23))</f>
        <v>274</v>
      </c>
      <c r="E19" s="198">
        <f t="shared" ref="E19:G19" si="1">MIN(_xlfn.ANCHORARRAY(E23))</f>
        <v>0.11416666666666667</v>
      </c>
      <c r="F19" s="198">
        <f t="shared" si="1"/>
        <v>0</v>
      </c>
      <c r="G19" s="215">
        <f t="shared" si="1"/>
        <v>0</v>
      </c>
      <c r="H19" s="131"/>
    </row>
    <row r="20" spans="1:8" ht="13" x14ac:dyDescent="0.25">
      <c r="A20" s="133"/>
      <c r="B20" s="204"/>
      <c r="C20" s="202" t="s">
        <v>5639</v>
      </c>
      <c r="D20" s="198">
        <f>AVERAGE(_xlfn.ANCHORARRAY(D23))</f>
        <v>401.63281005168693</v>
      </c>
      <c r="E20" s="198">
        <f t="shared" ref="E20:G20" si="2">AVERAGE(_xlfn.ANCHORARRAY(E23))</f>
        <v>0.16738806066779308</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91">_xlfn.UNIQUE(_xlfn._xlws.FILTER('EPD List'!D:D,ISNUMBER(SEARCH(B16,'EPD List'!C:C)),0))</f>
        <v>Concrete, 65 MPa, in-situ, no reinforcement, (SE651EAV) (Ecopact) (Holcim) (SA) (Adelaide)</v>
      </c>
      <c r="C23" s="132" t="str" cm="1">
        <f t="array" ref="C23:C91">_xlfn.IFNA(INDEX('EPD List'!$A:$AB,MATCH(_xlfn.ANCHORARRAY(B23),'EPD List'!$D:$D,0),MATCH(C$16,'EPD List'!$7:$7,0)),"")</f>
        <v>m³</v>
      </c>
      <c r="D23" s="198" cm="1">
        <f t="array" ref="D23:D91">_xlfn.IFNA(VALUE((INDEX('EPD List'!$A:$AD,MATCH(_xlfn.ANCHORARRAY($B23),'EPD List'!$D:$D,0),MATCH(D$16,'EPD List'!$7:$7,0)))),"")</f>
        <v>355.4</v>
      </c>
      <c r="E23" s="198" cm="1">
        <f t="array" ref="E23:E91">_xlfn.IFNA(VALUE((INDEX('EPD List'!$A:$AD,MATCH(_xlfn.ANCHORARRAY($B23),'EPD List'!$D:$D,0),MATCH(E$16,'EPD List'!$7:$7,0)))),"")</f>
        <v>0.14808333333333334</v>
      </c>
      <c r="F23" s="198" cm="1">
        <f t="array" ref="F23:F91">_xlfn.IFNA(VALUE((INDEX('EPD List'!$A:$AD,MATCH(_xlfn.ANCHORARRAY($B23),'EPD List'!$D:$D,0),MATCH(F$16,'EPD List'!$7:$7,0)))),"")</f>
        <v>0</v>
      </c>
      <c r="G23" s="215" cm="1">
        <f t="array" ref="G23:G91">_xlfn.IFNA(VALUE((INDEX('EPD List'!$A:$AD,MATCH(_xlfn.ANCHORARRAY($B23),'EPD List'!$D:$D,0),MATCH(G$16,'EPD List'!$7:$7,0)))),"")</f>
        <v>0</v>
      </c>
      <c r="H23" s="131"/>
    </row>
    <row r="24" spans="1:8" x14ac:dyDescent="0.25">
      <c r="A24" s="133"/>
      <c r="B24" s="204" t="str">
        <v>Concrete, 65 MPa, in-situ, no reinforcement, (SE651E3) (Ecopact) (Holcim) (SA) (Adelaide)</v>
      </c>
      <c r="C24" s="132" t="str">
        <v>m³</v>
      </c>
      <c r="D24" s="198">
        <v>339.35</v>
      </c>
      <c r="E24" s="198">
        <v>0.14139583333333333</v>
      </c>
      <c r="F24" s="198">
        <v>0</v>
      </c>
      <c r="G24" s="215">
        <v>0</v>
      </c>
      <c r="H24" s="131"/>
    </row>
    <row r="25" spans="1:8" x14ac:dyDescent="0.25">
      <c r="A25" s="133"/>
      <c r="B25" s="204" t="str">
        <v>Concrete, 65 MPa, in-situ, no reinforcement, (SE651E5) (Ecopact) (Holcim) (SA) (Adelaide)</v>
      </c>
      <c r="C25" s="132" t="str">
        <v>m³</v>
      </c>
      <c r="D25" s="198">
        <v>340.35</v>
      </c>
      <c r="E25" s="198">
        <v>0.14181250000000001</v>
      </c>
      <c r="F25" s="198">
        <v>0</v>
      </c>
      <c r="G25" s="215">
        <v>0</v>
      </c>
      <c r="H25" s="131"/>
    </row>
    <row r="26" spans="1:8" x14ac:dyDescent="0.25">
      <c r="A26" s="133"/>
      <c r="B26" s="204" t="str">
        <v>Concrete, 65 MPa, in-situ, no reinforcement, (65MPa 14MM TREMIE 160 SLUMP) (Adbri) (VIC)</v>
      </c>
      <c r="C26" s="132" t="str">
        <v>m³</v>
      </c>
      <c r="D26" s="198">
        <v>372.35</v>
      </c>
      <c r="E26" s="198">
        <v>0.15514583333333334</v>
      </c>
      <c r="F26" s="198">
        <v>0</v>
      </c>
      <c r="G26" s="215">
        <v>0</v>
      </c>
      <c r="H26" s="131"/>
    </row>
    <row r="27" spans="1:8" x14ac:dyDescent="0.25">
      <c r="A27" s="133"/>
      <c r="B27" s="204" t="str">
        <v>Concrete, 65 MPa, in-situ, no reinforcement, (VE651EAV) (Ecopact) (Holcim) (VIC)</v>
      </c>
      <c r="C27" s="132" t="str">
        <v>m³</v>
      </c>
      <c r="D27" s="198">
        <v>344.32</v>
      </c>
      <c r="E27" s="198">
        <v>0.14346666666666669</v>
      </c>
      <c r="F27" s="198">
        <v>0</v>
      </c>
      <c r="G27" s="215">
        <v>0</v>
      </c>
      <c r="H27" s="131"/>
    </row>
    <row r="28" spans="1:8" x14ac:dyDescent="0.25">
      <c r="A28" s="133"/>
      <c r="B28" s="204" t="str">
        <v>Concrete, 65 MPa, in-situ, no reinforcement, (QE651E200) (Ecopact) (Holcim) (QLD) (Brisbane)</v>
      </c>
      <c r="C28" s="132" t="str">
        <v>m³</v>
      </c>
      <c r="D28" s="198">
        <v>353.26</v>
      </c>
      <c r="E28" s="198">
        <v>0.14719166666666667</v>
      </c>
      <c r="F28" s="198">
        <v>0</v>
      </c>
      <c r="G28" s="215">
        <v>0</v>
      </c>
      <c r="H28" s="131"/>
    </row>
    <row r="29" spans="1:8" x14ac:dyDescent="0.25">
      <c r="A29" s="133"/>
      <c r="B29" s="204" t="str">
        <v>Concrete, 65 MPa, in-situ, no reinforcement, (QE651EDUF) (Ecopact) (Holcim) (QLD) (Brisbane)</v>
      </c>
      <c r="C29" s="132" t="str">
        <v>m³</v>
      </c>
      <c r="D29" s="198">
        <v>355.26</v>
      </c>
      <c r="E29" s="198">
        <v>0.14802499999999999</v>
      </c>
      <c r="F29" s="198">
        <v>0</v>
      </c>
      <c r="G29" s="215">
        <v>0</v>
      </c>
      <c r="H29" s="131"/>
    </row>
    <row r="30" spans="1:8" x14ac:dyDescent="0.25">
      <c r="A30" s="133"/>
      <c r="B30" s="204" t="str">
        <v>Concrete, 65 MPa, in-situ, no reinforcement, (QE651E200) (Ecopact) (Holcim) (QLD), Gold Coast</v>
      </c>
      <c r="C30" s="132" t="str">
        <v>m³</v>
      </c>
      <c r="D30" s="198">
        <v>348.25</v>
      </c>
      <c r="E30" s="198">
        <v>0.14510416666666665</v>
      </c>
      <c r="F30" s="198">
        <v>0</v>
      </c>
      <c r="G30" s="215">
        <v>0</v>
      </c>
      <c r="H30" s="131"/>
    </row>
    <row r="31" spans="1:8" x14ac:dyDescent="0.25">
      <c r="A31" s="133"/>
      <c r="B31" s="204" t="str">
        <v>Concrete, 65 MPa, in-situ, no reinforcement, (QE651ELCF) (Ecopact) (Holcim) (QLD) (Brisbane)</v>
      </c>
      <c r="C31" s="132" t="str">
        <v>m³</v>
      </c>
      <c r="D31" s="198">
        <v>370.22</v>
      </c>
      <c r="E31" s="198">
        <v>0.15425833333333333</v>
      </c>
      <c r="F31" s="198">
        <v>0</v>
      </c>
      <c r="G31" s="215">
        <v>0</v>
      </c>
      <c r="H31" s="131"/>
    </row>
    <row r="32" spans="1:8" x14ac:dyDescent="0.25">
      <c r="A32" s="133"/>
      <c r="B32" s="204" t="str">
        <v>Concrete, 65 MPa, in-situ, no reinforcement, (QE651ECFA) (Ecopact) (Holcim) (QLD) (Brisbane)</v>
      </c>
      <c r="C32" s="132" t="str">
        <v>m³</v>
      </c>
      <c r="D32" s="198">
        <v>369.21</v>
      </c>
      <c r="E32" s="198">
        <v>0.15383749999999999</v>
      </c>
      <c r="F32" s="198">
        <v>0</v>
      </c>
      <c r="G32" s="215">
        <v>0</v>
      </c>
      <c r="H32" s="131"/>
    </row>
    <row r="33" spans="1:8" x14ac:dyDescent="0.25">
      <c r="A33" s="133"/>
      <c r="B33" s="204" t="str">
        <v>Concrete, 55 MPa, in-situ, no reinforcement, (VE552EVR3) (Ecopact) (Holcim) (VIC)</v>
      </c>
      <c r="C33" s="132" t="str">
        <v>m³</v>
      </c>
      <c r="D33" s="198">
        <v>289.16000000000003</v>
      </c>
      <c r="E33" s="198">
        <v>0.12048333333333335</v>
      </c>
      <c r="F33" s="198">
        <v>0</v>
      </c>
      <c r="G33" s="215">
        <v>0</v>
      </c>
      <c r="H33" s="131"/>
    </row>
    <row r="34" spans="1:8" x14ac:dyDescent="0.25">
      <c r="A34" s="133"/>
      <c r="B34" s="204" t="str">
        <v>Concrete, 65 MPa, in-situ, no reinforcement, (65MPa 14MM
SUPER WORKABLE CONCRETE) (Adbri) (VIC)</v>
      </c>
      <c r="C34" s="132" t="str">
        <v>m³</v>
      </c>
      <c r="D34" s="198">
        <v>369.19</v>
      </c>
      <c r="E34" s="198">
        <v>0.15382916666666666</v>
      </c>
      <c r="F34" s="198">
        <v>0</v>
      </c>
      <c r="G34" s="215">
        <v>0</v>
      </c>
      <c r="H34" s="131"/>
    </row>
    <row r="35" spans="1:8" x14ac:dyDescent="0.25">
      <c r="A35" s="133"/>
      <c r="B35" s="204" t="str">
        <v>Concrete, 60 MPa, in-situ, no reinforcement, (Futurecrete®  Ultra S60MPA PILE/ TREMIE 10MM SP) (Adbri) (NSW)</v>
      </c>
      <c r="C35" s="132" t="str">
        <v>m³</v>
      </c>
      <c r="D35" s="198">
        <v>349.87329999999997</v>
      </c>
      <c r="E35" s="198">
        <v>0.14578054166666665</v>
      </c>
      <c r="F35" s="198">
        <v>0</v>
      </c>
      <c r="G35" s="215">
        <v>0</v>
      </c>
      <c r="H35" s="131"/>
    </row>
    <row r="36" spans="1:8" x14ac:dyDescent="0.25">
      <c r="A36" s="133"/>
      <c r="B36" s="204" t="str">
        <v>Concrete, 65 MPa, in-situ, no reinforcement, (VS654FSWC) (Holcim) (VIC)</v>
      </c>
      <c r="C36" s="132" t="str">
        <v>m³</v>
      </c>
      <c r="D36" s="198">
        <v>409.54</v>
      </c>
      <c r="E36" s="198">
        <v>0.17064166666666666</v>
      </c>
      <c r="F36" s="198">
        <v>0</v>
      </c>
      <c r="G36" s="215">
        <v>0</v>
      </c>
      <c r="H36" s="131"/>
    </row>
    <row r="37" spans="1:8" x14ac:dyDescent="0.25">
      <c r="A37" s="133"/>
      <c r="B37" s="204" t="str">
        <v>Concrete, 55 MPa, in-situ, no reinforcement, (VS552FVRT) (Holcim) (VIC)</v>
      </c>
      <c r="C37" s="132" t="str">
        <v>m³</v>
      </c>
      <c r="D37" s="198">
        <v>303.35000000000002</v>
      </c>
      <c r="E37" s="198">
        <v>0.12639583333333335</v>
      </c>
      <c r="F37" s="198">
        <v>0</v>
      </c>
      <c r="G37" s="215">
        <v>0</v>
      </c>
      <c r="H37" s="131"/>
    </row>
    <row r="38" spans="1:8" x14ac:dyDescent="0.25">
      <c r="A38" s="133"/>
      <c r="B38" s="204" t="str">
        <v>Concrete, 65 MPa, in-situ, no reinforcement, Pre-mix Concrete HIGH SLUMP (Boral) (ACT), (Canberra) HIGH SLUMP 65MPa</v>
      </c>
      <c r="C38" s="132" t="str">
        <v>m³</v>
      </c>
      <c r="D38" s="198">
        <v>492</v>
      </c>
      <c r="E38" s="198">
        <v>0.20499999999999999</v>
      </c>
      <c r="F38" s="198">
        <v>0</v>
      </c>
      <c r="G38" s="215">
        <v>0</v>
      </c>
      <c r="H38" s="131"/>
    </row>
    <row r="39" spans="1:8" x14ac:dyDescent="0.25">
      <c r="A39" s="133"/>
      <c r="B39" s="204" t="str">
        <v>Concrete, 65 MPa, in-situ, no reinforcement, Pre-mix Concrete ENVISIA (Boral) (ACT), (Canberra) ENVISIA 65MPa</v>
      </c>
      <c r="C39" s="132" t="str">
        <v>m³</v>
      </c>
      <c r="D39" s="198">
        <v>333</v>
      </c>
      <c r="E39" s="198">
        <v>0.13875000000000001</v>
      </c>
      <c r="F39" s="198">
        <v>0</v>
      </c>
      <c r="G39" s="215">
        <v>0</v>
      </c>
      <c r="H39" s="131"/>
    </row>
    <row r="40" spans="1:8" x14ac:dyDescent="0.25">
      <c r="A40" s="133"/>
      <c r="B40" s="204" t="str">
        <v>Concrete, 65 MPa, in-situ, no reinforcement, Pre-mix Concrete TREMIE (Boral) (ACT), (Canberra) TREMIE 65MPa</v>
      </c>
      <c r="C40" s="132" t="str">
        <v>m³</v>
      </c>
      <c r="D40" s="198">
        <v>477</v>
      </c>
      <c r="E40" s="198">
        <v>0.19875000000000001</v>
      </c>
      <c r="F40" s="198">
        <v>0</v>
      </c>
      <c r="G40" s="215">
        <v>0</v>
      </c>
      <c r="H40" s="131"/>
    </row>
    <row r="41" spans="1:8" x14ac:dyDescent="0.25">
      <c r="A41" s="133"/>
      <c r="B41" s="204" t="str">
        <v>Concrete, 65 MPa, in-situ, no reinforcement, Pre-mix Concrete ENVISIA (Boral) (NSW), (Newcastle) ENVISIA 65MPa</v>
      </c>
      <c r="C41" s="132" t="str">
        <v>m³</v>
      </c>
      <c r="D41" s="198">
        <v>343</v>
      </c>
      <c r="E41" s="198">
        <v>0.14291666666666666</v>
      </c>
      <c r="F41" s="198">
        <v>0</v>
      </c>
      <c r="G41" s="215">
        <v>0</v>
      </c>
      <c r="H41" s="131"/>
    </row>
    <row r="42" spans="1:8" x14ac:dyDescent="0.25">
      <c r="A42" s="133"/>
      <c r="B42" s="204" t="str">
        <v>Concrete, 65 MPa, in-situ, no reinforcement, Pre-mix Concrete HIGH SLUMP (Boral) (NSW), (Newcastle) HIGH SLUMP 65MPa</v>
      </c>
      <c r="C42" s="132" t="str">
        <v>m³</v>
      </c>
      <c r="D42" s="198">
        <v>472</v>
      </c>
      <c r="E42" s="198">
        <v>0.19666666666666666</v>
      </c>
      <c r="F42" s="198">
        <v>0</v>
      </c>
      <c r="G42" s="215">
        <v>0</v>
      </c>
      <c r="H42" s="131"/>
    </row>
    <row r="43" spans="1:8" x14ac:dyDescent="0.25">
      <c r="A43" s="133"/>
      <c r="B43" s="204" t="str">
        <v>Concrete, 65 MPa, in-situ, no reinforcement, Pre-mix Concrete TREMIE (Boral) (NSW), (Newcastle) TREMIE 65MPa</v>
      </c>
      <c r="C43" s="132" t="str">
        <v>m³</v>
      </c>
      <c r="D43" s="198">
        <v>379</v>
      </c>
      <c r="E43" s="198">
        <v>0.15791666666666668</v>
      </c>
      <c r="F43" s="198">
        <v>0</v>
      </c>
      <c r="G43" s="215">
        <v>0</v>
      </c>
      <c r="H43" s="131"/>
    </row>
    <row r="44" spans="1:8" x14ac:dyDescent="0.25">
      <c r="A44" s="133"/>
      <c r="B44" s="204" t="str">
        <v>Concrete, 65 MPa, in-situ, no reinforcement, Pre-mix Concrete TREMIE (Boral) (NSW), (Sydney) TREMIE 65MPa</v>
      </c>
      <c r="C44" s="132" t="str">
        <v>m³</v>
      </c>
      <c r="D44" s="198">
        <v>379</v>
      </c>
      <c r="E44" s="198">
        <v>0.15791666666666668</v>
      </c>
      <c r="F44" s="198">
        <v>0</v>
      </c>
      <c r="G44" s="215">
        <v>0</v>
      </c>
      <c r="H44" s="131"/>
    </row>
    <row r="45" spans="1:8" x14ac:dyDescent="0.25">
      <c r="A45" s="133"/>
      <c r="B45" s="204" t="str">
        <v>Concrete, 65 MPa, in-situ, no reinforcement, Pre-mix Concrete ENVISIA (Boral) (NSW), (Sydney) ENVISIA 65MPa</v>
      </c>
      <c r="C45" s="132" t="str">
        <v>m³</v>
      </c>
      <c r="D45" s="198">
        <v>343</v>
      </c>
      <c r="E45" s="198">
        <v>0.14291666666666666</v>
      </c>
      <c r="F45" s="198">
        <v>0</v>
      </c>
      <c r="G45" s="215">
        <v>0</v>
      </c>
      <c r="H45" s="131"/>
    </row>
    <row r="46" spans="1:8" x14ac:dyDescent="0.25">
      <c r="A46" s="133"/>
      <c r="B46" s="204" t="str">
        <v>Concrete, 65 MPa, in-situ, no reinforcement, Pre-mix Concrete HIGH SLUMP (Boral) (NSW), (Sydney) HIGH SLUMP 65MPa</v>
      </c>
      <c r="C46" s="132" t="str">
        <v>m³</v>
      </c>
      <c r="D46" s="198">
        <v>379</v>
      </c>
      <c r="E46" s="198">
        <v>0.15791666666666668</v>
      </c>
      <c r="F46" s="198">
        <v>0</v>
      </c>
      <c r="G46" s="215">
        <v>0</v>
      </c>
      <c r="H46" s="131"/>
    </row>
    <row r="47" spans="1:8" x14ac:dyDescent="0.25">
      <c r="A47" s="133"/>
      <c r="B47" s="204" t="str">
        <v>Concrete, 65 MPa, in-situ, no reinforcement, Pre-mix Concrete ENVISIA (Boral) (NSW), (Wollongong) ENVISIA 65MPa</v>
      </c>
      <c r="C47" s="132" t="str">
        <v>m³</v>
      </c>
      <c r="D47" s="198">
        <v>327</v>
      </c>
      <c r="E47" s="198">
        <v>0.13625000000000001</v>
      </c>
      <c r="F47" s="198">
        <v>0</v>
      </c>
      <c r="G47" s="215">
        <v>0</v>
      </c>
      <c r="H47" s="131"/>
    </row>
    <row r="48" spans="1:8" x14ac:dyDescent="0.25">
      <c r="A48" s="133"/>
      <c r="B48" s="204" t="str">
        <v>Concrete, 65 MPa, in-situ, no reinforcement, Pre-mix Concrete HIGH SLUMP (Boral) (NSW), (Wollongong) HIGH SLUMP 65MPa</v>
      </c>
      <c r="C48" s="132" t="str">
        <v>m³</v>
      </c>
      <c r="D48" s="198">
        <v>499</v>
      </c>
      <c r="E48" s="198">
        <v>0.20791666666666667</v>
      </c>
      <c r="F48" s="198">
        <v>0</v>
      </c>
      <c r="G48" s="215">
        <v>0</v>
      </c>
      <c r="H48" s="131"/>
    </row>
    <row r="49" spans="1:8" x14ac:dyDescent="0.25">
      <c r="A49" s="133"/>
      <c r="B49" s="204" t="str">
        <v>Concrete, 65 MPa, in-situ, no reinforcement, Pre-mix Concrete TREMIE (Boral) (NSW), (Wollongong) TREMIE 65MPa</v>
      </c>
      <c r="C49" s="132" t="str">
        <v>m³</v>
      </c>
      <c r="D49" s="198">
        <v>471</v>
      </c>
      <c r="E49" s="198">
        <v>0.19625000000000001</v>
      </c>
      <c r="F49" s="198">
        <v>0</v>
      </c>
      <c r="G49" s="215">
        <v>0</v>
      </c>
      <c r="H49" s="131"/>
    </row>
    <row r="50" spans="1:8" x14ac:dyDescent="0.25">
      <c r="A50" s="133"/>
      <c r="B50" s="204" t="str">
        <v>Concrete, 65 MPa, in-situ, no reinforcement, Pre-mix Concrete HIGH STRENGTH (Boral) (TAS), (Hobart) HIGH STRENGTH 65 MPa</v>
      </c>
      <c r="C50" s="132" t="str">
        <v>m³</v>
      </c>
      <c r="D50" s="198">
        <v>608</v>
      </c>
      <c r="E50" s="198">
        <v>0.25333333333333335</v>
      </c>
      <c r="F50" s="198">
        <v>0</v>
      </c>
      <c r="G50" s="215">
        <v>0</v>
      </c>
      <c r="H50" s="131"/>
    </row>
    <row r="51" spans="1:8" x14ac:dyDescent="0.25">
      <c r="A51" s="133"/>
      <c r="B51" s="204" t="str">
        <v>Concrete, 65 MPa, in-situ, no reinforcement, Pre-mix Concrete HIGH STRENGTH (Boral) (TAS), (Launceston) HIGH STRENGTH 65 MPa</v>
      </c>
      <c r="C51" s="132" t="str">
        <v>m³</v>
      </c>
      <c r="D51" s="198">
        <v>593</v>
      </c>
      <c r="E51" s="198">
        <v>0.24708333333333332</v>
      </c>
      <c r="F51" s="198">
        <v>0</v>
      </c>
      <c r="G51" s="215">
        <v>0</v>
      </c>
      <c r="H51" s="131"/>
    </row>
    <row r="52" spans="1:8" x14ac:dyDescent="0.25">
      <c r="A52" s="133"/>
      <c r="B52" s="204" t="str">
        <v>Concrete, 65 MPa, in-situ, no reinforcement, AH6484, Special Class (WA Premix) (WA), (Perth)</v>
      </c>
      <c r="C52" s="132" t="str">
        <v>m³</v>
      </c>
      <c r="D52" s="198">
        <v>274</v>
      </c>
      <c r="E52" s="198">
        <v>0.11416666666666667</v>
      </c>
      <c r="F52" s="198">
        <v>0</v>
      </c>
      <c r="G52" s="215">
        <v>0</v>
      </c>
      <c r="H52" s="131"/>
    </row>
    <row r="53" spans="1:8" x14ac:dyDescent="0.25">
      <c r="A53" s="133"/>
      <c r="B53" s="204" t="str">
        <v>Concrete, 65 MPa, in-situ, no reinforcement, AH1465, Special Class (WA Premix) (WA), (Perth)</v>
      </c>
      <c r="C53" s="132" t="str">
        <v>m³</v>
      </c>
      <c r="D53" s="198">
        <v>539</v>
      </c>
      <c r="E53" s="198">
        <v>0.22458333333333333</v>
      </c>
      <c r="F53" s="198">
        <v>0</v>
      </c>
      <c r="G53" s="215">
        <v>0</v>
      </c>
      <c r="H53" s="131"/>
    </row>
    <row r="54" spans="1:8" x14ac:dyDescent="0.25">
      <c r="A54" s="133"/>
      <c r="B54" s="204" t="str">
        <v>Concrete, 65 MPa, in-situ, no reinforcement, BP6500, Special Class (WA Premix) (WA), (Perth)</v>
      </c>
      <c r="C54" s="132" t="str">
        <v>m³</v>
      </c>
      <c r="D54" s="198">
        <v>285</v>
      </c>
      <c r="E54" s="198">
        <v>0.11874999999999999</v>
      </c>
      <c r="F54" s="198">
        <v>0</v>
      </c>
      <c r="G54" s="215">
        <v>0</v>
      </c>
      <c r="H54" s="131"/>
    </row>
    <row r="55" spans="1:8" x14ac:dyDescent="0.25">
      <c r="A55" s="133"/>
      <c r="B55" s="204" t="str">
        <v>Concrete, 65 MPa, in-situ, no reinforcement, BP8500, Special Class (WA Premix) (WA), (Perth)</v>
      </c>
      <c r="C55" s="132" t="str">
        <v>m³</v>
      </c>
      <c r="D55" s="198">
        <v>298</v>
      </c>
      <c r="E55" s="198">
        <v>0.12416666666666666</v>
      </c>
      <c r="F55" s="198">
        <v>0</v>
      </c>
      <c r="G55" s="215">
        <v>0</v>
      </c>
      <c r="H55" s="131"/>
    </row>
    <row r="56" spans="1:8" x14ac:dyDescent="0.25">
      <c r="A56" s="133"/>
      <c r="B56" s="204" t="str">
        <v>Concrete, 65 MPa, in-situ, no reinforcement, Ready-Mix Concrete (LC)50 (Concrite) (NSW) (Sydney Region, NSW)</v>
      </c>
      <c r="C56" s="132" t="str">
        <v>m³</v>
      </c>
      <c r="D56" s="198">
        <v>277</v>
      </c>
      <c r="E56" s="198">
        <v>0.11541666666666667</v>
      </c>
      <c r="F56" s="198">
        <v>0</v>
      </c>
      <c r="G56" s="215">
        <v>0</v>
      </c>
      <c r="H56" s="131"/>
    </row>
    <row r="57" spans="1:8" x14ac:dyDescent="0.25">
      <c r="A57" s="133"/>
      <c r="B57" s="204" t="str">
        <v>Concrete, 65 MPa, in-situ, no reinforcement, Ready-Mix Concrete (LCP) (Concrite) (NSW) (Sydney Region, NSW)</v>
      </c>
      <c r="C57" s="132" t="str">
        <v>m³</v>
      </c>
      <c r="D57" s="198">
        <v>357</v>
      </c>
      <c r="E57" s="198">
        <v>0.14874999999999999</v>
      </c>
      <c r="F57" s="198">
        <v>0</v>
      </c>
      <c r="G57" s="215">
        <v>0</v>
      </c>
      <c r="H57" s="131"/>
    </row>
    <row r="58" spans="1:8" x14ac:dyDescent="0.25">
      <c r="A58" s="133"/>
      <c r="B58" s="204" t="str">
        <v>Concrete, 65 MPa, in-situ, no reinforcement, Ready-Mix Concrete HIGH STRENGTH (Concrite) (NSW) (Sydney Region, NSW)</v>
      </c>
      <c r="C58" s="132" t="str">
        <v>m³</v>
      </c>
      <c r="D58" s="198">
        <v>400</v>
      </c>
      <c r="E58" s="198">
        <v>0.16666666666666666</v>
      </c>
      <c r="F58" s="198">
        <v>0</v>
      </c>
      <c r="G58" s="215">
        <v>0</v>
      </c>
      <c r="H58" s="131"/>
    </row>
    <row r="59" spans="1:8" x14ac:dyDescent="0.25">
      <c r="A59" s="133"/>
      <c r="B59" s="204" t="str">
        <v>Concrete, 64 MPa, in-situ, no reinforcement, (Futurecrete®  Ultra S65MPA PILE/ TREMIE 10MM SP
) (Adbri) (NSW)</v>
      </c>
      <c r="C59" s="132" t="str">
        <v>m³</v>
      </c>
      <c r="D59" s="198">
        <v>370.846</v>
      </c>
      <c r="E59" s="198">
        <v>0.15451916666666665</v>
      </c>
      <c r="F59" s="198">
        <v>0</v>
      </c>
      <c r="G59" s="215">
        <v>0</v>
      </c>
      <c r="H59" s="131"/>
    </row>
    <row r="60" spans="1:8" x14ac:dyDescent="0.25">
      <c r="A60" s="133"/>
      <c r="B60" s="204" t="str">
        <v>Concrete, 65 MPa, in-situ, no reinforcement, (Futurecrete® S65MPA JUMP/ SLIP/COLUMNS 10MM SP) (Adbri) (NSW)</v>
      </c>
      <c r="C60" s="132" t="str">
        <v>m³</v>
      </c>
      <c r="D60" s="198">
        <v>495.0908</v>
      </c>
      <c r="E60" s="198">
        <v>0.20628783333333331</v>
      </c>
      <c r="F60" s="198">
        <v>0</v>
      </c>
      <c r="G60" s="215">
        <v>0</v>
      </c>
      <c r="H60" s="131"/>
    </row>
    <row r="61" spans="1:8" x14ac:dyDescent="0.25">
      <c r="A61" s="133"/>
      <c r="B61" s="204" t="str">
        <v>Concrete, 65 MPa, in-situ, no reinforcement, (QE651EDUF) (Ecopact) (Holcim) (QLD), Gold Coast</v>
      </c>
      <c r="C61" s="132" t="str">
        <v>m³</v>
      </c>
      <c r="D61" s="198">
        <v>339.27</v>
      </c>
      <c r="E61" s="198">
        <v>0.14136249999999997</v>
      </c>
      <c r="F61" s="198">
        <v>0</v>
      </c>
      <c r="G61" s="215">
        <v>0</v>
      </c>
      <c r="H61" s="131"/>
    </row>
    <row r="62" spans="1:8" x14ac:dyDescent="0.25">
      <c r="A62" s="133"/>
      <c r="B62" s="204" t="str">
        <v>Concrete (in-situ), 65MPa, Pre-mix Concrete E65SP (Barro Group) (Australia)</v>
      </c>
      <c r="C62" s="132" t="str">
        <v>m³</v>
      </c>
      <c r="D62" s="198">
        <v>313.67399999999998</v>
      </c>
      <c r="E62" s="198">
        <v>0.13157466442953022</v>
      </c>
      <c r="F62" s="198">
        <v>0</v>
      </c>
      <c r="G62" s="215">
        <v>0</v>
      </c>
      <c r="H62" s="131"/>
    </row>
    <row r="63" spans="1:8" x14ac:dyDescent="0.25">
      <c r="A63" s="133"/>
      <c r="B63" s="204" t="str">
        <v>Concrete (in-situ), 65MPa, Pre-mix Concrete E65N56PUD (Barro Group) (Australia)</v>
      </c>
      <c r="C63" s="132" t="str">
        <v>m³</v>
      </c>
      <c r="D63" s="198">
        <v>345.75100000000003</v>
      </c>
      <c r="E63" s="198">
        <v>0.1450297818791946</v>
      </c>
      <c r="F63" s="198">
        <v>0</v>
      </c>
      <c r="G63" s="215">
        <v>0</v>
      </c>
      <c r="H63" s="131"/>
    </row>
    <row r="64" spans="1:8" x14ac:dyDescent="0.25">
      <c r="A64" s="133"/>
      <c r="B64" s="204" t="str">
        <v>Concrete (in-situ), 65MPa, Pre-mix Concrete E65SPHE (Barro Group) (Australia)</v>
      </c>
      <c r="C64" s="132" t="str">
        <v>m³</v>
      </c>
      <c r="D64" s="198">
        <v>353.61900000000003</v>
      </c>
      <c r="E64" s="198">
        <v>0.1483301174496644</v>
      </c>
      <c r="F64" s="198">
        <v>0</v>
      </c>
      <c r="G64" s="215">
        <v>0</v>
      </c>
      <c r="H64" s="131"/>
    </row>
    <row r="65" spans="1:8" x14ac:dyDescent="0.25">
      <c r="A65" s="133"/>
      <c r="B65" s="204" t="str">
        <v>Concrete (in-situ), , ENVISIA concrete in-situ Melb metro - 65 MPa (Boral) (Australia)</v>
      </c>
      <c r="C65" s="132" t="str">
        <v>m³</v>
      </c>
      <c r="D65" s="198">
        <v>383</v>
      </c>
      <c r="E65" s="198">
        <v>0.15958333333333333</v>
      </c>
      <c r="F65" s="198">
        <v>0</v>
      </c>
      <c r="G65" s="215">
        <v>0</v>
      </c>
      <c r="H65" s="131"/>
    </row>
    <row r="66" spans="1:8" x14ac:dyDescent="0.25">
      <c r="A66" s="133"/>
      <c r="B66" s="204" t="str">
        <v>Concrete (in-situ), , ENVISIA concrete in-situ Perth metro - 65 MPa (Boral) (Australia)</v>
      </c>
      <c r="C66" s="132" t="str">
        <v>m³</v>
      </c>
      <c r="D66" s="198">
        <v>363</v>
      </c>
      <c r="E66" s="198">
        <v>0.15125</v>
      </c>
      <c r="F66" s="198">
        <v>0</v>
      </c>
      <c r="G66" s="215">
        <v>0</v>
      </c>
      <c r="H66" s="131"/>
    </row>
    <row r="67" spans="1:8" x14ac:dyDescent="0.25">
      <c r="A67" s="133"/>
      <c r="B67" s="204" t="str">
        <v>Concrete (in-situ), , Envirocrete plus concrete in-situ Perth metro - 65 MPa (Boral) (Australia)</v>
      </c>
      <c r="C67" s="132" t="str">
        <v>m³</v>
      </c>
      <c r="D67" s="198">
        <v>362</v>
      </c>
      <c r="E67" s="198">
        <v>0.15083333333333335</v>
      </c>
      <c r="F67" s="198">
        <v>0</v>
      </c>
      <c r="G67" s="215">
        <v>0</v>
      </c>
      <c r="H67" s="131"/>
    </row>
    <row r="68" spans="1:8" x14ac:dyDescent="0.25">
      <c r="A68" s="133"/>
      <c r="B68" s="204" t="str">
        <v>Concrete (in-situ), , Envirocrete concrete in-situ Perth metro - 65 MPa (Boral) (Australia)</v>
      </c>
      <c r="C68" s="132" t="str">
        <v>m³</v>
      </c>
      <c r="D68" s="198">
        <v>386</v>
      </c>
      <c r="E68" s="198">
        <v>0.16083333333333333</v>
      </c>
      <c r="F68" s="198">
        <v>0</v>
      </c>
      <c r="G68" s="215">
        <v>0</v>
      </c>
      <c r="H68" s="131"/>
    </row>
    <row r="69" spans="1:8" x14ac:dyDescent="0.25">
      <c r="A69" s="133"/>
      <c r="B69" s="204" t="str">
        <v>Concrete (in-situ), , Concrete in-situ QLD metro High slump 65MPa (Boral) (Australia)</v>
      </c>
      <c r="C69" s="132" t="str">
        <v>m³</v>
      </c>
      <c r="D69" s="198">
        <v>362</v>
      </c>
      <c r="E69" s="198">
        <v>0.15083333333333335</v>
      </c>
      <c r="F69" s="198">
        <v>0</v>
      </c>
      <c r="G69" s="215">
        <v>0</v>
      </c>
      <c r="H69" s="131"/>
    </row>
    <row r="70" spans="1:8" x14ac:dyDescent="0.25">
      <c r="A70" s="133"/>
      <c r="B70" s="204" t="str">
        <v>65 MPa, , Special Class 65MPa (HS651DPD) - high-strength with cement, high slag and fly-ash  (Gunlake) (Australia)</v>
      </c>
      <c r="C70" s="132" t="str">
        <v>m³</v>
      </c>
      <c r="D70" s="198">
        <v>305.09800000000001</v>
      </c>
      <c r="E70" s="198">
        <v>0.12712416666666665</v>
      </c>
      <c r="F70" s="198">
        <v>0</v>
      </c>
      <c r="G70" s="215">
        <v>0</v>
      </c>
      <c r="H70" s="131"/>
    </row>
    <row r="71" spans="1:8" x14ac:dyDescent="0.25">
      <c r="A71" s="133"/>
      <c r="B71" s="204" t="str">
        <v>65 MPa, , Pump 65 MPa • 50% Indicative Cement Replacement • GGBFSF/Silica Fume (Hymix) (Australia)</v>
      </c>
      <c r="C71" s="132" t="str">
        <v>m³</v>
      </c>
      <c r="D71" s="198">
        <v>339</v>
      </c>
      <c r="E71" s="198">
        <v>0.14124999999999999</v>
      </c>
      <c r="F71" s="198">
        <v>0</v>
      </c>
      <c r="G71" s="215">
        <v>0</v>
      </c>
      <c r="H71" s="131"/>
    </row>
    <row r="72" spans="1:8" x14ac:dyDescent="0.25">
      <c r="A72" s="133"/>
      <c r="B72" s="204" t="str">
        <v>65 MPa, , Post Tension 65 MPa 44% Indicative Cement Replacement - GGBFS/Silica Fume Blend (Hymix) (Australia)</v>
      </c>
      <c r="C72" s="132" t="str">
        <v>m³</v>
      </c>
      <c r="D72" s="198">
        <v>418</v>
      </c>
      <c r="E72" s="198">
        <v>0.17416666666666666</v>
      </c>
      <c r="F72" s="198">
        <v>0</v>
      </c>
      <c r="G72" s="215">
        <v>0</v>
      </c>
      <c r="H72" s="131"/>
    </row>
    <row r="73" spans="1:8" x14ac:dyDescent="0.25">
      <c r="A73" s="133"/>
      <c r="B73" s="204" t="str">
        <v>65 MPa, , Tower Jumpform - Core 65 MPa 33% Indicative Cement Replacement - Fly Ash/GGBFS/Silica Fume Blend (Hymix) (Australia)</v>
      </c>
      <c r="C73" s="132" t="str">
        <v>m³</v>
      </c>
      <c r="D73" s="198">
        <v>392</v>
      </c>
      <c r="E73" s="198">
        <v>0.16333333333333333</v>
      </c>
      <c r="F73" s="198">
        <v>0</v>
      </c>
      <c r="G73" s="215">
        <v>0</v>
      </c>
      <c r="H73" s="131"/>
    </row>
    <row r="74" spans="1:8" x14ac:dyDescent="0.25">
      <c r="A74" s="133"/>
      <c r="B74" s="204" t="str">
        <v>65 MPa, , Puddle Pour 65 MPa 50% Indicative Cement Replacement - GGBFS/SiIica Fume Blend (Hymix) (Australia)</v>
      </c>
      <c r="C74" s="132" t="str">
        <v>m³</v>
      </c>
      <c r="D74" s="198">
        <v>403</v>
      </c>
      <c r="E74" s="198">
        <v>0.16791666666666666</v>
      </c>
      <c r="F74" s="198">
        <v>0</v>
      </c>
      <c r="G74" s="215">
        <v>0</v>
      </c>
      <c r="H74" s="131"/>
    </row>
    <row r="75" spans="1:8" x14ac:dyDescent="0.25">
      <c r="A75" s="133"/>
      <c r="B75" s="204" t="str">
        <v>65 MPa, , Tower Columns &amp; Wall 65 MPa 33% Indicative Cement Replacement - Fly Ash/GGBFS/SiIica Fume Blend (Hymix) (Australia)</v>
      </c>
      <c r="C75" s="132" t="str">
        <v>m³</v>
      </c>
      <c r="D75" s="198">
        <v>397</v>
      </c>
      <c r="E75" s="198">
        <v>0.16541666666666666</v>
      </c>
      <c r="F75" s="198">
        <v>0</v>
      </c>
      <c r="G75" s="215">
        <v>0</v>
      </c>
      <c r="H75" s="131"/>
    </row>
    <row r="76" spans="1:8" x14ac:dyDescent="0.25">
      <c r="A76" s="133"/>
      <c r="B76" s="204" t="str">
        <v>65 MPa, , ENVISIA 65 MPa (Boral) (Australia)</v>
      </c>
      <c r="C76" s="132" t="str">
        <v>m³</v>
      </c>
      <c r="D76" s="198">
        <v>379</v>
      </c>
      <c r="E76" s="198">
        <v>0.15791666666666668</v>
      </c>
      <c r="F76" s="198">
        <v>0</v>
      </c>
      <c r="G76" s="215">
        <v>0</v>
      </c>
      <c r="H76" s="131"/>
    </row>
    <row r="77" spans="1:8" x14ac:dyDescent="0.25">
      <c r="A77" s="133"/>
      <c r="B77" s="204" t="str">
        <v>65 MPa, , HIGH SLUMP 65 MPa (Boral) (Australia)</v>
      </c>
      <c r="C77" s="132" t="str">
        <v>m³</v>
      </c>
      <c r="D77" s="198">
        <v>480</v>
      </c>
      <c r="E77" s="198">
        <v>0.2</v>
      </c>
      <c r="F77" s="198">
        <v>0</v>
      </c>
      <c r="G77" s="215">
        <v>0</v>
      </c>
      <c r="H77" s="131"/>
    </row>
    <row r="78" spans="1:8" x14ac:dyDescent="0.25">
      <c r="A78" s="133"/>
      <c r="B78" s="204" t="str">
        <v>65 MPa, NSW, Concrete: AD65HE, AL65HE, PE65HE manufactured at Prestons (Advanced Readymix) (Australia)</v>
      </c>
      <c r="C78" s="132" t="str">
        <v>m³</v>
      </c>
      <c r="D78" s="198">
        <v>525.19361438299995</v>
      </c>
      <c r="E78" s="198">
        <v>0.21883067265958334</v>
      </c>
      <c r="F78" s="198">
        <v>0</v>
      </c>
      <c r="G78" s="215">
        <v>0</v>
      </c>
      <c r="H78" s="131"/>
    </row>
    <row r="79" spans="1:8" x14ac:dyDescent="0.25">
      <c r="A79" s="133"/>
      <c r="B79" s="204" t="str">
        <v>65 MPa, NSW, Concrete: AD65HE, AL65HE, PE65HE manufactured at Seven Hills (Advanced Readymix) (Australia)</v>
      </c>
      <c r="C79" s="132" t="str">
        <v>m³</v>
      </c>
      <c r="D79" s="198">
        <v>521.92040284919995</v>
      </c>
      <c r="E79" s="198">
        <v>0.2174668345205</v>
      </c>
      <c r="F79" s="198">
        <v>0</v>
      </c>
      <c r="G79" s="215">
        <v>0</v>
      </c>
      <c r="H79" s="131"/>
    </row>
    <row r="80" spans="1:8" x14ac:dyDescent="0.25">
      <c r="A80" s="133"/>
      <c r="B80" s="204" t="str">
        <v>65 MPa, NSW, Concrete: AD65HE, AL65HE, PE65HE manufactured at Smithfield (Advanced Readymix) (Australia)</v>
      </c>
      <c r="C80" s="132" t="str">
        <v>m³</v>
      </c>
      <c r="D80" s="198">
        <v>523.13702371469992</v>
      </c>
      <c r="E80" s="198">
        <v>0.21797375988112497</v>
      </c>
      <c r="F80" s="198">
        <v>0</v>
      </c>
      <c r="G80" s="215">
        <v>0</v>
      </c>
      <c r="H80" s="131"/>
    </row>
    <row r="81" spans="1:8" x14ac:dyDescent="0.25">
      <c r="A81" s="133"/>
      <c r="B81" s="204" t="str">
        <v>65 MPa, NSW, Concrete: S65/20/100 manufactured at Prestons (Advanced Readymix) (Australia)</v>
      </c>
      <c r="C81" s="132" t="str">
        <v>m³</v>
      </c>
      <c r="D81" s="198">
        <v>501.90756895669995</v>
      </c>
      <c r="E81" s="198">
        <v>0.20912815373195831</v>
      </c>
      <c r="F81" s="198">
        <v>0</v>
      </c>
      <c r="G81" s="215">
        <v>0</v>
      </c>
      <c r="H81" s="131"/>
    </row>
    <row r="82" spans="1:8" x14ac:dyDescent="0.25">
      <c r="A82" s="133"/>
      <c r="B82" s="204" t="str">
        <v>65 MPa, NSW, Concrete: S65/20/100 manufactured at Smithfield (Advanced Readymix) (Australia)</v>
      </c>
      <c r="C82" s="132" t="str">
        <v>m³</v>
      </c>
      <c r="D82" s="198">
        <v>470.51313176920007</v>
      </c>
      <c r="E82" s="198">
        <v>0.19604713823716668</v>
      </c>
      <c r="F82" s="198">
        <v>0</v>
      </c>
      <c r="G82" s="215">
        <v>0</v>
      </c>
      <c r="H82" s="131"/>
    </row>
    <row r="83" spans="1:8" x14ac:dyDescent="0.25">
      <c r="A83" s="133"/>
      <c r="B83" s="204" t="str">
        <v>65 MPa, NSW, Concrete: S65/10/100 manufactured at Prestons (Advanced Readymix) (Australia)</v>
      </c>
      <c r="C83" s="132" t="str">
        <v>m³</v>
      </c>
      <c r="D83" s="198">
        <v>515.60764358669996</v>
      </c>
      <c r="E83" s="198">
        <v>0.21483651816112498</v>
      </c>
      <c r="F83" s="198">
        <v>0</v>
      </c>
      <c r="G83" s="215">
        <v>0</v>
      </c>
      <c r="H83" s="131"/>
    </row>
    <row r="84" spans="1:8" x14ac:dyDescent="0.25">
      <c r="A84" s="133"/>
      <c r="B84" s="204" t="str">
        <v>65 MPa, NSW, Concrete: S65/10/100 manufactured at Smithfield (Advanced Readymix) (Australia)</v>
      </c>
      <c r="C84" s="132" t="str">
        <v>m³</v>
      </c>
      <c r="D84" s="198">
        <v>484.15161696270002</v>
      </c>
      <c r="E84" s="198">
        <v>0.20172984040112499</v>
      </c>
      <c r="F84" s="198">
        <v>0</v>
      </c>
      <c r="G84" s="215">
        <v>0</v>
      </c>
      <c r="H84" s="131"/>
    </row>
    <row r="85" spans="1:8" x14ac:dyDescent="0.25">
      <c r="A85" s="133"/>
      <c r="B85" s="204" t="str">
        <v>60 MPa, NSW, Readymix concrete: Z6010FLOW650 (Daracrete Pty Ltd) (Australia)</v>
      </c>
      <c r="C85" s="132" t="str">
        <v>m³</v>
      </c>
      <c r="D85" s="198">
        <v>447.08623470700007</v>
      </c>
      <c r="E85" s="198">
        <v>0.18628593112791669</v>
      </c>
      <c r="F85" s="198">
        <v>0</v>
      </c>
      <c r="G85" s="215">
        <v>0</v>
      </c>
      <c r="H85" s="131"/>
    </row>
    <row r="86" spans="1:8" x14ac:dyDescent="0.25">
      <c r="A86" s="133"/>
      <c r="B86" s="204" t="str">
        <v>60 MPa, NSW, Readymix concrete: Z6020FLOW650 (Daracrete Pty Ltd) (Australia)</v>
      </c>
      <c r="C86" s="132" t="str">
        <v>m³</v>
      </c>
      <c r="D86" s="198">
        <v>448.49835333800002</v>
      </c>
      <c r="E86" s="198">
        <v>0.18687431389083337</v>
      </c>
      <c r="F86" s="198">
        <v>0</v>
      </c>
      <c r="G86" s="215">
        <v>0</v>
      </c>
      <c r="H86" s="131"/>
    </row>
    <row r="87" spans="1:8" x14ac:dyDescent="0.25">
      <c r="A87" s="133"/>
      <c r="B87" s="204" t="str">
        <v>60 MPa, NSW, Readymix concrete: Z6020FLOW475 (Daracrete Pty Ltd) (Australia)</v>
      </c>
      <c r="C87" s="132" t="str">
        <v>m³</v>
      </c>
      <c r="D87" s="198">
        <v>448.36276607999997</v>
      </c>
      <c r="E87" s="198">
        <v>0.18681781919999998</v>
      </c>
      <c r="F87" s="198">
        <v>0</v>
      </c>
      <c r="G87" s="215">
        <v>0</v>
      </c>
      <c r="H87" s="131"/>
    </row>
    <row r="88" spans="1:8" x14ac:dyDescent="0.25">
      <c r="A88" s="133"/>
      <c r="B88" s="204" t="str">
        <v>60 MPa, NSW, Readymix concrete: ECO60C2475 (Daracrete Pty Ltd) (Australia)</v>
      </c>
      <c r="C88" s="132" t="str">
        <v>m³</v>
      </c>
      <c r="D88" s="198">
        <v>279.00625497499999</v>
      </c>
      <c r="E88" s="198">
        <v>0.11625260623958333</v>
      </c>
      <c r="F88" s="198">
        <v>0</v>
      </c>
      <c r="G88" s="215">
        <v>0</v>
      </c>
      <c r="H88" s="131"/>
    </row>
    <row r="89" spans="1:8" x14ac:dyDescent="0.25">
      <c r="A89" s="133"/>
      <c r="B89" s="204" t="str">
        <v>60 MPa, NSW, Readymix concrete: Z62HWCB80475 (Daracrete Pty Ltd) (Australia)</v>
      </c>
      <c r="C89" s="132" t="str">
        <v>m³</v>
      </c>
      <c r="D89" s="198">
        <v>425.22154249499999</v>
      </c>
      <c r="E89" s="198">
        <v>0.17717564270625</v>
      </c>
      <c r="F89" s="198">
        <v>0</v>
      </c>
      <c r="G89" s="215">
        <v>0</v>
      </c>
      <c r="H89" s="131"/>
    </row>
    <row r="90" spans="1:8" x14ac:dyDescent="0.25">
      <c r="A90" s="133"/>
      <c r="B90" s="204" t="str">
        <v>65 MPa, NSW, Concrete: S65/20/100 manufactured at Seven Hills (Advanced Readymix) (Australia)</v>
      </c>
      <c r="C90" s="132" t="str">
        <v>m³</v>
      </c>
      <c r="D90" s="198">
        <v>561.67983279769999</v>
      </c>
      <c r="E90" s="198">
        <v>0.23403326366570834</v>
      </c>
      <c r="F90" s="198">
        <v>0</v>
      </c>
      <c r="G90" s="215">
        <v>0</v>
      </c>
      <c r="H90" s="131"/>
    </row>
    <row r="91" spans="1:8" x14ac:dyDescent="0.25">
      <c r="A91" s="133"/>
      <c r="B91" s="217" t="str">
        <v>65 MPa, NSW, Concrete: S65/10/100 manufactured at Seven Hills (Advanced Readymix) (Australia)</v>
      </c>
      <c r="C91" s="218" t="str">
        <v>m³</v>
      </c>
      <c r="D91" s="219">
        <v>578.9458069515</v>
      </c>
      <c r="E91" s="219">
        <v>0.24122741956312499</v>
      </c>
      <c r="F91" s="219">
        <v>0</v>
      </c>
      <c r="G91" s="220">
        <v>0</v>
      </c>
      <c r="H91" s="131"/>
    </row>
    <row r="92" spans="1:8" x14ac:dyDescent="0.25">
      <c r="B92" s="130"/>
      <c r="C92" s="130"/>
      <c r="D92" s="207"/>
      <c r="E92" s="207"/>
      <c r="F92" s="207"/>
      <c r="G92" s="207"/>
    </row>
  </sheetData>
  <dataValidations disablePrompts="1" count="1">
    <dataValidation type="list" allowBlank="1" showInputMessage="1" showErrorMessage="1" sqref="B6:B9" xr:uid="{326FEB15-AE40-4BA3-8226-869004D50EF1}">
      <formula1>"Tier 1,Tier 2,Tier 3,Tier 4"</formula1>
    </dataValidation>
  </dataValidations>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3300-F26C-4B7B-85C8-6EFE4AF1EF74}">
  <sheetPr codeName="Sheet11">
    <tabColor rgb="FF00CCFF"/>
  </sheetPr>
  <dimension ref="A1:H70"/>
  <sheetViews>
    <sheetView workbookViewId="0"/>
  </sheetViews>
  <sheetFormatPr defaultColWidth="9.1796875" defaultRowHeight="12.5" x14ac:dyDescent="0.25"/>
  <cols>
    <col min="1" max="1" width="26.26953125" style="132" customWidth="1"/>
    <col min="2" max="2" width="90.5429687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&gt;65 MPa to ≤80 MPa</v>
      </c>
    </row>
    <row r="2" spans="1:8" ht="13" x14ac:dyDescent="0.25">
      <c r="A2" s="202"/>
    </row>
    <row r="3" spans="1:8" ht="13" x14ac:dyDescent="0.25">
      <c r="A3" s="202" t="s">
        <v>5626</v>
      </c>
      <c r="B3" s="132" t="s">
        <v>5794</v>
      </c>
    </row>
    <row r="4" spans="1:8" ht="13" x14ac:dyDescent="0.25">
      <c r="A4" s="202"/>
    </row>
    <row r="5" spans="1:8" ht="73.5" customHeight="1" x14ac:dyDescent="0.3">
      <c r="A5" s="227" t="s">
        <v>5628</v>
      </c>
      <c r="B5" s="200" t="s">
        <v>5795</v>
      </c>
    </row>
    <row r="6" spans="1:8" ht="13" x14ac:dyDescent="0.3">
      <c r="A6" s="227" t="s">
        <v>5630</v>
      </c>
      <c r="B6" s="201" t="s">
        <v>71</v>
      </c>
    </row>
    <row r="7" spans="1:8" ht="13" x14ac:dyDescent="0.3">
      <c r="A7" s="227" t="s">
        <v>5631</v>
      </c>
      <c r="B7" s="201" t="s">
        <v>71</v>
      </c>
    </row>
    <row r="8" spans="1:8" ht="13" x14ac:dyDescent="0.3">
      <c r="A8" s="227" t="s">
        <v>5632</v>
      </c>
      <c r="B8" s="201" t="s">
        <v>72</v>
      </c>
    </row>
    <row r="9" spans="1:8" ht="13" x14ac:dyDescent="0.3">
      <c r="A9" s="227" t="s">
        <v>5633</v>
      </c>
      <c r="B9" s="231" t="s">
        <v>72</v>
      </c>
    </row>
    <row r="10" spans="1:8" ht="13" x14ac:dyDescent="0.3">
      <c r="A10" s="227"/>
      <c r="B10" s="202"/>
    </row>
    <row r="11" spans="1:8" ht="25.5" x14ac:dyDescent="0.3">
      <c r="A11" s="227" t="s">
        <v>5634</v>
      </c>
      <c r="B11" s="200" t="s">
        <v>5793</v>
      </c>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2657</v>
      </c>
      <c r="C16" s="311" t="s">
        <v>24</v>
      </c>
      <c r="D16" s="345" t="s">
        <v>146</v>
      </c>
      <c r="E16" s="209" t="s">
        <v>153</v>
      </c>
      <c r="F16" s="208" t="s">
        <v>147</v>
      </c>
      <c r="G16" s="208" t="s">
        <v>154</v>
      </c>
      <c r="H16" s="131"/>
    </row>
    <row r="17" spans="1:8" ht="13" x14ac:dyDescent="0.3">
      <c r="A17" s="133"/>
      <c r="B17" s="317"/>
      <c r="C17" s="206" t="s">
        <v>5636</v>
      </c>
      <c r="D17" s="207" t="str" cm="1">
        <f t="array" ref="D17">IF(AND(_xlfn.ANCHORARRAY(C23)=C23),C23,"Mixed")</f>
        <v>m³</v>
      </c>
      <c r="E17" s="207" t="s">
        <v>2774</v>
      </c>
      <c r="F17" s="207" t="str" cm="1">
        <f t="array" ref="F17">IF(AND(_xlfn.ANCHORARRAY(C23)=C23),C23,"Mixed")</f>
        <v>m³</v>
      </c>
      <c r="G17" s="318" t="s">
        <v>2774</v>
      </c>
      <c r="H17" s="131"/>
    </row>
    <row r="18" spans="1:8" s="200" customFormat="1" ht="13" x14ac:dyDescent="0.3">
      <c r="A18" s="221"/>
      <c r="B18" s="214"/>
      <c r="C18" s="202" t="s">
        <v>5637</v>
      </c>
      <c r="D18" s="230">
        <f>MAX(_xlfn.ANCHORARRAY(D23))</f>
        <v>657</v>
      </c>
      <c r="E18" s="230">
        <f>MAX(_xlfn.ANCHORARRAY(E23))</f>
        <v>0.27374999999999999</v>
      </c>
      <c r="F18" s="198">
        <f t="shared" ref="F18:G18" si="0">MAX(_xlfn.ANCHORARRAY(F23))</f>
        <v>0</v>
      </c>
      <c r="G18" s="215">
        <f t="shared" si="0"/>
        <v>0</v>
      </c>
      <c r="H18" s="222"/>
    </row>
    <row r="19" spans="1:8" ht="13" x14ac:dyDescent="0.25">
      <c r="A19" s="133"/>
      <c r="B19" s="204"/>
      <c r="C19" s="202" t="s">
        <v>5638</v>
      </c>
      <c r="D19" s="198">
        <f>MIN(_xlfn.ANCHORARRAY(D23))</f>
        <v>301</v>
      </c>
      <c r="E19" s="198">
        <f t="shared" ref="E19:G19" si="1">MIN(_xlfn.ANCHORARRAY(E23))</f>
        <v>0.12541666666666668</v>
      </c>
      <c r="F19" s="198">
        <f t="shared" si="1"/>
        <v>0</v>
      </c>
      <c r="G19" s="215">
        <f t="shared" si="1"/>
        <v>0</v>
      </c>
      <c r="H19" s="131"/>
    </row>
    <row r="20" spans="1:8" ht="13" x14ac:dyDescent="0.25">
      <c r="A20" s="133"/>
      <c r="B20" s="204"/>
      <c r="C20" s="202" t="s">
        <v>5639</v>
      </c>
      <c r="D20" s="198">
        <f>AVERAGE(_xlfn.ANCHORARRAY(D23))</f>
        <v>424.60448463242341</v>
      </c>
      <c r="E20" s="198">
        <f t="shared" ref="E20:G20" si="2">AVERAGE(_xlfn.ANCHORARRAY(E23))</f>
        <v>0.17696782550816678</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69">_xlfn.UNIQUE(_xlfn._xlws.FILTER('EPD List'!D:D,ISNUMBER(SEARCH(B16,'EPD List'!C:C)),0))</f>
        <v>Concrete, 80 MPa, in-situ, no reinforcement, (VE801EAV) (Ecopact) (Holcim) (VIC)</v>
      </c>
      <c r="C23" s="132" t="str" cm="1">
        <f t="array" ref="C23:C69">_xlfn.IFNA(INDEX('EPD List'!$A:$AB,MATCH(_xlfn.ANCHORARRAY(B23),'EPD List'!$D:$D,0),MATCH(C$16,'EPD List'!$7:$7,0)),"")</f>
        <v>m³</v>
      </c>
      <c r="D23" s="198" cm="1">
        <f t="array" ref="D23:D69">_xlfn.IFNA(VALUE((INDEX('EPD List'!$A:$AD,MATCH(_xlfn.ANCHORARRAY($B23),'EPD List'!$D:$D,0),MATCH(D$16,'EPD List'!$7:$7,0)))),"")</f>
        <v>408.36</v>
      </c>
      <c r="E23" s="198" cm="1">
        <f t="array" ref="E23:E69">_xlfn.IFNA(VALUE((INDEX('EPD List'!$A:$AD,MATCH(_xlfn.ANCHORARRAY($B23),'EPD List'!$D:$D,0),MATCH(E$16,'EPD List'!$7:$7,0)))),"")</f>
        <v>0.17015000000000002</v>
      </c>
      <c r="F23" s="198" cm="1">
        <f t="array" ref="F23:F69">_xlfn.IFNA(VALUE((INDEX('EPD List'!$A:$AD,MATCH(_xlfn.ANCHORARRAY($B23),'EPD List'!$D:$D,0),MATCH(F$16,'EPD List'!$7:$7,0)))),"")</f>
        <v>0</v>
      </c>
      <c r="G23" s="215" cm="1">
        <f t="array" ref="G23:G69">_xlfn.IFNA(VALUE((INDEX('EPD List'!$A:$AD,MATCH(_xlfn.ANCHORARRAY($B23),'EPD List'!$D:$D,0),MATCH(G$16,'EPD List'!$7:$7,0)))),"")</f>
        <v>0</v>
      </c>
      <c r="H23" s="131"/>
    </row>
    <row r="24" spans="1:8" x14ac:dyDescent="0.25">
      <c r="A24" s="133"/>
      <c r="B24" s="204" t="str">
        <v>Concrete, 80 MPa, in-situ, no reinforcement, (80MPa 14MM 150MM SLUMP CONCRETE) (Adbri) (VIC)</v>
      </c>
      <c r="C24" s="132" t="str">
        <v>m³</v>
      </c>
      <c r="D24" s="198">
        <v>406.33</v>
      </c>
      <c r="E24" s="198">
        <v>0.16930416666666667</v>
      </c>
      <c r="F24" s="198">
        <v>0</v>
      </c>
      <c r="G24" s="215">
        <v>0</v>
      </c>
      <c r="H24" s="131"/>
    </row>
    <row r="25" spans="1:8" x14ac:dyDescent="0.25">
      <c r="A25" s="133"/>
      <c r="B25" s="204" t="str">
        <v>Concrete, 80 MPa, in-situ, no reinforcement, (QE801EDUF) (Ecopact) (Holcim) (QLD), Gold Coast</v>
      </c>
      <c r="C25" s="132" t="str">
        <v>m³</v>
      </c>
      <c r="D25" s="198">
        <v>432.33</v>
      </c>
      <c r="E25" s="198">
        <v>0.18013750000000001</v>
      </c>
      <c r="F25" s="198">
        <v>0</v>
      </c>
      <c r="G25" s="215">
        <v>0</v>
      </c>
      <c r="H25" s="131"/>
    </row>
    <row r="26" spans="1:8" x14ac:dyDescent="0.25">
      <c r="A26" s="133"/>
      <c r="B26" s="204" t="str">
        <v>Concrete, 80 MPa, in-situ, no reinforcement, (QE801E200) (Ecopact) (Holcim) (QLD) (Brisbane)</v>
      </c>
      <c r="C26" s="132" t="str">
        <v>m³</v>
      </c>
      <c r="D26" s="198">
        <v>419.31</v>
      </c>
      <c r="E26" s="198">
        <v>0.17471250000000002</v>
      </c>
      <c r="F26" s="198">
        <v>0</v>
      </c>
      <c r="G26" s="215">
        <v>0</v>
      </c>
      <c r="H26" s="131"/>
    </row>
    <row r="27" spans="1:8" x14ac:dyDescent="0.25">
      <c r="A27" s="133"/>
      <c r="B27" s="204" t="str">
        <v>Concrete, 80 MPa, in-situ, no reinforcement, (QE801EDUF) (Ecopact) (Holcim) (QLD) (Brisbane)</v>
      </c>
      <c r="C27" s="132" t="str">
        <v>m³</v>
      </c>
      <c r="D27" s="198">
        <v>421.31</v>
      </c>
      <c r="E27" s="198">
        <v>0.17554583333333335</v>
      </c>
      <c r="F27" s="198">
        <v>0</v>
      </c>
      <c r="G27" s="215">
        <v>0</v>
      </c>
      <c r="H27" s="131"/>
    </row>
    <row r="28" spans="1:8" x14ac:dyDescent="0.25">
      <c r="A28" s="133"/>
      <c r="B28" s="204" t="str">
        <v>Concrete, 80 MPa, in-situ, no reinforcement, Pre-mix Concrete ENVISIA 80MPa (Boral) (ACT), (Canberra) ENVISIA 80MPa</v>
      </c>
      <c r="C28" s="132" t="str">
        <v>m³</v>
      </c>
      <c r="D28" s="198">
        <v>433</v>
      </c>
      <c r="E28" s="198">
        <v>0.18041666666666667</v>
      </c>
      <c r="F28" s="198">
        <v>0</v>
      </c>
      <c r="G28" s="215">
        <v>0</v>
      </c>
      <c r="H28" s="131"/>
    </row>
    <row r="29" spans="1:8" x14ac:dyDescent="0.25">
      <c r="A29" s="133"/>
      <c r="B29" s="204" t="str">
        <v>Concrete, 80 MPa, in-situ, no reinforcement, Pre-mix Concrete HIGH SLUMP (Boral) (ACT), (Canberra) HIGH SLUMP 80MPa</v>
      </c>
      <c r="C29" s="132" t="str">
        <v>m³</v>
      </c>
      <c r="D29" s="198">
        <v>520</v>
      </c>
      <c r="E29" s="198">
        <v>0.21666666666666667</v>
      </c>
      <c r="F29" s="198">
        <v>0</v>
      </c>
      <c r="G29" s="215">
        <v>0</v>
      </c>
      <c r="H29" s="131"/>
    </row>
    <row r="30" spans="1:8" x14ac:dyDescent="0.25">
      <c r="A30" s="133"/>
      <c r="B30" s="204" t="str">
        <v>Concrete, 80 MPa, in-situ, no reinforcement, Pre-mix Concrete ENVISIA (Boral) (NSW), (Newcastle) ENVISIA 80MPa</v>
      </c>
      <c r="C30" s="132" t="str">
        <v>m³</v>
      </c>
      <c r="D30" s="198">
        <v>422</v>
      </c>
      <c r="E30" s="198">
        <v>0.17583333333333334</v>
      </c>
      <c r="F30" s="198">
        <v>0</v>
      </c>
      <c r="G30" s="215">
        <v>0</v>
      </c>
      <c r="H30" s="131"/>
    </row>
    <row r="31" spans="1:8" x14ac:dyDescent="0.25">
      <c r="A31" s="133"/>
      <c r="B31" s="204" t="str">
        <v>Concrete, 80 MPa, in-situ, no reinforcement, Pre-mix Concrete HIGH SLUMP (Boral) (NSW), (Newcastle) HIGH SLUMP 80MPa</v>
      </c>
      <c r="C31" s="132" t="str">
        <v>m³</v>
      </c>
      <c r="D31" s="198">
        <v>485</v>
      </c>
      <c r="E31" s="198">
        <v>0.20208333333333334</v>
      </c>
      <c r="F31" s="198">
        <v>0</v>
      </c>
      <c r="G31" s="215">
        <v>0</v>
      </c>
      <c r="H31" s="131"/>
    </row>
    <row r="32" spans="1:8" x14ac:dyDescent="0.25">
      <c r="A32" s="133"/>
      <c r="B32" s="204" t="str">
        <v>Concrete, 80 MPa, in-situ, no reinforcement, Pre-mix Concrete HIGH SLUMP (Boral) (NSW), (Sydney) HIGH SLUMP 80MPa</v>
      </c>
      <c r="C32" s="132" t="str">
        <v>m³</v>
      </c>
      <c r="D32" s="198">
        <v>385</v>
      </c>
      <c r="E32" s="198">
        <v>0.16041666666666668</v>
      </c>
      <c r="F32" s="198">
        <v>0</v>
      </c>
      <c r="G32" s="215">
        <v>0</v>
      </c>
      <c r="H32" s="131"/>
    </row>
    <row r="33" spans="1:8" x14ac:dyDescent="0.25">
      <c r="A33" s="133"/>
      <c r="B33" s="204" t="str">
        <v>Concrete, 80 MPa, in-situ, no reinforcement, Pre-mix Concrete ENVISIA (Boral) (NSW), (Sydney) ENVISIA 80MPa</v>
      </c>
      <c r="C33" s="132" t="str">
        <v>m³</v>
      </c>
      <c r="D33" s="198">
        <v>422</v>
      </c>
      <c r="E33" s="198">
        <v>0.17583333333333334</v>
      </c>
      <c r="F33" s="198">
        <v>0</v>
      </c>
      <c r="G33" s="215">
        <v>0</v>
      </c>
      <c r="H33" s="131"/>
    </row>
    <row r="34" spans="1:8" x14ac:dyDescent="0.25">
      <c r="A34" s="133"/>
      <c r="B34" s="204" t="str">
        <v>Concrete, 80 MPa, in-situ, no reinforcement, Pre-mix Concrete ENVISIA (Boral) (NSW), (Wollongong) ENVISIA 80MPa</v>
      </c>
      <c r="C34" s="132" t="str">
        <v>m³</v>
      </c>
      <c r="D34" s="198">
        <v>426</v>
      </c>
      <c r="E34" s="198">
        <v>0.17749999999999999</v>
      </c>
      <c r="F34" s="198">
        <v>0</v>
      </c>
      <c r="G34" s="215">
        <v>0</v>
      </c>
      <c r="H34" s="131"/>
    </row>
    <row r="35" spans="1:8" x14ac:dyDescent="0.25">
      <c r="A35" s="133"/>
      <c r="B35" s="204" t="str">
        <v>Concrete, 80 MPa, in-situ, no reinforcement, Pre-mix Concrete HIGH SLUMP (Boral) (NSW), (Wollongong) HIGH SLUMP 80MPa</v>
      </c>
      <c r="C35" s="132" t="str">
        <v>m³</v>
      </c>
      <c r="D35" s="198">
        <v>529</v>
      </c>
      <c r="E35" s="198">
        <v>0.22041666666666668</v>
      </c>
      <c r="F35" s="198">
        <v>0</v>
      </c>
      <c r="G35" s="215">
        <v>0</v>
      </c>
      <c r="H35" s="131"/>
    </row>
    <row r="36" spans="1:8" x14ac:dyDescent="0.25">
      <c r="A36" s="133"/>
      <c r="B36" s="204" t="str">
        <v>Concrete, 80 MPa, in-situ, no reinforcement, Ready-Mix Concrete (LC)50 (Concrite) (NSW) (Sydney Region, NSW)</v>
      </c>
      <c r="C36" s="132" t="str">
        <v>m³</v>
      </c>
      <c r="D36" s="198">
        <v>301</v>
      </c>
      <c r="E36" s="198">
        <v>0.12541666666666668</v>
      </c>
      <c r="F36" s="198">
        <v>0</v>
      </c>
      <c r="G36" s="215">
        <v>0</v>
      </c>
      <c r="H36" s="131"/>
    </row>
    <row r="37" spans="1:8" x14ac:dyDescent="0.25">
      <c r="A37" s="133"/>
      <c r="B37" s="204" t="str">
        <v>Concrete, 80 MPa, in-situ, no reinforcement, Ready-Mix Concrete HIGH STRENGTH (Concrite) (NSW) (Sydney Region, NSW)</v>
      </c>
      <c r="C37" s="132" t="str">
        <v>m³</v>
      </c>
      <c r="D37" s="198">
        <v>413</v>
      </c>
      <c r="E37" s="198">
        <v>0.17208333333333334</v>
      </c>
      <c r="F37" s="198">
        <v>0</v>
      </c>
      <c r="G37" s="215">
        <v>0</v>
      </c>
      <c r="H37" s="131"/>
    </row>
    <row r="38" spans="1:8" x14ac:dyDescent="0.25">
      <c r="A38" s="133"/>
      <c r="B38" s="204" t="str">
        <v>Concrete, 80 MPa, in-situ, no reinforcement, (NE801ELH)(Ecopact) (Holcim) (NSW), (Sydney)</v>
      </c>
      <c r="C38" s="132" t="str">
        <v>m³</v>
      </c>
      <c r="D38" s="198">
        <v>391.38</v>
      </c>
      <c r="E38" s="198">
        <v>0.163075</v>
      </c>
      <c r="F38" s="198">
        <v>0</v>
      </c>
      <c r="G38" s="215">
        <v>0</v>
      </c>
      <c r="H38" s="131"/>
    </row>
    <row r="39" spans="1:8" x14ac:dyDescent="0.25">
      <c r="A39" s="133"/>
      <c r="B39" s="204" t="str">
        <v>Concrete, 80 MPa, in-situ, no reinforcement, (QE801E200) (Ecopact) (Holcim) (QLD), Gold Coast</v>
      </c>
      <c r="C39" s="132" t="str">
        <v>m³</v>
      </c>
      <c r="D39" s="198">
        <v>417.31</v>
      </c>
      <c r="E39" s="198">
        <v>0.17387916666666667</v>
      </c>
      <c r="F39" s="198">
        <v>0</v>
      </c>
      <c r="G39" s="215">
        <v>0</v>
      </c>
      <c r="H39" s="131"/>
    </row>
    <row r="40" spans="1:8" x14ac:dyDescent="0.25">
      <c r="A40" s="133"/>
      <c r="B40" s="204" t="str">
        <v>Concrete, 80 MPa, in-situ, no reinforcement, (80MPa 14MM
SUPER WORKABLE CONCRETE) (Adbri) (VIC)</v>
      </c>
      <c r="C40" s="132" t="str">
        <v>m³</v>
      </c>
      <c r="D40" s="198">
        <v>451.22</v>
      </c>
      <c r="E40" s="198">
        <v>0.18800833333333333</v>
      </c>
      <c r="F40" s="198">
        <v>0</v>
      </c>
      <c r="G40" s="215">
        <v>0</v>
      </c>
      <c r="H40" s="131"/>
    </row>
    <row r="41" spans="1:8" x14ac:dyDescent="0.25">
      <c r="A41" s="133"/>
      <c r="B41" s="204" t="str">
        <v>Concrete (in-situ), 80MPa, Pre-mix Concrete E80SP (Barro Group) (Australia)</v>
      </c>
      <c r="C41" s="132" t="str">
        <v>m³</v>
      </c>
      <c r="D41" s="198">
        <v>375.74200000000002</v>
      </c>
      <c r="E41" s="198">
        <v>0.15760989932885905</v>
      </c>
      <c r="F41" s="198">
        <v>0</v>
      </c>
      <c r="G41" s="215">
        <v>0</v>
      </c>
      <c r="H41" s="131"/>
    </row>
    <row r="42" spans="1:8" x14ac:dyDescent="0.25">
      <c r="A42" s="133"/>
      <c r="B42" s="204" t="str">
        <v>Concrete (in-situ), 80MPa, Pre-mix Concrete E80SPHE (Barro Group) (Australia)</v>
      </c>
      <c r="C42" s="132" t="str">
        <v>m³</v>
      </c>
      <c r="D42" s="198">
        <v>452.68900000000002</v>
      </c>
      <c r="E42" s="198">
        <v>0.18988632550335571</v>
      </c>
      <c r="F42" s="198">
        <v>0</v>
      </c>
      <c r="G42" s="215">
        <v>0</v>
      </c>
      <c r="H42" s="131"/>
    </row>
    <row r="43" spans="1:8" x14ac:dyDescent="0.25">
      <c r="A43" s="133"/>
      <c r="B43" s="204" t="str">
        <v>Concrete (in-situ), , Concrete in-situ QLD metro ASPIRE 45 Gpa - 80 MPa (Boral) (Australia)</v>
      </c>
      <c r="C43" s="132" t="str">
        <v>m³</v>
      </c>
      <c r="D43" s="198">
        <v>457</v>
      </c>
      <c r="E43" s="198">
        <v>0.19041666666666668</v>
      </c>
      <c r="F43" s="198">
        <v>0</v>
      </c>
      <c r="G43" s="215">
        <v>0</v>
      </c>
      <c r="H43" s="131"/>
    </row>
    <row r="44" spans="1:8" x14ac:dyDescent="0.25">
      <c r="A44" s="133"/>
      <c r="B44" s="204" t="str">
        <v>Concrete (in-situ), , Concrete in-situ QLD metro High slump 80 MPa (Boral) (Australia)</v>
      </c>
      <c r="C44" s="132" t="str">
        <v>m³</v>
      </c>
      <c r="D44" s="198">
        <v>559</v>
      </c>
      <c r="E44" s="198">
        <v>0.23291666666666666</v>
      </c>
      <c r="F44" s="198">
        <v>0</v>
      </c>
      <c r="G44" s="215">
        <v>0</v>
      </c>
      <c r="H44" s="131"/>
    </row>
    <row r="45" spans="1:8" x14ac:dyDescent="0.25">
      <c r="A45" s="133"/>
      <c r="B45" s="204" t="str">
        <v>80 MPa, , Special Class 80MPa (HS801DPD) - high-strength with cement, high slag, fly-ash and silica fume (Gunlake) (Australia)</v>
      </c>
      <c r="C45" s="132" t="str">
        <v>m³</v>
      </c>
      <c r="D45" s="198">
        <v>319.76600000000002</v>
      </c>
      <c r="E45" s="198">
        <v>0.13323583333333333</v>
      </c>
      <c r="F45" s="198">
        <v>0</v>
      </c>
      <c r="G45" s="215">
        <v>0</v>
      </c>
      <c r="H45" s="131"/>
    </row>
    <row r="46" spans="1:8" x14ac:dyDescent="0.25">
      <c r="A46" s="133"/>
      <c r="B46" s="204" t="str">
        <v>80 MPa, , Pump 80 MPa 39% Indicative Cement Replacement. Fly Ash/GGBFS/Silica Fume (Hymix) (Australia)</v>
      </c>
      <c r="C46" s="132" t="str">
        <v>m³</v>
      </c>
      <c r="D46" s="198">
        <v>408</v>
      </c>
      <c r="E46" s="198">
        <v>0.17</v>
      </c>
      <c r="F46" s="198">
        <v>0</v>
      </c>
      <c r="G46" s="215">
        <v>0</v>
      </c>
      <c r="H46" s="131"/>
    </row>
    <row r="47" spans="1:8" x14ac:dyDescent="0.25">
      <c r="A47" s="133"/>
      <c r="B47" s="204" t="str">
        <v>80 MPa, , Pump 80 MPa • Indicative Cement Replacement. Fly Ash/GGBFS/Silica Fume (Hymix) (Australia)</v>
      </c>
      <c r="C47" s="132" t="str">
        <v>m³</v>
      </c>
      <c r="D47" s="198">
        <v>570</v>
      </c>
      <c r="E47" s="198">
        <v>0.23749999999999999</v>
      </c>
      <c r="F47" s="198">
        <v>0</v>
      </c>
      <c r="G47" s="215">
        <v>0</v>
      </c>
      <c r="H47" s="131"/>
    </row>
    <row r="48" spans="1:8" x14ac:dyDescent="0.25">
      <c r="A48" s="133"/>
      <c r="B48" s="204" t="str">
        <v>80 MPa, , Tower Jumpform - Core 80 MPa 36% Indicative Cement Replacement - Fly Ash/GGBFS/SiIica Fume Blend (Hymix) (Australia)</v>
      </c>
      <c r="C48" s="132" t="str">
        <v>m³</v>
      </c>
      <c r="D48" s="198">
        <v>424</v>
      </c>
      <c r="E48" s="198">
        <v>0.17666666666666667</v>
      </c>
      <c r="F48" s="198">
        <v>0</v>
      </c>
      <c r="G48" s="215">
        <v>0</v>
      </c>
      <c r="H48" s="131"/>
    </row>
    <row r="49" spans="1:8" x14ac:dyDescent="0.25">
      <c r="A49" s="133"/>
      <c r="B49" s="204" t="str">
        <v>80 MPa, , Transfer Slab 80 MPa 62% Indicative Cement Replacement - Fly Ash/GGBFS/Silica Fume Blend (Hymix) (Australia)</v>
      </c>
      <c r="C49" s="132" t="str">
        <v>m³</v>
      </c>
      <c r="D49" s="198">
        <v>318</v>
      </c>
      <c r="E49" s="198">
        <v>0.13250000000000001</v>
      </c>
      <c r="F49" s="198">
        <v>0</v>
      </c>
      <c r="G49" s="215">
        <v>0</v>
      </c>
      <c r="H49" s="131"/>
    </row>
    <row r="50" spans="1:8" x14ac:dyDescent="0.25">
      <c r="A50" s="133"/>
      <c r="B50" s="204" t="str">
        <v>80 MPa, , Tower Columns &amp; Wall 80 MPa 39% Indicative Cement Replacement - Fly Ash/GGBFS/Silica Fume Blend (Hymix) (Australia)</v>
      </c>
      <c r="C50" s="132" t="str">
        <v>m³</v>
      </c>
      <c r="D50" s="198">
        <v>415</v>
      </c>
      <c r="E50" s="198">
        <v>0.17291666666666666</v>
      </c>
      <c r="F50" s="198">
        <v>0</v>
      </c>
      <c r="G50" s="215">
        <v>0</v>
      </c>
      <c r="H50" s="131"/>
    </row>
    <row r="51" spans="1:8" x14ac:dyDescent="0.25">
      <c r="A51" s="133"/>
      <c r="B51" s="204" t="str">
        <v>80 MPa, , Puddle Pour 80 MPa 15% Indicative Cement Replacement - GGBFS/SiIica Fume Blend (Hymix) (Australia)</v>
      </c>
      <c r="C51" s="132" t="str">
        <v>m³</v>
      </c>
      <c r="D51" s="198">
        <v>657</v>
      </c>
      <c r="E51" s="198">
        <v>0.27374999999999999</v>
      </c>
      <c r="F51" s="198">
        <v>0</v>
      </c>
      <c r="G51" s="215">
        <v>0</v>
      </c>
      <c r="H51" s="131"/>
    </row>
    <row r="52" spans="1:8" x14ac:dyDescent="0.25">
      <c r="A52" s="133"/>
      <c r="B52" s="204" t="str">
        <v>80 MPa, , Puddle Pour 80 MPa 43% Indicative Cement Replacement - GGBFS/Silica Fume Blend (Hymix) (Australia)</v>
      </c>
      <c r="C52" s="132" t="str">
        <v>m³</v>
      </c>
      <c r="D52" s="198">
        <v>496</v>
      </c>
      <c r="E52" s="198">
        <v>0.20666666666666667</v>
      </c>
      <c r="F52" s="198">
        <v>0</v>
      </c>
      <c r="G52" s="215">
        <v>0</v>
      </c>
      <c r="H52" s="131"/>
    </row>
    <row r="53" spans="1:8" x14ac:dyDescent="0.25">
      <c r="A53" s="133"/>
      <c r="B53" s="204" t="str">
        <v>80 MPa, , HIGH SLUMP 80 MPa (Boral) (Australia)</v>
      </c>
      <c r="C53" s="132" t="str">
        <v>m³</v>
      </c>
      <c r="D53" s="198">
        <v>507</v>
      </c>
      <c r="E53" s="198">
        <v>0.21124999999999999</v>
      </c>
      <c r="F53" s="198">
        <v>0</v>
      </c>
      <c r="G53" s="215">
        <v>0</v>
      </c>
      <c r="H53" s="131"/>
    </row>
    <row r="54" spans="1:8" x14ac:dyDescent="0.25">
      <c r="A54" s="133"/>
      <c r="B54" s="204" t="str">
        <v>80 MPa, NSW, Concrete: AD80SL, AL80HE, PE80HE manufactured at Prestons (Advanced Readymix) (Australia)</v>
      </c>
      <c r="C54" s="132" t="str">
        <v>m³</v>
      </c>
      <c r="D54" s="198">
        <v>504.19149389789999</v>
      </c>
      <c r="E54" s="198">
        <v>0.21007978912412498</v>
      </c>
      <c r="F54" s="198">
        <v>0</v>
      </c>
      <c r="G54" s="215">
        <v>0</v>
      </c>
      <c r="H54" s="131"/>
    </row>
    <row r="55" spans="1:8" x14ac:dyDescent="0.25">
      <c r="A55" s="133"/>
      <c r="B55" s="204" t="str">
        <v>80 MPa, NSW, Concrete: AD80SL, AL80HE, PE80HE manufactured at Smithfield (Advanced Readymix) (Australia)</v>
      </c>
      <c r="C55" s="132" t="str">
        <v>m³</v>
      </c>
      <c r="D55" s="198">
        <v>499.97269367890004</v>
      </c>
      <c r="E55" s="198">
        <v>0.20832195569954165</v>
      </c>
      <c r="F55" s="198">
        <v>0</v>
      </c>
      <c r="G55" s="215">
        <v>0</v>
      </c>
      <c r="H55" s="131"/>
    </row>
    <row r="56" spans="1:8" x14ac:dyDescent="0.25">
      <c r="A56" s="133"/>
      <c r="B56" s="204" t="str">
        <v>80 MPa, NSW, Concrete: B80 B2 50MPA manufactured at Prestons (Advanced Readymix) (Australia)</v>
      </c>
      <c r="C56" s="132" t="str">
        <v>m³</v>
      </c>
      <c r="D56" s="198">
        <v>338.61947491069998</v>
      </c>
      <c r="E56" s="198">
        <v>0.14109144787945835</v>
      </c>
      <c r="F56" s="198">
        <v>0</v>
      </c>
      <c r="G56" s="215">
        <v>0</v>
      </c>
      <c r="H56" s="131"/>
    </row>
    <row r="57" spans="1:8" x14ac:dyDescent="0.25">
      <c r="A57" s="133"/>
      <c r="B57" s="204" t="str">
        <v>80 MPa, NSW, Concrete: B80 B2 50MPA manufactured at Smithfield (Advanced Readymix) (Australia)</v>
      </c>
      <c r="C57" s="132" t="str">
        <v>m³</v>
      </c>
      <c r="D57" s="198">
        <v>326.38473876109998</v>
      </c>
      <c r="E57" s="198">
        <v>0.13599364115045831</v>
      </c>
      <c r="F57" s="198">
        <v>0</v>
      </c>
      <c r="G57" s="215">
        <v>0</v>
      </c>
      <c r="H57" s="131"/>
    </row>
    <row r="58" spans="1:8" x14ac:dyDescent="0.25">
      <c r="A58" s="133"/>
      <c r="B58" s="204" t="str">
        <v>80 MPa, NSW, Concrete: B80 B1 40MPA manufactured at Prestons (Advanced Readymix) (Australia)</v>
      </c>
      <c r="C58" s="132" t="str">
        <v>m³</v>
      </c>
      <c r="D58" s="198">
        <v>328.88752305320003</v>
      </c>
      <c r="E58" s="198">
        <v>0.13703646793883334</v>
      </c>
      <c r="F58" s="198">
        <v>0</v>
      </c>
      <c r="G58" s="215">
        <v>0</v>
      </c>
      <c r="H58" s="131"/>
    </row>
    <row r="59" spans="1:8" x14ac:dyDescent="0.25">
      <c r="A59" s="133"/>
      <c r="B59" s="204" t="str">
        <v>80 MPa, NSW, Concrete: B80 B1 50MPA manufactured at Prestons (Advanced Readymix) (Australia)</v>
      </c>
      <c r="C59" s="132" t="str">
        <v>m³</v>
      </c>
      <c r="D59" s="198">
        <v>362.85211749349997</v>
      </c>
      <c r="E59" s="198">
        <v>0.15118838228895831</v>
      </c>
      <c r="F59" s="198">
        <v>0</v>
      </c>
      <c r="G59" s="215">
        <v>0</v>
      </c>
      <c r="H59" s="131"/>
    </row>
    <row r="60" spans="1:8" x14ac:dyDescent="0.25">
      <c r="A60" s="133"/>
      <c r="B60" s="204" t="str">
        <v>80 MPa, NSW, Concrete: B80 B1 40MPA manufactured at Smithfield (Advanced Readymix) (Australia)</v>
      </c>
      <c r="C60" s="132" t="str">
        <v>m³</v>
      </c>
      <c r="D60" s="198">
        <v>311.50276633829998</v>
      </c>
      <c r="E60" s="198">
        <v>0.12979281930762501</v>
      </c>
      <c r="F60" s="198">
        <v>0</v>
      </c>
      <c r="G60" s="215">
        <v>0</v>
      </c>
      <c r="H60" s="131"/>
    </row>
    <row r="61" spans="1:8" x14ac:dyDescent="0.25">
      <c r="A61" s="133"/>
      <c r="B61" s="204" t="str">
        <v>80 MPa, NSW, Concrete: B80 B1 50MPA manufactured at Smithfield (Advanced Readymix) (Australia)</v>
      </c>
      <c r="C61" s="132" t="str">
        <v>m³</v>
      </c>
      <c r="D61" s="198">
        <v>345.69133758140003</v>
      </c>
      <c r="E61" s="198">
        <v>0.14403805732558334</v>
      </c>
      <c r="F61" s="198">
        <v>0</v>
      </c>
      <c r="G61" s="215">
        <v>0</v>
      </c>
      <c r="H61" s="131"/>
    </row>
    <row r="62" spans="1:8" x14ac:dyDescent="0.25">
      <c r="A62" s="133"/>
      <c r="B62" s="204" t="str">
        <v>80 MPa, NSW, Concrete: B80 B2 50MPA manufactured at Seven Hills (Advanced Readymix) (Australia)</v>
      </c>
      <c r="C62" s="132" t="str">
        <v>m³</v>
      </c>
      <c r="D62" s="198">
        <v>383.43594750310001</v>
      </c>
      <c r="E62" s="198">
        <v>0.15976497812629167</v>
      </c>
      <c r="F62" s="198">
        <v>0</v>
      </c>
      <c r="G62" s="215">
        <v>0</v>
      </c>
      <c r="H62" s="131"/>
    </row>
    <row r="63" spans="1:8" x14ac:dyDescent="0.25">
      <c r="A63" s="133"/>
      <c r="B63" s="204" t="str">
        <v>80 MPa, NSW, Concrete: AD80SL, AL80HE, PE80HE manufactured at Seven Hills (Advanced Readymix) (Australia)</v>
      </c>
      <c r="C63" s="132" t="str">
        <v>m³</v>
      </c>
      <c r="D63" s="198">
        <v>596.66874285849997</v>
      </c>
      <c r="E63" s="198">
        <v>0.24861197619104167</v>
      </c>
      <c r="F63" s="198">
        <v>0</v>
      </c>
      <c r="G63" s="215">
        <v>0</v>
      </c>
      <c r="H63" s="131"/>
    </row>
    <row r="64" spans="1:8" x14ac:dyDescent="0.25">
      <c r="A64" s="133"/>
      <c r="B64" s="204" t="str">
        <v>80 MPa, NSW, Readymix concrete: B805020100 (Daracrete Pty Ltd) (Australia)</v>
      </c>
      <c r="C64" s="132" t="str">
        <v>m³</v>
      </c>
      <c r="D64" s="198">
        <v>424.94410150800002</v>
      </c>
      <c r="E64" s="198">
        <v>0.177060042295</v>
      </c>
      <c r="F64" s="198">
        <v>0</v>
      </c>
      <c r="G64" s="215">
        <v>0</v>
      </c>
      <c r="H64" s="131"/>
    </row>
    <row r="65" spans="1:8" x14ac:dyDescent="0.25">
      <c r="A65" s="133"/>
      <c r="B65" s="204" t="str">
        <v>80 MPa, NSW, Readymix concrete: B805010100 (Daracrete Pty Ltd) (Australia)</v>
      </c>
      <c r="C65" s="132" t="str">
        <v>m³</v>
      </c>
      <c r="D65" s="198">
        <v>428.92989588299997</v>
      </c>
      <c r="E65" s="198">
        <v>0.17872078995124999</v>
      </c>
      <c r="F65" s="198">
        <v>0</v>
      </c>
      <c r="G65" s="215">
        <v>0</v>
      </c>
      <c r="H65" s="131"/>
    </row>
    <row r="66" spans="1:8" x14ac:dyDescent="0.25">
      <c r="A66" s="133"/>
      <c r="B66" s="204" t="str">
        <v>80 MPa, NSW, Readymix concrete: B80B14190 (Daracrete Pty Ltd) (Australia)</v>
      </c>
      <c r="C66" s="132" t="str">
        <v>m³</v>
      </c>
      <c r="D66" s="198">
        <v>345.90818102200001</v>
      </c>
      <c r="E66" s="198">
        <v>0.14412840875916669</v>
      </c>
      <c r="F66" s="198">
        <v>0</v>
      </c>
      <c r="G66" s="215">
        <v>0</v>
      </c>
      <c r="H66" s="131"/>
    </row>
    <row r="67" spans="1:8" x14ac:dyDescent="0.25">
      <c r="A67" s="133"/>
      <c r="B67" s="204" t="str">
        <v>80 MPa, NSW, Readymix concrete: B80B242BO90 (Daracrete Pty Ltd) (Australia)</v>
      </c>
      <c r="C67" s="132" t="str">
        <v>m³</v>
      </c>
      <c r="D67" s="198">
        <v>337.42182341199998</v>
      </c>
      <c r="E67" s="198">
        <v>0.14059242642166667</v>
      </c>
      <c r="F67" s="198">
        <v>0</v>
      </c>
      <c r="G67" s="215">
        <v>0</v>
      </c>
      <c r="H67" s="131"/>
    </row>
    <row r="68" spans="1:8" x14ac:dyDescent="0.25">
      <c r="A68" s="133"/>
      <c r="B68" s="204" t="str">
        <v>80 MPa, NSW, Concrete: B80 B1 40MPA manufactured at Seven Hills (Advanced Readymix) (Australia)</v>
      </c>
      <c r="C68" s="132" t="str">
        <v>m³</v>
      </c>
      <c r="D68" s="198">
        <v>367.9015560153</v>
      </c>
      <c r="E68" s="198">
        <v>0.153292315006375</v>
      </c>
      <c r="F68" s="198">
        <v>0</v>
      </c>
      <c r="G68" s="215">
        <v>0</v>
      </c>
      <c r="H68" s="131"/>
    </row>
    <row r="69" spans="1:8" x14ac:dyDescent="0.25">
      <c r="A69" s="133"/>
      <c r="B69" s="217" t="str">
        <v>80 MPa, NSW, Concrete: B80 B1 50MPA manufactured at Seven Hills (Advanced Readymix) (Australia)</v>
      </c>
      <c r="C69" s="218" t="str">
        <v>m³</v>
      </c>
      <c r="D69" s="219">
        <v>410.35138380700005</v>
      </c>
      <c r="E69" s="219">
        <v>0.17097974325291665</v>
      </c>
      <c r="F69" s="219">
        <v>0</v>
      </c>
      <c r="G69" s="220">
        <v>0</v>
      </c>
      <c r="H69" s="131"/>
    </row>
    <row r="70" spans="1:8" x14ac:dyDescent="0.25">
      <c r="B70" s="130"/>
      <c r="C70" s="130"/>
      <c r="D70" s="207"/>
      <c r="E70" s="207"/>
      <c r="F70" s="207"/>
      <c r="G70" s="207"/>
    </row>
  </sheetData>
  <dataValidations count="1">
    <dataValidation type="list" allowBlank="1" showInputMessage="1" showErrorMessage="1" sqref="B6:B9" xr:uid="{CA6CD5B6-A709-4978-864A-179CC840ECBF}">
      <formula1>"Tier 1,Tier 2,Tier 3,Tier 4"</formula1>
    </dataValidation>
  </dataValidations>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8A93-0221-425C-9D76-3A392C96286C}">
  <sheetPr codeName="Sheet13">
    <tabColor rgb="FF00CCFF"/>
  </sheetPr>
  <dimension ref="A1:H31"/>
  <sheetViews>
    <sheetView workbookViewId="0"/>
  </sheetViews>
  <sheetFormatPr defaultColWidth="9.1796875" defaultRowHeight="12.5" x14ac:dyDescent="0.25"/>
  <cols>
    <col min="1" max="1" width="26.26953125" style="132" customWidth="1"/>
    <col min="2" max="2" width="98.5429687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&gt;80 MPa +</v>
      </c>
    </row>
    <row r="2" spans="1:8" ht="13" x14ac:dyDescent="0.25">
      <c r="A2" s="202"/>
    </row>
    <row r="3" spans="1:8" ht="13" x14ac:dyDescent="0.25">
      <c r="A3" s="202" t="s">
        <v>5626</v>
      </c>
      <c r="B3" s="132" t="s">
        <v>5796</v>
      </c>
    </row>
    <row r="4" spans="1:8" ht="13" x14ac:dyDescent="0.25">
      <c r="A4" s="202"/>
    </row>
    <row r="5" spans="1:8" ht="73.5" customHeight="1" x14ac:dyDescent="0.3">
      <c r="A5" s="227" t="s">
        <v>5628</v>
      </c>
      <c r="B5" s="200" t="s">
        <v>5797</v>
      </c>
    </row>
    <row r="6" spans="1:8" ht="13" x14ac:dyDescent="0.3">
      <c r="A6" s="227" t="s">
        <v>5630</v>
      </c>
      <c r="B6" s="201" t="s">
        <v>71</v>
      </c>
    </row>
    <row r="7" spans="1:8" ht="13" x14ac:dyDescent="0.3">
      <c r="A7" s="227" t="s">
        <v>5631</v>
      </c>
      <c r="B7" s="201" t="s">
        <v>71</v>
      </c>
    </row>
    <row r="8" spans="1:8" ht="13" x14ac:dyDescent="0.3">
      <c r="A8" s="227" t="s">
        <v>5632</v>
      </c>
      <c r="B8" s="201" t="s">
        <v>73</v>
      </c>
    </row>
    <row r="9" spans="1:8" ht="13" x14ac:dyDescent="0.3">
      <c r="A9" s="227" t="s">
        <v>5633</v>
      </c>
      <c r="B9" s="231" t="s">
        <v>73</v>
      </c>
    </row>
    <row r="10" spans="1:8" ht="13" x14ac:dyDescent="0.3">
      <c r="A10" s="227"/>
      <c r="B10" s="202"/>
    </row>
    <row r="11" spans="1:8" ht="25.5" x14ac:dyDescent="0.3">
      <c r="A11" s="227" t="s">
        <v>5634</v>
      </c>
      <c r="B11" s="200" t="s">
        <v>5793</v>
      </c>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2751</v>
      </c>
      <c r="C16" s="313" t="s">
        <v>24</v>
      </c>
      <c r="D16" s="314" t="s">
        <v>146</v>
      </c>
      <c r="E16" s="315" t="s">
        <v>153</v>
      </c>
      <c r="F16" s="314" t="s">
        <v>147</v>
      </c>
      <c r="G16" s="314" t="s">
        <v>154</v>
      </c>
      <c r="H16" s="131"/>
    </row>
    <row r="17" spans="1:8" ht="13" x14ac:dyDescent="0.3">
      <c r="A17" s="133"/>
      <c r="B17" s="211"/>
      <c r="C17" s="212" t="s">
        <v>5636</v>
      </c>
      <c r="D17" s="196" t="str" cm="1">
        <f t="array" ref="D17">IF(AND(_xlfn.ANCHORARRAY(C23)=C23),C23,"Mixed")</f>
        <v>m³</v>
      </c>
      <c r="E17" s="196" t="s">
        <v>2774</v>
      </c>
      <c r="F17" s="196" t="str" cm="1">
        <f t="array" ref="F17">IF(AND(_xlfn.ANCHORARRAY(C23)=C23),C23,"Mixed")</f>
        <v>m³</v>
      </c>
      <c r="G17" s="213" t="s">
        <v>2774</v>
      </c>
      <c r="H17" s="131"/>
    </row>
    <row r="18" spans="1:8" s="200" customFormat="1" ht="13" x14ac:dyDescent="0.3">
      <c r="A18" s="221"/>
      <c r="B18" s="214"/>
      <c r="C18" s="202" t="s">
        <v>5637</v>
      </c>
      <c r="D18" s="230">
        <f>MAX(_xlfn.ANCHORARRAY(D23))</f>
        <v>710</v>
      </c>
      <c r="E18" s="230">
        <f>MAX(_xlfn.ANCHORARRAY(E23))</f>
        <v>0.29583333333333334</v>
      </c>
      <c r="F18" s="198">
        <f t="shared" ref="F18:G18" si="0">MAX(_xlfn.ANCHORARRAY(F23))</f>
        <v>0</v>
      </c>
      <c r="G18" s="215">
        <f t="shared" si="0"/>
        <v>0</v>
      </c>
      <c r="H18" s="222"/>
    </row>
    <row r="19" spans="1:8" ht="13" x14ac:dyDescent="0.25">
      <c r="A19" s="133"/>
      <c r="B19" s="204"/>
      <c r="C19" s="202" t="s">
        <v>5638</v>
      </c>
      <c r="D19" s="198">
        <f>MIN(_xlfn.ANCHORARRAY(D23))</f>
        <v>437.76799999999997</v>
      </c>
      <c r="E19" s="198">
        <f t="shared" ref="E19:G19" si="1">MIN(_xlfn.ANCHORARRAY(E23))</f>
        <v>0.18362751677852349</v>
      </c>
      <c r="F19" s="198">
        <f t="shared" si="1"/>
        <v>0</v>
      </c>
      <c r="G19" s="215">
        <f t="shared" si="1"/>
        <v>0</v>
      </c>
      <c r="H19" s="131"/>
    </row>
    <row r="20" spans="1:8" ht="13" x14ac:dyDescent="0.25">
      <c r="A20" s="133"/>
      <c r="B20" s="204"/>
      <c r="C20" s="202" t="s">
        <v>5639</v>
      </c>
      <c r="D20" s="198">
        <f>AVERAGE(_xlfn.ANCHORARRAY(D23))</f>
        <v>561.221</v>
      </c>
      <c r="E20" s="198">
        <f t="shared" ref="E20:G20" si="2">AVERAGE(_xlfn.ANCHORARRAY(E23))</f>
        <v>0.23399510626398209</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30">_xlfn.UNIQUE(_xlfn._xlws.FILTER('EPD List'!D:D,ISNUMBER(SEARCH(B16,'EPD List'!C:C)),0))</f>
        <v>Concrete (in-situ), 100MPa, Pre-mix Concrete E100SP (Barro Group) (Australia)</v>
      </c>
      <c r="C23" s="132" t="str" cm="1">
        <f t="array" ref="C23:C30">_xlfn.IFNA(INDEX('EPD List'!$A:$AB,MATCH(_xlfn.ANCHORARRAY(B23),'EPD List'!$D:$D,0),MATCH(C$16,'EPD List'!$7:$7,0)),"")</f>
        <v>m³</v>
      </c>
      <c r="D23" s="198" cm="1">
        <f t="array" ref="D23:D30">_xlfn.IFNA(VALUE((INDEX('EPD List'!$A:$AD,MATCH(_xlfn.ANCHORARRAY($B23),'EPD List'!$D:$D,0),MATCH(D$16,'EPD List'!$7:$7,0)))),"")</f>
        <v>437.76799999999997</v>
      </c>
      <c r="E23" s="198" cm="1">
        <f t="array" ref="E23:E30">_xlfn.IFNA(VALUE((INDEX('EPD List'!$A:$AD,MATCH(_xlfn.ANCHORARRAY($B23),'EPD List'!$D:$D,0),MATCH(E$16,'EPD List'!$7:$7,0)))),"")</f>
        <v>0.18362751677852349</v>
      </c>
      <c r="F23" s="198" cm="1">
        <f t="array" ref="F23:F30">_xlfn.IFNA(VALUE((INDEX('EPD List'!$A:$AD,MATCH(_xlfn.ANCHORARRAY($B23),'EPD List'!$D:$D,0),MATCH(F$16,'EPD List'!$7:$7,0)))),"")</f>
        <v>0</v>
      </c>
      <c r="G23" s="215" cm="1">
        <f t="array" ref="G23:G30">_xlfn.IFNA(VALUE((INDEX('EPD List'!$A:$AD,MATCH(_xlfn.ANCHORARRAY($B23),'EPD List'!$D:$D,0),MATCH(G$16,'EPD List'!$7:$7,0)))),"")</f>
        <v>0</v>
      </c>
      <c r="H23" s="131"/>
    </row>
    <row r="24" spans="1:8" x14ac:dyDescent="0.25">
      <c r="A24" s="133"/>
      <c r="B24" s="204" t="str">
        <v>Concrete (in-situ), , Concrete in-situ QLD metro ASPIRE 50 Gpa - 100 MPa (Boral) (Australia)</v>
      </c>
      <c r="C24" s="132" t="str">
        <v>m³</v>
      </c>
      <c r="D24" s="198">
        <v>508</v>
      </c>
      <c r="E24" s="198">
        <v>0.21166666666666667</v>
      </c>
      <c r="F24" s="198">
        <v>0</v>
      </c>
      <c r="G24" s="215">
        <v>0</v>
      </c>
      <c r="H24" s="131"/>
    </row>
    <row r="25" spans="1:8" x14ac:dyDescent="0.25">
      <c r="A25" s="133"/>
      <c r="B25" s="204" t="str">
        <v>100 MPa, , Pump 100 MPa • 53% Indicative Cement Replacement • Fly Ash/GGBFS/Silica Fume (Hymix) (Australia)</v>
      </c>
      <c r="C25" s="132" t="str">
        <v>m³</v>
      </c>
      <c r="D25" s="198">
        <v>449</v>
      </c>
      <c r="E25" s="198">
        <v>0.18708333333333332</v>
      </c>
      <c r="F25" s="198">
        <v>0</v>
      </c>
      <c r="G25" s="215">
        <v>0</v>
      </c>
      <c r="H25" s="131"/>
    </row>
    <row r="26" spans="1:8" x14ac:dyDescent="0.25">
      <c r="A26" s="133"/>
      <c r="B26" s="204" t="str">
        <v>100 MPa, , Pump 100 MPa • 32% Indicative Cement Replacement. Fly Ash/GGBFS/Silica Fume (Hymix) (Australia)</v>
      </c>
      <c r="C26" s="132" t="str">
        <v>m³</v>
      </c>
      <c r="D26" s="198">
        <v>607</v>
      </c>
      <c r="E26" s="198">
        <v>0.25291666666666668</v>
      </c>
      <c r="F26" s="198">
        <v>0</v>
      </c>
      <c r="G26" s="215">
        <v>0</v>
      </c>
      <c r="H26" s="131"/>
    </row>
    <row r="27" spans="1:8" x14ac:dyDescent="0.25">
      <c r="A27" s="133"/>
      <c r="B27" s="204" t="str">
        <v>100 MPa, , Pump 100 MPa • 19% Indicative Cement Replacement - GGBFS/Silica Fume (Hymix) (Australia)</v>
      </c>
      <c r="C27" s="132" t="str">
        <v>m³</v>
      </c>
      <c r="D27" s="198">
        <v>702</v>
      </c>
      <c r="E27" s="198">
        <v>0.29249999999999998</v>
      </c>
      <c r="F27" s="198">
        <v>0</v>
      </c>
      <c r="G27" s="215">
        <v>0</v>
      </c>
      <c r="H27" s="131"/>
    </row>
    <row r="28" spans="1:8" x14ac:dyDescent="0.25">
      <c r="A28" s="133"/>
      <c r="B28" s="204" t="str">
        <v>100 MPa, , Tower Columns &amp; Wall 100 MPa 32% Indicative Cement Replacement - Fly Ash/GGBFS/SiIica Fume Blend (Hymix) (Australia)</v>
      </c>
      <c r="C28" s="132" t="str">
        <v>m³</v>
      </c>
      <c r="D28" s="198">
        <v>617</v>
      </c>
      <c r="E28" s="198">
        <v>0.25708333333333333</v>
      </c>
      <c r="F28" s="198">
        <v>0</v>
      </c>
      <c r="G28" s="215">
        <v>0</v>
      </c>
      <c r="H28" s="131"/>
    </row>
    <row r="29" spans="1:8" x14ac:dyDescent="0.25">
      <c r="A29" s="133"/>
      <c r="B29" s="204" t="str">
        <v>100 MPa, , Tower Columns &amp; Wall 100 MPa 53% Indicative Cement Replacement - Fly Ash/GGBFS/Silica Fume Blend (Hymix) (Australia)</v>
      </c>
      <c r="C29" s="132" t="str">
        <v>m³</v>
      </c>
      <c r="D29" s="198">
        <v>459</v>
      </c>
      <c r="E29" s="198">
        <v>0.19125</v>
      </c>
      <c r="F29" s="198">
        <v>0</v>
      </c>
      <c r="G29" s="215">
        <v>0</v>
      </c>
      <c r="H29" s="131"/>
    </row>
    <row r="30" spans="1:8" x14ac:dyDescent="0.25">
      <c r="A30" s="133"/>
      <c r="B30" s="217" t="str">
        <v>100 MPa, , Puddle Pour 100 MPa 19% Indicative Cement Replacement - GGBFS/SiIica Fume Blend (Hymix) (Australia)</v>
      </c>
      <c r="C30" s="218" t="str">
        <v>m³</v>
      </c>
      <c r="D30" s="219">
        <v>710</v>
      </c>
      <c r="E30" s="219">
        <v>0.29583333333333334</v>
      </c>
      <c r="F30" s="219">
        <v>0</v>
      </c>
      <c r="G30" s="220">
        <v>0</v>
      </c>
      <c r="H30" s="131"/>
    </row>
    <row r="31" spans="1:8" x14ac:dyDescent="0.25">
      <c r="B31" s="130"/>
      <c r="C31" s="130"/>
      <c r="D31" s="207"/>
      <c r="E31" s="207"/>
      <c r="F31" s="207"/>
      <c r="G31" s="207"/>
    </row>
  </sheetData>
  <dataValidations count="1">
    <dataValidation type="list" allowBlank="1" showInputMessage="1" showErrorMessage="1" sqref="B6:B9" xr:uid="{9B293384-23CF-46DE-B2AF-CC3008BE3972}">
      <formula1>"Tier 1,Tier 2,Tier 3,Tier 4"</formula1>
    </dataValidation>
  </dataValidations>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1CABF-E5B1-455A-AC6F-FD57DBF210A5}">
  <sheetPr codeName="Sheet17">
    <tabColor rgb="FF00CCFF"/>
  </sheetPr>
  <dimension ref="A1:H49"/>
  <sheetViews>
    <sheetView workbookViewId="0"/>
  </sheetViews>
  <sheetFormatPr defaultColWidth="9.1796875" defaultRowHeight="12.5" x14ac:dyDescent="0.25"/>
  <cols>
    <col min="1" max="1" width="26.26953125" style="132" customWidth="1"/>
    <col min="2" max="2" width="109.179687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Masonry (Concrete bricks)</v>
      </c>
    </row>
    <row r="2" spans="1:8" ht="13" x14ac:dyDescent="0.25">
      <c r="A2" s="202"/>
    </row>
    <row r="3" spans="1:8" ht="13" x14ac:dyDescent="0.3">
      <c r="A3" s="227" t="s">
        <v>5626</v>
      </c>
      <c r="B3" s="132" t="s">
        <v>5798</v>
      </c>
    </row>
    <row r="4" spans="1:8" ht="13" x14ac:dyDescent="0.3">
      <c r="A4" s="227"/>
    </row>
    <row r="5" spans="1:8" ht="73.5" customHeight="1" x14ac:dyDescent="0.3">
      <c r="A5" s="227" t="s">
        <v>5628</v>
      </c>
      <c r="B5" s="200" t="s">
        <v>5799</v>
      </c>
    </row>
    <row r="6" spans="1:8" ht="13" x14ac:dyDescent="0.3">
      <c r="A6" s="227" t="s">
        <v>5630</v>
      </c>
      <c r="B6" s="201" t="s">
        <v>72</v>
      </c>
    </row>
    <row r="7" spans="1:8" ht="13" x14ac:dyDescent="0.3">
      <c r="A7" s="227" t="s">
        <v>5631</v>
      </c>
      <c r="B7" s="201" t="s">
        <v>71</v>
      </c>
    </row>
    <row r="8" spans="1:8" ht="13" x14ac:dyDescent="0.3">
      <c r="A8" s="227" t="s">
        <v>5632</v>
      </c>
      <c r="B8" s="201" t="s">
        <v>73</v>
      </c>
    </row>
    <row r="9" spans="1:8" ht="13" x14ac:dyDescent="0.3">
      <c r="A9" s="227" t="s">
        <v>5633</v>
      </c>
      <c r="B9" s="202" t="s">
        <v>73</v>
      </c>
    </row>
    <row r="10" spans="1:8" ht="13" x14ac:dyDescent="0.3">
      <c r="A10" s="227"/>
      <c r="B10" s="202"/>
    </row>
    <row r="11" spans="1:8" ht="13" x14ac:dyDescent="0.3">
      <c r="A11" s="227" t="s">
        <v>5634</v>
      </c>
      <c r="B11" s="200" t="s">
        <v>5800</v>
      </c>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3851</v>
      </c>
      <c r="C16" s="313" t="s">
        <v>24</v>
      </c>
      <c r="D16" s="314" t="s">
        <v>146</v>
      </c>
      <c r="E16" s="315" t="s">
        <v>153</v>
      </c>
      <c r="F16" s="314" t="s">
        <v>147</v>
      </c>
      <c r="G16" s="314" t="s">
        <v>154</v>
      </c>
      <c r="H16" s="131"/>
    </row>
    <row r="17" spans="1:8" ht="13" x14ac:dyDescent="0.3">
      <c r="A17" s="133"/>
      <c r="B17" s="211"/>
      <c r="C17" s="212" t="s">
        <v>5636</v>
      </c>
      <c r="D17" s="196" t="str" cm="1">
        <f t="array" ref="D17">IF(AND(_xlfn.ANCHORARRAY(C23)=C23),C23,"Mixed")</f>
        <v>tonne</v>
      </c>
      <c r="E17" s="196" t="s">
        <v>2774</v>
      </c>
      <c r="F17" s="196" t="str" cm="1">
        <f t="array" ref="F17">IF(AND(_xlfn.ANCHORARRAY(C23)=C23),C23,"Mixed")</f>
        <v>tonne</v>
      </c>
      <c r="G17" s="213" t="s">
        <v>2774</v>
      </c>
      <c r="H17" s="131"/>
    </row>
    <row r="18" spans="1:8" s="200" customFormat="1" ht="13" x14ac:dyDescent="0.3">
      <c r="A18" s="221"/>
      <c r="B18" s="214"/>
      <c r="C18" s="202" t="s">
        <v>5637</v>
      </c>
      <c r="D18" s="198">
        <f t="shared" ref="D18:G18" si="0">MAX(_xlfn.ANCHORARRAY(D23))</f>
        <v>240.39</v>
      </c>
      <c r="E18" s="198">
        <f t="shared" si="0"/>
        <v>0.24038999999999999</v>
      </c>
      <c r="F18" s="198">
        <f t="shared" si="0"/>
        <v>0</v>
      </c>
      <c r="G18" s="215">
        <f t="shared" si="0"/>
        <v>0</v>
      </c>
      <c r="H18" s="222"/>
    </row>
    <row r="19" spans="1:8" ht="13" x14ac:dyDescent="0.25">
      <c r="A19" s="133"/>
      <c r="B19" s="204"/>
      <c r="C19" s="202" t="s">
        <v>5638</v>
      </c>
      <c r="D19" s="198">
        <f>MIN(_xlfn.ANCHORARRAY(D23))</f>
        <v>111.67</v>
      </c>
      <c r="E19" s="198">
        <f t="shared" ref="E19:G19" si="1">MIN(_xlfn.ANCHORARRAY(E23))</f>
        <v>0.11167000000000001</v>
      </c>
      <c r="F19" s="198">
        <f t="shared" si="1"/>
        <v>0</v>
      </c>
      <c r="G19" s="215">
        <f t="shared" si="1"/>
        <v>0</v>
      </c>
      <c r="H19" s="131"/>
    </row>
    <row r="20" spans="1:8" ht="13" x14ac:dyDescent="0.25">
      <c r="A20" s="133"/>
      <c r="B20" s="204"/>
      <c r="C20" s="202" t="s">
        <v>5639</v>
      </c>
      <c r="D20" s="198">
        <f>AVERAGE(_xlfn.ANCHORARRAY(D23))</f>
        <v>158.68923076923076</v>
      </c>
      <c r="E20" s="198">
        <f t="shared" ref="E20:G20" si="2">AVERAGE(_xlfn.ANCHORARRAY(E23))</f>
        <v>0.1586892307692308</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48">_xlfn.UNIQUE(_xlfn._xlws.FILTER('EPD List'!D:D,ISNUMBER(SEARCH(B16,'EPD List'!C:C)),0))</f>
        <v>Masonry (Concrete bricks), BLOCK Campbellfield (VIC) (Adbri)</v>
      </c>
      <c r="C23" s="132" t="str" cm="1">
        <f t="array" ref="C23:C48">_xlfn.IFNA(INDEX('EPD List'!$A:$AB,MATCH(_xlfn.ANCHORARRAY(B23),'EPD List'!$D:$D,0),MATCH(C$16,'EPD List'!$7:$7,0)),"")</f>
        <v>tonne</v>
      </c>
      <c r="D23" s="198" cm="1">
        <f t="array" ref="D23:D48">_xlfn.IFNA(VALUE((INDEX('EPD List'!$A:$AD,MATCH(_xlfn.ANCHORARRAY($B23),'EPD List'!$D:$D,0),MATCH(D$16,'EPD List'!$7:$7,0)))),"")</f>
        <v>111.67</v>
      </c>
      <c r="E23" s="198" cm="1">
        <f t="array" ref="E23:E48">_xlfn.IFNA(VALUE((INDEX('EPD List'!$A:$AD,MATCH(_xlfn.ANCHORARRAY($B23),'EPD List'!$D:$D,0),MATCH(E$16,'EPD List'!$7:$7,0)))),"")</f>
        <v>0.11167000000000001</v>
      </c>
      <c r="F23" s="198" cm="1">
        <f t="array" ref="F23:F48">_xlfn.IFNA(VALUE((INDEX('EPD List'!$A:$AD,MATCH(_xlfn.ANCHORARRAY($B23),'EPD List'!$D:$D,0),MATCH(F$16,'EPD List'!$7:$7,0)))),"")</f>
        <v>0</v>
      </c>
      <c r="G23" s="215" cm="1">
        <f t="array" ref="G23:G48">_xlfn.IFNA(VALUE((INDEX('EPD List'!$A:$AD,MATCH(_xlfn.ANCHORARRAY($B23),'EPD List'!$D:$D,0),MATCH(G$16,'EPD List'!$7:$7,0)))),"")</f>
        <v>0</v>
      </c>
      <c r="H23" s="131"/>
    </row>
    <row r="24" spans="1:8" x14ac:dyDescent="0.25">
      <c r="A24" s="133"/>
      <c r="B24" s="204" t="str">
        <v>Masonry (Concrete bricks), BLOCK Maroochydore (QLD) (Adbri)</v>
      </c>
      <c r="C24" s="132" t="str">
        <v>tonne</v>
      </c>
      <c r="D24" s="198">
        <v>182.86</v>
      </c>
      <c r="E24" s="198">
        <v>0.18286000000000002</v>
      </c>
      <c r="F24" s="198">
        <v>0</v>
      </c>
      <c r="G24" s="215">
        <v>0</v>
      </c>
      <c r="H24" s="131"/>
    </row>
    <row r="25" spans="1:8" x14ac:dyDescent="0.25">
      <c r="A25" s="133"/>
      <c r="B25" s="204" t="str">
        <v>Masonry (Concrete bricks), BLOCK Stapylton (QLD) (Adbri)</v>
      </c>
      <c r="C25" s="132" t="str">
        <v>tonne</v>
      </c>
      <c r="D25" s="198">
        <v>140.59</v>
      </c>
      <c r="E25" s="198">
        <v>0.14058999999999999</v>
      </c>
      <c r="F25" s="198">
        <v>0</v>
      </c>
      <c r="G25" s="215">
        <v>0</v>
      </c>
      <c r="H25" s="131"/>
    </row>
    <row r="26" spans="1:8" x14ac:dyDescent="0.25">
      <c r="A26" s="133"/>
      <c r="B26" s="204" t="str">
        <v>Masonry (Concrete bricks), BLOCK Ulverstone (TAS) (Adbri)</v>
      </c>
      <c r="C26" s="132" t="str">
        <v>tonne</v>
      </c>
      <c r="D26" s="198">
        <v>145.88999999999999</v>
      </c>
      <c r="E26" s="198">
        <v>0.14588999999999999</v>
      </c>
      <c r="F26" s="198">
        <v>0</v>
      </c>
      <c r="G26" s="215">
        <v>0</v>
      </c>
      <c r="H26" s="131"/>
    </row>
    <row r="27" spans="1:8" x14ac:dyDescent="0.25">
      <c r="A27" s="133"/>
      <c r="B27" s="204" t="str">
        <v>Masonry (Concrete bricks), BRICK Bendigo Smooth Shot Dark (VIC) (Adbri)</v>
      </c>
      <c r="C27" s="132" t="str">
        <v>tonne</v>
      </c>
      <c r="D27" s="198">
        <v>113.56</v>
      </c>
      <c r="E27" s="198">
        <v>0.11356000000000001</v>
      </c>
      <c r="F27" s="198">
        <v>0</v>
      </c>
      <c r="G27" s="215">
        <v>0</v>
      </c>
      <c r="H27" s="131"/>
    </row>
    <row r="28" spans="1:8" x14ac:dyDescent="0.25">
      <c r="A28" s="133"/>
      <c r="B28" s="204" t="str">
        <v>Masonry (Concrete bricks), BRICK Bendigo Honed Dark (VIC) (Adbri)</v>
      </c>
      <c r="C28" s="132" t="str">
        <v>tonne</v>
      </c>
      <c r="D28" s="198">
        <v>160.91999999999999</v>
      </c>
      <c r="E28" s="198">
        <v>0.16091999999999998</v>
      </c>
      <c r="F28" s="198">
        <v>0</v>
      </c>
      <c r="G28" s="215">
        <v>0</v>
      </c>
      <c r="H28" s="131"/>
    </row>
    <row r="29" spans="1:8" x14ac:dyDescent="0.25">
      <c r="A29" s="133"/>
      <c r="B29" s="204" t="str">
        <v>Masonry (Concrete bricks), BRICK Bendigo Smooth Shot Light (VIC) (Adbri)</v>
      </c>
      <c r="C29" s="132" t="str">
        <v>tonne</v>
      </c>
      <c r="D29" s="198">
        <v>138.43</v>
      </c>
      <c r="E29" s="198">
        <v>0.13843</v>
      </c>
      <c r="F29" s="198">
        <v>0</v>
      </c>
      <c r="G29" s="215">
        <v>0</v>
      </c>
      <c r="H29" s="131"/>
    </row>
    <row r="30" spans="1:8" x14ac:dyDescent="0.25">
      <c r="A30" s="133"/>
      <c r="B30" s="204" t="str">
        <v>Masonry (Concrete bricks), BRICK Bendigo Honed Light (VIC) (Adbri)</v>
      </c>
      <c r="C30" s="132" t="str">
        <v>tonne</v>
      </c>
      <c r="D30" s="198">
        <v>240.39</v>
      </c>
      <c r="E30" s="198">
        <v>0.24038999999999999</v>
      </c>
      <c r="F30" s="198">
        <v>0</v>
      </c>
      <c r="G30" s="215">
        <v>0</v>
      </c>
      <c r="H30" s="131"/>
    </row>
    <row r="31" spans="1:8" x14ac:dyDescent="0.25">
      <c r="A31" s="133"/>
      <c r="B31" s="204" t="str">
        <v>Masonry (Concrete bricks), BRICK Bendigo Cored Light (VIC) (Adbri)</v>
      </c>
      <c r="C31" s="132" t="str">
        <v>tonne</v>
      </c>
      <c r="D31" s="198">
        <v>152.26</v>
      </c>
      <c r="E31" s="198">
        <v>0.15225999999999998</v>
      </c>
      <c r="F31" s="198">
        <v>0</v>
      </c>
      <c r="G31" s="215">
        <v>0</v>
      </c>
      <c r="H31" s="131"/>
    </row>
    <row r="32" spans="1:8" x14ac:dyDescent="0.25">
      <c r="A32" s="133"/>
      <c r="B32" s="204" t="str">
        <v>Masonry (Concrete bricks), BRICK Maroochydore (QLD) (Adbri)</v>
      </c>
      <c r="C32" s="132" t="str">
        <v>tonne</v>
      </c>
      <c r="D32" s="198">
        <v>205.51</v>
      </c>
      <c r="E32" s="198">
        <v>0.20551</v>
      </c>
      <c r="F32" s="198">
        <v>0</v>
      </c>
      <c r="G32" s="215">
        <v>0</v>
      </c>
      <c r="H32" s="131"/>
    </row>
    <row r="33" spans="1:8" x14ac:dyDescent="0.25">
      <c r="A33" s="133"/>
      <c r="B33" s="204" t="str">
        <v>Masonry (Concrete bricks), BRICK Ulverstone (TAS) (Adbri)</v>
      </c>
      <c r="C33" s="132" t="str">
        <v>tonne</v>
      </c>
      <c r="D33" s="198">
        <v>139.84</v>
      </c>
      <c r="E33" s="198">
        <v>0.13983999999999999</v>
      </c>
      <c r="F33" s="198">
        <v>0</v>
      </c>
      <c r="G33" s="215">
        <v>0</v>
      </c>
      <c r="H33" s="131"/>
    </row>
    <row r="34" spans="1:8" x14ac:dyDescent="0.25">
      <c r="A34" s="133"/>
      <c r="B34" s="204" t="str">
        <v>Masonry (Concrete bricks), Aura Porcelain (Australia) (Austral)</v>
      </c>
      <c r="C34" s="132" t="str">
        <v>tonne</v>
      </c>
      <c r="D34" s="198">
        <v>147</v>
      </c>
      <c r="E34" s="198">
        <v>0.14699999999999999</v>
      </c>
      <c r="F34" s="198">
        <v>0</v>
      </c>
      <c r="G34" s="215">
        <v>0</v>
      </c>
      <c r="H34" s="131"/>
    </row>
    <row r="35" spans="1:8" x14ac:dyDescent="0.25">
      <c r="A35" s="133"/>
      <c r="B35" s="204" t="str">
        <v>Masonry (Concrete bricks), Aura Grey (Australia) (Austral)</v>
      </c>
      <c r="C35" s="132" t="str">
        <v>tonne</v>
      </c>
      <c r="D35" s="198">
        <v>160</v>
      </c>
      <c r="E35" s="198">
        <v>0.16</v>
      </c>
      <c r="F35" s="198">
        <v>0</v>
      </c>
      <c r="G35" s="215">
        <v>0</v>
      </c>
      <c r="H35" s="131"/>
    </row>
    <row r="36" spans="1:8" x14ac:dyDescent="0.25">
      <c r="A36" s="133"/>
      <c r="B36" s="204" t="str">
        <v>Masonry (Concrete bricks), Aura Oak (Australia) (Austral)</v>
      </c>
      <c r="C36" s="132" t="str">
        <v>tonne</v>
      </c>
      <c r="D36" s="198">
        <v>160</v>
      </c>
      <c r="E36" s="198">
        <v>0.16</v>
      </c>
      <c r="F36" s="198">
        <v>0</v>
      </c>
      <c r="G36" s="215">
        <v>0</v>
      </c>
      <c r="H36" s="131"/>
    </row>
    <row r="37" spans="1:8" x14ac:dyDescent="0.25">
      <c r="A37" s="133"/>
      <c r="B37" s="204" t="str">
        <v>Masonry (Concrete bricks), GB Sandstone Rock Face (Australia) (Austral)</v>
      </c>
      <c r="C37" s="132" t="str">
        <v>tonne</v>
      </c>
      <c r="D37" s="198">
        <v>170</v>
      </c>
      <c r="E37" s="198">
        <v>0.17</v>
      </c>
      <c r="F37" s="198">
        <v>0</v>
      </c>
      <c r="G37" s="215">
        <v>0</v>
      </c>
      <c r="H37" s="131"/>
    </row>
    <row r="38" spans="1:8" x14ac:dyDescent="0.25">
      <c r="A38" s="133"/>
      <c r="B38" s="204" t="str">
        <v>Masonry (Concrete bricks), GB Sandstone Split Face (Australia) (Austral)</v>
      </c>
      <c r="C38" s="132" t="str">
        <v>tonne</v>
      </c>
      <c r="D38" s="198">
        <v>162</v>
      </c>
      <c r="E38" s="198">
        <v>0.16200000000000001</v>
      </c>
      <c r="F38" s="198">
        <v>0</v>
      </c>
      <c r="G38" s="215">
        <v>0</v>
      </c>
      <c r="H38" s="131"/>
    </row>
    <row r="39" spans="1:8" x14ac:dyDescent="0.25">
      <c r="A39" s="133"/>
      <c r="B39" s="204" t="str">
        <v>Masonry (Concrete bricks), GB Sandstone Smooth (Australia) (Austral)</v>
      </c>
      <c r="C39" s="132" t="str">
        <v>tonne</v>
      </c>
      <c r="D39" s="198">
        <v>168</v>
      </c>
      <c r="E39" s="198">
        <v>0.16800000000000001</v>
      </c>
      <c r="F39" s="198">
        <v>0</v>
      </c>
      <c r="G39" s="215">
        <v>0</v>
      </c>
      <c r="H39" s="131"/>
    </row>
    <row r="40" spans="1:8" x14ac:dyDescent="0.25">
      <c r="A40" s="133"/>
      <c r="B40" s="204" t="str">
        <v>Masonry (Concrete bricks), GB Stone (Australia) (Austral)</v>
      </c>
      <c r="C40" s="132" t="str">
        <v>tonne</v>
      </c>
      <c r="D40" s="198">
        <v>160</v>
      </c>
      <c r="E40" s="198">
        <v>0.16</v>
      </c>
      <c r="F40" s="198">
        <v>0</v>
      </c>
      <c r="G40" s="215">
        <v>0</v>
      </c>
      <c r="H40" s="131"/>
    </row>
    <row r="41" spans="1:8" x14ac:dyDescent="0.25">
      <c r="A41" s="133"/>
      <c r="B41" s="204" t="str">
        <v>Masonry (Concrete bricks), GB Split Face (Australia) (Austral)</v>
      </c>
      <c r="C41" s="132" t="str">
        <v>tonne</v>
      </c>
      <c r="D41" s="198">
        <v>163</v>
      </c>
      <c r="E41" s="198">
        <v>0.16300000000000001</v>
      </c>
      <c r="F41" s="198">
        <v>0</v>
      </c>
      <c r="G41" s="215">
        <v>0</v>
      </c>
      <c r="H41" s="131"/>
    </row>
    <row r="42" spans="1:8" x14ac:dyDescent="0.25">
      <c r="A42" s="133"/>
      <c r="B42" s="204" t="str">
        <v>Masonry (Concrete bricks), GB Smooth (Australia) (Austral)</v>
      </c>
      <c r="C42" s="132" t="str">
        <v>tonne</v>
      </c>
      <c r="D42" s="198">
        <v>168</v>
      </c>
      <c r="E42" s="198">
        <v>0.16800000000000001</v>
      </c>
      <c r="F42" s="198">
        <v>0</v>
      </c>
      <c r="G42" s="215">
        <v>0</v>
      </c>
      <c r="H42" s="131"/>
    </row>
    <row r="43" spans="1:8" x14ac:dyDescent="0.25">
      <c r="A43" s="133"/>
      <c r="B43" s="204" t="str">
        <v>Masonry (Concrete bricks), GB Veneer (Australia) (Austral)</v>
      </c>
      <c r="C43" s="132" t="str">
        <v>tonne</v>
      </c>
      <c r="D43" s="198">
        <v>174</v>
      </c>
      <c r="E43" s="198">
        <v>0.17399999999999999</v>
      </c>
      <c r="F43" s="198">
        <v>0</v>
      </c>
      <c r="G43" s="215">
        <v>0</v>
      </c>
      <c r="H43" s="131"/>
    </row>
    <row r="44" spans="1:8" x14ac:dyDescent="0.25">
      <c r="A44" s="133"/>
      <c r="B44" s="204" t="str">
        <v>Masonry (Concrete bricks), Breeze Blocks (Australia) (Austral)</v>
      </c>
      <c r="C44" s="132" t="str">
        <v>tonne</v>
      </c>
      <c r="D44" s="198">
        <v>172</v>
      </c>
      <c r="E44" s="198">
        <v>0.17199999999999999</v>
      </c>
      <c r="F44" s="198">
        <v>0</v>
      </c>
      <c r="G44" s="215">
        <v>0</v>
      </c>
      <c r="H44" s="131"/>
    </row>
    <row r="45" spans="1:8" x14ac:dyDescent="0.25">
      <c r="A45" s="133"/>
      <c r="B45" s="204" t="str">
        <v>Masonry (Concrete bricks), GB Latitude (Australia) (Austral)</v>
      </c>
      <c r="C45" s="132" t="str">
        <v>tonne</v>
      </c>
      <c r="D45" s="198">
        <v>164</v>
      </c>
      <c r="E45" s="198">
        <v>0.16400000000000001</v>
      </c>
      <c r="F45" s="198">
        <v>0</v>
      </c>
      <c r="G45" s="215">
        <v>0</v>
      </c>
      <c r="H45" s="131"/>
    </row>
    <row r="46" spans="1:8" x14ac:dyDescent="0.25">
      <c r="A46" s="133"/>
      <c r="B46" s="204" t="str">
        <v>Masonry (Concrete bricks), 100MM Standard (Australia) (Austral)</v>
      </c>
      <c r="C46" s="132" t="str">
        <v>tonne</v>
      </c>
      <c r="D46" s="198">
        <v>142</v>
      </c>
      <c r="E46" s="198">
        <v>0.14199999999999999</v>
      </c>
      <c r="F46" s="198">
        <v>0</v>
      </c>
      <c r="G46" s="215">
        <v>0</v>
      </c>
      <c r="H46" s="131"/>
    </row>
    <row r="47" spans="1:8" x14ac:dyDescent="0.25">
      <c r="A47" s="133"/>
      <c r="B47" s="204" t="str">
        <v>Masonry (Concrete bricks), 200MM Standard (Australia) (Austral)</v>
      </c>
      <c r="C47" s="132" t="str">
        <v>tonne</v>
      </c>
      <c r="D47" s="198">
        <v>142</v>
      </c>
      <c r="E47" s="198">
        <v>0.14199999999999999</v>
      </c>
      <c r="F47" s="198">
        <v>0</v>
      </c>
      <c r="G47" s="215">
        <v>0</v>
      </c>
      <c r="H47" s="131"/>
    </row>
    <row r="48" spans="1:8" x14ac:dyDescent="0.25">
      <c r="A48" s="133"/>
      <c r="B48" s="217" t="str">
        <v>Masonry (Concrete bricks), 150MM Mortarless (Australia) (Austral)</v>
      </c>
      <c r="C48" s="218" t="str">
        <v>tonne</v>
      </c>
      <c r="D48" s="219">
        <v>142</v>
      </c>
      <c r="E48" s="219">
        <v>0.14199999999999999</v>
      </c>
      <c r="F48" s="219">
        <v>0</v>
      </c>
      <c r="G48" s="220">
        <v>0</v>
      </c>
      <c r="H48" s="131"/>
    </row>
    <row r="49" spans="2:7" x14ac:dyDescent="0.25">
      <c r="B49" s="130"/>
      <c r="C49" s="130"/>
      <c r="D49" s="207"/>
      <c r="E49" s="207"/>
      <c r="F49" s="207"/>
      <c r="G49" s="207"/>
    </row>
  </sheetData>
  <dataValidations count="1">
    <dataValidation type="list" allowBlank="1" showInputMessage="1" showErrorMessage="1" sqref="B6:B9" xr:uid="{F8583CA1-5D1A-4BFC-9019-B8616AD6168E}">
      <formula1>"Tier 1,Tier 2,Tier 3,Tier 4"</formula1>
    </dataValidation>
  </dataValidation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74428-7709-4182-BC9B-BACD84D50233}">
  <sheetPr codeName="Sheet46">
    <tabColor rgb="FF007299"/>
  </sheetPr>
  <dimension ref="A1:AI4007"/>
  <sheetViews>
    <sheetView zoomScale="80" zoomScaleNormal="80" workbookViewId="0">
      <pane ySplit="7" topLeftCell="A8" activePane="bottomLeft" state="frozen"/>
      <selection pane="bottomLeft"/>
    </sheetView>
  </sheetViews>
  <sheetFormatPr defaultColWidth="9.1796875" defaultRowHeight="12.5" x14ac:dyDescent="0.25"/>
  <cols>
    <col min="1" max="2" width="30.7265625" style="370" customWidth="1"/>
    <col min="3" max="3" width="51.81640625" style="370" customWidth="1"/>
    <col min="4" max="4" width="146" style="370" customWidth="1"/>
    <col min="5" max="5" width="17.7265625" style="389" customWidth="1"/>
    <col min="6" max="6" width="19" style="389" customWidth="1"/>
    <col min="7" max="7" width="34.81640625" style="370" customWidth="1"/>
    <col min="8" max="8" width="30.7265625" style="370" customWidth="1"/>
    <col min="9" max="9" width="12.54296875" style="370" customWidth="1"/>
    <col min="10" max="10" width="28.54296875" style="370" customWidth="1"/>
    <col min="11" max="11" width="51.453125" style="370" customWidth="1"/>
    <col min="12" max="12" width="16" style="370" customWidth="1"/>
    <col min="13" max="13" width="17" style="371" bestFit="1" customWidth="1"/>
    <col min="14" max="14" width="26.26953125" style="371" customWidth="1"/>
    <col min="15" max="15" width="16.1796875" style="371" bestFit="1" customWidth="1"/>
    <col min="16" max="16" width="17.81640625" style="371" bestFit="1" customWidth="1"/>
    <col min="17" max="30" width="20.26953125" style="19" bestFit="1" customWidth="1"/>
    <col min="31" max="31" width="17.7265625" bestFit="1" customWidth="1"/>
    <col min="32" max="32" width="9.453125" customWidth="1"/>
    <col min="35" max="35" width="9.54296875" bestFit="1" customWidth="1"/>
  </cols>
  <sheetData>
    <row r="1" spans="1:35" s="26" customFormat="1" x14ac:dyDescent="0.25">
      <c r="A1" s="368"/>
      <c r="B1" s="368"/>
      <c r="C1" s="368"/>
      <c r="D1" s="369"/>
      <c r="E1" s="390"/>
      <c r="F1" s="368"/>
      <c r="G1" s="368"/>
      <c r="H1" s="368"/>
      <c r="I1" s="368"/>
      <c r="J1" s="369"/>
      <c r="K1" s="369"/>
      <c r="L1" s="391"/>
      <c r="M1" s="391"/>
      <c r="N1" s="391"/>
      <c r="O1" s="391"/>
      <c r="P1" s="392"/>
      <c r="Q1" s="392"/>
      <c r="R1" s="392"/>
      <c r="S1" s="392"/>
      <c r="T1" s="392"/>
      <c r="U1" s="392"/>
      <c r="V1" s="392"/>
      <c r="W1" s="392"/>
      <c r="X1" s="392"/>
      <c r="Y1" s="392"/>
      <c r="Z1" s="392"/>
      <c r="AA1" s="392"/>
      <c r="AB1" s="392"/>
      <c r="AC1" s="392"/>
    </row>
    <row r="2" spans="1:35" s="26" customFormat="1" x14ac:dyDescent="0.25">
      <c r="A2" s="393"/>
      <c r="B2" s="393"/>
      <c r="C2" s="394"/>
      <c r="D2" s="44"/>
      <c r="E2" s="372"/>
      <c r="F2" s="44"/>
      <c r="G2" s="44"/>
      <c r="H2" s="44"/>
      <c r="I2" s="44"/>
      <c r="J2" s="44"/>
      <c r="K2" s="44"/>
    </row>
    <row r="3" spans="1:35" s="26" customFormat="1" ht="28" x14ac:dyDescent="0.25">
      <c r="A3" s="422" t="s">
        <v>126</v>
      </c>
      <c r="B3" s="422"/>
      <c r="C3" s="422"/>
      <c r="D3" s="69"/>
      <c r="E3" s="373"/>
      <c r="F3" s="69"/>
      <c r="G3" s="69"/>
      <c r="H3" s="69"/>
      <c r="I3" s="69"/>
      <c r="J3" s="69"/>
      <c r="K3" s="69"/>
    </row>
    <row r="4" spans="1:35" s="26" customFormat="1" x14ac:dyDescent="0.25">
      <c r="A4" s="393"/>
      <c r="B4" s="393"/>
      <c r="C4" s="394"/>
      <c r="D4" s="44"/>
      <c r="E4" s="372"/>
      <c r="F4" s="44"/>
      <c r="G4" s="44"/>
      <c r="H4" s="44"/>
      <c r="I4" s="44"/>
      <c r="J4" s="44"/>
      <c r="K4" s="44"/>
    </row>
    <row r="5" spans="1:35" s="26" customFormat="1" x14ac:dyDescent="0.25">
      <c r="A5" s="368"/>
      <c r="B5" s="368"/>
      <c r="C5" s="368"/>
      <c r="D5" s="369"/>
      <c r="E5" s="390"/>
      <c r="F5" s="368"/>
      <c r="G5" s="368"/>
      <c r="H5" s="368"/>
      <c r="I5" s="368"/>
      <c r="J5" s="369"/>
      <c r="K5" s="369"/>
      <c r="L5" s="391"/>
      <c r="M5" s="391"/>
      <c r="N5" s="391"/>
      <c r="O5" s="391"/>
      <c r="P5" s="392"/>
      <c r="Q5" s="392"/>
      <c r="R5" s="392"/>
      <c r="S5" s="392"/>
      <c r="T5" s="392"/>
      <c r="U5" s="392"/>
      <c r="V5" s="392"/>
      <c r="W5" s="392"/>
      <c r="X5" s="392"/>
      <c r="Y5" s="392"/>
      <c r="Z5" s="392"/>
      <c r="AA5" s="392"/>
      <c r="AB5" s="392"/>
      <c r="AC5" s="392"/>
    </row>
    <row r="6" spans="1:35" s="26" customFormat="1" x14ac:dyDescent="0.25">
      <c r="A6" s="368"/>
      <c r="B6" s="368"/>
      <c r="C6" s="368"/>
      <c r="D6" s="369"/>
      <c r="E6" s="390"/>
      <c r="F6" s="368"/>
      <c r="G6" s="368"/>
      <c r="H6" s="368"/>
      <c r="I6" s="368"/>
      <c r="J6" s="369"/>
      <c r="K6" s="369"/>
      <c r="L6" s="391"/>
      <c r="M6" s="391"/>
      <c r="N6" s="391"/>
      <c r="O6" s="391"/>
      <c r="P6" s="392"/>
      <c r="Q6" s="392"/>
      <c r="R6" s="392"/>
      <c r="S6" s="392"/>
      <c r="T6" s="392"/>
      <c r="U6" s="392"/>
      <c r="V6" s="392"/>
      <c r="W6" s="392"/>
      <c r="X6" s="392"/>
      <c r="Y6" s="392"/>
      <c r="Z6" s="392"/>
      <c r="AA6" s="392"/>
      <c r="AB6" s="392"/>
      <c r="AC6" s="392"/>
    </row>
    <row r="7" spans="1:35" ht="39.75" customHeight="1" x14ac:dyDescent="0.25">
      <c r="A7" s="374" t="s">
        <v>127</v>
      </c>
      <c r="B7" s="374" t="s">
        <v>128</v>
      </c>
      <c r="C7" s="374" t="s">
        <v>129</v>
      </c>
      <c r="D7" s="374" t="s">
        <v>130</v>
      </c>
      <c r="E7" s="375" t="s">
        <v>131</v>
      </c>
      <c r="F7" s="375" t="s">
        <v>132</v>
      </c>
      <c r="G7" s="374" t="s">
        <v>133</v>
      </c>
      <c r="H7" s="374" t="s">
        <v>134</v>
      </c>
      <c r="I7" s="374" t="s">
        <v>3</v>
      </c>
      <c r="J7" s="374" t="s">
        <v>135</v>
      </c>
      <c r="K7" s="374" t="s">
        <v>136</v>
      </c>
      <c r="L7" s="374" t="s">
        <v>24</v>
      </c>
      <c r="M7" s="376" t="s">
        <v>137</v>
      </c>
      <c r="N7" s="376" t="s">
        <v>138</v>
      </c>
      <c r="O7" s="376" t="s">
        <v>139</v>
      </c>
      <c r="P7" s="376" t="s">
        <v>140</v>
      </c>
      <c r="Q7" s="377" t="s">
        <v>141</v>
      </c>
      <c r="R7" s="377" t="s">
        <v>142</v>
      </c>
      <c r="S7" s="377" t="s">
        <v>143</v>
      </c>
      <c r="T7" s="377" t="s">
        <v>144</v>
      </c>
      <c r="U7" s="377" t="s">
        <v>145</v>
      </c>
      <c r="V7" s="377" t="s">
        <v>146</v>
      </c>
      <c r="W7" s="377" t="s">
        <v>147</v>
      </c>
      <c r="X7" s="377" t="s">
        <v>148</v>
      </c>
      <c r="Y7" s="377" t="s">
        <v>149</v>
      </c>
      <c r="Z7" s="377" t="s">
        <v>150</v>
      </c>
      <c r="AA7" s="377" t="s">
        <v>151</v>
      </c>
      <c r="AB7" s="377" t="s">
        <v>152</v>
      </c>
      <c r="AC7" s="377" t="s">
        <v>153</v>
      </c>
      <c r="AD7" s="377" t="s">
        <v>154</v>
      </c>
      <c r="AE7" s="377" t="s">
        <v>155</v>
      </c>
    </row>
    <row r="8" spans="1:35" ht="15" customHeight="1" x14ac:dyDescent="0.25">
      <c r="A8" s="20" t="s">
        <v>156</v>
      </c>
      <c r="B8" s="20" t="s">
        <v>157</v>
      </c>
      <c r="C8" s="20" t="s">
        <v>158</v>
      </c>
      <c r="D8" s="378" t="s">
        <v>159</v>
      </c>
      <c r="E8" s="379">
        <v>44588</v>
      </c>
      <c r="F8" s="379">
        <v>46414</v>
      </c>
      <c r="G8" s="378" t="s">
        <v>160</v>
      </c>
      <c r="H8" s="20" t="s">
        <v>161</v>
      </c>
      <c r="I8" s="20" t="s">
        <v>162</v>
      </c>
      <c r="J8" s="20" t="s">
        <v>163</v>
      </c>
      <c r="K8" s="378" t="s">
        <v>164</v>
      </c>
      <c r="L8" s="20" t="s">
        <v>165</v>
      </c>
      <c r="M8" s="380">
        <v>2400</v>
      </c>
      <c r="N8" s="380"/>
      <c r="O8" s="380"/>
      <c r="P8" s="380"/>
      <c r="Q8" s="381" t="s">
        <v>166</v>
      </c>
      <c r="R8" s="381">
        <v>207</v>
      </c>
      <c r="S8" s="381" t="s">
        <v>167</v>
      </c>
      <c r="T8" s="381"/>
      <c r="U8" s="381"/>
      <c r="V8" s="382">
        <v>207.41</v>
      </c>
      <c r="W8" s="382">
        <v>0</v>
      </c>
      <c r="X8" s="381">
        <v>8.6249999999999993E-2</v>
      </c>
      <c r="Y8" s="381">
        <v>8.6249999999999993E-2</v>
      </c>
      <c r="Z8" s="381">
        <v>1.7083333333333333E-4</v>
      </c>
      <c r="AA8" s="381">
        <v>0</v>
      </c>
      <c r="AB8" s="381">
        <v>0</v>
      </c>
      <c r="AC8" s="382">
        <v>8.6420833333333322E-2</v>
      </c>
      <c r="AD8" s="382">
        <v>0</v>
      </c>
      <c r="AE8" s="381" t="s">
        <v>168</v>
      </c>
    </row>
    <row r="9" spans="1:35" ht="15" customHeight="1" x14ac:dyDescent="0.25">
      <c r="A9" s="20" t="s">
        <v>156</v>
      </c>
      <c r="B9" s="20" t="s">
        <v>157</v>
      </c>
      <c r="C9" s="20" t="s">
        <v>158</v>
      </c>
      <c r="D9" s="378" t="s">
        <v>169</v>
      </c>
      <c r="E9" s="379">
        <v>44588</v>
      </c>
      <c r="F9" s="379">
        <v>46414</v>
      </c>
      <c r="G9" s="378" t="s">
        <v>160</v>
      </c>
      <c r="H9" s="20" t="s">
        <v>161</v>
      </c>
      <c r="I9" s="20" t="s">
        <v>162</v>
      </c>
      <c r="J9" s="20" t="s">
        <v>163</v>
      </c>
      <c r="K9" s="378" t="s">
        <v>164</v>
      </c>
      <c r="L9" s="20" t="s">
        <v>165</v>
      </c>
      <c r="M9" s="380">
        <v>2400</v>
      </c>
      <c r="N9" s="380"/>
      <c r="O9" s="380"/>
      <c r="P9" s="380"/>
      <c r="Q9" s="381" t="s">
        <v>170</v>
      </c>
      <c r="R9" s="381">
        <v>195</v>
      </c>
      <c r="S9" s="381" t="s">
        <v>171</v>
      </c>
      <c r="T9" s="381"/>
      <c r="U9" s="381"/>
      <c r="V9" s="382">
        <v>195.31</v>
      </c>
      <c r="W9" s="382">
        <v>0</v>
      </c>
      <c r="X9" s="381">
        <v>8.1250000000000003E-2</v>
      </c>
      <c r="Y9" s="381">
        <v>8.1250000000000003E-2</v>
      </c>
      <c r="Z9" s="381">
        <v>1.2916666666666667E-4</v>
      </c>
      <c r="AA9" s="381">
        <v>0</v>
      </c>
      <c r="AB9" s="381">
        <v>0</v>
      </c>
      <c r="AC9" s="382">
        <v>8.1379166666666669E-2</v>
      </c>
      <c r="AD9" s="382">
        <v>0</v>
      </c>
      <c r="AE9" s="381" t="s">
        <v>168</v>
      </c>
    </row>
    <row r="10" spans="1:35" ht="15" customHeight="1" x14ac:dyDescent="0.25">
      <c r="A10" s="20" t="s">
        <v>156</v>
      </c>
      <c r="B10" s="20" t="s">
        <v>157</v>
      </c>
      <c r="C10" s="20" t="s">
        <v>158</v>
      </c>
      <c r="D10" s="378" t="s">
        <v>172</v>
      </c>
      <c r="E10" s="379">
        <v>44910</v>
      </c>
      <c r="F10" s="379">
        <v>46736</v>
      </c>
      <c r="G10" s="378" t="s">
        <v>173</v>
      </c>
      <c r="H10" s="20" t="s">
        <v>174</v>
      </c>
      <c r="I10" s="20" t="s">
        <v>162</v>
      </c>
      <c r="J10" s="20" t="s">
        <v>163</v>
      </c>
      <c r="K10" s="378" t="s">
        <v>175</v>
      </c>
      <c r="L10" s="20" t="s">
        <v>165</v>
      </c>
      <c r="M10" s="380">
        <v>2400</v>
      </c>
      <c r="N10" s="380"/>
      <c r="O10" s="380"/>
      <c r="P10" s="380"/>
      <c r="Q10" s="381">
        <v>211</v>
      </c>
      <c r="R10" s="381">
        <v>209</v>
      </c>
      <c r="S10" s="381">
        <v>2.33</v>
      </c>
      <c r="T10" s="381"/>
      <c r="U10" s="381"/>
      <c r="V10" s="382">
        <v>211.33</v>
      </c>
      <c r="W10" s="382">
        <v>0</v>
      </c>
      <c r="X10" s="381">
        <v>8.7916666666666671E-2</v>
      </c>
      <c r="Y10" s="381">
        <v>8.7083333333333332E-2</v>
      </c>
      <c r="Z10" s="381">
        <v>9.7083333333333331E-4</v>
      </c>
      <c r="AA10" s="381">
        <v>0</v>
      </c>
      <c r="AB10" s="381">
        <v>0</v>
      </c>
      <c r="AC10" s="382">
        <v>8.8054166666666669E-2</v>
      </c>
      <c r="AD10" s="382">
        <v>0</v>
      </c>
      <c r="AE10" s="381" t="s">
        <v>168</v>
      </c>
    </row>
    <row r="11" spans="1:35" ht="15" customHeight="1" x14ac:dyDescent="0.25">
      <c r="A11" s="20" t="s">
        <v>156</v>
      </c>
      <c r="B11" s="20" t="s">
        <v>157</v>
      </c>
      <c r="C11" s="20" t="s">
        <v>158</v>
      </c>
      <c r="D11" s="378" t="s">
        <v>176</v>
      </c>
      <c r="E11" s="379">
        <v>44588</v>
      </c>
      <c r="F11" s="379">
        <v>46414</v>
      </c>
      <c r="G11" s="378" t="s">
        <v>160</v>
      </c>
      <c r="H11" s="20" t="s">
        <v>161</v>
      </c>
      <c r="I11" s="20" t="s">
        <v>162</v>
      </c>
      <c r="J11" s="20" t="s">
        <v>163</v>
      </c>
      <c r="K11" s="378" t="s">
        <v>164</v>
      </c>
      <c r="L11" s="20" t="s">
        <v>165</v>
      </c>
      <c r="M11" s="380">
        <v>2400</v>
      </c>
      <c r="N11" s="380"/>
      <c r="O11" s="380"/>
      <c r="P11" s="380"/>
      <c r="Q11" s="381" t="s">
        <v>177</v>
      </c>
      <c r="R11" s="381">
        <v>201</v>
      </c>
      <c r="S11" s="381" t="s">
        <v>171</v>
      </c>
      <c r="T11" s="381"/>
      <c r="U11" s="381"/>
      <c r="V11" s="382">
        <v>201.31</v>
      </c>
      <c r="W11" s="382">
        <v>0</v>
      </c>
      <c r="X11" s="381">
        <v>8.3750000000000005E-2</v>
      </c>
      <c r="Y11" s="381">
        <v>8.3750000000000005E-2</v>
      </c>
      <c r="Z11" s="381">
        <v>1.2916666666666667E-4</v>
      </c>
      <c r="AA11" s="381">
        <v>0</v>
      </c>
      <c r="AB11" s="381">
        <v>0</v>
      </c>
      <c r="AC11" s="382">
        <v>8.3879166666666671E-2</v>
      </c>
      <c r="AD11" s="382">
        <v>0</v>
      </c>
      <c r="AE11" s="381" t="s">
        <v>168</v>
      </c>
    </row>
    <row r="12" spans="1:35" ht="15" customHeight="1" x14ac:dyDescent="0.25">
      <c r="A12" s="20" t="s">
        <v>156</v>
      </c>
      <c r="B12" s="20" t="s">
        <v>157</v>
      </c>
      <c r="C12" s="20" t="s">
        <v>158</v>
      </c>
      <c r="D12" s="378" t="s">
        <v>178</v>
      </c>
      <c r="E12" s="379">
        <v>44573</v>
      </c>
      <c r="F12" s="379">
        <v>46656</v>
      </c>
      <c r="G12" s="378" t="s">
        <v>179</v>
      </c>
      <c r="H12" s="20" t="s">
        <v>180</v>
      </c>
      <c r="I12" s="20" t="s">
        <v>162</v>
      </c>
      <c r="J12" s="20" t="s">
        <v>163</v>
      </c>
      <c r="K12" s="378" t="s">
        <v>181</v>
      </c>
      <c r="L12" s="20" t="s">
        <v>165</v>
      </c>
      <c r="M12" s="380">
        <v>2400</v>
      </c>
      <c r="N12" s="380"/>
      <c r="O12" s="380"/>
      <c r="P12" s="380"/>
      <c r="Q12" s="381" t="s">
        <v>182</v>
      </c>
      <c r="R12" s="381" t="s">
        <v>182</v>
      </c>
      <c r="S12" s="381" t="s">
        <v>183</v>
      </c>
      <c r="T12" s="381"/>
      <c r="U12" s="381"/>
      <c r="V12" s="382">
        <v>208.26</v>
      </c>
      <c r="W12" s="382">
        <v>0</v>
      </c>
      <c r="X12" s="381">
        <v>8.666666666666667E-2</v>
      </c>
      <c r="Y12" s="381">
        <v>8.666666666666667E-2</v>
      </c>
      <c r="Z12" s="381">
        <v>1.0833333333333334E-4</v>
      </c>
      <c r="AA12" s="381">
        <v>0</v>
      </c>
      <c r="AB12" s="381">
        <v>0</v>
      </c>
      <c r="AC12" s="382">
        <v>8.6775000000000005E-2</v>
      </c>
      <c r="AD12" s="382">
        <v>0</v>
      </c>
      <c r="AE12" s="381" t="s">
        <v>168</v>
      </c>
    </row>
    <row r="13" spans="1:35" ht="15" customHeight="1" x14ac:dyDescent="0.25">
      <c r="A13" s="20" t="s">
        <v>156</v>
      </c>
      <c r="B13" s="20" t="s">
        <v>157</v>
      </c>
      <c r="C13" s="20" t="s">
        <v>158</v>
      </c>
      <c r="D13" s="378" t="s">
        <v>184</v>
      </c>
      <c r="E13" s="379">
        <v>44816</v>
      </c>
      <c r="F13" s="379">
        <v>46642</v>
      </c>
      <c r="G13" s="383" t="s">
        <v>185</v>
      </c>
      <c r="H13" s="20" t="s">
        <v>186</v>
      </c>
      <c r="I13" s="20" t="s">
        <v>162</v>
      </c>
      <c r="J13" s="20" t="s">
        <v>163</v>
      </c>
      <c r="K13" s="378" t="s">
        <v>187</v>
      </c>
      <c r="L13" s="20" t="s">
        <v>165</v>
      </c>
      <c r="M13" s="380">
        <v>2400</v>
      </c>
      <c r="N13" s="380"/>
      <c r="O13" s="380"/>
      <c r="P13" s="380"/>
      <c r="Q13" s="381" t="s">
        <v>188</v>
      </c>
      <c r="R13" s="381" t="s">
        <v>188</v>
      </c>
      <c r="S13" s="381" t="s">
        <v>189</v>
      </c>
      <c r="T13" s="381"/>
      <c r="U13" s="381"/>
      <c r="V13" s="382">
        <v>151.16</v>
      </c>
      <c r="W13" s="382">
        <v>0</v>
      </c>
      <c r="X13" s="381">
        <v>6.2916666666666662E-2</v>
      </c>
      <c r="Y13" s="381">
        <v>6.2916666666666662E-2</v>
      </c>
      <c r="Z13" s="381">
        <v>6.666666666666667E-5</v>
      </c>
      <c r="AA13" s="381">
        <v>0</v>
      </c>
      <c r="AB13" s="381">
        <v>0</v>
      </c>
      <c r="AC13" s="382">
        <v>6.2983333333333336E-2</v>
      </c>
      <c r="AD13" s="382">
        <v>0</v>
      </c>
      <c r="AE13" s="381" t="s">
        <v>168</v>
      </c>
      <c r="AI13" s="19"/>
    </row>
    <row r="14" spans="1:35" ht="15" customHeight="1" x14ac:dyDescent="0.25">
      <c r="A14" s="20" t="s">
        <v>156</v>
      </c>
      <c r="B14" s="20" t="s">
        <v>157</v>
      </c>
      <c r="C14" s="20" t="s">
        <v>158</v>
      </c>
      <c r="D14" s="378" t="s">
        <v>190</v>
      </c>
      <c r="E14" s="379">
        <v>44816</v>
      </c>
      <c r="F14" s="379">
        <v>46642</v>
      </c>
      <c r="G14" s="383" t="s">
        <v>185</v>
      </c>
      <c r="H14" s="20" t="s">
        <v>186</v>
      </c>
      <c r="I14" s="20" t="s">
        <v>162</v>
      </c>
      <c r="J14" s="20" t="s">
        <v>163</v>
      </c>
      <c r="K14" s="378" t="s">
        <v>187</v>
      </c>
      <c r="L14" s="20" t="s">
        <v>165</v>
      </c>
      <c r="M14" s="380">
        <v>2400</v>
      </c>
      <c r="N14" s="380"/>
      <c r="O14" s="380"/>
      <c r="P14" s="380"/>
      <c r="Q14" s="381" t="s">
        <v>191</v>
      </c>
      <c r="R14" s="381" t="s">
        <v>191</v>
      </c>
      <c r="S14" s="381" t="s">
        <v>189</v>
      </c>
      <c r="T14" s="381"/>
      <c r="U14" s="381"/>
      <c r="V14" s="382">
        <v>153.16</v>
      </c>
      <c r="W14" s="382">
        <v>0</v>
      </c>
      <c r="X14" s="381">
        <v>6.3750000000000001E-2</v>
      </c>
      <c r="Y14" s="381">
        <v>6.3750000000000001E-2</v>
      </c>
      <c r="Z14" s="381">
        <v>6.666666666666667E-5</v>
      </c>
      <c r="AA14" s="381">
        <v>0</v>
      </c>
      <c r="AB14" s="381">
        <v>0</v>
      </c>
      <c r="AC14" s="382">
        <v>6.3816666666666674E-2</v>
      </c>
      <c r="AD14" s="382">
        <v>0</v>
      </c>
      <c r="AE14" s="381" t="s">
        <v>168</v>
      </c>
      <c r="AI14" s="19"/>
    </row>
    <row r="15" spans="1:35" ht="15" customHeight="1" x14ac:dyDescent="0.25">
      <c r="A15" s="20" t="s">
        <v>156</v>
      </c>
      <c r="B15" s="20" t="s">
        <v>157</v>
      </c>
      <c r="C15" s="20" t="s">
        <v>158</v>
      </c>
      <c r="D15" s="378" t="s">
        <v>192</v>
      </c>
      <c r="E15" s="379">
        <v>45016</v>
      </c>
      <c r="F15" s="379">
        <v>46843</v>
      </c>
      <c r="G15" s="378" t="s">
        <v>193</v>
      </c>
      <c r="H15" s="20" t="s">
        <v>194</v>
      </c>
      <c r="I15" s="20" t="s">
        <v>162</v>
      </c>
      <c r="J15" s="20" t="s">
        <v>163</v>
      </c>
      <c r="K15" s="378" t="s">
        <v>195</v>
      </c>
      <c r="L15" s="20" t="s">
        <v>165</v>
      </c>
      <c r="M15" s="380">
        <v>2400</v>
      </c>
      <c r="N15" s="380"/>
      <c r="O15" s="380"/>
      <c r="P15" s="380"/>
      <c r="Q15" s="381">
        <v>175</v>
      </c>
      <c r="R15" s="381">
        <v>175</v>
      </c>
      <c r="S15" s="381">
        <v>0.18099999999999999</v>
      </c>
      <c r="T15" s="381"/>
      <c r="U15" s="381"/>
      <c r="V15" s="382">
        <v>175.18100000000001</v>
      </c>
      <c r="W15" s="382">
        <v>0</v>
      </c>
      <c r="X15" s="381">
        <v>7.2916666666666671E-2</v>
      </c>
      <c r="Y15" s="381">
        <v>7.2916666666666671E-2</v>
      </c>
      <c r="Z15" s="381">
        <v>7.5416666666666666E-5</v>
      </c>
      <c r="AA15" s="381">
        <v>0</v>
      </c>
      <c r="AB15" s="381">
        <v>0</v>
      </c>
      <c r="AC15" s="382">
        <v>7.2992083333333332E-2</v>
      </c>
      <c r="AD15" s="382">
        <v>0</v>
      </c>
      <c r="AE15" s="381" t="s">
        <v>168</v>
      </c>
      <c r="AI15" s="19"/>
    </row>
    <row r="16" spans="1:35" ht="15" customHeight="1" x14ac:dyDescent="0.25">
      <c r="A16" s="20" t="s">
        <v>156</v>
      </c>
      <c r="B16" s="20" t="s">
        <v>157</v>
      </c>
      <c r="C16" s="20" t="s">
        <v>158</v>
      </c>
      <c r="D16" s="378" t="s">
        <v>196</v>
      </c>
      <c r="E16" s="379">
        <v>44816</v>
      </c>
      <c r="F16" s="379">
        <v>46642</v>
      </c>
      <c r="G16" s="383" t="s">
        <v>185</v>
      </c>
      <c r="H16" s="20" t="s">
        <v>186</v>
      </c>
      <c r="I16" s="20" t="s">
        <v>162</v>
      </c>
      <c r="J16" s="20" t="s">
        <v>163</v>
      </c>
      <c r="K16" s="378" t="s">
        <v>187</v>
      </c>
      <c r="L16" s="20" t="s">
        <v>165</v>
      </c>
      <c r="M16" s="380">
        <v>2400</v>
      </c>
      <c r="N16" s="380"/>
      <c r="O16" s="380"/>
      <c r="P16" s="380"/>
      <c r="Q16" s="381" t="s">
        <v>197</v>
      </c>
      <c r="R16" s="381" t="s">
        <v>197</v>
      </c>
      <c r="S16" s="381" t="s">
        <v>189</v>
      </c>
      <c r="T16" s="381"/>
      <c r="U16" s="381"/>
      <c r="V16" s="382">
        <v>160.16</v>
      </c>
      <c r="W16" s="382">
        <v>0</v>
      </c>
      <c r="X16" s="381">
        <v>6.6666666666666666E-2</v>
      </c>
      <c r="Y16" s="381">
        <v>6.6666666666666666E-2</v>
      </c>
      <c r="Z16" s="381">
        <v>6.666666666666667E-5</v>
      </c>
      <c r="AA16" s="381">
        <v>0</v>
      </c>
      <c r="AB16" s="381">
        <v>0</v>
      </c>
      <c r="AC16" s="382">
        <v>6.6733333333333339E-2</v>
      </c>
      <c r="AD16" s="382">
        <v>0</v>
      </c>
      <c r="AE16" s="381" t="s">
        <v>168</v>
      </c>
      <c r="AI16" s="19"/>
    </row>
    <row r="17" spans="1:32" ht="15" customHeight="1" x14ac:dyDescent="0.25">
      <c r="A17" s="20" t="s">
        <v>156</v>
      </c>
      <c r="B17" s="20" t="s">
        <v>157</v>
      </c>
      <c r="C17" s="20" t="s">
        <v>158</v>
      </c>
      <c r="D17" s="378" t="s">
        <v>198</v>
      </c>
      <c r="E17" s="379">
        <v>44816</v>
      </c>
      <c r="F17" s="379">
        <v>46642</v>
      </c>
      <c r="G17" s="383" t="s">
        <v>185</v>
      </c>
      <c r="H17" s="20" t="s">
        <v>186</v>
      </c>
      <c r="I17" s="20" t="s">
        <v>162</v>
      </c>
      <c r="J17" s="20" t="s">
        <v>163</v>
      </c>
      <c r="K17" s="378" t="s">
        <v>187</v>
      </c>
      <c r="L17" s="20" t="s">
        <v>165</v>
      </c>
      <c r="M17" s="380">
        <v>2400</v>
      </c>
      <c r="N17" s="380"/>
      <c r="O17" s="380"/>
      <c r="P17" s="380"/>
      <c r="Q17" s="381" t="s">
        <v>199</v>
      </c>
      <c r="R17" s="381" t="s">
        <v>199</v>
      </c>
      <c r="S17" s="381" t="s">
        <v>200</v>
      </c>
      <c r="T17" s="381"/>
      <c r="U17" s="381"/>
      <c r="V17" s="382">
        <v>157.15</v>
      </c>
      <c r="W17" s="382">
        <v>0</v>
      </c>
      <c r="X17" s="381">
        <v>6.5416666666666665E-2</v>
      </c>
      <c r="Y17" s="381">
        <v>6.5416666666666665E-2</v>
      </c>
      <c r="Z17" s="381">
        <v>6.2500000000000001E-5</v>
      </c>
      <c r="AA17" s="381">
        <v>0</v>
      </c>
      <c r="AB17" s="381">
        <v>0</v>
      </c>
      <c r="AC17" s="382">
        <v>6.5479166666666658E-2</v>
      </c>
      <c r="AD17" s="382">
        <v>0</v>
      </c>
      <c r="AE17" s="381" t="s">
        <v>168</v>
      </c>
      <c r="AF17" s="19"/>
    </row>
    <row r="18" spans="1:32" ht="15" customHeight="1" x14ac:dyDescent="0.25">
      <c r="A18" s="20" t="s">
        <v>156</v>
      </c>
      <c r="B18" s="20" t="s">
        <v>157</v>
      </c>
      <c r="C18" s="20" t="s">
        <v>158</v>
      </c>
      <c r="D18" s="378" t="s">
        <v>201</v>
      </c>
      <c r="E18" s="379">
        <v>45016</v>
      </c>
      <c r="F18" s="379">
        <v>46843</v>
      </c>
      <c r="G18" s="378" t="s">
        <v>179</v>
      </c>
      <c r="H18" s="20" t="s">
        <v>202</v>
      </c>
      <c r="I18" s="20" t="s">
        <v>162</v>
      </c>
      <c r="J18" s="20" t="s">
        <v>163</v>
      </c>
      <c r="K18" s="378" t="s">
        <v>203</v>
      </c>
      <c r="L18" s="20" t="s">
        <v>165</v>
      </c>
      <c r="M18" s="380">
        <v>2400</v>
      </c>
      <c r="N18" s="380"/>
      <c r="O18" s="380"/>
      <c r="P18" s="380"/>
      <c r="Q18" s="381">
        <v>149</v>
      </c>
      <c r="R18" s="381">
        <v>149</v>
      </c>
      <c r="S18" s="381">
        <v>0.14000000000000001</v>
      </c>
      <c r="T18" s="381"/>
      <c r="U18" s="381"/>
      <c r="V18" s="382">
        <v>149.13999999999999</v>
      </c>
      <c r="W18" s="382">
        <v>0</v>
      </c>
      <c r="X18" s="381">
        <v>6.2083333333333331E-2</v>
      </c>
      <c r="Y18" s="381">
        <v>6.2083333333333331E-2</v>
      </c>
      <c r="Z18" s="381">
        <v>5.833333333333334E-5</v>
      </c>
      <c r="AA18" s="381">
        <v>0</v>
      </c>
      <c r="AB18" s="381">
        <v>0</v>
      </c>
      <c r="AC18" s="382">
        <v>6.2141666666666664E-2</v>
      </c>
      <c r="AD18" s="382">
        <v>0</v>
      </c>
      <c r="AE18" s="381" t="s">
        <v>168</v>
      </c>
    </row>
    <row r="19" spans="1:32" ht="15" customHeight="1" x14ac:dyDescent="0.25">
      <c r="A19" s="20" t="s">
        <v>156</v>
      </c>
      <c r="B19" s="20" t="s">
        <v>157</v>
      </c>
      <c r="C19" s="20" t="s">
        <v>158</v>
      </c>
      <c r="D19" s="378" t="s">
        <v>204</v>
      </c>
      <c r="E19" s="379">
        <v>44816</v>
      </c>
      <c r="F19" s="379">
        <v>46642</v>
      </c>
      <c r="G19" s="383" t="s">
        <v>185</v>
      </c>
      <c r="H19" s="20" t="s">
        <v>186</v>
      </c>
      <c r="I19" s="20" t="s">
        <v>162</v>
      </c>
      <c r="J19" s="20" t="s">
        <v>163</v>
      </c>
      <c r="K19" s="378" t="s">
        <v>187</v>
      </c>
      <c r="L19" s="20" t="s">
        <v>165</v>
      </c>
      <c r="M19" s="380">
        <v>2400</v>
      </c>
      <c r="N19" s="380"/>
      <c r="O19" s="380"/>
      <c r="P19" s="380"/>
      <c r="Q19" s="381" t="s">
        <v>205</v>
      </c>
      <c r="R19" s="381" t="s">
        <v>205</v>
      </c>
      <c r="S19" s="381" t="s">
        <v>206</v>
      </c>
      <c r="T19" s="381"/>
      <c r="U19" s="381"/>
      <c r="V19" s="382">
        <v>200.18</v>
      </c>
      <c r="W19" s="382">
        <v>0</v>
      </c>
      <c r="X19" s="381">
        <v>8.3333333333333329E-2</v>
      </c>
      <c r="Y19" s="381">
        <v>8.3333333333333329E-2</v>
      </c>
      <c r="Z19" s="381">
        <v>7.4999999999999993E-5</v>
      </c>
      <c r="AA19" s="381">
        <v>0</v>
      </c>
      <c r="AB19" s="381">
        <v>0</v>
      </c>
      <c r="AC19" s="382">
        <v>8.3408333333333334E-2</v>
      </c>
      <c r="AD19" s="382">
        <v>0</v>
      </c>
      <c r="AE19" s="381" t="s">
        <v>168</v>
      </c>
    </row>
    <row r="20" spans="1:32" ht="15" customHeight="1" x14ac:dyDescent="0.25">
      <c r="A20" s="20" t="s">
        <v>156</v>
      </c>
      <c r="B20" s="20" t="s">
        <v>157</v>
      </c>
      <c r="C20" s="20" t="s">
        <v>158</v>
      </c>
      <c r="D20" s="378" t="s">
        <v>207</v>
      </c>
      <c r="E20" s="379">
        <v>44816</v>
      </c>
      <c r="F20" s="379">
        <v>46642</v>
      </c>
      <c r="G20" s="383" t="s">
        <v>185</v>
      </c>
      <c r="H20" s="20" t="s">
        <v>186</v>
      </c>
      <c r="I20" s="20" t="s">
        <v>162</v>
      </c>
      <c r="J20" s="20" t="s">
        <v>163</v>
      </c>
      <c r="K20" s="378" t="s">
        <v>187</v>
      </c>
      <c r="L20" s="20" t="s">
        <v>165</v>
      </c>
      <c r="M20" s="380">
        <v>2400</v>
      </c>
      <c r="N20" s="380"/>
      <c r="O20" s="380"/>
      <c r="P20" s="380"/>
      <c r="Q20" s="381" t="s">
        <v>208</v>
      </c>
      <c r="R20" s="381" t="s">
        <v>208</v>
      </c>
      <c r="S20" s="381" t="s">
        <v>206</v>
      </c>
      <c r="T20" s="381"/>
      <c r="U20" s="381"/>
      <c r="V20" s="382">
        <v>204.18</v>
      </c>
      <c r="W20" s="382">
        <v>0</v>
      </c>
      <c r="X20" s="381">
        <v>8.5000000000000006E-2</v>
      </c>
      <c r="Y20" s="381">
        <v>8.5000000000000006E-2</v>
      </c>
      <c r="Z20" s="381">
        <v>7.4999999999999993E-5</v>
      </c>
      <c r="AA20" s="381">
        <v>0</v>
      </c>
      <c r="AB20" s="381">
        <v>0</v>
      </c>
      <c r="AC20" s="382">
        <v>8.5075000000000012E-2</v>
      </c>
      <c r="AD20" s="382">
        <v>0</v>
      </c>
      <c r="AE20" s="381" t="s">
        <v>168</v>
      </c>
    </row>
    <row r="21" spans="1:32" ht="15" customHeight="1" x14ac:dyDescent="0.25">
      <c r="A21" s="20" t="s">
        <v>156</v>
      </c>
      <c r="B21" s="20" t="s">
        <v>157</v>
      </c>
      <c r="C21" s="20" t="s">
        <v>158</v>
      </c>
      <c r="D21" s="378" t="s">
        <v>209</v>
      </c>
      <c r="E21" s="379">
        <v>44816</v>
      </c>
      <c r="F21" s="379">
        <v>46642</v>
      </c>
      <c r="G21" s="383" t="s">
        <v>185</v>
      </c>
      <c r="H21" s="20" t="s">
        <v>186</v>
      </c>
      <c r="I21" s="20" t="s">
        <v>162</v>
      </c>
      <c r="J21" s="20" t="s">
        <v>163</v>
      </c>
      <c r="K21" s="378" t="s">
        <v>187</v>
      </c>
      <c r="L21" s="20" t="s">
        <v>165</v>
      </c>
      <c r="M21" s="380">
        <v>2400</v>
      </c>
      <c r="N21" s="380"/>
      <c r="O21" s="380"/>
      <c r="P21" s="380"/>
      <c r="Q21" s="381" t="s">
        <v>210</v>
      </c>
      <c r="R21" s="381" t="s">
        <v>210</v>
      </c>
      <c r="S21" s="381" t="s">
        <v>211</v>
      </c>
      <c r="T21" s="381"/>
      <c r="U21" s="381"/>
      <c r="V21" s="382">
        <v>194.17</v>
      </c>
      <c r="W21" s="382">
        <v>0</v>
      </c>
      <c r="X21" s="381">
        <v>8.0833333333333326E-2</v>
      </c>
      <c r="Y21" s="381">
        <v>8.0833333333333326E-2</v>
      </c>
      <c r="Z21" s="381">
        <v>7.0833333333333338E-5</v>
      </c>
      <c r="AA21" s="381">
        <v>0</v>
      </c>
      <c r="AB21" s="381">
        <v>0</v>
      </c>
      <c r="AC21" s="382">
        <v>8.0904166666666666E-2</v>
      </c>
      <c r="AD21" s="382">
        <v>0</v>
      </c>
      <c r="AE21" s="381" t="s">
        <v>168</v>
      </c>
    </row>
    <row r="22" spans="1:32" ht="15" customHeight="1" x14ac:dyDescent="0.25">
      <c r="A22" s="20" t="s">
        <v>156</v>
      </c>
      <c r="B22" s="20" t="s">
        <v>157</v>
      </c>
      <c r="C22" s="20" t="s">
        <v>158</v>
      </c>
      <c r="D22" s="378" t="s">
        <v>212</v>
      </c>
      <c r="E22" s="379">
        <v>44816</v>
      </c>
      <c r="F22" s="379">
        <v>46642</v>
      </c>
      <c r="G22" s="383" t="s">
        <v>185</v>
      </c>
      <c r="H22" s="20" t="s">
        <v>186</v>
      </c>
      <c r="I22" s="20" t="s">
        <v>162</v>
      </c>
      <c r="J22" s="20" t="s">
        <v>163</v>
      </c>
      <c r="K22" s="378" t="s">
        <v>187</v>
      </c>
      <c r="L22" s="20" t="s">
        <v>165</v>
      </c>
      <c r="M22" s="380">
        <v>2400</v>
      </c>
      <c r="N22" s="380"/>
      <c r="O22" s="380"/>
      <c r="P22" s="380"/>
      <c r="Q22" s="381" t="s">
        <v>213</v>
      </c>
      <c r="R22" s="381" t="s">
        <v>213</v>
      </c>
      <c r="S22" s="381" t="s">
        <v>211</v>
      </c>
      <c r="T22" s="381"/>
      <c r="U22" s="381"/>
      <c r="V22" s="382">
        <v>198.17</v>
      </c>
      <c r="W22" s="382">
        <v>0</v>
      </c>
      <c r="X22" s="381">
        <v>8.2500000000000004E-2</v>
      </c>
      <c r="Y22" s="381">
        <v>8.2500000000000004E-2</v>
      </c>
      <c r="Z22" s="381">
        <v>7.0833333333333338E-5</v>
      </c>
      <c r="AA22" s="381">
        <v>0</v>
      </c>
      <c r="AB22" s="381">
        <v>0</v>
      </c>
      <c r="AC22" s="382">
        <v>8.2570833333333343E-2</v>
      </c>
      <c r="AD22" s="382">
        <v>0</v>
      </c>
      <c r="AE22" s="381" t="s">
        <v>168</v>
      </c>
    </row>
    <row r="23" spans="1:32" ht="15" customHeight="1" x14ac:dyDescent="0.25">
      <c r="A23" s="20" t="s">
        <v>156</v>
      </c>
      <c r="B23" s="20" t="s">
        <v>157</v>
      </c>
      <c r="C23" s="20" t="s">
        <v>158</v>
      </c>
      <c r="D23" s="378" t="s">
        <v>214</v>
      </c>
      <c r="E23" s="379">
        <v>45016</v>
      </c>
      <c r="F23" s="379">
        <v>46843</v>
      </c>
      <c r="G23" s="378" t="s">
        <v>215</v>
      </c>
      <c r="H23" s="20" t="s">
        <v>216</v>
      </c>
      <c r="I23" s="20" t="s">
        <v>162</v>
      </c>
      <c r="J23" s="20" t="s">
        <v>163</v>
      </c>
      <c r="K23" s="378" t="s">
        <v>217</v>
      </c>
      <c r="L23" s="20" t="s">
        <v>165</v>
      </c>
      <c r="M23" s="380">
        <v>2400</v>
      </c>
      <c r="N23" s="380"/>
      <c r="O23" s="380"/>
      <c r="P23" s="380"/>
      <c r="Q23" s="381">
        <v>206</v>
      </c>
      <c r="R23" s="381">
        <v>206</v>
      </c>
      <c r="S23" s="381">
        <v>0.17299999999999999</v>
      </c>
      <c r="T23" s="381"/>
      <c r="U23" s="381"/>
      <c r="V23" s="382">
        <v>206.173</v>
      </c>
      <c r="W23" s="382">
        <v>0</v>
      </c>
      <c r="X23" s="381">
        <v>8.5833333333333331E-2</v>
      </c>
      <c r="Y23" s="381">
        <v>8.5833333333333331E-2</v>
      </c>
      <c r="Z23" s="381">
        <v>7.2083333333333328E-5</v>
      </c>
      <c r="AA23" s="381">
        <v>0</v>
      </c>
      <c r="AB23" s="381">
        <v>0</v>
      </c>
      <c r="AC23" s="382">
        <v>8.5905416666666665E-2</v>
      </c>
      <c r="AD23" s="382">
        <v>0</v>
      </c>
      <c r="AE23" s="381" t="s">
        <v>168</v>
      </c>
    </row>
    <row r="24" spans="1:32" ht="15" customHeight="1" x14ac:dyDescent="0.25">
      <c r="A24" s="20" t="s">
        <v>156</v>
      </c>
      <c r="B24" s="20" t="s">
        <v>157</v>
      </c>
      <c r="C24" s="20" t="s">
        <v>158</v>
      </c>
      <c r="D24" s="378" t="s">
        <v>218</v>
      </c>
      <c r="E24" s="379">
        <v>44294</v>
      </c>
      <c r="F24" s="379">
        <v>46120</v>
      </c>
      <c r="G24" s="378" t="s">
        <v>219</v>
      </c>
      <c r="H24" s="20" t="s">
        <v>220</v>
      </c>
      <c r="I24" s="20" t="s">
        <v>162</v>
      </c>
      <c r="J24" s="20" t="s">
        <v>163</v>
      </c>
      <c r="K24" s="378" t="s">
        <v>221</v>
      </c>
      <c r="L24" s="20" t="s">
        <v>165</v>
      </c>
      <c r="M24" s="380">
        <v>2400</v>
      </c>
      <c r="N24" s="380"/>
      <c r="O24" s="380"/>
      <c r="P24" s="380"/>
      <c r="Q24" s="381" t="s">
        <v>222</v>
      </c>
      <c r="R24" s="380" t="s">
        <v>222</v>
      </c>
      <c r="S24" s="381" t="s">
        <v>223</v>
      </c>
      <c r="T24" s="381"/>
      <c r="U24" s="381"/>
      <c r="V24" s="382">
        <v>136.11000000000001</v>
      </c>
      <c r="W24" s="382">
        <v>0</v>
      </c>
      <c r="X24" s="381">
        <v>5.6666666666666664E-2</v>
      </c>
      <c r="Y24" s="381">
        <v>5.6666666666666664E-2</v>
      </c>
      <c r="Z24" s="381">
        <v>4.5833333333333334E-5</v>
      </c>
      <c r="AA24" s="381">
        <v>0</v>
      </c>
      <c r="AB24" s="381">
        <v>0</v>
      </c>
      <c r="AC24" s="382">
        <v>5.6712499999999999E-2</v>
      </c>
      <c r="AD24" s="382">
        <v>0</v>
      </c>
      <c r="AE24" s="381" t="s">
        <v>168</v>
      </c>
    </row>
    <row r="25" spans="1:32" ht="15" customHeight="1" x14ac:dyDescent="0.25">
      <c r="A25" s="20" t="s">
        <v>156</v>
      </c>
      <c r="B25" s="20" t="s">
        <v>157</v>
      </c>
      <c r="C25" s="20" t="s">
        <v>158</v>
      </c>
      <c r="D25" s="378" t="s">
        <v>224</v>
      </c>
      <c r="E25" s="379">
        <v>44294</v>
      </c>
      <c r="F25" s="379">
        <v>46120</v>
      </c>
      <c r="G25" s="378" t="s">
        <v>219</v>
      </c>
      <c r="H25" s="20" t="s">
        <v>220</v>
      </c>
      <c r="I25" s="20" t="s">
        <v>162</v>
      </c>
      <c r="J25" s="20" t="s">
        <v>163</v>
      </c>
      <c r="K25" s="378" t="s">
        <v>221</v>
      </c>
      <c r="L25" s="20" t="s">
        <v>165</v>
      </c>
      <c r="M25" s="380">
        <v>2400</v>
      </c>
      <c r="N25" s="380"/>
      <c r="O25" s="380"/>
      <c r="P25" s="380"/>
      <c r="Q25" s="381" t="s">
        <v>222</v>
      </c>
      <c r="R25" s="380" t="s">
        <v>222</v>
      </c>
      <c r="S25" s="381" t="s">
        <v>223</v>
      </c>
      <c r="T25" s="381"/>
      <c r="U25" s="381"/>
      <c r="V25" s="382">
        <v>136.11000000000001</v>
      </c>
      <c r="W25" s="382">
        <v>0</v>
      </c>
      <c r="X25" s="381">
        <v>5.6666666666666664E-2</v>
      </c>
      <c r="Y25" s="381">
        <v>5.6666666666666664E-2</v>
      </c>
      <c r="Z25" s="381">
        <v>4.5833333333333334E-5</v>
      </c>
      <c r="AA25" s="381">
        <v>0</v>
      </c>
      <c r="AB25" s="381">
        <v>0</v>
      </c>
      <c r="AC25" s="382">
        <v>5.6712499999999999E-2</v>
      </c>
      <c r="AD25" s="382">
        <v>0</v>
      </c>
      <c r="AE25" s="381" t="s">
        <v>168</v>
      </c>
    </row>
    <row r="26" spans="1:32" ht="15" customHeight="1" x14ac:dyDescent="0.25">
      <c r="A26" s="20" t="s">
        <v>156</v>
      </c>
      <c r="B26" s="20" t="s">
        <v>157</v>
      </c>
      <c r="C26" s="20" t="s">
        <v>158</v>
      </c>
      <c r="D26" s="378" t="s">
        <v>225</v>
      </c>
      <c r="E26" s="379">
        <v>45016</v>
      </c>
      <c r="F26" s="379">
        <v>46843</v>
      </c>
      <c r="G26" s="378" t="s">
        <v>179</v>
      </c>
      <c r="H26" s="20" t="s">
        <v>202</v>
      </c>
      <c r="I26" s="20" t="s">
        <v>162</v>
      </c>
      <c r="J26" s="20" t="s">
        <v>163</v>
      </c>
      <c r="K26" s="378" t="s">
        <v>203</v>
      </c>
      <c r="L26" s="20" t="s">
        <v>165</v>
      </c>
      <c r="M26" s="380">
        <v>2400</v>
      </c>
      <c r="N26" s="380"/>
      <c r="O26" s="380"/>
      <c r="P26" s="380"/>
      <c r="Q26" s="381">
        <v>176</v>
      </c>
      <c r="R26" s="381">
        <v>176</v>
      </c>
      <c r="S26" s="381">
        <v>0.14000000000000001</v>
      </c>
      <c r="T26" s="381"/>
      <c r="U26" s="381"/>
      <c r="V26" s="382">
        <v>176.14</v>
      </c>
      <c r="W26" s="382">
        <v>0</v>
      </c>
      <c r="X26" s="381">
        <v>7.3333333333333334E-2</v>
      </c>
      <c r="Y26" s="381">
        <v>7.3333333333333334E-2</v>
      </c>
      <c r="Z26" s="381">
        <v>5.833333333333334E-5</v>
      </c>
      <c r="AA26" s="381">
        <v>0</v>
      </c>
      <c r="AB26" s="381">
        <v>0</v>
      </c>
      <c r="AC26" s="382">
        <v>7.3391666666666661E-2</v>
      </c>
      <c r="AD26" s="382">
        <v>0</v>
      </c>
      <c r="AE26" s="381" t="s">
        <v>168</v>
      </c>
    </row>
    <row r="27" spans="1:32" ht="15" customHeight="1" x14ac:dyDescent="0.25">
      <c r="A27" s="20" t="s">
        <v>156</v>
      </c>
      <c r="B27" s="20" t="s">
        <v>157</v>
      </c>
      <c r="C27" s="20" t="s">
        <v>158</v>
      </c>
      <c r="D27" s="378" t="s">
        <v>226</v>
      </c>
      <c r="E27" s="379">
        <v>44294</v>
      </c>
      <c r="F27" s="379">
        <v>46120</v>
      </c>
      <c r="G27" s="378" t="s">
        <v>219</v>
      </c>
      <c r="H27" s="20" t="s">
        <v>220</v>
      </c>
      <c r="I27" s="20" t="s">
        <v>162</v>
      </c>
      <c r="J27" s="20" t="s">
        <v>163</v>
      </c>
      <c r="K27" s="378" t="s">
        <v>221</v>
      </c>
      <c r="L27" s="20" t="s">
        <v>165</v>
      </c>
      <c r="M27" s="380">
        <v>2400</v>
      </c>
      <c r="N27" s="380"/>
      <c r="O27" s="380"/>
      <c r="P27" s="380"/>
      <c r="Q27" s="381" t="s">
        <v>227</v>
      </c>
      <c r="R27" s="380" t="s">
        <v>227</v>
      </c>
      <c r="S27" s="381" t="s">
        <v>223</v>
      </c>
      <c r="T27" s="381"/>
      <c r="U27" s="381"/>
      <c r="V27" s="382">
        <v>140.11000000000001</v>
      </c>
      <c r="W27" s="382">
        <v>0</v>
      </c>
      <c r="X27" s="381">
        <v>5.8333333333333334E-2</v>
      </c>
      <c r="Y27" s="381">
        <v>5.8333333333333334E-2</v>
      </c>
      <c r="Z27" s="381">
        <v>4.5833333333333334E-5</v>
      </c>
      <c r="AA27" s="381">
        <v>0</v>
      </c>
      <c r="AB27" s="381">
        <v>0</v>
      </c>
      <c r="AC27" s="382">
        <v>5.8379166666666669E-2</v>
      </c>
      <c r="AD27" s="382">
        <v>0</v>
      </c>
      <c r="AE27" s="381" t="s">
        <v>168</v>
      </c>
    </row>
    <row r="28" spans="1:32" ht="15" customHeight="1" x14ac:dyDescent="0.25">
      <c r="A28" s="20" t="s">
        <v>156</v>
      </c>
      <c r="B28" s="20" t="s">
        <v>157</v>
      </c>
      <c r="C28" s="20" t="s">
        <v>158</v>
      </c>
      <c r="D28" s="378" t="s">
        <v>228</v>
      </c>
      <c r="E28" s="379">
        <v>45038</v>
      </c>
      <c r="F28" s="379">
        <v>46865</v>
      </c>
      <c r="G28" s="383" t="s">
        <v>193</v>
      </c>
      <c r="H28" s="20" t="s">
        <v>229</v>
      </c>
      <c r="I28" s="20" t="s">
        <v>162</v>
      </c>
      <c r="J28" s="20" t="s">
        <v>163</v>
      </c>
      <c r="K28" s="378" t="s">
        <v>230</v>
      </c>
      <c r="L28" s="20" t="s">
        <v>165</v>
      </c>
      <c r="M28" s="380">
        <v>2400</v>
      </c>
      <c r="N28" s="380"/>
      <c r="O28" s="380"/>
      <c r="P28" s="380"/>
      <c r="Q28" s="381" t="s">
        <v>182</v>
      </c>
      <c r="R28" s="381" t="s">
        <v>182</v>
      </c>
      <c r="S28" s="381" t="s">
        <v>189</v>
      </c>
      <c r="T28" s="381"/>
      <c r="U28" s="381"/>
      <c r="V28" s="382">
        <v>208.16</v>
      </c>
      <c r="W28" s="382">
        <v>0</v>
      </c>
      <c r="X28" s="381">
        <v>8.666666666666667E-2</v>
      </c>
      <c r="Y28" s="381">
        <v>8.666666666666667E-2</v>
      </c>
      <c r="Z28" s="381">
        <v>6.666666666666667E-5</v>
      </c>
      <c r="AA28" s="381">
        <v>0</v>
      </c>
      <c r="AB28" s="381">
        <v>0</v>
      </c>
      <c r="AC28" s="382">
        <v>8.6733333333333343E-2</v>
      </c>
      <c r="AD28" s="382">
        <v>0</v>
      </c>
      <c r="AE28" s="381" t="s">
        <v>168</v>
      </c>
    </row>
    <row r="29" spans="1:32" ht="15" customHeight="1" x14ac:dyDescent="0.25">
      <c r="A29" s="20" t="s">
        <v>156</v>
      </c>
      <c r="B29" s="20" t="s">
        <v>157</v>
      </c>
      <c r="C29" s="20" t="s">
        <v>158</v>
      </c>
      <c r="D29" s="378" t="s">
        <v>231</v>
      </c>
      <c r="E29" s="379">
        <v>44910</v>
      </c>
      <c r="F29" s="379">
        <v>46736</v>
      </c>
      <c r="G29" s="378" t="s">
        <v>173</v>
      </c>
      <c r="H29" s="20" t="s">
        <v>174</v>
      </c>
      <c r="I29" s="20" t="s">
        <v>162</v>
      </c>
      <c r="J29" s="20" t="s">
        <v>163</v>
      </c>
      <c r="K29" s="378" t="s">
        <v>175</v>
      </c>
      <c r="L29" s="20" t="s">
        <v>165</v>
      </c>
      <c r="M29" s="380">
        <v>2400</v>
      </c>
      <c r="N29" s="380"/>
      <c r="O29" s="380"/>
      <c r="P29" s="380"/>
      <c r="Q29" s="381">
        <v>199</v>
      </c>
      <c r="R29" s="381">
        <v>197</v>
      </c>
      <c r="S29" s="381">
        <v>2.15</v>
      </c>
      <c r="T29" s="381"/>
      <c r="U29" s="381"/>
      <c r="V29" s="382">
        <v>199.15</v>
      </c>
      <c r="W29" s="382">
        <v>0</v>
      </c>
      <c r="X29" s="381">
        <v>8.2916666666666666E-2</v>
      </c>
      <c r="Y29" s="381">
        <v>8.2083333333333328E-2</v>
      </c>
      <c r="Z29" s="381">
        <v>8.9583333333333333E-4</v>
      </c>
      <c r="AA29" s="381">
        <v>0</v>
      </c>
      <c r="AB29" s="381">
        <v>0</v>
      </c>
      <c r="AC29" s="382">
        <v>8.2979166666666659E-2</v>
      </c>
      <c r="AD29" s="382">
        <v>0</v>
      </c>
      <c r="AE29" s="381" t="s">
        <v>168</v>
      </c>
    </row>
    <row r="30" spans="1:32" ht="15" customHeight="1" x14ac:dyDescent="0.25">
      <c r="A30" s="20" t="s">
        <v>156</v>
      </c>
      <c r="B30" s="20" t="s">
        <v>157</v>
      </c>
      <c r="C30" s="20" t="s">
        <v>158</v>
      </c>
      <c r="D30" s="378" t="s">
        <v>232</v>
      </c>
      <c r="E30" s="379">
        <v>45038</v>
      </c>
      <c r="F30" s="379">
        <v>46865</v>
      </c>
      <c r="G30" s="383" t="s">
        <v>193</v>
      </c>
      <c r="H30" s="20" t="s">
        <v>229</v>
      </c>
      <c r="I30" s="20" t="s">
        <v>162</v>
      </c>
      <c r="J30" s="20" t="s">
        <v>163</v>
      </c>
      <c r="K30" s="378" t="s">
        <v>230</v>
      </c>
      <c r="L30" s="20" t="s">
        <v>165</v>
      </c>
      <c r="M30" s="380">
        <v>2400</v>
      </c>
      <c r="N30" s="380"/>
      <c r="O30" s="380"/>
      <c r="P30" s="380"/>
      <c r="Q30" s="381" t="s">
        <v>233</v>
      </c>
      <c r="R30" s="381" t="s">
        <v>233</v>
      </c>
      <c r="S30" s="381" t="s">
        <v>234</v>
      </c>
      <c r="T30" s="381"/>
      <c r="U30" s="381"/>
      <c r="V30" s="382">
        <v>187.14</v>
      </c>
      <c r="W30" s="382">
        <v>0</v>
      </c>
      <c r="X30" s="381">
        <v>7.7916666666666662E-2</v>
      </c>
      <c r="Y30" s="381">
        <v>7.7916666666666662E-2</v>
      </c>
      <c r="Z30" s="381">
        <v>5.833333333333334E-5</v>
      </c>
      <c r="AA30" s="381">
        <v>0</v>
      </c>
      <c r="AB30" s="381">
        <v>0</v>
      </c>
      <c r="AC30" s="382">
        <v>7.7974999999999989E-2</v>
      </c>
      <c r="AD30" s="382">
        <v>0</v>
      </c>
      <c r="AE30" s="381" t="s">
        <v>168</v>
      </c>
    </row>
    <row r="31" spans="1:32" ht="15" customHeight="1" x14ac:dyDescent="0.25">
      <c r="A31" s="20" t="s">
        <v>156</v>
      </c>
      <c r="B31" s="20" t="s">
        <v>157</v>
      </c>
      <c r="C31" s="20" t="s">
        <v>158</v>
      </c>
      <c r="D31" s="378" t="s">
        <v>235</v>
      </c>
      <c r="E31" s="379">
        <v>45016</v>
      </c>
      <c r="F31" s="379">
        <v>46843</v>
      </c>
      <c r="G31" s="378" t="s">
        <v>193</v>
      </c>
      <c r="H31" s="20" t="s">
        <v>194</v>
      </c>
      <c r="I31" s="20" t="s">
        <v>162</v>
      </c>
      <c r="J31" s="20" t="s">
        <v>163</v>
      </c>
      <c r="K31" s="378" t="s">
        <v>195</v>
      </c>
      <c r="L31" s="20" t="s">
        <v>165</v>
      </c>
      <c r="M31" s="380">
        <v>2400</v>
      </c>
      <c r="N31" s="380"/>
      <c r="O31" s="380"/>
      <c r="P31" s="380"/>
      <c r="Q31" s="381">
        <v>261</v>
      </c>
      <c r="R31" s="381">
        <v>261</v>
      </c>
      <c r="S31" s="381">
        <v>0.19500000000000001</v>
      </c>
      <c r="T31" s="381"/>
      <c r="U31" s="381"/>
      <c r="V31" s="382">
        <v>261.19499999999999</v>
      </c>
      <c r="W31" s="382">
        <v>0</v>
      </c>
      <c r="X31" s="381">
        <v>0.10875</v>
      </c>
      <c r="Y31" s="381">
        <v>0.10875</v>
      </c>
      <c r="Z31" s="381">
        <v>8.1249999999999996E-5</v>
      </c>
      <c r="AA31" s="381">
        <v>0</v>
      </c>
      <c r="AB31" s="381">
        <v>0</v>
      </c>
      <c r="AC31" s="382">
        <v>0.10883125</v>
      </c>
      <c r="AD31" s="382">
        <v>0</v>
      </c>
      <c r="AE31" s="381" t="s">
        <v>168</v>
      </c>
    </row>
    <row r="32" spans="1:32" ht="15" customHeight="1" x14ac:dyDescent="0.25">
      <c r="A32" s="20" t="s">
        <v>156</v>
      </c>
      <c r="B32" s="20" t="s">
        <v>157</v>
      </c>
      <c r="C32" s="20" t="s">
        <v>158</v>
      </c>
      <c r="D32" s="378" t="s">
        <v>236</v>
      </c>
      <c r="E32" s="379">
        <v>44581</v>
      </c>
      <c r="F32" s="379">
        <v>46407</v>
      </c>
      <c r="G32" s="378" t="s">
        <v>237</v>
      </c>
      <c r="H32" s="20" t="s">
        <v>238</v>
      </c>
      <c r="I32" s="20" t="s">
        <v>162</v>
      </c>
      <c r="J32" s="20" t="s">
        <v>163</v>
      </c>
      <c r="K32" s="378" t="s">
        <v>239</v>
      </c>
      <c r="L32" s="20" t="s">
        <v>165</v>
      </c>
      <c r="M32" s="380">
        <v>2400</v>
      </c>
      <c r="N32" s="380"/>
      <c r="O32" s="380"/>
      <c r="P32" s="380"/>
      <c r="Q32" s="381" t="s">
        <v>240</v>
      </c>
      <c r="R32" s="381" t="s">
        <v>240</v>
      </c>
      <c r="S32" s="381" t="s">
        <v>234</v>
      </c>
      <c r="T32" s="381"/>
      <c r="U32" s="381"/>
      <c r="V32" s="382">
        <v>190.14</v>
      </c>
      <c r="W32" s="382">
        <v>0</v>
      </c>
      <c r="X32" s="381">
        <v>7.9166666666666663E-2</v>
      </c>
      <c r="Y32" s="381">
        <v>7.9166666666666663E-2</v>
      </c>
      <c r="Z32" s="381">
        <v>5.833333333333334E-5</v>
      </c>
      <c r="AA32" s="381">
        <v>0</v>
      </c>
      <c r="AB32" s="381">
        <v>0</v>
      </c>
      <c r="AC32" s="382">
        <v>7.922499999999999E-2</v>
      </c>
      <c r="AD32" s="382">
        <v>0</v>
      </c>
      <c r="AE32" s="381" t="s">
        <v>168</v>
      </c>
    </row>
    <row r="33" spans="1:31" ht="15" customHeight="1" x14ac:dyDescent="0.25">
      <c r="A33" s="20" t="s">
        <v>156</v>
      </c>
      <c r="B33" s="20" t="s">
        <v>157</v>
      </c>
      <c r="C33" s="20" t="s">
        <v>158</v>
      </c>
      <c r="D33" s="378" t="s">
        <v>241</v>
      </c>
      <c r="E33" s="379">
        <v>45016</v>
      </c>
      <c r="F33" s="379">
        <v>46843</v>
      </c>
      <c r="G33" s="378" t="s">
        <v>193</v>
      </c>
      <c r="H33" s="20" t="s">
        <v>194</v>
      </c>
      <c r="I33" s="20" t="s">
        <v>162</v>
      </c>
      <c r="J33" s="20" t="s">
        <v>163</v>
      </c>
      <c r="K33" s="378" t="s">
        <v>195</v>
      </c>
      <c r="L33" s="20" t="s">
        <v>165</v>
      </c>
      <c r="M33" s="380">
        <v>2400</v>
      </c>
      <c r="N33" s="380"/>
      <c r="O33" s="380"/>
      <c r="P33" s="380"/>
      <c r="Q33" s="381">
        <v>219</v>
      </c>
      <c r="R33" s="381">
        <v>219</v>
      </c>
      <c r="S33" s="381">
        <v>0.161</v>
      </c>
      <c r="T33" s="381"/>
      <c r="U33" s="381"/>
      <c r="V33" s="382">
        <v>219.161</v>
      </c>
      <c r="W33" s="382">
        <v>0</v>
      </c>
      <c r="X33" s="381">
        <v>9.1249999999999998E-2</v>
      </c>
      <c r="Y33" s="381">
        <v>9.1249999999999998E-2</v>
      </c>
      <c r="Z33" s="381">
        <v>6.7083333333333329E-5</v>
      </c>
      <c r="AA33" s="381">
        <v>0</v>
      </c>
      <c r="AB33" s="381">
        <v>0</v>
      </c>
      <c r="AC33" s="382">
        <v>9.1317083333333327E-2</v>
      </c>
      <c r="AD33" s="382">
        <v>0</v>
      </c>
      <c r="AE33" s="381" t="s">
        <v>168</v>
      </c>
    </row>
    <row r="34" spans="1:31" ht="15" customHeight="1" x14ac:dyDescent="0.25">
      <c r="A34" s="20" t="s">
        <v>156</v>
      </c>
      <c r="B34" s="20" t="s">
        <v>157</v>
      </c>
      <c r="C34" s="20" t="s">
        <v>158</v>
      </c>
      <c r="D34" s="378" t="s">
        <v>242</v>
      </c>
      <c r="E34" s="379">
        <v>45038</v>
      </c>
      <c r="F34" s="379">
        <v>46865</v>
      </c>
      <c r="G34" s="383" t="s">
        <v>193</v>
      </c>
      <c r="H34" s="20" t="s">
        <v>229</v>
      </c>
      <c r="I34" s="20" t="s">
        <v>162</v>
      </c>
      <c r="J34" s="20" t="s">
        <v>163</v>
      </c>
      <c r="K34" s="378" t="s">
        <v>230</v>
      </c>
      <c r="L34" s="20" t="s">
        <v>165</v>
      </c>
      <c r="M34" s="380">
        <v>2400</v>
      </c>
      <c r="N34" s="380"/>
      <c r="O34" s="380"/>
      <c r="P34" s="380"/>
      <c r="Q34" s="381" t="s">
        <v>243</v>
      </c>
      <c r="R34" s="381" t="s">
        <v>243</v>
      </c>
      <c r="S34" s="381" t="s">
        <v>244</v>
      </c>
      <c r="T34" s="381"/>
      <c r="U34" s="381"/>
      <c r="V34" s="382">
        <v>164.12</v>
      </c>
      <c r="W34" s="382">
        <v>0</v>
      </c>
      <c r="X34" s="381">
        <v>6.8333333333333329E-2</v>
      </c>
      <c r="Y34" s="381">
        <v>6.8333333333333329E-2</v>
      </c>
      <c r="Z34" s="381">
        <v>4.9999999999999996E-5</v>
      </c>
      <c r="AA34" s="381">
        <v>0</v>
      </c>
      <c r="AB34" s="381">
        <v>0</v>
      </c>
      <c r="AC34" s="382">
        <v>6.8383333333333324E-2</v>
      </c>
      <c r="AD34" s="382">
        <v>0</v>
      </c>
      <c r="AE34" s="381" t="s">
        <v>168</v>
      </c>
    </row>
    <row r="35" spans="1:31" ht="15" customHeight="1" x14ac:dyDescent="0.25">
      <c r="A35" s="20" t="s">
        <v>156</v>
      </c>
      <c r="B35" s="20" t="s">
        <v>157</v>
      </c>
      <c r="C35" s="20" t="s">
        <v>158</v>
      </c>
      <c r="D35" s="378" t="s">
        <v>245</v>
      </c>
      <c r="E35" s="379">
        <v>45038</v>
      </c>
      <c r="F35" s="379">
        <v>46865</v>
      </c>
      <c r="G35" s="383" t="s">
        <v>193</v>
      </c>
      <c r="H35" s="20" t="s">
        <v>229</v>
      </c>
      <c r="I35" s="20" t="s">
        <v>162</v>
      </c>
      <c r="J35" s="20" t="s">
        <v>163</v>
      </c>
      <c r="K35" s="378" t="s">
        <v>230</v>
      </c>
      <c r="L35" s="20" t="s">
        <v>165</v>
      </c>
      <c r="M35" s="380">
        <v>2400</v>
      </c>
      <c r="N35" s="380"/>
      <c r="O35" s="380"/>
      <c r="P35" s="380"/>
      <c r="Q35" s="381" t="s">
        <v>243</v>
      </c>
      <c r="R35" s="381" t="s">
        <v>243</v>
      </c>
      <c r="S35" s="381" t="s">
        <v>244</v>
      </c>
      <c r="T35" s="381"/>
      <c r="U35" s="381"/>
      <c r="V35" s="382">
        <v>164.12</v>
      </c>
      <c r="W35" s="382">
        <v>0</v>
      </c>
      <c r="X35" s="381">
        <v>6.8333333333333329E-2</v>
      </c>
      <c r="Y35" s="381">
        <v>6.8333333333333329E-2</v>
      </c>
      <c r="Z35" s="381">
        <v>4.9999999999999996E-5</v>
      </c>
      <c r="AA35" s="381">
        <v>0</v>
      </c>
      <c r="AB35" s="381">
        <v>0</v>
      </c>
      <c r="AC35" s="382">
        <v>6.8383333333333324E-2</v>
      </c>
      <c r="AD35" s="382">
        <v>0</v>
      </c>
      <c r="AE35" s="381" t="s">
        <v>168</v>
      </c>
    </row>
    <row r="36" spans="1:31" ht="15" customHeight="1" x14ac:dyDescent="0.25">
      <c r="A36" s="20" t="s">
        <v>156</v>
      </c>
      <c r="B36" s="20" t="s">
        <v>157</v>
      </c>
      <c r="C36" s="20" t="s">
        <v>158</v>
      </c>
      <c r="D36" s="378" t="s">
        <v>246</v>
      </c>
      <c r="E36" s="379">
        <v>45016</v>
      </c>
      <c r="F36" s="379">
        <v>46843</v>
      </c>
      <c r="G36" s="378" t="s">
        <v>193</v>
      </c>
      <c r="H36" s="20" t="s">
        <v>194</v>
      </c>
      <c r="I36" s="20" t="s">
        <v>162</v>
      </c>
      <c r="J36" s="20" t="s">
        <v>163</v>
      </c>
      <c r="K36" s="378" t="s">
        <v>195</v>
      </c>
      <c r="L36" s="20" t="s">
        <v>165</v>
      </c>
      <c r="M36" s="380">
        <v>2400</v>
      </c>
      <c r="N36" s="380"/>
      <c r="O36" s="380"/>
      <c r="P36" s="380"/>
      <c r="Q36" s="381">
        <v>225</v>
      </c>
      <c r="R36" s="381">
        <v>225</v>
      </c>
      <c r="S36" s="381">
        <v>0.16200000000000001</v>
      </c>
      <c r="T36" s="381"/>
      <c r="U36" s="381"/>
      <c r="V36" s="382">
        <v>225.16200000000001</v>
      </c>
      <c r="W36" s="382">
        <v>0</v>
      </c>
      <c r="X36" s="381">
        <v>9.375E-2</v>
      </c>
      <c r="Y36" s="381">
        <v>9.375E-2</v>
      </c>
      <c r="Z36" s="381">
        <v>6.7500000000000001E-5</v>
      </c>
      <c r="AA36" s="381">
        <v>0</v>
      </c>
      <c r="AB36" s="381">
        <v>0</v>
      </c>
      <c r="AC36" s="382">
        <v>9.3817499999999998E-2</v>
      </c>
      <c r="AD36" s="382">
        <v>0</v>
      </c>
      <c r="AE36" s="381" t="s">
        <v>168</v>
      </c>
    </row>
    <row r="37" spans="1:31" ht="15" customHeight="1" x14ac:dyDescent="0.25">
      <c r="A37" s="20" t="s">
        <v>156</v>
      </c>
      <c r="B37" s="20" t="s">
        <v>157</v>
      </c>
      <c r="C37" s="20" t="s">
        <v>158</v>
      </c>
      <c r="D37" s="378" t="s">
        <v>247</v>
      </c>
      <c r="E37" s="379">
        <v>44581</v>
      </c>
      <c r="F37" s="379">
        <v>46407</v>
      </c>
      <c r="G37" s="378" t="s">
        <v>237</v>
      </c>
      <c r="H37" s="20" t="s">
        <v>238</v>
      </c>
      <c r="I37" s="20" t="s">
        <v>162</v>
      </c>
      <c r="J37" s="20" t="s">
        <v>163</v>
      </c>
      <c r="K37" s="378" t="s">
        <v>239</v>
      </c>
      <c r="L37" s="20" t="s">
        <v>165</v>
      </c>
      <c r="M37" s="380">
        <v>2400</v>
      </c>
      <c r="N37" s="380"/>
      <c r="O37" s="380"/>
      <c r="P37" s="380"/>
      <c r="Q37" s="381" t="s">
        <v>191</v>
      </c>
      <c r="R37" s="381" t="s">
        <v>191</v>
      </c>
      <c r="S37" s="381" t="s">
        <v>223</v>
      </c>
      <c r="T37" s="381"/>
      <c r="U37" s="381"/>
      <c r="V37" s="382">
        <v>153.11000000000001</v>
      </c>
      <c r="W37" s="382">
        <v>0</v>
      </c>
      <c r="X37" s="381">
        <v>6.3750000000000001E-2</v>
      </c>
      <c r="Y37" s="381">
        <v>6.3750000000000001E-2</v>
      </c>
      <c r="Z37" s="381">
        <v>4.5833333333333334E-5</v>
      </c>
      <c r="AA37" s="381">
        <v>0</v>
      </c>
      <c r="AB37" s="381">
        <v>0</v>
      </c>
      <c r="AC37" s="382">
        <v>6.3795833333333329E-2</v>
      </c>
      <c r="AD37" s="382">
        <v>0</v>
      </c>
      <c r="AE37" s="381" t="s">
        <v>168</v>
      </c>
    </row>
    <row r="38" spans="1:31" ht="15" customHeight="1" x14ac:dyDescent="0.25">
      <c r="A38" s="20" t="s">
        <v>156</v>
      </c>
      <c r="B38" s="20" t="s">
        <v>157</v>
      </c>
      <c r="C38" s="20" t="s">
        <v>158</v>
      </c>
      <c r="D38" s="378" t="s">
        <v>248</v>
      </c>
      <c r="E38" s="379">
        <v>45038</v>
      </c>
      <c r="F38" s="379">
        <v>46865</v>
      </c>
      <c r="G38" s="383" t="s">
        <v>193</v>
      </c>
      <c r="H38" s="20" t="s">
        <v>229</v>
      </c>
      <c r="I38" s="20" t="s">
        <v>162</v>
      </c>
      <c r="J38" s="20" t="s">
        <v>163</v>
      </c>
      <c r="K38" s="378" t="s">
        <v>230</v>
      </c>
      <c r="L38" s="20" t="s">
        <v>165</v>
      </c>
      <c r="M38" s="380">
        <v>2400</v>
      </c>
      <c r="N38" s="380"/>
      <c r="O38" s="380"/>
      <c r="P38" s="380"/>
      <c r="Q38" s="381" t="s">
        <v>249</v>
      </c>
      <c r="R38" s="381" t="s">
        <v>249</v>
      </c>
      <c r="S38" s="381" t="s">
        <v>244</v>
      </c>
      <c r="T38" s="381"/>
      <c r="U38" s="381"/>
      <c r="V38" s="382">
        <v>168.12</v>
      </c>
      <c r="W38" s="382">
        <v>0</v>
      </c>
      <c r="X38" s="381">
        <v>7.0000000000000007E-2</v>
      </c>
      <c r="Y38" s="381">
        <v>7.0000000000000007E-2</v>
      </c>
      <c r="Z38" s="381">
        <v>4.9999999999999996E-5</v>
      </c>
      <c r="AA38" s="381">
        <v>0</v>
      </c>
      <c r="AB38" s="381">
        <v>0</v>
      </c>
      <c r="AC38" s="382">
        <v>7.0050000000000001E-2</v>
      </c>
      <c r="AD38" s="382">
        <v>0</v>
      </c>
      <c r="AE38" s="381" t="s">
        <v>168</v>
      </c>
    </row>
    <row r="39" spans="1:31" ht="15" customHeight="1" x14ac:dyDescent="0.25">
      <c r="A39" s="20" t="s">
        <v>156</v>
      </c>
      <c r="B39" s="20" t="s">
        <v>157</v>
      </c>
      <c r="C39" s="20" t="s">
        <v>158</v>
      </c>
      <c r="D39" s="378" t="s">
        <v>250</v>
      </c>
      <c r="E39" s="379">
        <v>45038</v>
      </c>
      <c r="F39" s="379">
        <v>46865</v>
      </c>
      <c r="G39" s="383" t="s">
        <v>193</v>
      </c>
      <c r="H39" s="20" t="s">
        <v>229</v>
      </c>
      <c r="I39" s="20" t="s">
        <v>162</v>
      </c>
      <c r="J39" s="20" t="s">
        <v>163</v>
      </c>
      <c r="K39" s="378" t="s">
        <v>230</v>
      </c>
      <c r="L39" s="20" t="s">
        <v>165</v>
      </c>
      <c r="M39" s="380">
        <v>2400</v>
      </c>
      <c r="N39" s="380"/>
      <c r="O39" s="380"/>
      <c r="P39" s="380"/>
      <c r="Q39" s="381" t="s">
        <v>251</v>
      </c>
      <c r="R39" s="381" t="s">
        <v>251</v>
      </c>
      <c r="S39" s="381" t="s">
        <v>244</v>
      </c>
      <c r="T39" s="381"/>
      <c r="U39" s="381"/>
      <c r="V39" s="382">
        <v>170.12</v>
      </c>
      <c r="W39" s="382">
        <v>0</v>
      </c>
      <c r="X39" s="381">
        <v>7.0833333333333331E-2</v>
      </c>
      <c r="Y39" s="381">
        <v>7.0833333333333331E-2</v>
      </c>
      <c r="Z39" s="381">
        <v>4.9999999999999996E-5</v>
      </c>
      <c r="AA39" s="381">
        <v>0</v>
      </c>
      <c r="AB39" s="381">
        <v>0</v>
      </c>
      <c r="AC39" s="382">
        <v>7.0883333333333326E-2</v>
      </c>
      <c r="AD39" s="382">
        <v>0</v>
      </c>
      <c r="AE39" s="381" t="s">
        <v>168</v>
      </c>
    </row>
    <row r="40" spans="1:31" ht="15" customHeight="1" x14ac:dyDescent="0.25">
      <c r="A40" s="20" t="s">
        <v>156</v>
      </c>
      <c r="B40" s="20" t="s">
        <v>157</v>
      </c>
      <c r="C40" s="20" t="s">
        <v>158</v>
      </c>
      <c r="D40" s="378" t="s">
        <v>252</v>
      </c>
      <c r="E40" s="379">
        <v>44581</v>
      </c>
      <c r="F40" s="379">
        <v>46407</v>
      </c>
      <c r="G40" s="378" t="s">
        <v>237</v>
      </c>
      <c r="H40" s="20" t="s">
        <v>238</v>
      </c>
      <c r="I40" s="20" t="s">
        <v>162</v>
      </c>
      <c r="J40" s="20" t="s">
        <v>163</v>
      </c>
      <c r="K40" s="378" t="s">
        <v>239</v>
      </c>
      <c r="L40" s="20" t="s">
        <v>165</v>
      </c>
      <c r="M40" s="380">
        <v>2400</v>
      </c>
      <c r="N40" s="380"/>
      <c r="O40" s="380"/>
      <c r="P40" s="380"/>
      <c r="Q40" s="381" t="s">
        <v>253</v>
      </c>
      <c r="R40" s="381" t="s">
        <v>253</v>
      </c>
      <c r="S40" s="381" t="s">
        <v>223</v>
      </c>
      <c r="T40" s="381"/>
      <c r="U40" s="381"/>
      <c r="V40" s="382">
        <v>156.11000000000001</v>
      </c>
      <c r="W40" s="382">
        <v>0</v>
      </c>
      <c r="X40" s="381">
        <v>6.5000000000000002E-2</v>
      </c>
      <c r="Y40" s="381">
        <v>6.5000000000000002E-2</v>
      </c>
      <c r="Z40" s="381">
        <v>4.5833333333333334E-5</v>
      </c>
      <c r="AA40" s="381">
        <v>0</v>
      </c>
      <c r="AB40" s="381">
        <v>0</v>
      </c>
      <c r="AC40" s="382">
        <v>6.5045833333333331E-2</v>
      </c>
      <c r="AD40" s="382">
        <v>0</v>
      </c>
      <c r="AE40" s="381" t="s">
        <v>168</v>
      </c>
    </row>
    <row r="41" spans="1:31" ht="15" customHeight="1" x14ac:dyDescent="0.25">
      <c r="A41" s="20" t="s">
        <v>156</v>
      </c>
      <c r="B41" s="20" t="s">
        <v>157</v>
      </c>
      <c r="C41" s="20" t="s">
        <v>158</v>
      </c>
      <c r="D41" s="378" t="s">
        <v>254</v>
      </c>
      <c r="E41" s="379">
        <v>44581</v>
      </c>
      <c r="F41" s="379">
        <v>46407</v>
      </c>
      <c r="G41" s="378" t="s">
        <v>237</v>
      </c>
      <c r="H41" s="20" t="s">
        <v>238</v>
      </c>
      <c r="I41" s="20" t="s">
        <v>162</v>
      </c>
      <c r="J41" s="20" t="s">
        <v>163</v>
      </c>
      <c r="K41" s="378" t="s">
        <v>239</v>
      </c>
      <c r="L41" s="20" t="s">
        <v>165</v>
      </c>
      <c r="M41" s="380">
        <v>2400</v>
      </c>
      <c r="N41" s="380"/>
      <c r="O41" s="380"/>
      <c r="P41" s="380"/>
      <c r="Q41" s="381" t="s">
        <v>255</v>
      </c>
      <c r="R41" s="381" t="s">
        <v>255</v>
      </c>
      <c r="S41" s="381" t="s">
        <v>223</v>
      </c>
      <c r="T41" s="381"/>
      <c r="U41" s="381"/>
      <c r="V41" s="382">
        <v>158.11000000000001</v>
      </c>
      <c r="W41" s="382">
        <v>0</v>
      </c>
      <c r="X41" s="381">
        <v>6.5833333333333327E-2</v>
      </c>
      <c r="Y41" s="381">
        <v>6.5833333333333327E-2</v>
      </c>
      <c r="Z41" s="381">
        <v>4.5833333333333334E-5</v>
      </c>
      <c r="AA41" s="381">
        <v>0</v>
      </c>
      <c r="AB41" s="381">
        <v>0</v>
      </c>
      <c r="AC41" s="382">
        <v>6.5879166666666655E-2</v>
      </c>
      <c r="AD41" s="382">
        <v>0</v>
      </c>
      <c r="AE41" s="381" t="s">
        <v>168</v>
      </c>
    </row>
    <row r="42" spans="1:31" ht="15" customHeight="1" x14ac:dyDescent="0.25">
      <c r="A42" s="20" t="s">
        <v>156</v>
      </c>
      <c r="B42" s="20" t="s">
        <v>157</v>
      </c>
      <c r="C42" s="20" t="s">
        <v>158</v>
      </c>
      <c r="D42" s="378" t="s">
        <v>256</v>
      </c>
      <c r="E42" s="379">
        <v>45038</v>
      </c>
      <c r="F42" s="379">
        <v>46865</v>
      </c>
      <c r="G42" s="383" t="s">
        <v>193</v>
      </c>
      <c r="H42" s="20" t="s">
        <v>229</v>
      </c>
      <c r="I42" s="20" t="s">
        <v>162</v>
      </c>
      <c r="J42" s="20" t="s">
        <v>163</v>
      </c>
      <c r="K42" s="378" t="s">
        <v>230</v>
      </c>
      <c r="L42" s="20" t="s">
        <v>165</v>
      </c>
      <c r="M42" s="380">
        <v>2400</v>
      </c>
      <c r="N42" s="380"/>
      <c r="O42" s="380"/>
      <c r="P42" s="380"/>
      <c r="Q42" s="381" t="s">
        <v>257</v>
      </c>
      <c r="R42" s="381" t="s">
        <v>257</v>
      </c>
      <c r="S42" s="381" t="s">
        <v>223</v>
      </c>
      <c r="T42" s="381"/>
      <c r="U42" s="381"/>
      <c r="V42" s="382">
        <v>159.11000000000001</v>
      </c>
      <c r="W42" s="382">
        <v>0</v>
      </c>
      <c r="X42" s="381">
        <v>6.6250000000000003E-2</v>
      </c>
      <c r="Y42" s="381">
        <v>6.6250000000000003E-2</v>
      </c>
      <c r="Z42" s="381">
        <v>4.5833333333333334E-5</v>
      </c>
      <c r="AA42" s="381">
        <v>0</v>
      </c>
      <c r="AB42" s="381">
        <v>0</v>
      </c>
      <c r="AC42" s="382">
        <v>6.6295833333333332E-2</v>
      </c>
      <c r="AD42" s="382">
        <v>0</v>
      </c>
      <c r="AE42" s="381" t="s">
        <v>168</v>
      </c>
    </row>
    <row r="43" spans="1:31" ht="15" customHeight="1" x14ac:dyDescent="0.25">
      <c r="A43" s="20" t="s">
        <v>156</v>
      </c>
      <c r="B43" s="20" t="s">
        <v>157</v>
      </c>
      <c r="C43" s="20" t="s">
        <v>158</v>
      </c>
      <c r="D43" s="378" t="s">
        <v>258</v>
      </c>
      <c r="E43" s="379">
        <v>44581</v>
      </c>
      <c r="F43" s="379">
        <v>46407</v>
      </c>
      <c r="G43" s="378" t="s">
        <v>237</v>
      </c>
      <c r="H43" s="20" t="s">
        <v>238</v>
      </c>
      <c r="I43" s="20" t="s">
        <v>162</v>
      </c>
      <c r="J43" s="20" t="s">
        <v>163</v>
      </c>
      <c r="K43" s="378" t="s">
        <v>239</v>
      </c>
      <c r="L43" s="20" t="s">
        <v>165</v>
      </c>
      <c r="M43" s="380">
        <v>2400</v>
      </c>
      <c r="N43" s="380"/>
      <c r="O43" s="380"/>
      <c r="P43" s="380"/>
      <c r="Q43" s="381" t="s">
        <v>197</v>
      </c>
      <c r="R43" s="381" t="s">
        <v>197</v>
      </c>
      <c r="S43" s="381" t="s">
        <v>223</v>
      </c>
      <c r="T43" s="381"/>
      <c r="U43" s="381"/>
      <c r="V43" s="382">
        <v>160.11000000000001</v>
      </c>
      <c r="W43" s="382">
        <v>0</v>
      </c>
      <c r="X43" s="381">
        <v>6.6666666666666666E-2</v>
      </c>
      <c r="Y43" s="381">
        <v>6.6666666666666666E-2</v>
      </c>
      <c r="Z43" s="381">
        <v>4.5833333333333334E-5</v>
      </c>
      <c r="AA43" s="381">
        <v>0</v>
      </c>
      <c r="AB43" s="381">
        <v>0</v>
      </c>
      <c r="AC43" s="382">
        <v>6.6712499999999994E-2</v>
      </c>
      <c r="AD43" s="382">
        <v>0</v>
      </c>
      <c r="AE43" s="381" t="s">
        <v>168</v>
      </c>
    </row>
    <row r="44" spans="1:31" ht="15" customHeight="1" x14ac:dyDescent="0.25">
      <c r="A44" s="20" t="s">
        <v>156</v>
      </c>
      <c r="B44" s="20" t="s">
        <v>157</v>
      </c>
      <c r="C44" s="20" t="s">
        <v>158</v>
      </c>
      <c r="D44" s="378" t="s">
        <v>259</v>
      </c>
      <c r="E44" s="379">
        <v>44581</v>
      </c>
      <c r="F44" s="379">
        <v>46407</v>
      </c>
      <c r="G44" s="378" t="s">
        <v>237</v>
      </c>
      <c r="H44" s="20" t="s">
        <v>238</v>
      </c>
      <c r="I44" s="20" t="s">
        <v>162</v>
      </c>
      <c r="J44" s="20" t="s">
        <v>163</v>
      </c>
      <c r="K44" s="378" t="s">
        <v>239</v>
      </c>
      <c r="L44" s="20" t="s">
        <v>165</v>
      </c>
      <c r="M44" s="380">
        <v>2400</v>
      </c>
      <c r="N44" s="380"/>
      <c r="O44" s="380"/>
      <c r="P44" s="380"/>
      <c r="Q44" s="381" t="s">
        <v>260</v>
      </c>
      <c r="R44" s="381" t="s">
        <v>260</v>
      </c>
      <c r="S44" s="381" t="s">
        <v>223</v>
      </c>
      <c r="T44" s="381"/>
      <c r="U44" s="381"/>
      <c r="V44" s="382">
        <v>161.11000000000001</v>
      </c>
      <c r="W44" s="382">
        <v>0</v>
      </c>
      <c r="X44" s="381">
        <v>6.7083333333333328E-2</v>
      </c>
      <c r="Y44" s="381">
        <v>6.7083333333333328E-2</v>
      </c>
      <c r="Z44" s="381">
        <v>4.5833333333333334E-5</v>
      </c>
      <c r="AA44" s="381">
        <v>0</v>
      </c>
      <c r="AB44" s="381">
        <v>0</v>
      </c>
      <c r="AC44" s="382">
        <v>6.7129166666666656E-2</v>
      </c>
      <c r="AD44" s="382">
        <v>0</v>
      </c>
      <c r="AE44" s="381" t="s">
        <v>168</v>
      </c>
    </row>
    <row r="45" spans="1:31" ht="15" customHeight="1" x14ac:dyDescent="0.25">
      <c r="A45" s="20" t="s">
        <v>156</v>
      </c>
      <c r="B45" s="20" t="s">
        <v>157</v>
      </c>
      <c r="C45" s="20" t="s">
        <v>158</v>
      </c>
      <c r="D45" s="378" t="s">
        <v>261</v>
      </c>
      <c r="E45" s="379">
        <v>44525</v>
      </c>
      <c r="F45" s="379">
        <v>46351</v>
      </c>
      <c r="G45" s="378" t="s">
        <v>262</v>
      </c>
      <c r="H45" s="20" t="s">
        <v>263</v>
      </c>
      <c r="I45" s="20" t="s">
        <v>162</v>
      </c>
      <c r="J45" s="20" t="s">
        <v>163</v>
      </c>
      <c r="K45" s="378" t="s">
        <v>264</v>
      </c>
      <c r="L45" s="20" t="s">
        <v>165</v>
      </c>
      <c r="M45" s="380">
        <v>2400</v>
      </c>
      <c r="N45" s="380"/>
      <c r="O45" s="380"/>
      <c r="P45" s="380"/>
      <c r="Q45" s="381" t="s">
        <v>265</v>
      </c>
      <c r="R45" s="381" t="s">
        <v>265</v>
      </c>
      <c r="S45" s="381" t="s">
        <v>266</v>
      </c>
      <c r="T45" s="381"/>
      <c r="U45" s="381"/>
      <c r="V45" s="382">
        <v>196.13</v>
      </c>
      <c r="W45" s="382">
        <v>0</v>
      </c>
      <c r="X45" s="381">
        <v>8.1666666666666665E-2</v>
      </c>
      <c r="Y45" s="381">
        <v>8.1666666666666665E-2</v>
      </c>
      <c r="Z45" s="381">
        <v>5.4166666666666671E-5</v>
      </c>
      <c r="AA45" s="381">
        <v>0</v>
      </c>
      <c r="AB45" s="381">
        <v>0</v>
      </c>
      <c r="AC45" s="382">
        <v>8.1720833333333326E-2</v>
      </c>
      <c r="AD45" s="382">
        <v>0</v>
      </c>
      <c r="AE45" s="381" t="s">
        <v>168</v>
      </c>
    </row>
    <row r="46" spans="1:31" ht="15" customHeight="1" x14ac:dyDescent="0.25">
      <c r="A46" s="20" t="s">
        <v>156</v>
      </c>
      <c r="B46" s="20" t="s">
        <v>157</v>
      </c>
      <c r="C46" s="20" t="s">
        <v>158</v>
      </c>
      <c r="D46" s="378" t="s">
        <v>267</v>
      </c>
      <c r="E46" s="379">
        <v>44581</v>
      </c>
      <c r="F46" s="379">
        <v>46407</v>
      </c>
      <c r="G46" s="378" t="s">
        <v>237</v>
      </c>
      <c r="H46" s="20" t="s">
        <v>238</v>
      </c>
      <c r="I46" s="20" t="s">
        <v>162</v>
      </c>
      <c r="J46" s="20" t="s">
        <v>163</v>
      </c>
      <c r="K46" s="378" t="s">
        <v>239</v>
      </c>
      <c r="L46" s="20" t="s">
        <v>165</v>
      </c>
      <c r="M46" s="380">
        <v>2400</v>
      </c>
      <c r="N46" s="380"/>
      <c r="O46" s="380"/>
      <c r="P46" s="380"/>
      <c r="Q46" s="381" t="s">
        <v>188</v>
      </c>
      <c r="R46" s="381" t="s">
        <v>188</v>
      </c>
      <c r="S46" s="381" t="s">
        <v>268</v>
      </c>
      <c r="T46" s="381"/>
      <c r="U46" s="381"/>
      <c r="V46" s="382">
        <v>151.1</v>
      </c>
      <c r="W46" s="382">
        <v>0</v>
      </c>
      <c r="X46" s="381">
        <v>6.2916666666666662E-2</v>
      </c>
      <c r="Y46" s="381">
        <v>6.2916666666666662E-2</v>
      </c>
      <c r="Z46" s="381">
        <v>4.1666666666666672E-5</v>
      </c>
      <c r="AA46" s="381">
        <v>0</v>
      </c>
      <c r="AB46" s="381">
        <v>0</v>
      </c>
      <c r="AC46" s="382">
        <v>6.2958333333333324E-2</v>
      </c>
      <c r="AD46" s="382">
        <v>0</v>
      </c>
      <c r="AE46" s="381" t="s">
        <v>168</v>
      </c>
    </row>
    <row r="47" spans="1:31" ht="15" customHeight="1" x14ac:dyDescent="0.25">
      <c r="A47" s="20" t="s">
        <v>156</v>
      </c>
      <c r="B47" s="20" t="s">
        <v>157</v>
      </c>
      <c r="C47" s="20" t="s">
        <v>158</v>
      </c>
      <c r="D47" s="378" t="s">
        <v>269</v>
      </c>
      <c r="E47" s="379">
        <v>44525</v>
      </c>
      <c r="F47" s="379">
        <v>46351</v>
      </c>
      <c r="G47" s="378" t="s">
        <v>262</v>
      </c>
      <c r="H47" s="20" t="s">
        <v>263</v>
      </c>
      <c r="I47" s="20" t="s">
        <v>162</v>
      </c>
      <c r="J47" s="20" t="s">
        <v>163</v>
      </c>
      <c r="K47" s="378" t="s">
        <v>264</v>
      </c>
      <c r="L47" s="20" t="s">
        <v>165</v>
      </c>
      <c r="M47" s="380">
        <v>2400</v>
      </c>
      <c r="N47" s="380"/>
      <c r="O47" s="380"/>
      <c r="P47" s="380"/>
      <c r="Q47" s="381" t="s">
        <v>270</v>
      </c>
      <c r="R47" s="381" t="s">
        <v>270</v>
      </c>
      <c r="S47" s="381" t="s">
        <v>266</v>
      </c>
      <c r="T47" s="381"/>
      <c r="U47" s="381"/>
      <c r="V47" s="382">
        <v>197.13</v>
      </c>
      <c r="W47" s="382">
        <v>0</v>
      </c>
      <c r="X47" s="381">
        <v>8.2083333333333328E-2</v>
      </c>
      <c r="Y47" s="381">
        <v>8.2083333333333328E-2</v>
      </c>
      <c r="Z47" s="381">
        <v>5.4166666666666671E-5</v>
      </c>
      <c r="AA47" s="381">
        <v>0</v>
      </c>
      <c r="AB47" s="381">
        <v>0</v>
      </c>
      <c r="AC47" s="382">
        <v>8.2137499999999988E-2</v>
      </c>
      <c r="AD47" s="382">
        <v>0</v>
      </c>
      <c r="AE47" s="381" t="s">
        <v>168</v>
      </c>
    </row>
    <row r="48" spans="1:31" ht="15" customHeight="1" x14ac:dyDescent="0.25">
      <c r="A48" s="20" t="s">
        <v>156</v>
      </c>
      <c r="B48" s="20" t="s">
        <v>157</v>
      </c>
      <c r="C48" s="20" t="s">
        <v>158</v>
      </c>
      <c r="D48" s="378" t="s">
        <v>271</v>
      </c>
      <c r="E48" s="379">
        <v>45016</v>
      </c>
      <c r="F48" s="379">
        <v>46843</v>
      </c>
      <c r="G48" s="378" t="s">
        <v>179</v>
      </c>
      <c r="H48" s="20" t="s">
        <v>202</v>
      </c>
      <c r="I48" s="20" t="s">
        <v>162</v>
      </c>
      <c r="J48" s="20" t="s">
        <v>163</v>
      </c>
      <c r="K48" s="378" t="s">
        <v>203</v>
      </c>
      <c r="L48" s="20" t="s">
        <v>165</v>
      </c>
      <c r="M48" s="380">
        <v>2400</v>
      </c>
      <c r="N48" s="380"/>
      <c r="O48" s="380"/>
      <c r="P48" s="380"/>
      <c r="Q48" s="381">
        <v>218</v>
      </c>
      <c r="R48" s="381">
        <v>218</v>
      </c>
      <c r="S48" s="381">
        <v>0.14000000000000001</v>
      </c>
      <c r="T48" s="381"/>
      <c r="U48" s="381"/>
      <c r="V48" s="382">
        <v>218.14</v>
      </c>
      <c r="W48" s="382">
        <v>0</v>
      </c>
      <c r="X48" s="381">
        <v>9.0833333333333335E-2</v>
      </c>
      <c r="Y48" s="381">
        <v>9.0833333333333335E-2</v>
      </c>
      <c r="Z48" s="381">
        <v>5.833333333333334E-5</v>
      </c>
      <c r="AA48" s="381">
        <v>0</v>
      </c>
      <c r="AB48" s="381">
        <v>0</v>
      </c>
      <c r="AC48" s="382">
        <v>9.0891666666666662E-2</v>
      </c>
      <c r="AD48" s="382">
        <v>0</v>
      </c>
      <c r="AE48" s="381" t="s">
        <v>168</v>
      </c>
    </row>
    <row r="49" spans="1:31" ht="15" customHeight="1" x14ac:dyDescent="0.25">
      <c r="A49" s="20" t="s">
        <v>156</v>
      </c>
      <c r="B49" s="20" t="s">
        <v>157</v>
      </c>
      <c r="C49" s="20" t="s">
        <v>158</v>
      </c>
      <c r="D49" s="378" t="s">
        <v>272</v>
      </c>
      <c r="E49" s="379">
        <v>44525</v>
      </c>
      <c r="F49" s="379">
        <v>46351</v>
      </c>
      <c r="G49" s="378" t="s">
        <v>262</v>
      </c>
      <c r="H49" s="20" t="s">
        <v>263</v>
      </c>
      <c r="I49" s="20" t="s">
        <v>162</v>
      </c>
      <c r="J49" s="20" t="s">
        <v>163</v>
      </c>
      <c r="K49" s="378" t="s">
        <v>264</v>
      </c>
      <c r="L49" s="20" t="s">
        <v>165</v>
      </c>
      <c r="M49" s="380">
        <v>2400</v>
      </c>
      <c r="N49" s="380"/>
      <c r="O49" s="380"/>
      <c r="P49" s="380"/>
      <c r="Q49" s="381" t="s">
        <v>273</v>
      </c>
      <c r="R49" s="381" t="s">
        <v>273</v>
      </c>
      <c r="S49" s="381" t="s">
        <v>244</v>
      </c>
      <c r="T49" s="381"/>
      <c r="U49" s="381"/>
      <c r="V49" s="382">
        <v>188.12</v>
      </c>
      <c r="W49" s="382">
        <v>0</v>
      </c>
      <c r="X49" s="381">
        <v>7.8333333333333338E-2</v>
      </c>
      <c r="Y49" s="381">
        <v>7.8333333333333338E-2</v>
      </c>
      <c r="Z49" s="381">
        <v>4.9999999999999996E-5</v>
      </c>
      <c r="AA49" s="381">
        <v>0</v>
      </c>
      <c r="AB49" s="381">
        <v>0</v>
      </c>
      <c r="AC49" s="382">
        <v>7.8383333333333333E-2</v>
      </c>
      <c r="AD49" s="382">
        <v>0</v>
      </c>
      <c r="AE49" s="381" t="s">
        <v>168</v>
      </c>
    </row>
    <row r="50" spans="1:31" ht="15" customHeight="1" x14ac:dyDescent="0.25">
      <c r="A50" s="20" t="s">
        <v>156</v>
      </c>
      <c r="B50" s="20" t="s">
        <v>157</v>
      </c>
      <c r="C50" s="20" t="s">
        <v>158</v>
      </c>
      <c r="D50" s="378" t="s">
        <v>274</v>
      </c>
      <c r="E50" s="379">
        <v>45016</v>
      </c>
      <c r="F50" s="379">
        <v>46843</v>
      </c>
      <c r="G50" s="378" t="s">
        <v>215</v>
      </c>
      <c r="H50" s="20" t="s">
        <v>216</v>
      </c>
      <c r="I50" s="20" t="s">
        <v>162</v>
      </c>
      <c r="J50" s="20" t="s">
        <v>163</v>
      </c>
      <c r="K50" s="378" t="s">
        <v>217</v>
      </c>
      <c r="L50" s="20" t="s">
        <v>165</v>
      </c>
      <c r="M50" s="380">
        <v>2400</v>
      </c>
      <c r="N50" s="380"/>
      <c r="O50" s="380"/>
      <c r="P50" s="380"/>
      <c r="Q50" s="381">
        <v>296</v>
      </c>
      <c r="R50" s="381">
        <v>296</v>
      </c>
      <c r="S50" s="381">
        <v>0.188</v>
      </c>
      <c r="T50" s="381"/>
      <c r="U50" s="381"/>
      <c r="V50" s="382">
        <v>296.18799999999999</v>
      </c>
      <c r="W50" s="382">
        <v>0</v>
      </c>
      <c r="X50" s="381">
        <v>0.12333333333333334</v>
      </c>
      <c r="Y50" s="381">
        <v>0.12333333333333334</v>
      </c>
      <c r="Z50" s="381">
        <v>7.8333333333333331E-5</v>
      </c>
      <c r="AA50" s="381">
        <v>0</v>
      </c>
      <c r="AB50" s="381">
        <v>0</v>
      </c>
      <c r="AC50" s="382">
        <v>0.12341166666666667</v>
      </c>
      <c r="AD50" s="382">
        <v>0</v>
      </c>
      <c r="AE50" s="381" t="s">
        <v>168</v>
      </c>
    </row>
    <row r="51" spans="1:31" ht="15" customHeight="1" x14ac:dyDescent="0.25">
      <c r="A51" s="20" t="s">
        <v>156</v>
      </c>
      <c r="B51" s="20" t="s">
        <v>157</v>
      </c>
      <c r="C51" s="20" t="s">
        <v>158</v>
      </c>
      <c r="D51" s="378" t="s">
        <v>275</v>
      </c>
      <c r="E51" s="379">
        <v>44525</v>
      </c>
      <c r="F51" s="379">
        <v>46351</v>
      </c>
      <c r="G51" s="378" t="s">
        <v>262</v>
      </c>
      <c r="H51" s="20" t="s">
        <v>263</v>
      </c>
      <c r="I51" s="20" t="s">
        <v>162</v>
      </c>
      <c r="J51" s="20" t="s">
        <v>163</v>
      </c>
      <c r="K51" s="378" t="s">
        <v>264</v>
      </c>
      <c r="L51" s="20" t="s">
        <v>165</v>
      </c>
      <c r="M51" s="380">
        <v>2400</v>
      </c>
      <c r="N51" s="380"/>
      <c r="O51" s="380"/>
      <c r="P51" s="380"/>
      <c r="Q51" s="381" t="s">
        <v>276</v>
      </c>
      <c r="R51" s="381" t="s">
        <v>276</v>
      </c>
      <c r="S51" s="381" t="s">
        <v>277</v>
      </c>
      <c r="T51" s="381"/>
      <c r="U51" s="381"/>
      <c r="V51" s="382">
        <v>192.09</v>
      </c>
      <c r="W51" s="382">
        <v>0</v>
      </c>
      <c r="X51" s="381">
        <v>0.08</v>
      </c>
      <c r="Y51" s="381">
        <v>0.08</v>
      </c>
      <c r="Z51" s="381">
        <v>3.7499999999999997E-5</v>
      </c>
      <c r="AA51" s="381">
        <v>0</v>
      </c>
      <c r="AB51" s="381">
        <v>0</v>
      </c>
      <c r="AC51" s="382">
        <v>8.0037499999999998E-2</v>
      </c>
      <c r="AD51" s="382">
        <v>0</v>
      </c>
      <c r="AE51" s="381" t="s">
        <v>168</v>
      </c>
    </row>
    <row r="52" spans="1:31" ht="15" customHeight="1" x14ac:dyDescent="0.25">
      <c r="A52" s="20" t="s">
        <v>156</v>
      </c>
      <c r="B52" s="20" t="s">
        <v>157</v>
      </c>
      <c r="C52" s="20" t="s">
        <v>158</v>
      </c>
      <c r="D52" s="378" t="s">
        <v>278</v>
      </c>
      <c r="E52" s="379">
        <v>44525</v>
      </c>
      <c r="F52" s="379">
        <v>46351</v>
      </c>
      <c r="G52" s="378" t="s">
        <v>262</v>
      </c>
      <c r="H52" s="20" t="s">
        <v>263</v>
      </c>
      <c r="I52" s="20" t="s">
        <v>162</v>
      </c>
      <c r="J52" s="20" t="s">
        <v>163</v>
      </c>
      <c r="K52" s="378" t="s">
        <v>264</v>
      </c>
      <c r="L52" s="20" t="s">
        <v>165</v>
      </c>
      <c r="M52" s="380">
        <v>2400</v>
      </c>
      <c r="N52" s="380"/>
      <c r="O52" s="380"/>
      <c r="P52" s="380"/>
      <c r="Q52" s="381" t="s">
        <v>213</v>
      </c>
      <c r="R52" s="381" t="s">
        <v>213</v>
      </c>
      <c r="S52" s="381" t="s">
        <v>277</v>
      </c>
      <c r="T52" s="381"/>
      <c r="U52" s="381"/>
      <c r="V52" s="382">
        <v>198.09</v>
      </c>
      <c r="W52" s="382">
        <v>0</v>
      </c>
      <c r="X52" s="381">
        <v>8.2500000000000004E-2</v>
      </c>
      <c r="Y52" s="381">
        <v>8.2500000000000004E-2</v>
      </c>
      <c r="Z52" s="381">
        <v>3.7499999999999997E-5</v>
      </c>
      <c r="AA52" s="381">
        <v>0</v>
      </c>
      <c r="AB52" s="381">
        <v>0</v>
      </c>
      <c r="AC52" s="382">
        <v>8.25375E-2</v>
      </c>
      <c r="AD52" s="382">
        <v>0</v>
      </c>
      <c r="AE52" s="381" t="s">
        <v>168</v>
      </c>
    </row>
    <row r="53" spans="1:31" ht="15" customHeight="1" x14ac:dyDescent="0.25">
      <c r="A53" s="20" t="s">
        <v>156</v>
      </c>
      <c r="B53" s="20" t="s">
        <v>157</v>
      </c>
      <c r="C53" s="20" t="s">
        <v>158</v>
      </c>
      <c r="D53" s="378" t="s">
        <v>279</v>
      </c>
      <c r="E53" s="379">
        <v>45016</v>
      </c>
      <c r="F53" s="379">
        <v>46843</v>
      </c>
      <c r="G53" s="378" t="s">
        <v>215</v>
      </c>
      <c r="H53" s="20" t="s">
        <v>216</v>
      </c>
      <c r="I53" s="20" t="s">
        <v>162</v>
      </c>
      <c r="J53" s="20" t="s">
        <v>163</v>
      </c>
      <c r="K53" s="378" t="s">
        <v>217</v>
      </c>
      <c r="L53" s="20" t="s">
        <v>165</v>
      </c>
      <c r="M53" s="380">
        <v>2400</v>
      </c>
      <c r="N53" s="380"/>
      <c r="O53" s="380"/>
      <c r="P53" s="380"/>
      <c r="Q53" s="381">
        <v>364</v>
      </c>
      <c r="R53" s="381">
        <v>364</v>
      </c>
      <c r="S53" s="381">
        <v>0.126</v>
      </c>
      <c r="T53" s="381"/>
      <c r="U53" s="381"/>
      <c r="V53" s="382">
        <v>364.12599999999998</v>
      </c>
      <c r="W53" s="382">
        <v>0</v>
      </c>
      <c r="X53" s="381">
        <v>0.15166666666666667</v>
      </c>
      <c r="Y53" s="381">
        <v>0.15166666666666667</v>
      </c>
      <c r="Z53" s="381">
        <v>5.2500000000000002E-5</v>
      </c>
      <c r="AA53" s="381">
        <v>0</v>
      </c>
      <c r="AB53" s="381">
        <v>0</v>
      </c>
      <c r="AC53" s="382">
        <v>0.15171916666666668</v>
      </c>
      <c r="AD53" s="382">
        <v>0</v>
      </c>
      <c r="AE53" s="381" t="s">
        <v>168</v>
      </c>
    </row>
    <row r="54" spans="1:31" ht="15" customHeight="1" x14ac:dyDescent="0.25">
      <c r="A54" s="20" t="s">
        <v>156</v>
      </c>
      <c r="B54" s="20" t="s">
        <v>157</v>
      </c>
      <c r="C54" s="20" t="s">
        <v>158</v>
      </c>
      <c r="D54" s="378" t="s">
        <v>280</v>
      </c>
      <c r="E54" s="379">
        <v>45016</v>
      </c>
      <c r="F54" s="379">
        <v>46843</v>
      </c>
      <c r="G54" s="378" t="s">
        <v>281</v>
      </c>
      <c r="H54" s="20" t="s">
        <v>282</v>
      </c>
      <c r="I54" s="20" t="s">
        <v>162</v>
      </c>
      <c r="J54" s="20" t="s">
        <v>163</v>
      </c>
      <c r="K54" s="378" t="s">
        <v>283</v>
      </c>
      <c r="L54" s="20" t="s">
        <v>165</v>
      </c>
      <c r="M54" s="380">
        <v>2400</v>
      </c>
      <c r="N54" s="380"/>
      <c r="O54" s="380"/>
      <c r="P54" s="380"/>
      <c r="Q54" s="381">
        <v>208.89</v>
      </c>
      <c r="R54" s="381">
        <v>208.88</v>
      </c>
      <c r="S54" s="381">
        <v>1.0999999999999999E-2</v>
      </c>
      <c r="T54" s="381"/>
      <c r="U54" s="381"/>
      <c r="V54" s="382">
        <v>208.89099999999999</v>
      </c>
      <c r="W54" s="382">
        <v>0</v>
      </c>
      <c r="X54" s="381">
        <v>8.703749999999999E-2</v>
      </c>
      <c r="Y54" s="381">
        <v>8.7033333333333338E-2</v>
      </c>
      <c r="Z54" s="381">
        <v>4.5833333333333332E-6</v>
      </c>
      <c r="AA54" s="381">
        <v>0</v>
      </c>
      <c r="AB54" s="381">
        <v>0</v>
      </c>
      <c r="AC54" s="382">
        <v>8.7037916666666673E-2</v>
      </c>
      <c r="AD54" s="382">
        <v>0</v>
      </c>
      <c r="AE54" s="381" t="s">
        <v>168</v>
      </c>
    </row>
    <row r="55" spans="1:31" ht="15" customHeight="1" x14ac:dyDescent="0.25">
      <c r="A55" s="20" t="s">
        <v>156</v>
      </c>
      <c r="B55" s="20" t="s">
        <v>157</v>
      </c>
      <c r="C55" s="20" t="s">
        <v>158</v>
      </c>
      <c r="D55" s="378" t="s">
        <v>284</v>
      </c>
      <c r="E55" s="379">
        <v>43646</v>
      </c>
      <c r="F55" s="379">
        <v>45473</v>
      </c>
      <c r="G55" s="383" t="s">
        <v>285</v>
      </c>
      <c r="H55" s="20" t="s">
        <v>286</v>
      </c>
      <c r="I55" s="20" t="s">
        <v>162</v>
      </c>
      <c r="J55" s="20" t="s">
        <v>163</v>
      </c>
      <c r="K55" s="378" t="s">
        <v>287</v>
      </c>
      <c r="L55" s="20" t="s">
        <v>165</v>
      </c>
      <c r="M55" s="380">
        <v>2400</v>
      </c>
      <c r="N55" s="380"/>
      <c r="O55" s="380"/>
      <c r="P55" s="380"/>
      <c r="Q55" s="381" t="s">
        <v>288</v>
      </c>
      <c r="R55" s="381" t="s">
        <v>288</v>
      </c>
      <c r="S55" s="381"/>
      <c r="T55" s="381"/>
      <c r="U55" s="381"/>
      <c r="V55" s="382">
        <v>273</v>
      </c>
      <c r="W55" s="382">
        <v>0</v>
      </c>
      <c r="X55" s="381">
        <v>0.11375</v>
      </c>
      <c r="Y55" s="381">
        <v>0.11375</v>
      </c>
      <c r="Z55" s="381">
        <v>0</v>
      </c>
      <c r="AA55" s="381">
        <v>0</v>
      </c>
      <c r="AB55" s="381">
        <v>0</v>
      </c>
      <c r="AC55" s="382">
        <v>0.11375</v>
      </c>
      <c r="AD55" s="382">
        <v>0</v>
      </c>
      <c r="AE55" s="381" t="s">
        <v>168</v>
      </c>
    </row>
    <row r="56" spans="1:31" ht="15" customHeight="1" x14ac:dyDescent="0.25">
      <c r="A56" s="20" t="s">
        <v>156</v>
      </c>
      <c r="B56" s="20" t="s">
        <v>157</v>
      </c>
      <c r="C56" s="20" t="s">
        <v>158</v>
      </c>
      <c r="D56" s="378" t="s">
        <v>289</v>
      </c>
      <c r="E56" s="379">
        <v>43646</v>
      </c>
      <c r="F56" s="379">
        <v>45473</v>
      </c>
      <c r="G56" s="383" t="s">
        <v>285</v>
      </c>
      <c r="H56" s="20" t="s">
        <v>286</v>
      </c>
      <c r="I56" s="20" t="s">
        <v>162</v>
      </c>
      <c r="J56" s="20" t="s">
        <v>163</v>
      </c>
      <c r="K56" s="378" t="s">
        <v>287</v>
      </c>
      <c r="L56" s="20" t="s">
        <v>165</v>
      </c>
      <c r="M56" s="380">
        <v>2400</v>
      </c>
      <c r="N56" s="380"/>
      <c r="O56" s="380"/>
      <c r="P56" s="380"/>
      <c r="Q56" s="381" t="s">
        <v>290</v>
      </c>
      <c r="R56" s="381" t="s">
        <v>290</v>
      </c>
      <c r="S56" s="381"/>
      <c r="T56" s="381"/>
      <c r="U56" s="381"/>
      <c r="V56" s="382">
        <v>220</v>
      </c>
      <c r="W56" s="382">
        <v>0</v>
      </c>
      <c r="X56" s="381">
        <v>9.166666666666666E-2</v>
      </c>
      <c r="Y56" s="381">
        <v>9.166666666666666E-2</v>
      </c>
      <c r="Z56" s="381">
        <v>0</v>
      </c>
      <c r="AA56" s="381">
        <v>0</v>
      </c>
      <c r="AB56" s="381">
        <v>0</v>
      </c>
      <c r="AC56" s="382">
        <v>9.166666666666666E-2</v>
      </c>
      <c r="AD56" s="382">
        <v>0</v>
      </c>
      <c r="AE56" s="381" t="s">
        <v>168</v>
      </c>
    </row>
    <row r="57" spans="1:31" ht="15" customHeight="1" x14ac:dyDescent="0.25">
      <c r="A57" s="20" t="s">
        <v>156</v>
      </c>
      <c r="B57" s="20" t="s">
        <v>157</v>
      </c>
      <c r="C57" s="20" t="s">
        <v>158</v>
      </c>
      <c r="D57" s="378" t="s">
        <v>291</v>
      </c>
      <c r="E57" s="379">
        <v>43646</v>
      </c>
      <c r="F57" s="379">
        <v>45473</v>
      </c>
      <c r="G57" s="383" t="s">
        <v>285</v>
      </c>
      <c r="H57" s="20" t="s">
        <v>286</v>
      </c>
      <c r="I57" s="20" t="s">
        <v>162</v>
      </c>
      <c r="J57" s="20" t="s">
        <v>163</v>
      </c>
      <c r="K57" s="378" t="s">
        <v>287</v>
      </c>
      <c r="L57" s="20" t="s">
        <v>165</v>
      </c>
      <c r="M57" s="380">
        <v>2400</v>
      </c>
      <c r="N57" s="380"/>
      <c r="O57" s="380"/>
      <c r="P57" s="380"/>
      <c r="Q57" s="381" t="s">
        <v>292</v>
      </c>
      <c r="R57" s="381" t="s">
        <v>292</v>
      </c>
      <c r="S57" s="381"/>
      <c r="T57" s="381"/>
      <c r="U57" s="381"/>
      <c r="V57" s="382">
        <v>171</v>
      </c>
      <c r="W57" s="382">
        <v>0</v>
      </c>
      <c r="X57" s="381">
        <v>7.1249999999999994E-2</v>
      </c>
      <c r="Y57" s="381">
        <v>7.1249999999999994E-2</v>
      </c>
      <c r="Z57" s="381">
        <v>0</v>
      </c>
      <c r="AA57" s="381">
        <v>0</v>
      </c>
      <c r="AB57" s="381">
        <v>0</v>
      </c>
      <c r="AC57" s="382">
        <v>7.1249999999999994E-2</v>
      </c>
      <c r="AD57" s="382">
        <v>0</v>
      </c>
      <c r="AE57" s="381" t="s">
        <v>168</v>
      </c>
    </row>
    <row r="58" spans="1:31" ht="15" customHeight="1" x14ac:dyDescent="0.25">
      <c r="A58" s="20" t="s">
        <v>156</v>
      </c>
      <c r="B58" s="20" t="s">
        <v>157</v>
      </c>
      <c r="C58" s="20" t="s">
        <v>158</v>
      </c>
      <c r="D58" s="378" t="s">
        <v>293</v>
      </c>
      <c r="E58" s="379">
        <v>43646</v>
      </c>
      <c r="F58" s="379">
        <v>45473</v>
      </c>
      <c r="G58" s="383" t="s">
        <v>285</v>
      </c>
      <c r="H58" s="20" t="s">
        <v>286</v>
      </c>
      <c r="I58" s="20" t="s">
        <v>162</v>
      </c>
      <c r="J58" s="20" t="s">
        <v>163</v>
      </c>
      <c r="K58" s="378" t="s">
        <v>287</v>
      </c>
      <c r="L58" s="20" t="s">
        <v>165</v>
      </c>
      <c r="M58" s="380">
        <v>2400</v>
      </c>
      <c r="N58" s="380"/>
      <c r="O58" s="380"/>
      <c r="P58" s="380"/>
      <c r="Q58" s="381" t="s">
        <v>294</v>
      </c>
      <c r="R58" s="381" t="s">
        <v>294</v>
      </c>
      <c r="S58" s="381"/>
      <c r="T58" s="381"/>
      <c r="U58" s="381"/>
      <c r="V58" s="382">
        <v>152</v>
      </c>
      <c r="W58" s="382">
        <v>0</v>
      </c>
      <c r="X58" s="381">
        <v>6.3333333333333339E-2</v>
      </c>
      <c r="Y58" s="381">
        <v>6.3333333333333339E-2</v>
      </c>
      <c r="Z58" s="381">
        <v>0</v>
      </c>
      <c r="AA58" s="381">
        <v>0</v>
      </c>
      <c r="AB58" s="381">
        <v>0</v>
      </c>
      <c r="AC58" s="382">
        <v>6.3333333333333339E-2</v>
      </c>
      <c r="AD58" s="382">
        <v>0</v>
      </c>
      <c r="AE58" s="381" t="s">
        <v>168</v>
      </c>
    </row>
    <row r="59" spans="1:31" ht="15" customHeight="1" x14ac:dyDescent="0.25">
      <c r="A59" s="20" t="s">
        <v>156</v>
      </c>
      <c r="B59" s="20" t="s">
        <v>157</v>
      </c>
      <c r="C59" s="20" t="s">
        <v>158</v>
      </c>
      <c r="D59" s="378" t="s">
        <v>295</v>
      </c>
      <c r="E59" s="379">
        <v>43646</v>
      </c>
      <c r="F59" s="379">
        <v>45473</v>
      </c>
      <c r="G59" s="383" t="s">
        <v>193</v>
      </c>
      <c r="H59" s="20" t="s">
        <v>286</v>
      </c>
      <c r="I59" s="20" t="s">
        <v>162</v>
      </c>
      <c r="J59" s="20" t="s">
        <v>163</v>
      </c>
      <c r="K59" s="378" t="s">
        <v>287</v>
      </c>
      <c r="L59" s="20" t="s">
        <v>165</v>
      </c>
      <c r="M59" s="380">
        <v>2400</v>
      </c>
      <c r="N59" s="380"/>
      <c r="O59" s="380"/>
      <c r="P59" s="380"/>
      <c r="Q59" s="381" t="s">
        <v>296</v>
      </c>
      <c r="R59" s="381" t="s">
        <v>296</v>
      </c>
      <c r="S59" s="381"/>
      <c r="T59" s="381"/>
      <c r="U59" s="381"/>
      <c r="V59" s="382">
        <v>242</v>
      </c>
      <c r="W59" s="382">
        <v>0</v>
      </c>
      <c r="X59" s="381">
        <v>0.10083333333333333</v>
      </c>
      <c r="Y59" s="381">
        <v>0.10083333333333333</v>
      </c>
      <c r="Z59" s="381">
        <v>0</v>
      </c>
      <c r="AA59" s="381">
        <v>0</v>
      </c>
      <c r="AB59" s="381">
        <v>0</v>
      </c>
      <c r="AC59" s="382">
        <v>0.10083333333333333</v>
      </c>
      <c r="AD59" s="382">
        <v>0</v>
      </c>
      <c r="AE59" s="381" t="s">
        <v>168</v>
      </c>
    </row>
    <row r="60" spans="1:31" ht="15" customHeight="1" x14ac:dyDescent="0.25">
      <c r="A60" s="20" t="s">
        <v>156</v>
      </c>
      <c r="B60" s="20" t="s">
        <v>157</v>
      </c>
      <c r="C60" s="20" t="s">
        <v>158</v>
      </c>
      <c r="D60" s="378" t="s">
        <v>297</v>
      </c>
      <c r="E60" s="379">
        <v>43646</v>
      </c>
      <c r="F60" s="379">
        <v>45473</v>
      </c>
      <c r="G60" s="383" t="s">
        <v>193</v>
      </c>
      <c r="H60" s="20" t="s">
        <v>286</v>
      </c>
      <c r="I60" s="20" t="s">
        <v>162</v>
      </c>
      <c r="J60" s="20" t="s">
        <v>163</v>
      </c>
      <c r="K60" s="378" t="s">
        <v>287</v>
      </c>
      <c r="L60" s="20" t="s">
        <v>165</v>
      </c>
      <c r="M60" s="380">
        <v>2400</v>
      </c>
      <c r="N60" s="380"/>
      <c r="O60" s="380"/>
      <c r="P60" s="380"/>
      <c r="Q60" s="381" t="s">
        <v>298</v>
      </c>
      <c r="R60" s="381" t="s">
        <v>298</v>
      </c>
      <c r="S60" s="381"/>
      <c r="T60" s="381"/>
      <c r="U60" s="381"/>
      <c r="V60" s="382">
        <v>203</v>
      </c>
      <c r="W60" s="382">
        <v>0</v>
      </c>
      <c r="X60" s="381">
        <v>8.458333333333333E-2</v>
      </c>
      <c r="Y60" s="381">
        <v>8.458333333333333E-2</v>
      </c>
      <c r="Z60" s="381">
        <v>0</v>
      </c>
      <c r="AA60" s="381">
        <v>0</v>
      </c>
      <c r="AB60" s="381">
        <v>0</v>
      </c>
      <c r="AC60" s="382">
        <v>8.458333333333333E-2</v>
      </c>
      <c r="AD60" s="382">
        <v>0</v>
      </c>
      <c r="AE60" s="381" t="s">
        <v>168</v>
      </c>
    </row>
    <row r="61" spans="1:31" ht="15" customHeight="1" x14ac:dyDescent="0.25">
      <c r="A61" s="20" t="s">
        <v>156</v>
      </c>
      <c r="B61" s="20" t="s">
        <v>157</v>
      </c>
      <c r="C61" s="20" t="s">
        <v>158</v>
      </c>
      <c r="D61" s="378" t="s">
        <v>299</v>
      </c>
      <c r="E61" s="379">
        <v>43646</v>
      </c>
      <c r="F61" s="379">
        <v>45473</v>
      </c>
      <c r="G61" s="383" t="s">
        <v>193</v>
      </c>
      <c r="H61" s="20" t="s">
        <v>286</v>
      </c>
      <c r="I61" s="20" t="s">
        <v>162</v>
      </c>
      <c r="J61" s="20" t="s">
        <v>163</v>
      </c>
      <c r="K61" s="378" t="s">
        <v>287</v>
      </c>
      <c r="L61" s="20" t="s">
        <v>165</v>
      </c>
      <c r="M61" s="380">
        <v>2400</v>
      </c>
      <c r="N61" s="380"/>
      <c r="O61" s="380"/>
      <c r="P61" s="380"/>
      <c r="Q61" s="381" t="s">
        <v>300</v>
      </c>
      <c r="R61" s="381" t="s">
        <v>300</v>
      </c>
      <c r="S61" s="381"/>
      <c r="T61" s="381"/>
      <c r="U61" s="381"/>
      <c r="V61" s="382">
        <v>163</v>
      </c>
      <c r="W61" s="382">
        <v>0</v>
      </c>
      <c r="X61" s="381">
        <v>6.7916666666666667E-2</v>
      </c>
      <c r="Y61" s="381">
        <v>6.7916666666666667E-2</v>
      </c>
      <c r="Z61" s="381">
        <v>0</v>
      </c>
      <c r="AA61" s="381">
        <v>0</v>
      </c>
      <c r="AB61" s="381">
        <v>0</v>
      </c>
      <c r="AC61" s="382">
        <v>6.7916666666666667E-2</v>
      </c>
      <c r="AD61" s="382">
        <v>0</v>
      </c>
      <c r="AE61" s="381" t="s">
        <v>168</v>
      </c>
    </row>
    <row r="62" spans="1:31" ht="15" customHeight="1" x14ac:dyDescent="0.25">
      <c r="A62" s="20" t="s">
        <v>156</v>
      </c>
      <c r="B62" s="20" t="s">
        <v>157</v>
      </c>
      <c r="C62" s="20" t="s">
        <v>158</v>
      </c>
      <c r="D62" s="378" t="s">
        <v>301</v>
      </c>
      <c r="E62" s="379">
        <v>43646</v>
      </c>
      <c r="F62" s="379">
        <v>45473</v>
      </c>
      <c r="G62" s="383" t="s">
        <v>193</v>
      </c>
      <c r="H62" s="20" t="s">
        <v>286</v>
      </c>
      <c r="I62" s="20" t="s">
        <v>162</v>
      </c>
      <c r="J62" s="20" t="s">
        <v>163</v>
      </c>
      <c r="K62" s="378" t="s">
        <v>287</v>
      </c>
      <c r="L62" s="20" t="s">
        <v>165</v>
      </c>
      <c r="M62" s="380">
        <v>2400</v>
      </c>
      <c r="N62" s="380"/>
      <c r="O62" s="380"/>
      <c r="P62" s="380"/>
      <c r="Q62" s="381" t="s">
        <v>302</v>
      </c>
      <c r="R62" s="381" t="s">
        <v>302</v>
      </c>
      <c r="S62" s="381"/>
      <c r="T62" s="381"/>
      <c r="U62" s="381"/>
      <c r="V62" s="382">
        <v>154</v>
      </c>
      <c r="W62" s="382">
        <v>0</v>
      </c>
      <c r="X62" s="381">
        <v>6.4166666666666664E-2</v>
      </c>
      <c r="Y62" s="381">
        <v>6.4166666666666664E-2</v>
      </c>
      <c r="Z62" s="381">
        <v>0</v>
      </c>
      <c r="AA62" s="381">
        <v>0</v>
      </c>
      <c r="AB62" s="381">
        <v>0</v>
      </c>
      <c r="AC62" s="382">
        <v>6.4166666666666664E-2</v>
      </c>
      <c r="AD62" s="382">
        <v>0</v>
      </c>
      <c r="AE62" s="381" t="s">
        <v>168</v>
      </c>
    </row>
    <row r="63" spans="1:31" ht="15" customHeight="1" x14ac:dyDescent="0.25">
      <c r="A63" s="20" t="s">
        <v>156</v>
      </c>
      <c r="B63" s="20" t="s">
        <v>157</v>
      </c>
      <c r="C63" s="20" t="s">
        <v>158</v>
      </c>
      <c r="D63" s="378" t="s">
        <v>303</v>
      </c>
      <c r="E63" s="379">
        <v>43646</v>
      </c>
      <c r="F63" s="379">
        <v>45473</v>
      </c>
      <c r="G63" s="383" t="s">
        <v>179</v>
      </c>
      <c r="H63" s="20" t="s">
        <v>286</v>
      </c>
      <c r="I63" s="20" t="s">
        <v>162</v>
      </c>
      <c r="J63" s="20" t="s">
        <v>163</v>
      </c>
      <c r="K63" s="378" t="s">
        <v>287</v>
      </c>
      <c r="L63" s="20" t="s">
        <v>165</v>
      </c>
      <c r="M63" s="380">
        <v>2400</v>
      </c>
      <c r="N63" s="380"/>
      <c r="O63" s="380"/>
      <c r="P63" s="380"/>
      <c r="Q63" s="381" t="s">
        <v>304</v>
      </c>
      <c r="R63" s="381" t="s">
        <v>304</v>
      </c>
      <c r="S63" s="381"/>
      <c r="T63" s="381"/>
      <c r="U63" s="381"/>
      <c r="V63" s="382">
        <v>257</v>
      </c>
      <c r="W63" s="382">
        <v>0</v>
      </c>
      <c r="X63" s="381">
        <v>0.10708333333333334</v>
      </c>
      <c r="Y63" s="381">
        <v>0.10708333333333334</v>
      </c>
      <c r="Z63" s="381">
        <v>0</v>
      </c>
      <c r="AA63" s="381">
        <v>0</v>
      </c>
      <c r="AB63" s="381">
        <v>0</v>
      </c>
      <c r="AC63" s="382">
        <v>0.10708333333333334</v>
      </c>
      <c r="AD63" s="382">
        <v>0</v>
      </c>
      <c r="AE63" s="381" t="s">
        <v>168</v>
      </c>
    </row>
    <row r="64" spans="1:31" ht="15" customHeight="1" x14ac:dyDescent="0.25">
      <c r="A64" s="20" t="s">
        <v>156</v>
      </c>
      <c r="B64" s="20" t="s">
        <v>157</v>
      </c>
      <c r="C64" s="20" t="s">
        <v>158</v>
      </c>
      <c r="D64" s="378" t="s">
        <v>305</v>
      </c>
      <c r="E64" s="379">
        <v>43646</v>
      </c>
      <c r="F64" s="379">
        <v>45473</v>
      </c>
      <c r="G64" s="383" t="s">
        <v>179</v>
      </c>
      <c r="H64" s="20" t="s">
        <v>286</v>
      </c>
      <c r="I64" s="20" t="s">
        <v>162</v>
      </c>
      <c r="J64" s="20" t="s">
        <v>163</v>
      </c>
      <c r="K64" s="378" t="s">
        <v>287</v>
      </c>
      <c r="L64" s="20" t="s">
        <v>165</v>
      </c>
      <c r="M64" s="380">
        <v>2400</v>
      </c>
      <c r="N64" s="380"/>
      <c r="O64" s="380"/>
      <c r="P64" s="380"/>
      <c r="Q64" s="381" t="s">
        <v>306</v>
      </c>
      <c r="R64" s="381" t="s">
        <v>306</v>
      </c>
      <c r="S64" s="381"/>
      <c r="T64" s="381"/>
      <c r="U64" s="381"/>
      <c r="V64" s="382">
        <v>221</v>
      </c>
      <c r="W64" s="382">
        <v>0</v>
      </c>
      <c r="X64" s="381">
        <v>9.2083333333333336E-2</v>
      </c>
      <c r="Y64" s="381">
        <v>9.2083333333333336E-2</v>
      </c>
      <c r="Z64" s="381">
        <v>0</v>
      </c>
      <c r="AA64" s="381">
        <v>0</v>
      </c>
      <c r="AB64" s="381">
        <v>0</v>
      </c>
      <c r="AC64" s="382">
        <v>9.2083333333333336E-2</v>
      </c>
      <c r="AD64" s="382">
        <v>0</v>
      </c>
      <c r="AE64" s="381" t="s">
        <v>168</v>
      </c>
    </row>
    <row r="65" spans="1:31" ht="15" customHeight="1" x14ac:dyDescent="0.25">
      <c r="A65" s="20" t="s">
        <v>156</v>
      </c>
      <c r="B65" s="20" t="s">
        <v>157</v>
      </c>
      <c r="C65" s="20" t="s">
        <v>158</v>
      </c>
      <c r="D65" s="378" t="s">
        <v>307</v>
      </c>
      <c r="E65" s="379">
        <v>43646</v>
      </c>
      <c r="F65" s="379">
        <v>45473</v>
      </c>
      <c r="G65" s="383" t="s">
        <v>179</v>
      </c>
      <c r="H65" s="20" t="s">
        <v>286</v>
      </c>
      <c r="I65" s="20" t="s">
        <v>162</v>
      </c>
      <c r="J65" s="20" t="s">
        <v>163</v>
      </c>
      <c r="K65" s="378" t="s">
        <v>287</v>
      </c>
      <c r="L65" s="20" t="s">
        <v>165</v>
      </c>
      <c r="M65" s="380">
        <v>2400</v>
      </c>
      <c r="N65" s="380"/>
      <c r="O65" s="380"/>
      <c r="P65" s="380"/>
      <c r="Q65" s="381" t="s">
        <v>308</v>
      </c>
      <c r="R65" s="381" t="s">
        <v>308</v>
      </c>
      <c r="S65" s="381"/>
      <c r="T65" s="381"/>
      <c r="U65" s="381"/>
      <c r="V65" s="382">
        <v>209</v>
      </c>
      <c r="W65" s="382">
        <v>0</v>
      </c>
      <c r="X65" s="381">
        <v>8.7083333333333332E-2</v>
      </c>
      <c r="Y65" s="381">
        <v>8.7083333333333332E-2</v>
      </c>
      <c r="Z65" s="381">
        <v>0</v>
      </c>
      <c r="AA65" s="381">
        <v>0</v>
      </c>
      <c r="AB65" s="381">
        <v>0</v>
      </c>
      <c r="AC65" s="382">
        <v>8.7083333333333332E-2</v>
      </c>
      <c r="AD65" s="382">
        <v>0</v>
      </c>
      <c r="AE65" s="381" t="s">
        <v>168</v>
      </c>
    </row>
    <row r="66" spans="1:31" ht="15" customHeight="1" x14ac:dyDescent="0.25">
      <c r="A66" s="20" t="s">
        <v>156</v>
      </c>
      <c r="B66" s="20" t="s">
        <v>157</v>
      </c>
      <c r="C66" s="20" t="s">
        <v>158</v>
      </c>
      <c r="D66" s="378" t="s">
        <v>309</v>
      </c>
      <c r="E66" s="379">
        <v>43646</v>
      </c>
      <c r="F66" s="379">
        <v>45473</v>
      </c>
      <c r="G66" s="383" t="s">
        <v>160</v>
      </c>
      <c r="H66" s="20" t="s">
        <v>286</v>
      </c>
      <c r="I66" s="20" t="s">
        <v>162</v>
      </c>
      <c r="J66" s="20" t="s">
        <v>163</v>
      </c>
      <c r="K66" s="378" t="s">
        <v>287</v>
      </c>
      <c r="L66" s="20" t="s">
        <v>165</v>
      </c>
      <c r="M66" s="380">
        <v>2400</v>
      </c>
      <c r="N66" s="380"/>
      <c r="O66" s="380"/>
      <c r="P66" s="380"/>
      <c r="Q66" s="381" t="s">
        <v>310</v>
      </c>
      <c r="R66" s="381" t="s">
        <v>310</v>
      </c>
      <c r="S66" s="381"/>
      <c r="T66" s="381"/>
      <c r="U66" s="381"/>
      <c r="V66" s="382">
        <v>265</v>
      </c>
      <c r="W66" s="382">
        <v>0</v>
      </c>
      <c r="X66" s="381">
        <v>0.11041666666666666</v>
      </c>
      <c r="Y66" s="381">
        <v>0.11041666666666666</v>
      </c>
      <c r="Z66" s="381">
        <v>0</v>
      </c>
      <c r="AA66" s="381">
        <v>0</v>
      </c>
      <c r="AB66" s="381">
        <v>0</v>
      </c>
      <c r="AC66" s="382">
        <v>0.11041666666666666</v>
      </c>
      <c r="AD66" s="382">
        <v>0</v>
      </c>
      <c r="AE66" s="381" t="s">
        <v>168</v>
      </c>
    </row>
    <row r="67" spans="1:31" ht="15" customHeight="1" x14ac:dyDescent="0.25">
      <c r="A67" s="20" t="s">
        <v>156</v>
      </c>
      <c r="B67" s="20" t="s">
        <v>157</v>
      </c>
      <c r="C67" s="20" t="s">
        <v>158</v>
      </c>
      <c r="D67" s="378" t="s">
        <v>311</v>
      </c>
      <c r="E67" s="379">
        <v>43646</v>
      </c>
      <c r="F67" s="379">
        <v>45473</v>
      </c>
      <c r="G67" s="383" t="s">
        <v>160</v>
      </c>
      <c r="H67" s="20" t="s">
        <v>286</v>
      </c>
      <c r="I67" s="20" t="s">
        <v>162</v>
      </c>
      <c r="J67" s="20" t="s">
        <v>163</v>
      </c>
      <c r="K67" s="378" t="s">
        <v>287</v>
      </c>
      <c r="L67" s="20" t="s">
        <v>165</v>
      </c>
      <c r="M67" s="380">
        <v>2400</v>
      </c>
      <c r="N67" s="380"/>
      <c r="O67" s="380"/>
      <c r="P67" s="380"/>
      <c r="Q67" s="381" t="s">
        <v>312</v>
      </c>
      <c r="R67" s="381" t="s">
        <v>312</v>
      </c>
      <c r="S67" s="381"/>
      <c r="T67" s="381"/>
      <c r="U67" s="381"/>
      <c r="V67" s="382">
        <v>198</v>
      </c>
      <c r="W67" s="382">
        <v>0</v>
      </c>
      <c r="X67" s="381">
        <v>8.2500000000000004E-2</v>
      </c>
      <c r="Y67" s="381">
        <v>8.2500000000000004E-2</v>
      </c>
      <c r="Z67" s="381">
        <v>0</v>
      </c>
      <c r="AA67" s="381">
        <v>0</v>
      </c>
      <c r="AB67" s="381">
        <v>0</v>
      </c>
      <c r="AC67" s="382">
        <v>8.2500000000000004E-2</v>
      </c>
      <c r="AD67" s="382">
        <v>0</v>
      </c>
      <c r="AE67" s="381" t="s">
        <v>168</v>
      </c>
    </row>
    <row r="68" spans="1:31" ht="15" customHeight="1" x14ac:dyDescent="0.25">
      <c r="A68" s="20" t="s">
        <v>156</v>
      </c>
      <c r="B68" s="20" t="s">
        <v>157</v>
      </c>
      <c r="C68" s="20" t="s">
        <v>158</v>
      </c>
      <c r="D68" s="378" t="s">
        <v>313</v>
      </c>
      <c r="E68" s="379">
        <v>43646</v>
      </c>
      <c r="F68" s="379">
        <v>45473</v>
      </c>
      <c r="G68" s="383" t="s">
        <v>160</v>
      </c>
      <c r="H68" s="20" t="s">
        <v>286</v>
      </c>
      <c r="I68" s="20" t="s">
        <v>162</v>
      </c>
      <c r="J68" s="20" t="s">
        <v>163</v>
      </c>
      <c r="K68" s="378" t="s">
        <v>287</v>
      </c>
      <c r="L68" s="20" t="s">
        <v>165</v>
      </c>
      <c r="M68" s="380">
        <v>2400</v>
      </c>
      <c r="N68" s="380"/>
      <c r="O68" s="380"/>
      <c r="P68" s="380"/>
      <c r="Q68" s="381" t="s">
        <v>314</v>
      </c>
      <c r="R68" s="381" t="s">
        <v>314</v>
      </c>
      <c r="S68" s="381"/>
      <c r="T68" s="381"/>
      <c r="U68" s="381"/>
      <c r="V68" s="382">
        <v>200</v>
      </c>
      <c r="W68" s="382">
        <v>0</v>
      </c>
      <c r="X68" s="381">
        <v>8.3333333333333329E-2</v>
      </c>
      <c r="Y68" s="381">
        <v>8.3333333333333329E-2</v>
      </c>
      <c r="Z68" s="381">
        <v>0</v>
      </c>
      <c r="AA68" s="381">
        <v>0</v>
      </c>
      <c r="AB68" s="381">
        <v>0</v>
      </c>
      <c r="AC68" s="382">
        <v>8.3333333333333329E-2</v>
      </c>
      <c r="AD68" s="382">
        <v>0</v>
      </c>
      <c r="AE68" s="381" t="s">
        <v>168</v>
      </c>
    </row>
    <row r="69" spans="1:31" ht="15" customHeight="1" x14ac:dyDescent="0.25">
      <c r="A69" s="20" t="s">
        <v>156</v>
      </c>
      <c r="B69" s="20" t="s">
        <v>157</v>
      </c>
      <c r="C69" s="20" t="s">
        <v>158</v>
      </c>
      <c r="D69" s="378" t="s">
        <v>315</v>
      </c>
      <c r="E69" s="379">
        <v>43646</v>
      </c>
      <c r="F69" s="379">
        <v>45473</v>
      </c>
      <c r="G69" s="383" t="s">
        <v>316</v>
      </c>
      <c r="H69" s="20" t="s">
        <v>286</v>
      </c>
      <c r="I69" s="20" t="s">
        <v>162</v>
      </c>
      <c r="J69" s="20" t="s">
        <v>163</v>
      </c>
      <c r="K69" s="378" t="s">
        <v>287</v>
      </c>
      <c r="L69" s="20" t="s">
        <v>165</v>
      </c>
      <c r="M69" s="380">
        <v>2400</v>
      </c>
      <c r="N69" s="380"/>
      <c r="O69" s="380"/>
      <c r="P69" s="380"/>
      <c r="Q69" s="381" t="s">
        <v>310</v>
      </c>
      <c r="R69" s="381" t="s">
        <v>310</v>
      </c>
      <c r="S69" s="381"/>
      <c r="T69" s="381"/>
      <c r="U69" s="381"/>
      <c r="V69" s="382">
        <v>265</v>
      </c>
      <c r="W69" s="382">
        <v>0</v>
      </c>
      <c r="X69" s="381">
        <v>0.11041666666666666</v>
      </c>
      <c r="Y69" s="381">
        <v>0.11041666666666666</v>
      </c>
      <c r="Z69" s="381">
        <v>0</v>
      </c>
      <c r="AA69" s="381">
        <v>0</v>
      </c>
      <c r="AB69" s="381">
        <v>0</v>
      </c>
      <c r="AC69" s="382">
        <v>0.11041666666666666</v>
      </c>
      <c r="AD69" s="382">
        <v>0</v>
      </c>
      <c r="AE69" s="381" t="s">
        <v>168</v>
      </c>
    </row>
    <row r="70" spans="1:31" ht="15" customHeight="1" x14ac:dyDescent="0.25">
      <c r="A70" s="20" t="s">
        <v>156</v>
      </c>
      <c r="B70" s="20" t="s">
        <v>157</v>
      </c>
      <c r="C70" s="20" t="s">
        <v>158</v>
      </c>
      <c r="D70" s="378" t="s">
        <v>317</v>
      </c>
      <c r="E70" s="379">
        <v>43646</v>
      </c>
      <c r="F70" s="379">
        <v>45473</v>
      </c>
      <c r="G70" s="383" t="s">
        <v>316</v>
      </c>
      <c r="H70" s="20" t="s">
        <v>286</v>
      </c>
      <c r="I70" s="20" t="s">
        <v>162</v>
      </c>
      <c r="J70" s="20" t="s">
        <v>163</v>
      </c>
      <c r="K70" s="378" t="s">
        <v>287</v>
      </c>
      <c r="L70" s="20" t="s">
        <v>165</v>
      </c>
      <c r="M70" s="380">
        <v>2400</v>
      </c>
      <c r="N70" s="380"/>
      <c r="O70" s="380"/>
      <c r="P70" s="380"/>
      <c r="Q70" s="381" t="s">
        <v>318</v>
      </c>
      <c r="R70" s="381" t="s">
        <v>318</v>
      </c>
      <c r="S70" s="381"/>
      <c r="T70" s="381"/>
      <c r="U70" s="381"/>
      <c r="V70" s="382">
        <v>207</v>
      </c>
      <c r="W70" s="382">
        <v>0</v>
      </c>
      <c r="X70" s="381">
        <v>8.6249999999999993E-2</v>
      </c>
      <c r="Y70" s="381">
        <v>8.6249999999999993E-2</v>
      </c>
      <c r="Z70" s="381">
        <v>0</v>
      </c>
      <c r="AA70" s="381">
        <v>0</v>
      </c>
      <c r="AB70" s="381">
        <v>0</v>
      </c>
      <c r="AC70" s="382">
        <v>8.6249999999999993E-2</v>
      </c>
      <c r="AD70" s="382">
        <v>0</v>
      </c>
      <c r="AE70" s="381" t="s">
        <v>168</v>
      </c>
    </row>
    <row r="71" spans="1:31" ht="15" customHeight="1" x14ac:dyDescent="0.25">
      <c r="A71" s="20" t="s">
        <v>156</v>
      </c>
      <c r="B71" s="20" t="s">
        <v>157</v>
      </c>
      <c r="C71" s="20" t="s">
        <v>158</v>
      </c>
      <c r="D71" s="378" t="s">
        <v>319</v>
      </c>
      <c r="E71" s="379">
        <v>44490</v>
      </c>
      <c r="F71" s="379">
        <v>46316</v>
      </c>
      <c r="G71" s="378" t="s">
        <v>320</v>
      </c>
      <c r="H71" s="20" t="s">
        <v>321</v>
      </c>
      <c r="I71" s="20" t="s">
        <v>162</v>
      </c>
      <c r="J71" s="20" t="s">
        <v>163</v>
      </c>
      <c r="K71" s="378" t="s">
        <v>322</v>
      </c>
      <c r="L71" s="20" t="s">
        <v>165</v>
      </c>
      <c r="M71" s="380">
        <v>2400</v>
      </c>
      <c r="N71" s="380"/>
      <c r="O71" s="380"/>
      <c r="P71" s="380"/>
      <c r="Q71" s="381" t="s">
        <v>323</v>
      </c>
      <c r="R71" s="381"/>
      <c r="S71" s="381"/>
      <c r="T71" s="381"/>
      <c r="U71" s="381"/>
      <c r="V71" s="382">
        <v>173.43</v>
      </c>
      <c r="W71" s="382">
        <v>0</v>
      </c>
      <c r="X71" s="381">
        <v>7.2262500000000007E-2</v>
      </c>
      <c r="Y71" s="381">
        <v>0</v>
      </c>
      <c r="Z71" s="381">
        <v>0</v>
      </c>
      <c r="AA71" s="381">
        <v>0</v>
      </c>
      <c r="AB71" s="381">
        <v>0</v>
      </c>
      <c r="AC71" s="382">
        <v>7.2262500000000007E-2</v>
      </c>
      <c r="AD71" s="382">
        <v>0</v>
      </c>
      <c r="AE71" s="381" t="s">
        <v>168</v>
      </c>
    </row>
    <row r="72" spans="1:31" ht="15" customHeight="1" x14ac:dyDescent="0.25">
      <c r="A72" s="20" t="s">
        <v>156</v>
      </c>
      <c r="B72" s="20" t="s">
        <v>157</v>
      </c>
      <c r="C72" s="20" t="s">
        <v>158</v>
      </c>
      <c r="D72" s="378" t="s">
        <v>324</v>
      </c>
      <c r="E72" s="379">
        <v>44490</v>
      </c>
      <c r="F72" s="379">
        <v>46316</v>
      </c>
      <c r="G72" s="378" t="s">
        <v>320</v>
      </c>
      <c r="H72" s="20" t="s">
        <v>321</v>
      </c>
      <c r="I72" s="20" t="s">
        <v>162</v>
      </c>
      <c r="J72" s="20" t="s">
        <v>163</v>
      </c>
      <c r="K72" s="378" t="s">
        <v>322</v>
      </c>
      <c r="L72" s="20" t="s">
        <v>165</v>
      </c>
      <c r="M72" s="380">
        <v>2400</v>
      </c>
      <c r="N72" s="380"/>
      <c r="O72" s="380"/>
      <c r="P72" s="380"/>
      <c r="Q72" s="381" t="s">
        <v>325</v>
      </c>
      <c r="R72" s="381"/>
      <c r="S72" s="381"/>
      <c r="T72" s="381"/>
      <c r="U72" s="381"/>
      <c r="V72" s="382">
        <v>174.96</v>
      </c>
      <c r="W72" s="382">
        <v>0</v>
      </c>
      <c r="X72" s="381">
        <v>7.2900000000000006E-2</v>
      </c>
      <c r="Y72" s="381">
        <v>0</v>
      </c>
      <c r="Z72" s="381">
        <v>0</v>
      </c>
      <c r="AA72" s="381">
        <v>0</v>
      </c>
      <c r="AB72" s="381">
        <v>0</v>
      </c>
      <c r="AC72" s="382">
        <v>7.2900000000000006E-2</v>
      </c>
      <c r="AD72" s="382">
        <v>0</v>
      </c>
      <c r="AE72" s="381" t="s">
        <v>168</v>
      </c>
    </row>
    <row r="73" spans="1:31" ht="15" customHeight="1" x14ac:dyDescent="0.25">
      <c r="A73" s="20" t="s">
        <v>156</v>
      </c>
      <c r="B73" s="20" t="s">
        <v>157</v>
      </c>
      <c r="C73" s="20" t="s">
        <v>158</v>
      </c>
      <c r="D73" s="378" t="s">
        <v>326</v>
      </c>
      <c r="E73" s="379">
        <v>44490</v>
      </c>
      <c r="F73" s="379">
        <v>46316</v>
      </c>
      <c r="G73" s="378" t="s">
        <v>320</v>
      </c>
      <c r="H73" s="20" t="s">
        <v>321</v>
      </c>
      <c r="I73" s="20" t="s">
        <v>162</v>
      </c>
      <c r="J73" s="20" t="s">
        <v>163</v>
      </c>
      <c r="K73" s="378" t="s">
        <v>322</v>
      </c>
      <c r="L73" s="20" t="s">
        <v>165</v>
      </c>
      <c r="M73" s="380">
        <v>2400</v>
      </c>
      <c r="N73" s="380"/>
      <c r="O73" s="380"/>
      <c r="P73" s="380"/>
      <c r="Q73" s="381" t="s">
        <v>327</v>
      </c>
      <c r="R73" s="381"/>
      <c r="S73" s="381"/>
      <c r="T73" s="381"/>
      <c r="U73" s="381"/>
      <c r="V73" s="382">
        <v>173.65</v>
      </c>
      <c r="W73" s="382">
        <v>0</v>
      </c>
      <c r="X73" s="381">
        <v>7.2354166666666664E-2</v>
      </c>
      <c r="Y73" s="381">
        <v>0</v>
      </c>
      <c r="Z73" s="381">
        <v>0</v>
      </c>
      <c r="AA73" s="381">
        <v>0</v>
      </c>
      <c r="AB73" s="381">
        <v>0</v>
      </c>
      <c r="AC73" s="382">
        <v>7.2354166666666664E-2</v>
      </c>
      <c r="AD73" s="382">
        <v>0</v>
      </c>
      <c r="AE73" s="381" t="s">
        <v>168</v>
      </c>
    </row>
    <row r="74" spans="1:31" ht="15" customHeight="1" x14ac:dyDescent="0.25">
      <c r="A74" s="20" t="s">
        <v>156</v>
      </c>
      <c r="B74" s="20" t="s">
        <v>157</v>
      </c>
      <c r="C74" s="20" t="s">
        <v>158</v>
      </c>
      <c r="D74" s="378" t="s">
        <v>328</v>
      </c>
      <c r="E74" s="379">
        <v>44490</v>
      </c>
      <c r="F74" s="379">
        <v>46316</v>
      </c>
      <c r="G74" s="378" t="s">
        <v>320</v>
      </c>
      <c r="H74" s="20" t="s">
        <v>321</v>
      </c>
      <c r="I74" s="20" t="s">
        <v>162</v>
      </c>
      <c r="J74" s="20" t="s">
        <v>163</v>
      </c>
      <c r="K74" s="378" t="s">
        <v>322</v>
      </c>
      <c r="L74" s="20" t="s">
        <v>165</v>
      </c>
      <c r="M74" s="380">
        <v>2400</v>
      </c>
      <c r="N74" s="380"/>
      <c r="O74" s="380"/>
      <c r="P74" s="380"/>
      <c r="Q74" s="381" t="s">
        <v>329</v>
      </c>
      <c r="R74" s="381"/>
      <c r="S74" s="381"/>
      <c r="T74" s="381"/>
      <c r="U74" s="381"/>
      <c r="V74" s="382">
        <v>175.14</v>
      </c>
      <c r="W74" s="382">
        <v>0</v>
      </c>
      <c r="X74" s="381">
        <v>7.2974999999999998E-2</v>
      </c>
      <c r="Y74" s="381">
        <v>0</v>
      </c>
      <c r="Z74" s="381">
        <v>0</v>
      </c>
      <c r="AA74" s="381">
        <v>0</v>
      </c>
      <c r="AB74" s="381">
        <v>0</v>
      </c>
      <c r="AC74" s="382">
        <v>7.2974999999999998E-2</v>
      </c>
      <c r="AD74" s="382">
        <v>0</v>
      </c>
      <c r="AE74" s="381" t="s">
        <v>168</v>
      </c>
    </row>
    <row r="75" spans="1:31" ht="15" customHeight="1" x14ac:dyDescent="0.25">
      <c r="A75" s="20" t="s">
        <v>156</v>
      </c>
      <c r="B75" s="20" t="s">
        <v>330</v>
      </c>
      <c r="C75" s="20" t="s">
        <v>158</v>
      </c>
      <c r="D75" s="378" t="s">
        <v>331</v>
      </c>
      <c r="E75" s="379">
        <v>44412</v>
      </c>
      <c r="F75" s="379">
        <v>46238</v>
      </c>
      <c r="G75" s="378" t="s">
        <v>179</v>
      </c>
      <c r="H75" s="20" t="s">
        <v>332</v>
      </c>
      <c r="I75" s="20" t="s">
        <v>162</v>
      </c>
      <c r="J75" s="20" t="s">
        <v>163</v>
      </c>
      <c r="K75" s="378" t="s">
        <v>333</v>
      </c>
      <c r="L75" s="20" t="s">
        <v>165</v>
      </c>
      <c r="M75" s="380">
        <v>2400</v>
      </c>
      <c r="N75" s="380"/>
      <c r="O75" s="380"/>
      <c r="P75" s="380"/>
      <c r="Q75" s="381" t="s">
        <v>334</v>
      </c>
      <c r="R75" s="380"/>
      <c r="S75" s="381"/>
      <c r="T75" s="381"/>
      <c r="U75" s="381"/>
      <c r="V75" s="382">
        <v>158.51</v>
      </c>
      <c r="W75" s="382">
        <v>0</v>
      </c>
      <c r="X75" s="381">
        <v>6.6045833333333331E-2</v>
      </c>
      <c r="Y75" s="381">
        <v>0</v>
      </c>
      <c r="Z75" s="381">
        <v>0</v>
      </c>
      <c r="AA75" s="381">
        <v>0</v>
      </c>
      <c r="AB75" s="381">
        <v>0</v>
      </c>
      <c r="AC75" s="382">
        <v>6.6045833333333331E-2</v>
      </c>
      <c r="AD75" s="382">
        <v>0</v>
      </c>
      <c r="AE75" s="381" t="s">
        <v>168</v>
      </c>
    </row>
    <row r="76" spans="1:31" ht="15" customHeight="1" x14ac:dyDescent="0.25">
      <c r="A76" s="20" t="s">
        <v>156</v>
      </c>
      <c r="B76" s="20" t="s">
        <v>157</v>
      </c>
      <c r="C76" s="20" t="s">
        <v>158</v>
      </c>
      <c r="D76" s="378" t="s">
        <v>335</v>
      </c>
      <c r="E76" s="379">
        <v>44412</v>
      </c>
      <c r="F76" s="379">
        <v>46238</v>
      </c>
      <c r="G76" s="378" t="s">
        <v>179</v>
      </c>
      <c r="H76" s="20" t="s">
        <v>332</v>
      </c>
      <c r="I76" s="20" t="s">
        <v>162</v>
      </c>
      <c r="J76" s="20" t="s">
        <v>163</v>
      </c>
      <c r="K76" s="378" t="s">
        <v>333</v>
      </c>
      <c r="L76" s="20" t="s">
        <v>165</v>
      </c>
      <c r="M76" s="380">
        <v>2400</v>
      </c>
      <c r="N76" s="380"/>
      <c r="O76" s="380"/>
      <c r="P76" s="380"/>
      <c r="Q76" s="381" t="s">
        <v>336</v>
      </c>
      <c r="R76" s="380"/>
      <c r="S76" s="381"/>
      <c r="T76" s="381"/>
      <c r="U76" s="381"/>
      <c r="V76" s="382">
        <v>168.75</v>
      </c>
      <c r="W76" s="382">
        <v>0</v>
      </c>
      <c r="X76" s="381">
        <v>7.03125E-2</v>
      </c>
      <c r="Y76" s="381">
        <v>0</v>
      </c>
      <c r="Z76" s="381">
        <v>0</v>
      </c>
      <c r="AA76" s="381">
        <v>0</v>
      </c>
      <c r="AB76" s="381">
        <v>0</v>
      </c>
      <c r="AC76" s="382">
        <v>7.03125E-2</v>
      </c>
      <c r="AD76" s="382">
        <v>0</v>
      </c>
      <c r="AE76" s="381" t="s">
        <v>168</v>
      </c>
    </row>
    <row r="77" spans="1:31" ht="15" customHeight="1" x14ac:dyDescent="0.25">
      <c r="A77" s="20" t="s">
        <v>156</v>
      </c>
      <c r="B77" s="20" t="s">
        <v>157</v>
      </c>
      <c r="C77" s="20" t="s">
        <v>158</v>
      </c>
      <c r="D77" s="378" t="s">
        <v>337</v>
      </c>
      <c r="E77" s="379">
        <v>44539</v>
      </c>
      <c r="F77" s="379">
        <v>46365</v>
      </c>
      <c r="G77" s="378" t="s">
        <v>338</v>
      </c>
      <c r="H77" s="20" t="s">
        <v>339</v>
      </c>
      <c r="I77" s="20" t="s">
        <v>162</v>
      </c>
      <c r="J77" s="20" t="s">
        <v>163</v>
      </c>
      <c r="K77" s="378" t="s">
        <v>340</v>
      </c>
      <c r="L77" s="20" t="s">
        <v>165</v>
      </c>
      <c r="M77" s="380">
        <v>2400</v>
      </c>
      <c r="N77" s="380"/>
      <c r="O77" s="380"/>
      <c r="P77" s="380"/>
      <c r="Q77" s="381" t="s">
        <v>341</v>
      </c>
      <c r="R77" s="381" t="s">
        <v>341</v>
      </c>
      <c r="S77" s="381"/>
      <c r="T77" s="381"/>
      <c r="U77" s="381"/>
      <c r="V77" s="382">
        <v>197.24</v>
      </c>
      <c r="W77" s="382">
        <v>0</v>
      </c>
      <c r="X77" s="381">
        <v>8.218333333333333E-2</v>
      </c>
      <c r="Y77" s="381">
        <v>8.218333333333333E-2</v>
      </c>
      <c r="Z77" s="381">
        <v>0</v>
      </c>
      <c r="AA77" s="381">
        <v>0</v>
      </c>
      <c r="AB77" s="381">
        <v>0</v>
      </c>
      <c r="AC77" s="382">
        <v>8.218333333333333E-2</v>
      </c>
      <c r="AD77" s="382">
        <v>0</v>
      </c>
      <c r="AE77" s="381" t="s">
        <v>168</v>
      </c>
    </row>
    <row r="78" spans="1:31" ht="15" customHeight="1" x14ac:dyDescent="0.25">
      <c r="A78" s="20" t="s">
        <v>156</v>
      </c>
      <c r="B78" s="20" t="s">
        <v>157</v>
      </c>
      <c r="C78" s="20" t="s">
        <v>158</v>
      </c>
      <c r="D78" s="378" t="s">
        <v>342</v>
      </c>
      <c r="E78" s="379">
        <v>44539</v>
      </c>
      <c r="F78" s="379">
        <v>46365</v>
      </c>
      <c r="G78" s="378" t="s">
        <v>338</v>
      </c>
      <c r="H78" s="20" t="s">
        <v>339</v>
      </c>
      <c r="I78" s="20" t="s">
        <v>162</v>
      </c>
      <c r="J78" s="20" t="s">
        <v>163</v>
      </c>
      <c r="K78" s="378" t="s">
        <v>340</v>
      </c>
      <c r="L78" s="20" t="s">
        <v>165</v>
      </c>
      <c r="M78" s="380">
        <v>2400</v>
      </c>
      <c r="N78" s="380"/>
      <c r="O78" s="380"/>
      <c r="P78" s="380"/>
      <c r="Q78" s="381" t="s">
        <v>343</v>
      </c>
      <c r="R78" s="381" t="s">
        <v>343</v>
      </c>
      <c r="S78" s="381"/>
      <c r="T78" s="381"/>
      <c r="U78" s="381"/>
      <c r="V78" s="382">
        <v>197.49</v>
      </c>
      <c r="W78" s="382">
        <v>0</v>
      </c>
      <c r="X78" s="381">
        <v>8.22875E-2</v>
      </c>
      <c r="Y78" s="381">
        <v>8.22875E-2</v>
      </c>
      <c r="Z78" s="381">
        <v>0</v>
      </c>
      <c r="AA78" s="381">
        <v>0</v>
      </c>
      <c r="AB78" s="381">
        <v>0</v>
      </c>
      <c r="AC78" s="382">
        <v>8.22875E-2</v>
      </c>
      <c r="AD78" s="382">
        <v>0</v>
      </c>
      <c r="AE78" s="381" t="s">
        <v>168</v>
      </c>
    </row>
    <row r="79" spans="1:31" ht="15" customHeight="1" x14ac:dyDescent="0.25">
      <c r="A79" s="20" t="s">
        <v>156</v>
      </c>
      <c r="B79" s="20" t="s">
        <v>157</v>
      </c>
      <c r="C79" s="20" t="s">
        <v>158</v>
      </c>
      <c r="D79" s="378" t="s">
        <v>344</v>
      </c>
      <c r="E79" s="379">
        <v>44539</v>
      </c>
      <c r="F79" s="379">
        <v>46365</v>
      </c>
      <c r="G79" s="378" t="s">
        <v>338</v>
      </c>
      <c r="H79" s="20" t="s">
        <v>339</v>
      </c>
      <c r="I79" s="20" t="s">
        <v>162</v>
      </c>
      <c r="J79" s="20" t="s">
        <v>163</v>
      </c>
      <c r="K79" s="378" t="s">
        <v>340</v>
      </c>
      <c r="L79" s="20" t="s">
        <v>165</v>
      </c>
      <c r="M79" s="380">
        <v>2400</v>
      </c>
      <c r="N79" s="380"/>
      <c r="O79" s="380"/>
      <c r="P79" s="380"/>
      <c r="Q79" s="381" t="s">
        <v>345</v>
      </c>
      <c r="R79" s="381" t="s">
        <v>345</v>
      </c>
      <c r="S79" s="381"/>
      <c r="T79" s="381"/>
      <c r="U79" s="381"/>
      <c r="V79" s="382">
        <v>202.72</v>
      </c>
      <c r="W79" s="382">
        <v>0</v>
      </c>
      <c r="X79" s="381">
        <v>8.4466666666666662E-2</v>
      </c>
      <c r="Y79" s="381">
        <v>8.4466666666666662E-2</v>
      </c>
      <c r="Z79" s="381">
        <v>0</v>
      </c>
      <c r="AA79" s="381">
        <v>0</v>
      </c>
      <c r="AB79" s="381">
        <v>0</v>
      </c>
      <c r="AC79" s="382">
        <v>8.4466666666666662E-2</v>
      </c>
      <c r="AD79" s="382">
        <v>0</v>
      </c>
      <c r="AE79" s="381" t="s">
        <v>168</v>
      </c>
    </row>
    <row r="80" spans="1:31" ht="15" customHeight="1" x14ac:dyDescent="0.25">
      <c r="A80" s="20" t="s">
        <v>156</v>
      </c>
      <c r="B80" s="20" t="s">
        <v>157</v>
      </c>
      <c r="C80" s="20" t="s">
        <v>158</v>
      </c>
      <c r="D80" s="378" t="s">
        <v>346</v>
      </c>
      <c r="E80" s="379">
        <v>44539</v>
      </c>
      <c r="F80" s="379">
        <v>46365</v>
      </c>
      <c r="G80" s="378" t="s">
        <v>338</v>
      </c>
      <c r="H80" s="20" t="s">
        <v>339</v>
      </c>
      <c r="I80" s="20" t="s">
        <v>162</v>
      </c>
      <c r="J80" s="20" t="s">
        <v>163</v>
      </c>
      <c r="K80" s="378" t="s">
        <v>340</v>
      </c>
      <c r="L80" s="20" t="s">
        <v>165</v>
      </c>
      <c r="M80" s="380">
        <v>2400</v>
      </c>
      <c r="N80" s="380"/>
      <c r="O80" s="380"/>
      <c r="P80" s="380"/>
      <c r="Q80" s="381" t="s">
        <v>347</v>
      </c>
      <c r="R80" s="381" t="s">
        <v>347</v>
      </c>
      <c r="S80" s="381"/>
      <c r="T80" s="381"/>
      <c r="U80" s="381"/>
      <c r="V80" s="382">
        <v>202.99</v>
      </c>
      <c r="W80" s="382">
        <v>0</v>
      </c>
      <c r="X80" s="381">
        <v>8.4579166666666664E-2</v>
      </c>
      <c r="Y80" s="381">
        <v>8.4579166666666664E-2</v>
      </c>
      <c r="Z80" s="381">
        <v>0</v>
      </c>
      <c r="AA80" s="381">
        <v>0</v>
      </c>
      <c r="AB80" s="381">
        <v>0</v>
      </c>
      <c r="AC80" s="382">
        <v>8.4579166666666664E-2</v>
      </c>
      <c r="AD80" s="382">
        <v>0</v>
      </c>
      <c r="AE80" s="381" t="s">
        <v>168</v>
      </c>
    </row>
    <row r="81" spans="1:31" ht="15" customHeight="1" x14ac:dyDescent="0.25">
      <c r="A81" s="20" t="s">
        <v>156</v>
      </c>
      <c r="B81" s="20" t="s">
        <v>157</v>
      </c>
      <c r="C81" s="20" t="s">
        <v>158</v>
      </c>
      <c r="D81" s="378" t="s">
        <v>348</v>
      </c>
      <c r="E81" s="379">
        <v>44539</v>
      </c>
      <c r="F81" s="379">
        <v>46365</v>
      </c>
      <c r="G81" s="378" t="s">
        <v>338</v>
      </c>
      <c r="H81" s="20" t="s">
        <v>339</v>
      </c>
      <c r="I81" s="20" t="s">
        <v>162</v>
      </c>
      <c r="J81" s="20" t="s">
        <v>163</v>
      </c>
      <c r="K81" s="378" t="s">
        <v>340</v>
      </c>
      <c r="L81" s="20" t="s">
        <v>165</v>
      </c>
      <c r="M81" s="380">
        <v>2400</v>
      </c>
      <c r="N81" s="380"/>
      <c r="O81" s="380"/>
      <c r="P81" s="380"/>
      <c r="Q81" s="381" t="s">
        <v>349</v>
      </c>
      <c r="R81" s="381" t="s">
        <v>349</v>
      </c>
      <c r="S81" s="381"/>
      <c r="T81" s="381"/>
      <c r="U81" s="381"/>
      <c r="V81" s="382">
        <v>221.6</v>
      </c>
      <c r="W81" s="382">
        <v>0</v>
      </c>
      <c r="X81" s="381">
        <v>9.2333333333333337E-2</v>
      </c>
      <c r="Y81" s="381">
        <v>9.2333333333333337E-2</v>
      </c>
      <c r="Z81" s="381">
        <v>0</v>
      </c>
      <c r="AA81" s="381">
        <v>0</v>
      </c>
      <c r="AB81" s="381">
        <v>0</v>
      </c>
      <c r="AC81" s="382">
        <v>9.2333333333333337E-2</v>
      </c>
      <c r="AD81" s="382">
        <v>0</v>
      </c>
      <c r="AE81" s="381" t="s">
        <v>168</v>
      </c>
    </row>
    <row r="82" spans="1:31" ht="15" customHeight="1" x14ac:dyDescent="0.25">
      <c r="A82" s="20" t="s">
        <v>156</v>
      </c>
      <c r="B82" s="20" t="s">
        <v>157</v>
      </c>
      <c r="C82" s="20" t="s">
        <v>158</v>
      </c>
      <c r="D82" s="378" t="s">
        <v>350</v>
      </c>
      <c r="E82" s="379">
        <v>45016</v>
      </c>
      <c r="F82" s="379">
        <v>46843</v>
      </c>
      <c r="G82" s="378" t="s">
        <v>281</v>
      </c>
      <c r="H82" s="20" t="s">
        <v>282</v>
      </c>
      <c r="I82" s="20" t="s">
        <v>162</v>
      </c>
      <c r="J82" s="20" t="s">
        <v>163</v>
      </c>
      <c r="K82" s="378" t="s">
        <v>283</v>
      </c>
      <c r="L82" s="20" t="s">
        <v>165</v>
      </c>
      <c r="M82" s="380">
        <v>2400</v>
      </c>
      <c r="N82" s="380"/>
      <c r="O82" s="380"/>
      <c r="P82" s="380"/>
      <c r="Q82" s="381">
        <v>253.87</v>
      </c>
      <c r="R82" s="381">
        <v>253.87</v>
      </c>
      <c r="S82" s="381">
        <v>-3.8899999999999998E-3</v>
      </c>
      <c r="T82" s="381"/>
      <c r="U82" s="381"/>
      <c r="V82" s="382">
        <v>253.87</v>
      </c>
      <c r="W82" s="382">
        <v>0</v>
      </c>
      <c r="X82" s="381">
        <v>0.10577916666666667</v>
      </c>
      <c r="Y82" s="381">
        <v>0.10577916666666667</v>
      </c>
      <c r="Z82" s="381">
        <v>-1.6208333333333332E-6</v>
      </c>
      <c r="AA82" s="381">
        <v>0</v>
      </c>
      <c r="AB82" s="381">
        <v>0</v>
      </c>
      <c r="AC82" s="382">
        <v>0.10577916666666667</v>
      </c>
      <c r="AD82" s="382">
        <v>0</v>
      </c>
      <c r="AE82" s="381" t="s">
        <v>168</v>
      </c>
    </row>
    <row r="83" spans="1:31" ht="15" customHeight="1" x14ac:dyDescent="0.25">
      <c r="A83" s="20" t="s">
        <v>156</v>
      </c>
      <c r="B83" s="20" t="s">
        <v>157</v>
      </c>
      <c r="C83" s="20" t="s">
        <v>158</v>
      </c>
      <c r="D83" s="378" t="s">
        <v>351</v>
      </c>
      <c r="E83" s="379">
        <v>44788</v>
      </c>
      <c r="F83" s="379">
        <v>46113</v>
      </c>
      <c r="G83" s="378" t="s">
        <v>320</v>
      </c>
      <c r="H83" s="20" t="s">
        <v>352</v>
      </c>
      <c r="I83" s="20" t="s">
        <v>353</v>
      </c>
      <c r="J83" s="20" t="s">
        <v>163</v>
      </c>
      <c r="K83" s="378" t="s">
        <v>354</v>
      </c>
      <c r="L83" s="20" t="s">
        <v>165</v>
      </c>
      <c r="M83" s="380">
        <v>2400</v>
      </c>
      <c r="N83" s="380"/>
      <c r="O83" s="380"/>
      <c r="P83" s="380"/>
      <c r="Q83" s="381">
        <v>210</v>
      </c>
      <c r="R83" s="381"/>
      <c r="S83" s="381"/>
      <c r="T83" s="381"/>
      <c r="U83" s="381"/>
      <c r="V83" s="382">
        <v>210</v>
      </c>
      <c r="W83" s="382">
        <v>0</v>
      </c>
      <c r="X83" s="381">
        <v>8.7499999999999994E-2</v>
      </c>
      <c r="Y83" s="381">
        <v>0</v>
      </c>
      <c r="Z83" s="381">
        <v>0</v>
      </c>
      <c r="AA83" s="381">
        <v>0</v>
      </c>
      <c r="AB83" s="381">
        <v>0</v>
      </c>
      <c r="AC83" s="382">
        <v>8.7499999999999994E-2</v>
      </c>
      <c r="AD83" s="382">
        <v>0</v>
      </c>
      <c r="AE83" s="381" t="s">
        <v>168</v>
      </c>
    </row>
    <row r="84" spans="1:31" ht="15" customHeight="1" x14ac:dyDescent="0.25">
      <c r="A84" s="20" t="s">
        <v>156</v>
      </c>
      <c r="B84" s="20" t="s">
        <v>157</v>
      </c>
      <c r="C84" s="20" t="s">
        <v>158</v>
      </c>
      <c r="D84" s="378" t="s">
        <v>355</v>
      </c>
      <c r="E84" s="379">
        <v>44788</v>
      </c>
      <c r="F84" s="379">
        <v>46113</v>
      </c>
      <c r="G84" s="378" t="s">
        <v>320</v>
      </c>
      <c r="H84" s="20" t="s">
        <v>352</v>
      </c>
      <c r="I84" s="20" t="s">
        <v>353</v>
      </c>
      <c r="J84" s="20" t="s">
        <v>163</v>
      </c>
      <c r="K84" s="378" t="s">
        <v>354</v>
      </c>
      <c r="L84" s="20" t="s">
        <v>165</v>
      </c>
      <c r="M84" s="380">
        <v>2400</v>
      </c>
      <c r="N84" s="380"/>
      <c r="O84" s="380"/>
      <c r="P84" s="380"/>
      <c r="Q84" s="381">
        <v>194</v>
      </c>
      <c r="R84" s="381"/>
      <c r="S84" s="381"/>
      <c r="T84" s="381"/>
      <c r="U84" s="381"/>
      <c r="V84" s="382">
        <v>194</v>
      </c>
      <c r="W84" s="382">
        <v>0</v>
      </c>
      <c r="X84" s="381">
        <v>8.0833333333333326E-2</v>
      </c>
      <c r="Y84" s="381">
        <v>0</v>
      </c>
      <c r="Z84" s="381">
        <v>0</v>
      </c>
      <c r="AA84" s="381">
        <v>0</v>
      </c>
      <c r="AB84" s="381">
        <v>0</v>
      </c>
      <c r="AC84" s="382">
        <v>8.0833333333333326E-2</v>
      </c>
      <c r="AD84" s="382">
        <v>0</v>
      </c>
      <c r="AE84" s="381" t="s">
        <v>168</v>
      </c>
    </row>
    <row r="85" spans="1:31" ht="15" customHeight="1" x14ac:dyDescent="0.25">
      <c r="A85" s="20" t="s">
        <v>156</v>
      </c>
      <c r="B85" s="20" t="s">
        <v>157</v>
      </c>
      <c r="C85" s="20" t="s">
        <v>158</v>
      </c>
      <c r="D85" s="378" t="s">
        <v>356</v>
      </c>
      <c r="E85" s="379">
        <v>44788</v>
      </c>
      <c r="F85" s="379">
        <v>46113</v>
      </c>
      <c r="G85" s="378" t="s">
        <v>320</v>
      </c>
      <c r="H85" s="20" t="s">
        <v>352</v>
      </c>
      <c r="I85" s="20" t="s">
        <v>353</v>
      </c>
      <c r="J85" s="20" t="s">
        <v>163</v>
      </c>
      <c r="K85" s="378" t="s">
        <v>354</v>
      </c>
      <c r="L85" s="20" t="s">
        <v>165</v>
      </c>
      <c r="M85" s="380">
        <v>2400</v>
      </c>
      <c r="N85" s="380"/>
      <c r="O85" s="380"/>
      <c r="P85" s="380"/>
      <c r="Q85" s="381">
        <v>210</v>
      </c>
      <c r="R85" s="381"/>
      <c r="S85" s="381"/>
      <c r="T85" s="381"/>
      <c r="U85" s="381"/>
      <c r="V85" s="382">
        <v>210</v>
      </c>
      <c r="W85" s="382">
        <v>0</v>
      </c>
      <c r="X85" s="381">
        <v>8.7499999999999994E-2</v>
      </c>
      <c r="Y85" s="381">
        <v>0</v>
      </c>
      <c r="Z85" s="381">
        <v>0</v>
      </c>
      <c r="AA85" s="381">
        <v>0</v>
      </c>
      <c r="AB85" s="381">
        <v>0</v>
      </c>
      <c r="AC85" s="382">
        <v>8.7499999999999994E-2</v>
      </c>
      <c r="AD85" s="382">
        <v>0</v>
      </c>
      <c r="AE85" s="381" t="s">
        <v>168</v>
      </c>
    </row>
    <row r="86" spans="1:31" ht="15" customHeight="1" x14ac:dyDescent="0.25">
      <c r="A86" s="20" t="s">
        <v>156</v>
      </c>
      <c r="B86" s="20" t="s">
        <v>157</v>
      </c>
      <c r="C86" s="20" t="s">
        <v>158</v>
      </c>
      <c r="D86" s="378" t="s">
        <v>357</v>
      </c>
      <c r="E86" s="379">
        <v>44788</v>
      </c>
      <c r="F86" s="379">
        <v>46113</v>
      </c>
      <c r="G86" s="378" t="s">
        <v>320</v>
      </c>
      <c r="H86" s="20" t="s">
        <v>352</v>
      </c>
      <c r="I86" s="20" t="s">
        <v>353</v>
      </c>
      <c r="J86" s="20" t="s">
        <v>163</v>
      </c>
      <c r="K86" s="378" t="s">
        <v>354</v>
      </c>
      <c r="L86" s="20" t="s">
        <v>165</v>
      </c>
      <c r="M86" s="380">
        <v>2400</v>
      </c>
      <c r="N86" s="380"/>
      <c r="O86" s="380"/>
      <c r="P86" s="380"/>
      <c r="Q86" s="381">
        <v>193</v>
      </c>
      <c r="R86" s="381"/>
      <c r="S86" s="381"/>
      <c r="T86" s="381"/>
      <c r="U86" s="381"/>
      <c r="V86" s="382">
        <v>193</v>
      </c>
      <c r="W86" s="382">
        <v>0</v>
      </c>
      <c r="X86" s="381">
        <v>8.0416666666666664E-2</v>
      </c>
      <c r="Y86" s="381">
        <v>0</v>
      </c>
      <c r="Z86" s="381">
        <v>0</v>
      </c>
      <c r="AA86" s="381">
        <v>0</v>
      </c>
      <c r="AB86" s="381">
        <v>0</v>
      </c>
      <c r="AC86" s="382">
        <v>8.0416666666666664E-2</v>
      </c>
      <c r="AD86" s="382">
        <v>0</v>
      </c>
      <c r="AE86" s="381" t="s">
        <v>168</v>
      </c>
    </row>
    <row r="87" spans="1:31" ht="15" customHeight="1" x14ac:dyDescent="0.25">
      <c r="A87" s="20" t="s">
        <v>156</v>
      </c>
      <c r="B87" s="20" t="s">
        <v>157</v>
      </c>
      <c r="C87" s="20" t="s">
        <v>158</v>
      </c>
      <c r="D87" s="378" t="s">
        <v>358</v>
      </c>
      <c r="E87" s="379">
        <v>44788</v>
      </c>
      <c r="F87" s="379">
        <v>46113</v>
      </c>
      <c r="G87" s="378" t="s">
        <v>320</v>
      </c>
      <c r="H87" s="20" t="s">
        <v>352</v>
      </c>
      <c r="I87" s="20" t="s">
        <v>353</v>
      </c>
      <c r="J87" s="20" t="s">
        <v>163</v>
      </c>
      <c r="K87" s="378" t="s">
        <v>354</v>
      </c>
      <c r="L87" s="20" t="s">
        <v>165</v>
      </c>
      <c r="M87" s="380">
        <v>2400</v>
      </c>
      <c r="N87" s="380"/>
      <c r="O87" s="380"/>
      <c r="P87" s="380"/>
      <c r="Q87" s="381">
        <v>186</v>
      </c>
      <c r="R87" s="381"/>
      <c r="S87" s="381"/>
      <c r="T87" s="381"/>
      <c r="U87" s="381"/>
      <c r="V87" s="382">
        <v>186</v>
      </c>
      <c r="W87" s="382">
        <v>0</v>
      </c>
      <c r="X87" s="381">
        <v>7.7499999999999999E-2</v>
      </c>
      <c r="Y87" s="381">
        <v>0</v>
      </c>
      <c r="Z87" s="381">
        <v>0</v>
      </c>
      <c r="AA87" s="381">
        <v>0</v>
      </c>
      <c r="AB87" s="381">
        <v>0</v>
      </c>
      <c r="AC87" s="382">
        <v>7.7499999999999999E-2</v>
      </c>
      <c r="AD87" s="382">
        <v>0</v>
      </c>
      <c r="AE87" s="381" t="s">
        <v>168</v>
      </c>
    </row>
    <row r="88" spans="1:31" ht="15" customHeight="1" x14ac:dyDescent="0.25">
      <c r="A88" s="20" t="s">
        <v>156</v>
      </c>
      <c r="B88" s="20" t="s">
        <v>157</v>
      </c>
      <c r="C88" s="20" t="s">
        <v>158</v>
      </c>
      <c r="D88" s="378" t="s">
        <v>359</v>
      </c>
      <c r="E88" s="379">
        <v>44788</v>
      </c>
      <c r="F88" s="379">
        <v>46113</v>
      </c>
      <c r="G88" s="378" t="s">
        <v>320</v>
      </c>
      <c r="H88" s="20" t="s">
        <v>352</v>
      </c>
      <c r="I88" s="20" t="s">
        <v>353</v>
      </c>
      <c r="J88" s="20" t="s">
        <v>163</v>
      </c>
      <c r="K88" s="378" t="s">
        <v>354</v>
      </c>
      <c r="L88" s="20" t="s">
        <v>165</v>
      </c>
      <c r="M88" s="380">
        <v>2400</v>
      </c>
      <c r="N88" s="380"/>
      <c r="O88" s="380"/>
      <c r="P88" s="380"/>
      <c r="Q88" s="381">
        <v>177</v>
      </c>
      <c r="R88" s="381"/>
      <c r="S88" s="381"/>
      <c r="T88" s="381"/>
      <c r="U88" s="381"/>
      <c r="V88" s="382">
        <v>177</v>
      </c>
      <c r="W88" s="382">
        <v>0</v>
      </c>
      <c r="X88" s="381">
        <v>7.3749999999999996E-2</v>
      </c>
      <c r="Y88" s="381">
        <v>0</v>
      </c>
      <c r="Z88" s="381">
        <v>0</v>
      </c>
      <c r="AA88" s="381">
        <v>0</v>
      </c>
      <c r="AB88" s="381">
        <v>0</v>
      </c>
      <c r="AC88" s="382">
        <v>7.3749999999999996E-2</v>
      </c>
      <c r="AD88" s="382">
        <v>0</v>
      </c>
      <c r="AE88" s="381" t="s">
        <v>168</v>
      </c>
    </row>
    <row r="89" spans="1:31" ht="15" customHeight="1" x14ac:dyDescent="0.25">
      <c r="A89" s="20" t="s">
        <v>156</v>
      </c>
      <c r="B89" s="20" t="s">
        <v>157</v>
      </c>
      <c r="C89" s="20" t="s">
        <v>158</v>
      </c>
      <c r="D89" s="378" t="s">
        <v>360</v>
      </c>
      <c r="E89" s="379">
        <v>44788</v>
      </c>
      <c r="F89" s="379">
        <v>46113</v>
      </c>
      <c r="G89" s="378" t="s">
        <v>320</v>
      </c>
      <c r="H89" s="20" t="s">
        <v>352</v>
      </c>
      <c r="I89" s="20" t="s">
        <v>353</v>
      </c>
      <c r="J89" s="20" t="s">
        <v>163</v>
      </c>
      <c r="K89" s="378" t="s">
        <v>354</v>
      </c>
      <c r="L89" s="20" t="s">
        <v>165</v>
      </c>
      <c r="M89" s="380">
        <v>2400</v>
      </c>
      <c r="N89" s="380"/>
      <c r="O89" s="380"/>
      <c r="P89" s="380"/>
      <c r="Q89" s="381">
        <v>270</v>
      </c>
      <c r="R89" s="381"/>
      <c r="S89" s="381"/>
      <c r="T89" s="381"/>
      <c r="U89" s="381"/>
      <c r="V89" s="382">
        <v>270</v>
      </c>
      <c r="W89" s="382">
        <v>0</v>
      </c>
      <c r="X89" s="381">
        <v>0.1125</v>
      </c>
      <c r="Y89" s="381">
        <v>0</v>
      </c>
      <c r="Z89" s="381">
        <v>0</v>
      </c>
      <c r="AA89" s="381">
        <v>0</v>
      </c>
      <c r="AB89" s="381">
        <v>0</v>
      </c>
      <c r="AC89" s="382">
        <v>0.1125</v>
      </c>
      <c r="AD89" s="382">
        <v>0</v>
      </c>
      <c r="AE89" s="381" t="s">
        <v>168</v>
      </c>
    </row>
    <row r="90" spans="1:31" ht="15" customHeight="1" x14ac:dyDescent="0.25">
      <c r="A90" s="20" t="s">
        <v>156</v>
      </c>
      <c r="B90" s="20" t="s">
        <v>157</v>
      </c>
      <c r="C90" s="20" t="s">
        <v>158</v>
      </c>
      <c r="D90" s="378" t="s">
        <v>361</v>
      </c>
      <c r="E90" s="379">
        <v>44788</v>
      </c>
      <c r="F90" s="379">
        <v>46113</v>
      </c>
      <c r="G90" s="378" t="s">
        <v>362</v>
      </c>
      <c r="H90" s="20" t="s">
        <v>352</v>
      </c>
      <c r="I90" s="20" t="s">
        <v>353</v>
      </c>
      <c r="J90" s="20" t="s">
        <v>163</v>
      </c>
      <c r="K90" s="378" t="s">
        <v>354</v>
      </c>
      <c r="L90" s="20" t="s">
        <v>165</v>
      </c>
      <c r="M90" s="380">
        <v>2400</v>
      </c>
      <c r="N90" s="380"/>
      <c r="O90" s="380"/>
      <c r="P90" s="380"/>
      <c r="Q90" s="381">
        <v>199</v>
      </c>
      <c r="R90" s="381"/>
      <c r="S90" s="381"/>
      <c r="T90" s="381"/>
      <c r="U90" s="381"/>
      <c r="V90" s="382">
        <v>199</v>
      </c>
      <c r="W90" s="382">
        <v>0</v>
      </c>
      <c r="X90" s="381">
        <v>8.2916666666666666E-2</v>
      </c>
      <c r="Y90" s="381">
        <v>0</v>
      </c>
      <c r="Z90" s="381">
        <v>0</v>
      </c>
      <c r="AA90" s="381">
        <v>0</v>
      </c>
      <c r="AB90" s="381">
        <v>0</v>
      </c>
      <c r="AC90" s="382">
        <v>8.2916666666666666E-2</v>
      </c>
      <c r="AD90" s="382">
        <v>0</v>
      </c>
      <c r="AE90" s="381" t="s">
        <v>168</v>
      </c>
    </row>
    <row r="91" spans="1:31" ht="15" customHeight="1" x14ac:dyDescent="0.25">
      <c r="A91" s="20" t="s">
        <v>156</v>
      </c>
      <c r="B91" s="20" t="s">
        <v>157</v>
      </c>
      <c r="C91" s="20" t="s">
        <v>158</v>
      </c>
      <c r="D91" s="378" t="s">
        <v>363</v>
      </c>
      <c r="E91" s="379">
        <v>44788</v>
      </c>
      <c r="F91" s="379">
        <v>46113</v>
      </c>
      <c r="G91" s="378" t="s">
        <v>362</v>
      </c>
      <c r="H91" s="20" t="s">
        <v>352</v>
      </c>
      <c r="I91" s="20" t="s">
        <v>353</v>
      </c>
      <c r="J91" s="20" t="s">
        <v>163</v>
      </c>
      <c r="K91" s="378" t="s">
        <v>354</v>
      </c>
      <c r="L91" s="20" t="s">
        <v>165</v>
      </c>
      <c r="M91" s="380">
        <v>2400</v>
      </c>
      <c r="N91" s="380"/>
      <c r="O91" s="380"/>
      <c r="P91" s="380"/>
      <c r="Q91" s="381">
        <v>199</v>
      </c>
      <c r="R91" s="381"/>
      <c r="S91" s="381"/>
      <c r="T91" s="381"/>
      <c r="U91" s="381"/>
      <c r="V91" s="382">
        <v>199</v>
      </c>
      <c r="W91" s="382">
        <v>0</v>
      </c>
      <c r="X91" s="381">
        <v>8.2916666666666666E-2</v>
      </c>
      <c r="Y91" s="381">
        <v>0</v>
      </c>
      <c r="Z91" s="381">
        <v>0</v>
      </c>
      <c r="AA91" s="381">
        <v>0</v>
      </c>
      <c r="AB91" s="381">
        <v>0</v>
      </c>
      <c r="AC91" s="382">
        <v>8.2916666666666666E-2</v>
      </c>
      <c r="AD91" s="382">
        <v>0</v>
      </c>
      <c r="AE91" s="381" t="s">
        <v>168</v>
      </c>
    </row>
    <row r="92" spans="1:31" ht="15" customHeight="1" x14ac:dyDescent="0.25">
      <c r="A92" s="20" t="s">
        <v>156</v>
      </c>
      <c r="B92" s="20" t="s">
        <v>157</v>
      </c>
      <c r="C92" s="20" t="s">
        <v>158</v>
      </c>
      <c r="D92" s="378" t="s">
        <v>364</v>
      </c>
      <c r="E92" s="379">
        <v>44788</v>
      </c>
      <c r="F92" s="379">
        <v>46113</v>
      </c>
      <c r="G92" s="378" t="s">
        <v>362</v>
      </c>
      <c r="H92" s="20" t="s">
        <v>352</v>
      </c>
      <c r="I92" s="20" t="s">
        <v>353</v>
      </c>
      <c r="J92" s="20" t="s">
        <v>163</v>
      </c>
      <c r="K92" s="378" t="s">
        <v>354</v>
      </c>
      <c r="L92" s="20" t="s">
        <v>165</v>
      </c>
      <c r="M92" s="380">
        <v>2400</v>
      </c>
      <c r="N92" s="380"/>
      <c r="O92" s="380"/>
      <c r="P92" s="380"/>
      <c r="Q92" s="381">
        <v>188</v>
      </c>
      <c r="R92" s="381"/>
      <c r="S92" s="381"/>
      <c r="T92" s="381"/>
      <c r="U92" s="381"/>
      <c r="V92" s="382">
        <v>188</v>
      </c>
      <c r="W92" s="382">
        <v>0</v>
      </c>
      <c r="X92" s="381">
        <v>7.8333333333333338E-2</v>
      </c>
      <c r="Y92" s="381">
        <v>0</v>
      </c>
      <c r="Z92" s="381">
        <v>0</v>
      </c>
      <c r="AA92" s="381">
        <v>0</v>
      </c>
      <c r="AB92" s="381">
        <v>0</v>
      </c>
      <c r="AC92" s="382">
        <v>7.8333333333333338E-2</v>
      </c>
      <c r="AD92" s="382">
        <v>0</v>
      </c>
      <c r="AE92" s="381" t="s">
        <v>168</v>
      </c>
    </row>
    <row r="93" spans="1:31" ht="15" customHeight="1" x14ac:dyDescent="0.25">
      <c r="A93" s="20" t="s">
        <v>156</v>
      </c>
      <c r="B93" s="20" t="s">
        <v>157</v>
      </c>
      <c r="C93" s="20" t="s">
        <v>158</v>
      </c>
      <c r="D93" s="378" t="s">
        <v>365</v>
      </c>
      <c r="E93" s="379">
        <v>44788</v>
      </c>
      <c r="F93" s="379">
        <v>46113</v>
      </c>
      <c r="G93" s="378" t="s">
        <v>362</v>
      </c>
      <c r="H93" s="20" t="s">
        <v>352</v>
      </c>
      <c r="I93" s="20" t="s">
        <v>353</v>
      </c>
      <c r="J93" s="20" t="s">
        <v>163</v>
      </c>
      <c r="K93" s="378" t="s">
        <v>354</v>
      </c>
      <c r="L93" s="20" t="s">
        <v>165</v>
      </c>
      <c r="M93" s="380">
        <v>2400</v>
      </c>
      <c r="N93" s="380"/>
      <c r="O93" s="380"/>
      <c r="P93" s="380"/>
      <c r="Q93" s="381">
        <v>183</v>
      </c>
      <c r="R93" s="381"/>
      <c r="S93" s="381"/>
      <c r="T93" s="381"/>
      <c r="U93" s="381"/>
      <c r="V93" s="382">
        <v>183</v>
      </c>
      <c r="W93" s="382">
        <v>0</v>
      </c>
      <c r="X93" s="381">
        <v>7.6249999999999998E-2</v>
      </c>
      <c r="Y93" s="381">
        <v>0</v>
      </c>
      <c r="Z93" s="381">
        <v>0</v>
      </c>
      <c r="AA93" s="381">
        <v>0</v>
      </c>
      <c r="AB93" s="381">
        <v>0</v>
      </c>
      <c r="AC93" s="382">
        <v>7.6249999999999998E-2</v>
      </c>
      <c r="AD93" s="382">
        <v>0</v>
      </c>
      <c r="AE93" s="381" t="s">
        <v>168</v>
      </c>
    </row>
    <row r="94" spans="1:31" ht="15" customHeight="1" x14ac:dyDescent="0.25">
      <c r="A94" s="20" t="s">
        <v>156</v>
      </c>
      <c r="B94" s="20" t="s">
        <v>157</v>
      </c>
      <c r="C94" s="20" t="s">
        <v>158</v>
      </c>
      <c r="D94" s="378" t="s">
        <v>366</v>
      </c>
      <c r="E94" s="379">
        <v>44788</v>
      </c>
      <c r="F94" s="379">
        <v>46113</v>
      </c>
      <c r="G94" s="378" t="s">
        <v>362</v>
      </c>
      <c r="H94" s="20" t="s">
        <v>352</v>
      </c>
      <c r="I94" s="20" t="s">
        <v>353</v>
      </c>
      <c r="J94" s="20" t="s">
        <v>163</v>
      </c>
      <c r="K94" s="378" t="s">
        <v>354</v>
      </c>
      <c r="L94" s="20" t="s">
        <v>165</v>
      </c>
      <c r="M94" s="380">
        <v>2400</v>
      </c>
      <c r="N94" s="380"/>
      <c r="O94" s="380"/>
      <c r="P94" s="380"/>
      <c r="Q94" s="381">
        <v>179</v>
      </c>
      <c r="R94" s="381"/>
      <c r="S94" s="381"/>
      <c r="T94" s="381"/>
      <c r="U94" s="381"/>
      <c r="V94" s="382">
        <v>179</v>
      </c>
      <c r="W94" s="382">
        <v>0</v>
      </c>
      <c r="X94" s="381">
        <v>7.4583333333333335E-2</v>
      </c>
      <c r="Y94" s="381">
        <v>0</v>
      </c>
      <c r="Z94" s="381">
        <v>0</v>
      </c>
      <c r="AA94" s="381">
        <v>0</v>
      </c>
      <c r="AB94" s="381">
        <v>0</v>
      </c>
      <c r="AC94" s="382">
        <v>7.4583333333333335E-2</v>
      </c>
      <c r="AD94" s="382">
        <v>0</v>
      </c>
      <c r="AE94" s="381" t="s">
        <v>168</v>
      </c>
    </row>
    <row r="95" spans="1:31" ht="15" customHeight="1" x14ac:dyDescent="0.25">
      <c r="A95" s="20" t="s">
        <v>156</v>
      </c>
      <c r="B95" s="20" t="s">
        <v>157</v>
      </c>
      <c r="C95" s="20" t="s">
        <v>158</v>
      </c>
      <c r="D95" s="378" t="s">
        <v>367</v>
      </c>
      <c r="E95" s="379">
        <v>44788</v>
      </c>
      <c r="F95" s="379">
        <v>46113</v>
      </c>
      <c r="G95" s="378" t="s">
        <v>362</v>
      </c>
      <c r="H95" s="20" t="s">
        <v>352</v>
      </c>
      <c r="I95" s="20" t="s">
        <v>353</v>
      </c>
      <c r="J95" s="20" t="s">
        <v>163</v>
      </c>
      <c r="K95" s="378" t="s">
        <v>354</v>
      </c>
      <c r="L95" s="20" t="s">
        <v>165</v>
      </c>
      <c r="M95" s="380">
        <v>2400</v>
      </c>
      <c r="N95" s="380"/>
      <c r="O95" s="380"/>
      <c r="P95" s="380"/>
      <c r="Q95" s="381">
        <v>176</v>
      </c>
      <c r="R95" s="381"/>
      <c r="S95" s="381"/>
      <c r="T95" s="381"/>
      <c r="U95" s="381"/>
      <c r="V95" s="382">
        <v>176</v>
      </c>
      <c r="W95" s="382">
        <v>0</v>
      </c>
      <c r="X95" s="381">
        <v>7.3333333333333334E-2</v>
      </c>
      <c r="Y95" s="381">
        <v>0</v>
      </c>
      <c r="Z95" s="381">
        <v>0</v>
      </c>
      <c r="AA95" s="381">
        <v>0</v>
      </c>
      <c r="AB95" s="381">
        <v>0</v>
      </c>
      <c r="AC95" s="382">
        <v>7.3333333333333334E-2</v>
      </c>
      <c r="AD95" s="382">
        <v>0</v>
      </c>
      <c r="AE95" s="381" t="s">
        <v>168</v>
      </c>
    </row>
    <row r="96" spans="1:31" ht="15" customHeight="1" x14ac:dyDescent="0.25">
      <c r="A96" s="20" t="s">
        <v>156</v>
      </c>
      <c r="B96" s="20" t="s">
        <v>157</v>
      </c>
      <c r="C96" s="20" t="s">
        <v>158</v>
      </c>
      <c r="D96" s="378" t="s">
        <v>368</v>
      </c>
      <c r="E96" s="379">
        <v>44788</v>
      </c>
      <c r="F96" s="379">
        <v>46113</v>
      </c>
      <c r="G96" s="378" t="s">
        <v>362</v>
      </c>
      <c r="H96" s="20" t="s">
        <v>352</v>
      </c>
      <c r="I96" s="20" t="s">
        <v>353</v>
      </c>
      <c r="J96" s="20" t="s">
        <v>163</v>
      </c>
      <c r="K96" s="378" t="s">
        <v>354</v>
      </c>
      <c r="L96" s="20" t="s">
        <v>165</v>
      </c>
      <c r="M96" s="380">
        <v>2400</v>
      </c>
      <c r="N96" s="380"/>
      <c r="O96" s="380"/>
      <c r="P96" s="380"/>
      <c r="Q96" s="381">
        <v>263</v>
      </c>
      <c r="R96" s="381"/>
      <c r="S96" s="381"/>
      <c r="T96" s="381"/>
      <c r="U96" s="381"/>
      <c r="V96" s="382">
        <v>263</v>
      </c>
      <c r="W96" s="382">
        <v>0</v>
      </c>
      <c r="X96" s="381">
        <v>0.10958333333333334</v>
      </c>
      <c r="Y96" s="381">
        <v>0</v>
      </c>
      <c r="Z96" s="381">
        <v>0</v>
      </c>
      <c r="AA96" s="381">
        <v>0</v>
      </c>
      <c r="AB96" s="381">
        <v>0</v>
      </c>
      <c r="AC96" s="382">
        <v>0.10958333333333334</v>
      </c>
      <c r="AD96" s="382">
        <v>0</v>
      </c>
      <c r="AE96" s="381" t="s">
        <v>168</v>
      </c>
    </row>
    <row r="97" spans="1:31" ht="15" customHeight="1" x14ac:dyDescent="0.25">
      <c r="A97" s="20" t="s">
        <v>156</v>
      </c>
      <c r="B97" s="20" t="s">
        <v>157</v>
      </c>
      <c r="C97" s="20" t="s">
        <v>158</v>
      </c>
      <c r="D97" s="378" t="s">
        <v>369</v>
      </c>
      <c r="E97" s="379">
        <v>44788</v>
      </c>
      <c r="F97" s="379">
        <v>46113</v>
      </c>
      <c r="G97" s="378" t="s">
        <v>219</v>
      </c>
      <c r="H97" s="20" t="s">
        <v>352</v>
      </c>
      <c r="I97" s="20" t="s">
        <v>353</v>
      </c>
      <c r="J97" s="20" t="s">
        <v>163</v>
      </c>
      <c r="K97" s="378" t="s">
        <v>354</v>
      </c>
      <c r="L97" s="20" t="s">
        <v>165</v>
      </c>
      <c r="M97" s="380">
        <v>2400</v>
      </c>
      <c r="N97" s="380"/>
      <c r="O97" s="380"/>
      <c r="P97" s="380"/>
      <c r="Q97" s="381">
        <v>209</v>
      </c>
      <c r="R97" s="381"/>
      <c r="S97" s="381"/>
      <c r="T97" s="381"/>
      <c r="U97" s="381"/>
      <c r="V97" s="382">
        <v>209</v>
      </c>
      <c r="W97" s="382">
        <v>0</v>
      </c>
      <c r="X97" s="381">
        <v>8.7083333333333332E-2</v>
      </c>
      <c r="Y97" s="381">
        <v>0</v>
      </c>
      <c r="Z97" s="381">
        <v>0</v>
      </c>
      <c r="AA97" s="381">
        <v>0</v>
      </c>
      <c r="AB97" s="381">
        <v>0</v>
      </c>
      <c r="AC97" s="382">
        <v>8.7083333333333332E-2</v>
      </c>
      <c r="AD97" s="382">
        <v>0</v>
      </c>
      <c r="AE97" s="381" t="s">
        <v>168</v>
      </c>
    </row>
    <row r="98" spans="1:31" ht="15" customHeight="1" x14ac:dyDescent="0.25">
      <c r="A98" s="20" t="s">
        <v>156</v>
      </c>
      <c r="B98" s="20" t="s">
        <v>157</v>
      </c>
      <c r="C98" s="20" t="s">
        <v>158</v>
      </c>
      <c r="D98" s="378" t="s">
        <v>370</v>
      </c>
      <c r="E98" s="379">
        <v>44788</v>
      </c>
      <c r="F98" s="379">
        <v>46113</v>
      </c>
      <c r="G98" s="378" t="s">
        <v>219</v>
      </c>
      <c r="H98" s="20" t="s">
        <v>352</v>
      </c>
      <c r="I98" s="20" t="s">
        <v>353</v>
      </c>
      <c r="J98" s="20" t="s">
        <v>163</v>
      </c>
      <c r="K98" s="378" t="s">
        <v>354</v>
      </c>
      <c r="L98" s="20" t="s">
        <v>165</v>
      </c>
      <c r="M98" s="380">
        <v>2400</v>
      </c>
      <c r="N98" s="380"/>
      <c r="O98" s="380"/>
      <c r="P98" s="380"/>
      <c r="Q98" s="381">
        <v>192</v>
      </c>
      <c r="R98" s="381"/>
      <c r="S98" s="381"/>
      <c r="T98" s="381"/>
      <c r="U98" s="381"/>
      <c r="V98" s="382">
        <v>192</v>
      </c>
      <c r="W98" s="382">
        <v>0</v>
      </c>
      <c r="X98" s="381">
        <v>0.08</v>
      </c>
      <c r="Y98" s="381">
        <v>0</v>
      </c>
      <c r="Z98" s="381">
        <v>0</v>
      </c>
      <c r="AA98" s="381">
        <v>0</v>
      </c>
      <c r="AB98" s="381">
        <v>0</v>
      </c>
      <c r="AC98" s="382">
        <v>0.08</v>
      </c>
      <c r="AD98" s="382">
        <v>0</v>
      </c>
      <c r="AE98" s="381" t="s">
        <v>168</v>
      </c>
    </row>
    <row r="99" spans="1:31" ht="15" customHeight="1" x14ac:dyDescent="0.25">
      <c r="A99" s="20" t="s">
        <v>156</v>
      </c>
      <c r="B99" s="20" t="s">
        <v>157</v>
      </c>
      <c r="C99" s="20" t="s">
        <v>158</v>
      </c>
      <c r="D99" s="378" t="s">
        <v>371</v>
      </c>
      <c r="E99" s="379">
        <v>44788</v>
      </c>
      <c r="F99" s="379">
        <v>46113</v>
      </c>
      <c r="G99" s="378" t="s">
        <v>219</v>
      </c>
      <c r="H99" s="20" t="s">
        <v>352</v>
      </c>
      <c r="I99" s="20" t="s">
        <v>353</v>
      </c>
      <c r="J99" s="20" t="s">
        <v>163</v>
      </c>
      <c r="K99" s="378" t="s">
        <v>354</v>
      </c>
      <c r="L99" s="20" t="s">
        <v>165</v>
      </c>
      <c r="M99" s="380">
        <v>2400</v>
      </c>
      <c r="N99" s="380"/>
      <c r="O99" s="380"/>
      <c r="P99" s="380"/>
      <c r="Q99" s="381">
        <v>159</v>
      </c>
      <c r="R99" s="381"/>
      <c r="S99" s="381"/>
      <c r="T99" s="381"/>
      <c r="U99" s="381"/>
      <c r="V99" s="382">
        <v>159</v>
      </c>
      <c r="W99" s="382">
        <v>0</v>
      </c>
      <c r="X99" s="381">
        <v>6.6250000000000003E-2</v>
      </c>
      <c r="Y99" s="381">
        <v>0</v>
      </c>
      <c r="Z99" s="381">
        <v>0</v>
      </c>
      <c r="AA99" s="381">
        <v>0</v>
      </c>
      <c r="AB99" s="381">
        <v>0</v>
      </c>
      <c r="AC99" s="382">
        <v>6.6250000000000003E-2</v>
      </c>
      <c r="AD99" s="382">
        <v>0</v>
      </c>
      <c r="AE99" s="381" t="s">
        <v>168</v>
      </c>
    </row>
    <row r="100" spans="1:31" ht="15" customHeight="1" x14ac:dyDescent="0.25">
      <c r="A100" s="20" t="s">
        <v>156</v>
      </c>
      <c r="B100" s="20" t="s">
        <v>157</v>
      </c>
      <c r="C100" s="20" t="s">
        <v>158</v>
      </c>
      <c r="D100" s="378" t="s">
        <v>372</v>
      </c>
      <c r="E100" s="379">
        <v>44788</v>
      </c>
      <c r="F100" s="379">
        <v>46113</v>
      </c>
      <c r="G100" s="378" t="s">
        <v>219</v>
      </c>
      <c r="H100" s="20" t="s">
        <v>352</v>
      </c>
      <c r="I100" s="20" t="s">
        <v>353</v>
      </c>
      <c r="J100" s="20" t="s">
        <v>163</v>
      </c>
      <c r="K100" s="378" t="s">
        <v>354</v>
      </c>
      <c r="L100" s="20" t="s">
        <v>165</v>
      </c>
      <c r="M100" s="380">
        <v>2400</v>
      </c>
      <c r="N100" s="380"/>
      <c r="O100" s="380"/>
      <c r="P100" s="380"/>
      <c r="Q100" s="381">
        <v>209</v>
      </c>
      <c r="R100" s="381"/>
      <c r="S100" s="381"/>
      <c r="T100" s="381"/>
      <c r="U100" s="381"/>
      <c r="V100" s="382">
        <v>209</v>
      </c>
      <c r="W100" s="382">
        <v>0</v>
      </c>
      <c r="X100" s="381">
        <v>8.7083333333333332E-2</v>
      </c>
      <c r="Y100" s="381">
        <v>0</v>
      </c>
      <c r="Z100" s="381">
        <v>0</v>
      </c>
      <c r="AA100" s="381">
        <v>0</v>
      </c>
      <c r="AB100" s="381">
        <v>0</v>
      </c>
      <c r="AC100" s="382">
        <v>8.7083333333333332E-2</v>
      </c>
      <c r="AD100" s="382">
        <v>0</v>
      </c>
      <c r="AE100" s="381" t="s">
        <v>168</v>
      </c>
    </row>
    <row r="101" spans="1:31" ht="15" customHeight="1" x14ac:dyDescent="0.25">
      <c r="A101" s="20" t="s">
        <v>156</v>
      </c>
      <c r="B101" s="20" t="s">
        <v>157</v>
      </c>
      <c r="C101" s="20" t="s">
        <v>158</v>
      </c>
      <c r="D101" s="378" t="s">
        <v>373</v>
      </c>
      <c r="E101" s="379">
        <v>44788</v>
      </c>
      <c r="F101" s="379">
        <v>46113</v>
      </c>
      <c r="G101" s="378" t="s">
        <v>219</v>
      </c>
      <c r="H101" s="20" t="s">
        <v>352</v>
      </c>
      <c r="I101" s="20" t="s">
        <v>353</v>
      </c>
      <c r="J101" s="20" t="s">
        <v>163</v>
      </c>
      <c r="K101" s="378" t="s">
        <v>354</v>
      </c>
      <c r="L101" s="20" t="s">
        <v>165</v>
      </c>
      <c r="M101" s="380">
        <v>2400</v>
      </c>
      <c r="N101" s="380"/>
      <c r="O101" s="380"/>
      <c r="P101" s="380"/>
      <c r="Q101" s="381">
        <v>191</v>
      </c>
      <c r="R101" s="381"/>
      <c r="S101" s="381"/>
      <c r="T101" s="381"/>
      <c r="U101" s="381"/>
      <c r="V101" s="382">
        <v>191</v>
      </c>
      <c r="W101" s="382">
        <v>0</v>
      </c>
      <c r="X101" s="381">
        <v>7.9583333333333339E-2</v>
      </c>
      <c r="Y101" s="381">
        <v>0</v>
      </c>
      <c r="Z101" s="381">
        <v>0</v>
      </c>
      <c r="AA101" s="381">
        <v>0</v>
      </c>
      <c r="AB101" s="381">
        <v>0</v>
      </c>
      <c r="AC101" s="382">
        <v>7.9583333333333339E-2</v>
      </c>
      <c r="AD101" s="382">
        <v>0</v>
      </c>
      <c r="AE101" s="381" t="s">
        <v>168</v>
      </c>
    </row>
    <row r="102" spans="1:31" ht="15" customHeight="1" x14ac:dyDescent="0.25">
      <c r="A102" s="20" t="s">
        <v>156</v>
      </c>
      <c r="B102" s="20" t="s">
        <v>157</v>
      </c>
      <c r="C102" s="20" t="s">
        <v>158</v>
      </c>
      <c r="D102" s="378" t="s">
        <v>374</v>
      </c>
      <c r="E102" s="379">
        <v>44788</v>
      </c>
      <c r="F102" s="379">
        <v>46113</v>
      </c>
      <c r="G102" s="378" t="s">
        <v>219</v>
      </c>
      <c r="H102" s="20" t="s">
        <v>352</v>
      </c>
      <c r="I102" s="20" t="s">
        <v>353</v>
      </c>
      <c r="J102" s="20" t="s">
        <v>163</v>
      </c>
      <c r="K102" s="378" t="s">
        <v>354</v>
      </c>
      <c r="L102" s="20" t="s">
        <v>165</v>
      </c>
      <c r="M102" s="380">
        <v>2400</v>
      </c>
      <c r="N102" s="380"/>
      <c r="O102" s="380"/>
      <c r="P102" s="380"/>
      <c r="Q102" s="381">
        <v>186</v>
      </c>
      <c r="R102" s="381"/>
      <c r="S102" s="381"/>
      <c r="T102" s="381"/>
      <c r="U102" s="381"/>
      <c r="V102" s="382">
        <v>186</v>
      </c>
      <c r="W102" s="382">
        <v>0</v>
      </c>
      <c r="X102" s="381">
        <v>7.7499999999999999E-2</v>
      </c>
      <c r="Y102" s="381">
        <v>0</v>
      </c>
      <c r="Z102" s="381">
        <v>0</v>
      </c>
      <c r="AA102" s="381">
        <v>0</v>
      </c>
      <c r="AB102" s="381">
        <v>0</v>
      </c>
      <c r="AC102" s="382">
        <v>7.7499999999999999E-2</v>
      </c>
      <c r="AD102" s="382">
        <v>0</v>
      </c>
      <c r="AE102" s="381" t="s">
        <v>168</v>
      </c>
    </row>
    <row r="103" spans="1:31" ht="15" customHeight="1" x14ac:dyDescent="0.25">
      <c r="A103" s="20" t="s">
        <v>156</v>
      </c>
      <c r="B103" s="20" t="s">
        <v>157</v>
      </c>
      <c r="C103" s="20" t="s">
        <v>158</v>
      </c>
      <c r="D103" s="378" t="s">
        <v>375</v>
      </c>
      <c r="E103" s="379">
        <v>44788</v>
      </c>
      <c r="F103" s="379">
        <v>46113</v>
      </c>
      <c r="G103" s="378" t="s">
        <v>219</v>
      </c>
      <c r="H103" s="20" t="s">
        <v>352</v>
      </c>
      <c r="I103" s="20" t="s">
        <v>353</v>
      </c>
      <c r="J103" s="20" t="s">
        <v>163</v>
      </c>
      <c r="K103" s="378" t="s">
        <v>354</v>
      </c>
      <c r="L103" s="20" t="s">
        <v>165</v>
      </c>
      <c r="M103" s="380">
        <v>2400</v>
      </c>
      <c r="N103" s="380"/>
      <c r="O103" s="380"/>
      <c r="P103" s="380"/>
      <c r="Q103" s="381">
        <v>176</v>
      </c>
      <c r="R103" s="381"/>
      <c r="S103" s="381"/>
      <c r="T103" s="381"/>
      <c r="U103" s="381"/>
      <c r="V103" s="382">
        <v>176</v>
      </c>
      <c r="W103" s="382">
        <v>0</v>
      </c>
      <c r="X103" s="381">
        <v>7.3333333333333334E-2</v>
      </c>
      <c r="Y103" s="381">
        <v>0</v>
      </c>
      <c r="Z103" s="381">
        <v>0</v>
      </c>
      <c r="AA103" s="381">
        <v>0</v>
      </c>
      <c r="AB103" s="381">
        <v>0</v>
      </c>
      <c r="AC103" s="382">
        <v>7.3333333333333334E-2</v>
      </c>
      <c r="AD103" s="382">
        <v>0</v>
      </c>
      <c r="AE103" s="381" t="s">
        <v>168</v>
      </c>
    </row>
    <row r="104" spans="1:31" ht="15" customHeight="1" x14ac:dyDescent="0.25">
      <c r="A104" s="20" t="s">
        <v>156</v>
      </c>
      <c r="B104" s="20" t="s">
        <v>157</v>
      </c>
      <c r="C104" s="20" t="s">
        <v>158</v>
      </c>
      <c r="D104" s="378" t="s">
        <v>376</v>
      </c>
      <c r="E104" s="379">
        <v>44788</v>
      </c>
      <c r="F104" s="379">
        <v>46113</v>
      </c>
      <c r="G104" s="378" t="s">
        <v>219</v>
      </c>
      <c r="H104" s="20" t="s">
        <v>352</v>
      </c>
      <c r="I104" s="20" t="s">
        <v>353</v>
      </c>
      <c r="J104" s="20" t="s">
        <v>163</v>
      </c>
      <c r="K104" s="378" t="s">
        <v>354</v>
      </c>
      <c r="L104" s="20" t="s">
        <v>165</v>
      </c>
      <c r="M104" s="380">
        <v>2400</v>
      </c>
      <c r="N104" s="380"/>
      <c r="O104" s="380"/>
      <c r="P104" s="380"/>
      <c r="Q104" s="381">
        <v>271</v>
      </c>
      <c r="R104" s="381"/>
      <c r="S104" s="381"/>
      <c r="T104" s="381"/>
      <c r="U104" s="381"/>
      <c r="V104" s="382">
        <v>271</v>
      </c>
      <c r="W104" s="382">
        <v>0</v>
      </c>
      <c r="X104" s="381">
        <v>0.11291666666666667</v>
      </c>
      <c r="Y104" s="381">
        <v>0</v>
      </c>
      <c r="Z104" s="381">
        <v>0</v>
      </c>
      <c r="AA104" s="381">
        <v>0</v>
      </c>
      <c r="AB104" s="381">
        <v>0</v>
      </c>
      <c r="AC104" s="382">
        <v>0.11291666666666667</v>
      </c>
      <c r="AD104" s="382">
        <v>0</v>
      </c>
      <c r="AE104" s="381" t="s">
        <v>168</v>
      </c>
    </row>
    <row r="105" spans="1:31" ht="15" customHeight="1" x14ac:dyDescent="0.25">
      <c r="A105" s="20" t="s">
        <v>156</v>
      </c>
      <c r="B105" s="20" t="s">
        <v>157</v>
      </c>
      <c r="C105" s="20" t="s">
        <v>158</v>
      </c>
      <c r="D105" s="378" t="s">
        <v>377</v>
      </c>
      <c r="E105" s="379">
        <v>44788</v>
      </c>
      <c r="F105" s="379">
        <v>46113</v>
      </c>
      <c r="G105" s="378" t="s">
        <v>378</v>
      </c>
      <c r="H105" s="20" t="s">
        <v>352</v>
      </c>
      <c r="I105" s="20" t="s">
        <v>353</v>
      </c>
      <c r="J105" s="20" t="s">
        <v>163</v>
      </c>
      <c r="K105" s="378" t="s">
        <v>354</v>
      </c>
      <c r="L105" s="20" t="s">
        <v>165</v>
      </c>
      <c r="M105" s="380">
        <v>2400</v>
      </c>
      <c r="N105" s="380"/>
      <c r="O105" s="380"/>
      <c r="P105" s="380"/>
      <c r="Q105" s="381">
        <v>205</v>
      </c>
      <c r="R105" s="381"/>
      <c r="S105" s="381"/>
      <c r="T105" s="381"/>
      <c r="U105" s="381"/>
      <c r="V105" s="382">
        <v>205</v>
      </c>
      <c r="W105" s="382">
        <v>0</v>
      </c>
      <c r="X105" s="381">
        <v>8.5416666666666669E-2</v>
      </c>
      <c r="Y105" s="381">
        <v>0</v>
      </c>
      <c r="Z105" s="381">
        <v>0</v>
      </c>
      <c r="AA105" s="381">
        <v>0</v>
      </c>
      <c r="AB105" s="381">
        <v>0</v>
      </c>
      <c r="AC105" s="382">
        <v>8.5416666666666669E-2</v>
      </c>
      <c r="AD105" s="382">
        <v>0</v>
      </c>
      <c r="AE105" s="381" t="s">
        <v>168</v>
      </c>
    </row>
    <row r="106" spans="1:31" ht="15" customHeight="1" x14ac:dyDescent="0.25">
      <c r="A106" s="20" t="s">
        <v>156</v>
      </c>
      <c r="B106" s="20" t="s">
        <v>157</v>
      </c>
      <c r="C106" s="20" t="s">
        <v>158</v>
      </c>
      <c r="D106" s="378" t="s">
        <v>379</v>
      </c>
      <c r="E106" s="379">
        <v>44788</v>
      </c>
      <c r="F106" s="379">
        <v>46113</v>
      </c>
      <c r="G106" s="378" t="s">
        <v>378</v>
      </c>
      <c r="H106" s="20" t="s">
        <v>352</v>
      </c>
      <c r="I106" s="20" t="s">
        <v>353</v>
      </c>
      <c r="J106" s="20" t="s">
        <v>163</v>
      </c>
      <c r="K106" s="378" t="s">
        <v>354</v>
      </c>
      <c r="L106" s="20" t="s">
        <v>165</v>
      </c>
      <c r="M106" s="380">
        <v>2400</v>
      </c>
      <c r="N106" s="380"/>
      <c r="O106" s="380"/>
      <c r="P106" s="380"/>
      <c r="Q106" s="381">
        <v>188</v>
      </c>
      <c r="R106" s="381"/>
      <c r="S106" s="381"/>
      <c r="T106" s="381"/>
      <c r="U106" s="381"/>
      <c r="V106" s="382">
        <v>188</v>
      </c>
      <c r="W106" s="382">
        <v>0</v>
      </c>
      <c r="X106" s="381">
        <v>7.8333333333333338E-2</v>
      </c>
      <c r="Y106" s="381">
        <v>0</v>
      </c>
      <c r="Z106" s="381">
        <v>0</v>
      </c>
      <c r="AA106" s="381">
        <v>0</v>
      </c>
      <c r="AB106" s="381">
        <v>0</v>
      </c>
      <c r="AC106" s="382">
        <v>7.8333333333333338E-2</v>
      </c>
      <c r="AD106" s="382">
        <v>0</v>
      </c>
      <c r="AE106" s="381" t="s">
        <v>168</v>
      </c>
    </row>
    <row r="107" spans="1:31" ht="15" customHeight="1" x14ac:dyDescent="0.25">
      <c r="A107" s="20" t="s">
        <v>156</v>
      </c>
      <c r="B107" s="20" t="s">
        <v>157</v>
      </c>
      <c r="C107" s="20" t="s">
        <v>158</v>
      </c>
      <c r="D107" s="378" t="s">
        <v>380</v>
      </c>
      <c r="E107" s="379">
        <v>44788</v>
      </c>
      <c r="F107" s="379">
        <v>46113</v>
      </c>
      <c r="G107" s="378" t="s">
        <v>378</v>
      </c>
      <c r="H107" s="20" t="s">
        <v>352</v>
      </c>
      <c r="I107" s="20" t="s">
        <v>353</v>
      </c>
      <c r="J107" s="20" t="s">
        <v>163</v>
      </c>
      <c r="K107" s="378" t="s">
        <v>354</v>
      </c>
      <c r="L107" s="20" t="s">
        <v>165</v>
      </c>
      <c r="M107" s="380">
        <v>2400</v>
      </c>
      <c r="N107" s="380"/>
      <c r="O107" s="380"/>
      <c r="P107" s="380"/>
      <c r="Q107" s="381">
        <v>148</v>
      </c>
      <c r="R107" s="381"/>
      <c r="S107" s="381"/>
      <c r="T107" s="381"/>
      <c r="U107" s="381"/>
      <c r="V107" s="382">
        <v>148</v>
      </c>
      <c r="W107" s="382">
        <v>0</v>
      </c>
      <c r="X107" s="381">
        <v>6.1666666666666668E-2</v>
      </c>
      <c r="Y107" s="381">
        <v>0</v>
      </c>
      <c r="Z107" s="381">
        <v>0</v>
      </c>
      <c r="AA107" s="381">
        <v>0</v>
      </c>
      <c r="AB107" s="381">
        <v>0</v>
      </c>
      <c r="AC107" s="382">
        <v>6.1666666666666668E-2</v>
      </c>
      <c r="AD107" s="382">
        <v>0</v>
      </c>
      <c r="AE107" s="381" t="s">
        <v>168</v>
      </c>
    </row>
    <row r="108" spans="1:31" ht="15" customHeight="1" x14ac:dyDescent="0.25">
      <c r="A108" s="20" t="s">
        <v>156</v>
      </c>
      <c r="B108" s="20" t="s">
        <v>157</v>
      </c>
      <c r="C108" s="20" t="s">
        <v>158</v>
      </c>
      <c r="D108" s="378" t="s">
        <v>381</v>
      </c>
      <c r="E108" s="379">
        <v>44788</v>
      </c>
      <c r="F108" s="379">
        <v>46113</v>
      </c>
      <c r="G108" s="378" t="s">
        <v>378</v>
      </c>
      <c r="H108" s="20" t="s">
        <v>352</v>
      </c>
      <c r="I108" s="20" t="s">
        <v>353</v>
      </c>
      <c r="J108" s="20" t="s">
        <v>163</v>
      </c>
      <c r="K108" s="378" t="s">
        <v>354</v>
      </c>
      <c r="L108" s="20" t="s">
        <v>165</v>
      </c>
      <c r="M108" s="380">
        <v>2400</v>
      </c>
      <c r="N108" s="380"/>
      <c r="O108" s="380"/>
      <c r="P108" s="380"/>
      <c r="Q108" s="381">
        <v>205</v>
      </c>
      <c r="R108" s="381"/>
      <c r="S108" s="381"/>
      <c r="T108" s="381"/>
      <c r="U108" s="381"/>
      <c r="V108" s="382">
        <v>205</v>
      </c>
      <c r="W108" s="382">
        <v>0</v>
      </c>
      <c r="X108" s="381">
        <v>8.5416666666666669E-2</v>
      </c>
      <c r="Y108" s="381">
        <v>0</v>
      </c>
      <c r="Z108" s="381">
        <v>0</v>
      </c>
      <c r="AA108" s="381">
        <v>0</v>
      </c>
      <c r="AB108" s="381">
        <v>0</v>
      </c>
      <c r="AC108" s="382">
        <v>8.5416666666666669E-2</v>
      </c>
      <c r="AD108" s="382">
        <v>0</v>
      </c>
      <c r="AE108" s="381" t="s">
        <v>168</v>
      </c>
    </row>
    <row r="109" spans="1:31" ht="15" customHeight="1" x14ac:dyDescent="0.25">
      <c r="A109" s="20" t="s">
        <v>156</v>
      </c>
      <c r="B109" s="20" t="s">
        <v>157</v>
      </c>
      <c r="C109" s="20" t="s">
        <v>158</v>
      </c>
      <c r="D109" s="378" t="s">
        <v>382</v>
      </c>
      <c r="E109" s="379">
        <v>44788</v>
      </c>
      <c r="F109" s="379">
        <v>46113</v>
      </c>
      <c r="G109" s="378" t="s">
        <v>378</v>
      </c>
      <c r="H109" s="20" t="s">
        <v>352</v>
      </c>
      <c r="I109" s="20" t="s">
        <v>353</v>
      </c>
      <c r="J109" s="20" t="s">
        <v>163</v>
      </c>
      <c r="K109" s="378" t="s">
        <v>354</v>
      </c>
      <c r="L109" s="20" t="s">
        <v>165</v>
      </c>
      <c r="M109" s="380">
        <v>2400</v>
      </c>
      <c r="N109" s="380"/>
      <c r="O109" s="380"/>
      <c r="P109" s="380"/>
      <c r="Q109" s="381">
        <v>186</v>
      </c>
      <c r="R109" s="381"/>
      <c r="S109" s="381"/>
      <c r="T109" s="381"/>
      <c r="U109" s="381"/>
      <c r="V109" s="382">
        <v>186</v>
      </c>
      <c r="W109" s="382">
        <v>0</v>
      </c>
      <c r="X109" s="381">
        <v>7.7499999999999999E-2</v>
      </c>
      <c r="Y109" s="381">
        <v>0</v>
      </c>
      <c r="Z109" s="381">
        <v>0</v>
      </c>
      <c r="AA109" s="381">
        <v>0</v>
      </c>
      <c r="AB109" s="381">
        <v>0</v>
      </c>
      <c r="AC109" s="382">
        <v>7.7499999999999999E-2</v>
      </c>
      <c r="AD109" s="382">
        <v>0</v>
      </c>
      <c r="AE109" s="381" t="s">
        <v>168</v>
      </c>
    </row>
    <row r="110" spans="1:31" ht="15" customHeight="1" x14ac:dyDescent="0.25">
      <c r="A110" s="20" t="s">
        <v>156</v>
      </c>
      <c r="B110" s="20" t="s">
        <v>157</v>
      </c>
      <c r="C110" s="20" t="s">
        <v>158</v>
      </c>
      <c r="D110" s="378" t="s">
        <v>383</v>
      </c>
      <c r="E110" s="379">
        <v>44788</v>
      </c>
      <c r="F110" s="379">
        <v>46113</v>
      </c>
      <c r="G110" s="378" t="s">
        <v>378</v>
      </c>
      <c r="H110" s="20" t="s">
        <v>352</v>
      </c>
      <c r="I110" s="20" t="s">
        <v>353</v>
      </c>
      <c r="J110" s="20" t="s">
        <v>163</v>
      </c>
      <c r="K110" s="378" t="s">
        <v>354</v>
      </c>
      <c r="L110" s="20" t="s">
        <v>165</v>
      </c>
      <c r="M110" s="380">
        <v>2400</v>
      </c>
      <c r="N110" s="380"/>
      <c r="O110" s="380"/>
      <c r="P110" s="380"/>
      <c r="Q110" s="381">
        <v>181</v>
      </c>
      <c r="R110" s="381"/>
      <c r="S110" s="381"/>
      <c r="T110" s="381"/>
      <c r="U110" s="381"/>
      <c r="V110" s="382">
        <v>181</v>
      </c>
      <c r="W110" s="382">
        <v>0</v>
      </c>
      <c r="X110" s="381">
        <v>7.5416666666666674E-2</v>
      </c>
      <c r="Y110" s="381">
        <v>0</v>
      </c>
      <c r="Z110" s="381">
        <v>0</v>
      </c>
      <c r="AA110" s="381">
        <v>0</v>
      </c>
      <c r="AB110" s="381">
        <v>0</v>
      </c>
      <c r="AC110" s="382">
        <v>7.5416666666666674E-2</v>
      </c>
      <c r="AD110" s="382">
        <v>0</v>
      </c>
      <c r="AE110" s="381" t="s">
        <v>168</v>
      </c>
    </row>
    <row r="111" spans="1:31" ht="15" customHeight="1" x14ac:dyDescent="0.25">
      <c r="A111" s="20" t="s">
        <v>156</v>
      </c>
      <c r="B111" s="20" t="s">
        <v>157</v>
      </c>
      <c r="C111" s="20" t="s">
        <v>158</v>
      </c>
      <c r="D111" s="378" t="s">
        <v>384</v>
      </c>
      <c r="E111" s="379">
        <v>44788</v>
      </c>
      <c r="F111" s="379">
        <v>46113</v>
      </c>
      <c r="G111" s="378" t="s">
        <v>378</v>
      </c>
      <c r="H111" s="20" t="s">
        <v>352</v>
      </c>
      <c r="I111" s="20" t="s">
        <v>353</v>
      </c>
      <c r="J111" s="20" t="s">
        <v>163</v>
      </c>
      <c r="K111" s="378" t="s">
        <v>354</v>
      </c>
      <c r="L111" s="20" t="s">
        <v>165</v>
      </c>
      <c r="M111" s="380">
        <v>2400</v>
      </c>
      <c r="N111" s="380"/>
      <c r="O111" s="380"/>
      <c r="P111" s="380"/>
      <c r="Q111" s="381">
        <v>173</v>
      </c>
      <c r="R111" s="381"/>
      <c r="S111" s="381"/>
      <c r="T111" s="381"/>
      <c r="U111" s="381"/>
      <c r="V111" s="382">
        <v>173</v>
      </c>
      <c r="W111" s="382">
        <v>0</v>
      </c>
      <c r="X111" s="381">
        <v>7.2083333333333333E-2</v>
      </c>
      <c r="Y111" s="381">
        <v>0</v>
      </c>
      <c r="Z111" s="381">
        <v>0</v>
      </c>
      <c r="AA111" s="381">
        <v>0</v>
      </c>
      <c r="AB111" s="381">
        <v>0</v>
      </c>
      <c r="AC111" s="382">
        <v>7.2083333333333333E-2</v>
      </c>
      <c r="AD111" s="382">
        <v>0</v>
      </c>
      <c r="AE111" s="381" t="s">
        <v>168</v>
      </c>
    </row>
    <row r="112" spans="1:31" ht="15" customHeight="1" x14ac:dyDescent="0.25">
      <c r="A112" s="20" t="s">
        <v>156</v>
      </c>
      <c r="B112" s="20" t="s">
        <v>157</v>
      </c>
      <c r="C112" s="20" t="s">
        <v>158</v>
      </c>
      <c r="D112" s="378" t="s">
        <v>385</v>
      </c>
      <c r="E112" s="379">
        <v>44788</v>
      </c>
      <c r="F112" s="379">
        <v>46113</v>
      </c>
      <c r="G112" s="378" t="s">
        <v>378</v>
      </c>
      <c r="H112" s="20" t="s">
        <v>352</v>
      </c>
      <c r="I112" s="20" t="s">
        <v>353</v>
      </c>
      <c r="J112" s="20" t="s">
        <v>163</v>
      </c>
      <c r="K112" s="378" t="s">
        <v>354</v>
      </c>
      <c r="L112" s="20" t="s">
        <v>165</v>
      </c>
      <c r="M112" s="380">
        <v>2400</v>
      </c>
      <c r="N112" s="380"/>
      <c r="O112" s="380"/>
      <c r="P112" s="380"/>
      <c r="Q112" s="381">
        <v>268</v>
      </c>
      <c r="R112" s="381"/>
      <c r="S112" s="381"/>
      <c r="T112" s="381"/>
      <c r="U112" s="381"/>
      <c r="V112" s="382">
        <v>268</v>
      </c>
      <c r="W112" s="382">
        <v>0</v>
      </c>
      <c r="X112" s="381">
        <v>0.11166666666666666</v>
      </c>
      <c r="Y112" s="381">
        <v>0</v>
      </c>
      <c r="Z112" s="381">
        <v>0</v>
      </c>
      <c r="AA112" s="381">
        <v>0</v>
      </c>
      <c r="AB112" s="381">
        <v>0</v>
      </c>
      <c r="AC112" s="382">
        <v>0.11166666666666666</v>
      </c>
      <c r="AD112" s="382">
        <v>0</v>
      </c>
      <c r="AE112" s="381" t="s">
        <v>168</v>
      </c>
    </row>
    <row r="113" spans="1:31" ht="15" customHeight="1" x14ac:dyDescent="0.25">
      <c r="A113" s="20" t="s">
        <v>156</v>
      </c>
      <c r="B113" s="20" t="s">
        <v>157</v>
      </c>
      <c r="C113" s="20" t="s">
        <v>158</v>
      </c>
      <c r="D113" s="378" t="s">
        <v>386</v>
      </c>
      <c r="E113" s="379">
        <v>44484</v>
      </c>
      <c r="F113" s="379">
        <v>46143</v>
      </c>
      <c r="G113" s="378" t="s">
        <v>387</v>
      </c>
      <c r="H113" s="20" t="s">
        <v>388</v>
      </c>
      <c r="I113" s="20">
        <v>0</v>
      </c>
      <c r="J113" s="20" t="s">
        <v>163</v>
      </c>
      <c r="K113" s="378" t="s">
        <v>389</v>
      </c>
      <c r="L113" s="20" t="s">
        <v>165</v>
      </c>
      <c r="M113" s="380">
        <v>2400</v>
      </c>
      <c r="N113" s="380"/>
      <c r="O113" s="380"/>
      <c r="P113" s="380"/>
      <c r="Q113" s="381">
        <v>265</v>
      </c>
      <c r="R113" s="381"/>
      <c r="S113" s="381"/>
      <c r="T113" s="381"/>
      <c r="U113" s="381"/>
      <c r="V113" s="382">
        <v>265</v>
      </c>
      <c r="W113" s="382">
        <v>0</v>
      </c>
      <c r="X113" s="381">
        <v>0.11041666666666666</v>
      </c>
      <c r="Y113" s="381">
        <v>0</v>
      </c>
      <c r="Z113" s="381">
        <v>0</v>
      </c>
      <c r="AA113" s="381">
        <v>0</v>
      </c>
      <c r="AB113" s="381">
        <v>0</v>
      </c>
      <c r="AC113" s="382">
        <v>0.11041666666666666</v>
      </c>
      <c r="AD113" s="382">
        <v>0</v>
      </c>
      <c r="AE113" s="381" t="s">
        <v>168</v>
      </c>
    </row>
    <row r="114" spans="1:31" ht="15" customHeight="1" x14ac:dyDescent="0.25">
      <c r="A114" s="20" t="s">
        <v>156</v>
      </c>
      <c r="B114" s="20" t="s">
        <v>157</v>
      </c>
      <c r="C114" s="20" t="s">
        <v>158</v>
      </c>
      <c r="D114" s="378" t="s">
        <v>390</v>
      </c>
      <c r="E114" s="379">
        <v>44484</v>
      </c>
      <c r="F114" s="379">
        <v>46143</v>
      </c>
      <c r="G114" s="378" t="s">
        <v>391</v>
      </c>
      <c r="H114" s="20" t="s">
        <v>388</v>
      </c>
      <c r="I114" s="20">
        <v>0</v>
      </c>
      <c r="J114" s="20" t="s">
        <v>163</v>
      </c>
      <c r="K114" s="378" t="s">
        <v>389</v>
      </c>
      <c r="L114" s="20" t="s">
        <v>165</v>
      </c>
      <c r="M114" s="380">
        <v>2400</v>
      </c>
      <c r="N114" s="380"/>
      <c r="O114" s="380"/>
      <c r="P114" s="380"/>
      <c r="Q114" s="381">
        <v>265</v>
      </c>
      <c r="R114" s="381"/>
      <c r="S114" s="381"/>
      <c r="T114" s="381"/>
      <c r="U114" s="381"/>
      <c r="V114" s="382">
        <v>265</v>
      </c>
      <c r="W114" s="382">
        <v>0</v>
      </c>
      <c r="X114" s="381">
        <v>0.11041666666666666</v>
      </c>
      <c r="Y114" s="381">
        <v>0</v>
      </c>
      <c r="Z114" s="381">
        <v>0</v>
      </c>
      <c r="AA114" s="381">
        <v>0</v>
      </c>
      <c r="AB114" s="381">
        <v>0</v>
      </c>
      <c r="AC114" s="382">
        <v>0.11041666666666666</v>
      </c>
      <c r="AD114" s="382">
        <v>0</v>
      </c>
      <c r="AE114" s="381" t="s">
        <v>168</v>
      </c>
    </row>
    <row r="115" spans="1:31" ht="15" customHeight="1" x14ac:dyDescent="0.25">
      <c r="A115" s="20" t="s">
        <v>156</v>
      </c>
      <c r="B115" s="20" t="s">
        <v>157</v>
      </c>
      <c r="C115" s="20" t="s">
        <v>158</v>
      </c>
      <c r="D115" s="378" t="s">
        <v>392</v>
      </c>
      <c r="E115" s="379">
        <v>44620</v>
      </c>
      <c r="F115" s="379">
        <v>46446</v>
      </c>
      <c r="G115" s="378" t="s">
        <v>173</v>
      </c>
      <c r="H115" s="20" t="s">
        <v>393</v>
      </c>
      <c r="I115" s="20"/>
      <c r="J115" s="20" t="s">
        <v>163</v>
      </c>
      <c r="K115" s="378" t="s">
        <v>394</v>
      </c>
      <c r="L115" s="20" t="s">
        <v>165</v>
      </c>
      <c r="M115" s="380">
        <v>2400</v>
      </c>
      <c r="N115" s="380"/>
      <c r="O115" s="380"/>
      <c r="P115" s="380"/>
      <c r="Q115" s="381">
        <v>298</v>
      </c>
      <c r="R115" s="381"/>
      <c r="S115" s="381"/>
      <c r="T115" s="381"/>
      <c r="U115" s="381"/>
      <c r="V115" s="382">
        <v>298</v>
      </c>
      <c r="W115" s="382">
        <v>0</v>
      </c>
      <c r="X115" s="381">
        <v>0.12416666666666666</v>
      </c>
      <c r="Y115" s="381">
        <v>0</v>
      </c>
      <c r="Z115" s="381">
        <v>0</v>
      </c>
      <c r="AA115" s="381">
        <v>0</v>
      </c>
      <c r="AB115" s="381">
        <v>0</v>
      </c>
      <c r="AC115" s="382">
        <v>0.12416666666666666</v>
      </c>
      <c r="AD115" s="382">
        <v>0</v>
      </c>
      <c r="AE115" s="381" t="s">
        <v>168</v>
      </c>
    </row>
    <row r="116" spans="1:31" ht="15" customHeight="1" x14ac:dyDescent="0.25">
      <c r="A116" s="20" t="s">
        <v>156</v>
      </c>
      <c r="B116" s="20" t="s">
        <v>157</v>
      </c>
      <c r="C116" s="20" t="s">
        <v>158</v>
      </c>
      <c r="D116" s="378" t="s">
        <v>395</v>
      </c>
      <c r="E116" s="379">
        <v>44620</v>
      </c>
      <c r="F116" s="379">
        <v>46446</v>
      </c>
      <c r="G116" s="378" t="s">
        <v>396</v>
      </c>
      <c r="H116" s="20" t="s">
        <v>393</v>
      </c>
      <c r="I116" s="20"/>
      <c r="J116" s="20" t="s">
        <v>163</v>
      </c>
      <c r="K116" s="378" t="s">
        <v>397</v>
      </c>
      <c r="L116" s="20" t="s">
        <v>165</v>
      </c>
      <c r="M116" s="380">
        <v>2400</v>
      </c>
      <c r="N116" s="380"/>
      <c r="O116" s="380"/>
      <c r="P116" s="380"/>
      <c r="Q116" s="381">
        <v>149</v>
      </c>
      <c r="R116" s="381"/>
      <c r="S116" s="381"/>
      <c r="T116" s="381"/>
      <c r="U116" s="381"/>
      <c r="V116" s="382">
        <v>149</v>
      </c>
      <c r="W116" s="382">
        <v>0</v>
      </c>
      <c r="X116" s="381">
        <v>6.2083333333333331E-2</v>
      </c>
      <c r="Y116" s="381">
        <v>0</v>
      </c>
      <c r="Z116" s="381">
        <v>0</v>
      </c>
      <c r="AA116" s="381">
        <v>0</v>
      </c>
      <c r="AB116" s="381">
        <v>0</v>
      </c>
      <c r="AC116" s="382">
        <v>6.2083333333333331E-2</v>
      </c>
      <c r="AD116" s="382">
        <v>0</v>
      </c>
      <c r="AE116" s="381" t="s">
        <v>168</v>
      </c>
    </row>
    <row r="117" spans="1:31" ht="15" customHeight="1" x14ac:dyDescent="0.25">
      <c r="A117" s="20" t="s">
        <v>156</v>
      </c>
      <c r="B117" s="20" t="s">
        <v>157</v>
      </c>
      <c r="C117" s="20" t="s">
        <v>158</v>
      </c>
      <c r="D117" s="378" t="s">
        <v>398</v>
      </c>
      <c r="E117" s="379">
        <v>44620</v>
      </c>
      <c r="F117" s="379">
        <v>46446</v>
      </c>
      <c r="G117" s="378" t="s">
        <v>396</v>
      </c>
      <c r="H117" s="20" t="s">
        <v>393</v>
      </c>
      <c r="I117" s="20"/>
      <c r="J117" s="20" t="s">
        <v>163</v>
      </c>
      <c r="K117" s="378" t="s">
        <v>397</v>
      </c>
      <c r="L117" s="20" t="s">
        <v>165</v>
      </c>
      <c r="M117" s="380">
        <v>2400</v>
      </c>
      <c r="N117" s="380"/>
      <c r="O117" s="380"/>
      <c r="P117" s="380"/>
      <c r="Q117" s="381">
        <v>171</v>
      </c>
      <c r="R117" s="381"/>
      <c r="S117" s="381"/>
      <c r="T117" s="381"/>
      <c r="U117" s="381"/>
      <c r="V117" s="382">
        <v>171</v>
      </c>
      <c r="W117" s="382">
        <v>0</v>
      </c>
      <c r="X117" s="381">
        <v>7.1249999999999994E-2</v>
      </c>
      <c r="Y117" s="381">
        <v>0</v>
      </c>
      <c r="Z117" s="381">
        <v>0</v>
      </c>
      <c r="AA117" s="381">
        <v>0</v>
      </c>
      <c r="AB117" s="381">
        <v>0</v>
      </c>
      <c r="AC117" s="382">
        <v>7.1249999999999994E-2</v>
      </c>
      <c r="AD117" s="382">
        <v>0</v>
      </c>
      <c r="AE117" s="381" t="s">
        <v>168</v>
      </c>
    </row>
    <row r="118" spans="1:31" ht="15" customHeight="1" x14ac:dyDescent="0.25">
      <c r="A118" s="20" t="s">
        <v>156</v>
      </c>
      <c r="B118" s="20" t="s">
        <v>157</v>
      </c>
      <c r="C118" s="20" t="s">
        <v>158</v>
      </c>
      <c r="D118" s="378" t="s">
        <v>399</v>
      </c>
      <c r="E118" s="379">
        <v>44620</v>
      </c>
      <c r="F118" s="379">
        <v>46446</v>
      </c>
      <c r="G118" s="378" t="s">
        <v>396</v>
      </c>
      <c r="H118" s="20" t="s">
        <v>393</v>
      </c>
      <c r="I118" s="20"/>
      <c r="J118" s="20" t="s">
        <v>163</v>
      </c>
      <c r="K118" s="378" t="s">
        <v>397</v>
      </c>
      <c r="L118" s="20" t="s">
        <v>165</v>
      </c>
      <c r="M118" s="380">
        <v>2400</v>
      </c>
      <c r="N118" s="380"/>
      <c r="O118" s="380"/>
      <c r="P118" s="380"/>
      <c r="Q118" s="381">
        <v>213</v>
      </c>
      <c r="R118" s="381"/>
      <c r="S118" s="381"/>
      <c r="T118" s="381"/>
      <c r="U118" s="381"/>
      <c r="V118" s="382">
        <v>213</v>
      </c>
      <c r="W118" s="382">
        <v>0</v>
      </c>
      <c r="X118" s="381">
        <v>8.8749999999999996E-2</v>
      </c>
      <c r="Y118" s="381">
        <v>0</v>
      </c>
      <c r="Z118" s="381">
        <v>0</v>
      </c>
      <c r="AA118" s="381">
        <v>0</v>
      </c>
      <c r="AB118" s="381">
        <v>0</v>
      </c>
      <c r="AC118" s="382">
        <v>8.8749999999999996E-2</v>
      </c>
      <c r="AD118" s="382">
        <v>0</v>
      </c>
      <c r="AE118" s="381" t="s">
        <v>168</v>
      </c>
    </row>
    <row r="119" spans="1:31" ht="15" customHeight="1" x14ac:dyDescent="0.25">
      <c r="A119" s="20" t="s">
        <v>156</v>
      </c>
      <c r="B119" s="20" t="s">
        <v>157</v>
      </c>
      <c r="C119" s="20" t="s">
        <v>158</v>
      </c>
      <c r="D119" s="378" t="s">
        <v>400</v>
      </c>
      <c r="E119" s="379">
        <v>44620</v>
      </c>
      <c r="F119" s="379">
        <v>46446</v>
      </c>
      <c r="G119" s="378" t="s">
        <v>396</v>
      </c>
      <c r="H119" s="20" t="s">
        <v>393</v>
      </c>
      <c r="I119" s="20"/>
      <c r="J119" s="20" t="s">
        <v>163</v>
      </c>
      <c r="K119" s="378" t="s">
        <v>397</v>
      </c>
      <c r="L119" s="20" t="s">
        <v>165</v>
      </c>
      <c r="M119" s="380">
        <v>2400</v>
      </c>
      <c r="N119" s="380"/>
      <c r="O119" s="380"/>
      <c r="P119" s="380"/>
      <c r="Q119" s="381">
        <v>185</v>
      </c>
      <c r="R119" s="381"/>
      <c r="S119" s="381"/>
      <c r="T119" s="381"/>
      <c r="U119" s="381"/>
      <c r="V119" s="382">
        <v>185</v>
      </c>
      <c r="W119" s="382">
        <v>0</v>
      </c>
      <c r="X119" s="381">
        <v>7.7083333333333337E-2</v>
      </c>
      <c r="Y119" s="381">
        <v>0</v>
      </c>
      <c r="Z119" s="381">
        <v>0</v>
      </c>
      <c r="AA119" s="381">
        <v>0</v>
      </c>
      <c r="AB119" s="381">
        <v>0</v>
      </c>
      <c r="AC119" s="382">
        <v>7.7083333333333337E-2</v>
      </c>
      <c r="AD119" s="382">
        <v>0</v>
      </c>
      <c r="AE119" s="381" t="s">
        <v>168</v>
      </c>
    </row>
    <row r="120" spans="1:31" ht="15" customHeight="1" x14ac:dyDescent="0.25">
      <c r="A120" s="20" t="s">
        <v>156</v>
      </c>
      <c r="B120" s="20" t="s">
        <v>157</v>
      </c>
      <c r="C120" s="20" t="s">
        <v>158</v>
      </c>
      <c r="D120" s="378" t="s">
        <v>401</v>
      </c>
      <c r="E120" s="379">
        <v>44620</v>
      </c>
      <c r="F120" s="379">
        <v>46446</v>
      </c>
      <c r="G120" s="378" t="s">
        <v>396</v>
      </c>
      <c r="H120" s="20" t="s">
        <v>393</v>
      </c>
      <c r="I120" s="20"/>
      <c r="J120" s="20" t="s">
        <v>163</v>
      </c>
      <c r="K120" s="378" t="s">
        <v>397</v>
      </c>
      <c r="L120" s="20" t="s">
        <v>165</v>
      </c>
      <c r="M120" s="380">
        <v>2400</v>
      </c>
      <c r="N120" s="380"/>
      <c r="O120" s="380"/>
      <c r="P120" s="380"/>
      <c r="Q120" s="381">
        <v>194</v>
      </c>
      <c r="R120" s="381"/>
      <c r="S120" s="381"/>
      <c r="T120" s="381"/>
      <c r="U120" s="381"/>
      <c r="V120" s="382">
        <v>194</v>
      </c>
      <c r="W120" s="382">
        <v>0</v>
      </c>
      <c r="X120" s="381">
        <v>8.0833333333333326E-2</v>
      </c>
      <c r="Y120" s="381">
        <v>0</v>
      </c>
      <c r="Z120" s="381">
        <v>0</v>
      </c>
      <c r="AA120" s="381">
        <v>0</v>
      </c>
      <c r="AB120" s="381">
        <v>0</v>
      </c>
      <c r="AC120" s="382">
        <v>8.0833333333333326E-2</v>
      </c>
      <c r="AD120" s="382">
        <v>0</v>
      </c>
      <c r="AE120" s="381" t="s">
        <v>168</v>
      </c>
    </row>
    <row r="121" spans="1:31" ht="15" customHeight="1" x14ac:dyDescent="0.25">
      <c r="A121" s="20" t="s">
        <v>156</v>
      </c>
      <c r="B121" s="20" t="s">
        <v>157</v>
      </c>
      <c r="C121" s="20" t="s">
        <v>158</v>
      </c>
      <c r="D121" s="378" t="s">
        <v>402</v>
      </c>
      <c r="E121" s="379">
        <v>44620</v>
      </c>
      <c r="F121" s="379">
        <v>46446</v>
      </c>
      <c r="G121" s="378" t="s">
        <v>396</v>
      </c>
      <c r="H121" s="20" t="s">
        <v>393</v>
      </c>
      <c r="I121" s="20"/>
      <c r="J121" s="20" t="s">
        <v>163</v>
      </c>
      <c r="K121" s="378" t="s">
        <v>397</v>
      </c>
      <c r="L121" s="20" t="s">
        <v>165</v>
      </c>
      <c r="M121" s="380">
        <v>2400</v>
      </c>
      <c r="N121" s="380"/>
      <c r="O121" s="380"/>
      <c r="P121" s="380"/>
      <c r="Q121" s="381">
        <v>249</v>
      </c>
      <c r="R121" s="381"/>
      <c r="S121" s="381"/>
      <c r="T121" s="381"/>
      <c r="U121" s="381"/>
      <c r="V121" s="382">
        <v>249</v>
      </c>
      <c r="W121" s="382">
        <v>0</v>
      </c>
      <c r="X121" s="381">
        <v>0.10375</v>
      </c>
      <c r="Y121" s="381">
        <v>0</v>
      </c>
      <c r="Z121" s="381">
        <v>0</v>
      </c>
      <c r="AA121" s="381">
        <v>0</v>
      </c>
      <c r="AB121" s="381">
        <v>0</v>
      </c>
      <c r="AC121" s="382">
        <v>0.10375</v>
      </c>
      <c r="AD121" s="382">
        <v>0</v>
      </c>
      <c r="AE121" s="381" t="s">
        <v>168</v>
      </c>
    </row>
    <row r="122" spans="1:31" ht="15" customHeight="1" x14ac:dyDescent="0.25">
      <c r="A122" s="20" t="s">
        <v>156</v>
      </c>
      <c r="B122" s="20" t="s">
        <v>157</v>
      </c>
      <c r="C122" s="20" t="s">
        <v>158</v>
      </c>
      <c r="D122" s="378" t="s">
        <v>403</v>
      </c>
      <c r="E122" s="379">
        <v>44620</v>
      </c>
      <c r="F122" s="379">
        <v>46446</v>
      </c>
      <c r="G122" s="378" t="s">
        <v>396</v>
      </c>
      <c r="H122" s="20" t="s">
        <v>393</v>
      </c>
      <c r="I122" s="20"/>
      <c r="J122" s="20" t="s">
        <v>163</v>
      </c>
      <c r="K122" s="378" t="s">
        <v>397</v>
      </c>
      <c r="L122" s="20" t="s">
        <v>165</v>
      </c>
      <c r="M122" s="380">
        <v>2400</v>
      </c>
      <c r="N122" s="380"/>
      <c r="O122" s="380"/>
      <c r="P122" s="380"/>
      <c r="Q122" s="381">
        <v>158</v>
      </c>
      <c r="R122" s="381"/>
      <c r="S122" s="381"/>
      <c r="T122" s="381"/>
      <c r="U122" s="381"/>
      <c r="V122" s="382">
        <v>158</v>
      </c>
      <c r="W122" s="382">
        <v>0</v>
      </c>
      <c r="X122" s="381">
        <v>6.5833333333333327E-2</v>
      </c>
      <c r="Y122" s="381">
        <v>0</v>
      </c>
      <c r="Z122" s="381">
        <v>0</v>
      </c>
      <c r="AA122" s="381">
        <v>0</v>
      </c>
      <c r="AB122" s="381">
        <v>0</v>
      </c>
      <c r="AC122" s="382">
        <v>6.5833333333333327E-2</v>
      </c>
      <c r="AD122" s="382">
        <v>0</v>
      </c>
      <c r="AE122" s="381" t="s">
        <v>168</v>
      </c>
    </row>
    <row r="123" spans="1:31" ht="15" customHeight="1" x14ac:dyDescent="0.25">
      <c r="A123" s="20" t="s">
        <v>156</v>
      </c>
      <c r="B123" s="20" t="s">
        <v>157</v>
      </c>
      <c r="C123" s="20" t="s">
        <v>158</v>
      </c>
      <c r="D123" s="378" t="s">
        <v>404</v>
      </c>
      <c r="E123" s="379">
        <v>44620</v>
      </c>
      <c r="F123" s="379">
        <v>46446</v>
      </c>
      <c r="G123" s="378" t="s">
        <v>396</v>
      </c>
      <c r="H123" s="20" t="s">
        <v>393</v>
      </c>
      <c r="I123" s="20"/>
      <c r="J123" s="20" t="s">
        <v>163</v>
      </c>
      <c r="K123" s="378" t="s">
        <v>397</v>
      </c>
      <c r="L123" s="20" t="s">
        <v>165</v>
      </c>
      <c r="M123" s="380">
        <v>2400</v>
      </c>
      <c r="N123" s="380"/>
      <c r="O123" s="380"/>
      <c r="P123" s="380"/>
      <c r="Q123" s="381">
        <v>182</v>
      </c>
      <c r="R123" s="381"/>
      <c r="S123" s="381"/>
      <c r="T123" s="381"/>
      <c r="U123" s="381"/>
      <c r="V123" s="382">
        <v>182</v>
      </c>
      <c r="W123" s="382">
        <v>0</v>
      </c>
      <c r="X123" s="381">
        <v>7.5833333333333336E-2</v>
      </c>
      <c r="Y123" s="381">
        <v>0</v>
      </c>
      <c r="Z123" s="381">
        <v>0</v>
      </c>
      <c r="AA123" s="381">
        <v>0</v>
      </c>
      <c r="AB123" s="381">
        <v>0</v>
      </c>
      <c r="AC123" s="382">
        <v>7.5833333333333336E-2</v>
      </c>
      <c r="AD123" s="382">
        <v>0</v>
      </c>
      <c r="AE123" s="381" t="s">
        <v>168</v>
      </c>
    </row>
    <row r="124" spans="1:31" ht="15" customHeight="1" x14ac:dyDescent="0.25">
      <c r="A124" s="20" t="s">
        <v>156</v>
      </c>
      <c r="B124" s="20" t="s">
        <v>157</v>
      </c>
      <c r="C124" s="20" t="s">
        <v>158</v>
      </c>
      <c r="D124" s="378" t="s">
        <v>405</v>
      </c>
      <c r="E124" s="379">
        <v>44620</v>
      </c>
      <c r="F124" s="379">
        <v>46446</v>
      </c>
      <c r="G124" s="378" t="s">
        <v>396</v>
      </c>
      <c r="H124" s="20" t="s">
        <v>393</v>
      </c>
      <c r="I124" s="20"/>
      <c r="J124" s="20" t="s">
        <v>163</v>
      </c>
      <c r="K124" s="378" t="s">
        <v>397</v>
      </c>
      <c r="L124" s="20" t="s">
        <v>165</v>
      </c>
      <c r="M124" s="380">
        <v>2400</v>
      </c>
      <c r="N124" s="380"/>
      <c r="O124" s="380"/>
      <c r="P124" s="380"/>
      <c r="Q124" s="381">
        <v>201</v>
      </c>
      <c r="R124" s="381"/>
      <c r="S124" s="381"/>
      <c r="T124" s="381"/>
      <c r="U124" s="381"/>
      <c r="V124" s="382">
        <v>201</v>
      </c>
      <c r="W124" s="382">
        <v>0</v>
      </c>
      <c r="X124" s="381">
        <v>8.3750000000000005E-2</v>
      </c>
      <c r="Y124" s="381">
        <v>0</v>
      </c>
      <c r="Z124" s="381">
        <v>0</v>
      </c>
      <c r="AA124" s="381">
        <v>0</v>
      </c>
      <c r="AB124" s="381">
        <v>0</v>
      </c>
      <c r="AC124" s="382">
        <v>8.3750000000000005E-2</v>
      </c>
      <c r="AD124" s="382">
        <v>0</v>
      </c>
      <c r="AE124" s="381" t="s">
        <v>168</v>
      </c>
    </row>
    <row r="125" spans="1:31" ht="15" customHeight="1" x14ac:dyDescent="0.25">
      <c r="A125" s="20" t="s">
        <v>156</v>
      </c>
      <c r="B125" s="20" t="s">
        <v>157</v>
      </c>
      <c r="C125" s="20" t="s">
        <v>158</v>
      </c>
      <c r="D125" s="378" t="s">
        <v>406</v>
      </c>
      <c r="E125" s="379">
        <v>44620</v>
      </c>
      <c r="F125" s="379">
        <v>46446</v>
      </c>
      <c r="G125" s="378" t="s">
        <v>407</v>
      </c>
      <c r="H125" s="20" t="s">
        <v>393</v>
      </c>
      <c r="I125" s="20"/>
      <c r="J125" s="20" t="s">
        <v>163</v>
      </c>
      <c r="K125" s="378" t="s">
        <v>397</v>
      </c>
      <c r="L125" s="20" t="s">
        <v>165</v>
      </c>
      <c r="M125" s="380">
        <v>2400</v>
      </c>
      <c r="N125" s="380"/>
      <c r="O125" s="380"/>
      <c r="P125" s="380"/>
      <c r="Q125" s="381">
        <v>211</v>
      </c>
      <c r="R125" s="381"/>
      <c r="S125" s="381"/>
      <c r="T125" s="381"/>
      <c r="U125" s="381"/>
      <c r="V125" s="382">
        <v>211</v>
      </c>
      <c r="W125" s="382">
        <v>0</v>
      </c>
      <c r="X125" s="381">
        <v>8.7916666666666671E-2</v>
      </c>
      <c r="Y125" s="381">
        <v>0</v>
      </c>
      <c r="Z125" s="381">
        <v>0</v>
      </c>
      <c r="AA125" s="381">
        <v>0</v>
      </c>
      <c r="AB125" s="381">
        <v>0</v>
      </c>
      <c r="AC125" s="382">
        <v>8.7916666666666671E-2</v>
      </c>
      <c r="AD125" s="382">
        <v>0</v>
      </c>
      <c r="AE125" s="381" t="s">
        <v>168</v>
      </c>
    </row>
    <row r="126" spans="1:31" ht="15" customHeight="1" x14ac:dyDescent="0.25">
      <c r="A126" s="20" t="s">
        <v>156</v>
      </c>
      <c r="B126" s="20" t="s">
        <v>157</v>
      </c>
      <c r="C126" s="20" t="s">
        <v>158</v>
      </c>
      <c r="D126" s="378" t="s">
        <v>408</v>
      </c>
      <c r="E126" s="379">
        <v>44620</v>
      </c>
      <c r="F126" s="379">
        <v>46446</v>
      </c>
      <c r="G126" s="378" t="s">
        <v>407</v>
      </c>
      <c r="H126" s="20" t="s">
        <v>393</v>
      </c>
      <c r="I126" s="20"/>
      <c r="J126" s="20" t="s">
        <v>163</v>
      </c>
      <c r="K126" s="378" t="s">
        <v>397</v>
      </c>
      <c r="L126" s="20" t="s">
        <v>165</v>
      </c>
      <c r="M126" s="380">
        <v>2400</v>
      </c>
      <c r="N126" s="380"/>
      <c r="O126" s="380"/>
      <c r="P126" s="380"/>
      <c r="Q126" s="381">
        <v>251</v>
      </c>
      <c r="R126" s="381"/>
      <c r="S126" s="381"/>
      <c r="T126" s="381"/>
      <c r="U126" s="381"/>
      <c r="V126" s="382">
        <v>251</v>
      </c>
      <c r="W126" s="382">
        <v>0</v>
      </c>
      <c r="X126" s="381">
        <v>0.10458333333333333</v>
      </c>
      <c r="Y126" s="381">
        <v>0</v>
      </c>
      <c r="Z126" s="381">
        <v>0</v>
      </c>
      <c r="AA126" s="381">
        <v>0</v>
      </c>
      <c r="AB126" s="381">
        <v>0</v>
      </c>
      <c r="AC126" s="382">
        <v>0.10458333333333333</v>
      </c>
      <c r="AD126" s="382">
        <v>0</v>
      </c>
      <c r="AE126" s="381" t="s">
        <v>168</v>
      </c>
    </row>
    <row r="127" spans="1:31" ht="15" customHeight="1" x14ac:dyDescent="0.25">
      <c r="A127" s="20" t="s">
        <v>156</v>
      </c>
      <c r="B127" s="20" t="s">
        <v>157</v>
      </c>
      <c r="C127" s="20" t="s">
        <v>158</v>
      </c>
      <c r="D127" s="378" t="s">
        <v>409</v>
      </c>
      <c r="E127" s="379">
        <v>44620</v>
      </c>
      <c r="F127" s="379">
        <v>46446</v>
      </c>
      <c r="G127" s="378" t="s">
        <v>320</v>
      </c>
      <c r="H127" s="20" t="s">
        <v>393</v>
      </c>
      <c r="I127" s="20"/>
      <c r="J127" s="20" t="s">
        <v>163</v>
      </c>
      <c r="K127" s="378" t="s">
        <v>397</v>
      </c>
      <c r="L127" s="20" t="s">
        <v>165</v>
      </c>
      <c r="M127" s="380">
        <v>2400</v>
      </c>
      <c r="N127" s="380"/>
      <c r="O127" s="380"/>
      <c r="P127" s="380"/>
      <c r="Q127" s="381">
        <v>222</v>
      </c>
      <c r="R127" s="381"/>
      <c r="S127" s="381"/>
      <c r="T127" s="381"/>
      <c r="U127" s="381"/>
      <c r="V127" s="382">
        <v>222</v>
      </c>
      <c r="W127" s="382">
        <v>0</v>
      </c>
      <c r="X127" s="381">
        <v>9.2499999999999999E-2</v>
      </c>
      <c r="Y127" s="381">
        <v>0</v>
      </c>
      <c r="Z127" s="381">
        <v>0</v>
      </c>
      <c r="AA127" s="381">
        <v>0</v>
      </c>
      <c r="AB127" s="381">
        <v>0</v>
      </c>
      <c r="AC127" s="382">
        <v>9.2499999999999999E-2</v>
      </c>
      <c r="AD127" s="382">
        <v>0</v>
      </c>
      <c r="AE127" s="381" t="s">
        <v>168</v>
      </c>
    </row>
    <row r="128" spans="1:31" ht="15" customHeight="1" x14ac:dyDescent="0.25">
      <c r="A128" s="20" t="s">
        <v>156</v>
      </c>
      <c r="B128" s="20" t="s">
        <v>157</v>
      </c>
      <c r="C128" s="20" t="s">
        <v>158</v>
      </c>
      <c r="D128" s="378" t="s">
        <v>410</v>
      </c>
      <c r="E128" s="379">
        <v>44620</v>
      </c>
      <c r="F128" s="379">
        <v>46446</v>
      </c>
      <c r="G128" s="378" t="s">
        <v>320</v>
      </c>
      <c r="H128" s="20" t="s">
        <v>393</v>
      </c>
      <c r="I128" s="20"/>
      <c r="J128" s="20" t="s">
        <v>163</v>
      </c>
      <c r="K128" s="378" t="s">
        <v>397</v>
      </c>
      <c r="L128" s="20" t="s">
        <v>165</v>
      </c>
      <c r="M128" s="380">
        <v>2400</v>
      </c>
      <c r="N128" s="380"/>
      <c r="O128" s="380"/>
      <c r="P128" s="380"/>
      <c r="Q128" s="381">
        <v>271</v>
      </c>
      <c r="R128" s="381"/>
      <c r="S128" s="381"/>
      <c r="T128" s="381"/>
      <c r="U128" s="381"/>
      <c r="V128" s="382">
        <v>271</v>
      </c>
      <c r="W128" s="382">
        <v>0</v>
      </c>
      <c r="X128" s="381">
        <v>0.11291666666666667</v>
      </c>
      <c r="Y128" s="381">
        <v>0</v>
      </c>
      <c r="Z128" s="381">
        <v>0</v>
      </c>
      <c r="AA128" s="381">
        <v>0</v>
      </c>
      <c r="AB128" s="381">
        <v>0</v>
      </c>
      <c r="AC128" s="382">
        <v>0.11291666666666667</v>
      </c>
      <c r="AD128" s="382">
        <v>0</v>
      </c>
      <c r="AE128" s="381" t="s">
        <v>168</v>
      </c>
    </row>
    <row r="129" spans="1:31" ht="15" customHeight="1" x14ac:dyDescent="0.25">
      <c r="A129" s="20" t="s">
        <v>156</v>
      </c>
      <c r="B129" s="20" t="s">
        <v>330</v>
      </c>
      <c r="C129" s="20" t="s">
        <v>158</v>
      </c>
      <c r="D129" s="378" t="s">
        <v>411</v>
      </c>
      <c r="E129" s="379">
        <v>45016</v>
      </c>
      <c r="F129" s="379">
        <v>46843</v>
      </c>
      <c r="G129" s="378" t="s">
        <v>281</v>
      </c>
      <c r="H129" s="20" t="s">
        <v>282</v>
      </c>
      <c r="I129" s="20" t="s">
        <v>162</v>
      </c>
      <c r="J129" s="20" t="s">
        <v>163</v>
      </c>
      <c r="K129" s="378" t="s">
        <v>283</v>
      </c>
      <c r="L129" s="20" t="s">
        <v>165</v>
      </c>
      <c r="M129" s="380">
        <v>2400</v>
      </c>
      <c r="N129" s="380"/>
      <c r="O129" s="380"/>
      <c r="P129" s="380"/>
      <c r="Q129" s="381">
        <v>183.55</v>
      </c>
      <c r="R129" s="381">
        <v>183.54</v>
      </c>
      <c r="S129" s="381">
        <v>9.4000000000000004E-3</v>
      </c>
      <c r="T129" s="381"/>
      <c r="U129" s="381"/>
      <c r="V129" s="382">
        <v>183.54939999999999</v>
      </c>
      <c r="W129" s="382">
        <v>0</v>
      </c>
      <c r="X129" s="381">
        <v>7.6479166666666668E-2</v>
      </c>
      <c r="Y129" s="381">
        <v>7.6475000000000001E-2</v>
      </c>
      <c r="Z129" s="381">
        <v>3.9166666666666667E-6</v>
      </c>
      <c r="AA129" s="381">
        <v>0</v>
      </c>
      <c r="AB129" s="381">
        <v>0</v>
      </c>
      <c r="AC129" s="382">
        <v>7.6478916666666674E-2</v>
      </c>
      <c r="AD129" s="382">
        <v>0</v>
      </c>
      <c r="AE129" s="381" t="s">
        <v>168</v>
      </c>
    </row>
    <row r="130" spans="1:31" ht="15" customHeight="1" x14ac:dyDescent="0.25">
      <c r="A130" s="20" t="s">
        <v>156</v>
      </c>
      <c r="B130" s="20" t="s">
        <v>157</v>
      </c>
      <c r="C130" s="20" t="s">
        <v>158</v>
      </c>
      <c r="D130" s="378" t="s">
        <v>412</v>
      </c>
      <c r="E130" s="379">
        <v>45016</v>
      </c>
      <c r="F130" s="379">
        <v>46843</v>
      </c>
      <c r="G130" s="378" t="s">
        <v>281</v>
      </c>
      <c r="H130" s="20" t="s">
        <v>282</v>
      </c>
      <c r="I130" s="20" t="s">
        <v>162</v>
      </c>
      <c r="J130" s="20" t="s">
        <v>163</v>
      </c>
      <c r="K130" s="378" t="s">
        <v>283</v>
      </c>
      <c r="L130" s="20" t="s">
        <v>165</v>
      </c>
      <c r="M130" s="380">
        <v>2400</v>
      </c>
      <c r="N130" s="380"/>
      <c r="O130" s="380"/>
      <c r="P130" s="380"/>
      <c r="Q130" s="381">
        <v>205.2</v>
      </c>
      <c r="R130" s="381">
        <v>205.17</v>
      </c>
      <c r="S130" s="381">
        <v>2.6200000000000001E-2</v>
      </c>
      <c r="T130" s="381"/>
      <c r="U130" s="381"/>
      <c r="V130" s="382">
        <v>205.19619999999998</v>
      </c>
      <c r="W130" s="382">
        <v>0</v>
      </c>
      <c r="X130" s="381">
        <v>8.5499999999999993E-2</v>
      </c>
      <c r="Y130" s="381">
        <v>8.5487499999999994E-2</v>
      </c>
      <c r="Z130" s="381">
        <v>1.0916666666666667E-5</v>
      </c>
      <c r="AA130" s="381">
        <v>0</v>
      </c>
      <c r="AB130" s="381">
        <v>0</v>
      </c>
      <c r="AC130" s="382">
        <v>8.549841666666666E-2</v>
      </c>
      <c r="AD130" s="382">
        <v>0</v>
      </c>
      <c r="AE130" s="381" t="s">
        <v>168</v>
      </c>
    </row>
    <row r="131" spans="1:31" ht="15" customHeight="1" x14ac:dyDescent="0.25">
      <c r="A131" s="20" t="s">
        <v>156</v>
      </c>
      <c r="B131" s="20" t="s">
        <v>157</v>
      </c>
      <c r="C131" s="20" t="s">
        <v>158</v>
      </c>
      <c r="D131" s="378" t="s">
        <v>413</v>
      </c>
      <c r="E131" s="379">
        <v>45016</v>
      </c>
      <c r="F131" s="379">
        <v>46843</v>
      </c>
      <c r="G131" s="378" t="s">
        <v>281</v>
      </c>
      <c r="H131" s="20" t="s">
        <v>282</v>
      </c>
      <c r="I131" s="20" t="s">
        <v>162</v>
      </c>
      <c r="J131" s="20" t="s">
        <v>163</v>
      </c>
      <c r="K131" s="378" t="s">
        <v>283</v>
      </c>
      <c r="L131" s="20" t="s">
        <v>165</v>
      </c>
      <c r="M131" s="380">
        <v>2400</v>
      </c>
      <c r="N131" s="380"/>
      <c r="O131" s="380"/>
      <c r="P131" s="380"/>
      <c r="Q131" s="381">
        <v>216.71</v>
      </c>
      <c r="R131" s="381">
        <v>216.69</v>
      </c>
      <c r="S131" s="381">
        <v>1.49E-2</v>
      </c>
      <c r="T131" s="381"/>
      <c r="U131" s="381"/>
      <c r="V131" s="382">
        <v>216.70490000000001</v>
      </c>
      <c r="W131" s="382">
        <v>0</v>
      </c>
      <c r="X131" s="381">
        <v>9.0295833333333339E-2</v>
      </c>
      <c r="Y131" s="381">
        <v>9.0287499999999993E-2</v>
      </c>
      <c r="Z131" s="381">
        <v>6.2083333333333337E-6</v>
      </c>
      <c r="AA131" s="381">
        <v>0</v>
      </c>
      <c r="AB131" s="381">
        <v>0</v>
      </c>
      <c r="AC131" s="382">
        <v>9.029370833333332E-2</v>
      </c>
      <c r="AD131" s="382">
        <v>0</v>
      </c>
      <c r="AE131" s="381" t="s">
        <v>168</v>
      </c>
    </row>
    <row r="132" spans="1:31" ht="15" customHeight="1" x14ac:dyDescent="0.25">
      <c r="A132" s="20" t="s">
        <v>156</v>
      </c>
      <c r="B132" s="20" t="s">
        <v>157</v>
      </c>
      <c r="C132" s="20" t="s">
        <v>158</v>
      </c>
      <c r="D132" s="378" t="s">
        <v>414</v>
      </c>
      <c r="E132" s="379">
        <v>45016</v>
      </c>
      <c r="F132" s="379">
        <v>46843</v>
      </c>
      <c r="G132" s="378" t="s">
        <v>281</v>
      </c>
      <c r="H132" s="20" t="s">
        <v>282</v>
      </c>
      <c r="I132" s="20" t="s">
        <v>162</v>
      </c>
      <c r="J132" s="20" t="s">
        <v>163</v>
      </c>
      <c r="K132" s="378" t="s">
        <v>283</v>
      </c>
      <c r="L132" s="20" t="s">
        <v>165</v>
      </c>
      <c r="M132" s="380">
        <v>2400</v>
      </c>
      <c r="N132" s="380"/>
      <c r="O132" s="380"/>
      <c r="P132" s="380"/>
      <c r="Q132" s="381">
        <v>216.66</v>
      </c>
      <c r="R132" s="381">
        <v>216.64</v>
      </c>
      <c r="S132" s="381">
        <v>1.32E-2</v>
      </c>
      <c r="T132" s="381"/>
      <c r="U132" s="381"/>
      <c r="V132" s="382">
        <v>216.6532</v>
      </c>
      <c r="W132" s="382">
        <v>0</v>
      </c>
      <c r="X132" s="381">
        <v>9.0274999999999994E-2</v>
      </c>
      <c r="Y132" s="381">
        <v>9.0266666666666662E-2</v>
      </c>
      <c r="Z132" s="381">
        <v>5.4999999999999999E-6</v>
      </c>
      <c r="AA132" s="381">
        <v>0</v>
      </c>
      <c r="AB132" s="381">
        <v>0</v>
      </c>
      <c r="AC132" s="382">
        <v>9.0272166666666667E-2</v>
      </c>
      <c r="AD132" s="382">
        <v>0</v>
      </c>
      <c r="AE132" s="381" t="s">
        <v>168</v>
      </c>
    </row>
    <row r="133" spans="1:31" ht="15" customHeight="1" x14ac:dyDescent="0.25">
      <c r="A133" s="20" t="s">
        <v>156</v>
      </c>
      <c r="B133" s="20" t="s">
        <v>157</v>
      </c>
      <c r="C133" s="20" t="s">
        <v>158</v>
      </c>
      <c r="D133" s="378" t="s">
        <v>415</v>
      </c>
      <c r="E133" s="379">
        <v>45016</v>
      </c>
      <c r="F133" s="379">
        <v>46843</v>
      </c>
      <c r="G133" s="378" t="s">
        <v>160</v>
      </c>
      <c r="H133" s="20" t="s">
        <v>416</v>
      </c>
      <c r="I133" s="20" t="s">
        <v>162</v>
      </c>
      <c r="J133" s="20" t="s">
        <v>163</v>
      </c>
      <c r="K133" s="378" t="s">
        <v>417</v>
      </c>
      <c r="L133" s="20" t="s">
        <v>165</v>
      </c>
      <c r="M133" s="380">
        <v>2400</v>
      </c>
      <c r="N133" s="380"/>
      <c r="O133" s="380"/>
      <c r="P133" s="380"/>
      <c r="Q133" s="381">
        <v>199.92</v>
      </c>
      <c r="R133" s="381">
        <v>199.88</v>
      </c>
      <c r="S133" s="381">
        <v>0.03</v>
      </c>
      <c r="T133" s="381"/>
      <c r="U133" s="381"/>
      <c r="V133" s="382">
        <v>199.91</v>
      </c>
      <c r="W133" s="382">
        <v>0</v>
      </c>
      <c r="X133" s="381">
        <v>8.3299999999999999E-2</v>
      </c>
      <c r="Y133" s="381">
        <v>8.3283333333333334E-2</v>
      </c>
      <c r="Z133" s="381">
        <v>1.2499999999999999E-5</v>
      </c>
      <c r="AA133" s="381">
        <v>0</v>
      </c>
      <c r="AB133" s="381">
        <v>0</v>
      </c>
      <c r="AC133" s="382">
        <v>8.3295833333333333E-2</v>
      </c>
      <c r="AD133" s="382">
        <v>0</v>
      </c>
      <c r="AE133" s="381" t="s">
        <v>168</v>
      </c>
    </row>
    <row r="134" spans="1:31" ht="15" customHeight="1" x14ac:dyDescent="0.25">
      <c r="A134" s="20" t="s">
        <v>156</v>
      </c>
      <c r="B134" s="20" t="s">
        <v>157</v>
      </c>
      <c r="C134" s="20" t="s">
        <v>158</v>
      </c>
      <c r="D134" s="378" t="s">
        <v>418</v>
      </c>
      <c r="E134" s="379">
        <v>45016</v>
      </c>
      <c r="F134" s="379">
        <v>46843</v>
      </c>
      <c r="G134" s="378" t="s">
        <v>160</v>
      </c>
      <c r="H134" s="20" t="s">
        <v>416</v>
      </c>
      <c r="I134" s="20" t="s">
        <v>162</v>
      </c>
      <c r="J134" s="20" t="s">
        <v>163</v>
      </c>
      <c r="K134" s="378" t="s">
        <v>417</v>
      </c>
      <c r="L134" s="20" t="s">
        <v>165</v>
      </c>
      <c r="M134" s="380">
        <v>2400</v>
      </c>
      <c r="N134" s="380"/>
      <c r="O134" s="380"/>
      <c r="P134" s="380"/>
      <c r="Q134" s="381">
        <v>162.69999999999999</v>
      </c>
      <c r="R134" s="381">
        <v>162.66999999999999</v>
      </c>
      <c r="S134" s="381">
        <v>0.02</v>
      </c>
      <c r="T134" s="381"/>
      <c r="U134" s="381"/>
      <c r="V134" s="382">
        <v>162.69</v>
      </c>
      <c r="W134" s="382">
        <v>0</v>
      </c>
      <c r="X134" s="381">
        <v>6.7791666666666667E-2</v>
      </c>
      <c r="Y134" s="381">
        <v>6.7779166666666668E-2</v>
      </c>
      <c r="Z134" s="381">
        <v>8.3333333333333337E-6</v>
      </c>
      <c r="AA134" s="381">
        <v>0</v>
      </c>
      <c r="AB134" s="381">
        <v>0</v>
      </c>
      <c r="AC134" s="382">
        <v>6.7787500000000001E-2</v>
      </c>
      <c r="AD134" s="382">
        <v>0</v>
      </c>
      <c r="AE134" s="381" t="s">
        <v>168</v>
      </c>
    </row>
    <row r="135" spans="1:31" ht="15" customHeight="1" x14ac:dyDescent="0.25">
      <c r="A135" s="20" t="s">
        <v>156</v>
      </c>
      <c r="B135" s="20" t="s">
        <v>157</v>
      </c>
      <c r="C135" s="20" t="s">
        <v>158</v>
      </c>
      <c r="D135" s="378" t="s">
        <v>419</v>
      </c>
      <c r="E135" s="379">
        <v>45016</v>
      </c>
      <c r="F135" s="379">
        <v>46843</v>
      </c>
      <c r="G135" s="378" t="s">
        <v>160</v>
      </c>
      <c r="H135" s="20" t="s">
        <v>416</v>
      </c>
      <c r="I135" s="20" t="s">
        <v>162</v>
      </c>
      <c r="J135" s="20" t="s">
        <v>163</v>
      </c>
      <c r="K135" s="378" t="s">
        <v>417</v>
      </c>
      <c r="L135" s="20" t="s">
        <v>165</v>
      </c>
      <c r="M135" s="380">
        <v>2400</v>
      </c>
      <c r="N135" s="380"/>
      <c r="O135" s="380"/>
      <c r="P135" s="380"/>
      <c r="Q135" s="381">
        <v>158.13</v>
      </c>
      <c r="R135" s="381">
        <v>158.09</v>
      </c>
      <c r="S135" s="381">
        <v>0.03</v>
      </c>
      <c r="T135" s="381"/>
      <c r="U135" s="381"/>
      <c r="V135" s="382">
        <v>158.12</v>
      </c>
      <c r="W135" s="382">
        <v>0</v>
      </c>
      <c r="X135" s="381">
        <v>6.5887500000000002E-2</v>
      </c>
      <c r="Y135" s="381">
        <v>6.5870833333333337E-2</v>
      </c>
      <c r="Z135" s="381">
        <v>1.2499999999999999E-5</v>
      </c>
      <c r="AA135" s="381">
        <v>0</v>
      </c>
      <c r="AB135" s="381">
        <v>0</v>
      </c>
      <c r="AC135" s="382">
        <v>6.5883333333333335E-2</v>
      </c>
      <c r="AD135" s="382">
        <v>0</v>
      </c>
      <c r="AE135" s="381" t="s">
        <v>168</v>
      </c>
    </row>
    <row r="136" spans="1:31" ht="15" customHeight="1" x14ac:dyDescent="0.25">
      <c r="A136" s="20" t="s">
        <v>156</v>
      </c>
      <c r="B136" s="20" t="s">
        <v>330</v>
      </c>
      <c r="C136" s="20" t="s">
        <v>158</v>
      </c>
      <c r="D136" s="378" t="s">
        <v>420</v>
      </c>
      <c r="E136" s="379">
        <v>45016</v>
      </c>
      <c r="F136" s="379">
        <v>46843</v>
      </c>
      <c r="G136" s="378" t="s">
        <v>281</v>
      </c>
      <c r="H136" s="20" t="s">
        <v>282</v>
      </c>
      <c r="I136" s="20" t="s">
        <v>162</v>
      </c>
      <c r="J136" s="20" t="s">
        <v>163</v>
      </c>
      <c r="K136" s="378" t="s">
        <v>283</v>
      </c>
      <c r="L136" s="20" t="s">
        <v>165</v>
      </c>
      <c r="M136" s="380">
        <v>2400</v>
      </c>
      <c r="N136" s="380"/>
      <c r="O136" s="380"/>
      <c r="P136" s="380"/>
      <c r="Q136" s="381">
        <v>180.42</v>
      </c>
      <c r="R136" s="381">
        <v>180.4</v>
      </c>
      <c r="S136" s="381">
        <v>8.4200000000000004E-3</v>
      </c>
      <c r="T136" s="381"/>
      <c r="U136" s="381"/>
      <c r="V136" s="382">
        <v>180.40842000000001</v>
      </c>
      <c r="W136" s="382">
        <v>0</v>
      </c>
      <c r="X136" s="381">
        <v>7.5174999999999992E-2</v>
      </c>
      <c r="Y136" s="381">
        <v>7.5166666666666673E-2</v>
      </c>
      <c r="Z136" s="381">
        <v>3.5083333333333333E-6</v>
      </c>
      <c r="AA136" s="381">
        <v>0</v>
      </c>
      <c r="AB136" s="381">
        <v>0</v>
      </c>
      <c r="AC136" s="382">
        <v>7.5170175000000006E-2</v>
      </c>
      <c r="AD136" s="382">
        <v>0</v>
      </c>
      <c r="AE136" s="381" t="s">
        <v>168</v>
      </c>
    </row>
    <row r="137" spans="1:31" ht="15" customHeight="1" x14ac:dyDescent="0.25">
      <c r="A137" s="20" t="s">
        <v>156</v>
      </c>
      <c r="B137" s="20" t="s">
        <v>157</v>
      </c>
      <c r="C137" s="20" t="s">
        <v>158</v>
      </c>
      <c r="D137" s="378" t="s">
        <v>421</v>
      </c>
      <c r="E137" s="379">
        <v>45016</v>
      </c>
      <c r="F137" s="379">
        <v>46843</v>
      </c>
      <c r="G137" s="378" t="s">
        <v>281</v>
      </c>
      <c r="H137" s="20" t="s">
        <v>282</v>
      </c>
      <c r="I137" s="20" t="s">
        <v>162</v>
      </c>
      <c r="J137" s="20" t="s">
        <v>163</v>
      </c>
      <c r="K137" s="378" t="s">
        <v>283</v>
      </c>
      <c r="L137" s="20" t="s">
        <v>165</v>
      </c>
      <c r="M137" s="380">
        <v>2400</v>
      </c>
      <c r="N137" s="380"/>
      <c r="O137" s="380"/>
      <c r="P137" s="380"/>
      <c r="Q137" s="381">
        <v>211.2</v>
      </c>
      <c r="R137" s="381">
        <v>211.17</v>
      </c>
      <c r="S137" s="381">
        <v>1.44E-2</v>
      </c>
      <c r="T137" s="381"/>
      <c r="U137" s="381"/>
      <c r="V137" s="382">
        <v>211.18439999999998</v>
      </c>
      <c r="W137" s="382">
        <v>0</v>
      </c>
      <c r="X137" s="381">
        <v>8.7999999999999995E-2</v>
      </c>
      <c r="Y137" s="381">
        <v>8.7987499999999996E-2</v>
      </c>
      <c r="Z137" s="381">
        <v>6.0000000000000002E-6</v>
      </c>
      <c r="AA137" s="381">
        <v>0</v>
      </c>
      <c r="AB137" s="381">
        <v>0</v>
      </c>
      <c r="AC137" s="382">
        <v>8.7993500000000002E-2</v>
      </c>
      <c r="AD137" s="382">
        <v>0</v>
      </c>
      <c r="AE137" s="381" t="s">
        <v>168</v>
      </c>
    </row>
    <row r="138" spans="1:31" ht="15" customHeight="1" x14ac:dyDescent="0.25">
      <c r="A138" s="20" t="s">
        <v>156</v>
      </c>
      <c r="B138" s="20" t="s">
        <v>157</v>
      </c>
      <c r="C138" s="20" t="s">
        <v>158</v>
      </c>
      <c r="D138" s="378" t="s">
        <v>422</v>
      </c>
      <c r="E138" s="379">
        <v>44910</v>
      </c>
      <c r="F138" s="379">
        <v>46736</v>
      </c>
      <c r="G138" s="378" t="s">
        <v>173</v>
      </c>
      <c r="H138" s="20" t="s">
        <v>174</v>
      </c>
      <c r="I138" s="20" t="s">
        <v>162</v>
      </c>
      <c r="J138" s="20" t="s">
        <v>163</v>
      </c>
      <c r="K138" s="378" t="s">
        <v>175</v>
      </c>
      <c r="L138" s="20" t="s">
        <v>165</v>
      </c>
      <c r="M138" s="380">
        <v>2400</v>
      </c>
      <c r="N138" s="380"/>
      <c r="O138" s="380"/>
      <c r="P138" s="380"/>
      <c r="Q138" s="381">
        <v>288</v>
      </c>
      <c r="R138" s="381">
        <v>284</v>
      </c>
      <c r="S138" s="381">
        <v>3.5</v>
      </c>
      <c r="T138" s="381"/>
      <c r="U138" s="381"/>
      <c r="V138" s="382">
        <v>287.5</v>
      </c>
      <c r="W138" s="382">
        <v>0</v>
      </c>
      <c r="X138" s="381">
        <v>0.12</v>
      </c>
      <c r="Y138" s="381">
        <v>0.11833333333333333</v>
      </c>
      <c r="Z138" s="381">
        <v>1.4583333333333334E-3</v>
      </c>
      <c r="AA138" s="381">
        <v>0</v>
      </c>
      <c r="AB138" s="381">
        <v>0</v>
      </c>
      <c r="AC138" s="382">
        <v>0.11979166666666667</v>
      </c>
      <c r="AD138" s="382">
        <v>0</v>
      </c>
      <c r="AE138" s="381" t="s">
        <v>168</v>
      </c>
    </row>
    <row r="139" spans="1:31" ht="15" customHeight="1" x14ac:dyDescent="0.25">
      <c r="A139" s="20" t="s">
        <v>156</v>
      </c>
      <c r="B139" s="20" t="s">
        <v>157</v>
      </c>
      <c r="C139" s="20" t="s">
        <v>158</v>
      </c>
      <c r="D139" s="378" t="s">
        <v>423</v>
      </c>
      <c r="E139" s="379">
        <v>44573</v>
      </c>
      <c r="F139" s="379">
        <v>46656</v>
      </c>
      <c r="G139" s="378" t="s">
        <v>179</v>
      </c>
      <c r="H139" s="20" t="s">
        <v>180</v>
      </c>
      <c r="I139" s="20" t="s">
        <v>162</v>
      </c>
      <c r="J139" s="20" t="s">
        <v>163</v>
      </c>
      <c r="K139" s="378" t="s">
        <v>181</v>
      </c>
      <c r="L139" s="20" t="s">
        <v>165</v>
      </c>
      <c r="M139" s="380">
        <v>2400</v>
      </c>
      <c r="N139" s="380"/>
      <c r="O139" s="380"/>
      <c r="P139" s="380"/>
      <c r="Q139" s="381" t="s">
        <v>424</v>
      </c>
      <c r="R139" s="381" t="s">
        <v>425</v>
      </c>
      <c r="S139" s="381" t="s">
        <v>167</v>
      </c>
      <c r="T139" s="381"/>
      <c r="U139" s="381"/>
      <c r="V139" s="382">
        <v>210.41</v>
      </c>
      <c r="W139" s="382">
        <v>0</v>
      </c>
      <c r="X139" s="381">
        <v>8.7916666666666671E-2</v>
      </c>
      <c r="Y139" s="381">
        <v>8.7499999999999994E-2</v>
      </c>
      <c r="Z139" s="381">
        <v>1.7083333333333333E-4</v>
      </c>
      <c r="AA139" s="381">
        <v>0</v>
      </c>
      <c r="AB139" s="381">
        <v>0</v>
      </c>
      <c r="AC139" s="382">
        <v>8.7670833333333323E-2</v>
      </c>
      <c r="AD139" s="382">
        <v>0</v>
      </c>
      <c r="AE139" s="381" t="s">
        <v>168</v>
      </c>
    </row>
    <row r="140" spans="1:31" ht="15" customHeight="1" x14ac:dyDescent="0.25">
      <c r="A140" s="20" t="s">
        <v>156</v>
      </c>
      <c r="B140" s="20" t="s">
        <v>157</v>
      </c>
      <c r="C140" s="20" t="s">
        <v>158</v>
      </c>
      <c r="D140" s="378" t="s">
        <v>426</v>
      </c>
      <c r="E140" s="379">
        <v>45016</v>
      </c>
      <c r="F140" s="379">
        <v>46843</v>
      </c>
      <c r="G140" s="378" t="s">
        <v>193</v>
      </c>
      <c r="H140" s="20" t="s">
        <v>194</v>
      </c>
      <c r="I140" s="20" t="s">
        <v>162</v>
      </c>
      <c r="J140" s="20" t="s">
        <v>163</v>
      </c>
      <c r="K140" s="378" t="s">
        <v>195</v>
      </c>
      <c r="L140" s="20" t="s">
        <v>165</v>
      </c>
      <c r="M140" s="380">
        <v>2400</v>
      </c>
      <c r="N140" s="380"/>
      <c r="O140" s="380"/>
      <c r="P140" s="380"/>
      <c r="Q140" s="381">
        <v>233</v>
      </c>
      <c r="R140" s="381">
        <v>232</v>
      </c>
      <c r="S140" s="381">
        <v>0.22800000000000001</v>
      </c>
      <c r="T140" s="381"/>
      <c r="U140" s="381"/>
      <c r="V140" s="382">
        <v>232.22800000000001</v>
      </c>
      <c r="W140" s="382">
        <v>0</v>
      </c>
      <c r="X140" s="381">
        <v>9.7083333333333327E-2</v>
      </c>
      <c r="Y140" s="381">
        <v>9.6666666666666665E-2</v>
      </c>
      <c r="Z140" s="381">
        <v>9.5000000000000005E-5</v>
      </c>
      <c r="AA140" s="381">
        <v>0</v>
      </c>
      <c r="AB140" s="381">
        <v>0</v>
      </c>
      <c r="AC140" s="382">
        <v>9.6761666666666662E-2</v>
      </c>
      <c r="AD140" s="382">
        <v>0</v>
      </c>
      <c r="AE140" s="381" t="s">
        <v>168</v>
      </c>
    </row>
    <row r="141" spans="1:31" ht="15" customHeight="1" x14ac:dyDescent="0.25">
      <c r="A141" s="20" t="s">
        <v>156</v>
      </c>
      <c r="B141" s="20" t="s">
        <v>157</v>
      </c>
      <c r="C141" s="20" t="s">
        <v>158</v>
      </c>
      <c r="D141" s="378" t="s">
        <v>427</v>
      </c>
      <c r="E141" s="379">
        <v>45016</v>
      </c>
      <c r="F141" s="379">
        <v>46843</v>
      </c>
      <c r="G141" s="378" t="s">
        <v>215</v>
      </c>
      <c r="H141" s="20" t="s">
        <v>216</v>
      </c>
      <c r="I141" s="20" t="s">
        <v>162</v>
      </c>
      <c r="J141" s="20" t="s">
        <v>163</v>
      </c>
      <c r="K141" s="378" t="s">
        <v>217</v>
      </c>
      <c r="L141" s="20" t="s">
        <v>165</v>
      </c>
      <c r="M141" s="380">
        <v>2400</v>
      </c>
      <c r="N141" s="380"/>
      <c r="O141" s="380"/>
      <c r="P141" s="380"/>
      <c r="Q141" s="381">
        <v>274</v>
      </c>
      <c r="R141" s="381">
        <v>273</v>
      </c>
      <c r="S141" s="381">
        <v>8.5699999999999998E-2</v>
      </c>
      <c r="T141" s="381"/>
      <c r="U141" s="381"/>
      <c r="V141" s="382">
        <v>273.08569999999997</v>
      </c>
      <c r="W141" s="382">
        <v>0</v>
      </c>
      <c r="X141" s="381">
        <v>0.11416666666666667</v>
      </c>
      <c r="Y141" s="381">
        <v>0.11375</v>
      </c>
      <c r="Z141" s="381">
        <v>3.5708333333333332E-5</v>
      </c>
      <c r="AA141" s="381">
        <v>0</v>
      </c>
      <c r="AB141" s="381">
        <v>0</v>
      </c>
      <c r="AC141" s="382">
        <v>0.11378570833333333</v>
      </c>
      <c r="AD141" s="382">
        <v>0</v>
      </c>
      <c r="AE141" s="381" t="s">
        <v>168</v>
      </c>
    </row>
    <row r="142" spans="1:31" ht="15" customHeight="1" x14ac:dyDescent="0.25">
      <c r="A142" s="20" t="s">
        <v>156</v>
      </c>
      <c r="B142" s="20" t="s">
        <v>157</v>
      </c>
      <c r="C142" s="20" t="s">
        <v>158</v>
      </c>
      <c r="D142" s="378" t="s">
        <v>428</v>
      </c>
      <c r="E142" s="379">
        <v>45016</v>
      </c>
      <c r="F142" s="379">
        <v>46843</v>
      </c>
      <c r="G142" s="378" t="s">
        <v>193</v>
      </c>
      <c r="H142" s="20" t="s">
        <v>194</v>
      </c>
      <c r="I142" s="20" t="s">
        <v>162</v>
      </c>
      <c r="J142" s="20" t="s">
        <v>163</v>
      </c>
      <c r="K142" s="378" t="s">
        <v>195</v>
      </c>
      <c r="L142" s="20" t="s">
        <v>165</v>
      </c>
      <c r="M142" s="380">
        <v>2400</v>
      </c>
      <c r="N142" s="380"/>
      <c r="O142" s="380"/>
      <c r="P142" s="380"/>
      <c r="Q142" s="381">
        <v>233</v>
      </c>
      <c r="R142" s="381">
        <v>232</v>
      </c>
      <c r="S142" s="381">
        <v>0.219</v>
      </c>
      <c r="T142" s="381"/>
      <c r="U142" s="381"/>
      <c r="V142" s="382">
        <v>232.21899999999999</v>
      </c>
      <c r="W142" s="382">
        <v>0</v>
      </c>
      <c r="X142" s="381">
        <v>9.7083333333333327E-2</v>
      </c>
      <c r="Y142" s="381">
        <v>9.6666666666666665E-2</v>
      </c>
      <c r="Z142" s="381">
        <v>9.1249999999999995E-5</v>
      </c>
      <c r="AA142" s="381">
        <v>0</v>
      </c>
      <c r="AB142" s="381">
        <v>0</v>
      </c>
      <c r="AC142" s="382">
        <v>9.6757916666666666E-2</v>
      </c>
      <c r="AD142" s="382">
        <v>0</v>
      </c>
      <c r="AE142" s="381" t="s">
        <v>168</v>
      </c>
    </row>
    <row r="143" spans="1:31" ht="15" customHeight="1" x14ac:dyDescent="0.25">
      <c r="A143" s="20" t="s">
        <v>156</v>
      </c>
      <c r="B143" s="20" t="s">
        <v>157</v>
      </c>
      <c r="C143" s="20" t="s">
        <v>158</v>
      </c>
      <c r="D143" s="378" t="s">
        <v>429</v>
      </c>
      <c r="E143" s="379">
        <v>44588</v>
      </c>
      <c r="F143" s="379">
        <v>46414</v>
      </c>
      <c r="G143" s="378" t="s">
        <v>160</v>
      </c>
      <c r="H143" s="20" t="s">
        <v>161</v>
      </c>
      <c r="I143" s="20" t="s">
        <v>162</v>
      </c>
      <c r="J143" s="20" t="s">
        <v>163</v>
      </c>
      <c r="K143" s="378" t="s">
        <v>164</v>
      </c>
      <c r="L143" s="20" t="s">
        <v>165</v>
      </c>
      <c r="M143" s="380">
        <v>2400</v>
      </c>
      <c r="N143" s="380"/>
      <c r="O143" s="380"/>
      <c r="P143" s="380"/>
      <c r="Q143" s="381" t="s">
        <v>265</v>
      </c>
      <c r="R143" s="381">
        <v>195</v>
      </c>
      <c r="S143" s="381" t="s">
        <v>171</v>
      </c>
      <c r="T143" s="381"/>
      <c r="U143" s="381"/>
      <c r="V143" s="382">
        <v>195.31</v>
      </c>
      <c r="W143" s="382">
        <v>0</v>
      </c>
      <c r="X143" s="381">
        <v>8.1666666666666665E-2</v>
      </c>
      <c r="Y143" s="381">
        <v>8.1250000000000003E-2</v>
      </c>
      <c r="Z143" s="381">
        <v>1.2916666666666667E-4</v>
      </c>
      <c r="AA143" s="381">
        <v>0</v>
      </c>
      <c r="AB143" s="381">
        <v>0</v>
      </c>
      <c r="AC143" s="382">
        <v>8.1379166666666669E-2</v>
      </c>
      <c r="AD143" s="382">
        <v>0</v>
      </c>
      <c r="AE143" s="381" t="s">
        <v>168</v>
      </c>
    </row>
    <row r="144" spans="1:31" ht="15" customHeight="1" x14ac:dyDescent="0.25">
      <c r="A144" s="20" t="s">
        <v>156</v>
      </c>
      <c r="B144" s="20" t="s">
        <v>157</v>
      </c>
      <c r="C144" s="20" t="s">
        <v>158</v>
      </c>
      <c r="D144" s="378" t="s">
        <v>430</v>
      </c>
      <c r="E144" s="379">
        <v>44573</v>
      </c>
      <c r="F144" s="379">
        <v>46656</v>
      </c>
      <c r="G144" s="378" t="s">
        <v>179</v>
      </c>
      <c r="H144" s="20" t="s">
        <v>180</v>
      </c>
      <c r="I144" s="20" t="s">
        <v>162</v>
      </c>
      <c r="J144" s="20" t="s">
        <v>163</v>
      </c>
      <c r="K144" s="378" t="s">
        <v>181</v>
      </c>
      <c r="L144" s="20" t="s">
        <v>165</v>
      </c>
      <c r="M144" s="380">
        <v>2400</v>
      </c>
      <c r="N144" s="380"/>
      <c r="O144" s="380"/>
      <c r="P144" s="380"/>
      <c r="Q144" s="381" t="s">
        <v>270</v>
      </c>
      <c r="R144" s="381" t="s">
        <v>265</v>
      </c>
      <c r="S144" s="381" t="s">
        <v>183</v>
      </c>
      <c r="T144" s="381"/>
      <c r="U144" s="381"/>
      <c r="V144" s="382">
        <v>196.26</v>
      </c>
      <c r="W144" s="382">
        <v>0</v>
      </c>
      <c r="X144" s="381">
        <v>8.2083333333333328E-2</v>
      </c>
      <c r="Y144" s="381">
        <v>8.1666666666666665E-2</v>
      </c>
      <c r="Z144" s="381">
        <v>1.0833333333333334E-4</v>
      </c>
      <c r="AA144" s="381">
        <v>0</v>
      </c>
      <c r="AB144" s="381">
        <v>0</v>
      </c>
      <c r="AC144" s="382">
        <v>8.1775E-2</v>
      </c>
      <c r="AD144" s="382">
        <v>0</v>
      </c>
      <c r="AE144" s="381" t="s">
        <v>168</v>
      </c>
    </row>
    <row r="145" spans="1:31" ht="15" customHeight="1" x14ac:dyDescent="0.25">
      <c r="A145" s="20" t="s">
        <v>156</v>
      </c>
      <c r="B145" s="20" t="s">
        <v>157</v>
      </c>
      <c r="C145" s="20" t="s">
        <v>158</v>
      </c>
      <c r="D145" s="378" t="s">
        <v>431</v>
      </c>
      <c r="E145" s="379">
        <v>44581</v>
      </c>
      <c r="F145" s="379">
        <v>46407</v>
      </c>
      <c r="G145" s="378" t="s">
        <v>237</v>
      </c>
      <c r="H145" s="20" t="s">
        <v>238</v>
      </c>
      <c r="I145" s="20" t="s">
        <v>162</v>
      </c>
      <c r="J145" s="20" t="s">
        <v>163</v>
      </c>
      <c r="K145" s="378" t="s">
        <v>239</v>
      </c>
      <c r="L145" s="20" t="s">
        <v>165</v>
      </c>
      <c r="M145" s="380">
        <v>2400</v>
      </c>
      <c r="N145" s="380"/>
      <c r="O145" s="380"/>
      <c r="P145" s="380"/>
      <c r="Q145" s="381" t="s">
        <v>425</v>
      </c>
      <c r="R145" s="381" t="s">
        <v>432</v>
      </c>
      <c r="S145" s="381" t="s">
        <v>189</v>
      </c>
      <c r="T145" s="381"/>
      <c r="U145" s="381"/>
      <c r="V145" s="382">
        <v>209.16</v>
      </c>
      <c r="W145" s="382">
        <v>0</v>
      </c>
      <c r="X145" s="381">
        <v>8.7499999999999994E-2</v>
      </c>
      <c r="Y145" s="381">
        <v>8.7083333333333332E-2</v>
      </c>
      <c r="Z145" s="381">
        <v>6.666666666666667E-5</v>
      </c>
      <c r="AA145" s="381">
        <v>0</v>
      </c>
      <c r="AB145" s="381">
        <v>0</v>
      </c>
      <c r="AC145" s="382">
        <v>8.7150000000000005E-2</v>
      </c>
      <c r="AD145" s="382">
        <v>0</v>
      </c>
      <c r="AE145" s="381" t="s">
        <v>168</v>
      </c>
    </row>
    <row r="146" spans="1:31" ht="15" customHeight="1" x14ac:dyDescent="0.25">
      <c r="A146" s="20" t="s">
        <v>156</v>
      </c>
      <c r="B146" s="20" t="s">
        <v>157</v>
      </c>
      <c r="C146" s="20" t="s">
        <v>158</v>
      </c>
      <c r="D146" s="378" t="s">
        <v>433</v>
      </c>
      <c r="E146" s="379">
        <v>45016</v>
      </c>
      <c r="F146" s="379">
        <v>46843</v>
      </c>
      <c r="G146" s="378" t="s">
        <v>193</v>
      </c>
      <c r="H146" s="20" t="s">
        <v>194</v>
      </c>
      <c r="I146" s="20" t="s">
        <v>162</v>
      </c>
      <c r="J146" s="20" t="s">
        <v>163</v>
      </c>
      <c r="K146" s="378" t="s">
        <v>195</v>
      </c>
      <c r="L146" s="20" t="s">
        <v>165</v>
      </c>
      <c r="M146" s="380">
        <v>2400</v>
      </c>
      <c r="N146" s="380"/>
      <c r="O146" s="380"/>
      <c r="P146" s="380"/>
      <c r="Q146" s="381">
        <v>189</v>
      </c>
      <c r="R146" s="381">
        <v>188</v>
      </c>
      <c r="S146" s="381">
        <v>0.157</v>
      </c>
      <c r="T146" s="381"/>
      <c r="U146" s="381"/>
      <c r="V146" s="382">
        <v>188.15700000000001</v>
      </c>
      <c r="W146" s="382">
        <v>0</v>
      </c>
      <c r="X146" s="381">
        <v>7.8750000000000001E-2</v>
      </c>
      <c r="Y146" s="381">
        <v>7.8333333333333338E-2</v>
      </c>
      <c r="Z146" s="381">
        <v>6.5416666666666667E-5</v>
      </c>
      <c r="AA146" s="381">
        <v>0</v>
      </c>
      <c r="AB146" s="381">
        <v>0</v>
      </c>
      <c r="AC146" s="382">
        <v>7.8398750000000003E-2</v>
      </c>
      <c r="AD146" s="382">
        <v>0</v>
      </c>
      <c r="AE146" s="381" t="s">
        <v>168</v>
      </c>
    </row>
    <row r="147" spans="1:31" ht="15" customHeight="1" x14ac:dyDescent="0.25">
      <c r="A147" s="20" t="s">
        <v>156</v>
      </c>
      <c r="B147" s="20" t="s">
        <v>157</v>
      </c>
      <c r="C147" s="20" t="s">
        <v>158</v>
      </c>
      <c r="D147" s="378" t="s">
        <v>434</v>
      </c>
      <c r="E147" s="379">
        <v>45038</v>
      </c>
      <c r="F147" s="379">
        <v>46865</v>
      </c>
      <c r="G147" s="383" t="s">
        <v>193</v>
      </c>
      <c r="H147" s="20" t="s">
        <v>229</v>
      </c>
      <c r="I147" s="20" t="s">
        <v>162</v>
      </c>
      <c r="J147" s="20" t="s">
        <v>163</v>
      </c>
      <c r="K147" s="378" t="s">
        <v>230</v>
      </c>
      <c r="L147" s="20" t="s">
        <v>165</v>
      </c>
      <c r="M147" s="380">
        <v>2400</v>
      </c>
      <c r="N147" s="380"/>
      <c r="O147" s="380"/>
      <c r="P147" s="380"/>
      <c r="Q147" s="381" t="s">
        <v>199</v>
      </c>
      <c r="R147" s="381" t="s">
        <v>253</v>
      </c>
      <c r="S147" s="381" t="s">
        <v>223</v>
      </c>
      <c r="T147" s="381"/>
      <c r="U147" s="381"/>
      <c r="V147" s="382">
        <v>156.11000000000001</v>
      </c>
      <c r="W147" s="382">
        <v>0</v>
      </c>
      <c r="X147" s="381">
        <v>6.5416666666666665E-2</v>
      </c>
      <c r="Y147" s="381">
        <v>6.5000000000000002E-2</v>
      </c>
      <c r="Z147" s="381">
        <v>4.5833333333333334E-5</v>
      </c>
      <c r="AA147" s="381">
        <v>0</v>
      </c>
      <c r="AB147" s="381">
        <v>0</v>
      </c>
      <c r="AC147" s="382">
        <v>6.5045833333333331E-2</v>
      </c>
      <c r="AD147" s="382">
        <v>0</v>
      </c>
      <c r="AE147" s="381" t="s">
        <v>168</v>
      </c>
    </row>
    <row r="148" spans="1:31" ht="15" customHeight="1" x14ac:dyDescent="0.25">
      <c r="A148" s="20" t="s">
        <v>156</v>
      </c>
      <c r="B148" s="20" t="s">
        <v>157</v>
      </c>
      <c r="C148" s="20" t="s">
        <v>158</v>
      </c>
      <c r="D148" s="378" t="s">
        <v>435</v>
      </c>
      <c r="E148" s="379">
        <v>45038</v>
      </c>
      <c r="F148" s="379">
        <v>46865</v>
      </c>
      <c r="G148" s="383" t="s">
        <v>193</v>
      </c>
      <c r="H148" s="20" t="s">
        <v>229</v>
      </c>
      <c r="I148" s="20" t="s">
        <v>162</v>
      </c>
      <c r="J148" s="20" t="s">
        <v>163</v>
      </c>
      <c r="K148" s="378" t="s">
        <v>230</v>
      </c>
      <c r="L148" s="20" t="s">
        <v>165</v>
      </c>
      <c r="M148" s="380">
        <v>2400</v>
      </c>
      <c r="N148" s="380"/>
      <c r="O148" s="380"/>
      <c r="P148" s="380"/>
      <c r="Q148" s="381" t="s">
        <v>199</v>
      </c>
      <c r="R148" s="381" t="s">
        <v>253</v>
      </c>
      <c r="S148" s="381" t="s">
        <v>223</v>
      </c>
      <c r="T148" s="381"/>
      <c r="U148" s="381"/>
      <c r="V148" s="382">
        <v>156.11000000000001</v>
      </c>
      <c r="W148" s="382">
        <v>0</v>
      </c>
      <c r="X148" s="381">
        <v>6.5416666666666665E-2</v>
      </c>
      <c r="Y148" s="381">
        <v>6.5000000000000002E-2</v>
      </c>
      <c r="Z148" s="381">
        <v>4.5833333333333334E-5</v>
      </c>
      <c r="AA148" s="381">
        <v>0</v>
      </c>
      <c r="AB148" s="381">
        <v>0</v>
      </c>
      <c r="AC148" s="382">
        <v>6.5045833333333331E-2</v>
      </c>
      <c r="AD148" s="382">
        <v>0</v>
      </c>
      <c r="AE148" s="381" t="s">
        <v>168</v>
      </c>
    </row>
    <row r="149" spans="1:31" ht="15" customHeight="1" x14ac:dyDescent="0.25">
      <c r="A149" s="20" t="s">
        <v>156</v>
      </c>
      <c r="B149" s="20" t="s">
        <v>157</v>
      </c>
      <c r="C149" s="20" t="s">
        <v>158</v>
      </c>
      <c r="D149" s="378" t="s">
        <v>436</v>
      </c>
      <c r="E149" s="384" t="s">
        <v>437</v>
      </c>
      <c r="F149" s="384" t="s">
        <v>438</v>
      </c>
      <c r="G149" s="378" t="s">
        <v>439</v>
      </c>
      <c r="H149" s="20" t="s">
        <v>440</v>
      </c>
      <c r="I149" s="378" t="s">
        <v>441</v>
      </c>
      <c r="J149" s="20" t="s">
        <v>163</v>
      </c>
      <c r="K149" s="378" t="s">
        <v>442</v>
      </c>
      <c r="L149" s="378" t="s">
        <v>165</v>
      </c>
      <c r="M149" s="380">
        <v>2384</v>
      </c>
      <c r="N149" s="380" t="s">
        <v>443</v>
      </c>
      <c r="O149" s="380" t="s">
        <v>443</v>
      </c>
      <c r="P149" s="380" t="s">
        <v>443</v>
      </c>
      <c r="Q149" s="381">
        <v>145</v>
      </c>
      <c r="R149" s="381">
        <v>144</v>
      </c>
      <c r="S149" s="381">
        <v>0.223</v>
      </c>
      <c r="T149" s="381">
        <v>0.26500000000000001</v>
      </c>
      <c r="U149" s="381">
        <v>0</v>
      </c>
      <c r="V149" s="382">
        <v>144.488</v>
      </c>
      <c r="W149" s="382">
        <v>0</v>
      </c>
      <c r="X149" s="381">
        <v>6.0822147651006714E-2</v>
      </c>
      <c r="Y149" s="381">
        <v>6.0402684563758392E-2</v>
      </c>
      <c r="Z149" s="381">
        <v>9.3540268456375838E-5</v>
      </c>
      <c r="AA149" s="381">
        <v>1.1115771812080538E-4</v>
      </c>
      <c r="AB149" s="381">
        <v>0</v>
      </c>
      <c r="AC149" s="382">
        <v>6.0607382550335577E-2</v>
      </c>
      <c r="AD149" s="382">
        <v>0</v>
      </c>
      <c r="AE149" s="381" t="s">
        <v>444</v>
      </c>
    </row>
    <row r="150" spans="1:31" ht="15" customHeight="1" x14ac:dyDescent="0.25">
      <c r="A150" s="20" t="s">
        <v>156</v>
      </c>
      <c r="B150" s="20" t="s">
        <v>157</v>
      </c>
      <c r="C150" s="20" t="s">
        <v>158</v>
      </c>
      <c r="D150" s="378" t="s">
        <v>445</v>
      </c>
      <c r="E150" s="384" t="s">
        <v>437</v>
      </c>
      <c r="F150" s="384" t="s">
        <v>438</v>
      </c>
      <c r="G150" s="378" t="s">
        <v>439</v>
      </c>
      <c r="H150" s="20" t="s">
        <v>446</v>
      </c>
      <c r="I150" s="378" t="s">
        <v>441</v>
      </c>
      <c r="J150" s="20" t="s">
        <v>163</v>
      </c>
      <c r="K150" s="378" t="s">
        <v>447</v>
      </c>
      <c r="L150" s="378" t="s">
        <v>165</v>
      </c>
      <c r="M150" s="380">
        <v>2384</v>
      </c>
      <c r="N150" s="380" t="s">
        <v>443</v>
      </c>
      <c r="O150" s="380" t="s">
        <v>443</v>
      </c>
      <c r="P150" s="380" t="s">
        <v>443</v>
      </c>
      <c r="Q150" s="381">
        <v>167</v>
      </c>
      <c r="R150" s="381">
        <v>166</v>
      </c>
      <c r="S150" s="381">
        <v>0.215</v>
      </c>
      <c r="T150" s="381">
        <v>0.26500000000000001</v>
      </c>
      <c r="U150" s="381">
        <v>0</v>
      </c>
      <c r="V150" s="382">
        <v>166.48</v>
      </c>
      <c r="W150" s="382">
        <v>0</v>
      </c>
      <c r="X150" s="381">
        <v>7.0050335570469802E-2</v>
      </c>
      <c r="Y150" s="381">
        <v>6.9630872483221473E-2</v>
      </c>
      <c r="Z150" s="381">
        <v>9.0184563758389258E-5</v>
      </c>
      <c r="AA150" s="381">
        <v>1.1115771812080538E-4</v>
      </c>
      <c r="AB150" s="381">
        <v>0</v>
      </c>
      <c r="AC150" s="382">
        <v>6.9832214765100667E-2</v>
      </c>
      <c r="AD150" s="382">
        <v>0</v>
      </c>
      <c r="AE150" s="381" t="s">
        <v>444</v>
      </c>
    </row>
    <row r="151" spans="1:31" ht="15" customHeight="1" x14ac:dyDescent="0.25">
      <c r="A151" s="20" t="s">
        <v>156</v>
      </c>
      <c r="B151" s="20" t="s">
        <v>157</v>
      </c>
      <c r="C151" s="20" t="s">
        <v>158</v>
      </c>
      <c r="D151" s="378" t="s">
        <v>448</v>
      </c>
      <c r="E151" s="384" t="s">
        <v>437</v>
      </c>
      <c r="F151" s="384" t="s">
        <v>438</v>
      </c>
      <c r="G151" s="378" t="s">
        <v>439</v>
      </c>
      <c r="H151" s="20" t="s">
        <v>449</v>
      </c>
      <c r="I151" s="378" t="s">
        <v>441</v>
      </c>
      <c r="J151" s="20" t="s">
        <v>163</v>
      </c>
      <c r="K151" s="378" t="s">
        <v>450</v>
      </c>
      <c r="L151" s="378" t="s">
        <v>165</v>
      </c>
      <c r="M151" s="380">
        <v>2384</v>
      </c>
      <c r="N151" s="380" t="s">
        <v>443</v>
      </c>
      <c r="O151" s="380" t="s">
        <v>443</v>
      </c>
      <c r="P151" s="380" t="s">
        <v>443</v>
      </c>
      <c r="Q151" s="381">
        <v>158</v>
      </c>
      <c r="R151" s="381">
        <v>158</v>
      </c>
      <c r="S151" s="381">
        <v>0.22800000000000001</v>
      </c>
      <c r="T151" s="381">
        <v>0.26300000000000001</v>
      </c>
      <c r="U151" s="381">
        <v>0</v>
      </c>
      <c r="V151" s="382">
        <v>158.49100000000001</v>
      </c>
      <c r="W151" s="382">
        <v>0</v>
      </c>
      <c r="X151" s="381">
        <v>6.6275167785234901E-2</v>
      </c>
      <c r="Y151" s="381">
        <v>6.6275167785234901E-2</v>
      </c>
      <c r="Z151" s="381">
        <v>9.5637583892617449E-5</v>
      </c>
      <c r="AA151" s="381">
        <v>1.1031879194630873E-4</v>
      </c>
      <c r="AB151" s="381">
        <v>0</v>
      </c>
      <c r="AC151" s="382">
        <v>6.6481124161073837E-2</v>
      </c>
      <c r="AD151" s="382">
        <v>0</v>
      </c>
      <c r="AE151" s="381" t="s">
        <v>444</v>
      </c>
    </row>
    <row r="152" spans="1:31" ht="15" customHeight="1" x14ac:dyDescent="0.25">
      <c r="A152" s="20" t="s">
        <v>156</v>
      </c>
      <c r="B152" s="20" t="s">
        <v>157</v>
      </c>
      <c r="C152" s="20" t="s">
        <v>158</v>
      </c>
      <c r="D152" s="378" t="s">
        <v>451</v>
      </c>
      <c r="E152" s="384" t="s">
        <v>437</v>
      </c>
      <c r="F152" s="384" t="s">
        <v>438</v>
      </c>
      <c r="G152" s="378" t="s">
        <v>439</v>
      </c>
      <c r="H152" s="20" t="s">
        <v>452</v>
      </c>
      <c r="I152" s="378" t="s">
        <v>441</v>
      </c>
      <c r="J152" s="20" t="s">
        <v>163</v>
      </c>
      <c r="K152" s="378" t="s">
        <v>453</v>
      </c>
      <c r="L152" s="378" t="s">
        <v>165</v>
      </c>
      <c r="M152" s="380">
        <v>2384</v>
      </c>
      <c r="N152" s="380" t="s">
        <v>443</v>
      </c>
      <c r="O152" s="380" t="s">
        <v>443</v>
      </c>
      <c r="P152" s="380" t="s">
        <v>443</v>
      </c>
      <c r="Q152" s="381">
        <v>137</v>
      </c>
      <c r="R152" s="381">
        <v>137</v>
      </c>
      <c r="S152" s="381">
        <v>0.222</v>
      </c>
      <c r="T152" s="381">
        <v>0.26500000000000001</v>
      </c>
      <c r="U152" s="381">
        <v>0</v>
      </c>
      <c r="V152" s="382">
        <v>137.48699999999999</v>
      </c>
      <c r="W152" s="382">
        <v>0</v>
      </c>
      <c r="X152" s="381">
        <v>5.7466442953020135E-2</v>
      </c>
      <c r="Y152" s="381">
        <v>5.7466442953020135E-2</v>
      </c>
      <c r="Z152" s="381">
        <v>9.3120805369127524E-5</v>
      </c>
      <c r="AA152" s="381">
        <v>1.1115771812080538E-4</v>
      </c>
      <c r="AB152" s="381">
        <v>0</v>
      </c>
      <c r="AC152" s="382">
        <v>5.7670721476510069E-2</v>
      </c>
      <c r="AD152" s="382">
        <v>0</v>
      </c>
      <c r="AE152" s="381" t="s">
        <v>444</v>
      </c>
    </row>
    <row r="153" spans="1:31" ht="15" customHeight="1" x14ac:dyDescent="0.25">
      <c r="A153" s="20" t="s">
        <v>156</v>
      </c>
      <c r="B153" s="20" t="s">
        <v>157</v>
      </c>
      <c r="C153" s="20" t="s">
        <v>158</v>
      </c>
      <c r="D153" s="378" t="s">
        <v>454</v>
      </c>
      <c r="E153" s="384">
        <v>44613</v>
      </c>
      <c r="F153" s="384">
        <v>46439</v>
      </c>
      <c r="G153" s="378" t="s">
        <v>439</v>
      </c>
      <c r="H153" s="20" t="s">
        <v>455</v>
      </c>
      <c r="I153" s="378" t="s">
        <v>168</v>
      </c>
      <c r="J153" s="20" t="s">
        <v>163</v>
      </c>
      <c r="K153" s="378" t="s">
        <v>456</v>
      </c>
      <c r="L153" s="378" t="s">
        <v>165</v>
      </c>
      <c r="M153" s="380">
        <v>2400</v>
      </c>
      <c r="N153" s="380" t="s">
        <v>443</v>
      </c>
      <c r="O153" s="380" t="s">
        <v>443</v>
      </c>
      <c r="P153" s="380" t="s">
        <v>443</v>
      </c>
      <c r="Q153" s="381">
        <v>165</v>
      </c>
      <c r="R153" s="381">
        <v>0</v>
      </c>
      <c r="S153" s="381">
        <v>0</v>
      </c>
      <c r="T153" s="381">
        <v>0</v>
      </c>
      <c r="U153" s="381">
        <v>0</v>
      </c>
      <c r="V153" s="382">
        <v>165</v>
      </c>
      <c r="W153" s="382">
        <v>0</v>
      </c>
      <c r="X153" s="381">
        <v>6.8750000000000006E-2</v>
      </c>
      <c r="Y153" s="381">
        <v>0</v>
      </c>
      <c r="Z153" s="381">
        <v>0</v>
      </c>
      <c r="AA153" s="381">
        <v>0</v>
      </c>
      <c r="AB153" s="381">
        <v>0</v>
      </c>
      <c r="AC153" s="382">
        <v>6.8750000000000006E-2</v>
      </c>
      <c r="AD153" s="382">
        <v>0</v>
      </c>
      <c r="AE153" s="381" t="s">
        <v>444</v>
      </c>
    </row>
    <row r="154" spans="1:31" ht="15" customHeight="1" x14ac:dyDescent="0.25">
      <c r="A154" s="20" t="s">
        <v>156</v>
      </c>
      <c r="B154" s="20" t="s">
        <v>157</v>
      </c>
      <c r="C154" s="20" t="s">
        <v>158</v>
      </c>
      <c r="D154" s="378" t="s">
        <v>457</v>
      </c>
      <c r="E154" s="384">
        <v>44613</v>
      </c>
      <c r="F154" s="384">
        <v>46439</v>
      </c>
      <c r="G154" s="378" t="s">
        <v>439</v>
      </c>
      <c r="H154" s="20" t="s">
        <v>455</v>
      </c>
      <c r="I154" s="378" t="s">
        <v>168</v>
      </c>
      <c r="J154" s="20" t="s">
        <v>163</v>
      </c>
      <c r="K154" s="378" t="s">
        <v>456</v>
      </c>
      <c r="L154" s="378" t="s">
        <v>165</v>
      </c>
      <c r="M154" s="380">
        <v>2400</v>
      </c>
      <c r="N154" s="380" t="s">
        <v>443</v>
      </c>
      <c r="O154" s="380" t="s">
        <v>443</v>
      </c>
      <c r="P154" s="380" t="s">
        <v>443</v>
      </c>
      <c r="Q154" s="381">
        <v>191</v>
      </c>
      <c r="R154" s="381">
        <v>0</v>
      </c>
      <c r="S154" s="381">
        <v>0</v>
      </c>
      <c r="T154" s="381">
        <v>0</v>
      </c>
      <c r="U154" s="381">
        <v>0</v>
      </c>
      <c r="V154" s="382">
        <v>191</v>
      </c>
      <c r="W154" s="382">
        <v>0</v>
      </c>
      <c r="X154" s="381">
        <v>7.9583333333333339E-2</v>
      </c>
      <c r="Y154" s="381">
        <v>0</v>
      </c>
      <c r="Z154" s="381">
        <v>0</v>
      </c>
      <c r="AA154" s="381">
        <v>0</v>
      </c>
      <c r="AB154" s="381">
        <v>0</v>
      </c>
      <c r="AC154" s="382">
        <v>7.9583333333333339E-2</v>
      </c>
      <c r="AD154" s="382">
        <v>0</v>
      </c>
      <c r="AE154" s="381" t="s">
        <v>444</v>
      </c>
    </row>
    <row r="155" spans="1:31" ht="15" customHeight="1" x14ac:dyDescent="0.25">
      <c r="A155" s="20" t="s">
        <v>156</v>
      </c>
      <c r="B155" s="20" t="s">
        <v>157</v>
      </c>
      <c r="C155" s="20" t="s">
        <v>158</v>
      </c>
      <c r="D155" s="378" t="s">
        <v>458</v>
      </c>
      <c r="E155" s="384">
        <v>44613</v>
      </c>
      <c r="F155" s="384">
        <v>46439</v>
      </c>
      <c r="G155" s="378" t="s">
        <v>439</v>
      </c>
      <c r="H155" s="20" t="s">
        <v>455</v>
      </c>
      <c r="I155" s="378" t="s">
        <v>168</v>
      </c>
      <c r="J155" s="20" t="s">
        <v>163</v>
      </c>
      <c r="K155" s="378" t="s">
        <v>456</v>
      </c>
      <c r="L155" s="378" t="s">
        <v>165</v>
      </c>
      <c r="M155" s="380">
        <v>2400</v>
      </c>
      <c r="N155" s="380" t="s">
        <v>443</v>
      </c>
      <c r="O155" s="380" t="s">
        <v>443</v>
      </c>
      <c r="P155" s="380" t="s">
        <v>443</v>
      </c>
      <c r="Q155" s="381">
        <v>200</v>
      </c>
      <c r="R155" s="381">
        <v>0</v>
      </c>
      <c r="S155" s="381">
        <v>0</v>
      </c>
      <c r="T155" s="381">
        <v>0</v>
      </c>
      <c r="U155" s="381">
        <v>0</v>
      </c>
      <c r="V155" s="382">
        <v>200</v>
      </c>
      <c r="W155" s="382">
        <v>0</v>
      </c>
      <c r="X155" s="381">
        <v>8.3333333333333329E-2</v>
      </c>
      <c r="Y155" s="381">
        <v>0</v>
      </c>
      <c r="Z155" s="381">
        <v>0</v>
      </c>
      <c r="AA155" s="381">
        <v>0</v>
      </c>
      <c r="AB155" s="381">
        <v>0</v>
      </c>
      <c r="AC155" s="382">
        <v>8.3333333333333329E-2</v>
      </c>
      <c r="AD155" s="382">
        <v>0</v>
      </c>
      <c r="AE155" s="381" t="s">
        <v>444</v>
      </c>
    </row>
    <row r="156" spans="1:31" ht="15" customHeight="1" x14ac:dyDescent="0.25">
      <c r="A156" s="20" t="s">
        <v>156</v>
      </c>
      <c r="B156" s="20" t="s">
        <v>157</v>
      </c>
      <c r="C156" s="20" t="s">
        <v>158</v>
      </c>
      <c r="D156" s="378" t="s">
        <v>459</v>
      </c>
      <c r="E156" s="384">
        <v>44613</v>
      </c>
      <c r="F156" s="384">
        <v>46439</v>
      </c>
      <c r="G156" s="378" t="s">
        <v>439</v>
      </c>
      <c r="H156" s="20" t="s">
        <v>455</v>
      </c>
      <c r="I156" s="378" t="s">
        <v>168</v>
      </c>
      <c r="J156" s="20" t="s">
        <v>163</v>
      </c>
      <c r="K156" s="378" t="s">
        <v>456</v>
      </c>
      <c r="L156" s="378" t="s">
        <v>165</v>
      </c>
      <c r="M156" s="380">
        <v>2400</v>
      </c>
      <c r="N156" s="380" t="s">
        <v>443</v>
      </c>
      <c r="O156" s="380" t="s">
        <v>443</v>
      </c>
      <c r="P156" s="380" t="s">
        <v>443</v>
      </c>
      <c r="Q156" s="381">
        <v>215</v>
      </c>
      <c r="R156" s="381">
        <v>0</v>
      </c>
      <c r="S156" s="381">
        <v>0</v>
      </c>
      <c r="T156" s="381">
        <v>0</v>
      </c>
      <c r="U156" s="381">
        <v>0</v>
      </c>
      <c r="V156" s="382">
        <v>215</v>
      </c>
      <c r="W156" s="382">
        <v>0</v>
      </c>
      <c r="X156" s="381">
        <v>8.9583333333333334E-2</v>
      </c>
      <c r="Y156" s="381">
        <v>0</v>
      </c>
      <c r="Z156" s="381">
        <v>0</v>
      </c>
      <c r="AA156" s="381">
        <v>0</v>
      </c>
      <c r="AB156" s="381">
        <v>0</v>
      </c>
      <c r="AC156" s="382">
        <v>8.9583333333333334E-2</v>
      </c>
      <c r="AD156" s="382">
        <v>0</v>
      </c>
      <c r="AE156" s="381" t="s">
        <v>444</v>
      </c>
    </row>
    <row r="157" spans="1:31" ht="15" customHeight="1" x14ac:dyDescent="0.25">
      <c r="A157" s="20" t="s">
        <v>156</v>
      </c>
      <c r="B157" s="20" t="s">
        <v>157</v>
      </c>
      <c r="C157" s="20" t="s">
        <v>158</v>
      </c>
      <c r="D157" s="378" t="s">
        <v>460</v>
      </c>
      <c r="E157" s="384">
        <v>44613</v>
      </c>
      <c r="F157" s="384">
        <v>46439</v>
      </c>
      <c r="G157" s="378" t="s">
        <v>439</v>
      </c>
      <c r="H157" s="20" t="s">
        <v>455</v>
      </c>
      <c r="I157" s="378" t="s">
        <v>168</v>
      </c>
      <c r="J157" s="20" t="s">
        <v>163</v>
      </c>
      <c r="K157" s="378" t="s">
        <v>456</v>
      </c>
      <c r="L157" s="378" t="s">
        <v>165</v>
      </c>
      <c r="M157" s="380">
        <v>2400</v>
      </c>
      <c r="N157" s="380" t="s">
        <v>443</v>
      </c>
      <c r="O157" s="380" t="s">
        <v>443</v>
      </c>
      <c r="P157" s="380" t="s">
        <v>443</v>
      </c>
      <c r="Q157" s="381">
        <v>244</v>
      </c>
      <c r="R157" s="381">
        <v>0</v>
      </c>
      <c r="S157" s="381">
        <v>0</v>
      </c>
      <c r="T157" s="381">
        <v>0</v>
      </c>
      <c r="U157" s="381">
        <v>0</v>
      </c>
      <c r="V157" s="382">
        <v>244</v>
      </c>
      <c r="W157" s="382">
        <v>0</v>
      </c>
      <c r="X157" s="381">
        <v>0.10166666666666667</v>
      </c>
      <c r="Y157" s="381">
        <v>0</v>
      </c>
      <c r="Z157" s="381">
        <v>0</v>
      </c>
      <c r="AA157" s="381">
        <v>0</v>
      </c>
      <c r="AB157" s="381">
        <v>0</v>
      </c>
      <c r="AC157" s="382">
        <v>0.10166666666666667</v>
      </c>
      <c r="AD157" s="382">
        <v>0</v>
      </c>
      <c r="AE157" s="381" t="s">
        <v>444</v>
      </c>
    </row>
    <row r="158" spans="1:31" ht="15" customHeight="1" x14ac:dyDescent="0.25">
      <c r="A158" s="20" t="s">
        <v>156</v>
      </c>
      <c r="B158" s="20" t="s">
        <v>157</v>
      </c>
      <c r="C158" s="20" t="s">
        <v>158</v>
      </c>
      <c r="D158" s="378" t="s">
        <v>461</v>
      </c>
      <c r="E158" s="384">
        <v>44613</v>
      </c>
      <c r="F158" s="384">
        <v>46439</v>
      </c>
      <c r="G158" s="378" t="s">
        <v>439</v>
      </c>
      <c r="H158" s="20" t="s">
        <v>455</v>
      </c>
      <c r="I158" s="378" t="s">
        <v>168</v>
      </c>
      <c r="J158" s="20" t="s">
        <v>163</v>
      </c>
      <c r="K158" s="378" t="s">
        <v>456</v>
      </c>
      <c r="L158" s="378" t="s">
        <v>165</v>
      </c>
      <c r="M158" s="380">
        <v>2400</v>
      </c>
      <c r="N158" s="380" t="s">
        <v>443</v>
      </c>
      <c r="O158" s="380" t="s">
        <v>443</v>
      </c>
      <c r="P158" s="380" t="s">
        <v>443</v>
      </c>
      <c r="Q158" s="381">
        <v>265</v>
      </c>
      <c r="R158" s="381">
        <v>0</v>
      </c>
      <c r="S158" s="381">
        <v>0</v>
      </c>
      <c r="T158" s="381">
        <v>0</v>
      </c>
      <c r="U158" s="381">
        <v>0</v>
      </c>
      <c r="V158" s="382">
        <v>265</v>
      </c>
      <c r="W158" s="382">
        <v>0</v>
      </c>
      <c r="X158" s="381">
        <v>0.11041666666666666</v>
      </c>
      <c r="Y158" s="381">
        <v>0</v>
      </c>
      <c r="Z158" s="381">
        <v>0</v>
      </c>
      <c r="AA158" s="381">
        <v>0</v>
      </c>
      <c r="AB158" s="381">
        <v>0</v>
      </c>
      <c r="AC158" s="382">
        <v>0.11041666666666666</v>
      </c>
      <c r="AD158" s="382">
        <v>0</v>
      </c>
      <c r="AE158" s="381" t="s">
        <v>444</v>
      </c>
    </row>
    <row r="159" spans="1:31" ht="15" customHeight="1" x14ac:dyDescent="0.25">
      <c r="A159" s="20" t="s">
        <v>156</v>
      </c>
      <c r="B159" s="20" t="s">
        <v>157</v>
      </c>
      <c r="C159" s="20" t="s">
        <v>158</v>
      </c>
      <c r="D159" s="378" t="s">
        <v>462</v>
      </c>
      <c r="E159" s="384">
        <v>44613</v>
      </c>
      <c r="F159" s="384">
        <v>46439</v>
      </c>
      <c r="G159" s="378" t="s">
        <v>439</v>
      </c>
      <c r="H159" s="20" t="s">
        <v>455</v>
      </c>
      <c r="I159" s="378" t="s">
        <v>168</v>
      </c>
      <c r="J159" s="20" t="s">
        <v>163</v>
      </c>
      <c r="K159" s="378" t="s">
        <v>456</v>
      </c>
      <c r="L159" s="378" t="s">
        <v>165</v>
      </c>
      <c r="M159" s="380">
        <v>2400</v>
      </c>
      <c r="N159" s="380" t="s">
        <v>443</v>
      </c>
      <c r="O159" s="380" t="s">
        <v>443</v>
      </c>
      <c r="P159" s="380" t="s">
        <v>443</v>
      </c>
      <c r="Q159" s="381">
        <v>251</v>
      </c>
      <c r="R159" s="381">
        <v>0</v>
      </c>
      <c r="S159" s="381">
        <v>0</v>
      </c>
      <c r="T159" s="381">
        <v>0</v>
      </c>
      <c r="U159" s="381">
        <v>0</v>
      </c>
      <c r="V159" s="382">
        <v>251</v>
      </c>
      <c r="W159" s="382">
        <v>0</v>
      </c>
      <c r="X159" s="381">
        <v>0.10458333333333333</v>
      </c>
      <c r="Y159" s="381">
        <v>0</v>
      </c>
      <c r="Z159" s="381">
        <v>0</v>
      </c>
      <c r="AA159" s="381">
        <v>0</v>
      </c>
      <c r="AB159" s="381">
        <v>0</v>
      </c>
      <c r="AC159" s="382">
        <v>0.10458333333333333</v>
      </c>
      <c r="AD159" s="382">
        <v>0</v>
      </c>
      <c r="AE159" s="381" t="s">
        <v>444</v>
      </c>
    </row>
    <row r="160" spans="1:31" ht="15" customHeight="1" x14ac:dyDescent="0.25">
      <c r="A160" s="20" t="s">
        <v>156</v>
      </c>
      <c r="B160" s="20" t="s">
        <v>157</v>
      </c>
      <c r="C160" s="20" t="s">
        <v>158</v>
      </c>
      <c r="D160" s="378" t="s">
        <v>463</v>
      </c>
      <c r="E160" s="384">
        <v>44613</v>
      </c>
      <c r="F160" s="384">
        <v>46439</v>
      </c>
      <c r="G160" s="378" t="s">
        <v>439</v>
      </c>
      <c r="H160" s="20" t="s">
        <v>455</v>
      </c>
      <c r="I160" s="378" t="s">
        <v>168</v>
      </c>
      <c r="J160" s="20" t="s">
        <v>163</v>
      </c>
      <c r="K160" s="378" t="s">
        <v>456</v>
      </c>
      <c r="L160" s="378" t="s">
        <v>165</v>
      </c>
      <c r="M160" s="380">
        <v>2400</v>
      </c>
      <c r="N160" s="380" t="s">
        <v>443</v>
      </c>
      <c r="O160" s="380" t="s">
        <v>443</v>
      </c>
      <c r="P160" s="380" t="s">
        <v>443</v>
      </c>
      <c r="Q160" s="381">
        <v>236</v>
      </c>
      <c r="R160" s="381">
        <v>0</v>
      </c>
      <c r="S160" s="381">
        <v>0</v>
      </c>
      <c r="T160" s="381">
        <v>0</v>
      </c>
      <c r="U160" s="381">
        <v>0</v>
      </c>
      <c r="V160" s="382">
        <v>236</v>
      </c>
      <c r="W160" s="382">
        <v>0</v>
      </c>
      <c r="X160" s="381">
        <v>9.8333333333333328E-2</v>
      </c>
      <c r="Y160" s="381">
        <v>0</v>
      </c>
      <c r="Z160" s="381">
        <v>0</v>
      </c>
      <c r="AA160" s="381">
        <v>0</v>
      </c>
      <c r="AB160" s="381">
        <v>0</v>
      </c>
      <c r="AC160" s="382">
        <v>9.8333333333333328E-2</v>
      </c>
      <c r="AD160" s="382">
        <v>0</v>
      </c>
      <c r="AE160" s="381" t="s">
        <v>444</v>
      </c>
    </row>
    <row r="161" spans="1:31" ht="15" customHeight="1" x14ac:dyDescent="0.25">
      <c r="A161" s="20" t="s">
        <v>156</v>
      </c>
      <c r="B161" s="20" t="s">
        <v>157</v>
      </c>
      <c r="C161" s="20" t="s">
        <v>158</v>
      </c>
      <c r="D161" s="378" t="s">
        <v>464</v>
      </c>
      <c r="E161" s="384">
        <v>45596</v>
      </c>
      <c r="F161" s="384">
        <v>46235</v>
      </c>
      <c r="G161" s="378" t="s">
        <v>439</v>
      </c>
      <c r="H161" s="20" t="s">
        <v>465</v>
      </c>
      <c r="I161" s="378" t="s">
        <v>441</v>
      </c>
      <c r="J161" s="20" t="s">
        <v>163</v>
      </c>
      <c r="K161" s="378" t="s">
        <v>466</v>
      </c>
      <c r="L161" s="378" t="s">
        <v>165</v>
      </c>
      <c r="M161" s="380">
        <v>2400</v>
      </c>
      <c r="N161" s="380" t="s">
        <v>443</v>
      </c>
      <c r="O161" s="380" t="s">
        <v>443</v>
      </c>
      <c r="P161" s="380" t="s">
        <v>443</v>
      </c>
      <c r="Q161" s="381">
        <v>163</v>
      </c>
      <c r="R161" s="381">
        <v>0</v>
      </c>
      <c r="S161" s="381">
        <v>0</v>
      </c>
      <c r="T161" s="381">
        <v>0</v>
      </c>
      <c r="U161" s="381">
        <v>0</v>
      </c>
      <c r="V161" s="382">
        <v>163</v>
      </c>
      <c r="W161" s="382">
        <v>0</v>
      </c>
      <c r="X161" s="381">
        <v>6.7916666666666667E-2</v>
      </c>
      <c r="Y161" s="381">
        <v>0</v>
      </c>
      <c r="Z161" s="381">
        <v>0</v>
      </c>
      <c r="AA161" s="381">
        <v>0</v>
      </c>
      <c r="AB161" s="381">
        <v>0</v>
      </c>
      <c r="AC161" s="382">
        <v>6.7916666666666667E-2</v>
      </c>
      <c r="AD161" s="382">
        <v>0</v>
      </c>
      <c r="AE161" s="381" t="s">
        <v>444</v>
      </c>
    </row>
    <row r="162" spans="1:31" ht="15" customHeight="1" x14ac:dyDescent="0.25">
      <c r="A162" s="20" t="s">
        <v>156</v>
      </c>
      <c r="B162" s="20" t="s">
        <v>157</v>
      </c>
      <c r="C162" s="20" t="s">
        <v>158</v>
      </c>
      <c r="D162" s="378" t="s">
        <v>467</v>
      </c>
      <c r="E162" s="384">
        <v>45596</v>
      </c>
      <c r="F162" s="384">
        <v>46235</v>
      </c>
      <c r="G162" s="378" t="s">
        <v>439</v>
      </c>
      <c r="H162" s="20" t="s">
        <v>465</v>
      </c>
      <c r="I162" s="378" t="s">
        <v>441</v>
      </c>
      <c r="J162" s="20" t="s">
        <v>163</v>
      </c>
      <c r="K162" s="378" t="s">
        <v>466</v>
      </c>
      <c r="L162" s="378" t="s">
        <v>165</v>
      </c>
      <c r="M162" s="380">
        <v>2400</v>
      </c>
      <c r="N162" s="380" t="s">
        <v>443</v>
      </c>
      <c r="O162" s="380" t="s">
        <v>443</v>
      </c>
      <c r="P162" s="380" t="s">
        <v>443</v>
      </c>
      <c r="Q162" s="381">
        <v>244</v>
      </c>
      <c r="R162" s="381">
        <v>0</v>
      </c>
      <c r="S162" s="381">
        <v>0</v>
      </c>
      <c r="T162" s="381">
        <v>0</v>
      </c>
      <c r="U162" s="381">
        <v>0</v>
      </c>
      <c r="V162" s="382">
        <v>244</v>
      </c>
      <c r="W162" s="382">
        <v>0</v>
      </c>
      <c r="X162" s="381">
        <v>0.10166666666666667</v>
      </c>
      <c r="Y162" s="381">
        <v>0</v>
      </c>
      <c r="Z162" s="381">
        <v>0</v>
      </c>
      <c r="AA162" s="381">
        <v>0</v>
      </c>
      <c r="AB162" s="381">
        <v>0</v>
      </c>
      <c r="AC162" s="382">
        <v>0.10166666666666667</v>
      </c>
      <c r="AD162" s="382">
        <v>0</v>
      </c>
      <c r="AE162" s="381" t="s">
        <v>444</v>
      </c>
    </row>
    <row r="163" spans="1:31" ht="15" customHeight="1" x14ac:dyDescent="0.25">
      <c r="A163" s="20" t="s">
        <v>156</v>
      </c>
      <c r="B163" s="20" t="s">
        <v>157</v>
      </c>
      <c r="C163" s="20" t="s">
        <v>158</v>
      </c>
      <c r="D163" s="378" t="s">
        <v>468</v>
      </c>
      <c r="E163" s="384">
        <v>45596</v>
      </c>
      <c r="F163" s="384">
        <v>46235</v>
      </c>
      <c r="G163" s="378" t="s">
        <v>439</v>
      </c>
      <c r="H163" s="20" t="s">
        <v>465</v>
      </c>
      <c r="I163" s="378" t="s">
        <v>441</v>
      </c>
      <c r="J163" s="20" t="s">
        <v>163</v>
      </c>
      <c r="K163" s="378" t="s">
        <v>466</v>
      </c>
      <c r="L163" s="378" t="s">
        <v>165</v>
      </c>
      <c r="M163" s="380">
        <v>2400</v>
      </c>
      <c r="N163" s="380" t="s">
        <v>443</v>
      </c>
      <c r="O163" s="380" t="s">
        <v>443</v>
      </c>
      <c r="P163" s="380" t="s">
        <v>443</v>
      </c>
      <c r="Q163" s="381">
        <v>192</v>
      </c>
      <c r="R163" s="381">
        <v>0</v>
      </c>
      <c r="S163" s="381">
        <v>0</v>
      </c>
      <c r="T163" s="381">
        <v>0</v>
      </c>
      <c r="U163" s="381">
        <v>0</v>
      </c>
      <c r="V163" s="382">
        <v>192</v>
      </c>
      <c r="W163" s="382">
        <v>0</v>
      </c>
      <c r="X163" s="381">
        <v>0.08</v>
      </c>
      <c r="Y163" s="381">
        <v>0</v>
      </c>
      <c r="Z163" s="381">
        <v>0</v>
      </c>
      <c r="AA163" s="381">
        <v>0</v>
      </c>
      <c r="AB163" s="381">
        <v>0</v>
      </c>
      <c r="AC163" s="382">
        <v>0.08</v>
      </c>
      <c r="AD163" s="382">
        <v>0</v>
      </c>
      <c r="AE163" s="381" t="s">
        <v>444</v>
      </c>
    </row>
    <row r="164" spans="1:31" ht="15" customHeight="1" x14ac:dyDescent="0.25">
      <c r="A164" s="20" t="s">
        <v>156</v>
      </c>
      <c r="B164" s="20" t="s">
        <v>157</v>
      </c>
      <c r="C164" s="20" t="s">
        <v>158</v>
      </c>
      <c r="D164" s="378" t="s">
        <v>469</v>
      </c>
      <c r="E164" s="384">
        <v>44803</v>
      </c>
      <c r="F164" s="384">
        <v>46619</v>
      </c>
      <c r="G164" s="378" t="s">
        <v>439</v>
      </c>
      <c r="H164" s="20" t="s">
        <v>470</v>
      </c>
      <c r="I164" s="378" t="s">
        <v>168</v>
      </c>
      <c r="J164" s="20" t="s">
        <v>163</v>
      </c>
      <c r="K164" s="378" t="s">
        <v>471</v>
      </c>
      <c r="L164" s="378" t="s">
        <v>165</v>
      </c>
      <c r="M164" s="380">
        <v>2400</v>
      </c>
      <c r="N164" s="380" t="s">
        <v>443</v>
      </c>
      <c r="O164" s="380" t="s">
        <v>443</v>
      </c>
      <c r="P164" s="380" t="s">
        <v>443</v>
      </c>
      <c r="Q164" s="381">
        <v>296</v>
      </c>
      <c r="R164" s="381">
        <v>295</v>
      </c>
      <c r="S164" s="381">
        <v>4.8899999999999999E-2</v>
      </c>
      <c r="T164" s="381">
        <v>0</v>
      </c>
      <c r="U164" s="381">
        <v>0</v>
      </c>
      <c r="V164" s="382">
        <v>295.0489</v>
      </c>
      <c r="W164" s="382">
        <v>0</v>
      </c>
      <c r="X164" s="381">
        <v>0.12333333333333334</v>
      </c>
      <c r="Y164" s="381">
        <v>0.12291666666666666</v>
      </c>
      <c r="Z164" s="381">
        <v>2.0375000000000001E-5</v>
      </c>
      <c r="AA164" s="381">
        <v>0</v>
      </c>
      <c r="AB164" s="381">
        <v>0</v>
      </c>
      <c r="AC164" s="382">
        <v>0.12293704166666666</v>
      </c>
      <c r="AD164" s="382">
        <v>0</v>
      </c>
      <c r="AE164" s="381" t="s">
        <v>444</v>
      </c>
    </row>
    <row r="165" spans="1:31" ht="15" customHeight="1" x14ac:dyDescent="0.25">
      <c r="A165" s="20" t="s">
        <v>156</v>
      </c>
      <c r="B165" s="20" t="s">
        <v>157</v>
      </c>
      <c r="C165" s="20" t="s">
        <v>158</v>
      </c>
      <c r="D165" s="378" t="s">
        <v>472</v>
      </c>
      <c r="E165" s="384">
        <v>44803</v>
      </c>
      <c r="F165" s="384">
        <v>46619</v>
      </c>
      <c r="G165" s="378" t="s">
        <v>439</v>
      </c>
      <c r="H165" s="20" t="s">
        <v>470</v>
      </c>
      <c r="I165" s="378" t="s">
        <v>168</v>
      </c>
      <c r="J165" s="20" t="s">
        <v>163</v>
      </c>
      <c r="K165" s="378" t="s">
        <v>471</v>
      </c>
      <c r="L165" s="378" t="s">
        <v>165</v>
      </c>
      <c r="M165" s="380">
        <v>2400</v>
      </c>
      <c r="N165" s="380" t="s">
        <v>443</v>
      </c>
      <c r="O165" s="380" t="s">
        <v>443</v>
      </c>
      <c r="P165" s="380" t="s">
        <v>443</v>
      </c>
      <c r="Q165" s="381">
        <v>235</v>
      </c>
      <c r="R165" s="381">
        <v>235</v>
      </c>
      <c r="S165" s="381">
        <v>5.3699999999999998E-2</v>
      </c>
      <c r="T165" s="381">
        <v>0</v>
      </c>
      <c r="U165" s="381">
        <v>0</v>
      </c>
      <c r="V165" s="382">
        <v>235.05369999999999</v>
      </c>
      <c r="W165" s="382">
        <v>0</v>
      </c>
      <c r="X165" s="381">
        <v>9.7916666666666666E-2</v>
      </c>
      <c r="Y165" s="381">
        <v>9.7916666666666666E-2</v>
      </c>
      <c r="Z165" s="381">
        <v>2.2374999999999998E-5</v>
      </c>
      <c r="AA165" s="381">
        <v>0</v>
      </c>
      <c r="AB165" s="381">
        <v>0</v>
      </c>
      <c r="AC165" s="382">
        <v>9.7939041666666671E-2</v>
      </c>
      <c r="AD165" s="382">
        <v>0</v>
      </c>
      <c r="AE165" s="381" t="s">
        <v>444</v>
      </c>
    </row>
    <row r="166" spans="1:31" ht="15" customHeight="1" x14ac:dyDescent="0.25">
      <c r="A166" s="20" t="s">
        <v>156</v>
      </c>
      <c r="B166" s="20" t="s">
        <v>157</v>
      </c>
      <c r="C166" s="20" t="s">
        <v>158</v>
      </c>
      <c r="D166" s="378" t="s">
        <v>473</v>
      </c>
      <c r="E166" s="384">
        <v>44803</v>
      </c>
      <c r="F166" s="384">
        <v>46619</v>
      </c>
      <c r="G166" s="378" t="s">
        <v>439</v>
      </c>
      <c r="H166" s="20" t="s">
        <v>470</v>
      </c>
      <c r="I166" s="378" t="s">
        <v>168</v>
      </c>
      <c r="J166" s="20" t="s">
        <v>163</v>
      </c>
      <c r="K166" s="378" t="s">
        <v>471</v>
      </c>
      <c r="L166" s="378" t="s">
        <v>165</v>
      </c>
      <c r="M166" s="380">
        <v>2400</v>
      </c>
      <c r="N166" s="380" t="s">
        <v>443</v>
      </c>
      <c r="O166" s="380" t="s">
        <v>443</v>
      </c>
      <c r="P166" s="380" t="s">
        <v>443</v>
      </c>
      <c r="Q166" s="381">
        <v>197</v>
      </c>
      <c r="R166" s="381">
        <v>197</v>
      </c>
      <c r="S166" s="381">
        <v>6.25E-2</v>
      </c>
      <c r="T166" s="381">
        <v>0</v>
      </c>
      <c r="U166" s="381">
        <v>0</v>
      </c>
      <c r="V166" s="382">
        <v>197.0625</v>
      </c>
      <c r="W166" s="382">
        <v>0</v>
      </c>
      <c r="X166" s="381">
        <v>8.2083333333333328E-2</v>
      </c>
      <c r="Y166" s="381">
        <v>8.2083333333333328E-2</v>
      </c>
      <c r="Z166" s="381">
        <v>2.6041666666666668E-5</v>
      </c>
      <c r="AA166" s="381">
        <v>0</v>
      </c>
      <c r="AB166" s="381">
        <v>0</v>
      </c>
      <c r="AC166" s="382">
        <v>8.2109374999999998E-2</v>
      </c>
      <c r="AD166" s="382">
        <v>0</v>
      </c>
      <c r="AE166" s="381" t="s">
        <v>444</v>
      </c>
    </row>
    <row r="167" spans="1:31" ht="15" customHeight="1" x14ac:dyDescent="0.25">
      <c r="A167" s="20" t="s">
        <v>156</v>
      </c>
      <c r="B167" s="20" t="s">
        <v>157</v>
      </c>
      <c r="C167" s="20" t="s">
        <v>158</v>
      </c>
      <c r="D167" s="378" t="s">
        <v>474</v>
      </c>
      <c r="E167" s="384">
        <v>44803</v>
      </c>
      <c r="F167" s="384">
        <v>46619</v>
      </c>
      <c r="G167" s="378" t="s">
        <v>439</v>
      </c>
      <c r="H167" s="20" t="s">
        <v>470</v>
      </c>
      <c r="I167" s="378" t="s">
        <v>168</v>
      </c>
      <c r="J167" s="20" t="s">
        <v>163</v>
      </c>
      <c r="K167" s="378" t="s">
        <v>471</v>
      </c>
      <c r="L167" s="378" t="s">
        <v>165</v>
      </c>
      <c r="M167" s="380">
        <v>2400</v>
      </c>
      <c r="N167" s="380" t="s">
        <v>443</v>
      </c>
      <c r="O167" s="380" t="s">
        <v>443</v>
      </c>
      <c r="P167" s="380" t="s">
        <v>443</v>
      </c>
      <c r="Q167" s="381">
        <v>223</v>
      </c>
      <c r="R167" s="381">
        <v>223</v>
      </c>
      <c r="S167" s="381">
        <v>7.17E-2</v>
      </c>
      <c r="T167" s="381">
        <v>0</v>
      </c>
      <c r="U167" s="381">
        <v>0</v>
      </c>
      <c r="V167" s="382">
        <v>223.07169999999999</v>
      </c>
      <c r="W167" s="382">
        <v>0</v>
      </c>
      <c r="X167" s="381">
        <v>9.2916666666666661E-2</v>
      </c>
      <c r="Y167" s="381">
        <v>9.2916666666666661E-2</v>
      </c>
      <c r="Z167" s="381">
        <v>2.9875000000000001E-5</v>
      </c>
      <c r="AA167" s="381">
        <v>0</v>
      </c>
      <c r="AB167" s="381">
        <v>0</v>
      </c>
      <c r="AC167" s="382">
        <v>9.294654166666666E-2</v>
      </c>
      <c r="AD167" s="382">
        <v>0</v>
      </c>
      <c r="AE167" s="381" t="s">
        <v>444</v>
      </c>
    </row>
    <row r="168" spans="1:31" ht="15" customHeight="1" x14ac:dyDescent="0.25">
      <c r="A168" s="20" t="s">
        <v>156</v>
      </c>
      <c r="B168" s="20" t="s">
        <v>157</v>
      </c>
      <c r="C168" s="20" t="s">
        <v>158</v>
      </c>
      <c r="D168" s="378" t="s">
        <v>475</v>
      </c>
      <c r="E168" s="384">
        <v>44613</v>
      </c>
      <c r="F168" s="384">
        <v>46439</v>
      </c>
      <c r="G168" s="378" t="s">
        <v>439</v>
      </c>
      <c r="H168" s="20" t="s">
        <v>455</v>
      </c>
      <c r="I168" s="378" t="s">
        <v>162</v>
      </c>
      <c r="J168" s="20" t="s">
        <v>163</v>
      </c>
      <c r="K168" s="378" t="s">
        <v>476</v>
      </c>
      <c r="L168" s="378" t="s">
        <v>165</v>
      </c>
      <c r="M168" s="380">
        <v>2400</v>
      </c>
      <c r="N168" s="380" t="s">
        <v>443</v>
      </c>
      <c r="O168" s="380" t="s">
        <v>443</v>
      </c>
      <c r="P168" s="380" t="s">
        <v>443</v>
      </c>
      <c r="Q168" s="381">
        <v>168</v>
      </c>
      <c r="R168" s="381">
        <v>0</v>
      </c>
      <c r="S168" s="381">
        <v>0</v>
      </c>
      <c r="T168" s="381">
        <v>0</v>
      </c>
      <c r="U168" s="381">
        <v>0</v>
      </c>
      <c r="V168" s="382">
        <v>168</v>
      </c>
      <c r="W168" s="382">
        <v>0</v>
      </c>
      <c r="X168" s="381">
        <v>7.0000000000000007E-2</v>
      </c>
      <c r="Y168" s="381">
        <v>0</v>
      </c>
      <c r="Z168" s="381">
        <v>0</v>
      </c>
      <c r="AA168" s="381">
        <v>0</v>
      </c>
      <c r="AB168" s="381">
        <v>0</v>
      </c>
      <c r="AC168" s="382">
        <v>7.0000000000000007E-2</v>
      </c>
      <c r="AD168" s="382">
        <v>0</v>
      </c>
      <c r="AE168" s="381" t="s">
        <v>444</v>
      </c>
    </row>
    <row r="169" spans="1:31" ht="15" customHeight="1" x14ac:dyDescent="0.25">
      <c r="A169" s="20" t="s">
        <v>156</v>
      </c>
      <c r="B169" s="20" t="s">
        <v>157</v>
      </c>
      <c r="C169" s="20" t="s">
        <v>158</v>
      </c>
      <c r="D169" s="378" t="s">
        <v>477</v>
      </c>
      <c r="E169" s="384">
        <v>44613</v>
      </c>
      <c r="F169" s="384">
        <v>46439</v>
      </c>
      <c r="G169" s="378" t="s">
        <v>439</v>
      </c>
      <c r="H169" s="20" t="s">
        <v>455</v>
      </c>
      <c r="I169" s="378" t="s">
        <v>162</v>
      </c>
      <c r="J169" s="20" t="s">
        <v>163</v>
      </c>
      <c r="K169" s="378" t="s">
        <v>476</v>
      </c>
      <c r="L169" s="378" t="s">
        <v>165</v>
      </c>
      <c r="M169" s="380">
        <v>2400</v>
      </c>
      <c r="N169" s="380" t="s">
        <v>443</v>
      </c>
      <c r="O169" s="380" t="s">
        <v>443</v>
      </c>
      <c r="P169" s="380" t="s">
        <v>443</v>
      </c>
      <c r="Q169" s="381">
        <v>193</v>
      </c>
      <c r="R169" s="381">
        <v>0</v>
      </c>
      <c r="S169" s="381">
        <v>0</v>
      </c>
      <c r="T169" s="381">
        <v>0</v>
      </c>
      <c r="U169" s="381">
        <v>0</v>
      </c>
      <c r="V169" s="382">
        <v>193</v>
      </c>
      <c r="W169" s="382">
        <v>0</v>
      </c>
      <c r="X169" s="381">
        <v>8.0416666666666664E-2</v>
      </c>
      <c r="Y169" s="381">
        <v>0</v>
      </c>
      <c r="Z169" s="381">
        <v>0</v>
      </c>
      <c r="AA169" s="381">
        <v>0</v>
      </c>
      <c r="AB169" s="381">
        <v>0</v>
      </c>
      <c r="AC169" s="382">
        <v>8.0416666666666664E-2</v>
      </c>
      <c r="AD169" s="382">
        <v>0</v>
      </c>
      <c r="AE169" s="381" t="s">
        <v>444</v>
      </c>
    </row>
    <row r="170" spans="1:31" ht="15" customHeight="1" x14ac:dyDescent="0.25">
      <c r="A170" s="20" t="s">
        <v>156</v>
      </c>
      <c r="B170" s="20" t="s">
        <v>157</v>
      </c>
      <c r="C170" s="20" t="s">
        <v>158</v>
      </c>
      <c r="D170" s="378" t="s">
        <v>478</v>
      </c>
      <c r="E170" s="384">
        <v>44613</v>
      </c>
      <c r="F170" s="384">
        <v>46439</v>
      </c>
      <c r="G170" s="378" t="s">
        <v>439</v>
      </c>
      <c r="H170" s="20" t="s">
        <v>455</v>
      </c>
      <c r="I170" s="378" t="s">
        <v>162</v>
      </c>
      <c r="J170" s="20" t="s">
        <v>163</v>
      </c>
      <c r="K170" s="378" t="s">
        <v>476</v>
      </c>
      <c r="L170" s="378" t="s">
        <v>165</v>
      </c>
      <c r="M170" s="380">
        <v>2400</v>
      </c>
      <c r="N170" s="380" t="s">
        <v>443</v>
      </c>
      <c r="O170" s="380" t="s">
        <v>443</v>
      </c>
      <c r="P170" s="380" t="s">
        <v>443</v>
      </c>
      <c r="Q170" s="381">
        <v>229</v>
      </c>
      <c r="R170" s="381">
        <v>0</v>
      </c>
      <c r="S170" s="381">
        <v>0</v>
      </c>
      <c r="T170" s="381">
        <v>0</v>
      </c>
      <c r="U170" s="381">
        <v>0</v>
      </c>
      <c r="V170" s="382">
        <v>229</v>
      </c>
      <c r="W170" s="382">
        <v>0</v>
      </c>
      <c r="X170" s="381">
        <v>9.5416666666666664E-2</v>
      </c>
      <c r="Y170" s="381">
        <v>0</v>
      </c>
      <c r="Z170" s="381">
        <v>0</v>
      </c>
      <c r="AA170" s="381">
        <v>0</v>
      </c>
      <c r="AB170" s="381">
        <v>0</v>
      </c>
      <c r="AC170" s="382">
        <v>9.5416666666666664E-2</v>
      </c>
      <c r="AD170" s="382">
        <v>0</v>
      </c>
      <c r="AE170" s="381" t="s">
        <v>444</v>
      </c>
    </row>
    <row r="171" spans="1:31" ht="15" customHeight="1" x14ac:dyDescent="0.25">
      <c r="A171" s="20" t="s">
        <v>156</v>
      </c>
      <c r="B171" s="20" t="s">
        <v>157</v>
      </c>
      <c r="C171" s="20" t="s">
        <v>158</v>
      </c>
      <c r="D171" s="378" t="s">
        <v>479</v>
      </c>
      <c r="E171" s="384">
        <v>44613</v>
      </c>
      <c r="F171" s="384">
        <v>46439</v>
      </c>
      <c r="G171" s="378" t="s">
        <v>439</v>
      </c>
      <c r="H171" s="20" t="s">
        <v>455</v>
      </c>
      <c r="I171" s="378" t="s">
        <v>162</v>
      </c>
      <c r="J171" s="20" t="s">
        <v>163</v>
      </c>
      <c r="K171" s="378" t="s">
        <v>476</v>
      </c>
      <c r="L171" s="378" t="s">
        <v>165</v>
      </c>
      <c r="M171" s="380">
        <v>2400</v>
      </c>
      <c r="N171" s="380" t="s">
        <v>443</v>
      </c>
      <c r="O171" s="380" t="s">
        <v>443</v>
      </c>
      <c r="P171" s="380" t="s">
        <v>443</v>
      </c>
      <c r="Q171" s="381">
        <v>255</v>
      </c>
      <c r="R171" s="381">
        <v>0</v>
      </c>
      <c r="S171" s="381">
        <v>0</v>
      </c>
      <c r="T171" s="381">
        <v>0</v>
      </c>
      <c r="U171" s="381">
        <v>0</v>
      </c>
      <c r="V171" s="382">
        <v>255</v>
      </c>
      <c r="W171" s="382">
        <v>0</v>
      </c>
      <c r="X171" s="381">
        <v>0.10625</v>
      </c>
      <c r="Y171" s="381">
        <v>0</v>
      </c>
      <c r="Z171" s="381">
        <v>0</v>
      </c>
      <c r="AA171" s="381">
        <v>0</v>
      </c>
      <c r="AB171" s="381">
        <v>0</v>
      </c>
      <c r="AC171" s="382">
        <v>0.10625</v>
      </c>
      <c r="AD171" s="382">
        <v>0</v>
      </c>
      <c r="AE171" s="381" t="s">
        <v>444</v>
      </c>
    </row>
    <row r="172" spans="1:31" ht="15" customHeight="1" x14ac:dyDescent="0.25">
      <c r="A172" s="20" t="s">
        <v>156</v>
      </c>
      <c r="B172" s="20" t="s">
        <v>157</v>
      </c>
      <c r="C172" s="20" t="s">
        <v>158</v>
      </c>
      <c r="D172" s="378" t="s">
        <v>480</v>
      </c>
      <c r="E172" s="384">
        <v>44613</v>
      </c>
      <c r="F172" s="384">
        <v>46439</v>
      </c>
      <c r="G172" s="378" t="s">
        <v>439</v>
      </c>
      <c r="H172" s="20" t="s">
        <v>455</v>
      </c>
      <c r="I172" s="378" t="s">
        <v>162</v>
      </c>
      <c r="J172" s="20" t="s">
        <v>163</v>
      </c>
      <c r="K172" s="378" t="s">
        <v>476</v>
      </c>
      <c r="L172" s="378" t="s">
        <v>165</v>
      </c>
      <c r="M172" s="380">
        <v>2400</v>
      </c>
      <c r="N172" s="380" t="s">
        <v>443</v>
      </c>
      <c r="O172" s="380" t="s">
        <v>443</v>
      </c>
      <c r="P172" s="380" t="s">
        <v>443</v>
      </c>
      <c r="Q172" s="381">
        <v>202</v>
      </c>
      <c r="R172" s="381">
        <v>0</v>
      </c>
      <c r="S172" s="381">
        <v>0</v>
      </c>
      <c r="T172" s="381">
        <v>0</v>
      </c>
      <c r="U172" s="381">
        <v>0</v>
      </c>
      <c r="V172" s="382">
        <v>202</v>
      </c>
      <c r="W172" s="382">
        <v>0</v>
      </c>
      <c r="X172" s="381">
        <v>8.4166666666666667E-2</v>
      </c>
      <c r="Y172" s="381">
        <v>0</v>
      </c>
      <c r="Z172" s="381">
        <v>0</v>
      </c>
      <c r="AA172" s="381">
        <v>0</v>
      </c>
      <c r="AB172" s="381">
        <v>0</v>
      </c>
      <c r="AC172" s="382">
        <v>8.4166666666666667E-2</v>
      </c>
      <c r="AD172" s="382">
        <v>0</v>
      </c>
      <c r="AE172" s="381" t="s">
        <v>444</v>
      </c>
    </row>
    <row r="173" spans="1:31" ht="15" customHeight="1" x14ac:dyDescent="0.25">
      <c r="A173" s="20" t="s">
        <v>156</v>
      </c>
      <c r="B173" s="20" t="s">
        <v>157</v>
      </c>
      <c r="C173" s="20" t="s">
        <v>158</v>
      </c>
      <c r="D173" s="378" t="s">
        <v>481</v>
      </c>
      <c r="E173" s="384">
        <v>44613</v>
      </c>
      <c r="F173" s="384">
        <v>46439</v>
      </c>
      <c r="G173" s="378" t="s">
        <v>439</v>
      </c>
      <c r="H173" s="20" t="s">
        <v>455</v>
      </c>
      <c r="I173" s="378" t="s">
        <v>162</v>
      </c>
      <c r="J173" s="20" t="s">
        <v>163</v>
      </c>
      <c r="K173" s="378" t="s">
        <v>476</v>
      </c>
      <c r="L173" s="378" t="s">
        <v>165</v>
      </c>
      <c r="M173" s="380">
        <v>2400</v>
      </c>
      <c r="N173" s="380" t="s">
        <v>443</v>
      </c>
      <c r="O173" s="380" t="s">
        <v>443</v>
      </c>
      <c r="P173" s="380" t="s">
        <v>443</v>
      </c>
      <c r="Q173" s="381">
        <v>261</v>
      </c>
      <c r="R173" s="381">
        <v>0</v>
      </c>
      <c r="S173" s="381">
        <v>0</v>
      </c>
      <c r="T173" s="381">
        <v>0</v>
      </c>
      <c r="U173" s="381">
        <v>0</v>
      </c>
      <c r="V173" s="382">
        <v>261</v>
      </c>
      <c r="W173" s="382">
        <v>0</v>
      </c>
      <c r="X173" s="381">
        <v>0.10875</v>
      </c>
      <c r="Y173" s="381">
        <v>0</v>
      </c>
      <c r="Z173" s="381">
        <v>0</v>
      </c>
      <c r="AA173" s="381">
        <v>0</v>
      </c>
      <c r="AB173" s="381">
        <v>0</v>
      </c>
      <c r="AC173" s="382">
        <v>0.10875</v>
      </c>
      <c r="AD173" s="382">
        <v>0</v>
      </c>
      <c r="AE173" s="381" t="s">
        <v>444</v>
      </c>
    </row>
    <row r="174" spans="1:31" ht="15" customHeight="1" x14ac:dyDescent="0.25">
      <c r="A174" s="20" t="s">
        <v>156</v>
      </c>
      <c r="B174" s="20" t="s">
        <v>157</v>
      </c>
      <c r="C174" s="20" t="s">
        <v>158</v>
      </c>
      <c r="D174" s="378" t="s">
        <v>482</v>
      </c>
      <c r="E174" s="384">
        <v>44613</v>
      </c>
      <c r="F174" s="384">
        <v>46439</v>
      </c>
      <c r="G174" s="378" t="s">
        <v>439</v>
      </c>
      <c r="H174" s="20" t="s">
        <v>455</v>
      </c>
      <c r="I174" s="378" t="s">
        <v>162</v>
      </c>
      <c r="J174" s="20" t="s">
        <v>163</v>
      </c>
      <c r="K174" s="378" t="s">
        <v>476</v>
      </c>
      <c r="L174" s="378" t="s">
        <v>165</v>
      </c>
      <c r="M174" s="380">
        <v>2400</v>
      </c>
      <c r="N174" s="380" t="s">
        <v>443</v>
      </c>
      <c r="O174" s="380" t="s">
        <v>443</v>
      </c>
      <c r="P174" s="380" t="s">
        <v>443</v>
      </c>
      <c r="Q174" s="381">
        <v>240</v>
      </c>
      <c r="R174" s="381">
        <v>0</v>
      </c>
      <c r="S174" s="381">
        <v>0</v>
      </c>
      <c r="T174" s="381">
        <v>0</v>
      </c>
      <c r="U174" s="381">
        <v>0</v>
      </c>
      <c r="V174" s="382">
        <v>240</v>
      </c>
      <c r="W174" s="382">
        <v>0</v>
      </c>
      <c r="X174" s="381">
        <v>0.1</v>
      </c>
      <c r="Y174" s="381">
        <v>0</v>
      </c>
      <c r="Z174" s="381">
        <v>0</v>
      </c>
      <c r="AA174" s="381">
        <v>0</v>
      </c>
      <c r="AB174" s="381">
        <v>0</v>
      </c>
      <c r="AC174" s="382">
        <v>0.1</v>
      </c>
      <c r="AD174" s="382">
        <v>0</v>
      </c>
      <c r="AE174" s="381" t="s">
        <v>444</v>
      </c>
    </row>
    <row r="175" spans="1:31" ht="15" customHeight="1" x14ac:dyDescent="0.25">
      <c r="A175" s="20" t="s">
        <v>156</v>
      </c>
      <c r="B175" s="20" t="s">
        <v>157</v>
      </c>
      <c r="C175" s="20" t="s">
        <v>158</v>
      </c>
      <c r="D175" s="378" t="s">
        <v>483</v>
      </c>
      <c r="E175" s="384">
        <v>44613</v>
      </c>
      <c r="F175" s="384">
        <v>46439</v>
      </c>
      <c r="G175" s="378" t="s">
        <v>439</v>
      </c>
      <c r="H175" s="20" t="s">
        <v>455</v>
      </c>
      <c r="I175" s="378" t="s">
        <v>162</v>
      </c>
      <c r="J175" s="20" t="s">
        <v>163</v>
      </c>
      <c r="K175" s="378" t="s">
        <v>476</v>
      </c>
      <c r="L175" s="378" t="s">
        <v>165</v>
      </c>
      <c r="M175" s="380">
        <v>2400</v>
      </c>
      <c r="N175" s="380" t="s">
        <v>443</v>
      </c>
      <c r="O175" s="380" t="s">
        <v>443</v>
      </c>
      <c r="P175" s="380" t="s">
        <v>443</v>
      </c>
      <c r="Q175" s="381">
        <v>233</v>
      </c>
      <c r="R175" s="381">
        <v>0</v>
      </c>
      <c r="S175" s="381">
        <v>0</v>
      </c>
      <c r="T175" s="381">
        <v>0</v>
      </c>
      <c r="U175" s="381">
        <v>0</v>
      </c>
      <c r="V175" s="382">
        <v>233</v>
      </c>
      <c r="W175" s="382">
        <v>0</v>
      </c>
      <c r="X175" s="381">
        <v>9.7083333333333327E-2</v>
      </c>
      <c r="Y175" s="381">
        <v>0</v>
      </c>
      <c r="Z175" s="381">
        <v>0</v>
      </c>
      <c r="AA175" s="381">
        <v>0</v>
      </c>
      <c r="AB175" s="381">
        <v>0</v>
      </c>
      <c r="AC175" s="382">
        <v>9.7083333333333327E-2</v>
      </c>
      <c r="AD175" s="382">
        <v>0</v>
      </c>
      <c r="AE175" s="381" t="s">
        <v>444</v>
      </c>
    </row>
    <row r="176" spans="1:31" ht="15" customHeight="1" x14ac:dyDescent="0.25">
      <c r="A176" s="20" t="s">
        <v>156</v>
      </c>
      <c r="B176" s="20" t="s">
        <v>157</v>
      </c>
      <c r="C176" s="20" t="s">
        <v>158</v>
      </c>
      <c r="D176" s="378" t="s">
        <v>484</v>
      </c>
      <c r="E176" s="384">
        <v>44613</v>
      </c>
      <c r="F176" s="384">
        <v>46439</v>
      </c>
      <c r="G176" s="378" t="s">
        <v>439</v>
      </c>
      <c r="H176" s="20" t="s">
        <v>455</v>
      </c>
      <c r="I176" s="378" t="s">
        <v>162</v>
      </c>
      <c r="J176" s="20" t="s">
        <v>163</v>
      </c>
      <c r="K176" s="378" t="s">
        <v>476</v>
      </c>
      <c r="L176" s="378" t="s">
        <v>165</v>
      </c>
      <c r="M176" s="380">
        <v>2400</v>
      </c>
      <c r="N176" s="380" t="s">
        <v>443</v>
      </c>
      <c r="O176" s="380" t="s">
        <v>443</v>
      </c>
      <c r="P176" s="380" t="s">
        <v>443</v>
      </c>
      <c r="Q176" s="381">
        <v>252</v>
      </c>
      <c r="R176" s="381">
        <v>0</v>
      </c>
      <c r="S176" s="381">
        <v>0</v>
      </c>
      <c r="T176" s="381">
        <v>0</v>
      </c>
      <c r="U176" s="381">
        <v>0</v>
      </c>
      <c r="V176" s="382">
        <v>252</v>
      </c>
      <c r="W176" s="382">
        <v>0</v>
      </c>
      <c r="X176" s="381">
        <v>0.105</v>
      </c>
      <c r="Y176" s="381">
        <v>0</v>
      </c>
      <c r="Z176" s="381">
        <v>0</v>
      </c>
      <c r="AA176" s="381">
        <v>0</v>
      </c>
      <c r="AB176" s="381">
        <v>0</v>
      </c>
      <c r="AC176" s="382">
        <v>0.105</v>
      </c>
      <c r="AD176" s="382">
        <v>0</v>
      </c>
      <c r="AE176" s="381" t="s">
        <v>444</v>
      </c>
    </row>
    <row r="177" spans="1:31" ht="15" customHeight="1" x14ac:dyDescent="0.25">
      <c r="A177" s="20" t="s">
        <v>156</v>
      </c>
      <c r="B177" s="20" t="s">
        <v>157</v>
      </c>
      <c r="C177" s="20" t="s">
        <v>158</v>
      </c>
      <c r="D177" s="378" t="s">
        <v>475</v>
      </c>
      <c r="E177" s="384">
        <v>44613</v>
      </c>
      <c r="F177" s="384">
        <v>46439</v>
      </c>
      <c r="G177" s="378" t="s">
        <v>439</v>
      </c>
      <c r="H177" s="20" t="s">
        <v>455</v>
      </c>
      <c r="I177" s="378" t="s">
        <v>162</v>
      </c>
      <c r="J177" s="20" t="s">
        <v>163</v>
      </c>
      <c r="K177" s="378" t="s">
        <v>476</v>
      </c>
      <c r="L177" s="378" t="s">
        <v>165</v>
      </c>
      <c r="M177" s="380">
        <v>2400</v>
      </c>
      <c r="N177" s="380" t="s">
        <v>443</v>
      </c>
      <c r="O177" s="380" t="s">
        <v>443</v>
      </c>
      <c r="P177" s="380" t="s">
        <v>443</v>
      </c>
      <c r="Q177" s="381">
        <v>168</v>
      </c>
      <c r="R177" s="381">
        <v>0</v>
      </c>
      <c r="S177" s="381">
        <v>0</v>
      </c>
      <c r="T177" s="381">
        <v>0</v>
      </c>
      <c r="U177" s="381">
        <v>0</v>
      </c>
      <c r="V177" s="382">
        <v>168</v>
      </c>
      <c r="W177" s="382">
        <v>0</v>
      </c>
      <c r="X177" s="381">
        <v>7.0000000000000007E-2</v>
      </c>
      <c r="Y177" s="381">
        <v>0</v>
      </c>
      <c r="Z177" s="381">
        <v>0</v>
      </c>
      <c r="AA177" s="381">
        <v>0</v>
      </c>
      <c r="AB177" s="381">
        <v>0</v>
      </c>
      <c r="AC177" s="382">
        <v>7.0000000000000007E-2</v>
      </c>
      <c r="AD177" s="382">
        <v>0</v>
      </c>
      <c r="AE177" s="381" t="s">
        <v>444</v>
      </c>
    </row>
    <row r="178" spans="1:31" ht="15" customHeight="1" x14ac:dyDescent="0.25">
      <c r="A178" s="20" t="s">
        <v>156</v>
      </c>
      <c r="B178" s="20" t="s">
        <v>157</v>
      </c>
      <c r="C178" s="20" t="s">
        <v>158</v>
      </c>
      <c r="D178" s="378" t="s">
        <v>477</v>
      </c>
      <c r="E178" s="384">
        <v>44613</v>
      </c>
      <c r="F178" s="384">
        <v>46439</v>
      </c>
      <c r="G178" s="378" t="s">
        <v>439</v>
      </c>
      <c r="H178" s="20" t="s">
        <v>455</v>
      </c>
      <c r="I178" s="378" t="s">
        <v>162</v>
      </c>
      <c r="J178" s="20" t="s">
        <v>163</v>
      </c>
      <c r="K178" s="378" t="s">
        <v>476</v>
      </c>
      <c r="L178" s="378" t="s">
        <v>165</v>
      </c>
      <c r="M178" s="380">
        <v>2400</v>
      </c>
      <c r="N178" s="380" t="s">
        <v>443</v>
      </c>
      <c r="O178" s="380" t="s">
        <v>443</v>
      </c>
      <c r="P178" s="380" t="s">
        <v>443</v>
      </c>
      <c r="Q178" s="381">
        <v>193</v>
      </c>
      <c r="R178" s="381">
        <v>0</v>
      </c>
      <c r="S178" s="381">
        <v>0</v>
      </c>
      <c r="T178" s="381">
        <v>0</v>
      </c>
      <c r="U178" s="381">
        <v>0</v>
      </c>
      <c r="V178" s="382">
        <v>193</v>
      </c>
      <c r="W178" s="382">
        <v>0</v>
      </c>
      <c r="X178" s="381">
        <v>8.0416666666666664E-2</v>
      </c>
      <c r="Y178" s="381">
        <v>0</v>
      </c>
      <c r="Z178" s="381">
        <v>0</v>
      </c>
      <c r="AA178" s="381">
        <v>0</v>
      </c>
      <c r="AB178" s="381">
        <v>0</v>
      </c>
      <c r="AC178" s="382">
        <v>8.0416666666666664E-2</v>
      </c>
      <c r="AD178" s="382">
        <v>0</v>
      </c>
      <c r="AE178" s="381" t="s">
        <v>444</v>
      </c>
    </row>
    <row r="179" spans="1:31" ht="15" customHeight="1" x14ac:dyDescent="0.25">
      <c r="A179" s="20" t="s">
        <v>156</v>
      </c>
      <c r="B179" s="20" t="s">
        <v>157</v>
      </c>
      <c r="C179" s="20" t="s">
        <v>158</v>
      </c>
      <c r="D179" s="378" t="s">
        <v>478</v>
      </c>
      <c r="E179" s="384">
        <v>44613</v>
      </c>
      <c r="F179" s="384">
        <v>46439</v>
      </c>
      <c r="G179" s="378" t="s">
        <v>439</v>
      </c>
      <c r="H179" s="20" t="s">
        <v>455</v>
      </c>
      <c r="I179" s="378" t="s">
        <v>162</v>
      </c>
      <c r="J179" s="20" t="s">
        <v>163</v>
      </c>
      <c r="K179" s="378" t="s">
        <v>476</v>
      </c>
      <c r="L179" s="378" t="s">
        <v>165</v>
      </c>
      <c r="M179" s="380">
        <v>2400</v>
      </c>
      <c r="N179" s="380" t="s">
        <v>443</v>
      </c>
      <c r="O179" s="380" t="s">
        <v>443</v>
      </c>
      <c r="P179" s="380" t="s">
        <v>443</v>
      </c>
      <c r="Q179" s="381">
        <v>229</v>
      </c>
      <c r="R179" s="381">
        <v>0</v>
      </c>
      <c r="S179" s="381">
        <v>0</v>
      </c>
      <c r="T179" s="381">
        <v>0</v>
      </c>
      <c r="U179" s="381">
        <v>0</v>
      </c>
      <c r="V179" s="382">
        <v>229</v>
      </c>
      <c r="W179" s="382">
        <v>0</v>
      </c>
      <c r="X179" s="381">
        <v>9.5416666666666664E-2</v>
      </c>
      <c r="Y179" s="381">
        <v>0</v>
      </c>
      <c r="Z179" s="381">
        <v>0</v>
      </c>
      <c r="AA179" s="381">
        <v>0</v>
      </c>
      <c r="AB179" s="381">
        <v>0</v>
      </c>
      <c r="AC179" s="382">
        <v>9.5416666666666664E-2</v>
      </c>
      <c r="AD179" s="382">
        <v>0</v>
      </c>
      <c r="AE179" s="381" t="s">
        <v>444</v>
      </c>
    </row>
    <row r="180" spans="1:31" ht="15" customHeight="1" x14ac:dyDescent="0.25">
      <c r="A180" s="20" t="s">
        <v>156</v>
      </c>
      <c r="B180" s="20" t="s">
        <v>157</v>
      </c>
      <c r="C180" s="20" t="s">
        <v>158</v>
      </c>
      <c r="D180" s="378" t="s">
        <v>479</v>
      </c>
      <c r="E180" s="384">
        <v>44613</v>
      </c>
      <c r="F180" s="384">
        <v>46439</v>
      </c>
      <c r="G180" s="378" t="s">
        <v>439</v>
      </c>
      <c r="H180" s="20" t="s">
        <v>455</v>
      </c>
      <c r="I180" s="378" t="s">
        <v>162</v>
      </c>
      <c r="J180" s="20" t="s">
        <v>163</v>
      </c>
      <c r="K180" s="378" t="s">
        <v>476</v>
      </c>
      <c r="L180" s="378" t="s">
        <v>165</v>
      </c>
      <c r="M180" s="380">
        <v>2400</v>
      </c>
      <c r="N180" s="380" t="s">
        <v>443</v>
      </c>
      <c r="O180" s="380" t="s">
        <v>443</v>
      </c>
      <c r="P180" s="380" t="s">
        <v>443</v>
      </c>
      <c r="Q180" s="381">
        <v>255</v>
      </c>
      <c r="R180" s="381">
        <v>0</v>
      </c>
      <c r="S180" s="381">
        <v>0</v>
      </c>
      <c r="T180" s="381">
        <v>0</v>
      </c>
      <c r="U180" s="381">
        <v>0</v>
      </c>
      <c r="V180" s="382">
        <v>255</v>
      </c>
      <c r="W180" s="382">
        <v>0</v>
      </c>
      <c r="X180" s="381">
        <v>0.10625</v>
      </c>
      <c r="Y180" s="381">
        <v>0</v>
      </c>
      <c r="Z180" s="381">
        <v>0</v>
      </c>
      <c r="AA180" s="381">
        <v>0</v>
      </c>
      <c r="AB180" s="381">
        <v>0</v>
      </c>
      <c r="AC180" s="382">
        <v>0.10625</v>
      </c>
      <c r="AD180" s="382">
        <v>0</v>
      </c>
      <c r="AE180" s="381" t="s">
        <v>444</v>
      </c>
    </row>
    <row r="181" spans="1:31" ht="15" customHeight="1" x14ac:dyDescent="0.25">
      <c r="A181" s="20" t="s">
        <v>156</v>
      </c>
      <c r="B181" s="20" t="s">
        <v>157</v>
      </c>
      <c r="C181" s="20" t="s">
        <v>158</v>
      </c>
      <c r="D181" s="378" t="s">
        <v>480</v>
      </c>
      <c r="E181" s="384">
        <v>44613</v>
      </c>
      <c r="F181" s="384">
        <v>46439</v>
      </c>
      <c r="G181" s="378" t="s">
        <v>439</v>
      </c>
      <c r="H181" s="20" t="s">
        <v>455</v>
      </c>
      <c r="I181" s="378" t="s">
        <v>162</v>
      </c>
      <c r="J181" s="20" t="s">
        <v>163</v>
      </c>
      <c r="K181" s="378" t="s">
        <v>476</v>
      </c>
      <c r="L181" s="378" t="s">
        <v>165</v>
      </c>
      <c r="M181" s="380">
        <v>2400</v>
      </c>
      <c r="N181" s="380" t="s">
        <v>443</v>
      </c>
      <c r="O181" s="380" t="s">
        <v>443</v>
      </c>
      <c r="P181" s="380" t="s">
        <v>443</v>
      </c>
      <c r="Q181" s="381">
        <v>202</v>
      </c>
      <c r="R181" s="381">
        <v>0</v>
      </c>
      <c r="S181" s="381">
        <v>0</v>
      </c>
      <c r="T181" s="381">
        <v>0</v>
      </c>
      <c r="U181" s="381">
        <v>0</v>
      </c>
      <c r="V181" s="382">
        <v>202</v>
      </c>
      <c r="W181" s="382">
        <v>0</v>
      </c>
      <c r="X181" s="381">
        <v>8.4166666666666667E-2</v>
      </c>
      <c r="Y181" s="381">
        <v>0</v>
      </c>
      <c r="Z181" s="381">
        <v>0</v>
      </c>
      <c r="AA181" s="381">
        <v>0</v>
      </c>
      <c r="AB181" s="381">
        <v>0</v>
      </c>
      <c r="AC181" s="382">
        <v>8.4166666666666667E-2</v>
      </c>
      <c r="AD181" s="382">
        <v>0</v>
      </c>
      <c r="AE181" s="381" t="s">
        <v>444</v>
      </c>
    </row>
    <row r="182" spans="1:31" ht="15" customHeight="1" x14ac:dyDescent="0.25">
      <c r="A182" s="20" t="s">
        <v>156</v>
      </c>
      <c r="B182" s="20" t="s">
        <v>157</v>
      </c>
      <c r="C182" s="20" t="s">
        <v>158</v>
      </c>
      <c r="D182" s="378" t="s">
        <v>481</v>
      </c>
      <c r="E182" s="384">
        <v>44613</v>
      </c>
      <c r="F182" s="384">
        <v>46439</v>
      </c>
      <c r="G182" s="378" t="s">
        <v>439</v>
      </c>
      <c r="H182" s="20" t="s">
        <v>455</v>
      </c>
      <c r="I182" s="378" t="s">
        <v>162</v>
      </c>
      <c r="J182" s="20" t="s">
        <v>163</v>
      </c>
      <c r="K182" s="378" t="s">
        <v>476</v>
      </c>
      <c r="L182" s="378" t="s">
        <v>165</v>
      </c>
      <c r="M182" s="380">
        <v>2400</v>
      </c>
      <c r="N182" s="380" t="s">
        <v>443</v>
      </c>
      <c r="O182" s="380" t="s">
        <v>443</v>
      </c>
      <c r="P182" s="380" t="s">
        <v>443</v>
      </c>
      <c r="Q182" s="381">
        <v>261</v>
      </c>
      <c r="R182" s="381">
        <v>0</v>
      </c>
      <c r="S182" s="381">
        <v>0</v>
      </c>
      <c r="T182" s="381">
        <v>0</v>
      </c>
      <c r="U182" s="381">
        <v>0</v>
      </c>
      <c r="V182" s="382">
        <v>261</v>
      </c>
      <c r="W182" s="382">
        <v>0</v>
      </c>
      <c r="X182" s="381">
        <v>0.10875</v>
      </c>
      <c r="Y182" s="381">
        <v>0</v>
      </c>
      <c r="Z182" s="381">
        <v>0</v>
      </c>
      <c r="AA182" s="381">
        <v>0</v>
      </c>
      <c r="AB182" s="381">
        <v>0</v>
      </c>
      <c r="AC182" s="382">
        <v>0.10875</v>
      </c>
      <c r="AD182" s="382">
        <v>0</v>
      </c>
      <c r="AE182" s="381" t="s">
        <v>444</v>
      </c>
    </row>
    <row r="183" spans="1:31" ht="15" customHeight="1" x14ac:dyDescent="0.25">
      <c r="A183" s="20" t="s">
        <v>156</v>
      </c>
      <c r="B183" s="20" t="s">
        <v>157</v>
      </c>
      <c r="C183" s="20" t="s">
        <v>158</v>
      </c>
      <c r="D183" s="378" t="s">
        <v>482</v>
      </c>
      <c r="E183" s="384">
        <v>44613</v>
      </c>
      <c r="F183" s="384">
        <v>46439</v>
      </c>
      <c r="G183" s="378" t="s">
        <v>439</v>
      </c>
      <c r="H183" s="20" t="s">
        <v>455</v>
      </c>
      <c r="I183" s="378" t="s">
        <v>162</v>
      </c>
      <c r="J183" s="20" t="s">
        <v>163</v>
      </c>
      <c r="K183" s="378" t="s">
        <v>476</v>
      </c>
      <c r="L183" s="378" t="s">
        <v>165</v>
      </c>
      <c r="M183" s="380">
        <v>2400</v>
      </c>
      <c r="N183" s="380" t="s">
        <v>443</v>
      </c>
      <c r="O183" s="380" t="s">
        <v>443</v>
      </c>
      <c r="P183" s="380" t="s">
        <v>443</v>
      </c>
      <c r="Q183" s="381">
        <v>240</v>
      </c>
      <c r="R183" s="381">
        <v>0</v>
      </c>
      <c r="S183" s="381">
        <v>0</v>
      </c>
      <c r="T183" s="381">
        <v>0</v>
      </c>
      <c r="U183" s="381">
        <v>0</v>
      </c>
      <c r="V183" s="382">
        <v>240</v>
      </c>
      <c r="W183" s="382">
        <v>0</v>
      </c>
      <c r="X183" s="381">
        <v>0.1</v>
      </c>
      <c r="Y183" s="381">
        <v>0</v>
      </c>
      <c r="Z183" s="381">
        <v>0</v>
      </c>
      <c r="AA183" s="381">
        <v>0</v>
      </c>
      <c r="AB183" s="381">
        <v>0</v>
      </c>
      <c r="AC183" s="382">
        <v>0.1</v>
      </c>
      <c r="AD183" s="382">
        <v>0</v>
      </c>
      <c r="AE183" s="381" t="s">
        <v>444</v>
      </c>
    </row>
    <row r="184" spans="1:31" ht="15" customHeight="1" x14ac:dyDescent="0.25">
      <c r="A184" s="20" t="s">
        <v>156</v>
      </c>
      <c r="B184" s="20" t="s">
        <v>157</v>
      </c>
      <c r="C184" s="20" t="s">
        <v>158</v>
      </c>
      <c r="D184" s="378" t="s">
        <v>483</v>
      </c>
      <c r="E184" s="384">
        <v>44613</v>
      </c>
      <c r="F184" s="384">
        <v>46439</v>
      </c>
      <c r="G184" s="378" t="s">
        <v>439</v>
      </c>
      <c r="H184" s="20" t="s">
        <v>455</v>
      </c>
      <c r="I184" s="378" t="s">
        <v>162</v>
      </c>
      <c r="J184" s="20" t="s">
        <v>163</v>
      </c>
      <c r="K184" s="378" t="s">
        <v>476</v>
      </c>
      <c r="L184" s="378" t="s">
        <v>165</v>
      </c>
      <c r="M184" s="380">
        <v>2400</v>
      </c>
      <c r="N184" s="380" t="s">
        <v>443</v>
      </c>
      <c r="O184" s="380" t="s">
        <v>443</v>
      </c>
      <c r="P184" s="380" t="s">
        <v>443</v>
      </c>
      <c r="Q184" s="381">
        <v>233</v>
      </c>
      <c r="R184" s="381">
        <v>0</v>
      </c>
      <c r="S184" s="381">
        <v>0</v>
      </c>
      <c r="T184" s="381">
        <v>0</v>
      </c>
      <c r="U184" s="381">
        <v>0</v>
      </c>
      <c r="V184" s="382">
        <v>233</v>
      </c>
      <c r="W184" s="382">
        <v>0</v>
      </c>
      <c r="X184" s="381">
        <v>9.7083333333333327E-2</v>
      </c>
      <c r="Y184" s="381">
        <v>0</v>
      </c>
      <c r="Z184" s="381">
        <v>0</v>
      </c>
      <c r="AA184" s="381">
        <v>0</v>
      </c>
      <c r="AB184" s="381">
        <v>0</v>
      </c>
      <c r="AC184" s="382">
        <v>9.7083333333333327E-2</v>
      </c>
      <c r="AD184" s="382">
        <v>0</v>
      </c>
      <c r="AE184" s="381" t="s">
        <v>444</v>
      </c>
    </row>
    <row r="185" spans="1:31" ht="15" customHeight="1" x14ac:dyDescent="0.25">
      <c r="A185" s="20" t="s">
        <v>156</v>
      </c>
      <c r="B185" s="20" t="s">
        <v>157</v>
      </c>
      <c r="C185" s="20" t="s">
        <v>158</v>
      </c>
      <c r="D185" s="378" t="s">
        <v>484</v>
      </c>
      <c r="E185" s="384">
        <v>44613</v>
      </c>
      <c r="F185" s="384">
        <v>46439</v>
      </c>
      <c r="G185" s="378" t="s">
        <v>439</v>
      </c>
      <c r="H185" s="20" t="s">
        <v>455</v>
      </c>
      <c r="I185" s="378" t="s">
        <v>162</v>
      </c>
      <c r="J185" s="20" t="s">
        <v>163</v>
      </c>
      <c r="K185" s="378" t="s">
        <v>476</v>
      </c>
      <c r="L185" s="378" t="s">
        <v>165</v>
      </c>
      <c r="M185" s="380">
        <v>2400</v>
      </c>
      <c r="N185" s="380" t="s">
        <v>443</v>
      </c>
      <c r="O185" s="380" t="s">
        <v>443</v>
      </c>
      <c r="P185" s="380" t="s">
        <v>443</v>
      </c>
      <c r="Q185" s="381">
        <v>252</v>
      </c>
      <c r="R185" s="381">
        <v>0</v>
      </c>
      <c r="S185" s="381">
        <v>0</v>
      </c>
      <c r="T185" s="381">
        <v>0</v>
      </c>
      <c r="U185" s="381">
        <v>0</v>
      </c>
      <c r="V185" s="382">
        <v>252</v>
      </c>
      <c r="W185" s="382">
        <v>0</v>
      </c>
      <c r="X185" s="381">
        <v>0.105</v>
      </c>
      <c r="Y185" s="381">
        <v>0</v>
      </c>
      <c r="Z185" s="381">
        <v>0</v>
      </c>
      <c r="AA185" s="381">
        <v>0</v>
      </c>
      <c r="AB185" s="381">
        <v>0</v>
      </c>
      <c r="AC185" s="382">
        <v>0.105</v>
      </c>
      <c r="AD185" s="382">
        <v>0</v>
      </c>
      <c r="AE185" s="381" t="s">
        <v>444</v>
      </c>
    </row>
    <row r="186" spans="1:31" ht="15" customHeight="1" x14ac:dyDescent="0.25">
      <c r="A186" s="20" t="s">
        <v>156</v>
      </c>
      <c r="B186" s="20" t="s">
        <v>157</v>
      </c>
      <c r="C186" s="20" t="s">
        <v>158</v>
      </c>
      <c r="D186" s="378" t="s">
        <v>475</v>
      </c>
      <c r="E186" s="384">
        <v>44613</v>
      </c>
      <c r="F186" s="384">
        <v>46439</v>
      </c>
      <c r="G186" s="378" t="s">
        <v>439</v>
      </c>
      <c r="H186" s="20" t="s">
        <v>455</v>
      </c>
      <c r="I186" s="378" t="s">
        <v>162</v>
      </c>
      <c r="J186" s="20" t="s">
        <v>163</v>
      </c>
      <c r="K186" s="378" t="s">
        <v>476</v>
      </c>
      <c r="L186" s="378" t="s">
        <v>165</v>
      </c>
      <c r="M186" s="380">
        <v>2400</v>
      </c>
      <c r="N186" s="380" t="s">
        <v>443</v>
      </c>
      <c r="O186" s="380" t="s">
        <v>443</v>
      </c>
      <c r="P186" s="380" t="s">
        <v>443</v>
      </c>
      <c r="Q186" s="381">
        <v>168</v>
      </c>
      <c r="R186" s="381">
        <v>0</v>
      </c>
      <c r="S186" s="381">
        <v>0</v>
      </c>
      <c r="T186" s="381">
        <v>0</v>
      </c>
      <c r="U186" s="381">
        <v>0</v>
      </c>
      <c r="V186" s="382">
        <v>168</v>
      </c>
      <c r="W186" s="382">
        <v>0</v>
      </c>
      <c r="X186" s="381">
        <v>7.0000000000000007E-2</v>
      </c>
      <c r="Y186" s="381">
        <v>0</v>
      </c>
      <c r="Z186" s="381">
        <v>0</v>
      </c>
      <c r="AA186" s="381">
        <v>0</v>
      </c>
      <c r="AB186" s="381">
        <v>0</v>
      </c>
      <c r="AC186" s="382">
        <v>7.0000000000000007E-2</v>
      </c>
      <c r="AD186" s="382">
        <v>0</v>
      </c>
      <c r="AE186" s="381" t="s">
        <v>444</v>
      </c>
    </row>
    <row r="187" spans="1:31" ht="15" customHeight="1" x14ac:dyDescent="0.25">
      <c r="A187" s="20" t="s">
        <v>156</v>
      </c>
      <c r="B187" s="20" t="s">
        <v>157</v>
      </c>
      <c r="C187" s="20" t="s">
        <v>158</v>
      </c>
      <c r="D187" s="378" t="s">
        <v>477</v>
      </c>
      <c r="E187" s="384">
        <v>44613</v>
      </c>
      <c r="F187" s="384">
        <v>46439</v>
      </c>
      <c r="G187" s="378" t="s">
        <v>439</v>
      </c>
      <c r="H187" s="20" t="s">
        <v>455</v>
      </c>
      <c r="I187" s="378" t="s">
        <v>162</v>
      </c>
      <c r="J187" s="20" t="s">
        <v>163</v>
      </c>
      <c r="K187" s="378" t="s">
        <v>476</v>
      </c>
      <c r="L187" s="378" t="s">
        <v>165</v>
      </c>
      <c r="M187" s="380">
        <v>2400</v>
      </c>
      <c r="N187" s="380" t="s">
        <v>443</v>
      </c>
      <c r="O187" s="380" t="s">
        <v>443</v>
      </c>
      <c r="P187" s="380" t="s">
        <v>443</v>
      </c>
      <c r="Q187" s="381">
        <v>193</v>
      </c>
      <c r="R187" s="381">
        <v>0</v>
      </c>
      <c r="S187" s="381">
        <v>0</v>
      </c>
      <c r="T187" s="381">
        <v>0</v>
      </c>
      <c r="U187" s="381">
        <v>0</v>
      </c>
      <c r="V187" s="382">
        <v>193</v>
      </c>
      <c r="W187" s="382">
        <v>0</v>
      </c>
      <c r="X187" s="381">
        <v>8.0416666666666664E-2</v>
      </c>
      <c r="Y187" s="381">
        <v>0</v>
      </c>
      <c r="Z187" s="381">
        <v>0</v>
      </c>
      <c r="AA187" s="381">
        <v>0</v>
      </c>
      <c r="AB187" s="381">
        <v>0</v>
      </c>
      <c r="AC187" s="382">
        <v>8.0416666666666664E-2</v>
      </c>
      <c r="AD187" s="382">
        <v>0</v>
      </c>
      <c r="AE187" s="381" t="s">
        <v>444</v>
      </c>
    </row>
    <row r="188" spans="1:31" ht="15" customHeight="1" x14ac:dyDescent="0.25">
      <c r="A188" s="20" t="s">
        <v>156</v>
      </c>
      <c r="B188" s="20" t="s">
        <v>157</v>
      </c>
      <c r="C188" s="20" t="s">
        <v>158</v>
      </c>
      <c r="D188" s="378" t="s">
        <v>478</v>
      </c>
      <c r="E188" s="384">
        <v>44613</v>
      </c>
      <c r="F188" s="384">
        <v>46439</v>
      </c>
      <c r="G188" s="378" t="s">
        <v>439</v>
      </c>
      <c r="H188" s="20" t="s">
        <v>455</v>
      </c>
      <c r="I188" s="378" t="s">
        <v>162</v>
      </c>
      <c r="J188" s="20" t="s">
        <v>163</v>
      </c>
      <c r="K188" s="378" t="s">
        <v>476</v>
      </c>
      <c r="L188" s="378" t="s">
        <v>165</v>
      </c>
      <c r="M188" s="380">
        <v>2400</v>
      </c>
      <c r="N188" s="380" t="s">
        <v>443</v>
      </c>
      <c r="O188" s="380" t="s">
        <v>443</v>
      </c>
      <c r="P188" s="380" t="s">
        <v>443</v>
      </c>
      <c r="Q188" s="381">
        <v>229</v>
      </c>
      <c r="R188" s="381">
        <v>0</v>
      </c>
      <c r="S188" s="381">
        <v>0</v>
      </c>
      <c r="T188" s="381">
        <v>0</v>
      </c>
      <c r="U188" s="381">
        <v>0</v>
      </c>
      <c r="V188" s="382">
        <v>229</v>
      </c>
      <c r="W188" s="382">
        <v>0</v>
      </c>
      <c r="X188" s="381">
        <v>9.5416666666666664E-2</v>
      </c>
      <c r="Y188" s="381">
        <v>0</v>
      </c>
      <c r="Z188" s="381">
        <v>0</v>
      </c>
      <c r="AA188" s="381">
        <v>0</v>
      </c>
      <c r="AB188" s="381">
        <v>0</v>
      </c>
      <c r="AC188" s="382">
        <v>9.5416666666666664E-2</v>
      </c>
      <c r="AD188" s="382">
        <v>0</v>
      </c>
      <c r="AE188" s="381" t="s">
        <v>444</v>
      </c>
    </row>
    <row r="189" spans="1:31" ht="15" customHeight="1" x14ac:dyDescent="0.25">
      <c r="A189" s="20" t="s">
        <v>156</v>
      </c>
      <c r="B189" s="20" t="s">
        <v>157</v>
      </c>
      <c r="C189" s="20" t="s">
        <v>158</v>
      </c>
      <c r="D189" s="378" t="s">
        <v>479</v>
      </c>
      <c r="E189" s="384">
        <v>44613</v>
      </c>
      <c r="F189" s="384">
        <v>46439</v>
      </c>
      <c r="G189" s="378" t="s">
        <v>439</v>
      </c>
      <c r="H189" s="20" t="s">
        <v>455</v>
      </c>
      <c r="I189" s="378" t="s">
        <v>162</v>
      </c>
      <c r="J189" s="20" t="s">
        <v>163</v>
      </c>
      <c r="K189" s="378" t="s">
        <v>476</v>
      </c>
      <c r="L189" s="378" t="s">
        <v>165</v>
      </c>
      <c r="M189" s="380">
        <v>2400</v>
      </c>
      <c r="N189" s="380" t="s">
        <v>443</v>
      </c>
      <c r="O189" s="380" t="s">
        <v>443</v>
      </c>
      <c r="P189" s="380" t="s">
        <v>443</v>
      </c>
      <c r="Q189" s="381">
        <v>255</v>
      </c>
      <c r="R189" s="381">
        <v>0</v>
      </c>
      <c r="S189" s="381">
        <v>0</v>
      </c>
      <c r="T189" s="381">
        <v>0</v>
      </c>
      <c r="U189" s="381">
        <v>0</v>
      </c>
      <c r="V189" s="382">
        <v>255</v>
      </c>
      <c r="W189" s="382">
        <v>0</v>
      </c>
      <c r="X189" s="381">
        <v>0.10625</v>
      </c>
      <c r="Y189" s="381">
        <v>0</v>
      </c>
      <c r="Z189" s="381">
        <v>0</v>
      </c>
      <c r="AA189" s="381">
        <v>0</v>
      </c>
      <c r="AB189" s="381">
        <v>0</v>
      </c>
      <c r="AC189" s="382">
        <v>0.10625</v>
      </c>
      <c r="AD189" s="382">
        <v>0</v>
      </c>
      <c r="AE189" s="381" t="s">
        <v>444</v>
      </c>
    </row>
    <row r="190" spans="1:31" ht="15" customHeight="1" x14ac:dyDescent="0.25">
      <c r="A190" s="20" t="s">
        <v>156</v>
      </c>
      <c r="B190" s="20" t="s">
        <v>157</v>
      </c>
      <c r="C190" s="20" t="s">
        <v>158</v>
      </c>
      <c r="D190" s="378" t="s">
        <v>480</v>
      </c>
      <c r="E190" s="384">
        <v>44613</v>
      </c>
      <c r="F190" s="384">
        <v>46439</v>
      </c>
      <c r="G190" s="378" t="s">
        <v>439</v>
      </c>
      <c r="H190" s="20" t="s">
        <v>455</v>
      </c>
      <c r="I190" s="378" t="s">
        <v>162</v>
      </c>
      <c r="J190" s="20" t="s">
        <v>163</v>
      </c>
      <c r="K190" s="378" t="s">
        <v>476</v>
      </c>
      <c r="L190" s="378" t="s">
        <v>165</v>
      </c>
      <c r="M190" s="380">
        <v>2400</v>
      </c>
      <c r="N190" s="380" t="s">
        <v>443</v>
      </c>
      <c r="O190" s="380" t="s">
        <v>443</v>
      </c>
      <c r="P190" s="380" t="s">
        <v>443</v>
      </c>
      <c r="Q190" s="381">
        <v>202</v>
      </c>
      <c r="R190" s="381">
        <v>0</v>
      </c>
      <c r="S190" s="381">
        <v>0</v>
      </c>
      <c r="T190" s="381">
        <v>0</v>
      </c>
      <c r="U190" s="381">
        <v>0</v>
      </c>
      <c r="V190" s="382">
        <v>202</v>
      </c>
      <c r="W190" s="382">
        <v>0</v>
      </c>
      <c r="X190" s="381">
        <v>8.4166666666666667E-2</v>
      </c>
      <c r="Y190" s="381">
        <v>0</v>
      </c>
      <c r="Z190" s="381">
        <v>0</v>
      </c>
      <c r="AA190" s="381">
        <v>0</v>
      </c>
      <c r="AB190" s="381">
        <v>0</v>
      </c>
      <c r="AC190" s="382">
        <v>8.4166666666666667E-2</v>
      </c>
      <c r="AD190" s="382">
        <v>0</v>
      </c>
      <c r="AE190" s="381" t="s">
        <v>444</v>
      </c>
    </row>
    <row r="191" spans="1:31" ht="15" customHeight="1" x14ac:dyDescent="0.25">
      <c r="A191" s="20" t="s">
        <v>156</v>
      </c>
      <c r="B191" s="20" t="s">
        <v>157</v>
      </c>
      <c r="C191" s="20" t="s">
        <v>158</v>
      </c>
      <c r="D191" s="378" t="s">
        <v>481</v>
      </c>
      <c r="E191" s="384">
        <v>44613</v>
      </c>
      <c r="F191" s="384">
        <v>46439</v>
      </c>
      <c r="G191" s="378" t="s">
        <v>439</v>
      </c>
      <c r="H191" s="20" t="s">
        <v>455</v>
      </c>
      <c r="I191" s="378" t="s">
        <v>162</v>
      </c>
      <c r="J191" s="20" t="s">
        <v>163</v>
      </c>
      <c r="K191" s="378" t="s">
        <v>476</v>
      </c>
      <c r="L191" s="378" t="s">
        <v>165</v>
      </c>
      <c r="M191" s="380">
        <v>2400</v>
      </c>
      <c r="N191" s="380" t="s">
        <v>443</v>
      </c>
      <c r="O191" s="380" t="s">
        <v>443</v>
      </c>
      <c r="P191" s="380" t="s">
        <v>443</v>
      </c>
      <c r="Q191" s="381">
        <v>261</v>
      </c>
      <c r="R191" s="381">
        <v>0</v>
      </c>
      <c r="S191" s="381">
        <v>0</v>
      </c>
      <c r="T191" s="381">
        <v>0</v>
      </c>
      <c r="U191" s="381">
        <v>0</v>
      </c>
      <c r="V191" s="382">
        <v>261</v>
      </c>
      <c r="W191" s="382">
        <v>0</v>
      </c>
      <c r="X191" s="381">
        <v>0.10875</v>
      </c>
      <c r="Y191" s="381">
        <v>0</v>
      </c>
      <c r="Z191" s="381">
        <v>0</v>
      </c>
      <c r="AA191" s="381">
        <v>0</v>
      </c>
      <c r="AB191" s="381">
        <v>0</v>
      </c>
      <c r="AC191" s="382">
        <v>0.10875</v>
      </c>
      <c r="AD191" s="382">
        <v>0</v>
      </c>
      <c r="AE191" s="381" t="s">
        <v>444</v>
      </c>
    </row>
    <row r="192" spans="1:31" ht="15" customHeight="1" x14ac:dyDescent="0.25">
      <c r="A192" s="20" t="s">
        <v>156</v>
      </c>
      <c r="B192" s="20" t="s">
        <v>157</v>
      </c>
      <c r="C192" s="20" t="s">
        <v>158</v>
      </c>
      <c r="D192" s="378" t="s">
        <v>482</v>
      </c>
      <c r="E192" s="384">
        <v>44613</v>
      </c>
      <c r="F192" s="384">
        <v>46439</v>
      </c>
      <c r="G192" s="378" t="s">
        <v>439</v>
      </c>
      <c r="H192" s="20" t="s">
        <v>455</v>
      </c>
      <c r="I192" s="378" t="s">
        <v>162</v>
      </c>
      <c r="J192" s="20" t="s">
        <v>163</v>
      </c>
      <c r="K192" s="378" t="s">
        <v>476</v>
      </c>
      <c r="L192" s="378" t="s">
        <v>165</v>
      </c>
      <c r="M192" s="380">
        <v>2400</v>
      </c>
      <c r="N192" s="380" t="s">
        <v>443</v>
      </c>
      <c r="O192" s="380" t="s">
        <v>443</v>
      </c>
      <c r="P192" s="380" t="s">
        <v>443</v>
      </c>
      <c r="Q192" s="381">
        <v>240</v>
      </c>
      <c r="R192" s="381">
        <v>0</v>
      </c>
      <c r="S192" s="381">
        <v>0</v>
      </c>
      <c r="T192" s="381">
        <v>0</v>
      </c>
      <c r="U192" s="381">
        <v>0</v>
      </c>
      <c r="V192" s="382">
        <v>240</v>
      </c>
      <c r="W192" s="382">
        <v>0</v>
      </c>
      <c r="X192" s="381">
        <v>0.1</v>
      </c>
      <c r="Y192" s="381">
        <v>0</v>
      </c>
      <c r="Z192" s="381">
        <v>0</v>
      </c>
      <c r="AA192" s="381">
        <v>0</v>
      </c>
      <c r="AB192" s="381">
        <v>0</v>
      </c>
      <c r="AC192" s="382">
        <v>0.1</v>
      </c>
      <c r="AD192" s="382">
        <v>0</v>
      </c>
      <c r="AE192" s="381" t="s">
        <v>444</v>
      </c>
    </row>
    <row r="193" spans="1:31" ht="15" customHeight="1" x14ac:dyDescent="0.25">
      <c r="A193" s="20" t="s">
        <v>156</v>
      </c>
      <c r="B193" s="20" t="s">
        <v>157</v>
      </c>
      <c r="C193" s="20" t="s">
        <v>158</v>
      </c>
      <c r="D193" s="378" t="s">
        <v>483</v>
      </c>
      <c r="E193" s="384">
        <v>44613</v>
      </c>
      <c r="F193" s="384">
        <v>46439</v>
      </c>
      <c r="G193" s="378" t="s">
        <v>439</v>
      </c>
      <c r="H193" s="20" t="s">
        <v>455</v>
      </c>
      <c r="I193" s="378" t="s">
        <v>162</v>
      </c>
      <c r="J193" s="20" t="s">
        <v>163</v>
      </c>
      <c r="K193" s="378" t="s">
        <v>476</v>
      </c>
      <c r="L193" s="378" t="s">
        <v>165</v>
      </c>
      <c r="M193" s="380">
        <v>2400</v>
      </c>
      <c r="N193" s="380" t="s">
        <v>443</v>
      </c>
      <c r="O193" s="380" t="s">
        <v>443</v>
      </c>
      <c r="P193" s="380" t="s">
        <v>443</v>
      </c>
      <c r="Q193" s="381">
        <v>233</v>
      </c>
      <c r="R193" s="381">
        <v>0</v>
      </c>
      <c r="S193" s="381">
        <v>0</v>
      </c>
      <c r="T193" s="381">
        <v>0</v>
      </c>
      <c r="U193" s="381">
        <v>0</v>
      </c>
      <c r="V193" s="382">
        <v>233</v>
      </c>
      <c r="W193" s="382">
        <v>0</v>
      </c>
      <c r="X193" s="381">
        <v>9.7083333333333327E-2</v>
      </c>
      <c r="Y193" s="381">
        <v>0</v>
      </c>
      <c r="Z193" s="381">
        <v>0</v>
      </c>
      <c r="AA193" s="381">
        <v>0</v>
      </c>
      <c r="AB193" s="381">
        <v>0</v>
      </c>
      <c r="AC193" s="382">
        <v>9.7083333333333327E-2</v>
      </c>
      <c r="AD193" s="382">
        <v>0</v>
      </c>
      <c r="AE193" s="381" t="s">
        <v>444</v>
      </c>
    </row>
    <row r="194" spans="1:31" ht="15" customHeight="1" x14ac:dyDescent="0.25">
      <c r="A194" s="20" t="s">
        <v>156</v>
      </c>
      <c r="B194" s="20" t="s">
        <v>157</v>
      </c>
      <c r="C194" s="20" t="s">
        <v>158</v>
      </c>
      <c r="D194" s="378" t="s">
        <v>484</v>
      </c>
      <c r="E194" s="384">
        <v>44613</v>
      </c>
      <c r="F194" s="384">
        <v>46439</v>
      </c>
      <c r="G194" s="378" t="s">
        <v>439</v>
      </c>
      <c r="H194" s="20" t="s">
        <v>455</v>
      </c>
      <c r="I194" s="378" t="s">
        <v>162</v>
      </c>
      <c r="J194" s="20" t="s">
        <v>163</v>
      </c>
      <c r="K194" s="378" t="s">
        <v>476</v>
      </c>
      <c r="L194" s="378" t="s">
        <v>165</v>
      </c>
      <c r="M194" s="380">
        <v>2400</v>
      </c>
      <c r="N194" s="380" t="s">
        <v>443</v>
      </c>
      <c r="O194" s="380" t="s">
        <v>443</v>
      </c>
      <c r="P194" s="380" t="s">
        <v>443</v>
      </c>
      <c r="Q194" s="381">
        <v>252</v>
      </c>
      <c r="R194" s="381">
        <v>0</v>
      </c>
      <c r="S194" s="381">
        <v>0</v>
      </c>
      <c r="T194" s="381">
        <v>0</v>
      </c>
      <c r="U194" s="381">
        <v>0</v>
      </c>
      <c r="V194" s="382">
        <v>252</v>
      </c>
      <c r="W194" s="382">
        <v>0</v>
      </c>
      <c r="X194" s="381">
        <v>0.105</v>
      </c>
      <c r="Y194" s="381">
        <v>0</v>
      </c>
      <c r="Z194" s="381">
        <v>0</v>
      </c>
      <c r="AA194" s="381">
        <v>0</v>
      </c>
      <c r="AB194" s="381">
        <v>0</v>
      </c>
      <c r="AC194" s="382">
        <v>0.105</v>
      </c>
      <c r="AD194" s="382">
        <v>0</v>
      </c>
      <c r="AE194" s="381" t="s">
        <v>444</v>
      </c>
    </row>
    <row r="195" spans="1:31" ht="15" customHeight="1" x14ac:dyDescent="0.25">
      <c r="A195" s="20" t="s">
        <v>156</v>
      </c>
      <c r="B195" s="20" t="s">
        <v>157</v>
      </c>
      <c r="C195" s="20" t="s">
        <v>158</v>
      </c>
      <c r="D195" s="378" t="s">
        <v>475</v>
      </c>
      <c r="E195" s="384">
        <v>44613</v>
      </c>
      <c r="F195" s="384">
        <v>46439</v>
      </c>
      <c r="G195" s="378" t="s">
        <v>439</v>
      </c>
      <c r="H195" s="20" t="s">
        <v>455</v>
      </c>
      <c r="I195" s="378" t="s">
        <v>162</v>
      </c>
      <c r="J195" s="20" t="s">
        <v>163</v>
      </c>
      <c r="K195" s="378" t="s">
        <v>476</v>
      </c>
      <c r="L195" s="378" t="s">
        <v>165</v>
      </c>
      <c r="M195" s="380">
        <v>2400</v>
      </c>
      <c r="N195" s="380" t="s">
        <v>443</v>
      </c>
      <c r="O195" s="380" t="s">
        <v>443</v>
      </c>
      <c r="P195" s="380" t="s">
        <v>443</v>
      </c>
      <c r="Q195" s="381">
        <v>168</v>
      </c>
      <c r="R195" s="381">
        <v>0</v>
      </c>
      <c r="S195" s="381">
        <v>0</v>
      </c>
      <c r="T195" s="381">
        <v>0</v>
      </c>
      <c r="U195" s="381">
        <v>0</v>
      </c>
      <c r="V195" s="382">
        <v>168</v>
      </c>
      <c r="W195" s="382">
        <v>0</v>
      </c>
      <c r="X195" s="381">
        <v>7.0000000000000007E-2</v>
      </c>
      <c r="Y195" s="381">
        <v>0</v>
      </c>
      <c r="Z195" s="381">
        <v>0</v>
      </c>
      <c r="AA195" s="381">
        <v>0</v>
      </c>
      <c r="AB195" s="381">
        <v>0</v>
      </c>
      <c r="AC195" s="382">
        <v>7.0000000000000007E-2</v>
      </c>
      <c r="AD195" s="382">
        <v>0</v>
      </c>
      <c r="AE195" s="381" t="s">
        <v>444</v>
      </c>
    </row>
    <row r="196" spans="1:31" ht="15" customHeight="1" x14ac:dyDescent="0.25">
      <c r="A196" s="20" t="s">
        <v>156</v>
      </c>
      <c r="B196" s="20" t="s">
        <v>157</v>
      </c>
      <c r="C196" s="20" t="s">
        <v>158</v>
      </c>
      <c r="D196" s="378" t="s">
        <v>477</v>
      </c>
      <c r="E196" s="384">
        <v>44613</v>
      </c>
      <c r="F196" s="384">
        <v>46439</v>
      </c>
      <c r="G196" s="378" t="s">
        <v>439</v>
      </c>
      <c r="H196" s="20" t="s">
        <v>455</v>
      </c>
      <c r="I196" s="378" t="s">
        <v>162</v>
      </c>
      <c r="J196" s="20" t="s">
        <v>163</v>
      </c>
      <c r="K196" s="378" t="s">
        <v>476</v>
      </c>
      <c r="L196" s="378" t="s">
        <v>165</v>
      </c>
      <c r="M196" s="380">
        <v>2400</v>
      </c>
      <c r="N196" s="380" t="s">
        <v>443</v>
      </c>
      <c r="O196" s="380" t="s">
        <v>443</v>
      </c>
      <c r="P196" s="380" t="s">
        <v>443</v>
      </c>
      <c r="Q196" s="381">
        <v>193</v>
      </c>
      <c r="R196" s="381">
        <v>0</v>
      </c>
      <c r="S196" s="381">
        <v>0</v>
      </c>
      <c r="T196" s="381">
        <v>0</v>
      </c>
      <c r="U196" s="381">
        <v>0</v>
      </c>
      <c r="V196" s="382">
        <v>193</v>
      </c>
      <c r="W196" s="382">
        <v>0</v>
      </c>
      <c r="X196" s="381">
        <v>8.0416666666666664E-2</v>
      </c>
      <c r="Y196" s="381">
        <v>0</v>
      </c>
      <c r="Z196" s="381">
        <v>0</v>
      </c>
      <c r="AA196" s="381">
        <v>0</v>
      </c>
      <c r="AB196" s="381">
        <v>0</v>
      </c>
      <c r="AC196" s="382">
        <v>8.0416666666666664E-2</v>
      </c>
      <c r="AD196" s="382">
        <v>0</v>
      </c>
      <c r="AE196" s="381" t="s">
        <v>444</v>
      </c>
    </row>
    <row r="197" spans="1:31" ht="15" customHeight="1" x14ac:dyDescent="0.25">
      <c r="A197" s="20" t="s">
        <v>156</v>
      </c>
      <c r="B197" s="20" t="s">
        <v>157</v>
      </c>
      <c r="C197" s="20" t="s">
        <v>158</v>
      </c>
      <c r="D197" s="378" t="s">
        <v>478</v>
      </c>
      <c r="E197" s="384">
        <v>44613</v>
      </c>
      <c r="F197" s="384">
        <v>46439</v>
      </c>
      <c r="G197" s="378" t="s">
        <v>439</v>
      </c>
      <c r="H197" s="20" t="s">
        <v>455</v>
      </c>
      <c r="I197" s="378" t="s">
        <v>162</v>
      </c>
      <c r="J197" s="20" t="s">
        <v>163</v>
      </c>
      <c r="K197" s="378" t="s">
        <v>476</v>
      </c>
      <c r="L197" s="378" t="s">
        <v>165</v>
      </c>
      <c r="M197" s="380">
        <v>2400</v>
      </c>
      <c r="N197" s="380" t="s">
        <v>443</v>
      </c>
      <c r="O197" s="380" t="s">
        <v>443</v>
      </c>
      <c r="P197" s="380" t="s">
        <v>443</v>
      </c>
      <c r="Q197" s="381">
        <v>229</v>
      </c>
      <c r="R197" s="381">
        <v>0</v>
      </c>
      <c r="S197" s="381">
        <v>0</v>
      </c>
      <c r="T197" s="381">
        <v>0</v>
      </c>
      <c r="U197" s="381">
        <v>0</v>
      </c>
      <c r="V197" s="382">
        <v>229</v>
      </c>
      <c r="W197" s="382">
        <v>0</v>
      </c>
      <c r="X197" s="381">
        <v>9.5416666666666664E-2</v>
      </c>
      <c r="Y197" s="381">
        <v>0</v>
      </c>
      <c r="Z197" s="381">
        <v>0</v>
      </c>
      <c r="AA197" s="381">
        <v>0</v>
      </c>
      <c r="AB197" s="381">
        <v>0</v>
      </c>
      <c r="AC197" s="382">
        <v>9.5416666666666664E-2</v>
      </c>
      <c r="AD197" s="382">
        <v>0</v>
      </c>
      <c r="AE197" s="381" t="s">
        <v>444</v>
      </c>
    </row>
    <row r="198" spans="1:31" ht="15" customHeight="1" x14ac:dyDescent="0.25">
      <c r="A198" s="20" t="s">
        <v>156</v>
      </c>
      <c r="B198" s="20" t="s">
        <v>157</v>
      </c>
      <c r="C198" s="20" t="s">
        <v>158</v>
      </c>
      <c r="D198" s="378" t="s">
        <v>479</v>
      </c>
      <c r="E198" s="384">
        <v>44613</v>
      </c>
      <c r="F198" s="384">
        <v>46439</v>
      </c>
      <c r="G198" s="378" t="s">
        <v>439</v>
      </c>
      <c r="H198" s="20" t="s">
        <v>455</v>
      </c>
      <c r="I198" s="378" t="s">
        <v>162</v>
      </c>
      <c r="J198" s="20" t="s">
        <v>163</v>
      </c>
      <c r="K198" s="378" t="s">
        <v>476</v>
      </c>
      <c r="L198" s="378" t="s">
        <v>165</v>
      </c>
      <c r="M198" s="380">
        <v>2400</v>
      </c>
      <c r="N198" s="380" t="s">
        <v>443</v>
      </c>
      <c r="O198" s="380" t="s">
        <v>443</v>
      </c>
      <c r="P198" s="380" t="s">
        <v>443</v>
      </c>
      <c r="Q198" s="381">
        <v>255</v>
      </c>
      <c r="R198" s="381">
        <v>0</v>
      </c>
      <c r="S198" s="381">
        <v>0</v>
      </c>
      <c r="T198" s="381">
        <v>0</v>
      </c>
      <c r="U198" s="381">
        <v>0</v>
      </c>
      <c r="V198" s="382">
        <v>255</v>
      </c>
      <c r="W198" s="382">
        <v>0</v>
      </c>
      <c r="X198" s="381">
        <v>0.10625</v>
      </c>
      <c r="Y198" s="381">
        <v>0</v>
      </c>
      <c r="Z198" s="381">
        <v>0</v>
      </c>
      <c r="AA198" s="381">
        <v>0</v>
      </c>
      <c r="AB198" s="381">
        <v>0</v>
      </c>
      <c r="AC198" s="382">
        <v>0.10625</v>
      </c>
      <c r="AD198" s="382">
        <v>0</v>
      </c>
      <c r="AE198" s="381" t="s">
        <v>444</v>
      </c>
    </row>
    <row r="199" spans="1:31" ht="15" customHeight="1" x14ac:dyDescent="0.25">
      <c r="A199" s="20" t="s">
        <v>156</v>
      </c>
      <c r="B199" s="20" t="s">
        <v>157</v>
      </c>
      <c r="C199" s="20" t="s">
        <v>158</v>
      </c>
      <c r="D199" s="378" t="s">
        <v>480</v>
      </c>
      <c r="E199" s="384">
        <v>44613</v>
      </c>
      <c r="F199" s="384">
        <v>46439</v>
      </c>
      <c r="G199" s="378" t="s">
        <v>439</v>
      </c>
      <c r="H199" s="20" t="s">
        <v>455</v>
      </c>
      <c r="I199" s="378" t="s">
        <v>162</v>
      </c>
      <c r="J199" s="20" t="s">
        <v>163</v>
      </c>
      <c r="K199" s="378" t="s">
        <v>476</v>
      </c>
      <c r="L199" s="378" t="s">
        <v>165</v>
      </c>
      <c r="M199" s="380">
        <v>2400</v>
      </c>
      <c r="N199" s="380" t="s">
        <v>443</v>
      </c>
      <c r="O199" s="380" t="s">
        <v>443</v>
      </c>
      <c r="P199" s="380" t="s">
        <v>443</v>
      </c>
      <c r="Q199" s="381">
        <v>202</v>
      </c>
      <c r="R199" s="381">
        <v>0</v>
      </c>
      <c r="S199" s="381">
        <v>0</v>
      </c>
      <c r="T199" s="381">
        <v>0</v>
      </c>
      <c r="U199" s="381">
        <v>0</v>
      </c>
      <c r="V199" s="382">
        <v>202</v>
      </c>
      <c r="W199" s="382">
        <v>0</v>
      </c>
      <c r="X199" s="381">
        <v>8.4166666666666667E-2</v>
      </c>
      <c r="Y199" s="381">
        <v>0</v>
      </c>
      <c r="Z199" s="381">
        <v>0</v>
      </c>
      <c r="AA199" s="381">
        <v>0</v>
      </c>
      <c r="AB199" s="381">
        <v>0</v>
      </c>
      <c r="AC199" s="382">
        <v>8.4166666666666667E-2</v>
      </c>
      <c r="AD199" s="382">
        <v>0</v>
      </c>
      <c r="AE199" s="381" t="s">
        <v>444</v>
      </c>
    </row>
    <row r="200" spans="1:31" ht="15" customHeight="1" x14ac:dyDescent="0.25">
      <c r="A200" s="20" t="s">
        <v>156</v>
      </c>
      <c r="B200" s="20" t="s">
        <v>157</v>
      </c>
      <c r="C200" s="20" t="s">
        <v>158</v>
      </c>
      <c r="D200" s="378" t="s">
        <v>481</v>
      </c>
      <c r="E200" s="384">
        <v>44613</v>
      </c>
      <c r="F200" s="384">
        <v>46439</v>
      </c>
      <c r="G200" s="378" t="s">
        <v>439</v>
      </c>
      <c r="H200" s="20" t="s">
        <v>455</v>
      </c>
      <c r="I200" s="378" t="s">
        <v>162</v>
      </c>
      <c r="J200" s="20" t="s">
        <v>163</v>
      </c>
      <c r="K200" s="378" t="s">
        <v>476</v>
      </c>
      <c r="L200" s="378" t="s">
        <v>165</v>
      </c>
      <c r="M200" s="380">
        <v>2400</v>
      </c>
      <c r="N200" s="380" t="s">
        <v>443</v>
      </c>
      <c r="O200" s="380" t="s">
        <v>443</v>
      </c>
      <c r="P200" s="380" t="s">
        <v>443</v>
      </c>
      <c r="Q200" s="381">
        <v>261</v>
      </c>
      <c r="R200" s="381">
        <v>0</v>
      </c>
      <c r="S200" s="381">
        <v>0</v>
      </c>
      <c r="T200" s="381">
        <v>0</v>
      </c>
      <c r="U200" s="381">
        <v>0</v>
      </c>
      <c r="V200" s="382">
        <v>261</v>
      </c>
      <c r="W200" s="382">
        <v>0</v>
      </c>
      <c r="X200" s="381">
        <v>0.10875</v>
      </c>
      <c r="Y200" s="381">
        <v>0</v>
      </c>
      <c r="Z200" s="381">
        <v>0</v>
      </c>
      <c r="AA200" s="381">
        <v>0</v>
      </c>
      <c r="AB200" s="381">
        <v>0</v>
      </c>
      <c r="AC200" s="382">
        <v>0.10875</v>
      </c>
      <c r="AD200" s="382">
        <v>0</v>
      </c>
      <c r="AE200" s="381" t="s">
        <v>444</v>
      </c>
    </row>
    <row r="201" spans="1:31" ht="15" customHeight="1" x14ac:dyDescent="0.25">
      <c r="A201" s="20" t="s">
        <v>156</v>
      </c>
      <c r="B201" s="20" t="s">
        <v>157</v>
      </c>
      <c r="C201" s="20" t="s">
        <v>158</v>
      </c>
      <c r="D201" s="378" t="s">
        <v>482</v>
      </c>
      <c r="E201" s="384">
        <v>44613</v>
      </c>
      <c r="F201" s="384">
        <v>46439</v>
      </c>
      <c r="G201" s="378" t="s">
        <v>439</v>
      </c>
      <c r="H201" s="20" t="s">
        <v>455</v>
      </c>
      <c r="I201" s="378" t="s">
        <v>162</v>
      </c>
      <c r="J201" s="20" t="s">
        <v>163</v>
      </c>
      <c r="K201" s="378" t="s">
        <v>476</v>
      </c>
      <c r="L201" s="378" t="s">
        <v>165</v>
      </c>
      <c r="M201" s="380">
        <v>2400</v>
      </c>
      <c r="N201" s="380" t="s">
        <v>443</v>
      </c>
      <c r="O201" s="380" t="s">
        <v>443</v>
      </c>
      <c r="P201" s="380" t="s">
        <v>443</v>
      </c>
      <c r="Q201" s="381">
        <v>240</v>
      </c>
      <c r="R201" s="381">
        <v>0</v>
      </c>
      <c r="S201" s="381">
        <v>0</v>
      </c>
      <c r="T201" s="381">
        <v>0</v>
      </c>
      <c r="U201" s="381">
        <v>0</v>
      </c>
      <c r="V201" s="382">
        <v>240</v>
      </c>
      <c r="W201" s="382">
        <v>0</v>
      </c>
      <c r="X201" s="381">
        <v>0.1</v>
      </c>
      <c r="Y201" s="381">
        <v>0</v>
      </c>
      <c r="Z201" s="381">
        <v>0</v>
      </c>
      <c r="AA201" s="381">
        <v>0</v>
      </c>
      <c r="AB201" s="381">
        <v>0</v>
      </c>
      <c r="AC201" s="382">
        <v>0.1</v>
      </c>
      <c r="AD201" s="382">
        <v>0</v>
      </c>
      <c r="AE201" s="381" t="s">
        <v>444</v>
      </c>
    </row>
    <row r="202" spans="1:31" ht="15" customHeight="1" x14ac:dyDescent="0.25">
      <c r="A202" s="20" t="s">
        <v>156</v>
      </c>
      <c r="B202" s="20" t="s">
        <v>157</v>
      </c>
      <c r="C202" s="20" t="s">
        <v>158</v>
      </c>
      <c r="D202" s="378" t="s">
        <v>483</v>
      </c>
      <c r="E202" s="384">
        <v>44613</v>
      </c>
      <c r="F202" s="384">
        <v>46439</v>
      </c>
      <c r="G202" s="378" t="s">
        <v>439</v>
      </c>
      <c r="H202" s="20" t="s">
        <v>455</v>
      </c>
      <c r="I202" s="378" t="s">
        <v>162</v>
      </c>
      <c r="J202" s="20" t="s">
        <v>163</v>
      </c>
      <c r="K202" s="378" t="s">
        <v>476</v>
      </c>
      <c r="L202" s="378" t="s">
        <v>165</v>
      </c>
      <c r="M202" s="380">
        <v>2400</v>
      </c>
      <c r="N202" s="380" t="s">
        <v>443</v>
      </c>
      <c r="O202" s="380" t="s">
        <v>443</v>
      </c>
      <c r="P202" s="380" t="s">
        <v>443</v>
      </c>
      <c r="Q202" s="381">
        <v>233</v>
      </c>
      <c r="R202" s="381">
        <v>0</v>
      </c>
      <c r="S202" s="381">
        <v>0</v>
      </c>
      <c r="T202" s="381">
        <v>0</v>
      </c>
      <c r="U202" s="381">
        <v>0</v>
      </c>
      <c r="V202" s="382">
        <v>233</v>
      </c>
      <c r="W202" s="382">
        <v>0</v>
      </c>
      <c r="X202" s="381">
        <v>9.7083333333333327E-2</v>
      </c>
      <c r="Y202" s="381">
        <v>0</v>
      </c>
      <c r="Z202" s="381">
        <v>0</v>
      </c>
      <c r="AA202" s="381">
        <v>0</v>
      </c>
      <c r="AB202" s="381">
        <v>0</v>
      </c>
      <c r="AC202" s="382">
        <v>9.7083333333333327E-2</v>
      </c>
      <c r="AD202" s="382">
        <v>0</v>
      </c>
      <c r="AE202" s="381" t="s">
        <v>444</v>
      </c>
    </row>
    <row r="203" spans="1:31" ht="15" customHeight="1" x14ac:dyDescent="0.25">
      <c r="A203" s="20" t="s">
        <v>156</v>
      </c>
      <c r="B203" s="20" t="s">
        <v>157</v>
      </c>
      <c r="C203" s="20" t="s">
        <v>158</v>
      </c>
      <c r="D203" s="378" t="s">
        <v>484</v>
      </c>
      <c r="E203" s="384">
        <v>44613</v>
      </c>
      <c r="F203" s="384">
        <v>46439</v>
      </c>
      <c r="G203" s="378" t="s">
        <v>439</v>
      </c>
      <c r="H203" s="20" t="s">
        <v>455</v>
      </c>
      <c r="I203" s="378" t="s">
        <v>162</v>
      </c>
      <c r="J203" s="20" t="s">
        <v>163</v>
      </c>
      <c r="K203" s="378" t="s">
        <v>476</v>
      </c>
      <c r="L203" s="378" t="s">
        <v>165</v>
      </c>
      <c r="M203" s="380">
        <v>2400</v>
      </c>
      <c r="N203" s="380" t="s">
        <v>443</v>
      </c>
      <c r="O203" s="380" t="s">
        <v>443</v>
      </c>
      <c r="P203" s="380" t="s">
        <v>443</v>
      </c>
      <c r="Q203" s="381">
        <v>252</v>
      </c>
      <c r="R203" s="381">
        <v>0</v>
      </c>
      <c r="S203" s="381">
        <v>0</v>
      </c>
      <c r="T203" s="381">
        <v>0</v>
      </c>
      <c r="U203" s="381">
        <v>0</v>
      </c>
      <c r="V203" s="382">
        <v>252</v>
      </c>
      <c r="W203" s="382">
        <v>0</v>
      </c>
      <c r="X203" s="381">
        <v>0.105</v>
      </c>
      <c r="Y203" s="381">
        <v>0</v>
      </c>
      <c r="Z203" s="381">
        <v>0</v>
      </c>
      <c r="AA203" s="381">
        <v>0</v>
      </c>
      <c r="AB203" s="381">
        <v>0</v>
      </c>
      <c r="AC203" s="382">
        <v>0.105</v>
      </c>
      <c r="AD203" s="382">
        <v>0</v>
      </c>
      <c r="AE203" s="381" t="s">
        <v>444</v>
      </c>
    </row>
    <row r="204" spans="1:31" ht="15" customHeight="1" x14ac:dyDescent="0.25">
      <c r="A204" s="20" t="s">
        <v>156</v>
      </c>
      <c r="B204" s="20" t="s">
        <v>157</v>
      </c>
      <c r="C204" s="20" t="s">
        <v>158</v>
      </c>
      <c r="D204" s="378" t="s">
        <v>475</v>
      </c>
      <c r="E204" s="384">
        <v>44613</v>
      </c>
      <c r="F204" s="384">
        <v>46439</v>
      </c>
      <c r="G204" s="378" t="s">
        <v>439</v>
      </c>
      <c r="H204" s="20" t="s">
        <v>455</v>
      </c>
      <c r="I204" s="378" t="s">
        <v>162</v>
      </c>
      <c r="J204" s="20" t="s">
        <v>163</v>
      </c>
      <c r="K204" s="378" t="s">
        <v>476</v>
      </c>
      <c r="L204" s="378" t="s">
        <v>165</v>
      </c>
      <c r="M204" s="380">
        <v>2400</v>
      </c>
      <c r="N204" s="380" t="s">
        <v>443</v>
      </c>
      <c r="O204" s="380" t="s">
        <v>443</v>
      </c>
      <c r="P204" s="380" t="s">
        <v>443</v>
      </c>
      <c r="Q204" s="381">
        <v>168</v>
      </c>
      <c r="R204" s="381">
        <v>0</v>
      </c>
      <c r="S204" s="381">
        <v>0</v>
      </c>
      <c r="T204" s="381">
        <v>0</v>
      </c>
      <c r="U204" s="381">
        <v>0</v>
      </c>
      <c r="V204" s="382">
        <v>168</v>
      </c>
      <c r="W204" s="382">
        <v>0</v>
      </c>
      <c r="X204" s="381">
        <v>7.0000000000000007E-2</v>
      </c>
      <c r="Y204" s="381">
        <v>0</v>
      </c>
      <c r="Z204" s="381">
        <v>0</v>
      </c>
      <c r="AA204" s="381">
        <v>0</v>
      </c>
      <c r="AB204" s="381">
        <v>0</v>
      </c>
      <c r="AC204" s="382">
        <v>7.0000000000000007E-2</v>
      </c>
      <c r="AD204" s="382">
        <v>0</v>
      </c>
      <c r="AE204" s="381" t="s">
        <v>444</v>
      </c>
    </row>
    <row r="205" spans="1:31" ht="15" customHeight="1" x14ac:dyDescent="0.25">
      <c r="A205" s="20" t="s">
        <v>156</v>
      </c>
      <c r="B205" s="20" t="s">
        <v>157</v>
      </c>
      <c r="C205" s="20" t="s">
        <v>158</v>
      </c>
      <c r="D205" s="378" t="s">
        <v>477</v>
      </c>
      <c r="E205" s="384">
        <v>44613</v>
      </c>
      <c r="F205" s="384">
        <v>46439</v>
      </c>
      <c r="G205" s="378" t="s">
        <v>439</v>
      </c>
      <c r="H205" s="20" t="s">
        <v>455</v>
      </c>
      <c r="I205" s="378" t="s">
        <v>162</v>
      </c>
      <c r="J205" s="20" t="s">
        <v>163</v>
      </c>
      <c r="K205" s="378" t="s">
        <v>476</v>
      </c>
      <c r="L205" s="378" t="s">
        <v>165</v>
      </c>
      <c r="M205" s="380">
        <v>2400</v>
      </c>
      <c r="N205" s="380" t="s">
        <v>443</v>
      </c>
      <c r="O205" s="380" t="s">
        <v>443</v>
      </c>
      <c r="P205" s="380" t="s">
        <v>443</v>
      </c>
      <c r="Q205" s="381">
        <v>193</v>
      </c>
      <c r="R205" s="381">
        <v>0</v>
      </c>
      <c r="S205" s="381">
        <v>0</v>
      </c>
      <c r="T205" s="381">
        <v>0</v>
      </c>
      <c r="U205" s="381">
        <v>0</v>
      </c>
      <c r="V205" s="382">
        <v>193</v>
      </c>
      <c r="W205" s="382">
        <v>0</v>
      </c>
      <c r="X205" s="381">
        <v>8.0416666666666664E-2</v>
      </c>
      <c r="Y205" s="381">
        <v>0</v>
      </c>
      <c r="Z205" s="381">
        <v>0</v>
      </c>
      <c r="AA205" s="381">
        <v>0</v>
      </c>
      <c r="AB205" s="381">
        <v>0</v>
      </c>
      <c r="AC205" s="382">
        <v>8.0416666666666664E-2</v>
      </c>
      <c r="AD205" s="382">
        <v>0</v>
      </c>
      <c r="AE205" s="381" t="s">
        <v>444</v>
      </c>
    </row>
    <row r="206" spans="1:31" ht="15" customHeight="1" x14ac:dyDescent="0.25">
      <c r="A206" s="20" t="s">
        <v>156</v>
      </c>
      <c r="B206" s="20" t="s">
        <v>157</v>
      </c>
      <c r="C206" s="20" t="s">
        <v>158</v>
      </c>
      <c r="D206" s="378" t="s">
        <v>478</v>
      </c>
      <c r="E206" s="384">
        <v>44613</v>
      </c>
      <c r="F206" s="384">
        <v>46439</v>
      </c>
      <c r="G206" s="378" t="s">
        <v>439</v>
      </c>
      <c r="H206" s="20" t="s">
        <v>455</v>
      </c>
      <c r="I206" s="378" t="s">
        <v>162</v>
      </c>
      <c r="J206" s="20" t="s">
        <v>163</v>
      </c>
      <c r="K206" s="378" t="s">
        <v>476</v>
      </c>
      <c r="L206" s="378" t="s">
        <v>165</v>
      </c>
      <c r="M206" s="380">
        <v>2400</v>
      </c>
      <c r="N206" s="380" t="s">
        <v>443</v>
      </c>
      <c r="O206" s="380" t="s">
        <v>443</v>
      </c>
      <c r="P206" s="380" t="s">
        <v>443</v>
      </c>
      <c r="Q206" s="381">
        <v>229</v>
      </c>
      <c r="R206" s="381">
        <v>0</v>
      </c>
      <c r="S206" s="381">
        <v>0</v>
      </c>
      <c r="T206" s="381">
        <v>0</v>
      </c>
      <c r="U206" s="381">
        <v>0</v>
      </c>
      <c r="V206" s="382">
        <v>229</v>
      </c>
      <c r="W206" s="382">
        <v>0</v>
      </c>
      <c r="X206" s="381">
        <v>9.5416666666666664E-2</v>
      </c>
      <c r="Y206" s="381">
        <v>0</v>
      </c>
      <c r="Z206" s="381">
        <v>0</v>
      </c>
      <c r="AA206" s="381">
        <v>0</v>
      </c>
      <c r="AB206" s="381">
        <v>0</v>
      </c>
      <c r="AC206" s="382">
        <v>9.5416666666666664E-2</v>
      </c>
      <c r="AD206" s="382">
        <v>0</v>
      </c>
      <c r="AE206" s="381" t="s">
        <v>444</v>
      </c>
    </row>
    <row r="207" spans="1:31" ht="15" customHeight="1" x14ac:dyDescent="0.25">
      <c r="A207" s="20" t="s">
        <v>156</v>
      </c>
      <c r="B207" s="20" t="s">
        <v>157</v>
      </c>
      <c r="C207" s="20" t="s">
        <v>158</v>
      </c>
      <c r="D207" s="378" t="s">
        <v>479</v>
      </c>
      <c r="E207" s="384">
        <v>44613</v>
      </c>
      <c r="F207" s="384">
        <v>46439</v>
      </c>
      <c r="G207" s="378" t="s">
        <v>439</v>
      </c>
      <c r="H207" s="20" t="s">
        <v>455</v>
      </c>
      <c r="I207" s="378" t="s">
        <v>162</v>
      </c>
      <c r="J207" s="20" t="s">
        <v>163</v>
      </c>
      <c r="K207" s="378" t="s">
        <v>476</v>
      </c>
      <c r="L207" s="378" t="s">
        <v>165</v>
      </c>
      <c r="M207" s="380">
        <v>2400</v>
      </c>
      <c r="N207" s="380" t="s">
        <v>443</v>
      </c>
      <c r="O207" s="380" t="s">
        <v>443</v>
      </c>
      <c r="P207" s="380" t="s">
        <v>443</v>
      </c>
      <c r="Q207" s="381">
        <v>255</v>
      </c>
      <c r="R207" s="381">
        <v>0</v>
      </c>
      <c r="S207" s="381">
        <v>0</v>
      </c>
      <c r="T207" s="381">
        <v>0</v>
      </c>
      <c r="U207" s="381">
        <v>0</v>
      </c>
      <c r="V207" s="382">
        <v>255</v>
      </c>
      <c r="W207" s="382">
        <v>0</v>
      </c>
      <c r="X207" s="381">
        <v>0.10625</v>
      </c>
      <c r="Y207" s="381">
        <v>0</v>
      </c>
      <c r="Z207" s="381">
        <v>0</v>
      </c>
      <c r="AA207" s="381">
        <v>0</v>
      </c>
      <c r="AB207" s="381">
        <v>0</v>
      </c>
      <c r="AC207" s="382">
        <v>0.10625</v>
      </c>
      <c r="AD207" s="382">
        <v>0</v>
      </c>
      <c r="AE207" s="381" t="s">
        <v>444</v>
      </c>
    </row>
    <row r="208" spans="1:31" ht="15" customHeight="1" x14ac:dyDescent="0.25">
      <c r="A208" s="20" t="s">
        <v>156</v>
      </c>
      <c r="B208" s="20" t="s">
        <v>157</v>
      </c>
      <c r="C208" s="20" t="s">
        <v>158</v>
      </c>
      <c r="D208" s="378" t="s">
        <v>480</v>
      </c>
      <c r="E208" s="384">
        <v>44613</v>
      </c>
      <c r="F208" s="384">
        <v>46439</v>
      </c>
      <c r="G208" s="378" t="s">
        <v>439</v>
      </c>
      <c r="H208" s="20" t="s">
        <v>455</v>
      </c>
      <c r="I208" s="378" t="s">
        <v>162</v>
      </c>
      <c r="J208" s="20" t="s">
        <v>163</v>
      </c>
      <c r="K208" s="378" t="s">
        <v>476</v>
      </c>
      <c r="L208" s="378" t="s">
        <v>165</v>
      </c>
      <c r="M208" s="380">
        <v>2400</v>
      </c>
      <c r="N208" s="380" t="s">
        <v>443</v>
      </c>
      <c r="O208" s="380" t="s">
        <v>443</v>
      </c>
      <c r="P208" s="380" t="s">
        <v>443</v>
      </c>
      <c r="Q208" s="381">
        <v>202</v>
      </c>
      <c r="R208" s="381">
        <v>0</v>
      </c>
      <c r="S208" s="381">
        <v>0</v>
      </c>
      <c r="T208" s="381">
        <v>0</v>
      </c>
      <c r="U208" s="381">
        <v>0</v>
      </c>
      <c r="V208" s="382">
        <v>202</v>
      </c>
      <c r="W208" s="382">
        <v>0</v>
      </c>
      <c r="X208" s="381">
        <v>8.4166666666666667E-2</v>
      </c>
      <c r="Y208" s="381">
        <v>0</v>
      </c>
      <c r="Z208" s="381">
        <v>0</v>
      </c>
      <c r="AA208" s="381">
        <v>0</v>
      </c>
      <c r="AB208" s="381">
        <v>0</v>
      </c>
      <c r="AC208" s="382">
        <v>8.4166666666666667E-2</v>
      </c>
      <c r="AD208" s="382">
        <v>0</v>
      </c>
      <c r="AE208" s="381" t="s">
        <v>444</v>
      </c>
    </row>
    <row r="209" spans="1:31" ht="15" customHeight="1" x14ac:dyDescent="0.25">
      <c r="A209" s="20" t="s">
        <v>156</v>
      </c>
      <c r="B209" s="20" t="s">
        <v>157</v>
      </c>
      <c r="C209" s="20" t="s">
        <v>158</v>
      </c>
      <c r="D209" s="378" t="s">
        <v>481</v>
      </c>
      <c r="E209" s="384">
        <v>44613</v>
      </c>
      <c r="F209" s="384">
        <v>46439</v>
      </c>
      <c r="G209" s="378" t="s">
        <v>439</v>
      </c>
      <c r="H209" s="20" t="s">
        <v>455</v>
      </c>
      <c r="I209" s="378" t="s">
        <v>162</v>
      </c>
      <c r="J209" s="20" t="s">
        <v>163</v>
      </c>
      <c r="K209" s="378" t="s">
        <v>476</v>
      </c>
      <c r="L209" s="378" t="s">
        <v>165</v>
      </c>
      <c r="M209" s="380">
        <v>2400</v>
      </c>
      <c r="N209" s="380" t="s">
        <v>443</v>
      </c>
      <c r="O209" s="380" t="s">
        <v>443</v>
      </c>
      <c r="P209" s="380" t="s">
        <v>443</v>
      </c>
      <c r="Q209" s="381">
        <v>261</v>
      </c>
      <c r="R209" s="381">
        <v>0</v>
      </c>
      <c r="S209" s="381">
        <v>0</v>
      </c>
      <c r="T209" s="381">
        <v>0</v>
      </c>
      <c r="U209" s="381">
        <v>0</v>
      </c>
      <c r="V209" s="382">
        <v>261</v>
      </c>
      <c r="W209" s="382">
        <v>0</v>
      </c>
      <c r="X209" s="381">
        <v>0.10875</v>
      </c>
      <c r="Y209" s="381">
        <v>0</v>
      </c>
      <c r="Z209" s="381">
        <v>0</v>
      </c>
      <c r="AA209" s="381">
        <v>0</v>
      </c>
      <c r="AB209" s="381">
        <v>0</v>
      </c>
      <c r="AC209" s="382">
        <v>0.10875</v>
      </c>
      <c r="AD209" s="382">
        <v>0</v>
      </c>
      <c r="AE209" s="381" t="s">
        <v>444</v>
      </c>
    </row>
    <row r="210" spans="1:31" ht="15" customHeight="1" x14ac:dyDescent="0.25">
      <c r="A210" s="20" t="s">
        <v>156</v>
      </c>
      <c r="B210" s="20" t="s">
        <v>157</v>
      </c>
      <c r="C210" s="20" t="s">
        <v>158</v>
      </c>
      <c r="D210" s="378" t="s">
        <v>482</v>
      </c>
      <c r="E210" s="384">
        <v>44613</v>
      </c>
      <c r="F210" s="384">
        <v>46439</v>
      </c>
      <c r="G210" s="378" t="s">
        <v>439</v>
      </c>
      <c r="H210" s="20" t="s">
        <v>455</v>
      </c>
      <c r="I210" s="378" t="s">
        <v>162</v>
      </c>
      <c r="J210" s="20" t="s">
        <v>163</v>
      </c>
      <c r="K210" s="378" t="s">
        <v>476</v>
      </c>
      <c r="L210" s="378" t="s">
        <v>165</v>
      </c>
      <c r="M210" s="380">
        <v>2400</v>
      </c>
      <c r="N210" s="380" t="s">
        <v>443</v>
      </c>
      <c r="O210" s="380" t="s">
        <v>443</v>
      </c>
      <c r="P210" s="380" t="s">
        <v>443</v>
      </c>
      <c r="Q210" s="381">
        <v>240</v>
      </c>
      <c r="R210" s="381">
        <v>0</v>
      </c>
      <c r="S210" s="381">
        <v>0</v>
      </c>
      <c r="T210" s="381">
        <v>0</v>
      </c>
      <c r="U210" s="381">
        <v>0</v>
      </c>
      <c r="V210" s="382">
        <v>240</v>
      </c>
      <c r="W210" s="382">
        <v>0</v>
      </c>
      <c r="X210" s="381">
        <v>0.1</v>
      </c>
      <c r="Y210" s="381">
        <v>0</v>
      </c>
      <c r="Z210" s="381">
        <v>0</v>
      </c>
      <c r="AA210" s="381">
        <v>0</v>
      </c>
      <c r="AB210" s="381">
        <v>0</v>
      </c>
      <c r="AC210" s="382">
        <v>0.1</v>
      </c>
      <c r="AD210" s="382">
        <v>0</v>
      </c>
      <c r="AE210" s="381" t="s">
        <v>444</v>
      </c>
    </row>
    <row r="211" spans="1:31" ht="15" customHeight="1" x14ac:dyDescent="0.25">
      <c r="A211" s="20" t="s">
        <v>156</v>
      </c>
      <c r="B211" s="20" t="s">
        <v>157</v>
      </c>
      <c r="C211" s="20" t="s">
        <v>158</v>
      </c>
      <c r="D211" s="378" t="s">
        <v>483</v>
      </c>
      <c r="E211" s="384">
        <v>44613</v>
      </c>
      <c r="F211" s="384">
        <v>46439</v>
      </c>
      <c r="G211" s="378" t="s">
        <v>439</v>
      </c>
      <c r="H211" s="20" t="s">
        <v>455</v>
      </c>
      <c r="I211" s="378" t="s">
        <v>162</v>
      </c>
      <c r="J211" s="20" t="s">
        <v>163</v>
      </c>
      <c r="K211" s="378" t="s">
        <v>476</v>
      </c>
      <c r="L211" s="378" t="s">
        <v>165</v>
      </c>
      <c r="M211" s="380">
        <v>2400</v>
      </c>
      <c r="N211" s="380" t="s">
        <v>443</v>
      </c>
      <c r="O211" s="380" t="s">
        <v>443</v>
      </c>
      <c r="P211" s="380" t="s">
        <v>443</v>
      </c>
      <c r="Q211" s="381">
        <v>233</v>
      </c>
      <c r="R211" s="381">
        <v>0</v>
      </c>
      <c r="S211" s="381">
        <v>0</v>
      </c>
      <c r="T211" s="381">
        <v>0</v>
      </c>
      <c r="U211" s="381">
        <v>0</v>
      </c>
      <c r="V211" s="382">
        <v>233</v>
      </c>
      <c r="W211" s="382">
        <v>0</v>
      </c>
      <c r="X211" s="381">
        <v>9.7083333333333327E-2</v>
      </c>
      <c r="Y211" s="381">
        <v>0</v>
      </c>
      <c r="Z211" s="381">
        <v>0</v>
      </c>
      <c r="AA211" s="381">
        <v>0</v>
      </c>
      <c r="AB211" s="381">
        <v>0</v>
      </c>
      <c r="AC211" s="382">
        <v>9.7083333333333327E-2</v>
      </c>
      <c r="AD211" s="382">
        <v>0</v>
      </c>
      <c r="AE211" s="381" t="s">
        <v>444</v>
      </c>
    </row>
    <row r="212" spans="1:31" ht="15" customHeight="1" x14ac:dyDescent="0.25">
      <c r="A212" s="20" t="s">
        <v>156</v>
      </c>
      <c r="B212" s="20" t="s">
        <v>157</v>
      </c>
      <c r="C212" s="20" t="s">
        <v>158</v>
      </c>
      <c r="D212" s="378" t="s">
        <v>484</v>
      </c>
      <c r="E212" s="384">
        <v>44613</v>
      </c>
      <c r="F212" s="384">
        <v>46439</v>
      </c>
      <c r="G212" s="378" t="s">
        <v>439</v>
      </c>
      <c r="H212" s="20" t="s">
        <v>455</v>
      </c>
      <c r="I212" s="378" t="s">
        <v>162</v>
      </c>
      <c r="J212" s="20" t="s">
        <v>163</v>
      </c>
      <c r="K212" s="378" t="s">
        <v>476</v>
      </c>
      <c r="L212" s="378" t="s">
        <v>165</v>
      </c>
      <c r="M212" s="380">
        <v>2400</v>
      </c>
      <c r="N212" s="380" t="s">
        <v>443</v>
      </c>
      <c r="O212" s="380" t="s">
        <v>443</v>
      </c>
      <c r="P212" s="380" t="s">
        <v>443</v>
      </c>
      <c r="Q212" s="381">
        <v>252</v>
      </c>
      <c r="R212" s="381">
        <v>0</v>
      </c>
      <c r="S212" s="381">
        <v>0</v>
      </c>
      <c r="T212" s="381">
        <v>0</v>
      </c>
      <c r="U212" s="381">
        <v>0</v>
      </c>
      <c r="V212" s="382">
        <v>252</v>
      </c>
      <c r="W212" s="382">
        <v>0</v>
      </c>
      <c r="X212" s="381">
        <v>0.105</v>
      </c>
      <c r="Y212" s="381">
        <v>0</v>
      </c>
      <c r="Z212" s="381">
        <v>0</v>
      </c>
      <c r="AA212" s="381">
        <v>0</v>
      </c>
      <c r="AB212" s="381">
        <v>0</v>
      </c>
      <c r="AC212" s="382">
        <v>0.105</v>
      </c>
      <c r="AD212" s="382">
        <v>0</v>
      </c>
      <c r="AE212" s="381" t="s">
        <v>444</v>
      </c>
    </row>
    <row r="213" spans="1:31" ht="15" customHeight="1" x14ac:dyDescent="0.25">
      <c r="A213" s="20" t="s">
        <v>156</v>
      </c>
      <c r="B213" s="20" t="s">
        <v>157</v>
      </c>
      <c r="C213" s="20" t="s">
        <v>158</v>
      </c>
      <c r="D213" s="378" t="s">
        <v>475</v>
      </c>
      <c r="E213" s="384">
        <v>44613</v>
      </c>
      <c r="F213" s="384">
        <v>46439</v>
      </c>
      <c r="G213" s="378" t="s">
        <v>439</v>
      </c>
      <c r="H213" s="20" t="s">
        <v>455</v>
      </c>
      <c r="I213" s="378" t="s">
        <v>162</v>
      </c>
      <c r="J213" s="20" t="s">
        <v>163</v>
      </c>
      <c r="K213" s="378" t="s">
        <v>476</v>
      </c>
      <c r="L213" s="378" t="s">
        <v>165</v>
      </c>
      <c r="M213" s="380">
        <v>2400</v>
      </c>
      <c r="N213" s="380" t="s">
        <v>443</v>
      </c>
      <c r="O213" s="380" t="s">
        <v>443</v>
      </c>
      <c r="P213" s="380" t="s">
        <v>443</v>
      </c>
      <c r="Q213" s="381">
        <v>168</v>
      </c>
      <c r="R213" s="381">
        <v>0</v>
      </c>
      <c r="S213" s="381">
        <v>0</v>
      </c>
      <c r="T213" s="381">
        <v>0</v>
      </c>
      <c r="U213" s="381">
        <v>0</v>
      </c>
      <c r="V213" s="382">
        <v>168</v>
      </c>
      <c r="W213" s="382">
        <v>0</v>
      </c>
      <c r="X213" s="381">
        <v>7.0000000000000007E-2</v>
      </c>
      <c r="Y213" s="381">
        <v>0</v>
      </c>
      <c r="Z213" s="381">
        <v>0</v>
      </c>
      <c r="AA213" s="381">
        <v>0</v>
      </c>
      <c r="AB213" s="381">
        <v>0</v>
      </c>
      <c r="AC213" s="382">
        <v>7.0000000000000007E-2</v>
      </c>
      <c r="AD213" s="382">
        <v>0</v>
      </c>
      <c r="AE213" s="381" t="s">
        <v>444</v>
      </c>
    </row>
    <row r="214" spans="1:31" ht="15" customHeight="1" x14ac:dyDescent="0.25">
      <c r="A214" s="20" t="s">
        <v>156</v>
      </c>
      <c r="B214" s="20" t="s">
        <v>157</v>
      </c>
      <c r="C214" s="20" t="s">
        <v>158</v>
      </c>
      <c r="D214" s="378" t="s">
        <v>477</v>
      </c>
      <c r="E214" s="384">
        <v>44613</v>
      </c>
      <c r="F214" s="384">
        <v>46439</v>
      </c>
      <c r="G214" s="378" t="s">
        <v>439</v>
      </c>
      <c r="H214" s="20" t="s">
        <v>455</v>
      </c>
      <c r="I214" s="378" t="s">
        <v>162</v>
      </c>
      <c r="J214" s="20" t="s">
        <v>163</v>
      </c>
      <c r="K214" s="378" t="s">
        <v>476</v>
      </c>
      <c r="L214" s="378" t="s">
        <v>165</v>
      </c>
      <c r="M214" s="380">
        <v>2400</v>
      </c>
      <c r="N214" s="380" t="s">
        <v>443</v>
      </c>
      <c r="O214" s="380" t="s">
        <v>443</v>
      </c>
      <c r="P214" s="380" t="s">
        <v>443</v>
      </c>
      <c r="Q214" s="381">
        <v>193</v>
      </c>
      <c r="R214" s="381">
        <v>0</v>
      </c>
      <c r="S214" s="381">
        <v>0</v>
      </c>
      <c r="T214" s="381">
        <v>0</v>
      </c>
      <c r="U214" s="381">
        <v>0</v>
      </c>
      <c r="V214" s="382">
        <v>193</v>
      </c>
      <c r="W214" s="382">
        <v>0</v>
      </c>
      <c r="X214" s="381">
        <v>8.0416666666666664E-2</v>
      </c>
      <c r="Y214" s="381">
        <v>0</v>
      </c>
      <c r="Z214" s="381">
        <v>0</v>
      </c>
      <c r="AA214" s="381">
        <v>0</v>
      </c>
      <c r="AB214" s="381">
        <v>0</v>
      </c>
      <c r="AC214" s="382">
        <v>8.0416666666666664E-2</v>
      </c>
      <c r="AD214" s="382">
        <v>0</v>
      </c>
      <c r="AE214" s="381" t="s">
        <v>444</v>
      </c>
    </row>
    <row r="215" spans="1:31" ht="15" customHeight="1" x14ac:dyDescent="0.25">
      <c r="A215" s="20" t="s">
        <v>156</v>
      </c>
      <c r="B215" s="20" t="s">
        <v>157</v>
      </c>
      <c r="C215" s="20" t="s">
        <v>158</v>
      </c>
      <c r="D215" s="378" t="s">
        <v>478</v>
      </c>
      <c r="E215" s="384">
        <v>44613</v>
      </c>
      <c r="F215" s="384">
        <v>46439</v>
      </c>
      <c r="G215" s="378" t="s">
        <v>439</v>
      </c>
      <c r="H215" s="20" t="s">
        <v>455</v>
      </c>
      <c r="I215" s="378" t="s">
        <v>162</v>
      </c>
      <c r="J215" s="20" t="s">
        <v>163</v>
      </c>
      <c r="K215" s="378" t="s">
        <v>476</v>
      </c>
      <c r="L215" s="378" t="s">
        <v>165</v>
      </c>
      <c r="M215" s="380">
        <v>2400</v>
      </c>
      <c r="N215" s="380" t="s">
        <v>443</v>
      </c>
      <c r="O215" s="380" t="s">
        <v>443</v>
      </c>
      <c r="P215" s="380" t="s">
        <v>443</v>
      </c>
      <c r="Q215" s="381">
        <v>229</v>
      </c>
      <c r="R215" s="381">
        <v>0</v>
      </c>
      <c r="S215" s="381">
        <v>0</v>
      </c>
      <c r="T215" s="381">
        <v>0</v>
      </c>
      <c r="U215" s="381">
        <v>0</v>
      </c>
      <c r="V215" s="382">
        <v>229</v>
      </c>
      <c r="W215" s="382">
        <v>0</v>
      </c>
      <c r="X215" s="381">
        <v>9.5416666666666664E-2</v>
      </c>
      <c r="Y215" s="381">
        <v>0</v>
      </c>
      <c r="Z215" s="381">
        <v>0</v>
      </c>
      <c r="AA215" s="381">
        <v>0</v>
      </c>
      <c r="AB215" s="381">
        <v>0</v>
      </c>
      <c r="AC215" s="382">
        <v>9.5416666666666664E-2</v>
      </c>
      <c r="AD215" s="382">
        <v>0</v>
      </c>
      <c r="AE215" s="381" t="s">
        <v>444</v>
      </c>
    </row>
    <row r="216" spans="1:31" ht="15" customHeight="1" x14ac:dyDescent="0.25">
      <c r="A216" s="20" t="s">
        <v>156</v>
      </c>
      <c r="B216" s="20" t="s">
        <v>157</v>
      </c>
      <c r="C216" s="20" t="s">
        <v>158</v>
      </c>
      <c r="D216" s="378" t="s">
        <v>479</v>
      </c>
      <c r="E216" s="384">
        <v>44613</v>
      </c>
      <c r="F216" s="384">
        <v>46439</v>
      </c>
      <c r="G216" s="378" t="s">
        <v>439</v>
      </c>
      <c r="H216" s="20" t="s">
        <v>455</v>
      </c>
      <c r="I216" s="378" t="s">
        <v>162</v>
      </c>
      <c r="J216" s="20" t="s">
        <v>163</v>
      </c>
      <c r="K216" s="378" t="s">
        <v>476</v>
      </c>
      <c r="L216" s="378" t="s">
        <v>165</v>
      </c>
      <c r="M216" s="380">
        <v>2400</v>
      </c>
      <c r="N216" s="380" t="s">
        <v>443</v>
      </c>
      <c r="O216" s="380" t="s">
        <v>443</v>
      </c>
      <c r="P216" s="380" t="s">
        <v>443</v>
      </c>
      <c r="Q216" s="381">
        <v>255</v>
      </c>
      <c r="R216" s="381">
        <v>0</v>
      </c>
      <c r="S216" s="381">
        <v>0</v>
      </c>
      <c r="T216" s="381">
        <v>0</v>
      </c>
      <c r="U216" s="381">
        <v>0</v>
      </c>
      <c r="V216" s="382">
        <v>255</v>
      </c>
      <c r="W216" s="382">
        <v>0</v>
      </c>
      <c r="X216" s="381">
        <v>0.10625</v>
      </c>
      <c r="Y216" s="381">
        <v>0</v>
      </c>
      <c r="Z216" s="381">
        <v>0</v>
      </c>
      <c r="AA216" s="381">
        <v>0</v>
      </c>
      <c r="AB216" s="381">
        <v>0</v>
      </c>
      <c r="AC216" s="382">
        <v>0.10625</v>
      </c>
      <c r="AD216" s="382">
        <v>0</v>
      </c>
      <c r="AE216" s="381" t="s">
        <v>444</v>
      </c>
    </row>
    <row r="217" spans="1:31" ht="15" customHeight="1" x14ac:dyDescent="0.25">
      <c r="A217" s="20" t="s">
        <v>156</v>
      </c>
      <c r="B217" s="20" t="s">
        <v>157</v>
      </c>
      <c r="C217" s="20" t="s">
        <v>158</v>
      </c>
      <c r="D217" s="378" t="s">
        <v>480</v>
      </c>
      <c r="E217" s="384">
        <v>44613</v>
      </c>
      <c r="F217" s="384">
        <v>46439</v>
      </c>
      <c r="G217" s="378" t="s">
        <v>439</v>
      </c>
      <c r="H217" s="20" t="s">
        <v>455</v>
      </c>
      <c r="I217" s="378" t="s">
        <v>162</v>
      </c>
      <c r="J217" s="20" t="s">
        <v>163</v>
      </c>
      <c r="K217" s="378" t="s">
        <v>476</v>
      </c>
      <c r="L217" s="378" t="s">
        <v>165</v>
      </c>
      <c r="M217" s="380">
        <v>2400</v>
      </c>
      <c r="N217" s="380" t="s">
        <v>443</v>
      </c>
      <c r="O217" s="380" t="s">
        <v>443</v>
      </c>
      <c r="P217" s="380" t="s">
        <v>443</v>
      </c>
      <c r="Q217" s="381">
        <v>202</v>
      </c>
      <c r="R217" s="381">
        <v>0</v>
      </c>
      <c r="S217" s="381">
        <v>0</v>
      </c>
      <c r="T217" s="381">
        <v>0</v>
      </c>
      <c r="U217" s="381">
        <v>0</v>
      </c>
      <c r="V217" s="382">
        <v>202</v>
      </c>
      <c r="W217" s="382">
        <v>0</v>
      </c>
      <c r="X217" s="381">
        <v>8.4166666666666667E-2</v>
      </c>
      <c r="Y217" s="381">
        <v>0</v>
      </c>
      <c r="Z217" s="381">
        <v>0</v>
      </c>
      <c r="AA217" s="381">
        <v>0</v>
      </c>
      <c r="AB217" s="381">
        <v>0</v>
      </c>
      <c r="AC217" s="382">
        <v>8.4166666666666667E-2</v>
      </c>
      <c r="AD217" s="382">
        <v>0</v>
      </c>
      <c r="AE217" s="381" t="s">
        <v>444</v>
      </c>
    </row>
    <row r="218" spans="1:31" ht="15" customHeight="1" x14ac:dyDescent="0.25">
      <c r="A218" s="20" t="s">
        <v>156</v>
      </c>
      <c r="B218" s="20" t="s">
        <v>157</v>
      </c>
      <c r="C218" s="20" t="s">
        <v>158</v>
      </c>
      <c r="D218" s="378" t="s">
        <v>481</v>
      </c>
      <c r="E218" s="384">
        <v>44613</v>
      </c>
      <c r="F218" s="384">
        <v>46439</v>
      </c>
      <c r="G218" s="378" t="s">
        <v>439</v>
      </c>
      <c r="H218" s="20" t="s">
        <v>455</v>
      </c>
      <c r="I218" s="378" t="s">
        <v>162</v>
      </c>
      <c r="J218" s="20" t="s">
        <v>163</v>
      </c>
      <c r="K218" s="378" t="s">
        <v>476</v>
      </c>
      <c r="L218" s="378" t="s">
        <v>165</v>
      </c>
      <c r="M218" s="380">
        <v>2400</v>
      </c>
      <c r="N218" s="380" t="s">
        <v>443</v>
      </c>
      <c r="O218" s="380" t="s">
        <v>443</v>
      </c>
      <c r="P218" s="380" t="s">
        <v>443</v>
      </c>
      <c r="Q218" s="381">
        <v>261</v>
      </c>
      <c r="R218" s="381">
        <v>0</v>
      </c>
      <c r="S218" s="381">
        <v>0</v>
      </c>
      <c r="T218" s="381">
        <v>0</v>
      </c>
      <c r="U218" s="381">
        <v>0</v>
      </c>
      <c r="V218" s="382">
        <v>261</v>
      </c>
      <c r="W218" s="382">
        <v>0</v>
      </c>
      <c r="X218" s="381">
        <v>0.10875</v>
      </c>
      <c r="Y218" s="381">
        <v>0</v>
      </c>
      <c r="Z218" s="381">
        <v>0</v>
      </c>
      <c r="AA218" s="381">
        <v>0</v>
      </c>
      <c r="AB218" s="381">
        <v>0</v>
      </c>
      <c r="AC218" s="382">
        <v>0.10875</v>
      </c>
      <c r="AD218" s="382">
        <v>0</v>
      </c>
      <c r="AE218" s="381" t="s">
        <v>444</v>
      </c>
    </row>
    <row r="219" spans="1:31" ht="15" customHeight="1" x14ac:dyDescent="0.25">
      <c r="A219" s="20" t="s">
        <v>156</v>
      </c>
      <c r="B219" s="20" t="s">
        <v>157</v>
      </c>
      <c r="C219" s="20" t="s">
        <v>158</v>
      </c>
      <c r="D219" s="378" t="s">
        <v>482</v>
      </c>
      <c r="E219" s="384">
        <v>44613</v>
      </c>
      <c r="F219" s="384">
        <v>46439</v>
      </c>
      <c r="G219" s="378" t="s">
        <v>439</v>
      </c>
      <c r="H219" s="20" t="s">
        <v>455</v>
      </c>
      <c r="I219" s="378" t="s">
        <v>162</v>
      </c>
      <c r="J219" s="20" t="s">
        <v>163</v>
      </c>
      <c r="K219" s="378" t="s">
        <v>476</v>
      </c>
      <c r="L219" s="378" t="s">
        <v>165</v>
      </c>
      <c r="M219" s="380">
        <v>2400</v>
      </c>
      <c r="N219" s="380" t="s">
        <v>443</v>
      </c>
      <c r="O219" s="380" t="s">
        <v>443</v>
      </c>
      <c r="P219" s="380" t="s">
        <v>443</v>
      </c>
      <c r="Q219" s="381">
        <v>240</v>
      </c>
      <c r="R219" s="381">
        <v>0</v>
      </c>
      <c r="S219" s="381">
        <v>0</v>
      </c>
      <c r="T219" s="381">
        <v>0</v>
      </c>
      <c r="U219" s="381">
        <v>0</v>
      </c>
      <c r="V219" s="382">
        <v>240</v>
      </c>
      <c r="W219" s="382">
        <v>0</v>
      </c>
      <c r="X219" s="381">
        <v>0.1</v>
      </c>
      <c r="Y219" s="381">
        <v>0</v>
      </c>
      <c r="Z219" s="381">
        <v>0</v>
      </c>
      <c r="AA219" s="381">
        <v>0</v>
      </c>
      <c r="AB219" s="381">
        <v>0</v>
      </c>
      <c r="AC219" s="382">
        <v>0.1</v>
      </c>
      <c r="AD219" s="382">
        <v>0</v>
      </c>
      <c r="AE219" s="381" t="s">
        <v>444</v>
      </c>
    </row>
    <row r="220" spans="1:31" ht="15" customHeight="1" x14ac:dyDescent="0.25">
      <c r="A220" s="20" t="s">
        <v>156</v>
      </c>
      <c r="B220" s="20" t="s">
        <v>157</v>
      </c>
      <c r="C220" s="20" t="s">
        <v>158</v>
      </c>
      <c r="D220" s="378" t="s">
        <v>483</v>
      </c>
      <c r="E220" s="384">
        <v>44613</v>
      </c>
      <c r="F220" s="384">
        <v>46439</v>
      </c>
      <c r="G220" s="378" t="s">
        <v>439</v>
      </c>
      <c r="H220" s="20" t="s">
        <v>455</v>
      </c>
      <c r="I220" s="378" t="s">
        <v>162</v>
      </c>
      <c r="J220" s="20" t="s">
        <v>163</v>
      </c>
      <c r="K220" s="378" t="s">
        <v>476</v>
      </c>
      <c r="L220" s="378" t="s">
        <v>165</v>
      </c>
      <c r="M220" s="380">
        <v>2400</v>
      </c>
      <c r="N220" s="380" t="s">
        <v>443</v>
      </c>
      <c r="O220" s="380" t="s">
        <v>443</v>
      </c>
      <c r="P220" s="380" t="s">
        <v>443</v>
      </c>
      <c r="Q220" s="381">
        <v>233</v>
      </c>
      <c r="R220" s="381">
        <v>0</v>
      </c>
      <c r="S220" s="381">
        <v>0</v>
      </c>
      <c r="T220" s="381">
        <v>0</v>
      </c>
      <c r="U220" s="381">
        <v>0</v>
      </c>
      <c r="V220" s="382">
        <v>233</v>
      </c>
      <c r="W220" s="382">
        <v>0</v>
      </c>
      <c r="X220" s="381">
        <v>9.7083333333333327E-2</v>
      </c>
      <c r="Y220" s="381">
        <v>0</v>
      </c>
      <c r="Z220" s="381">
        <v>0</v>
      </c>
      <c r="AA220" s="381">
        <v>0</v>
      </c>
      <c r="AB220" s="381">
        <v>0</v>
      </c>
      <c r="AC220" s="382">
        <v>9.7083333333333327E-2</v>
      </c>
      <c r="AD220" s="382">
        <v>0</v>
      </c>
      <c r="AE220" s="381" t="s">
        <v>444</v>
      </c>
    </row>
    <row r="221" spans="1:31" ht="15" customHeight="1" x14ac:dyDescent="0.25">
      <c r="A221" s="20" t="s">
        <v>156</v>
      </c>
      <c r="B221" s="20" t="s">
        <v>157</v>
      </c>
      <c r="C221" s="20" t="s">
        <v>158</v>
      </c>
      <c r="D221" s="378" t="s">
        <v>484</v>
      </c>
      <c r="E221" s="384">
        <v>44613</v>
      </c>
      <c r="F221" s="384">
        <v>46439</v>
      </c>
      <c r="G221" s="378" t="s">
        <v>439</v>
      </c>
      <c r="H221" s="20" t="s">
        <v>455</v>
      </c>
      <c r="I221" s="378" t="s">
        <v>162</v>
      </c>
      <c r="J221" s="20" t="s">
        <v>163</v>
      </c>
      <c r="K221" s="378" t="s">
        <v>476</v>
      </c>
      <c r="L221" s="378" t="s">
        <v>165</v>
      </c>
      <c r="M221" s="380">
        <v>2400</v>
      </c>
      <c r="N221" s="380" t="s">
        <v>443</v>
      </c>
      <c r="O221" s="380" t="s">
        <v>443</v>
      </c>
      <c r="P221" s="380" t="s">
        <v>443</v>
      </c>
      <c r="Q221" s="381">
        <v>252</v>
      </c>
      <c r="R221" s="381">
        <v>0</v>
      </c>
      <c r="S221" s="381">
        <v>0</v>
      </c>
      <c r="T221" s="381">
        <v>0</v>
      </c>
      <c r="U221" s="381">
        <v>0</v>
      </c>
      <c r="V221" s="382">
        <v>252</v>
      </c>
      <c r="W221" s="382">
        <v>0</v>
      </c>
      <c r="X221" s="381">
        <v>0.105</v>
      </c>
      <c r="Y221" s="381">
        <v>0</v>
      </c>
      <c r="Z221" s="381">
        <v>0</v>
      </c>
      <c r="AA221" s="381">
        <v>0</v>
      </c>
      <c r="AB221" s="381">
        <v>0</v>
      </c>
      <c r="AC221" s="382">
        <v>0.105</v>
      </c>
      <c r="AD221" s="382">
        <v>0</v>
      </c>
      <c r="AE221" s="381" t="s">
        <v>444</v>
      </c>
    </row>
    <row r="222" spans="1:31" ht="15" customHeight="1" x14ac:dyDescent="0.25">
      <c r="A222" s="20" t="s">
        <v>156</v>
      </c>
      <c r="B222" s="20" t="s">
        <v>157</v>
      </c>
      <c r="C222" s="20" t="s">
        <v>158</v>
      </c>
      <c r="D222" s="378" t="s">
        <v>475</v>
      </c>
      <c r="E222" s="384">
        <v>44613</v>
      </c>
      <c r="F222" s="384">
        <v>46439</v>
      </c>
      <c r="G222" s="378" t="s">
        <v>439</v>
      </c>
      <c r="H222" s="20" t="s">
        <v>455</v>
      </c>
      <c r="I222" s="378" t="s">
        <v>162</v>
      </c>
      <c r="J222" s="20" t="s">
        <v>163</v>
      </c>
      <c r="K222" s="378" t="s">
        <v>476</v>
      </c>
      <c r="L222" s="378" t="s">
        <v>165</v>
      </c>
      <c r="M222" s="380">
        <v>2400</v>
      </c>
      <c r="N222" s="380" t="s">
        <v>443</v>
      </c>
      <c r="O222" s="380" t="s">
        <v>443</v>
      </c>
      <c r="P222" s="380" t="s">
        <v>443</v>
      </c>
      <c r="Q222" s="381">
        <v>168</v>
      </c>
      <c r="R222" s="381">
        <v>0</v>
      </c>
      <c r="S222" s="381">
        <v>0</v>
      </c>
      <c r="T222" s="381">
        <v>0</v>
      </c>
      <c r="U222" s="381">
        <v>0</v>
      </c>
      <c r="V222" s="382">
        <v>168</v>
      </c>
      <c r="W222" s="382">
        <v>0</v>
      </c>
      <c r="X222" s="381">
        <v>7.0000000000000007E-2</v>
      </c>
      <c r="Y222" s="381">
        <v>0</v>
      </c>
      <c r="Z222" s="381">
        <v>0</v>
      </c>
      <c r="AA222" s="381">
        <v>0</v>
      </c>
      <c r="AB222" s="381">
        <v>0</v>
      </c>
      <c r="AC222" s="382">
        <v>7.0000000000000007E-2</v>
      </c>
      <c r="AD222" s="382">
        <v>0</v>
      </c>
      <c r="AE222" s="381" t="s">
        <v>444</v>
      </c>
    </row>
    <row r="223" spans="1:31" ht="15" customHeight="1" x14ac:dyDescent="0.25">
      <c r="A223" s="20" t="s">
        <v>156</v>
      </c>
      <c r="B223" s="20" t="s">
        <v>157</v>
      </c>
      <c r="C223" s="20" t="s">
        <v>158</v>
      </c>
      <c r="D223" s="378" t="s">
        <v>477</v>
      </c>
      <c r="E223" s="384">
        <v>44613</v>
      </c>
      <c r="F223" s="384">
        <v>46439</v>
      </c>
      <c r="G223" s="378" t="s">
        <v>439</v>
      </c>
      <c r="H223" s="20" t="s">
        <v>455</v>
      </c>
      <c r="I223" s="378" t="s">
        <v>162</v>
      </c>
      <c r="J223" s="20" t="s">
        <v>163</v>
      </c>
      <c r="K223" s="378" t="s">
        <v>476</v>
      </c>
      <c r="L223" s="378" t="s">
        <v>165</v>
      </c>
      <c r="M223" s="380">
        <v>2400</v>
      </c>
      <c r="N223" s="380" t="s">
        <v>443</v>
      </c>
      <c r="O223" s="380" t="s">
        <v>443</v>
      </c>
      <c r="P223" s="380" t="s">
        <v>443</v>
      </c>
      <c r="Q223" s="381">
        <v>193</v>
      </c>
      <c r="R223" s="381">
        <v>0</v>
      </c>
      <c r="S223" s="381">
        <v>0</v>
      </c>
      <c r="T223" s="381">
        <v>0</v>
      </c>
      <c r="U223" s="381">
        <v>0</v>
      </c>
      <c r="V223" s="382">
        <v>193</v>
      </c>
      <c r="W223" s="382">
        <v>0</v>
      </c>
      <c r="X223" s="381">
        <v>8.0416666666666664E-2</v>
      </c>
      <c r="Y223" s="381">
        <v>0</v>
      </c>
      <c r="Z223" s="381">
        <v>0</v>
      </c>
      <c r="AA223" s="381">
        <v>0</v>
      </c>
      <c r="AB223" s="381">
        <v>0</v>
      </c>
      <c r="AC223" s="382">
        <v>8.0416666666666664E-2</v>
      </c>
      <c r="AD223" s="382">
        <v>0</v>
      </c>
      <c r="AE223" s="381" t="s">
        <v>444</v>
      </c>
    </row>
    <row r="224" spans="1:31" ht="15" customHeight="1" x14ac:dyDescent="0.25">
      <c r="A224" s="20" t="s">
        <v>156</v>
      </c>
      <c r="B224" s="20" t="s">
        <v>157</v>
      </c>
      <c r="C224" s="20" t="s">
        <v>158</v>
      </c>
      <c r="D224" s="378" t="s">
        <v>478</v>
      </c>
      <c r="E224" s="384">
        <v>44613</v>
      </c>
      <c r="F224" s="384">
        <v>46439</v>
      </c>
      <c r="G224" s="378" t="s">
        <v>439</v>
      </c>
      <c r="H224" s="20" t="s">
        <v>455</v>
      </c>
      <c r="I224" s="378" t="s">
        <v>162</v>
      </c>
      <c r="J224" s="20" t="s">
        <v>163</v>
      </c>
      <c r="K224" s="378" t="s">
        <v>476</v>
      </c>
      <c r="L224" s="378" t="s">
        <v>165</v>
      </c>
      <c r="M224" s="380">
        <v>2400</v>
      </c>
      <c r="N224" s="380" t="s">
        <v>443</v>
      </c>
      <c r="O224" s="380" t="s">
        <v>443</v>
      </c>
      <c r="P224" s="380" t="s">
        <v>443</v>
      </c>
      <c r="Q224" s="381">
        <v>229</v>
      </c>
      <c r="R224" s="381">
        <v>0</v>
      </c>
      <c r="S224" s="381">
        <v>0</v>
      </c>
      <c r="T224" s="381">
        <v>0</v>
      </c>
      <c r="U224" s="381">
        <v>0</v>
      </c>
      <c r="V224" s="382">
        <v>229</v>
      </c>
      <c r="W224" s="382">
        <v>0</v>
      </c>
      <c r="X224" s="381">
        <v>9.5416666666666664E-2</v>
      </c>
      <c r="Y224" s="381">
        <v>0</v>
      </c>
      <c r="Z224" s="381">
        <v>0</v>
      </c>
      <c r="AA224" s="381">
        <v>0</v>
      </c>
      <c r="AB224" s="381">
        <v>0</v>
      </c>
      <c r="AC224" s="382">
        <v>9.5416666666666664E-2</v>
      </c>
      <c r="AD224" s="382">
        <v>0</v>
      </c>
      <c r="AE224" s="381" t="s">
        <v>444</v>
      </c>
    </row>
    <row r="225" spans="1:31" ht="15" customHeight="1" x14ac:dyDescent="0.25">
      <c r="A225" s="20" t="s">
        <v>156</v>
      </c>
      <c r="B225" s="20" t="s">
        <v>157</v>
      </c>
      <c r="C225" s="20" t="s">
        <v>158</v>
      </c>
      <c r="D225" s="378" t="s">
        <v>479</v>
      </c>
      <c r="E225" s="384">
        <v>44613</v>
      </c>
      <c r="F225" s="384">
        <v>46439</v>
      </c>
      <c r="G225" s="378" t="s">
        <v>439</v>
      </c>
      <c r="H225" s="20" t="s">
        <v>455</v>
      </c>
      <c r="I225" s="378" t="s">
        <v>162</v>
      </c>
      <c r="J225" s="20" t="s">
        <v>163</v>
      </c>
      <c r="K225" s="378" t="s">
        <v>476</v>
      </c>
      <c r="L225" s="378" t="s">
        <v>165</v>
      </c>
      <c r="M225" s="380">
        <v>2400</v>
      </c>
      <c r="N225" s="380" t="s">
        <v>443</v>
      </c>
      <c r="O225" s="380" t="s">
        <v>443</v>
      </c>
      <c r="P225" s="380" t="s">
        <v>443</v>
      </c>
      <c r="Q225" s="381">
        <v>255</v>
      </c>
      <c r="R225" s="381">
        <v>0</v>
      </c>
      <c r="S225" s="381">
        <v>0</v>
      </c>
      <c r="T225" s="381">
        <v>0</v>
      </c>
      <c r="U225" s="381">
        <v>0</v>
      </c>
      <c r="V225" s="382">
        <v>255</v>
      </c>
      <c r="W225" s="382">
        <v>0</v>
      </c>
      <c r="X225" s="381">
        <v>0.10625</v>
      </c>
      <c r="Y225" s="381">
        <v>0</v>
      </c>
      <c r="Z225" s="381">
        <v>0</v>
      </c>
      <c r="AA225" s="381">
        <v>0</v>
      </c>
      <c r="AB225" s="381">
        <v>0</v>
      </c>
      <c r="AC225" s="382">
        <v>0.10625</v>
      </c>
      <c r="AD225" s="382">
        <v>0</v>
      </c>
      <c r="AE225" s="381" t="s">
        <v>444</v>
      </c>
    </row>
    <row r="226" spans="1:31" ht="15" customHeight="1" x14ac:dyDescent="0.25">
      <c r="A226" s="20" t="s">
        <v>156</v>
      </c>
      <c r="B226" s="20" t="s">
        <v>157</v>
      </c>
      <c r="C226" s="20" t="s">
        <v>158</v>
      </c>
      <c r="D226" s="378" t="s">
        <v>480</v>
      </c>
      <c r="E226" s="384">
        <v>44613</v>
      </c>
      <c r="F226" s="384">
        <v>46439</v>
      </c>
      <c r="G226" s="378" t="s">
        <v>439</v>
      </c>
      <c r="H226" s="20" t="s">
        <v>455</v>
      </c>
      <c r="I226" s="378" t="s">
        <v>162</v>
      </c>
      <c r="J226" s="20" t="s">
        <v>163</v>
      </c>
      <c r="K226" s="378" t="s">
        <v>476</v>
      </c>
      <c r="L226" s="378" t="s">
        <v>165</v>
      </c>
      <c r="M226" s="380">
        <v>2400</v>
      </c>
      <c r="N226" s="380" t="s">
        <v>443</v>
      </c>
      <c r="O226" s="380" t="s">
        <v>443</v>
      </c>
      <c r="P226" s="380" t="s">
        <v>443</v>
      </c>
      <c r="Q226" s="381">
        <v>202</v>
      </c>
      <c r="R226" s="381">
        <v>0</v>
      </c>
      <c r="S226" s="381">
        <v>0</v>
      </c>
      <c r="T226" s="381">
        <v>0</v>
      </c>
      <c r="U226" s="381">
        <v>0</v>
      </c>
      <c r="V226" s="382">
        <v>202</v>
      </c>
      <c r="W226" s="382">
        <v>0</v>
      </c>
      <c r="X226" s="381">
        <v>8.4166666666666667E-2</v>
      </c>
      <c r="Y226" s="381">
        <v>0</v>
      </c>
      <c r="Z226" s="381">
        <v>0</v>
      </c>
      <c r="AA226" s="381">
        <v>0</v>
      </c>
      <c r="AB226" s="381">
        <v>0</v>
      </c>
      <c r="AC226" s="382">
        <v>8.4166666666666667E-2</v>
      </c>
      <c r="AD226" s="382">
        <v>0</v>
      </c>
      <c r="AE226" s="381" t="s">
        <v>444</v>
      </c>
    </row>
    <row r="227" spans="1:31" ht="15" customHeight="1" x14ac:dyDescent="0.25">
      <c r="A227" s="20" t="s">
        <v>156</v>
      </c>
      <c r="B227" s="20" t="s">
        <v>157</v>
      </c>
      <c r="C227" s="20" t="s">
        <v>158</v>
      </c>
      <c r="D227" s="378" t="s">
        <v>481</v>
      </c>
      <c r="E227" s="384">
        <v>44613</v>
      </c>
      <c r="F227" s="384">
        <v>46439</v>
      </c>
      <c r="G227" s="378" t="s">
        <v>439</v>
      </c>
      <c r="H227" s="20" t="s">
        <v>455</v>
      </c>
      <c r="I227" s="378" t="s">
        <v>162</v>
      </c>
      <c r="J227" s="20" t="s">
        <v>163</v>
      </c>
      <c r="K227" s="378" t="s">
        <v>476</v>
      </c>
      <c r="L227" s="378" t="s">
        <v>165</v>
      </c>
      <c r="M227" s="380">
        <v>2400</v>
      </c>
      <c r="N227" s="380" t="s">
        <v>443</v>
      </c>
      <c r="O227" s="380" t="s">
        <v>443</v>
      </c>
      <c r="P227" s="380" t="s">
        <v>443</v>
      </c>
      <c r="Q227" s="381">
        <v>261</v>
      </c>
      <c r="R227" s="381">
        <v>0</v>
      </c>
      <c r="S227" s="381">
        <v>0</v>
      </c>
      <c r="T227" s="381">
        <v>0</v>
      </c>
      <c r="U227" s="381">
        <v>0</v>
      </c>
      <c r="V227" s="382">
        <v>261</v>
      </c>
      <c r="W227" s="382">
        <v>0</v>
      </c>
      <c r="X227" s="381">
        <v>0.10875</v>
      </c>
      <c r="Y227" s="381">
        <v>0</v>
      </c>
      <c r="Z227" s="381">
        <v>0</v>
      </c>
      <c r="AA227" s="381">
        <v>0</v>
      </c>
      <c r="AB227" s="381">
        <v>0</v>
      </c>
      <c r="AC227" s="382">
        <v>0.10875</v>
      </c>
      <c r="AD227" s="382">
        <v>0</v>
      </c>
      <c r="AE227" s="381" t="s">
        <v>444</v>
      </c>
    </row>
    <row r="228" spans="1:31" ht="15" customHeight="1" x14ac:dyDescent="0.25">
      <c r="A228" s="20" t="s">
        <v>156</v>
      </c>
      <c r="B228" s="20" t="s">
        <v>157</v>
      </c>
      <c r="C228" s="20" t="s">
        <v>158</v>
      </c>
      <c r="D228" s="378" t="s">
        <v>482</v>
      </c>
      <c r="E228" s="384">
        <v>44613</v>
      </c>
      <c r="F228" s="384">
        <v>46439</v>
      </c>
      <c r="G228" s="378" t="s">
        <v>439</v>
      </c>
      <c r="H228" s="20" t="s">
        <v>455</v>
      </c>
      <c r="I228" s="378" t="s">
        <v>162</v>
      </c>
      <c r="J228" s="20" t="s">
        <v>163</v>
      </c>
      <c r="K228" s="378" t="s">
        <v>476</v>
      </c>
      <c r="L228" s="378" t="s">
        <v>165</v>
      </c>
      <c r="M228" s="380">
        <v>2400</v>
      </c>
      <c r="N228" s="380" t="s">
        <v>443</v>
      </c>
      <c r="O228" s="380" t="s">
        <v>443</v>
      </c>
      <c r="P228" s="380" t="s">
        <v>443</v>
      </c>
      <c r="Q228" s="381">
        <v>240</v>
      </c>
      <c r="R228" s="381">
        <v>0</v>
      </c>
      <c r="S228" s="381">
        <v>0</v>
      </c>
      <c r="T228" s="381">
        <v>0</v>
      </c>
      <c r="U228" s="381">
        <v>0</v>
      </c>
      <c r="V228" s="382">
        <v>240</v>
      </c>
      <c r="W228" s="382">
        <v>0</v>
      </c>
      <c r="X228" s="381">
        <v>0.1</v>
      </c>
      <c r="Y228" s="381">
        <v>0</v>
      </c>
      <c r="Z228" s="381">
        <v>0</v>
      </c>
      <c r="AA228" s="381">
        <v>0</v>
      </c>
      <c r="AB228" s="381">
        <v>0</v>
      </c>
      <c r="AC228" s="382">
        <v>0.1</v>
      </c>
      <c r="AD228" s="382">
        <v>0</v>
      </c>
      <c r="AE228" s="381" t="s">
        <v>444</v>
      </c>
    </row>
    <row r="229" spans="1:31" ht="15" customHeight="1" x14ac:dyDescent="0.25">
      <c r="A229" s="20" t="s">
        <v>156</v>
      </c>
      <c r="B229" s="20" t="s">
        <v>157</v>
      </c>
      <c r="C229" s="20" t="s">
        <v>158</v>
      </c>
      <c r="D229" s="378" t="s">
        <v>483</v>
      </c>
      <c r="E229" s="384">
        <v>44613</v>
      </c>
      <c r="F229" s="384">
        <v>46439</v>
      </c>
      <c r="G229" s="378" t="s">
        <v>439</v>
      </c>
      <c r="H229" s="20" t="s">
        <v>455</v>
      </c>
      <c r="I229" s="378" t="s">
        <v>162</v>
      </c>
      <c r="J229" s="20" t="s">
        <v>163</v>
      </c>
      <c r="K229" s="378" t="s">
        <v>476</v>
      </c>
      <c r="L229" s="378" t="s">
        <v>165</v>
      </c>
      <c r="M229" s="380">
        <v>2400</v>
      </c>
      <c r="N229" s="380" t="s">
        <v>443</v>
      </c>
      <c r="O229" s="380" t="s">
        <v>443</v>
      </c>
      <c r="P229" s="380" t="s">
        <v>443</v>
      </c>
      <c r="Q229" s="381">
        <v>233</v>
      </c>
      <c r="R229" s="381">
        <v>0</v>
      </c>
      <c r="S229" s="381">
        <v>0</v>
      </c>
      <c r="T229" s="381">
        <v>0</v>
      </c>
      <c r="U229" s="381">
        <v>0</v>
      </c>
      <c r="V229" s="382">
        <v>233</v>
      </c>
      <c r="W229" s="382">
        <v>0</v>
      </c>
      <c r="X229" s="381">
        <v>9.7083333333333327E-2</v>
      </c>
      <c r="Y229" s="381">
        <v>0</v>
      </c>
      <c r="Z229" s="381">
        <v>0</v>
      </c>
      <c r="AA229" s="381">
        <v>0</v>
      </c>
      <c r="AB229" s="381">
        <v>0</v>
      </c>
      <c r="AC229" s="382">
        <v>9.7083333333333327E-2</v>
      </c>
      <c r="AD229" s="382">
        <v>0</v>
      </c>
      <c r="AE229" s="381" t="s">
        <v>444</v>
      </c>
    </row>
    <row r="230" spans="1:31" ht="15" customHeight="1" x14ac:dyDescent="0.25">
      <c r="A230" s="20" t="s">
        <v>156</v>
      </c>
      <c r="B230" s="20" t="s">
        <v>157</v>
      </c>
      <c r="C230" s="20" t="s">
        <v>158</v>
      </c>
      <c r="D230" s="378" t="s">
        <v>484</v>
      </c>
      <c r="E230" s="384">
        <v>44613</v>
      </c>
      <c r="F230" s="384">
        <v>46439</v>
      </c>
      <c r="G230" s="378" t="s">
        <v>439</v>
      </c>
      <c r="H230" s="20" t="s">
        <v>455</v>
      </c>
      <c r="I230" s="378" t="s">
        <v>162</v>
      </c>
      <c r="J230" s="20" t="s">
        <v>163</v>
      </c>
      <c r="K230" s="378" t="s">
        <v>476</v>
      </c>
      <c r="L230" s="378" t="s">
        <v>165</v>
      </c>
      <c r="M230" s="380">
        <v>2400</v>
      </c>
      <c r="N230" s="380" t="s">
        <v>443</v>
      </c>
      <c r="O230" s="380" t="s">
        <v>443</v>
      </c>
      <c r="P230" s="380" t="s">
        <v>443</v>
      </c>
      <c r="Q230" s="381">
        <v>252</v>
      </c>
      <c r="R230" s="381">
        <v>0</v>
      </c>
      <c r="S230" s="381">
        <v>0</v>
      </c>
      <c r="T230" s="381">
        <v>0</v>
      </c>
      <c r="U230" s="381">
        <v>0</v>
      </c>
      <c r="V230" s="382">
        <v>252</v>
      </c>
      <c r="W230" s="382">
        <v>0</v>
      </c>
      <c r="X230" s="381">
        <v>0.105</v>
      </c>
      <c r="Y230" s="381">
        <v>0</v>
      </c>
      <c r="Z230" s="381">
        <v>0</v>
      </c>
      <c r="AA230" s="381">
        <v>0</v>
      </c>
      <c r="AB230" s="381">
        <v>0</v>
      </c>
      <c r="AC230" s="382">
        <v>0.105</v>
      </c>
      <c r="AD230" s="382">
        <v>0</v>
      </c>
      <c r="AE230" s="381" t="s">
        <v>444</v>
      </c>
    </row>
    <row r="231" spans="1:31" ht="15" customHeight="1" x14ac:dyDescent="0.25">
      <c r="A231" s="20" t="s">
        <v>156</v>
      </c>
      <c r="B231" s="20" t="s">
        <v>157</v>
      </c>
      <c r="C231" s="20" t="s">
        <v>158</v>
      </c>
      <c r="D231" s="378" t="s">
        <v>485</v>
      </c>
      <c r="E231" s="384">
        <v>45292</v>
      </c>
      <c r="F231" s="384">
        <v>47119</v>
      </c>
      <c r="G231" s="378" t="s">
        <v>439</v>
      </c>
      <c r="H231" s="20" t="s">
        <v>486</v>
      </c>
      <c r="I231" s="378" t="s">
        <v>441</v>
      </c>
      <c r="J231" s="20" t="s">
        <v>163</v>
      </c>
      <c r="K231" s="378" t="s">
        <v>487</v>
      </c>
      <c r="L231" s="378" t="s">
        <v>165</v>
      </c>
      <c r="M231" s="380" t="s">
        <v>488</v>
      </c>
      <c r="N231" s="380" t="s">
        <v>443</v>
      </c>
      <c r="O231" s="380" t="s">
        <v>443</v>
      </c>
      <c r="P231" s="380" t="s">
        <v>443</v>
      </c>
      <c r="Q231" s="381">
        <v>301.22061000000002</v>
      </c>
      <c r="R231" s="381">
        <v>301.04093</v>
      </c>
      <c r="S231" s="381">
        <v>0.14675750000000001</v>
      </c>
      <c r="T231" s="381">
        <v>3.2922686E-2</v>
      </c>
      <c r="U231" s="381">
        <v>0</v>
      </c>
      <c r="V231" s="382">
        <v>301.22061018599999</v>
      </c>
      <c r="W231" s="382">
        <v>0</v>
      </c>
      <c r="X231" s="381">
        <v>0.12550858750000002</v>
      </c>
      <c r="Y231" s="381">
        <v>0.12543372083333335</v>
      </c>
      <c r="Z231" s="381">
        <v>6.1148958333333335E-5</v>
      </c>
      <c r="AA231" s="381">
        <v>1.3717785833333333E-5</v>
      </c>
      <c r="AB231" s="381">
        <v>0</v>
      </c>
      <c r="AC231" s="382">
        <v>0.12550858757750002</v>
      </c>
      <c r="AD231" s="382">
        <v>0</v>
      </c>
      <c r="AE231" s="381" t="s">
        <v>444</v>
      </c>
    </row>
    <row r="232" spans="1:31" ht="15" customHeight="1" x14ac:dyDescent="0.25">
      <c r="A232" s="20" t="s">
        <v>156</v>
      </c>
      <c r="B232" s="20" t="s">
        <v>157</v>
      </c>
      <c r="C232" s="20" t="s">
        <v>158</v>
      </c>
      <c r="D232" s="378" t="s">
        <v>489</v>
      </c>
      <c r="E232" s="384">
        <v>45292</v>
      </c>
      <c r="F232" s="384">
        <v>47119</v>
      </c>
      <c r="G232" s="378" t="s">
        <v>439</v>
      </c>
      <c r="H232" s="20" t="s">
        <v>490</v>
      </c>
      <c r="I232" s="378" t="s">
        <v>441</v>
      </c>
      <c r="J232" s="20" t="s">
        <v>163</v>
      </c>
      <c r="K232" s="378" t="s">
        <v>491</v>
      </c>
      <c r="L232" s="378" t="s">
        <v>165</v>
      </c>
      <c r="M232" s="380" t="s">
        <v>488</v>
      </c>
      <c r="N232" s="380" t="s">
        <v>443</v>
      </c>
      <c r="O232" s="380" t="s">
        <v>443</v>
      </c>
      <c r="P232" s="380" t="s">
        <v>443</v>
      </c>
      <c r="Q232" s="381">
        <v>196.37924000000001</v>
      </c>
      <c r="R232" s="381">
        <v>196.26858999999999</v>
      </c>
      <c r="S232" s="381">
        <v>9.0925192000000002E-2</v>
      </c>
      <c r="T232" s="381">
        <v>1.9728117999999999E-2</v>
      </c>
      <c r="U232" s="381">
        <v>0</v>
      </c>
      <c r="V232" s="382">
        <v>196.37924330999996</v>
      </c>
      <c r="W232" s="382">
        <v>0</v>
      </c>
      <c r="X232" s="381">
        <v>8.1824683333333342E-2</v>
      </c>
      <c r="Y232" s="381">
        <v>8.1778579166666657E-2</v>
      </c>
      <c r="Z232" s="381">
        <v>3.788549666666667E-5</v>
      </c>
      <c r="AA232" s="381">
        <v>8.2200491666666665E-6</v>
      </c>
      <c r="AB232" s="381">
        <v>0</v>
      </c>
      <c r="AC232" s="382">
        <v>8.1824684712499984E-2</v>
      </c>
      <c r="AD232" s="382">
        <v>0</v>
      </c>
      <c r="AE232" s="381" t="s">
        <v>444</v>
      </c>
    </row>
    <row r="233" spans="1:31" ht="15" customHeight="1" x14ac:dyDescent="0.25">
      <c r="A233" s="20" t="s">
        <v>156</v>
      </c>
      <c r="B233" s="20" t="s">
        <v>157</v>
      </c>
      <c r="C233" s="20" t="s">
        <v>158</v>
      </c>
      <c r="D233" s="378" t="s">
        <v>492</v>
      </c>
      <c r="E233" s="384">
        <v>45292</v>
      </c>
      <c r="F233" s="384">
        <v>47119</v>
      </c>
      <c r="G233" s="378" t="s">
        <v>439</v>
      </c>
      <c r="H233" s="20" t="s">
        <v>493</v>
      </c>
      <c r="I233" s="378" t="s">
        <v>441</v>
      </c>
      <c r="J233" s="20" t="s">
        <v>163</v>
      </c>
      <c r="K233" s="378" t="s">
        <v>494</v>
      </c>
      <c r="L233" s="378" t="s">
        <v>165</v>
      </c>
      <c r="M233" s="380" t="s">
        <v>488</v>
      </c>
      <c r="N233" s="380" t="s">
        <v>443</v>
      </c>
      <c r="O233" s="380" t="s">
        <v>443</v>
      </c>
      <c r="P233" s="380" t="s">
        <v>443</v>
      </c>
      <c r="Q233" s="381">
        <v>187.46422000000001</v>
      </c>
      <c r="R233" s="381">
        <v>187.35575</v>
      </c>
      <c r="S233" s="381">
        <v>8.9551484000000001E-2</v>
      </c>
      <c r="T233" s="381">
        <v>1.8920267000000001E-2</v>
      </c>
      <c r="U233" s="381">
        <v>0</v>
      </c>
      <c r="V233" s="382">
        <v>187.464221751</v>
      </c>
      <c r="W233" s="382">
        <v>0</v>
      </c>
      <c r="X233" s="381">
        <v>7.8110091666666673E-2</v>
      </c>
      <c r="Y233" s="381">
        <v>7.8064895833333328E-2</v>
      </c>
      <c r="Z233" s="381">
        <v>3.7313118333333333E-5</v>
      </c>
      <c r="AA233" s="381">
        <v>7.883444583333334E-6</v>
      </c>
      <c r="AB233" s="381">
        <v>0</v>
      </c>
      <c r="AC233" s="382">
        <v>7.8110092396249983E-2</v>
      </c>
      <c r="AD233" s="382">
        <v>0</v>
      </c>
      <c r="AE233" s="381" t="s">
        <v>444</v>
      </c>
    </row>
    <row r="234" spans="1:31" ht="15" customHeight="1" x14ac:dyDescent="0.25">
      <c r="A234" s="20" t="s">
        <v>156</v>
      </c>
      <c r="B234" s="20" t="s">
        <v>157</v>
      </c>
      <c r="C234" s="20" t="s">
        <v>158</v>
      </c>
      <c r="D234" s="378" t="s">
        <v>495</v>
      </c>
      <c r="E234" s="384">
        <v>45292</v>
      </c>
      <c r="F234" s="384">
        <v>47119</v>
      </c>
      <c r="G234" s="378" t="s">
        <v>439</v>
      </c>
      <c r="H234" s="20" t="s">
        <v>496</v>
      </c>
      <c r="I234" s="378" t="s">
        <v>441</v>
      </c>
      <c r="J234" s="20" t="s">
        <v>163</v>
      </c>
      <c r="K234" s="378" t="s">
        <v>497</v>
      </c>
      <c r="L234" s="378" t="s">
        <v>165</v>
      </c>
      <c r="M234" s="380" t="s">
        <v>488</v>
      </c>
      <c r="N234" s="380" t="s">
        <v>443</v>
      </c>
      <c r="O234" s="380" t="s">
        <v>443</v>
      </c>
      <c r="P234" s="380" t="s">
        <v>443</v>
      </c>
      <c r="Q234" s="381">
        <v>171.76482999999999</v>
      </c>
      <c r="R234" s="381">
        <v>171.66212999999999</v>
      </c>
      <c r="S234" s="381">
        <v>8.6173462000000006E-2</v>
      </c>
      <c r="T234" s="381">
        <v>1.6532535000000001E-2</v>
      </c>
      <c r="U234" s="381">
        <v>0</v>
      </c>
      <c r="V234" s="382">
        <v>171.76483599700001</v>
      </c>
      <c r="W234" s="382">
        <v>0</v>
      </c>
      <c r="X234" s="381">
        <v>7.1568679166666663E-2</v>
      </c>
      <c r="Y234" s="381">
        <v>7.1525887499999996E-2</v>
      </c>
      <c r="Z234" s="381">
        <v>3.590560916666667E-5</v>
      </c>
      <c r="AA234" s="381">
        <v>6.8885562500000007E-6</v>
      </c>
      <c r="AB234" s="381">
        <v>0</v>
      </c>
      <c r="AC234" s="382">
        <v>7.1568681665416661E-2</v>
      </c>
      <c r="AD234" s="382">
        <v>0</v>
      </c>
      <c r="AE234" s="381" t="s">
        <v>444</v>
      </c>
    </row>
    <row r="235" spans="1:31" ht="15" customHeight="1" x14ac:dyDescent="0.25">
      <c r="A235" s="20" t="s">
        <v>156</v>
      </c>
      <c r="B235" s="20" t="s">
        <v>157</v>
      </c>
      <c r="C235" s="20" t="s">
        <v>158</v>
      </c>
      <c r="D235" s="378" t="s">
        <v>498</v>
      </c>
      <c r="E235" s="384">
        <v>45292</v>
      </c>
      <c r="F235" s="384">
        <v>47119</v>
      </c>
      <c r="G235" s="378" t="s">
        <v>439</v>
      </c>
      <c r="H235" s="20" t="s">
        <v>499</v>
      </c>
      <c r="I235" s="378" t="s">
        <v>441</v>
      </c>
      <c r="J235" s="20" t="s">
        <v>163</v>
      </c>
      <c r="K235" s="378" t="s">
        <v>500</v>
      </c>
      <c r="L235" s="378" t="s">
        <v>165</v>
      </c>
      <c r="M235" s="380" t="s">
        <v>488</v>
      </c>
      <c r="N235" s="380" t="s">
        <v>443</v>
      </c>
      <c r="O235" s="380" t="s">
        <v>443</v>
      </c>
      <c r="P235" s="380" t="s">
        <v>443</v>
      </c>
      <c r="Q235" s="381">
        <v>189.0324</v>
      </c>
      <c r="R235" s="381">
        <v>188.93022999999999</v>
      </c>
      <c r="S235" s="381">
        <v>8.3756659999999997E-2</v>
      </c>
      <c r="T235" s="381">
        <v>1.8408748999999999E-2</v>
      </c>
      <c r="U235" s="381">
        <v>0</v>
      </c>
      <c r="V235" s="382">
        <v>189.032395409</v>
      </c>
      <c r="W235" s="382">
        <v>0</v>
      </c>
      <c r="X235" s="381">
        <v>7.87635E-2</v>
      </c>
      <c r="Y235" s="381">
        <v>7.8720929166666662E-2</v>
      </c>
      <c r="Z235" s="381">
        <v>3.489860833333333E-5</v>
      </c>
      <c r="AA235" s="381">
        <v>7.670312083333332E-6</v>
      </c>
      <c r="AB235" s="381">
        <v>0</v>
      </c>
      <c r="AC235" s="382">
        <v>7.8763498087083328E-2</v>
      </c>
      <c r="AD235" s="382">
        <v>0</v>
      </c>
      <c r="AE235" s="381" t="s">
        <v>444</v>
      </c>
    </row>
    <row r="236" spans="1:31" ht="15" customHeight="1" x14ac:dyDescent="0.25">
      <c r="A236" s="20" t="s">
        <v>156</v>
      </c>
      <c r="B236" s="20" t="s">
        <v>157</v>
      </c>
      <c r="C236" s="20" t="s">
        <v>158</v>
      </c>
      <c r="D236" s="378" t="s">
        <v>501</v>
      </c>
      <c r="E236" s="384">
        <v>45292</v>
      </c>
      <c r="F236" s="384">
        <v>47119</v>
      </c>
      <c r="G236" s="378" t="s">
        <v>439</v>
      </c>
      <c r="H236" s="20" t="s">
        <v>502</v>
      </c>
      <c r="I236" s="378" t="s">
        <v>441</v>
      </c>
      <c r="J236" s="20" t="s">
        <v>163</v>
      </c>
      <c r="K236" s="378" t="s">
        <v>503</v>
      </c>
      <c r="L236" s="378" t="s">
        <v>165</v>
      </c>
      <c r="M236" s="380" t="s">
        <v>488</v>
      </c>
      <c r="N236" s="380" t="s">
        <v>443</v>
      </c>
      <c r="O236" s="380" t="s">
        <v>443</v>
      </c>
      <c r="P236" s="380" t="s">
        <v>443</v>
      </c>
      <c r="Q236" s="381">
        <v>178.36626000000001</v>
      </c>
      <c r="R236" s="381">
        <v>178.26449</v>
      </c>
      <c r="S236" s="381">
        <v>8.4893249000000004E-2</v>
      </c>
      <c r="T236" s="381">
        <v>1.6869391000000001E-2</v>
      </c>
      <c r="U236" s="381">
        <v>0</v>
      </c>
      <c r="V236" s="382">
        <v>178.36625264</v>
      </c>
      <c r="W236" s="382">
        <v>0</v>
      </c>
      <c r="X236" s="381">
        <v>7.4319275000000004E-2</v>
      </c>
      <c r="Y236" s="381">
        <v>7.4276870833333328E-2</v>
      </c>
      <c r="Z236" s="381">
        <v>3.5372187083333335E-5</v>
      </c>
      <c r="AA236" s="381">
        <v>7.028912916666667E-6</v>
      </c>
      <c r="AB236" s="381">
        <v>0</v>
      </c>
      <c r="AC236" s="382">
        <v>7.431927193333332E-2</v>
      </c>
      <c r="AD236" s="382">
        <v>0</v>
      </c>
      <c r="AE236" s="381" t="s">
        <v>444</v>
      </c>
    </row>
    <row r="237" spans="1:31" ht="15" customHeight="1" x14ac:dyDescent="0.25">
      <c r="A237" s="20" t="s">
        <v>156</v>
      </c>
      <c r="B237" s="20" t="s">
        <v>157</v>
      </c>
      <c r="C237" s="20" t="s">
        <v>158</v>
      </c>
      <c r="D237" s="378" t="s">
        <v>504</v>
      </c>
      <c r="E237" s="384">
        <v>45292</v>
      </c>
      <c r="F237" s="384">
        <v>47119</v>
      </c>
      <c r="G237" s="378" t="s">
        <v>439</v>
      </c>
      <c r="H237" s="20" t="s">
        <v>505</v>
      </c>
      <c r="I237" s="378" t="s">
        <v>441</v>
      </c>
      <c r="J237" s="20" t="s">
        <v>163</v>
      </c>
      <c r="K237" s="378" t="s">
        <v>506</v>
      </c>
      <c r="L237" s="378" t="s">
        <v>165</v>
      </c>
      <c r="M237" s="380" t="s">
        <v>488</v>
      </c>
      <c r="N237" s="380" t="s">
        <v>443</v>
      </c>
      <c r="O237" s="380" t="s">
        <v>443</v>
      </c>
      <c r="P237" s="380" t="s">
        <v>443</v>
      </c>
      <c r="Q237" s="381">
        <v>185.80649</v>
      </c>
      <c r="R237" s="381">
        <v>185.70554999999999</v>
      </c>
      <c r="S237" s="381">
        <v>8.2803474000000002E-2</v>
      </c>
      <c r="T237" s="381">
        <v>1.8135174E-2</v>
      </c>
      <c r="U237" s="381">
        <v>0</v>
      </c>
      <c r="V237" s="382">
        <v>185.806488648</v>
      </c>
      <c r="W237" s="382">
        <v>0</v>
      </c>
      <c r="X237" s="381">
        <v>7.7419370833333334E-2</v>
      </c>
      <c r="Y237" s="381">
        <v>7.737731249999999E-2</v>
      </c>
      <c r="Z237" s="381">
        <v>3.4501447500000001E-5</v>
      </c>
      <c r="AA237" s="381">
        <v>7.5563224999999999E-6</v>
      </c>
      <c r="AB237" s="381">
        <v>0</v>
      </c>
      <c r="AC237" s="382">
        <v>7.7419370269999996E-2</v>
      </c>
      <c r="AD237" s="382">
        <v>0</v>
      </c>
      <c r="AE237" s="381" t="s">
        <v>444</v>
      </c>
    </row>
    <row r="238" spans="1:31" ht="15" customHeight="1" x14ac:dyDescent="0.25">
      <c r="A238" s="20" t="s">
        <v>156</v>
      </c>
      <c r="B238" s="20" t="s">
        <v>157</v>
      </c>
      <c r="C238" s="20" t="s">
        <v>158</v>
      </c>
      <c r="D238" s="378" t="s">
        <v>507</v>
      </c>
      <c r="E238" s="384">
        <v>45292</v>
      </c>
      <c r="F238" s="384">
        <v>47119</v>
      </c>
      <c r="G238" s="378" t="s">
        <v>439</v>
      </c>
      <c r="H238" s="20" t="s">
        <v>508</v>
      </c>
      <c r="I238" s="378" t="s">
        <v>441</v>
      </c>
      <c r="J238" s="20" t="s">
        <v>163</v>
      </c>
      <c r="K238" s="378" t="s">
        <v>509</v>
      </c>
      <c r="L238" s="378" t="s">
        <v>165</v>
      </c>
      <c r="M238" s="380" t="s">
        <v>488</v>
      </c>
      <c r="N238" s="380" t="s">
        <v>443</v>
      </c>
      <c r="O238" s="380" t="s">
        <v>443</v>
      </c>
      <c r="P238" s="380" t="s">
        <v>443</v>
      </c>
      <c r="Q238" s="381">
        <v>185.80649</v>
      </c>
      <c r="R238" s="381">
        <v>185.70554999999999</v>
      </c>
      <c r="S238" s="381">
        <v>8.2803474000000002E-2</v>
      </c>
      <c r="T238" s="381">
        <v>1.8135174E-2</v>
      </c>
      <c r="U238" s="381">
        <v>0</v>
      </c>
      <c r="V238" s="382">
        <v>185.806488648</v>
      </c>
      <c r="W238" s="382">
        <v>0</v>
      </c>
      <c r="X238" s="381">
        <v>7.7419370833333334E-2</v>
      </c>
      <c r="Y238" s="381">
        <v>7.737731249999999E-2</v>
      </c>
      <c r="Z238" s="381">
        <v>3.4501447500000001E-5</v>
      </c>
      <c r="AA238" s="381">
        <v>7.5563224999999999E-6</v>
      </c>
      <c r="AB238" s="381">
        <v>0</v>
      </c>
      <c r="AC238" s="382">
        <v>7.7419370269999996E-2</v>
      </c>
      <c r="AD238" s="382">
        <v>0</v>
      </c>
      <c r="AE238" s="381" t="s">
        <v>444</v>
      </c>
    </row>
    <row r="239" spans="1:31" ht="15" customHeight="1" x14ac:dyDescent="0.25">
      <c r="A239" s="20" t="s">
        <v>156</v>
      </c>
      <c r="B239" s="20" t="s">
        <v>157</v>
      </c>
      <c r="C239" s="20" t="s">
        <v>158</v>
      </c>
      <c r="D239" s="378" t="s">
        <v>510</v>
      </c>
      <c r="E239" s="384">
        <v>45292</v>
      </c>
      <c r="F239" s="384">
        <v>47119</v>
      </c>
      <c r="G239" s="378" t="s">
        <v>439</v>
      </c>
      <c r="H239" s="20" t="s">
        <v>511</v>
      </c>
      <c r="I239" s="378" t="s">
        <v>441</v>
      </c>
      <c r="J239" s="20" t="s">
        <v>163</v>
      </c>
      <c r="K239" s="378" t="s">
        <v>512</v>
      </c>
      <c r="L239" s="378" t="s">
        <v>165</v>
      </c>
      <c r="M239" s="380" t="s">
        <v>488</v>
      </c>
      <c r="N239" s="380" t="s">
        <v>443</v>
      </c>
      <c r="O239" s="380" t="s">
        <v>443</v>
      </c>
      <c r="P239" s="380" t="s">
        <v>443</v>
      </c>
      <c r="Q239" s="381">
        <v>203.12482</v>
      </c>
      <c r="R239" s="381">
        <v>203.02672000000001</v>
      </c>
      <c r="S239" s="381">
        <v>3.6274977E-2</v>
      </c>
      <c r="T239" s="381">
        <v>6.1822083E-2</v>
      </c>
      <c r="U239" s="381">
        <v>0</v>
      </c>
      <c r="V239" s="382">
        <v>203.12481706000003</v>
      </c>
      <c r="W239" s="382">
        <v>0</v>
      </c>
      <c r="X239" s="381">
        <v>8.4635341666666669E-2</v>
      </c>
      <c r="Y239" s="381">
        <v>8.4594466666666673E-2</v>
      </c>
      <c r="Z239" s="381">
        <v>1.5114573750000001E-5</v>
      </c>
      <c r="AA239" s="381">
        <v>2.5759201250000001E-5</v>
      </c>
      <c r="AB239" s="381">
        <v>0</v>
      </c>
      <c r="AC239" s="382">
        <v>8.4635340441666679E-2</v>
      </c>
      <c r="AD239" s="382">
        <v>0</v>
      </c>
      <c r="AE239" s="381" t="s">
        <v>444</v>
      </c>
    </row>
    <row r="240" spans="1:31" ht="15" customHeight="1" x14ac:dyDescent="0.25">
      <c r="A240" s="20" t="s">
        <v>156</v>
      </c>
      <c r="B240" s="20" t="s">
        <v>157</v>
      </c>
      <c r="C240" s="20" t="s">
        <v>158</v>
      </c>
      <c r="D240" s="378" t="s">
        <v>513</v>
      </c>
      <c r="E240" s="384">
        <v>45292</v>
      </c>
      <c r="F240" s="384">
        <v>47119</v>
      </c>
      <c r="G240" s="378" t="s">
        <v>439</v>
      </c>
      <c r="H240" s="20" t="s">
        <v>514</v>
      </c>
      <c r="I240" s="378" t="s">
        <v>441</v>
      </c>
      <c r="J240" s="20" t="s">
        <v>163</v>
      </c>
      <c r="K240" s="378" t="s">
        <v>515</v>
      </c>
      <c r="L240" s="378" t="s">
        <v>165</v>
      </c>
      <c r="M240" s="380" t="s">
        <v>488</v>
      </c>
      <c r="N240" s="380" t="s">
        <v>443</v>
      </c>
      <c r="O240" s="380" t="s">
        <v>443</v>
      </c>
      <c r="P240" s="380" t="s">
        <v>443</v>
      </c>
      <c r="Q240" s="381">
        <v>212.2954</v>
      </c>
      <c r="R240" s="381">
        <v>212.20329000000001</v>
      </c>
      <c r="S240" s="381">
        <v>9.2087960999999996E-2</v>
      </c>
      <c r="T240" s="381">
        <v>1.5098733E-5</v>
      </c>
      <c r="U240" s="381">
        <v>0</v>
      </c>
      <c r="V240" s="382">
        <v>212.29539305973302</v>
      </c>
      <c r="W240" s="382">
        <v>0</v>
      </c>
      <c r="X240" s="381">
        <v>8.8456416666666662E-2</v>
      </c>
      <c r="Y240" s="381">
        <v>8.8418037500000005E-2</v>
      </c>
      <c r="Z240" s="381">
        <v>3.8369983749999997E-5</v>
      </c>
      <c r="AA240" s="381">
        <v>6.2911387500000003E-9</v>
      </c>
      <c r="AB240" s="381">
        <v>0</v>
      </c>
      <c r="AC240" s="382">
        <v>8.8456413774888748E-2</v>
      </c>
      <c r="AD240" s="382">
        <v>0</v>
      </c>
      <c r="AE240" s="381" t="s">
        <v>444</v>
      </c>
    </row>
    <row r="241" spans="1:31" ht="15" customHeight="1" x14ac:dyDescent="0.25">
      <c r="A241" s="20" t="s">
        <v>156</v>
      </c>
      <c r="B241" s="20" t="s">
        <v>330</v>
      </c>
      <c r="C241" s="20" t="s">
        <v>158</v>
      </c>
      <c r="D241" s="378" t="s">
        <v>516</v>
      </c>
      <c r="E241" s="384">
        <v>45292</v>
      </c>
      <c r="F241" s="384">
        <v>47119</v>
      </c>
      <c r="G241" s="378" t="s">
        <v>439</v>
      </c>
      <c r="H241" s="20" t="s">
        <v>517</v>
      </c>
      <c r="I241" s="378" t="s">
        <v>441</v>
      </c>
      <c r="J241" s="20" t="s">
        <v>163</v>
      </c>
      <c r="K241" s="378" t="s">
        <v>518</v>
      </c>
      <c r="L241" s="378" t="s">
        <v>165</v>
      </c>
      <c r="M241" s="380" t="s">
        <v>488</v>
      </c>
      <c r="N241" s="380" t="s">
        <v>443</v>
      </c>
      <c r="O241" s="380" t="s">
        <v>443</v>
      </c>
      <c r="P241" s="380" t="s">
        <v>443</v>
      </c>
      <c r="Q241" s="381">
        <v>191.72490999999999</v>
      </c>
      <c r="R241" s="381">
        <v>191.63485</v>
      </c>
      <c r="S241" s="381">
        <v>3.1171807999999999E-2</v>
      </c>
      <c r="T241" s="381">
        <v>5.8885832999999999E-2</v>
      </c>
      <c r="U241" s="381">
        <v>0</v>
      </c>
      <c r="V241" s="382">
        <v>191.72490764100002</v>
      </c>
      <c r="W241" s="382">
        <v>0</v>
      </c>
      <c r="X241" s="381">
        <v>7.9885379166666659E-2</v>
      </c>
      <c r="Y241" s="381">
        <v>7.9847854166666662E-2</v>
      </c>
      <c r="Z241" s="381">
        <v>1.2988253333333334E-5</v>
      </c>
      <c r="AA241" s="381">
        <v>2.4535763749999999E-5</v>
      </c>
      <c r="AB241" s="381">
        <v>0</v>
      </c>
      <c r="AC241" s="382">
        <v>7.9885378183749994E-2</v>
      </c>
      <c r="AD241" s="382">
        <v>0</v>
      </c>
      <c r="AE241" s="381" t="s">
        <v>444</v>
      </c>
    </row>
    <row r="242" spans="1:31" ht="15" customHeight="1" x14ac:dyDescent="0.25">
      <c r="A242" s="20" t="s">
        <v>156</v>
      </c>
      <c r="B242" s="20" t="s">
        <v>157</v>
      </c>
      <c r="C242" s="20" t="s">
        <v>158</v>
      </c>
      <c r="D242" s="378" t="s">
        <v>519</v>
      </c>
      <c r="E242" s="384">
        <v>45292</v>
      </c>
      <c r="F242" s="384">
        <v>47119</v>
      </c>
      <c r="G242" s="378" t="s">
        <v>439</v>
      </c>
      <c r="H242" s="20" t="s">
        <v>520</v>
      </c>
      <c r="I242" s="378" t="s">
        <v>441</v>
      </c>
      <c r="J242" s="20" t="s">
        <v>163</v>
      </c>
      <c r="K242" s="378" t="s">
        <v>521</v>
      </c>
      <c r="L242" s="378" t="s">
        <v>165</v>
      </c>
      <c r="M242" s="380" t="s">
        <v>488</v>
      </c>
      <c r="N242" s="380" t="s">
        <v>443</v>
      </c>
      <c r="O242" s="380" t="s">
        <v>443</v>
      </c>
      <c r="P242" s="380" t="s">
        <v>443</v>
      </c>
      <c r="Q242" s="381">
        <v>163.11564999999999</v>
      </c>
      <c r="R242" s="381">
        <v>163.02878000000001</v>
      </c>
      <c r="S242" s="381">
        <v>4.2857931000000002E-2</v>
      </c>
      <c r="T242" s="381">
        <v>4.4011556E-2</v>
      </c>
      <c r="U242" s="381">
        <v>0</v>
      </c>
      <c r="V242" s="382">
        <v>163.11564948699998</v>
      </c>
      <c r="W242" s="382">
        <v>0</v>
      </c>
      <c r="X242" s="381">
        <v>6.7964854166666658E-2</v>
      </c>
      <c r="Y242" s="381">
        <v>6.7928658333333336E-2</v>
      </c>
      <c r="Z242" s="381">
        <v>1.7857471249999999E-5</v>
      </c>
      <c r="AA242" s="381">
        <v>1.8338148333333334E-5</v>
      </c>
      <c r="AB242" s="381">
        <v>0</v>
      </c>
      <c r="AC242" s="382">
        <v>6.7964853952916668E-2</v>
      </c>
      <c r="AD242" s="382">
        <v>0</v>
      </c>
      <c r="AE242" s="381" t="s">
        <v>444</v>
      </c>
    </row>
    <row r="243" spans="1:31" ht="15" customHeight="1" x14ac:dyDescent="0.25">
      <c r="A243" s="20" t="s">
        <v>156</v>
      </c>
      <c r="B243" s="20" t="s">
        <v>330</v>
      </c>
      <c r="C243" s="20" t="s">
        <v>158</v>
      </c>
      <c r="D243" s="378" t="s">
        <v>522</v>
      </c>
      <c r="E243" s="384">
        <v>45292</v>
      </c>
      <c r="F243" s="384">
        <v>47119</v>
      </c>
      <c r="G243" s="378" t="s">
        <v>439</v>
      </c>
      <c r="H243" s="20" t="s">
        <v>523</v>
      </c>
      <c r="I243" s="378" t="s">
        <v>441</v>
      </c>
      <c r="J243" s="20" t="s">
        <v>163</v>
      </c>
      <c r="K243" s="378" t="s">
        <v>524</v>
      </c>
      <c r="L243" s="378" t="s">
        <v>165</v>
      </c>
      <c r="M243" s="380" t="s">
        <v>488</v>
      </c>
      <c r="N243" s="380" t="s">
        <v>443</v>
      </c>
      <c r="O243" s="380" t="s">
        <v>443</v>
      </c>
      <c r="P243" s="380" t="s">
        <v>443</v>
      </c>
      <c r="Q243" s="381">
        <v>200.86329000000001</v>
      </c>
      <c r="R243" s="381">
        <v>200.77775</v>
      </c>
      <c r="S243" s="381">
        <v>8.5526701999999996E-2</v>
      </c>
      <c r="T243" s="381">
        <v>1.4958321E-5</v>
      </c>
      <c r="U243" s="381">
        <v>0</v>
      </c>
      <c r="V243" s="382">
        <v>200.86329166032101</v>
      </c>
      <c r="W243" s="382">
        <v>0</v>
      </c>
      <c r="X243" s="381">
        <v>8.3693037499999998E-2</v>
      </c>
      <c r="Y243" s="381">
        <v>8.3657395833333328E-2</v>
      </c>
      <c r="Z243" s="381">
        <v>3.5636125833333332E-5</v>
      </c>
      <c r="AA243" s="381">
        <v>6.2326337500000002E-9</v>
      </c>
      <c r="AB243" s="381">
        <v>0</v>
      </c>
      <c r="AC243" s="382">
        <v>8.369303819180042E-2</v>
      </c>
      <c r="AD243" s="382">
        <v>0</v>
      </c>
      <c r="AE243" s="381" t="s">
        <v>444</v>
      </c>
    </row>
    <row r="244" spans="1:31" ht="15" customHeight="1" x14ac:dyDescent="0.25">
      <c r="A244" s="20" t="s">
        <v>156</v>
      </c>
      <c r="B244" s="20" t="s">
        <v>330</v>
      </c>
      <c r="C244" s="20" t="s">
        <v>158</v>
      </c>
      <c r="D244" s="378" t="s">
        <v>525</v>
      </c>
      <c r="E244" s="384">
        <v>45292</v>
      </c>
      <c r="F244" s="384">
        <v>47119</v>
      </c>
      <c r="G244" s="378" t="s">
        <v>439</v>
      </c>
      <c r="H244" s="20" t="s">
        <v>526</v>
      </c>
      <c r="I244" s="378" t="s">
        <v>441</v>
      </c>
      <c r="J244" s="20" t="s">
        <v>163</v>
      </c>
      <c r="K244" s="378" t="s">
        <v>527</v>
      </c>
      <c r="L244" s="378" t="s">
        <v>165</v>
      </c>
      <c r="M244" s="380" t="s">
        <v>488</v>
      </c>
      <c r="N244" s="380" t="s">
        <v>443</v>
      </c>
      <c r="O244" s="380" t="s">
        <v>443</v>
      </c>
      <c r="P244" s="380" t="s">
        <v>443</v>
      </c>
      <c r="Q244" s="381">
        <v>153.00890999999999</v>
      </c>
      <c r="R244" s="381">
        <v>152.93045000000001</v>
      </c>
      <c r="S244" s="381">
        <v>3.6622505E-2</v>
      </c>
      <c r="T244" s="381">
        <v>4.1841759999999999E-2</v>
      </c>
      <c r="U244" s="381">
        <v>0</v>
      </c>
      <c r="V244" s="382">
        <v>153.00891426500002</v>
      </c>
      <c r="W244" s="382">
        <v>0</v>
      </c>
      <c r="X244" s="381">
        <v>6.375371249999999E-2</v>
      </c>
      <c r="Y244" s="381">
        <v>6.3721020833333336E-2</v>
      </c>
      <c r="Z244" s="381">
        <v>1.5259377083333333E-5</v>
      </c>
      <c r="AA244" s="381">
        <v>1.7434066666666666E-5</v>
      </c>
      <c r="AB244" s="381">
        <v>0</v>
      </c>
      <c r="AC244" s="382">
        <v>6.3753714277083331E-2</v>
      </c>
      <c r="AD244" s="382">
        <v>0</v>
      </c>
      <c r="AE244" s="381" t="s">
        <v>444</v>
      </c>
    </row>
    <row r="245" spans="1:31" ht="15" customHeight="1" x14ac:dyDescent="0.25">
      <c r="A245" s="20" t="s">
        <v>156</v>
      </c>
      <c r="B245" s="20" t="s">
        <v>157</v>
      </c>
      <c r="C245" s="20" t="s">
        <v>158</v>
      </c>
      <c r="D245" s="378" t="s">
        <v>528</v>
      </c>
      <c r="E245" s="384">
        <v>45292</v>
      </c>
      <c r="F245" s="384">
        <v>47119</v>
      </c>
      <c r="G245" s="378" t="s">
        <v>439</v>
      </c>
      <c r="H245" s="20" t="s">
        <v>529</v>
      </c>
      <c r="I245" s="378" t="s">
        <v>441</v>
      </c>
      <c r="J245" s="20" t="s">
        <v>163</v>
      </c>
      <c r="K245" s="378" t="s">
        <v>530</v>
      </c>
      <c r="L245" s="378" t="s">
        <v>165</v>
      </c>
      <c r="M245" s="380" t="s">
        <v>488</v>
      </c>
      <c r="N245" s="380" t="s">
        <v>443</v>
      </c>
      <c r="O245" s="380" t="s">
        <v>443</v>
      </c>
      <c r="P245" s="380" t="s">
        <v>443</v>
      </c>
      <c r="Q245" s="381">
        <v>163.43388999999999</v>
      </c>
      <c r="R245" s="381">
        <v>163.37217999999999</v>
      </c>
      <c r="S245" s="381">
        <v>6.1694303999999998E-2</v>
      </c>
      <c r="T245" s="381">
        <v>1.6943891000000001E-5</v>
      </c>
      <c r="U245" s="381">
        <v>0</v>
      </c>
      <c r="V245" s="382">
        <v>163.43389124789101</v>
      </c>
      <c r="W245" s="382">
        <v>0</v>
      </c>
      <c r="X245" s="381">
        <v>6.8097454166666668E-2</v>
      </c>
      <c r="Y245" s="381">
        <v>6.8071741666666657E-2</v>
      </c>
      <c r="Z245" s="381">
        <v>2.5705959999999998E-5</v>
      </c>
      <c r="AA245" s="381">
        <v>7.0599545833333335E-9</v>
      </c>
      <c r="AB245" s="381">
        <v>0</v>
      </c>
      <c r="AC245" s="382">
        <v>6.8097454686621234E-2</v>
      </c>
      <c r="AD245" s="382">
        <v>0</v>
      </c>
      <c r="AE245" s="381" t="s">
        <v>444</v>
      </c>
    </row>
    <row r="246" spans="1:31" ht="15" customHeight="1" x14ac:dyDescent="0.25">
      <c r="A246" s="20" t="s">
        <v>156</v>
      </c>
      <c r="B246" s="20" t="s">
        <v>330</v>
      </c>
      <c r="C246" s="20" t="s">
        <v>158</v>
      </c>
      <c r="D246" s="378" t="s">
        <v>531</v>
      </c>
      <c r="E246" s="384">
        <v>45292</v>
      </c>
      <c r="F246" s="384">
        <v>47119</v>
      </c>
      <c r="G246" s="378" t="s">
        <v>439</v>
      </c>
      <c r="H246" s="20" t="s">
        <v>532</v>
      </c>
      <c r="I246" s="378" t="s">
        <v>441</v>
      </c>
      <c r="J246" s="20" t="s">
        <v>163</v>
      </c>
      <c r="K246" s="378" t="s">
        <v>533</v>
      </c>
      <c r="L246" s="378" t="s">
        <v>165</v>
      </c>
      <c r="M246" s="380" t="s">
        <v>488</v>
      </c>
      <c r="N246" s="380" t="s">
        <v>443</v>
      </c>
      <c r="O246" s="380" t="s">
        <v>443</v>
      </c>
      <c r="P246" s="380" t="s">
        <v>443</v>
      </c>
      <c r="Q246" s="381">
        <v>153.35228000000001</v>
      </c>
      <c r="R246" s="381">
        <v>153.29625999999999</v>
      </c>
      <c r="S246" s="381">
        <v>5.6003913000000002E-2</v>
      </c>
      <c r="T246" s="381">
        <v>1.6620018999999999E-5</v>
      </c>
      <c r="U246" s="381">
        <v>0</v>
      </c>
      <c r="V246" s="382">
        <v>153.35228053301901</v>
      </c>
      <c r="W246" s="382">
        <v>0</v>
      </c>
      <c r="X246" s="381">
        <v>6.3896783333333332E-2</v>
      </c>
      <c r="Y246" s="381">
        <v>6.3873441666666655E-2</v>
      </c>
      <c r="Z246" s="381">
        <v>2.3334963750000002E-5</v>
      </c>
      <c r="AA246" s="381">
        <v>6.9250079166666661E-9</v>
      </c>
      <c r="AB246" s="381">
        <v>0</v>
      </c>
      <c r="AC246" s="382">
        <v>6.3896783555424566E-2</v>
      </c>
      <c r="AD246" s="382">
        <v>0</v>
      </c>
      <c r="AE246" s="381" t="s">
        <v>444</v>
      </c>
    </row>
    <row r="247" spans="1:31" ht="15" customHeight="1" x14ac:dyDescent="0.25">
      <c r="A247" s="20" t="s">
        <v>156</v>
      </c>
      <c r="B247" s="20" t="s">
        <v>534</v>
      </c>
      <c r="C247" s="20" t="s">
        <v>535</v>
      </c>
      <c r="D247" s="378" t="s">
        <v>536</v>
      </c>
      <c r="E247" s="379">
        <v>44588</v>
      </c>
      <c r="F247" s="379">
        <v>46414</v>
      </c>
      <c r="G247" s="378" t="s">
        <v>160</v>
      </c>
      <c r="H247" s="20" t="s">
        <v>161</v>
      </c>
      <c r="I247" s="20" t="s">
        <v>162</v>
      </c>
      <c r="J247" s="20" t="s">
        <v>163</v>
      </c>
      <c r="K247" s="378" t="s">
        <v>164</v>
      </c>
      <c r="L247" s="20" t="s">
        <v>165</v>
      </c>
      <c r="M247" s="380">
        <v>2400</v>
      </c>
      <c r="N247" s="380"/>
      <c r="O247" s="380"/>
      <c r="P247" s="380"/>
      <c r="Q247" s="381" t="s">
        <v>537</v>
      </c>
      <c r="R247" s="381">
        <v>213</v>
      </c>
      <c r="S247" s="381" t="s">
        <v>538</v>
      </c>
      <c r="T247" s="381"/>
      <c r="U247" s="381"/>
      <c r="V247" s="382">
        <v>213.32</v>
      </c>
      <c r="W247" s="382">
        <v>0</v>
      </c>
      <c r="X247" s="381">
        <v>8.8749999999999996E-2</v>
      </c>
      <c r="Y247" s="381">
        <v>8.8749999999999996E-2</v>
      </c>
      <c r="Z247" s="381">
        <v>1.3333333333333334E-4</v>
      </c>
      <c r="AA247" s="381">
        <v>0</v>
      </c>
      <c r="AB247" s="381">
        <v>0</v>
      </c>
      <c r="AC247" s="382">
        <v>8.8883333333333328E-2</v>
      </c>
      <c r="AD247" s="382">
        <v>0</v>
      </c>
      <c r="AE247" s="381" t="s">
        <v>168</v>
      </c>
    </row>
    <row r="248" spans="1:31" ht="15" customHeight="1" x14ac:dyDescent="0.25">
      <c r="A248" s="20" t="s">
        <v>156</v>
      </c>
      <c r="B248" s="20" t="s">
        <v>534</v>
      </c>
      <c r="C248" s="20" t="s">
        <v>535</v>
      </c>
      <c r="D248" s="378" t="s">
        <v>539</v>
      </c>
      <c r="E248" s="379">
        <v>44588</v>
      </c>
      <c r="F248" s="379">
        <v>46414</v>
      </c>
      <c r="G248" s="378" t="s">
        <v>160</v>
      </c>
      <c r="H248" s="20" t="s">
        <v>161</v>
      </c>
      <c r="I248" s="20" t="s">
        <v>162</v>
      </c>
      <c r="J248" s="20" t="s">
        <v>163</v>
      </c>
      <c r="K248" s="378" t="s">
        <v>164</v>
      </c>
      <c r="L248" s="20" t="s">
        <v>165</v>
      </c>
      <c r="M248" s="380">
        <v>2400</v>
      </c>
      <c r="N248" s="380"/>
      <c r="O248" s="380"/>
      <c r="P248" s="380"/>
      <c r="Q248" s="381" t="s">
        <v>540</v>
      </c>
      <c r="R248" s="381">
        <v>214</v>
      </c>
      <c r="S248" s="381" t="s">
        <v>538</v>
      </c>
      <c r="T248" s="381"/>
      <c r="U248" s="381"/>
      <c r="V248" s="382">
        <v>214.32</v>
      </c>
      <c r="W248" s="382">
        <v>0</v>
      </c>
      <c r="X248" s="381">
        <v>8.9166666666666672E-2</v>
      </c>
      <c r="Y248" s="381">
        <v>8.9166666666666672E-2</v>
      </c>
      <c r="Z248" s="381">
        <v>1.3333333333333334E-4</v>
      </c>
      <c r="AA248" s="381">
        <v>0</v>
      </c>
      <c r="AB248" s="381">
        <v>0</v>
      </c>
      <c r="AC248" s="382">
        <v>8.9300000000000004E-2</v>
      </c>
      <c r="AD248" s="382">
        <v>0</v>
      </c>
      <c r="AE248" s="381" t="s">
        <v>168</v>
      </c>
    </row>
    <row r="249" spans="1:31" ht="15" customHeight="1" x14ac:dyDescent="0.25">
      <c r="A249" s="20" t="s">
        <v>156</v>
      </c>
      <c r="B249" s="20" t="s">
        <v>534</v>
      </c>
      <c r="C249" s="20" t="s">
        <v>535</v>
      </c>
      <c r="D249" s="378" t="s">
        <v>541</v>
      </c>
      <c r="E249" s="379">
        <v>44910</v>
      </c>
      <c r="F249" s="379">
        <v>46736</v>
      </c>
      <c r="G249" s="378" t="s">
        <v>173</v>
      </c>
      <c r="H249" s="20" t="s">
        <v>174</v>
      </c>
      <c r="I249" s="20" t="s">
        <v>162</v>
      </c>
      <c r="J249" s="20" t="s">
        <v>163</v>
      </c>
      <c r="K249" s="378" t="s">
        <v>175</v>
      </c>
      <c r="L249" s="20" t="s">
        <v>165</v>
      </c>
      <c r="M249" s="380">
        <v>2400</v>
      </c>
      <c r="N249" s="380"/>
      <c r="O249" s="380"/>
      <c r="P249" s="380"/>
      <c r="Q249" s="381">
        <v>292</v>
      </c>
      <c r="R249" s="381">
        <v>289</v>
      </c>
      <c r="S249" s="381">
        <v>3.43</v>
      </c>
      <c r="T249" s="381"/>
      <c r="U249" s="381"/>
      <c r="V249" s="382">
        <v>292.43</v>
      </c>
      <c r="W249" s="382">
        <v>0</v>
      </c>
      <c r="X249" s="381">
        <v>0.12166666666666667</v>
      </c>
      <c r="Y249" s="381">
        <v>0.12041666666666667</v>
      </c>
      <c r="Z249" s="381">
        <v>1.4291666666666667E-3</v>
      </c>
      <c r="AA249" s="381">
        <v>0</v>
      </c>
      <c r="AB249" s="381">
        <v>0</v>
      </c>
      <c r="AC249" s="382">
        <v>0.12184583333333333</v>
      </c>
      <c r="AD249" s="382">
        <v>0</v>
      </c>
      <c r="AE249" s="381" t="s">
        <v>168</v>
      </c>
    </row>
    <row r="250" spans="1:31" ht="15" customHeight="1" x14ac:dyDescent="0.25">
      <c r="A250" s="20" t="s">
        <v>156</v>
      </c>
      <c r="B250" s="20" t="s">
        <v>534</v>
      </c>
      <c r="C250" s="20" t="s">
        <v>535</v>
      </c>
      <c r="D250" s="378" t="s">
        <v>542</v>
      </c>
      <c r="E250" s="379">
        <v>44588</v>
      </c>
      <c r="F250" s="379">
        <v>46414</v>
      </c>
      <c r="G250" s="378" t="s">
        <v>160</v>
      </c>
      <c r="H250" s="20" t="s">
        <v>161</v>
      </c>
      <c r="I250" s="20" t="s">
        <v>162</v>
      </c>
      <c r="J250" s="20" t="s">
        <v>163</v>
      </c>
      <c r="K250" s="378" t="s">
        <v>164</v>
      </c>
      <c r="L250" s="20" t="s">
        <v>165</v>
      </c>
      <c r="M250" s="380">
        <v>2400</v>
      </c>
      <c r="N250" s="380"/>
      <c r="O250" s="380"/>
      <c r="P250" s="380"/>
      <c r="Q250" s="381" t="s">
        <v>543</v>
      </c>
      <c r="R250" s="381">
        <v>221</v>
      </c>
      <c r="S250" s="381" t="s">
        <v>538</v>
      </c>
      <c r="T250" s="381"/>
      <c r="U250" s="381"/>
      <c r="V250" s="382">
        <v>221.32</v>
      </c>
      <c r="W250" s="382">
        <v>0</v>
      </c>
      <c r="X250" s="381">
        <v>9.2083333333333336E-2</v>
      </c>
      <c r="Y250" s="381">
        <v>9.2083333333333336E-2</v>
      </c>
      <c r="Z250" s="381">
        <v>1.3333333333333334E-4</v>
      </c>
      <c r="AA250" s="381">
        <v>0</v>
      </c>
      <c r="AB250" s="381">
        <v>0</v>
      </c>
      <c r="AC250" s="382">
        <v>9.2216666666666669E-2</v>
      </c>
      <c r="AD250" s="382">
        <v>0</v>
      </c>
      <c r="AE250" s="381" t="s">
        <v>168</v>
      </c>
    </row>
    <row r="251" spans="1:31" ht="15" customHeight="1" x14ac:dyDescent="0.25">
      <c r="A251" s="20" t="s">
        <v>156</v>
      </c>
      <c r="B251" s="20" t="s">
        <v>534</v>
      </c>
      <c r="C251" s="20" t="s">
        <v>535</v>
      </c>
      <c r="D251" s="378" t="s">
        <v>544</v>
      </c>
      <c r="E251" s="379">
        <v>44573</v>
      </c>
      <c r="F251" s="379">
        <v>46656</v>
      </c>
      <c r="G251" s="378" t="s">
        <v>179</v>
      </c>
      <c r="H251" s="20" t="s">
        <v>180</v>
      </c>
      <c r="I251" s="20" t="s">
        <v>162</v>
      </c>
      <c r="J251" s="20" t="s">
        <v>163</v>
      </c>
      <c r="K251" s="378" t="s">
        <v>181</v>
      </c>
      <c r="L251" s="20" t="s">
        <v>165</v>
      </c>
      <c r="M251" s="380">
        <v>2400</v>
      </c>
      <c r="N251" s="380"/>
      <c r="O251" s="380"/>
      <c r="P251" s="380"/>
      <c r="Q251" s="381" t="s">
        <v>540</v>
      </c>
      <c r="R251" s="381" t="s">
        <v>540</v>
      </c>
      <c r="S251" s="381" t="s">
        <v>545</v>
      </c>
      <c r="T251" s="381"/>
      <c r="U251" s="381"/>
      <c r="V251" s="382">
        <v>214.27</v>
      </c>
      <c r="W251" s="382">
        <v>0</v>
      </c>
      <c r="X251" s="381">
        <v>8.9166666666666672E-2</v>
      </c>
      <c r="Y251" s="381">
        <v>8.9166666666666672E-2</v>
      </c>
      <c r="Z251" s="381">
        <v>1.1250000000000001E-4</v>
      </c>
      <c r="AA251" s="381">
        <v>0</v>
      </c>
      <c r="AB251" s="381">
        <v>0</v>
      </c>
      <c r="AC251" s="382">
        <v>8.9279166666666673E-2</v>
      </c>
      <c r="AD251" s="382">
        <v>0</v>
      </c>
      <c r="AE251" s="381" t="s">
        <v>168</v>
      </c>
    </row>
    <row r="252" spans="1:31" ht="15" customHeight="1" x14ac:dyDescent="0.25">
      <c r="A252" s="20" t="s">
        <v>156</v>
      </c>
      <c r="B252" s="20" t="s">
        <v>534</v>
      </c>
      <c r="C252" s="20" t="s">
        <v>535</v>
      </c>
      <c r="D252" s="378" t="s">
        <v>546</v>
      </c>
      <c r="E252" s="379">
        <v>44573</v>
      </c>
      <c r="F252" s="379">
        <v>46656</v>
      </c>
      <c r="G252" s="378" t="s">
        <v>179</v>
      </c>
      <c r="H252" s="20" t="s">
        <v>180</v>
      </c>
      <c r="I252" s="20" t="s">
        <v>162</v>
      </c>
      <c r="J252" s="20" t="s">
        <v>163</v>
      </c>
      <c r="K252" s="378" t="s">
        <v>181</v>
      </c>
      <c r="L252" s="20" t="s">
        <v>165</v>
      </c>
      <c r="M252" s="380">
        <v>2400</v>
      </c>
      <c r="N252" s="380"/>
      <c r="O252" s="380"/>
      <c r="P252" s="380"/>
      <c r="Q252" s="381" t="s">
        <v>547</v>
      </c>
      <c r="R252" s="381" t="s">
        <v>547</v>
      </c>
      <c r="S252" s="381" t="s">
        <v>545</v>
      </c>
      <c r="T252" s="381"/>
      <c r="U252" s="381"/>
      <c r="V252" s="382">
        <v>218.27</v>
      </c>
      <c r="W252" s="382">
        <v>0</v>
      </c>
      <c r="X252" s="381">
        <v>9.0833333333333335E-2</v>
      </c>
      <c r="Y252" s="381">
        <v>9.0833333333333335E-2</v>
      </c>
      <c r="Z252" s="381">
        <v>1.1250000000000001E-4</v>
      </c>
      <c r="AA252" s="381">
        <v>0</v>
      </c>
      <c r="AB252" s="381">
        <v>0</v>
      </c>
      <c r="AC252" s="382">
        <v>9.0945833333333337E-2</v>
      </c>
      <c r="AD252" s="382">
        <v>0</v>
      </c>
      <c r="AE252" s="381" t="s">
        <v>168</v>
      </c>
    </row>
    <row r="253" spans="1:31" ht="15" customHeight="1" x14ac:dyDescent="0.25">
      <c r="A253" s="20" t="s">
        <v>156</v>
      </c>
      <c r="B253" s="20" t="s">
        <v>534</v>
      </c>
      <c r="C253" s="20" t="s">
        <v>535</v>
      </c>
      <c r="D253" s="378" t="s">
        <v>548</v>
      </c>
      <c r="E253" s="379">
        <v>44573</v>
      </c>
      <c r="F253" s="379">
        <v>46656</v>
      </c>
      <c r="G253" s="378" t="s">
        <v>179</v>
      </c>
      <c r="H253" s="20" t="s">
        <v>180</v>
      </c>
      <c r="I253" s="20" t="s">
        <v>162</v>
      </c>
      <c r="J253" s="20" t="s">
        <v>163</v>
      </c>
      <c r="K253" s="378" t="s">
        <v>181</v>
      </c>
      <c r="L253" s="20" t="s">
        <v>165</v>
      </c>
      <c r="M253" s="380">
        <v>2400</v>
      </c>
      <c r="N253" s="380"/>
      <c r="O253" s="380"/>
      <c r="P253" s="380"/>
      <c r="Q253" s="381" t="s">
        <v>549</v>
      </c>
      <c r="R253" s="381" t="s">
        <v>549</v>
      </c>
      <c r="S253" s="381" t="s">
        <v>545</v>
      </c>
      <c r="T253" s="381"/>
      <c r="U253" s="381"/>
      <c r="V253" s="382">
        <v>229.27</v>
      </c>
      <c r="W253" s="382">
        <v>0</v>
      </c>
      <c r="X253" s="381">
        <v>9.5416666666666664E-2</v>
      </c>
      <c r="Y253" s="381">
        <v>9.5416666666666664E-2</v>
      </c>
      <c r="Z253" s="381">
        <v>1.1250000000000001E-4</v>
      </c>
      <c r="AA253" s="381">
        <v>0</v>
      </c>
      <c r="AB253" s="381">
        <v>0</v>
      </c>
      <c r="AC253" s="382">
        <v>9.5529166666666665E-2</v>
      </c>
      <c r="AD253" s="382">
        <v>0</v>
      </c>
      <c r="AE253" s="381" t="s">
        <v>168</v>
      </c>
    </row>
    <row r="254" spans="1:31" ht="15" customHeight="1" x14ac:dyDescent="0.25">
      <c r="A254" s="20" t="s">
        <v>156</v>
      </c>
      <c r="B254" s="20" t="s">
        <v>534</v>
      </c>
      <c r="C254" s="20" t="s">
        <v>535</v>
      </c>
      <c r="D254" s="378" t="s">
        <v>550</v>
      </c>
      <c r="E254" s="379">
        <v>44581</v>
      </c>
      <c r="F254" s="379">
        <v>46407</v>
      </c>
      <c r="G254" s="378" t="s">
        <v>237</v>
      </c>
      <c r="H254" s="20" t="s">
        <v>238</v>
      </c>
      <c r="I254" s="20" t="s">
        <v>162</v>
      </c>
      <c r="J254" s="20" t="s">
        <v>163</v>
      </c>
      <c r="K254" s="378" t="s">
        <v>239</v>
      </c>
      <c r="L254" s="20" t="s">
        <v>165</v>
      </c>
      <c r="M254" s="380">
        <v>2400</v>
      </c>
      <c r="N254" s="380"/>
      <c r="O254" s="380"/>
      <c r="P254" s="380"/>
      <c r="Q254" s="381" t="s">
        <v>208</v>
      </c>
      <c r="R254" s="381" t="s">
        <v>208</v>
      </c>
      <c r="S254" s="381" t="s">
        <v>551</v>
      </c>
      <c r="T254" s="381"/>
      <c r="U254" s="381"/>
      <c r="V254" s="382">
        <v>204.23</v>
      </c>
      <c r="W254" s="382">
        <v>0</v>
      </c>
      <c r="X254" s="381">
        <v>8.5000000000000006E-2</v>
      </c>
      <c r="Y254" s="381">
        <v>8.5000000000000006E-2</v>
      </c>
      <c r="Z254" s="381">
        <v>9.5833333333333336E-5</v>
      </c>
      <c r="AA254" s="381">
        <v>0</v>
      </c>
      <c r="AB254" s="381">
        <v>0</v>
      </c>
      <c r="AC254" s="382">
        <v>8.5095833333333343E-2</v>
      </c>
      <c r="AD254" s="382">
        <v>0</v>
      </c>
      <c r="AE254" s="381" t="s">
        <v>168</v>
      </c>
    </row>
    <row r="255" spans="1:31" ht="15" customHeight="1" x14ac:dyDescent="0.25">
      <c r="A255" s="20" t="s">
        <v>156</v>
      </c>
      <c r="B255" s="20" t="s">
        <v>534</v>
      </c>
      <c r="C255" s="20" t="s">
        <v>535</v>
      </c>
      <c r="D255" s="378" t="s">
        <v>552</v>
      </c>
      <c r="E255" s="379">
        <v>44816</v>
      </c>
      <c r="F255" s="379">
        <v>46642</v>
      </c>
      <c r="G255" s="383" t="s">
        <v>185</v>
      </c>
      <c r="H255" s="20" t="s">
        <v>186</v>
      </c>
      <c r="I255" s="20" t="s">
        <v>162</v>
      </c>
      <c r="J255" s="20" t="s">
        <v>163</v>
      </c>
      <c r="K255" s="378" t="s">
        <v>187</v>
      </c>
      <c r="L255" s="20" t="s">
        <v>165</v>
      </c>
      <c r="M255" s="380">
        <v>2400</v>
      </c>
      <c r="N255" s="380"/>
      <c r="O255" s="380"/>
      <c r="P255" s="380"/>
      <c r="Q255" s="381" t="s">
        <v>553</v>
      </c>
      <c r="R255" s="381" t="s">
        <v>553</v>
      </c>
      <c r="S255" s="381" t="s">
        <v>206</v>
      </c>
      <c r="T255" s="381"/>
      <c r="U255" s="381"/>
      <c r="V255" s="382">
        <v>165.18</v>
      </c>
      <c r="W255" s="382">
        <v>0</v>
      </c>
      <c r="X255" s="381">
        <v>6.8750000000000006E-2</v>
      </c>
      <c r="Y255" s="381">
        <v>6.8750000000000006E-2</v>
      </c>
      <c r="Z255" s="381">
        <v>7.4999999999999993E-5</v>
      </c>
      <c r="AA255" s="381">
        <v>0</v>
      </c>
      <c r="AB255" s="381">
        <v>0</v>
      </c>
      <c r="AC255" s="382">
        <v>6.8825000000000011E-2</v>
      </c>
      <c r="AD255" s="382">
        <v>0</v>
      </c>
      <c r="AE255" s="381" t="s">
        <v>168</v>
      </c>
    </row>
    <row r="256" spans="1:31" ht="15" customHeight="1" x14ac:dyDescent="0.25">
      <c r="A256" s="20" t="s">
        <v>156</v>
      </c>
      <c r="B256" s="20" t="s">
        <v>534</v>
      </c>
      <c r="C256" s="20" t="s">
        <v>535</v>
      </c>
      <c r="D256" s="378" t="s">
        <v>554</v>
      </c>
      <c r="E256" s="379">
        <v>44816</v>
      </c>
      <c r="F256" s="379">
        <v>46642</v>
      </c>
      <c r="G256" s="383" t="s">
        <v>185</v>
      </c>
      <c r="H256" s="20" t="s">
        <v>186</v>
      </c>
      <c r="I256" s="20" t="s">
        <v>162</v>
      </c>
      <c r="J256" s="20" t="s">
        <v>163</v>
      </c>
      <c r="K256" s="378" t="s">
        <v>187</v>
      </c>
      <c r="L256" s="20" t="s">
        <v>165</v>
      </c>
      <c r="M256" s="380">
        <v>2400</v>
      </c>
      <c r="N256" s="380"/>
      <c r="O256" s="380"/>
      <c r="P256" s="380"/>
      <c r="Q256" s="381" t="s">
        <v>249</v>
      </c>
      <c r="R256" s="381" t="s">
        <v>249</v>
      </c>
      <c r="S256" s="381" t="s">
        <v>206</v>
      </c>
      <c r="T256" s="381"/>
      <c r="U256" s="381"/>
      <c r="V256" s="382">
        <v>168.18</v>
      </c>
      <c r="W256" s="382">
        <v>0</v>
      </c>
      <c r="X256" s="381">
        <v>7.0000000000000007E-2</v>
      </c>
      <c r="Y256" s="381">
        <v>7.0000000000000007E-2</v>
      </c>
      <c r="Z256" s="381">
        <v>7.4999999999999993E-5</v>
      </c>
      <c r="AA256" s="381">
        <v>0</v>
      </c>
      <c r="AB256" s="381">
        <v>0</v>
      </c>
      <c r="AC256" s="382">
        <v>7.0075000000000012E-2</v>
      </c>
      <c r="AD256" s="382">
        <v>0</v>
      </c>
      <c r="AE256" s="381" t="s">
        <v>168</v>
      </c>
    </row>
    <row r="257" spans="1:31" ht="15" customHeight="1" x14ac:dyDescent="0.25">
      <c r="A257" s="20" t="s">
        <v>156</v>
      </c>
      <c r="B257" s="20" t="s">
        <v>534</v>
      </c>
      <c r="C257" s="20" t="s">
        <v>535</v>
      </c>
      <c r="D257" s="378" t="s">
        <v>555</v>
      </c>
      <c r="E257" s="379">
        <v>44816</v>
      </c>
      <c r="F257" s="379">
        <v>46642</v>
      </c>
      <c r="G257" s="383" t="s">
        <v>185</v>
      </c>
      <c r="H257" s="20" t="s">
        <v>186</v>
      </c>
      <c r="I257" s="20" t="s">
        <v>162</v>
      </c>
      <c r="J257" s="20" t="s">
        <v>163</v>
      </c>
      <c r="K257" s="378" t="s">
        <v>187</v>
      </c>
      <c r="L257" s="20" t="s">
        <v>165</v>
      </c>
      <c r="M257" s="380">
        <v>2400</v>
      </c>
      <c r="N257" s="380"/>
      <c r="O257" s="380"/>
      <c r="P257" s="380"/>
      <c r="Q257" s="381" t="s">
        <v>556</v>
      </c>
      <c r="R257" s="381" t="s">
        <v>556</v>
      </c>
      <c r="S257" s="381" t="s">
        <v>211</v>
      </c>
      <c r="T257" s="381"/>
      <c r="U257" s="381"/>
      <c r="V257" s="382">
        <v>172.17</v>
      </c>
      <c r="W257" s="382">
        <v>0</v>
      </c>
      <c r="X257" s="381">
        <v>7.166666666666667E-2</v>
      </c>
      <c r="Y257" s="381">
        <v>7.166666666666667E-2</v>
      </c>
      <c r="Z257" s="381">
        <v>7.0833333333333338E-5</v>
      </c>
      <c r="AA257" s="381">
        <v>0</v>
      </c>
      <c r="AB257" s="381">
        <v>0</v>
      </c>
      <c r="AC257" s="382">
        <v>7.173750000000001E-2</v>
      </c>
      <c r="AD257" s="382">
        <v>0</v>
      </c>
      <c r="AE257" s="381" t="s">
        <v>168</v>
      </c>
    </row>
    <row r="258" spans="1:31" ht="15" customHeight="1" x14ac:dyDescent="0.25">
      <c r="A258" s="20" t="s">
        <v>156</v>
      </c>
      <c r="B258" s="20" t="s">
        <v>534</v>
      </c>
      <c r="C258" s="20" t="s">
        <v>535</v>
      </c>
      <c r="D258" s="378" t="s">
        <v>557</v>
      </c>
      <c r="E258" s="379">
        <v>45016</v>
      </c>
      <c r="F258" s="379">
        <v>46843</v>
      </c>
      <c r="G258" s="378" t="s">
        <v>193</v>
      </c>
      <c r="H258" s="20" t="s">
        <v>194</v>
      </c>
      <c r="I258" s="20" t="s">
        <v>162</v>
      </c>
      <c r="J258" s="20" t="s">
        <v>163</v>
      </c>
      <c r="K258" s="378" t="s">
        <v>195</v>
      </c>
      <c r="L258" s="20" t="s">
        <v>165</v>
      </c>
      <c r="M258" s="380">
        <v>2400</v>
      </c>
      <c r="N258" s="380"/>
      <c r="O258" s="380"/>
      <c r="P258" s="380"/>
      <c r="Q258" s="381">
        <v>198</v>
      </c>
      <c r="R258" s="381">
        <v>198</v>
      </c>
      <c r="S258" s="381">
        <v>0.19400000000000001</v>
      </c>
      <c r="T258" s="381"/>
      <c r="U258" s="381"/>
      <c r="V258" s="382">
        <v>198.19399999999999</v>
      </c>
      <c r="W258" s="382">
        <v>0</v>
      </c>
      <c r="X258" s="381">
        <v>8.2500000000000004E-2</v>
      </c>
      <c r="Y258" s="381">
        <v>8.2500000000000004E-2</v>
      </c>
      <c r="Z258" s="381">
        <v>8.0833333333333338E-5</v>
      </c>
      <c r="AA258" s="381">
        <v>0</v>
      </c>
      <c r="AB258" s="381">
        <v>0</v>
      </c>
      <c r="AC258" s="382">
        <v>8.2580833333333339E-2</v>
      </c>
      <c r="AD258" s="382">
        <v>0</v>
      </c>
      <c r="AE258" s="381" t="s">
        <v>168</v>
      </c>
    </row>
    <row r="259" spans="1:31" ht="15" customHeight="1" x14ac:dyDescent="0.25">
      <c r="A259" s="20" t="s">
        <v>156</v>
      </c>
      <c r="B259" s="20" t="s">
        <v>534</v>
      </c>
      <c r="C259" s="20" t="s">
        <v>535</v>
      </c>
      <c r="D259" s="378" t="s">
        <v>558</v>
      </c>
      <c r="E259" s="379">
        <v>44816</v>
      </c>
      <c r="F259" s="379">
        <v>46642</v>
      </c>
      <c r="G259" s="383" t="s">
        <v>185</v>
      </c>
      <c r="H259" s="20" t="s">
        <v>186</v>
      </c>
      <c r="I259" s="20" t="s">
        <v>162</v>
      </c>
      <c r="J259" s="20" t="s">
        <v>163</v>
      </c>
      <c r="K259" s="378" t="s">
        <v>187</v>
      </c>
      <c r="L259" s="20" t="s">
        <v>165</v>
      </c>
      <c r="M259" s="380">
        <v>2400</v>
      </c>
      <c r="N259" s="380"/>
      <c r="O259" s="380"/>
      <c r="P259" s="380"/>
      <c r="Q259" s="381" t="s">
        <v>559</v>
      </c>
      <c r="R259" s="381" t="s">
        <v>559</v>
      </c>
      <c r="S259" s="381" t="s">
        <v>211</v>
      </c>
      <c r="T259" s="381"/>
      <c r="U259" s="381"/>
      <c r="V259" s="382">
        <v>174.17</v>
      </c>
      <c r="W259" s="382">
        <v>0</v>
      </c>
      <c r="X259" s="381">
        <v>7.2499999999999995E-2</v>
      </c>
      <c r="Y259" s="381">
        <v>7.2499999999999995E-2</v>
      </c>
      <c r="Z259" s="381">
        <v>7.0833333333333338E-5</v>
      </c>
      <c r="AA259" s="381">
        <v>0</v>
      </c>
      <c r="AB259" s="381">
        <v>0</v>
      </c>
      <c r="AC259" s="382">
        <v>7.2570833333333334E-2</v>
      </c>
      <c r="AD259" s="382">
        <v>0</v>
      </c>
      <c r="AE259" s="381" t="s">
        <v>168</v>
      </c>
    </row>
    <row r="260" spans="1:31" ht="15" customHeight="1" x14ac:dyDescent="0.25">
      <c r="A260" s="20" t="s">
        <v>156</v>
      </c>
      <c r="B260" s="20" t="s">
        <v>534</v>
      </c>
      <c r="C260" s="20" t="s">
        <v>535</v>
      </c>
      <c r="D260" s="378" t="s">
        <v>560</v>
      </c>
      <c r="E260" s="379">
        <v>45016</v>
      </c>
      <c r="F260" s="379">
        <v>46843</v>
      </c>
      <c r="G260" s="378" t="s">
        <v>193</v>
      </c>
      <c r="H260" s="20" t="s">
        <v>194</v>
      </c>
      <c r="I260" s="20" t="s">
        <v>162</v>
      </c>
      <c r="J260" s="20" t="s">
        <v>163</v>
      </c>
      <c r="K260" s="378" t="s">
        <v>195</v>
      </c>
      <c r="L260" s="20" t="s">
        <v>165</v>
      </c>
      <c r="M260" s="380">
        <v>2400</v>
      </c>
      <c r="N260" s="380"/>
      <c r="O260" s="380"/>
      <c r="P260" s="380"/>
      <c r="Q260" s="381">
        <v>264</v>
      </c>
      <c r="R260" s="381">
        <v>264</v>
      </c>
      <c r="S260" s="381">
        <v>0.246</v>
      </c>
      <c r="T260" s="381"/>
      <c r="U260" s="381"/>
      <c r="V260" s="382">
        <v>264.24599999999998</v>
      </c>
      <c r="W260" s="382">
        <v>0</v>
      </c>
      <c r="X260" s="381">
        <v>0.11</v>
      </c>
      <c r="Y260" s="381">
        <v>0.11</v>
      </c>
      <c r="Z260" s="381">
        <v>1.025E-4</v>
      </c>
      <c r="AA260" s="381">
        <v>0</v>
      </c>
      <c r="AB260" s="381">
        <v>0</v>
      </c>
      <c r="AC260" s="382">
        <v>0.11010250000000001</v>
      </c>
      <c r="AD260" s="382">
        <v>0</v>
      </c>
      <c r="AE260" s="381" t="s">
        <v>168</v>
      </c>
    </row>
    <row r="261" spans="1:31" ht="15" customHeight="1" x14ac:dyDescent="0.25">
      <c r="A261" s="20" t="s">
        <v>156</v>
      </c>
      <c r="B261" s="20" t="s">
        <v>534</v>
      </c>
      <c r="C261" s="20" t="s">
        <v>535</v>
      </c>
      <c r="D261" s="378" t="s">
        <v>561</v>
      </c>
      <c r="E261" s="379">
        <v>45016</v>
      </c>
      <c r="F261" s="379">
        <v>46843</v>
      </c>
      <c r="G261" s="378" t="s">
        <v>179</v>
      </c>
      <c r="H261" s="20" t="s">
        <v>202</v>
      </c>
      <c r="I261" s="20" t="s">
        <v>162</v>
      </c>
      <c r="J261" s="20" t="s">
        <v>163</v>
      </c>
      <c r="K261" s="378" t="s">
        <v>203</v>
      </c>
      <c r="L261" s="20" t="s">
        <v>165</v>
      </c>
      <c r="M261" s="380">
        <v>2400</v>
      </c>
      <c r="N261" s="380"/>
      <c r="O261" s="380"/>
      <c r="P261" s="380"/>
      <c r="Q261" s="381">
        <v>161</v>
      </c>
      <c r="R261" s="381">
        <v>161</v>
      </c>
      <c r="S261" s="381">
        <v>0.15</v>
      </c>
      <c r="T261" s="381"/>
      <c r="U261" s="381"/>
      <c r="V261" s="382">
        <v>161.15</v>
      </c>
      <c r="W261" s="382">
        <v>0</v>
      </c>
      <c r="X261" s="381">
        <v>6.7083333333333328E-2</v>
      </c>
      <c r="Y261" s="381">
        <v>6.7083333333333328E-2</v>
      </c>
      <c r="Z261" s="381">
        <v>6.2500000000000001E-5</v>
      </c>
      <c r="AA261" s="381">
        <v>0</v>
      </c>
      <c r="AB261" s="381">
        <v>0</v>
      </c>
      <c r="AC261" s="382">
        <v>6.7145833333333321E-2</v>
      </c>
      <c r="AD261" s="382">
        <v>0</v>
      </c>
      <c r="AE261" s="381" t="s">
        <v>168</v>
      </c>
    </row>
    <row r="262" spans="1:31" ht="15" customHeight="1" x14ac:dyDescent="0.25">
      <c r="A262" s="20" t="s">
        <v>156</v>
      </c>
      <c r="B262" s="20" t="s">
        <v>534</v>
      </c>
      <c r="C262" s="20" t="s">
        <v>535</v>
      </c>
      <c r="D262" s="378" t="s">
        <v>562</v>
      </c>
      <c r="E262" s="379">
        <v>44294</v>
      </c>
      <c r="F262" s="379">
        <v>46120</v>
      </c>
      <c r="G262" s="378" t="s">
        <v>219</v>
      </c>
      <c r="H262" s="20" t="s">
        <v>220</v>
      </c>
      <c r="I262" s="20" t="s">
        <v>162</v>
      </c>
      <c r="J262" s="20" t="s">
        <v>163</v>
      </c>
      <c r="K262" s="378" t="s">
        <v>221</v>
      </c>
      <c r="L262" s="20" t="s">
        <v>165</v>
      </c>
      <c r="M262" s="380">
        <v>2400</v>
      </c>
      <c r="N262" s="380"/>
      <c r="O262" s="380"/>
      <c r="P262" s="380"/>
      <c r="Q262" s="381" t="s">
        <v>432</v>
      </c>
      <c r="R262" s="380" t="s">
        <v>432</v>
      </c>
      <c r="S262" s="381" t="s">
        <v>563</v>
      </c>
      <c r="T262" s="381"/>
      <c r="U262" s="381"/>
      <c r="V262" s="382">
        <v>209.19</v>
      </c>
      <c r="W262" s="382">
        <v>0</v>
      </c>
      <c r="X262" s="381">
        <v>8.7083333333333332E-2</v>
      </c>
      <c r="Y262" s="381">
        <v>8.7083333333333332E-2</v>
      </c>
      <c r="Z262" s="381">
        <v>7.9166666666666662E-5</v>
      </c>
      <c r="AA262" s="381">
        <v>0</v>
      </c>
      <c r="AB262" s="381">
        <v>0</v>
      </c>
      <c r="AC262" s="382">
        <v>8.7162500000000004E-2</v>
      </c>
      <c r="AD262" s="382">
        <v>0</v>
      </c>
      <c r="AE262" s="381" t="s">
        <v>168</v>
      </c>
    </row>
    <row r="263" spans="1:31" ht="15" customHeight="1" x14ac:dyDescent="0.25">
      <c r="A263" s="20" t="s">
        <v>156</v>
      </c>
      <c r="B263" s="20" t="s">
        <v>534</v>
      </c>
      <c r="C263" s="20" t="s">
        <v>535</v>
      </c>
      <c r="D263" s="378" t="s">
        <v>564</v>
      </c>
      <c r="E263" s="379">
        <v>44816</v>
      </c>
      <c r="F263" s="379">
        <v>46642</v>
      </c>
      <c r="G263" s="383" t="s">
        <v>185</v>
      </c>
      <c r="H263" s="20" t="s">
        <v>186</v>
      </c>
      <c r="I263" s="20" t="s">
        <v>162</v>
      </c>
      <c r="J263" s="20" t="s">
        <v>163</v>
      </c>
      <c r="K263" s="378" t="s">
        <v>187</v>
      </c>
      <c r="L263" s="20" t="s">
        <v>165</v>
      </c>
      <c r="M263" s="380">
        <v>2400</v>
      </c>
      <c r="N263" s="380"/>
      <c r="O263" s="380"/>
      <c r="P263" s="380"/>
      <c r="Q263" s="381" t="s">
        <v>565</v>
      </c>
      <c r="R263" s="381" t="s">
        <v>565</v>
      </c>
      <c r="S263" s="381" t="s">
        <v>566</v>
      </c>
      <c r="T263" s="381"/>
      <c r="U263" s="381"/>
      <c r="V263" s="382">
        <v>223.2</v>
      </c>
      <c r="W263" s="382">
        <v>0</v>
      </c>
      <c r="X263" s="381">
        <v>9.2916666666666661E-2</v>
      </c>
      <c r="Y263" s="381">
        <v>9.2916666666666661E-2</v>
      </c>
      <c r="Z263" s="381">
        <v>8.3333333333333344E-5</v>
      </c>
      <c r="AA263" s="381">
        <v>0</v>
      </c>
      <c r="AB263" s="381">
        <v>0</v>
      </c>
      <c r="AC263" s="382">
        <v>9.2999999999999999E-2</v>
      </c>
      <c r="AD263" s="382">
        <v>0</v>
      </c>
      <c r="AE263" s="381" t="s">
        <v>168</v>
      </c>
    </row>
    <row r="264" spans="1:31" ht="15" customHeight="1" x14ac:dyDescent="0.25">
      <c r="A264" s="20" t="s">
        <v>156</v>
      </c>
      <c r="B264" s="20" t="s">
        <v>534</v>
      </c>
      <c r="C264" s="20" t="s">
        <v>535</v>
      </c>
      <c r="D264" s="378" t="s">
        <v>567</v>
      </c>
      <c r="E264" s="379">
        <v>44816</v>
      </c>
      <c r="F264" s="379">
        <v>46642</v>
      </c>
      <c r="G264" s="383" t="s">
        <v>185</v>
      </c>
      <c r="H264" s="20" t="s">
        <v>186</v>
      </c>
      <c r="I264" s="20" t="s">
        <v>162</v>
      </c>
      <c r="J264" s="20" t="s">
        <v>163</v>
      </c>
      <c r="K264" s="378" t="s">
        <v>187</v>
      </c>
      <c r="L264" s="20" t="s">
        <v>165</v>
      </c>
      <c r="M264" s="380">
        <v>2400</v>
      </c>
      <c r="N264" s="380"/>
      <c r="O264" s="380"/>
      <c r="P264" s="380"/>
      <c r="Q264" s="381" t="s">
        <v>537</v>
      </c>
      <c r="R264" s="381" t="s">
        <v>537</v>
      </c>
      <c r="S264" s="381" t="s">
        <v>563</v>
      </c>
      <c r="T264" s="381"/>
      <c r="U264" s="381"/>
      <c r="V264" s="382">
        <v>213.19</v>
      </c>
      <c r="W264" s="382">
        <v>0</v>
      </c>
      <c r="X264" s="381">
        <v>8.8749999999999996E-2</v>
      </c>
      <c r="Y264" s="381">
        <v>8.8749999999999996E-2</v>
      </c>
      <c r="Z264" s="381">
        <v>7.9166666666666662E-5</v>
      </c>
      <c r="AA264" s="381">
        <v>0</v>
      </c>
      <c r="AB264" s="381">
        <v>0</v>
      </c>
      <c r="AC264" s="382">
        <v>8.8829166666666667E-2</v>
      </c>
      <c r="AD264" s="382">
        <v>0</v>
      </c>
      <c r="AE264" s="381" t="s">
        <v>168</v>
      </c>
    </row>
    <row r="265" spans="1:31" ht="15" customHeight="1" x14ac:dyDescent="0.25">
      <c r="A265" s="20" t="s">
        <v>156</v>
      </c>
      <c r="B265" s="20" t="s">
        <v>534</v>
      </c>
      <c r="C265" s="20" t="s">
        <v>535</v>
      </c>
      <c r="D265" s="378" t="s">
        <v>568</v>
      </c>
      <c r="E265" s="379">
        <v>45016</v>
      </c>
      <c r="F265" s="379">
        <v>46843</v>
      </c>
      <c r="G265" s="378" t="s">
        <v>193</v>
      </c>
      <c r="H265" s="20" t="s">
        <v>194</v>
      </c>
      <c r="I265" s="20" t="s">
        <v>162</v>
      </c>
      <c r="J265" s="20" t="s">
        <v>163</v>
      </c>
      <c r="K265" s="378" t="s">
        <v>195</v>
      </c>
      <c r="L265" s="20" t="s">
        <v>165</v>
      </c>
      <c r="M265" s="380">
        <v>2400</v>
      </c>
      <c r="N265" s="380"/>
      <c r="O265" s="380"/>
      <c r="P265" s="380"/>
      <c r="Q265" s="381">
        <v>201</v>
      </c>
      <c r="R265" s="381">
        <v>201</v>
      </c>
      <c r="S265" s="381">
        <v>0.17299999999999999</v>
      </c>
      <c r="T265" s="381"/>
      <c r="U265" s="381"/>
      <c r="V265" s="382">
        <v>201.173</v>
      </c>
      <c r="W265" s="382">
        <v>0</v>
      </c>
      <c r="X265" s="381">
        <v>8.3750000000000005E-2</v>
      </c>
      <c r="Y265" s="381">
        <v>8.3750000000000005E-2</v>
      </c>
      <c r="Z265" s="381">
        <v>7.2083333333333328E-5</v>
      </c>
      <c r="AA265" s="381">
        <v>0</v>
      </c>
      <c r="AB265" s="381">
        <v>0</v>
      </c>
      <c r="AC265" s="382">
        <v>8.3822083333333339E-2</v>
      </c>
      <c r="AD265" s="382">
        <v>0</v>
      </c>
      <c r="AE265" s="381" t="s">
        <v>168</v>
      </c>
    </row>
    <row r="266" spans="1:31" ht="15" customHeight="1" x14ac:dyDescent="0.25">
      <c r="A266" s="20" t="s">
        <v>156</v>
      </c>
      <c r="B266" s="20" t="s">
        <v>534</v>
      </c>
      <c r="C266" s="20" t="s">
        <v>535</v>
      </c>
      <c r="D266" s="378" t="s">
        <v>569</v>
      </c>
      <c r="E266" s="379">
        <v>44294</v>
      </c>
      <c r="F266" s="379">
        <v>46120</v>
      </c>
      <c r="G266" s="378" t="s">
        <v>219</v>
      </c>
      <c r="H266" s="20" t="s">
        <v>220</v>
      </c>
      <c r="I266" s="20" t="s">
        <v>162</v>
      </c>
      <c r="J266" s="20" t="s">
        <v>163</v>
      </c>
      <c r="K266" s="378" t="s">
        <v>221</v>
      </c>
      <c r="L266" s="20" t="s">
        <v>165</v>
      </c>
      <c r="M266" s="380">
        <v>2400</v>
      </c>
      <c r="N266" s="380"/>
      <c r="O266" s="380"/>
      <c r="P266" s="380"/>
      <c r="Q266" s="381" t="s">
        <v>249</v>
      </c>
      <c r="R266" s="380" t="s">
        <v>249</v>
      </c>
      <c r="S266" s="381" t="s">
        <v>234</v>
      </c>
      <c r="T266" s="381"/>
      <c r="U266" s="381"/>
      <c r="V266" s="382">
        <v>168.14</v>
      </c>
      <c r="W266" s="382">
        <v>0</v>
      </c>
      <c r="X266" s="381">
        <v>7.0000000000000007E-2</v>
      </c>
      <c r="Y266" s="381">
        <v>7.0000000000000007E-2</v>
      </c>
      <c r="Z266" s="381">
        <v>5.833333333333334E-5</v>
      </c>
      <c r="AA266" s="381">
        <v>0</v>
      </c>
      <c r="AB266" s="381">
        <v>0</v>
      </c>
      <c r="AC266" s="382">
        <v>7.0058333333333334E-2</v>
      </c>
      <c r="AD266" s="382">
        <v>0</v>
      </c>
      <c r="AE266" s="381" t="s">
        <v>168</v>
      </c>
    </row>
    <row r="267" spans="1:31" ht="15" customHeight="1" x14ac:dyDescent="0.25">
      <c r="A267" s="20" t="s">
        <v>156</v>
      </c>
      <c r="B267" s="20" t="s">
        <v>534</v>
      </c>
      <c r="C267" s="20" t="s">
        <v>535</v>
      </c>
      <c r="D267" s="378" t="s">
        <v>570</v>
      </c>
      <c r="E267" s="379">
        <v>44294</v>
      </c>
      <c r="F267" s="379">
        <v>46120</v>
      </c>
      <c r="G267" s="378" t="s">
        <v>219</v>
      </c>
      <c r="H267" s="20" t="s">
        <v>220</v>
      </c>
      <c r="I267" s="20" t="s">
        <v>162</v>
      </c>
      <c r="J267" s="20" t="s">
        <v>163</v>
      </c>
      <c r="K267" s="378" t="s">
        <v>221</v>
      </c>
      <c r="L267" s="20" t="s">
        <v>165</v>
      </c>
      <c r="M267" s="380">
        <v>2400</v>
      </c>
      <c r="N267" s="380"/>
      <c r="O267" s="380"/>
      <c r="P267" s="380"/>
      <c r="Q267" s="381" t="s">
        <v>571</v>
      </c>
      <c r="R267" s="380" t="s">
        <v>571</v>
      </c>
      <c r="S267" s="381" t="s">
        <v>244</v>
      </c>
      <c r="T267" s="381"/>
      <c r="U267" s="381"/>
      <c r="V267" s="382">
        <v>149.12</v>
      </c>
      <c r="W267" s="382">
        <v>0</v>
      </c>
      <c r="X267" s="381">
        <v>6.2083333333333331E-2</v>
      </c>
      <c r="Y267" s="381">
        <v>6.2083333333333331E-2</v>
      </c>
      <c r="Z267" s="381">
        <v>4.9999999999999996E-5</v>
      </c>
      <c r="AA267" s="381">
        <v>0</v>
      </c>
      <c r="AB267" s="381">
        <v>0</v>
      </c>
      <c r="AC267" s="382">
        <v>6.2133333333333332E-2</v>
      </c>
      <c r="AD267" s="382">
        <v>0</v>
      </c>
      <c r="AE267" s="381" t="s">
        <v>168</v>
      </c>
    </row>
    <row r="268" spans="1:31" ht="15" customHeight="1" x14ac:dyDescent="0.25">
      <c r="A268" s="20" t="s">
        <v>156</v>
      </c>
      <c r="B268" s="20" t="s">
        <v>534</v>
      </c>
      <c r="C268" s="20" t="s">
        <v>535</v>
      </c>
      <c r="D268" s="378" t="s">
        <v>572</v>
      </c>
      <c r="E268" s="379">
        <v>44294</v>
      </c>
      <c r="F268" s="379">
        <v>46120</v>
      </c>
      <c r="G268" s="378" t="s">
        <v>219</v>
      </c>
      <c r="H268" s="20" t="s">
        <v>220</v>
      </c>
      <c r="I268" s="20" t="s">
        <v>162</v>
      </c>
      <c r="J268" s="20" t="s">
        <v>163</v>
      </c>
      <c r="K268" s="378" t="s">
        <v>221</v>
      </c>
      <c r="L268" s="20" t="s">
        <v>165</v>
      </c>
      <c r="M268" s="380">
        <v>2400</v>
      </c>
      <c r="N268" s="380"/>
      <c r="O268" s="380"/>
      <c r="P268" s="380"/>
      <c r="Q268" s="381" t="s">
        <v>571</v>
      </c>
      <c r="R268" s="380" t="s">
        <v>571</v>
      </c>
      <c r="S268" s="381" t="s">
        <v>244</v>
      </c>
      <c r="T268" s="381"/>
      <c r="U268" s="381"/>
      <c r="V268" s="382">
        <v>149.12</v>
      </c>
      <c r="W268" s="382">
        <v>0</v>
      </c>
      <c r="X268" s="381">
        <v>6.2083333333333331E-2</v>
      </c>
      <c r="Y268" s="381">
        <v>6.2083333333333331E-2</v>
      </c>
      <c r="Z268" s="381">
        <v>4.9999999999999996E-5</v>
      </c>
      <c r="AA268" s="381">
        <v>0</v>
      </c>
      <c r="AB268" s="381">
        <v>0</v>
      </c>
      <c r="AC268" s="382">
        <v>6.2133333333333332E-2</v>
      </c>
      <c r="AD268" s="382">
        <v>0</v>
      </c>
      <c r="AE268" s="381" t="s">
        <v>168</v>
      </c>
    </row>
    <row r="269" spans="1:31" ht="15" customHeight="1" x14ac:dyDescent="0.25">
      <c r="A269" s="20" t="s">
        <v>156</v>
      </c>
      <c r="B269" s="20" t="s">
        <v>534</v>
      </c>
      <c r="C269" s="20" t="s">
        <v>535</v>
      </c>
      <c r="D269" s="378" t="s">
        <v>573</v>
      </c>
      <c r="E269" s="379">
        <v>44294</v>
      </c>
      <c r="F269" s="379">
        <v>46120</v>
      </c>
      <c r="G269" s="378" t="s">
        <v>219</v>
      </c>
      <c r="H269" s="20" t="s">
        <v>220</v>
      </c>
      <c r="I269" s="20" t="s">
        <v>162</v>
      </c>
      <c r="J269" s="20" t="s">
        <v>163</v>
      </c>
      <c r="K269" s="378" t="s">
        <v>221</v>
      </c>
      <c r="L269" s="20" t="s">
        <v>165</v>
      </c>
      <c r="M269" s="380">
        <v>2400</v>
      </c>
      <c r="N269" s="380"/>
      <c r="O269" s="380"/>
      <c r="P269" s="380"/>
      <c r="Q269" s="381" t="s">
        <v>191</v>
      </c>
      <c r="R269" s="380" t="s">
        <v>191</v>
      </c>
      <c r="S269" s="381" t="s">
        <v>244</v>
      </c>
      <c r="T269" s="381"/>
      <c r="U269" s="381"/>
      <c r="V269" s="382">
        <v>153.12</v>
      </c>
      <c r="W269" s="382">
        <v>0</v>
      </c>
      <c r="X269" s="381">
        <v>6.3750000000000001E-2</v>
      </c>
      <c r="Y269" s="381">
        <v>6.3750000000000001E-2</v>
      </c>
      <c r="Z269" s="381">
        <v>4.9999999999999996E-5</v>
      </c>
      <c r="AA269" s="381">
        <v>0</v>
      </c>
      <c r="AB269" s="381">
        <v>0</v>
      </c>
      <c r="AC269" s="382">
        <v>6.3799999999999996E-2</v>
      </c>
      <c r="AD269" s="382">
        <v>0</v>
      </c>
      <c r="AE269" s="381" t="s">
        <v>168</v>
      </c>
    </row>
    <row r="270" spans="1:31" ht="15" customHeight="1" x14ac:dyDescent="0.25">
      <c r="A270" s="20" t="s">
        <v>156</v>
      </c>
      <c r="B270" s="20" t="s">
        <v>534</v>
      </c>
      <c r="C270" s="20" t="s">
        <v>535</v>
      </c>
      <c r="D270" s="378" t="s">
        <v>574</v>
      </c>
      <c r="E270" s="379">
        <v>44294</v>
      </c>
      <c r="F270" s="379">
        <v>46120</v>
      </c>
      <c r="G270" s="378" t="s">
        <v>219</v>
      </c>
      <c r="H270" s="20" t="s">
        <v>220</v>
      </c>
      <c r="I270" s="20" t="s">
        <v>162</v>
      </c>
      <c r="J270" s="20" t="s">
        <v>163</v>
      </c>
      <c r="K270" s="378" t="s">
        <v>221</v>
      </c>
      <c r="L270" s="20" t="s">
        <v>165</v>
      </c>
      <c r="M270" s="380">
        <v>2400</v>
      </c>
      <c r="N270" s="380"/>
      <c r="O270" s="380"/>
      <c r="P270" s="380"/>
      <c r="Q270" s="381" t="s">
        <v>191</v>
      </c>
      <c r="R270" s="380" t="s">
        <v>191</v>
      </c>
      <c r="S270" s="381" t="s">
        <v>244</v>
      </c>
      <c r="T270" s="381"/>
      <c r="U270" s="381"/>
      <c r="V270" s="382">
        <v>153.12</v>
      </c>
      <c r="W270" s="382">
        <v>0</v>
      </c>
      <c r="X270" s="381">
        <v>6.3750000000000001E-2</v>
      </c>
      <c r="Y270" s="381">
        <v>6.3750000000000001E-2</v>
      </c>
      <c r="Z270" s="381">
        <v>4.9999999999999996E-5</v>
      </c>
      <c r="AA270" s="381">
        <v>0</v>
      </c>
      <c r="AB270" s="381">
        <v>0</v>
      </c>
      <c r="AC270" s="382">
        <v>6.3799999999999996E-2</v>
      </c>
      <c r="AD270" s="382">
        <v>0</v>
      </c>
      <c r="AE270" s="381" t="s">
        <v>168</v>
      </c>
    </row>
    <row r="271" spans="1:31" ht="15" customHeight="1" x14ac:dyDescent="0.25">
      <c r="A271" s="20" t="s">
        <v>156</v>
      </c>
      <c r="B271" s="20" t="s">
        <v>534</v>
      </c>
      <c r="C271" s="20" t="s">
        <v>535</v>
      </c>
      <c r="D271" s="378" t="s">
        <v>575</v>
      </c>
      <c r="E271" s="379">
        <v>45038</v>
      </c>
      <c r="F271" s="379">
        <v>46865</v>
      </c>
      <c r="G271" s="383" t="s">
        <v>193</v>
      </c>
      <c r="H271" s="20" t="s">
        <v>229</v>
      </c>
      <c r="I271" s="20" t="s">
        <v>162</v>
      </c>
      <c r="J271" s="20" t="s">
        <v>163</v>
      </c>
      <c r="K271" s="378" t="s">
        <v>230</v>
      </c>
      <c r="L271" s="20" t="s">
        <v>165</v>
      </c>
      <c r="M271" s="380">
        <v>2400</v>
      </c>
      <c r="N271" s="380"/>
      <c r="O271" s="380"/>
      <c r="P271" s="380"/>
      <c r="Q271" s="381" t="s">
        <v>208</v>
      </c>
      <c r="R271" s="381" t="s">
        <v>208</v>
      </c>
      <c r="S271" s="381" t="s">
        <v>189</v>
      </c>
      <c r="T271" s="381"/>
      <c r="U271" s="381"/>
      <c r="V271" s="382">
        <v>204.16</v>
      </c>
      <c r="W271" s="382">
        <v>0</v>
      </c>
      <c r="X271" s="381">
        <v>8.5000000000000006E-2</v>
      </c>
      <c r="Y271" s="381">
        <v>8.5000000000000006E-2</v>
      </c>
      <c r="Z271" s="381">
        <v>6.666666666666667E-5</v>
      </c>
      <c r="AA271" s="381">
        <v>0</v>
      </c>
      <c r="AB271" s="381">
        <v>0</v>
      </c>
      <c r="AC271" s="382">
        <v>8.5066666666666679E-2</v>
      </c>
      <c r="AD271" s="382">
        <v>0</v>
      </c>
      <c r="AE271" s="381" t="s">
        <v>168</v>
      </c>
    </row>
    <row r="272" spans="1:31" ht="15" customHeight="1" x14ac:dyDescent="0.25">
      <c r="A272" s="20" t="s">
        <v>156</v>
      </c>
      <c r="B272" s="20" t="s">
        <v>534</v>
      </c>
      <c r="C272" s="20" t="s">
        <v>535</v>
      </c>
      <c r="D272" s="378" t="s">
        <v>576</v>
      </c>
      <c r="E272" s="379">
        <v>45038</v>
      </c>
      <c r="F272" s="379">
        <v>46865</v>
      </c>
      <c r="G272" s="383" t="s">
        <v>193</v>
      </c>
      <c r="H272" s="20" t="s">
        <v>229</v>
      </c>
      <c r="I272" s="20" t="s">
        <v>162</v>
      </c>
      <c r="J272" s="20" t="s">
        <v>163</v>
      </c>
      <c r="K272" s="378" t="s">
        <v>230</v>
      </c>
      <c r="L272" s="20" t="s">
        <v>165</v>
      </c>
      <c r="M272" s="380">
        <v>2400</v>
      </c>
      <c r="N272" s="380"/>
      <c r="O272" s="380"/>
      <c r="P272" s="380"/>
      <c r="Q272" s="381" t="s">
        <v>577</v>
      </c>
      <c r="R272" s="381" t="s">
        <v>577</v>
      </c>
      <c r="S272" s="381" t="s">
        <v>266</v>
      </c>
      <c r="T272" s="381"/>
      <c r="U272" s="381"/>
      <c r="V272" s="382">
        <v>167.13</v>
      </c>
      <c r="W272" s="382">
        <v>0</v>
      </c>
      <c r="X272" s="381">
        <v>6.958333333333333E-2</v>
      </c>
      <c r="Y272" s="381">
        <v>6.958333333333333E-2</v>
      </c>
      <c r="Z272" s="381">
        <v>5.4166666666666671E-5</v>
      </c>
      <c r="AA272" s="381">
        <v>0</v>
      </c>
      <c r="AB272" s="381">
        <v>0</v>
      </c>
      <c r="AC272" s="382">
        <v>6.9637499999999991E-2</v>
      </c>
      <c r="AD272" s="382">
        <v>0</v>
      </c>
      <c r="AE272" s="381" t="s">
        <v>168</v>
      </c>
    </row>
    <row r="273" spans="1:31" ht="15" customHeight="1" x14ac:dyDescent="0.25">
      <c r="A273" s="20" t="s">
        <v>156</v>
      </c>
      <c r="B273" s="20" t="s">
        <v>534</v>
      </c>
      <c r="C273" s="20" t="s">
        <v>535</v>
      </c>
      <c r="D273" s="378" t="s">
        <v>578</v>
      </c>
      <c r="E273" s="379">
        <v>44581</v>
      </c>
      <c r="F273" s="379">
        <v>46407</v>
      </c>
      <c r="G273" s="378" t="s">
        <v>237</v>
      </c>
      <c r="H273" s="20" t="s">
        <v>238</v>
      </c>
      <c r="I273" s="20" t="s">
        <v>162</v>
      </c>
      <c r="J273" s="20" t="s">
        <v>163</v>
      </c>
      <c r="K273" s="378" t="s">
        <v>239</v>
      </c>
      <c r="L273" s="20" t="s">
        <v>165</v>
      </c>
      <c r="M273" s="380">
        <v>2400</v>
      </c>
      <c r="N273" s="380"/>
      <c r="O273" s="380"/>
      <c r="P273" s="380"/>
      <c r="Q273" s="381" t="s">
        <v>543</v>
      </c>
      <c r="R273" s="381" t="s">
        <v>543</v>
      </c>
      <c r="S273" s="381" t="s">
        <v>211</v>
      </c>
      <c r="T273" s="381"/>
      <c r="U273" s="381"/>
      <c r="V273" s="382">
        <v>221.17</v>
      </c>
      <c r="W273" s="382">
        <v>0</v>
      </c>
      <c r="X273" s="381">
        <v>9.2083333333333336E-2</v>
      </c>
      <c r="Y273" s="381">
        <v>9.2083333333333336E-2</v>
      </c>
      <c r="Z273" s="381">
        <v>7.0833333333333338E-5</v>
      </c>
      <c r="AA273" s="381">
        <v>0</v>
      </c>
      <c r="AB273" s="381">
        <v>0</v>
      </c>
      <c r="AC273" s="382">
        <v>9.2154166666666676E-2</v>
      </c>
      <c r="AD273" s="382">
        <v>0</v>
      </c>
      <c r="AE273" s="381" t="s">
        <v>168</v>
      </c>
    </row>
    <row r="274" spans="1:31" ht="15" customHeight="1" x14ac:dyDescent="0.25">
      <c r="A274" s="20" t="s">
        <v>156</v>
      </c>
      <c r="B274" s="20" t="s">
        <v>534</v>
      </c>
      <c r="C274" s="20" t="s">
        <v>535</v>
      </c>
      <c r="D274" s="378" t="s">
        <v>579</v>
      </c>
      <c r="E274" s="379">
        <v>45016</v>
      </c>
      <c r="F274" s="379">
        <v>46843</v>
      </c>
      <c r="G274" s="378" t="s">
        <v>193</v>
      </c>
      <c r="H274" s="20" t="s">
        <v>194</v>
      </c>
      <c r="I274" s="20" t="s">
        <v>162</v>
      </c>
      <c r="J274" s="20" t="s">
        <v>163</v>
      </c>
      <c r="K274" s="378" t="s">
        <v>195</v>
      </c>
      <c r="L274" s="20" t="s">
        <v>165</v>
      </c>
      <c r="M274" s="380">
        <v>2400</v>
      </c>
      <c r="N274" s="380"/>
      <c r="O274" s="380"/>
      <c r="P274" s="380"/>
      <c r="Q274" s="381">
        <v>245</v>
      </c>
      <c r="R274" s="381">
        <v>245</v>
      </c>
      <c r="S274" s="381">
        <v>0.188</v>
      </c>
      <c r="T274" s="381"/>
      <c r="U274" s="381"/>
      <c r="V274" s="382">
        <v>245.18799999999999</v>
      </c>
      <c r="W274" s="382">
        <v>0</v>
      </c>
      <c r="X274" s="381">
        <v>0.10208333333333333</v>
      </c>
      <c r="Y274" s="381">
        <v>0.10208333333333333</v>
      </c>
      <c r="Z274" s="381">
        <v>7.8333333333333331E-5</v>
      </c>
      <c r="AA274" s="381">
        <v>0</v>
      </c>
      <c r="AB274" s="381">
        <v>0</v>
      </c>
      <c r="AC274" s="382">
        <v>0.10216166666666666</v>
      </c>
      <c r="AD274" s="382">
        <v>0</v>
      </c>
      <c r="AE274" s="381" t="s">
        <v>168</v>
      </c>
    </row>
    <row r="275" spans="1:31" ht="15" customHeight="1" x14ac:dyDescent="0.25">
      <c r="A275" s="20" t="s">
        <v>156</v>
      </c>
      <c r="B275" s="20" t="s">
        <v>534</v>
      </c>
      <c r="C275" s="20" t="s">
        <v>535</v>
      </c>
      <c r="D275" s="378" t="s">
        <v>580</v>
      </c>
      <c r="E275" s="379">
        <v>45038</v>
      </c>
      <c r="F275" s="379">
        <v>46865</v>
      </c>
      <c r="G275" s="383" t="s">
        <v>193</v>
      </c>
      <c r="H275" s="20" t="s">
        <v>229</v>
      </c>
      <c r="I275" s="20" t="s">
        <v>162</v>
      </c>
      <c r="J275" s="20" t="s">
        <v>163</v>
      </c>
      <c r="K275" s="378" t="s">
        <v>230</v>
      </c>
      <c r="L275" s="20" t="s">
        <v>165</v>
      </c>
      <c r="M275" s="380">
        <v>2400</v>
      </c>
      <c r="N275" s="380"/>
      <c r="O275" s="380"/>
      <c r="P275" s="380"/>
      <c r="Q275" s="381" t="s">
        <v>581</v>
      </c>
      <c r="R275" s="381" t="s">
        <v>581</v>
      </c>
      <c r="S275" s="381" t="s">
        <v>211</v>
      </c>
      <c r="T275" s="381"/>
      <c r="U275" s="381"/>
      <c r="V275" s="382">
        <v>222.17</v>
      </c>
      <c r="W275" s="382">
        <v>0</v>
      </c>
      <c r="X275" s="381">
        <v>9.2499999999999999E-2</v>
      </c>
      <c r="Y275" s="381">
        <v>9.2499999999999999E-2</v>
      </c>
      <c r="Z275" s="381">
        <v>7.0833333333333338E-5</v>
      </c>
      <c r="AA275" s="381">
        <v>0</v>
      </c>
      <c r="AB275" s="381">
        <v>0</v>
      </c>
      <c r="AC275" s="382">
        <v>9.2570833333333338E-2</v>
      </c>
      <c r="AD275" s="382">
        <v>0</v>
      </c>
      <c r="AE275" s="381" t="s">
        <v>168</v>
      </c>
    </row>
    <row r="276" spans="1:31" ht="15" customHeight="1" x14ac:dyDescent="0.25">
      <c r="A276" s="20" t="s">
        <v>156</v>
      </c>
      <c r="B276" s="20" t="s">
        <v>534</v>
      </c>
      <c r="C276" s="20" t="s">
        <v>535</v>
      </c>
      <c r="D276" s="378" t="s">
        <v>582</v>
      </c>
      <c r="E276" s="379">
        <v>45016</v>
      </c>
      <c r="F276" s="379">
        <v>46843</v>
      </c>
      <c r="G276" s="378" t="s">
        <v>193</v>
      </c>
      <c r="H276" s="20" t="s">
        <v>194</v>
      </c>
      <c r="I276" s="20" t="s">
        <v>162</v>
      </c>
      <c r="J276" s="20" t="s">
        <v>163</v>
      </c>
      <c r="K276" s="378" t="s">
        <v>195</v>
      </c>
      <c r="L276" s="20" t="s">
        <v>165</v>
      </c>
      <c r="M276" s="380">
        <v>2400</v>
      </c>
      <c r="N276" s="380"/>
      <c r="O276" s="380"/>
      <c r="P276" s="380"/>
      <c r="Q276" s="381">
        <v>279</v>
      </c>
      <c r="R276" s="381">
        <v>279</v>
      </c>
      <c r="S276" s="381">
        <v>0.21</v>
      </c>
      <c r="T276" s="381"/>
      <c r="U276" s="381"/>
      <c r="V276" s="382">
        <v>279.20999999999998</v>
      </c>
      <c r="W276" s="382">
        <v>0</v>
      </c>
      <c r="X276" s="381">
        <v>0.11625000000000001</v>
      </c>
      <c r="Y276" s="381">
        <v>0.11625000000000001</v>
      </c>
      <c r="Z276" s="381">
        <v>8.7499999999999999E-5</v>
      </c>
      <c r="AA276" s="381">
        <v>0</v>
      </c>
      <c r="AB276" s="381">
        <v>0</v>
      </c>
      <c r="AC276" s="382">
        <v>0.11633750000000001</v>
      </c>
      <c r="AD276" s="382">
        <v>0</v>
      </c>
      <c r="AE276" s="381" t="s">
        <v>168</v>
      </c>
    </row>
    <row r="277" spans="1:31" ht="15" customHeight="1" x14ac:dyDescent="0.25">
      <c r="A277" s="20" t="s">
        <v>156</v>
      </c>
      <c r="B277" s="20" t="s">
        <v>534</v>
      </c>
      <c r="C277" s="20" t="s">
        <v>535</v>
      </c>
      <c r="D277" s="378" t="s">
        <v>583</v>
      </c>
      <c r="E277" s="379">
        <v>44581</v>
      </c>
      <c r="F277" s="379">
        <v>46407</v>
      </c>
      <c r="G277" s="378" t="s">
        <v>237</v>
      </c>
      <c r="H277" s="20" t="s">
        <v>238</v>
      </c>
      <c r="I277" s="20" t="s">
        <v>162</v>
      </c>
      <c r="J277" s="20" t="s">
        <v>163</v>
      </c>
      <c r="K277" s="378" t="s">
        <v>239</v>
      </c>
      <c r="L277" s="20" t="s">
        <v>165</v>
      </c>
      <c r="M277" s="380">
        <v>2400</v>
      </c>
      <c r="N277" s="380"/>
      <c r="O277" s="380"/>
      <c r="P277" s="380"/>
      <c r="Q277" s="381" t="s">
        <v>584</v>
      </c>
      <c r="R277" s="381" t="s">
        <v>584</v>
      </c>
      <c r="S277" s="381" t="s">
        <v>266</v>
      </c>
      <c r="T277" s="381"/>
      <c r="U277" s="381"/>
      <c r="V277" s="382">
        <v>175.13</v>
      </c>
      <c r="W277" s="382">
        <v>0</v>
      </c>
      <c r="X277" s="381">
        <v>7.2916666666666671E-2</v>
      </c>
      <c r="Y277" s="381">
        <v>7.2916666666666671E-2</v>
      </c>
      <c r="Z277" s="381">
        <v>5.4166666666666671E-5</v>
      </c>
      <c r="AA277" s="381">
        <v>0</v>
      </c>
      <c r="AB277" s="381">
        <v>0</v>
      </c>
      <c r="AC277" s="382">
        <v>7.2970833333333332E-2</v>
      </c>
      <c r="AD277" s="382">
        <v>0</v>
      </c>
      <c r="AE277" s="381" t="s">
        <v>168</v>
      </c>
    </row>
    <row r="278" spans="1:31" ht="15" customHeight="1" x14ac:dyDescent="0.25">
      <c r="A278" s="20" t="s">
        <v>156</v>
      </c>
      <c r="B278" s="20" t="s">
        <v>534</v>
      </c>
      <c r="C278" s="20" t="s">
        <v>535</v>
      </c>
      <c r="D278" s="378" t="s">
        <v>585</v>
      </c>
      <c r="E278" s="379">
        <v>44581</v>
      </c>
      <c r="F278" s="379">
        <v>46407</v>
      </c>
      <c r="G278" s="378" t="s">
        <v>237</v>
      </c>
      <c r="H278" s="20" t="s">
        <v>238</v>
      </c>
      <c r="I278" s="20" t="s">
        <v>162</v>
      </c>
      <c r="J278" s="20" t="s">
        <v>163</v>
      </c>
      <c r="K278" s="378" t="s">
        <v>239</v>
      </c>
      <c r="L278" s="20" t="s">
        <v>165</v>
      </c>
      <c r="M278" s="380">
        <v>2400</v>
      </c>
      <c r="N278" s="380"/>
      <c r="O278" s="380"/>
      <c r="P278" s="380"/>
      <c r="Q278" s="381" t="s">
        <v>584</v>
      </c>
      <c r="R278" s="381" t="s">
        <v>584</v>
      </c>
      <c r="S278" s="381" t="s">
        <v>266</v>
      </c>
      <c r="T278" s="381"/>
      <c r="U278" s="381"/>
      <c r="V278" s="382">
        <v>175.13</v>
      </c>
      <c r="W278" s="382">
        <v>0</v>
      </c>
      <c r="X278" s="381">
        <v>7.2916666666666671E-2</v>
      </c>
      <c r="Y278" s="381">
        <v>7.2916666666666671E-2</v>
      </c>
      <c r="Z278" s="381">
        <v>5.4166666666666671E-5</v>
      </c>
      <c r="AA278" s="381">
        <v>0</v>
      </c>
      <c r="AB278" s="381">
        <v>0</v>
      </c>
      <c r="AC278" s="382">
        <v>7.2970833333333332E-2</v>
      </c>
      <c r="AD278" s="382">
        <v>0</v>
      </c>
      <c r="AE278" s="381" t="s">
        <v>168</v>
      </c>
    </row>
    <row r="279" spans="1:31" ht="15" customHeight="1" x14ac:dyDescent="0.25">
      <c r="A279" s="20" t="s">
        <v>156</v>
      </c>
      <c r="B279" s="20" t="s">
        <v>534</v>
      </c>
      <c r="C279" s="20" t="s">
        <v>535</v>
      </c>
      <c r="D279" s="378" t="s">
        <v>586</v>
      </c>
      <c r="E279" s="379">
        <v>44581</v>
      </c>
      <c r="F279" s="379">
        <v>46407</v>
      </c>
      <c r="G279" s="378" t="s">
        <v>237</v>
      </c>
      <c r="H279" s="20" t="s">
        <v>238</v>
      </c>
      <c r="I279" s="20" t="s">
        <v>162</v>
      </c>
      <c r="J279" s="20" t="s">
        <v>163</v>
      </c>
      <c r="K279" s="378" t="s">
        <v>239</v>
      </c>
      <c r="L279" s="20" t="s">
        <v>165</v>
      </c>
      <c r="M279" s="380">
        <v>2400</v>
      </c>
      <c r="N279" s="380"/>
      <c r="O279" s="380"/>
      <c r="P279" s="380"/>
      <c r="Q279" s="381" t="s">
        <v>243</v>
      </c>
      <c r="R279" s="381" t="s">
        <v>243</v>
      </c>
      <c r="S279" s="381" t="s">
        <v>244</v>
      </c>
      <c r="T279" s="381"/>
      <c r="U279" s="381"/>
      <c r="V279" s="382">
        <v>164.12</v>
      </c>
      <c r="W279" s="382">
        <v>0</v>
      </c>
      <c r="X279" s="381">
        <v>6.8333333333333329E-2</v>
      </c>
      <c r="Y279" s="381">
        <v>6.8333333333333329E-2</v>
      </c>
      <c r="Z279" s="381">
        <v>4.9999999999999996E-5</v>
      </c>
      <c r="AA279" s="381">
        <v>0</v>
      </c>
      <c r="AB279" s="381">
        <v>0</v>
      </c>
      <c r="AC279" s="382">
        <v>6.8383333333333324E-2</v>
      </c>
      <c r="AD279" s="382">
        <v>0</v>
      </c>
      <c r="AE279" s="381" t="s">
        <v>168</v>
      </c>
    </row>
    <row r="280" spans="1:31" ht="15" customHeight="1" x14ac:dyDescent="0.25">
      <c r="A280" s="20" t="s">
        <v>156</v>
      </c>
      <c r="B280" s="20" t="s">
        <v>534</v>
      </c>
      <c r="C280" s="20" t="s">
        <v>535</v>
      </c>
      <c r="D280" s="378" t="s">
        <v>587</v>
      </c>
      <c r="E280" s="379">
        <v>44581</v>
      </c>
      <c r="F280" s="379">
        <v>46407</v>
      </c>
      <c r="G280" s="378" t="s">
        <v>237</v>
      </c>
      <c r="H280" s="20" t="s">
        <v>238</v>
      </c>
      <c r="I280" s="20" t="s">
        <v>162</v>
      </c>
      <c r="J280" s="20" t="s">
        <v>163</v>
      </c>
      <c r="K280" s="378" t="s">
        <v>239</v>
      </c>
      <c r="L280" s="20" t="s">
        <v>165</v>
      </c>
      <c r="M280" s="380">
        <v>2400</v>
      </c>
      <c r="N280" s="380"/>
      <c r="O280" s="380"/>
      <c r="P280" s="380"/>
      <c r="Q280" s="381" t="s">
        <v>588</v>
      </c>
      <c r="R280" s="381" t="s">
        <v>588</v>
      </c>
      <c r="S280" s="381" t="s">
        <v>200</v>
      </c>
      <c r="T280" s="381"/>
      <c r="U280" s="381"/>
      <c r="V280" s="382">
        <v>206.15</v>
      </c>
      <c r="W280" s="382">
        <v>0</v>
      </c>
      <c r="X280" s="381">
        <v>8.5833333333333331E-2</v>
      </c>
      <c r="Y280" s="381">
        <v>8.5833333333333331E-2</v>
      </c>
      <c r="Z280" s="381">
        <v>6.2500000000000001E-5</v>
      </c>
      <c r="AA280" s="381">
        <v>0</v>
      </c>
      <c r="AB280" s="381">
        <v>0</v>
      </c>
      <c r="AC280" s="382">
        <v>8.5895833333333324E-2</v>
      </c>
      <c r="AD280" s="382">
        <v>0</v>
      </c>
      <c r="AE280" s="381" t="s">
        <v>168</v>
      </c>
    </row>
    <row r="281" spans="1:31" ht="15" customHeight="1" x14ac:dyDescent="0.25">
      <c r="A281" s="20" t="s">
        <v>156</v>
      </c>
      <c r="B281" s="20" t="s">
        <v>534</v>
      </c>
      <c r="C281" s="20" t="s">
        <v>535</v>
      </c>
      <c r="D281" s="378" t="s">
        <v>589</v>
      </c>
      <c r="E281" s="379">
        <v>44581</v>
      </c>
      <c r="F281" s="379">
        <v>46407</v>
      </c>
      <c r="G281" s="378" t="s">
        <v>237</v>
      </c>
      <c r="H281" s="20" t="s">
        <v>238</v>
      </c>
      <c r="I281" s="20" t="s">
        <v>162</v>
      </c>
      <c r="J281" s="20" t="s">
        <v>163</v>
      </c>
      <c r="K281" s="378" t="s">
        <v>239</v>
      </c>
      <c r="L281" s="20" t="s">
        <v>165</v>
      </c>
      <c r="M281" s="380">
        <v>2400</v>
      </c>
      <c r="N281" s="380"/>
      <c r="O281" s="380"/>
      <c r="P281" s="380"/>
      <c r="Q281" s="381" t="s">
        <v>553</v>
      </c>
      <c r="R281" s="381" t="s">
        <v>553</v>
      </c>
      <c r="S281" s="381" t="s">
        <v>244</v>
      </c>
      <c r="T281" s="381"/>
      <c r="U281" s="381"/>
      <c r="V281" s="382">
        <v>165.12</v>
      </c>
      <c r="W281" s="382">
        <v>0</v>
      </c>
      <c r="X281" s="381">
        <v>6.8750000000000006E-2</v>
      </c>
      <c r="Y281" s="381">
        <v>6.8750000000000006E-2</v>
      </c>
      <c r="Z281" s="381">
        <v>4.9999999999999996E-5</v>
      </c>
      <c r="AA281" s="381">
        <v>0</v>
      </c>
      <c r="AB281" s="381">
        <v>0</v>
      </c>
      <c r="AC281" s="382">
        <v>6.88E-2</v>
      </c>
      <c r="AD281" s="382">
        <v>0</v>
      </c>
      <c r="AE281" s="381" t="s">
        <v>168</v>
      </c>
    </row>
    <row r="282" spans="1:31" ht="15" customHeight="1" x14ac:dyDescent="0.25">
      <c r="A282" s="20" t="s">
        <v>156</v>
      </c>
      <c r="B282" s="20" t="s">
        <v>534</v>
      </c>
      <c r="C282" s="20" t="s">
        <v>535</v>
      </c>
      <c r="D282" s="378" t="s">
        <v>590</v>
      </c>
      <c r="E282" s="379">
        <v>45038</v>
      </c>
      <c r="F282" s="379">
        <v>46865</v>
      </c>
      <c r="G282" s="383" t="s">
        <v>193</v>
      </c>
      <c r="H282" s="20" t="s">
        <v>229</v>
      </c>
      <c r="I282" s="20" t="s">
        <v>162</v>
      </c>
      <c r="J282" s="20" t="s">
        <v>163</v>
      </c>
      <c r="K282" s="378" t="s">
        <v>230</v>
      </c>
      <c r="L282" s="20" t="s">
        <v>165</v>
      </c>
      <c r="M282" s="380">
        <v>2400</v>
      </c>
      <c r="N282" s="380"/>
      <c r="O282" s="380"/>
      <c r="P282" s="380"/>
      <c r="Q282" s="381" t="s">
        <v>591</v>
      </c>
      <c r="R282" s="381" t="s">
        <v>591</v>
      </c>
      <c r="S282" s="381" t="s">
        <v>266</v>
      </c>
      <c r="T282" s="381"/>
      <c r="U282" s="381"/>
      <c r="V282" s="382">
        <v>179.13</v>
      </c>
      <c r="W282" s="382">
        <v>0</v>
      </c>
      <c r="X282" s="381">
        <v>7.4583333333333335E-2</v>
      </c>
      <c r="Y282" s="381">
        <v>7.4583333333333335E-2</v>
      </c>
      <c r="Z282" s="381">
        <v>5.4166666666666671E-5</v>
      </c>
      <c r="AA282" s="381">
        <v>0</v>
      </c>
      <c r="AB282" s="381">
        <v>0</v>
      </c>
      <c r="AC282" s="382">
        <v>7.4637499999999996E-2</v>
      </c>
      <c r="AD282" s="382">
        <v>0</v>
      </c>
      <c r="AE282" s="381" t="s">
        <v>168</v>
      </c>
    </row>
    <row r="283" spans="1:31" ht="15" customHeight="1" x14ac:dyDescent="0.25">
      <c r="A283" s="20" t="s">
        <v>156</v>
      </c>
      <c r="B283" s="20" t="s">
        <v>534</v>
      </c>
      <c r="C283" s="20" t="s">
        <v>535</v>
      </c>
      <c r="D283" s="378" t="s">
        <v>592</v>
      </c>
      <c r="E283" s="379">
        <v>45038</v>
      </c>
      <c r="F283" s="379">
        <v>46865</v>
      </c>
      <c r="G283" s="383" t="s">
        <v>193</v>
      </c>
      <c r="H283" s="20" t="s">
        <v>229</v>
      </c>
      <c r="I283" s="20" t="s">
        <v>162</v>
      </c>
      <c r="J283" s="20" t="s">
        <v>163</v>
      </c>
      <c r="K283" s="378" t="s">
        <v>230</v>
      </c>
      <c r="L283" s="20" t="s">
        <v>165</v>
      </c>
      <c r="M283" s="380">
        <v>2400</v>
      </c>
      <c r="N283" s="380"/>
      <c r="O283" s="380"/>
      <c r="P283" s="380"/>
      <c r="Q283" s="381" t="s">
        <v>577</v>
      </c>
      <c r="R283" s="381" t="s">
        <v>577</v>
      </c>
      <c r="S283" s="381" t="s">
        <v>244</v>
      </c>
      <c r="T283" s="381"/>
      <c r="U283" s="381"/>
      <c r="V283" s="382">
        <v>167.12</v>
      </c>
      <c r="W283" s="382">
        <v>0</v>
      </c>
      <c r="X283" s="381">
        <v>6.958333333333333E-2</v>
      </c>
      <c r="Y283" s="381">
        <v>6.958333333333333E-2</v>
      </c>
      <c r="Z283" s="381">
        <v>4.9999999999999996E-5</v>
      </c>
      <c r="AA283" s="381">
        <v>0</v>
      </c>
      <c r="AB283" s="381">
        <v>0</v>
      </c>
      <c r="AC283" s="382">
        <v>6.9633333333333325E-2</v>
      </c>
      <c r="AD283" s="382">
        <v>0</v>
      </c>
      <c r="AE283" s="381" t="s">
        <v>168</v>
      </c>
    </row>
    <row r="284" spans="1:31" ht="15" customHeight="1" x14ac:dyDescent="0.25">
      <c r="A284" s="20" t="s">
        <v>156</v>
      </c>
      <c r="B284" s="20" t="s">
        <v>534</v>
      </c>
      <c r="C284" s="20" t="s">
        <v>535</v>
      </c>
      <c r="D284" s="378" t="s">
        <v>593</v>
      </c>
      <c r="E284" s="379">
        <v>44910</v>
      </c>
      <c r="F284" s="379">
        <v>46736</v>
      </c>
      <c r="G284" s="378" t="s">
        <v>173</v>
      </c>
      <c r="H284" s="20" t="s">
        <v>174</v>
      </c>
      <c r="I284" s="20" t="s">
        <v>162</v>
      </c>
      <c r="J284" s="20" t="s">
        <v>163</v>
      </c>
      <c r="K284" s="378" t="s">
        <v>175</v>
      </c>
      <c r="L284" s="20" t="s">
        <v>165</v>
      </c>
      <c r="M284" s="380">
        <v>2400</v>
      </c>
      <c r="N284" s="380"/>
      <c r="O284" s="380"/>
      <c r="P284" s="380"/>
      <c r="Q284" s="381">
        <v>279</v>
      </c>
      <c r="R284" s="381">
        <v>276</v>
      </c>
      <c r="S284" s="381">
        <v>3.2</v>
      </c>
      <c r="T284" s="381"/>
      <c r="U284" s="381"/>
      <c r="V284" s="382">
        <v>279.2</v>
      </c>
      <c r="W284" s="382">
        <v>0</v>
      </c>
      <c r="X284" s="381">
        <v>0.11625000000000001</v>
      </c>
      <c r="Y284" s="381">
        <v>0.115</v>
      </c>
      <c r="Z284" s="381">
        <v>1.3333333333333335E-3</v>
      </c>
      <c r="AA284" s="381">
        <v>0</v>
      </c>
      <c r="AB284" s="381">
        <v>0</v>
      </c>
      <c r="AC284" s="382">
        <v>0.11633333333333334</v>
      </c>
      <c r="AD284" s="382">
        <v>0</v>
      </c>
      <c r="AE284" s="381" t="s">
        <v>168</v>
      </c>
    </row>
    <row r="285" spans="1:31" ht="15" customHeight="1" x14ac:dyDescent="0.25">
      <c r="A285" s="20" t="s">
        <v>156</v>
      </c>
      <c r="B285" s="20" t="s">
        <v>534</v>
      </c>
      <c r="C285" s="20" t="s">
        <v>535</v>
      </c>
      <c r="D285" s="378" t="s">
        <v>594</v>
      </c>
      <c r="E285" s="379">
        <v>45038</v>
      </c>
      <c r="F285" s="379">
        <v>46865</v>
      </c>
      <c r="G285" s="383" t="s">
        <v>193</v>
      </c>
      <c r="H285" s="20" t="s">
        <v>229</v>
      </c>
      <c r="I285" s="20" t="s">
        <v>162</v>
      </c>
      <c r="J285" s="20" t="s">
        <v>163</v>
      </c>
      <c r="K285" s="378" t="s">
        <v>230</v>
      </c>
      <c r="L285" s="20" t="s">
        <v>165</v>
      </c>
      <c r="M285" s="380">
        <v>2400</v>
      </c>
      <c r="N285" s="380"/>
      <c r="O285" s="380"/>
      <c r="P285" s="380"/>
      <c r="Q285" s="381" t="s">
        <v>595</v>
      </c>
      <c r="R285" s="381" t="s">
        <v>595</v>
      </c>
      <c r="S285" s="381" t="s">
        <v>266</v>
      </c>
      <c r="T285" s="381"/>
      <c r="U285" s="381"/>
      <c r="V285" s="382">
        <v>184.13</v>
      </c>
      <c r="W285" s="382">
        <v>0</v>
      </c>
      <c r="X285" s="381">
        <v>7.6666666666666661E-2</v>
      </c>
      <c r="Y285" s="381">
        <v>7.6666666666666661E-2</v>
      </c>
      <c r="Z285" s="381">
        <v>5.4166666666666671E-5</v>
      </c>
      <c r="AA285" s="381">
        <v>0</v>
      </c>
      <c r="AB285" s="381">
        <v>0</v>
      </c>
      <c r="AC285" s="382">
        <v>7.6720833333333321E-2</v>
      </c>
      <c r="AD285" s="382">
        <v>0</v>
      </c>
      <c r="AE285" s="381" t="s">
        <v>168</v>
      </c>
    </row>
    <row r="286" spans="1:31" ht="15" customHeight="1" x14ac:dyDescent="0.25">
      <c r="A286" s="20" t="s">
        <v>156</v>
      </c>
      <c r="B286" s="20" t="s">
        <v>534</v>
      </c>
      <c r="C286" s="20" t="s">
        <v>535</v>
      </c>
      <c r="D286" s="378" t="s">
        <v>596</v>
      </c>
      <c r="E286" s="379">
        <v>44581</v>
      </c>
      <c r="F286" s="379">
        <v>46407</v>
      </c>
      <c r="G286" s="378" t="s">
        <v>237</v>
      </c>
      <c r="H286" s="20" t="s">
        <v>238</v>
      </c>
      <c r="I286" s="20" t="s">
        <v>162</v>
      </c>
      <c r="J286" s="20" t="s">
        <v>163</v>
      </c>
      <c r="K286" s="378" t="s">
        <v>239</v>
      </c>
      <c r="L286" s="20" t="s">
        <v>165</v>
      </c>
      <c r="M286" s="380">
        <v>2400</v>
      </c>
      <c r="N286" s="380"/>
      <c r="O286" s="380"/>
      <c r="P286" s="380"/>
      <c r="Q286" s="381" t="s">
        <v>597</v>
      </c>
      <c r="R286" s="381" t="s">
        <v>597</v>
      </c>
      <c r="S286" s="381" t="s">
        <v>244</v>
      </c>
      <c r="T286" s="381"/>
      <c r="U286" s="381"/>
      <c r="V286" s="382">
        <v>171.12</v>
      </c>
      <c r="W286" s="382">
        <v>0</v>
      </c>
      <c r="X286" s="381">
        <v>7.1249999999999994E-2</v>
      </c>
      <c r="Y286" s="381">
        <v>7.1249999999999994E-2</v>
      </c>
      <c r="Z286" s="381">
        <v>4.9999999999999996E-5</v>
      </c>
      <c r="AA286" s="381">
        <v>0</v>
      </c>
      <c r="AB286" s="381">
        <v>0</v>
      </c>
      <c r="AC286" s="382">
        <v>7.1299999999999988E-2</v>
      </c>
      <c r="AD286" s="382">
        <v>0</v>
      </c>
      <c r="AE286" s="381" t="s">
        <v>168</v>
      </c>
    </row>
    <row r="287" spans="1:31" ht="15" customHeight="1" x14ac:dyDescent="0.25">
      <c r="A287" s="20" t="s">
        <v>156</v>
      </c>
      <c r="B287" s="20" t="s">
        <v>534</v>
      </c>
      <c r="C287" s="20" t="s">
        <v>535</v>
      </c>
      <c r="D287" s="378" t="s">
        <v>598</v>
      </c>
      <c r="E287" s="379">
        <v>45038</v>
      </c>
      <c r="F287" s="379">
        <v>46865</v>
      </c>
      <c r="G287" s="383" t="s">
        <v>193</v>
      </c>
      <c r="H287" s="20" t="s">
        <v>229</v>
      </c>
      <c r="I287" s="20" t="s">
        <v>162</v>
      </c>
      <c r="J287" s="20" t="s">
        <v>163</v>
      </c>
      <c r="K287" s="378" t="s">
        <v>230</v>
      </c>
      <c r="L287" s="20" t="s">
        <v>165</v>
      </c>
      <c r="M287" s="380">
        <v>2400</v>
      </c>
      <c r="N287" s="380"/>
      <c r="O287" s="380"/>
      <c r="P287" s="380"/>
      <c r="Q287" s="381" t="s">
        <v>599</v>
      </c>
      <c r="R287" s="381" t="s">
        <v>599</v>
      </c>
      <c r="S287" s="381" t="s">
        <v>244</v>
      </c>
      <c r="T287" s="381"/>
      <c r="U287" s="381"/>
      <c r="V287" s="382">
        <v>173.12</v>
      </c>
      <c r="W287" s="382">
        <v>0</v>
      </c>
      <c r="X287" s="381">
        <v>7.2083333333333333E-2</v>
      </c>
      <c r="Y287" s="381">
        <v>7.2083333333333333E-2</v>
      </c>
      <c r="Z287" s="381">
        <v>4.9999999999999996E-5</v>
      </c>
      <c r="AA287" s="381">
        <v>0</v>
      </c>
      <c r="AB287" s="381">
        <v>0</v>
      </c>
      <c r="AC287" s="382">
        <v>7.2133333333333327E-2</v>
      </c>
      <c r="AD287" s="382">
        <v>0</v>
      </c>
      <c r="AE287" s="381" t="s">
        <v>168</v>
      </c>
    </row>
    <row r="288" spans="1:31" ht="15" customHeight="1" x14ac:dyDescent="0.25">
      <c r="A288" s="20" t="s">
        <v>156</v>
      </c>
      <c r="B288" s="20" t="s">
        <v>534</v>
      </c>
      <c r="C288" s="20" t="s">
        <v>535</v>
      </c>
      <c r="D288" s="378" t="s">
        <v>600</v>
      </c>
      <c r="E288" s="379">
        <v>45016</v>
      </c>
      <c r="F288" s="379">
        <v>46843</v>
      </c>
      <c r="G288" s="378" t="s">
        <v>193</v>
      </c>
      <c r="H288" s="20" t="s">
        <v>194</v>
      </c>
      <c r="I288" s="20" t="s">
        <v>162</v>
      </c>
      <c r="J288" s="20" t="s">
        <v>163</v>
      </c>
      <c r="K288" s="378" t="s">
        <v>195</v>
      </c>
      <c r="L288" s="20" t="s">
        <v>165</v>
      </c>
      <c r="M288" s="380">
        <v>2400</v>
      </c>
      <c r="N288" s="380"/>
      <c r="O288" s="380"/>
      <c r="P288" s="380"/>
      <c r="Q288" s="381">
        <v>239</v>
      </c>
      <c r="R288" s="381">
        <v>239</v>
      </c>
      <c r="S288" s="381">
        <v>0.16500000000000001</v>
      </c>
      <c r="T288" s="381"/>
      <c r="U288" s="381"/>
      <c r="V288" s="382">
        <v>239.16499999999999</v>
      </c>
      <c r="W288" s="382">
        <v>0</v>
      </c>
      <c r="X288" s="381">
        <v>9.9583333333333329E-2</v>
      </c>
      <c r="Y288" s="381">
        <v>9.9583333333333329E-2</v>
      </c>
      <c r="Z288" s="381">
        <v>6.8750000000000004E-5</v>
      </c>
      <c r="AA288" s="381">
        <v>0</v>
      </c>
      <c r="AB288" s="381">
        <v>0</v>
      </c>
      <c r="AC288" s="382">
        <v>9.9652083333333336E-2</v>
      </c>
      <c r="AD288" s="382">
        <v>0</v>
      </c>
      <c r="AE288" s="381" t="s">
        <v>168</v>
      </c>
    </row>
    <row r="289" spans="1:31" ht="15" customHeight="1" x14ac:dyDescent="0.25">
      <c r="A289" s="20" t="s">
        <v>156</v>
      </c>
      <c r="B289" s="20" t="s">
        <v>534</v>
      </c>
      <c r="C289" s="20" t="s">
        <v>535</v>
      </c>
      <c r="D289" s="378" t="s">
        <v>601</v>
      </c>
      <c r="E289" s="379">
        <v>45038</v>
      </c>
      <c r="F289" s="379">
        <v>46865</v>
      </c>
      <c r="G289" s="383" t="s">
        <v>193</v>
      </c>
      <c r="H289" s="20" t="s">
        <v>229</v>
      </c>
      <c r="I289" s="20" t="s">
        <v>162</v>
      </c>
      <c r="J289" s="20" t="s">
        <v>163</v>
      </c>
      <c r="K289" s="378" t="s">
        <v>230</v>
      </c>
      <c r="L289" s="20" t="s">
        <v>165</v>
      </c>
      <c r="M289" s="380">
        <v>2400</v>
      </c>
      <c r="N289" s="380"/>
      <c r="O289" s="380"/>
      <c r="P289" s="380"/>
      <c r="Q289" s="381" t="s">
        <v>197</v>
      </c>
      <c r="R289" s="381" t="s">
        <v>197</v>
      </c>
      <c r="S289" s="381" t="s">
        <v>223</v>
      </c>
      <c r="T289" s="381"/>
      <c r="U289" s="381"/>
      <c r="V289" s="382">
        <v>160.11000000000001</v>
      </c>
      <c r="W289" s="382">
        <v>0</v>
      </c>
      <c r="X289" s="381">
        <v>6.6666666666666666E-2</v>
      </c>
      <c r="Y289" s="381">
        <v>6.6666666666666666E-2</v>
      </c>
      <c r="Z289" s="381">
        <v>4.5833333333333334E-5</v>
      </c>
      <c r="AA289" s="381">
        <v>0</v>
      </c>
      <c r="AB289" s="381">
        <v>0</v>
      </c>
      <c r="AC289" s="382">
        <v>6.6712499999999994E-2</v>
      </c>
      <c r="AD289" s="382">
        <v>0</v>
      </c>
      <c r="AE289" s="381" t="s">
        <v>168</v>
      </c>
    </row>
    <row r="290" spans="1:31" ht="15" customHeight="1" x14ac:dyDescent="0.25">
      <c r="A290" s="20" t="s">
        <v>156</v>
      </c>
      <c r="B290" s="20" t="s">
        <v>534</v>
      </c>
      <c r="C290" s="20" t="s">
        <v>535</v>
      </c>
      <c r="D290" s="378" t="s">
        <v>602</v>
      </c>
      <c r="E290" s="379">
        <v>44581</v>
      </c>
      <c r="F290" s="379">
        <v>46407</v>
      </c>
      <c r="G290" s="378" t="s">
        <v>237</v>
      </c>
      <c r="H290" s="20" t="s">
        <v>238</v>
      </c>
      <c r="I290" s="20" t="s">
        <v>162</v>
      </c>
      <c r="J290" s="20" t="s">
        <v>163</v>
      </c>
      <c r="K290" s="378" t="s">
        <v>239</v>
      </c>
      <c r="L290" s="20" t="s">
        <v>165</v>
      </c>
      <c r="M290" s="380">
        <v>2400</v>
      </c>
      <c r="N290" s="380"/>
      <c r="O290" s="380"/>
      <c r="P290" s="380"/>
      <c r="Q290" s="381" t="s">
        <v>603</v>
      </c>
      <c r="R290" s="381" t="s">
        <v>603</v>
      </c>
      <c r="S290" s="381" t="s">
        <v>223</v>
      </c>
      <c r="T290" s="381"/>
      <c r="U290" s="381"/>
      <c r="V290" s="382">
        <v>163.11000000000001</v>
      </c>
      <c r="W290" s="382">
        <v>0</v>
      </c>
      <c r="X290" s="381">
        <v>6.7916666666666667E-2</v>
      </c>
      <c r="Y290" s="381">
        <v>6.7916666666666667E-2</v>
      </c>
      <c r="Z290" s="381">
        <v>4.5833333333333334E-5</v>
      </c>
      <c r="AA290" s="381">
        <v>0</v>
      </c>
      <c r="AB290" s="381">
        <v>0</v>
      </c>
      <c r="AC290" s="382">
        <v>6.7962499999999995E-2</v>
      </c>
      <c r="AD290" s="382">
        <v>0</v>
      </c>
      <c r="AE290" s="381" t="s">
        <v>168</v>
      </c>
    </row>
    <row r="291" spans="1:31" ht="15" customHeight="1" x14ac:dyDescent="0.25">
      <c r="A291" s="20" t="s">
        <v>156</v>
      </c>
      <c r="B291" s="20" t="s">
        <v>534</v>
      </c>
      <c r="C291" s="20" t="s">
        <v>535</v>
      </c>
      <c r="D291" s="378" t="s">
        <v>604</v>
      </c>
      <c r="E291" s="379">
        <v>44525</v>
      </c>
      <c r="F291" s="379">
        <v>46351</v>
      </c>
      <c r="G291" s="378" t="s">
        <v>262</v>
      </c>
      <c r="H291" s="20" t="s">
        <v>263</v>
      </c>
      <c r="I291" s="20" t="s">
        <v>162</v>
      </c>
      <c r="J291" s="20" t="s">
        <v>163</v>
      </c>
      <c r="K291" s="378" t="s">
        <v>264</v>
      </c>
      <c r="L291" s="20" t="s">
        <v>165</v>
      </c>
      <c r="M291" s="380">
        <v>2400</v>
      </c>
      <c r="N291" s="380"/>
      <c r="O291" s="380"/>
      <c r="P291" s="380"/>
      <c r="Q291" s="381" t="s">
        <v>605</v>
      </c>
      <c r="R291" s="381" t="s">
        <v>605</v>
      </c>
      <c r="S291" s="381" t="s">
        <v>234</v>
      </c>
      <c r="T291" s="381"/>
      <c r="U291" s="381"/>
      <c r="V291" s="382">
        <v>212.14</v>
      </c>
      <c r="W291" s="382">
        <v>0</v>
      </c>
      <c r="X291" s="381">
        <v>8.8333333333333333E-2</v>
      </c>
      <c r="Y291" s="381">
        <v>8.8333333333333333E-2</v>
      </c>
      <c r="Z291" s="381">
        <v>5.833333333333334E-5</v>
      </c>
      <c r="AA291" s="381">
        <v>0</v>
      </c>
      <c r="AB291" s="381">
        <v>0</v>
      </c>
      <c r="AC291" s="382">
        <v>8.839166666666666E-2</v>
      </c>
      <c r="AD291" s="382">
        <v>0</v>
      </c>
      <c r="AE291" s="381" t="s">
        <v>168</v>
      </c>
    </row>
    <row r="292" spans="1:31" ht="15" customHeight="1" x14ac:dyDescent="0.25">
      <c r="A292" s="20" t="s">
        <v>156</v>
      </c>
      <c r="B292" s="20" t="s">
        <v>534</v>
      </c>
      <c r="C292" s="20" t="s">
        <v>535</v>
      </c>
      <c r="D292" s="378" t="s">
        <v>606</v>
      </c>
      <c r="E292" s="379">
        <v>44525</v>
      </c>
      <c r="F292" s="379">
        <v>46351</v>
      </c>
      <c r="G292" s="378" t="s">
        <v>262</v>
      </c>
      <c r="H292" s="20" t="s">
        <v>263</v>
      </c>
      <c r="I292" s="20" t="s">
        <v>162</v>
      </c>
      <c r="J292" s="20" t="s">
        <v>163</v>
      </c>
      <c r="K292" s="378" t="s">
        <v>264</v>
      </c>
      <c r="L292" s="20" t="s">
        <v>165</v>
      </c>
      <c r="M292" s="380">
        <v>2400</v>
      </c>
      <c r="N292" s="380"/>
      <c r="O292" s="380"/>
      <c r="P292" s="380"/>
      <c r="Q292" s="381" t="s">
        <v>537</v>
      </c>
      <c r="R292" s="381" t="s">
        <v>537</v>
      </c>
      <c r="S292" s="381" t="s">
        <v>234</v>
      </c>
      <c r="T292" s="381"/>
      <c r="U292" s="381"/>
      <c r="V292" s="382">
        <v>213.14</v>
      </c>
      <c r="W292" s="382">
        <v>0</v>
      </c>
      <c r="X292" s="381">
        <v>8.8749999999999996E-2</v>
      </c>
      <c r="Y292" s="381">
        <v>8.8749999999999996E-2</v>
      </c>
      <c r="Z292" s="381">
        <v>5.833333333333334E-5</v>
      </c>
      <c r="AA292" s="381">
        <v>0</v>
      </c>
      <c r="AB292" s="381">
        <v>0</v>
      </c>
      <c r="AC292" s="382">
        <v>8.8808333333333322E-2</v>
      </c>
      <c r="AD292" s="382">
        <v>0</v>
      </c>
      <c r="AE292" s="381" t="s">
        <v>168</v>
      </c>
    </row>
    <row r="293" spans="1:31" ht="15" customHeight="1" x14ac:dyDescent="0.25">
      <c r="A293" s="20" t="s">
        <v>156</v>
      </c>
      <c r="B293" s="20" t="s">
        <v>534</v>
      </c>
      <c r="C293" s="20" t="s">
        <v>535</v>
      </c>
      <c r="D293" s="378" t="s">
        <v>607</v>
      </c>
      <c r="E293" s="379">
        <v>45016</v>
      </c>
      <c r="F293" s="379">
        <v>46843</v>
      </c>
      <c r="G293" s="378" t="s">
        <v>179</v>
      </c>
      <c r="H293" s="20" t="s">
        <v>202</v>
      </c>
      <c r="I293" s="20" t="s">
        <v>162</v>
      </c>
      <c r="J293" s="20" t="s">
        <v>163</v>
      </c>
      <c r="K293" s="378" t="s">
        <v>203</v>
      </c>
      <c r="L293" s="20" t="s">
        <v>165</v>
      </c>
      <c r="M293" s="380">
        <v>2400</v>
      </c>
      <c r="N293" s="380"/>
      <c r="O293" s="380"/>
      <c r="P293" s="380"/>
      <c r="Q293" s="381">
        <v>238</v>
      </c>
      <c r="R293" s="381">
        <v>238</v>
      </c>
      <c r="S293" s="381">
        <v>0.15</v>
      </c>
      <c r="T293" s="381"/>
      <c r="U293" s="381"/>
      <c r="V293" s="382">
        <v>238.15</v>
      </c>
      <c r="W293" s="382">
        <v>0</v>
      </c>
      <c r="X293" s="381">
        <v>9.9166666666666667E-2</v>
      </c>
      <c r="Y293" s="381">
        <v>9.9166666666666667E-2</v>
      </c>
      <c r="Z293" s="381">
        <v>6.2500000000000001E-5</v>
      </c>
      <c r="AA293" s="381">
        <v>0</v>
      </c>
      <c r="AB293" s="381">
        <v>0</v>
      </c>
      <c r="AC293" s="382">
        <v>9.922916666666666E-2</v>
      </c>
      <c r="AD293" s="382">
        <v>0</v>
      </c>
      <c r="AE293" s="381" t="s">
        <v>168</v>
      </c>
    </row>
    <row r="294" spans="1:31" ht="15" customHeight="1" x14ac:dyDescent="0.25">
      <c r="A294" s="20" t="s">
        <v>156</v>
      </c>
      <c r="B294" s="20" t="s">
        <v>534</v>
      </c>
      <c r="C294" s="20" t="s">
        <v>535</v>
      </c>
      <c r="D294" s="378" t="s">
        <v>608</v>
      </c>
      <c r="E294" s="379">
        <v>45038</v>
      </c>
      <c r="F294" s="379">
        <v>46865</v>
      </c>
      <c r="G294" s="383" t="s">
        <v>193</v>
      </c>
      <c r="H294" s="20" t="s">
        <v>229</v>
      </c>
      <c r="I294" s="20" t="s">
        <v>162</v>
      </c>
      <c r="J294" s="20" t="s">
        <v>163</v>
      </c>
      <c r="K294" s="378" t="s">
        <v>230</v>
      </c>
      <c r="L294" s="20" t="s">
        <v>165</v>
      </c>
      <c r="M294" s="380">
        <v>2400</v>
      </c>
      <c r="N294" s="380"/>
      <c r="O294" s="380"/>
      <c r="P294" s="380"/>
      <c r="Q294" s="381" t="s">
        <v>565</v>
      </c>
      <c r="R294" s="381" t="s">
        <v>565</v>
      </c>
      <c r="S294" s="381" t="s">
        <v>234</v>
      </c>
      <c r="T294" s="381"/>
      <c r="U294" s="381"/>
      <c r="V294" s="382">
        <v>223.14</v>
      </c>
      <c r="W294" s="382">
        <v>0</v>
      </c>
      <c r="X294" s="381">
        <v>9.2916666666666661E-2</v>
      </c>
      <c r="Y294" s="381">
        <v>9.2916666666666661E-2</v>
      </c>
      <c r="Z294" s="381">
        <v>5.833333333333334E-5</v>
      </c>
      <c r="AA294" s="381">
        <v>0</v>
      </c>
      <c r="AB294" s="381">
        <v>0</v>
      </c>
      <c r="AC294" s="382">
        <v>9.2974999999999988E-2</v>
      </c>
      <c r="AD294" s="382">
        <v>0</v>
      </c>
      <c r="AE294" s="381" t="s">
        <v>168</v>
      </c>
    </row>
    <row r="295" spans="1:31" ht="15" customHeight="1" x14ac:dyDescent="0.25">
      <c r="A295" s="20" t="s">
        <v>156</v>
      </c>
      <c r="B295" s="20" t="s">
        <v>534</v>
      </c>
      <c r="C295" s="20" t="s">
        <v>535</v>
      </c>
      <c r="D295" s="378" t="s">
        <v>609</v>
      </c>
      <c r="E295" s="379">
        <v>45016</v>
      </c>
      <c r="F295" s="379">
        <v>46843</v>
      </c>
      <c r="G295" s="378" t="s">
        <v>215</v>
      </c>
      <c r="H295" s="20" t="s">
        <v>216</v>
      </c>
      <c r="I295" s="20" t="s">
        <v>162</v>
      </c>
      <c r="J295" s="20" t="s">
        <v>163</v>
      </c>
      <c r="K295" s="378" t="s">
        <v>217</v>
      </c>
      <c r="L295" s="20" t="s">
        <v>165</v>
      </c>
      <c r="M295" s="380">
        <v>2400</v>
      </c>
      <c r="N295" s="380"/>
      <c r="O295" s="380"/>
      <c r="P295" s="380"/>
      <c r="Q295" s="381">
        <v>306</v>
      </c>
      <c r="R295" s="381">
        <v>306</v>
      </c>
      <c r="S295" s="381">
        <v>0.192</v>
      </c>
      <c r="T295" s="381"/>
      <c r="U295" s="381"/>
      <c r="V295" s="382">
        <v>306.19200000000001</v>
      </c>
      <c r="W295" s="382">
        <v>0</v>
      </c>
      <c r="X295" s="381">
        <v>0.1275</v>
      </c>
      <c r="Y295" s="381">
        <v>0.1275</v>
      </c>
      <c r="Z295" s="381">
        <v>8.0000000000000007E-5</v>
      </c>
      <c r="AA295" s="381">
        <v>0</v>
      </c>
      <c r="AB295" s="381">
        <v>0</v>
      </c>
      <c r="AC295" s="382">
        <v>0.12758</v>
      </c>
      <c r="AD295" s="382">
        <v>0</v>
      </c>
      <c r="AE295" s="381" t="s">
        <v>168</v>
      </c>
    </row>
    <row r="296" spans="1:31" ht="15" customHeight="1" x14ac:dyDescent="0.25">
      <c r="A296" s="20" t="s">
        <v>156</v>
      </c>
      <c r="B296" s="20" t="s">
        <v>534</v>
      </c>
      <c r="C296" s="20" t="s">
        <v>535</v>
      </c>
      <c r="D296" s="378" t="s">
        <v>610</v>
      </c>
      <c r="E296" s="379">
        <v>44525</v>
      </c>
      <c r="F296" s="379">
        <v>46351</v>
      </c>
      <c r="G296" s="378" t="s">
        <v>262</v>
      </c>
      <c r="H296" s="20" t="s">
        <v>263</v>
      </c>
      <c r="I296" s="20" t="s">
        <v>162</v>
      </c>
      <c r="J296" s="20" t="s">
        <v>163</v>
      </c>
      <c r="K296" s="378" t="s">
        <v>264</v>
      </c>
      <c r="L296" s="20" t="s">
        <v>165</v>
      </c>
      <c r="M296" s="380">
        <v>2400</v>
      </c>
      <c r="N296" s="380"/>
      <c r="O296" s="380"/>
      <c r="P296" s="380"/>
      <c r="Q296" s="381" t="s">
        <v>581</v>
      </c>
      <c r="R296" s="381" t="s">
        <v>581</v>
      </c>
      <c r="S296" s="381" t="s">
        <v>244</v>
      </c>
      <c r="T296" s="381"/>
      <c r="U296" s="381"/>
      <c r="V296" s="382">
        <v>222.12</v>
      </c>
      <c r="W296" s="382">
        <v>0</v>
      </c>
      <c r="X296" s="381">
        <v>9.2499999999999999E-2</v>
      </c>
      <c r="Y296" s="381">
        <v>9.2499999999999999E-2</v>
      </c>
      <c r="Z296" s="381">
        <v>4.9999999999999996E-5</v>
      </c>
      <c r="AA296" s="381">
        <v>0</v>
      </c>
      <c r="AB296" s="381">
        <v>0</v>
      </c>
      <c r="AC296" s="382">
        <v>9.2549999999999993E-2</v>
      </c>
      <c r="AD296" s="382">
        <v>0</v>
      </c>
      <c r="AE296" s="381" t="s">
        <v>168</v>
      </c>
    </row>
    <row r="297" spans="1:31" ht="15" customHeight="1" x14ac:dyDescent="0.25">
      <c r="A297" s="20" t="s">
        <v>156</v>
      </c>
      <c r="B297" s="20" t="s">
        <v>534</v>
      </c>
      <c r="C297" s="20" t="s">
        <v>535</v>
      </c>
      <c r="D297" s="378" t="s">
        <v>611</v>
      </c>
      <c r="E297" s="379">
        <v>44573</v>
      </c>
      <c r="F297" s="379">
        <v>46656</v>
      </c>
      <c r="G297" s="378" t="s">
        <v>179</v>
      </c>
      <c r="H297" s="20" t="s">
        <v>180</v>
      </c>
      <c r="I297" s="20" t="s">
        <v>162</v>
      </c>
      <c r="J297" s="20" t="s">
        <v>163</v>
      </c>
      <c r="K297" s="378" t="s">
        <v>181</v>
      </c>
      <c r="L297" s="20" t="s">
        <v>165</v>
      </c>
      <c r="M297" s="380">
        <v>2400</v>
      </c>
      <c r="N297" s="380"/>
      <c r="O297" s="380"/>
      <c r="P297" s="380"/>
      <c r="Q297" s="381" t="s">
        <v>612</v>
      </c>
      <c r="R297" s="381" t="s">
        <v>612</v>
      </c>
      <c r="S297" s="381" t="s">
        <v>223</v>
      </c>
      <c r="T297" s="381"/>
      <c r="U297" s="381"/>
      <c r="V297" s="382">
        <v>220.11</v>
      </c>
      <c r="W297" s="382">
        <v>0</v>
      </c>
      <c r="X297" s="381">
        <v>9.166666666666666E-2</v>
      </c>
      <c r="Y297" s="381">
        <v>9.166666666666666E-2</v>
      </c>
      <c r="Z297" s="381">
        <v>4.5833333333333334E-5</v>
      </c>
      <c r="AA297" s="381">
        <v>0</v>
      </c>
      <c r="AB297" s="381">
        <v>0</v>
      </c>
      <c r="AC297" s="382">
        <v>9.1712499999999988E-2</v>
      </c>
      <c r="AD297" s="382">
        <v>0</v>
      </c>
      <c r="AE297" s="381" t="s">
        <v>168</v>
      </c>
    </row>
    <row r="298" spans="1:31" ht="15" customHeight="1" x14ac:dyDescent="0.25">
      <c r="A298" s="20" t="s">
        <v>156</v>
      </c>
      <c r="B298" s="20" t="s">
        <v>534</v>
      </c>
      <c r="C298" s="20" t="s">
        <v>535</v>
      </c>
      <c r="D298" s="378" t="s">
        <v>613</v>
      </c>
      <c r="E298" s="379">
        <v>44525</v>
      </c>
      <c r="F298" s="379">
        <v>46351</v>
      </c>
      <c r="G298" s="378" t="s">
        <v>262</v>
      </c>
      <c r="H298" s="20" t="s">
        <v>263</v>
      </c>
      <c r="I298" s="20" t="s">
        <v>162</v>
      </c>
      <c r="J298" s="20" t="s">
        <v>163</v>
      </c>
      <c r="K298" s="378" t="s">
        <v>264</v>
      </c>
      <c r="L298" s="20" t="s">
        <v>165</v>
      </c>
      <c r="M298" s="380">
        <v>2400</v>
      </c>
      <c r="N298" s="380"/>
      <c r="O298" s="380"/>
      <c r="P298" s="380"/>
      <c r="Q298" s="381" t="s">
        <v>182</v>
      </c>
      <c r="R298" s="381" t="s">
        <v>182</v>
      </c>
      <c r="S298" s="381" t="s">
        <v>268</v>
      </c>
      <c r="T298" s="381"/>
      <c r="U298" s="381"/>
      <c r="V298" s="382">
        <v>208.1</v>
      </c>
      <c r="W298" s="382">
        <v>0</v>
      </c>
      <c r="X298" s="381">
        <v>8.666666666666667E-2</v>
      </c>
      <c r="Y298" s="381">
        <v>8.666666666666667E-2</v>
      </c>
      <c r="Z298" s="381">
        <v>4.1666666666666672E-5</v>
      </c>
      <c r="AA298" s="381">
        <v>0</v>
      </c>
      <c r="AB298" s="381">
        <v>0</v>
      </c>
      <c r="AC298" s="382">
        <v>8.6708333333333332E-2</v>
      </c>
      <c r="AD298" s="382">
        <v>0</v>
      </c>
      <c r="AE298" s="381" t="s">
        <v>168</v>
      </c>
    </row>
    <row r="299" spans="1:31" ht="15" customHeight="1" x14ac:dyDescent="0.25">
      <c r="A299" s="20" t="s">
        <v>156</v>
      </c>
      <c r="B299" s="20" t="s">
        <v>534</v>
      </c>
      <c r="C299" s="20" t="s">
        <v>535</v>
      </c>
      <c r="D299" s="378" t="s">
        <v>614</v>
      </c>
      <c r="E299" s="379">
        <v>44525</v>
      </c>
      <c r="F299" s="379">
        <v>46351</v>
      </c>
      <c r="G299" s="378" t="s">
        <v>262</v>
      </c>
      <c r="H299" s="20" t="s">
        <v>263</v>
      </c>
      <c r="I299" s="20" t="s">
        <v>162</v>
      </c>
      <c r="J299" s="20" t="s">
        <v>163</v>
      </c>
      <c r="K299" s="378" t="s">
        <v>264</v>
      </c>
      <c r="L299" s="20" t="s">
        <v>165</v>
      </c>
      <c r="M299" s="380">
        <v>2400</v>
      </c>
      <c r="N299" s="380"/>
      <c r="O299" s="380"/>
      <c r="P299" s="380"/>
      <c r="Q299" s="381" t="s">
        <v>605</v>
      </c>
      <c r="R299" s="381" t="s">
        <v>605</v>
      </c>
      <c r="S299" s="381" t="s">
        <v>268</v>
      </c>
      <c r="T299" s="381"/>
      <c r="U299" s="381"/>
      <c r="V299" s="382">
        <v>212.1</v>
      </c>
      <c r="W299" s="382">
        <v>0</v>
      </c>
      <c r="X299" s="381">
        <v>8.8333333333333333E-2</v>
      </c>
      <c r="Y299" s="381">
        <v>8.8333333333333333E-2</v>
      </c>
      <c r="Z299" s="381">
        <v>4.1666666666666672E-5</v>
      </c>
      <c r="AA299" s="381">
        <v>0</v>
      </c>
      <c r="AB299" s="381">
        <v>0</v>
      </c>
      <c r="AC299" s="382">
        <v>8.8374999999999995E-2</v>
      </c>
      <c r="AD299" s="382">
        <v>0</v>
      </c>
      <c r="AE299" s="381" t="s">
        <v>168</v>
      </c>
    </row>
    <row r="300" spans="1:31" ht="15" customHeight="1" x14ac:dyDescent="0.25">
      <c r="A300" s="20" t="s">
        <v>156</v>
      </c>
      <c r="B300" s="20" t="s">
        <v>534</v>
      </c>
      <c r="C300" s="20" t="s">
        <v>535</v>
      </c>
      <c r="D300" s="378" t="s">
        <v>615</v>
      </c>
      <c r="E300" s="379">
        <v>44525</v>
      </c>
      <c r="F300" s="379">
        <v>46351</v>
      </c>
      <c r="G300" s="378" t="s">
        <v>262</v>
      </c>
      <c r="H300" s="20" t="s">
        <v>263</v>
      </c>
      <c r="I300" s="20" t="s">
        <v>162</v>
      </c>
      <c r="J300" s="20" t="s">
        <v>163</v>
      </c>
      <c r="K300" s="378" t="s">
        <v>264</v>
      </c>
      <c r="L300" s="20" t="s">
        <v>165</v>
      </c>
      <c r="M300" s="380">
        <v>2400</v>
      </c>
      <c r="N300" s="380"/>
      <c r="O300" s="380"/>
      <c r="P300" s="380"/>
      <c r="Q300" s="381" t="s">
        <v>616</v>
      </c>
      <c r="R300" s="381" t="s">
        <v>616</v>
      </c>
      <c r="S300" s="381" t="s">
        <v>268</v>
      </c>
      <c r="T300" s="381"/>
      <c r="U300" s="381"/>
      <c r="V300" s="382">
        <v>217.1</v>
      </c>
      <c r="W300" s="382">
        <v>0</v>
      </c>
      <c r="X300" s="381">
        <v>9.0416666666666673E-2</v>
      </c>
      <c r="Y300" s="381">
        <v>9.0416666666666673E-2</v>
      </c>
      <c r="Z300" s="381">
        <v>4.1666666666666672E-5</v>
      </c>
      <c r="AA300" s="381">
        <v>0</v>
      </c>
      <c r="AB300" s="381">
        <v>0</v>
      </c>
      <c r="AC300" s="382">
        <v>9.0458333333333335E-2</v>
      </c>
      <c r="AD300" s="382">
        <v>0</v>
      </c>
      <c r="AE300" s="381" t="s">
        <v>168</v>
      </c>
    </row>
    <row r="301" spans="1:31" ht="15" customHeight="1" x14ac:dyDescent="0.25">
      <c r="A301" s="20" t="s">
        <v>156</v>
      </c>
      <c r="B301" s="20" t="s">
        <v>534</v>
      </c>
      <c r="C301" s="20" t="s">
        <v>535</v>
      </c>
      <c r="D301" s="378" t="s">
        <v>617</v>
      </c>
      <c r="E301" s="379">
        <v>45016</v>
      </c>
      <c r="F301" s="379">
        <v>46843</v>
      </c>
      <c r="G301" s="378" t="s">
        <v>215</v>
      </c>
      <c r="H301" s="20" t="s">
        <v>216</v>
      </c>
      <c r="I301" s="20" t="s">
        <v>162</v>
      </c>
      <c r="J301" s="20" t="s">
        <v>163</v>
      </c>
      <c r="K301" s="378" t="s">
        <v>217</v>
      </c>
      <c r="L301" s="20" t="s">
        <v>165</v>
      </c>
      <c r="M301" s="380">
        <v>2400</v>
      </c>
      <c r="N301" s="380"/>
      <c r="O301" s="380"/>
      <c r="P301" s="380"/>
      <c r="Q301" s="381">
        <v>388</v>
      </c>
      <c r="R301" s="381">
        <v>388</v>
      </c>
      <c r="S301" s="381">
        <v>0.13700000000000001</v>
      </c>
      <c r="T301" s="381"/>
      <c r="U301" s="381"/>
      <c r="V301" s="382">
        <v>388.137</v>
      </c>
      <c r="W301" s="382">
        <v>0</v>
      </c>
      <c r="X301" s="381">
        <v>0.16166666666666665</v>
      </c>
      <c r="Y301" s="381">
        <v>0.16166666666666665</v>
      </c>
      <c r="Z301" s="381">
        <v>5.7083333333333336E-5</v>
      </c>
      <c r="AA301" s="381">
        <v>0</v>
      </c>
      <c r="AB301" s="381">
        <v>0</v>
      </c>
      <c r="AC301" s="382">
        <v>0.16172375</v>
      </c>
      <c r="AD301" s="382">
        <v>0</v>
      </c>
      <c r="AE301" s="381" t="s">
        <v>168</v>
      </c>
    </row>
    <row r="302" spans="1:31" ht="15" customHeight="1" x14ac:dyDescent="0.25">
      <c r="A302" s="20" t="s">
        <v>156</v>
      </c>
      <c r="B302" s="20" t="s">
        <v>534</v>
      </c>
      <c r="C302" s="20" t="s">
        <v>535</v>
      </c>
      <c r="D302" s="378" t="s">
        <v>618</v>
      </c>
      <c r="E302" s="379">
        <v>45016</v>
      </c>
      <c r="F302" s="379">
        <v>46843</v>
      </c>
      <c r="G302" s="378" t="s">
        <v>215</v>
      </c>
      <c r="H302" s="20" t="s">
        <v>216</v>
      </c>
      <c r="I302" s="20" t="s">
        <v>162</v>
      </c>
      <c r="J302" s="20" t="s">
        <v>163</v>
      </c>
      <c r="K302" s="378" t="s">
        <v>217</v>
      </c>
      <c r="L302" s="20" t="s">
        <v>165</v>
      </c>
      <c r="M302" s="380">
        <v>2400</v>
      </c>
      <c r="N302" s="380"/>
      <c r="O302" s="380"/>
      <c r="P302" s="380"/>
      <c r="Q302" s="381">
        <v>298</v>
      </c>
      <c r="R302" s="381">
        <v>298</v>
      </c>
      <c r="S302" s="381">
        <v>9.4299999999999995E-2</v>
      </c>
      <c r="T302" s="381"/>
      <c r="U302" s="381"/>
      <c r="V302" s="382">
        <v>298.09429999999998</v>
      </c>
      <c r="W302" s="382">
        <v>0</v>
      </c>
      <c r="X302" s="381">
        <v>0.12416666666666666</v>
      </c>
      <c r="Y302" s="381">
        <v>0.12416666666666666</v>
      </c>
      <c r="Z302" s="381">
        <v>3.9291666666666662E-5</v>
      </c>
      <c r="AA302" s="381">
        <v>0</v>
      </c>
      <c r="AB302" s="381">
        <v>0</v>
      </c>
      <c r="AC302" s="382">
        <v>0.12420595833333332</v>
      </c>
      <c r="AD302" s="382">
        <v>0</v>
      </c>
      <c r="AE302" s="381" t="s">
        <v>168</v>
      </c>
    </row>
    <row r="303" spans="1:31" ht="15" customHeight="1" x14ac:dyDescent="0.25">
      <c r="A303" s="20" t="s">
        <v>156</v>
      </c>
      <c r="B303" s="20" t="s">
        <v>534</v>
      </c>
      <c r="C303" s="20" t="s">
        <v>535</v>
      </c>
      <c r="D303" s="378" t="s">
        <v>619</v>
      </c>
      <c r="E303" s="379">
        <v>44910</v>
      </c>
      <c r="F303" s="379">
        <v>46736</v>
      </c>
      <c r="G303" s="378" t="s">
        <v>173</v>
      </c>
      <c r="H303" s="20" t="s">
        <v>174</v>
      </c>
      <c r="I303" s="20" t="s">
        <v>162</v>
      </c>
      <c r="J303" s="20" t="s">
        <v>163</v>
      </c>
      <c r="K303" s="378" t="s">
        <v>175</v>
      </c>
      <c r="L303" s="20" t="s">
        <v>165</v>
      </c>
      <c r="M303" s="380">
        <v>2400</v>
      </c>
      <c r="N303" s="380"/>
      <c r="O303" s="380"/>
      <c r="P303" s="380"/>
      <c r="Q303" s="381">
        <v>330</v>
      </c>
      <c r="R303" s="381">
        <v>326</v>
      </c>
      <c r="S303" s="381">
        <v>4.09</v>
      </c>
      <c r="T303" s="381"/>
      <c r="U303" s="381"/>
      <c r="V303" s="382">
        <v>330.09</v>
      </c>
      <c r="W303" s="382">
        <v>0</v>
      </c>
      <c r="X303" s="381">
        <v>0.13750000000000001</v>
      </c>
      <c r="Y303" s="381">
        <v>0.13583333333333333</v>
      </c>
      <c r="Z303" s="381">
        <v>1.7041666666666665E-3</v>
      </c>
      <c r="AA303" s="381">
        <v>0</v>
      </c>
      <c r="AB303" s="381">
        <v>0</v>
      </c>
      <c r="AC303" s="382">
        <v>0.13753750000000001</v>
      </c>
      <c r="AD303" s="382">
        <v>0</v>
      </c>
      <c r="AE303" s="381" t="s">
        <v>168</v>
      </c>
    </row>
    <row r="304" spans="1:31" ht="15" customHeight="1" x14ac:dyDescent="0.25">
      <c r="A304" s="20" t="s">
        <v>156</v>
      </c>
      <c r="B304" s="20" t="s">
        <v>534</v>
      </c>
      <c r="C304" s="20" t="s">
        <v>535</v>
      </c>
      <c r="D304" s="378" t="s">
        <v>620</v>
      </c>
      <c r="E304" s="379">
        <v>43646</v>
      </c>
      <c r="F304" s="379">
        <v>45473</v>
      </c>
      <c r="G304" s="383" t="s">
        <v>285</v>
      </c>
      <c r="H304" s="20" t="s">
        <v>286</v>
      </c>
      <c r="I304" s="20" t="s">
        <v>162</v>
      </c>
      <c r="J304" s="20" t="s">
        <v>163</v>
      </c>
      <c r="K304" s="378" t="s">
        <v>287</v>
      </c>
      <c r="L304" s="20" t="s">
        <v>165</v>
      </c>
      <c r="M304" s="380">
        <v>2400</v>
      </c>
      <c r="N304" s="380"/>
      <c r="O304" s="380"/>
      <c r="P304" s="380"/>
      <c r="Q304" s="381" t="s">
        <v>621</v>
      </c>
      <c r="R304" s="381" t="s">
        <v>621</v>
      </c>
      <c r="S304" s="381"/>
      <c r="T304" s="381"/>
      <c r="U304" s="381"/>
      <c r="V304" s="382">
        <v>297</v>
      </c>
      <c r="W304" s="382">
        <v>0</v>
      </c>
      <c r="X304" s="381">
        <v>0.12375</v>
      </c>
      <c r="Y304" s="381">
        <v>0.12375</v>
      </c>
      <c r="Z304" s="381">
        <v>0</v>
      </c>
      <c r="AA304" s="381">
        <v>0</v>
      </c>
      <c r="AB304" s="381">
        <v>0</v>
      </c>
      <c r="AC304" s="382">
        <v>0.12375</v>
      </c>
      <c r="AD304" s="382">
        <v>0</v>
      </c>
      <c r="AE304" s="381" t="s">
        <v>168</v>
      </c>
    </row>
    <row r="305" spans="1:31" ht="15" customHeight="1" x14ac:dyDescent="0.25">
      <c r="A305" s="20" t="s">
        <v>156</v>
      </c>
      <c r="B305" s="20" t="s">
        <v>534</v>
      </c>
      <c r="C305" s="20" t="s">
        <v>535</v>
      </c>
      <c r="D305" s="378" t="s">
        <v>622</v>
      </c>
      <c r="E305" s="379">
        <v>43646</v>
      </c>
      <c r="F305" s="379">
        <v>45473</v>
      </c>
      <c r="G305" s="383" t="s">
        <v>285</v>
      </c>
      <c r="H305" s="20" t="s">
        <v>286</v>
      </c>
      <c r="I305" s="20" t="s">
        <v>162</v>
      </c>
      <c r="J305" s="20" t="s">
        <v>163</v>
      </c>
      <c r="K305" s="378" t="s">
        <v>287</v>
      </c>
      <c r="L305" s="20" t="s">
        <v>165</v>
      </c>
      <c r="M305" s="380">
        <v>2400</v>
      </c>
      <c r="N305" s="380"/>
      <c r="O305" s="380"/>
      <c r="P305" s="380"/>
      <c r="Q305" s="381" t="s">
        <v>623</v>
      </c>
      <c r="R305" s="381" t="s">
        <v>623</v>
      </c>
      <c r="S305" s="381"/>
      <c r="T305" s="381"/>
      <c r="U305" s="381"/>
      <c r="V305" s="382">
        <v>241</v>
      </c>
      <c r="W305" s="382">
        <v>0</v>
      </c>
      <c r="X305" s="381">
        <v>0.10041666666666667</v>
      </c>
      <c r="Y305" s="381">
        <v>0.10041666666666667</v>
      </c>
      <c r="Z305" s="381">
        <v>0</v>
      </c>
      <c r="AA305" s="381">
        <v>0</v>
      </c>
      <c r="AB305" s="381">
        <v>0</v>
      </c>
      <c r="AC305" s="382">
        <v>0.10041666666666667</v>
      </c>
      <c r="AD305" s="382">
        <v>0</v>
      </c>
      <c r="AE305" s="381" t="s">
        <v>168</v>
      </c>
    </row>
    <row r="306" spans="1:31" ht="15" customHeight="1" x14ac:dyDescent="0.25">
      <c r="A306" s="20" t="s">
        <v>156</v>
      </c>
      <c r="B306" s="20" t="s">
        <v>534</v>
      </c>
      <c r="C306" s="20" t="s">
        <v>535</v>
      </c>
      <c r="D306" s="378" t="s">
        <v>624</v>
      </c>
      <c r="E306" s="379">
        <v>43646</v>
      </c>
      <c r="F306" s="379">
        <v>45473</v>
      </c>
      <c r="G306" s="383" t="s">
        <v>285</v>
      </c>
      <c r="H306" s="20" t="s">
        <v>286</v>
      </c>
      <c r="I306" s="20" t="s">
        <v>162</v>
      </c>
      <c r="J306" s="20" t="s">
        <v>163</v>
      </c>
      <c r="K306" s="378" t="s">
        <v>287</v>
      </c>
      <c r="L306" s="20" t="s">
        <v>165</v>
      </c>
      <c r="M306" s="380">
        <v>2400</v>
      </c>
      <c r="N306" s="380"/>
      <c r="O306" s="380"/>
      <c r="P306" s="380"/>
      <c r="Q306" s="381" t="s">
        <v>625</v>
      </c>
      <c r="R306" s="381" t="s">
        <v>625</v>
      </c>
      <c r="S306" s="381"/>
      <c r="T306" s="381"/>
      <c r="U306" s="381"/>
      <c r="V306" s="382">
        <v>185</v>
      </c>
      <c r="W306" s="382">
        <v>0</v>
      </c>
      <c r="X306" s="381">
        <v>7.7083333333333337E-2</v>
      </c>
      <c r="Y306" s="381">
        <v>7.7083333333333337E-2</v>
      </c>
      <c r="Z306" s="381">
        <v>0</v>
      </c>
      <c r="AA306" s="381">
        <v>0</v>
      </c>
      <c r="AB306" s="381">
        <v>0</v>
      </c>
      <c r="AC306" s="382">
        <v>7.7083333333333337E-2</v>
      </c>
      <c r="AD306" s="382">
        <v>0</v>
      </c>
      <c r="AE306" s="381" t="s">
        <v>168</v>
      </c>
    </row>
    <row r="307" spans="1:31" ht="15" customHeight="1" x14ac:dyDescent="0.25">
      <c r="A307" s="20" t="s">
        <v>156</v>
      </c>
      <c r="B307" s="20" t="s">
        <v>534</v>
      </c>
      <c r="C307" s="20" t="s">
        <v>535</v>
      </c>
      <c r="D307" s="378" t="s">
        <v>626</v>
      </c>
      <c r="E307" s="379">
        <v>43646</v>
      </c>
      <c r="F307" s="379">
        <v>45473</v>
      </c>
      <c r="G307" s="383" t="s">
        <v>285</v>
      </c>
      <c r="H307" s="20" t="s">
        <v>286</v>
      </c>
      <c r="I307" s="20" t="s">
        <v>162</v>
      </c>
      <c r="J307" s="20" t="s">
        <v>163</v>
      </c>
      <c r="K307" s="378" t="s">
        <v>287</v>
      </c>
      <c r="L307" s="20" t="s">
        <v>165</v>
      </c>
      <c r="M307" s="380">
        <v>2400</v>
      </c>
      <c r="N307" s="380"/>
      <c r="O307" s="380"/>
      <c r="P307" s="380"/>
      <c r="Q307" s="381" t="s">
        <v>302</v>
      </c>
      <c r="R307" s="381" t="s">
        <v>302</v>
      </c>
      <c r="S307" s="381"/>
      <c r="T307" s="381"/>
      <c r="U307" s="381"/>
      <c r="V307" s="382">
        <v>154</v>
      </c>
      <c r="W307" s="382">
        <v>0</v>
      </c>
      <c r="X307" s="381">
        <v>6.4166666666666664E-2</v>
      </c>
      <c r="Y307" s="381">
        <v>6.4166666666666664E-2</v>
      </c>
      <c r="Z307" s="381">
        <v>0</v>
      </c>
      <c r="AA307" s="381">
        <v>0</v>
      </c>
      <c r="AB307" s="381">
        <v>0</v>
      </c>
      <c r="AC307" s="382">
        <v>6.4166666666666664E-2</v>
      </c>
      <c r="AD307" s="382">
        <v>0</v>
      </c>
      <c r="AE307" s="381" t="s">
        <v>168</v>
      </c>
    </row>
    <row r="308" spans="1:31" ht="15" customHeight="1" x14ac:dyDescent="0.25">
      <c r="A308" s="20" t="s">
        <v>156</v>
      </c>
      <c r="B308" s="20" t="s">
        <v>534</v>
      </c>
      <c r="C308" s="20" t="s">
        <v>535</v>
      </c>
      <c r="D308" s="378" t="s">
        <v>627</v>
      </c>
      <c r="E308" s="379">
        <v>43646</v>
      </c>
      <c r="F308" s="379">
        <v>45473</v>
      </c>
      <c r="G308" s="383" t="s">
        <v>193</v>
      </c>
      <c r="H308" s="20" t="s">
        <v>286</v>
      </c>
      <c r="I308" s="20" t="s">
        <v>162</v>
      </c>
      <c r="J308" s="20" t="s">
        <v>163</v>
      </c>
      <c r="K308" s="378" t="s">
        <v>287</v>
      </c>
      <c r="L308" s="20" t="s">
        <v>165</v>
      </c>
      <c r="M308" s="380">
        <v>2400</v>
      </c>
      <c r="N308" s="380"/>
      <c r="O308" s="380"/>
      <c r="P308" s="380"/>
      <c r="Q308" s="381" t="s">
        <v>304</v>
      </c>
      <c r="R308" s="381" t="s">
        <v>304</v>
      </c>
      <c r="S308" s="381"/>
      <c r="T308" s="381"/>
      <c r="U308" s="381"/>
      <c r="V308" s="382">
        <v>257</v>
      </c>
      <c r="W308" s="382">
        <v>0</v>
      </c>
      <c r="X308" s="381">
        <v>0.10708333333333334</v>
      </c>
      <c r="Y308" s="381">
        <v>0.10708333333333334</v>
      </c>
      <c r="Z308" s="381">
        <v>0</v>
      </c>
      <c r="AA308" s="381">
        <v>0</v>
      </c>
      <c r="AB308" s="381">
        <v>0</v>
      </c>
      <c r="AC308" s="382">
        <v>0.10708333333333334</v>
      </c>
      <c r="AD308" s="382">
        <v>0</v>
      </c>
      <c r="AE308" s="381" t="s">
        <v>168</v>
      </c>
    </row>
    <row r="309" spans="1:31" ht="15" customHeight="1" x14ac:dyDescent="0.25">
      <c r="A309" s="20" t="s">
        <v>156</v>
      </c>
      <c r="B309" s="20" t="s">
        <v>534</v>
      </c>
      <c r="C309" s="20" t="s">
        <v>535</v>
      </c>
      <c r="D309" s="378" t="s">
        <v>628</v>
      </c>
      <c r="E309" s="379">
        <v>43646</v>
      </c>
      <c r="F309" s="379">
        <v>45473</v>
      </c>
      <c r="G309" s="383" t="s">
        <v>193</v>
      </c>
      <c r="H309" s="20" t="s">
        <v>286</v>
      </c>
      <c r="I309" s="20" t="s">
        <v>162</v>
      </c>
      <c r="J309" s="20" t="s">
        <v>163</v>
      </c>
      <c r="K309" s="378" t="s">
        <v>287</v>
      </c>
      <c r="L309" s="20" t="s">
        <v>165</v>
      </c>
      <c r="M309" s="380">
        <v>2400</v>
      </c>
      <c r="N309" s="380"/>
      <c r="O309" s="380"/>
      <c r="P309" s="380"/>
      <c r="Q309" s="381" t="s">
        <v>629</v>
      </c>
      <c r="R309" s="381" t="s">
        <v>629</v>
      </c>
      <c r="S309" s="381"/>
      <c r="T309" s="381"/>
      <c r="U309" s="381"/>
      <c r="V309" s="382">
        <v>219</v>
      </c>
      <c r="W309" s="382">
        <v>0</v>
      </c>
      <c r="X309" s="381">
        <v>9.1249999999999998E-2</v>
      </c>
      <c r="Y309" s="381">
        <v>9.1249999999999998E-2</v>
      </c>
      <c r="Z309" s="381">
        <v>0</v>
      </c>
      <c r="AA309" s="381">
        <v>0</v>
      </c>
      <c r="AB309" s="381">
        <v>0</v>
      </c>
      <c r="AC309" s="382">
        <v>9.1249999999999998E-2</v>
      </c>
      <c r="AD309" s="382">
        <v>0</v>
      </c>
      <c r="AE309" s="381" t="s">
        <v>168</v>
      </c>
    </row>
    <row r="310" spans="1:31" ht="15" customHeight="1" x14ac:dyDescent="0.25">
      <c r="A310" s="20" t="s">
        <v>156</v>
      </c>
      <c r="B310" s="20" t="s">
        <v>534</v>
      </c>
      <c r="C310" s="20" t="s">
        <v>535</v>
      </c>
      <c r="D310" s="378" t="s">
        <v>630</v>
      </c>
      <c r="E310" s="379">
        <v>43646</v>
      </c>
      <c r="F310" s="379">
        <v>45473</v>
      </c>
      <c r="G310" s="383" t="s">
        <v>193</v>
      </c>
      <c r="H310" s="20" t="s">
        <v>286</v>
      </c>
      <c r="I310" s="20" t="s">
        <v>162</v>
      </c>
      <c r="J310" s="20" t="s">
        <v>163</v>
      </c>
      <c r="K310" s="378" t="s">
        <v>287</v>
      </c>
      <c r="L310" s="20" t="s">
        <v>165</v>
      </c>
      <c r="M310" s="380">
        <v>2400</v>
      </c>
      <c r="N310" s="380"/>
      <c r="O310" s="380"/>
      <c r="P310" s="380"/>
      <c r="Q310" s="381" t="s">
        <v>631</v>
      </c>
      <c r="R310" s="381" t="s">
        <v>631</v>
      </c>
      <c r="S310" s="381"/>
      <c r="T310" s="381"/>
      <c r="U310" s="381"/>
      <c r="V310" s="382">
        <v>172</v>
      </c>
      <c r="W310" s="382">
        <v>0</v>
      </c>
      <c r="X310" s="381">
        <v>7.166666666666667E-2</v>
      </c>
      <c r="Y310" s="381">
        <v>7.166666666666667E-2</v>
      </c>
      <c r="Z310" s="381">
        <v>0</v>
      </c>
      <c r="AA310" s="381">
        <v>0</v>
      </c>
      <c r="AB310" s="381">
        <v>0</v>
      </c>
      <c r="AC310" s="382">
        <v>7.166666666666667E-2</v>
      </c>
      <c r="AD310" s="382">
        <v>0</v>
      </c>
      <c r="AE310" s="381" t="s">
        <v>168</v>
      </c>
    </row>
    <row r="311" spans="1:31" ht="15" customHeight="1" x14ac:dyDescent="0.25">
      <c r="A311" s="20" t="s">
        <v>156</v>
      </c>
      <c r="B311" s="20" t="s">
        <v>534</v>
      </c>
      <c r="C311" s="20" t="s">
        <v>535</v>
      </c>
      <c r="D311" s="378" t="s">
        <v>632</v>
      </c>
      <c r="E311" s="379">
        <v>43646</v>
      </c>
      <c r="F311" s="379">
        <v>45473</v>
      </c>
      <c r="G311" s="383" t="s">
        <v>193</v>
      </c>
      <c r="H311" s="20" t="s">
        <v>286</v>
      </c>
      <c r="I311" s="20" t="s">
        <v>162</v>
      </c>
      <c r="J311" s="20" t="s">
        <v>163</v>
      </c>
      <c r="K311" s="378" t="s">
        <v>287</v>
      </c>
      <c r="L311" s="20" t="s">
        <v>165</v>
      </c>
      <c r="M311" s="380">
        <v>2400</v>
      </c>
      <c r="N311" s="380"/>
      <c r="O311" s="380"/>
      <c r="P311" s="380"/>
      <c r="Q311" s="381" t="s">
        <v>633</v>
      </c>
      <c r="R311" s="381" t="s">
        <v>633</v>
      </c>
      <c r="S311" s="381"/>
      <c r="T311" s="381"/>
      <c r="U311" s="381"/>
      <c r="V311" s="382">
        <v>167</v>
      </c>
      <c r="W311" s="382">
        <v>0</v>
      </c>
      <c r="X311" s="381">
        <v>6.958333333333333E-2</v>
      </c>
      <c r="Y311" s="381">
        <v>6.958333333333333E-2</v>
      </c>
      <c r="Z311" s="381">
        <v>0</v>
      </c>
      <c r="AA311" s="381">
        <v>0</v>
      </c>
      <c r="AB311" s="381">
        <v>0</v>
      </c>
      <c r="AC311" s="382">
        <v>6.958333333333333E-2</v>
      </c>
      <c r="AD311" s="382">
        <v>0</v>
      </c>
      <c r="AE311" s="381" t="s">
        <v>168</v>
      </c>
    </row>
    <row r="312" spans="1:31" ht="15" customHeight="1" x14ac:dyDescent="0.25">
      <c r="A312" s="20" t="s">
        <v>156</v>
      </c>
      <c r="B312" s="20" t="s">
        <v>534</v>
      </c>
      <c r="C312" s="20" t="s">
        <v>535</v>
      </c>
      <c r="D312" s="378" t="s">
        <v>634</v>
      </c>
      <c r="E312" s="379">
        <v>43646</v>
      </c>
      <c r="F312" s="379">
        <v>45473</v>
      </c>
      <c r="G312" s="383" t="s">
        <v>179</v>
      </c>
      <c r="H312" s="20" t="s">
        <v>286</v>
      </c>
      <c r="I312" s="20" t="s">
        <v>162</v>
      </c>
      <c r="J312" s="20" t="s">
        <v>163</v>
      </c>
      <c r="K312" s="378" t="s">
        <v>287</v>
      </c>
      <c r="L312" s="20" t="s">
        <v>165</v>
      </c>
      <c r="M312" s="380">
        <v>2400</v>
      </c>
      <c r="N312" s="380"/>
      <c r="O312" s="380"/>
      <c r="P312" s="380"/>
      <c r="Q312" s="381" t="s">
        <v>635</v>
      </c>
      <c r="R312" s="381" t="s">
        <v>635</v>
      </c>
      <c r="S312" s="381"/>
      <c r="T312" s="381"/>
      <c r="U312" s="381"/>
      <c r="V312" s="382">
        <v>286</v>
      </c>
      <c r="W312" s="382">
        <v>0</v>
      </c>
      <c r="X312" s="381">
        <v>0.11916666666666667</v>
      </c>
      <c r="Y312" s="381">
        <v>0.11916666666666667</v>
      </c>
      <c r="Z312" s="381">
        <v>0</v>
      </c>
      <c r="AA312" s="381">
        <v>0</v>
      </c>
      <c r="AB312" s="381">
        <v>0</v>
      </c>
      <c r="AC312" s="382">
        <v>0.11916666666666667</v>
      </c>
      <c r="AD312" s="382">
        <v>0</v>
      </c>
      <c r="AE312" s="381" t="s">
        <v>168</v>
      </c>
    </row>
    <row r="313" spans="1:31" ht="15" customHeight="1" x14ac:dyDescent="0.25">
      <c r="A313" s="20" t="s">
        <v>156</v>
      </c>
      <c r="B313" s="20" t="s">
        <v>534</v>
      </c>
      <c r="C313" s="20" t="s">
        <v>535</v>
      </c>
      <c r="D313" s="378" t="s">
        <v>636</v>
      </c>
      <c r="E313" s="379">
        <v>43646</v>
      </c>
      <c r="F313" s="379">
        <v>45473</v>
      </c>
      <c r="G313" s="383" t="s">
        <v>179</v>
      </c>
      <c r="H313" s="20" t="s">
        <v>286</v>
      </c>
      <c r="I313" s="20" t="s">
        <v>162</v>
      </c>
      <c r="J313" s="20" t="s">
        <v>163</v>
      </c>
      <c r="K313" s="378" t="s">
        <v>287</v>
      </c>
      <c r="L313" s="20" t="s">
        <v>165</v>
      </c>
      <c r="M313" s="380">
        <v>2400</v>
      </c>
      <c r="N313" s="380"/>
      <c r="O313" s="380"/>
      <c r="P313" s="380"/>
      <c r="Q313" s="381" t="s">
        <v>637</v>
      </c>
      <c r="R313" s="381" t="s">
        <v>637</v>
      </c>
      <c r="S313" s="381"/>
      <c r="T313" s="381"/>
      <c r="U313" s="381"/>
      <c r="V313" s="382">
        <v>240</v>
      </c>
      <c r="W313" s="382">
        <v>0</v>
      </c>
      <c r="X313" s="381">
        <v>0.1</v>
      </c>
      <c r="Y313" s="381">
        <v>0.1</v>
      </c>
      <c r="Z313" s="381">
        <v>0</v>
      </c>
      <c r="AA313" s="381">
        <v>0</v>
      </c>
      <c r="AB313" s="381">
        <v>0</v>
      </c>
      <c r="AC313" s="382">
        <v>0.1</v>
      </c>
      <c r="AD313" s="382">
        <v>0</v>
      </c>
      <c r="AE313" s="381" t="s">
        <v>168</v>
      </c>
    </row>
    <row r="314" spans="1:31" ht="15" customHeight="1" x14ac:dyDescent="0.25">
      <c r="A314" s="20" t="s">
        <v>156</v>
      </c>
      <c r="B314" s="20" t="s">
        <v>534</v>
      </c>
      <c r="C314" s="20" t="s">
        <v>535</v>
      </c>
      <c r="D314" s="378" t="s">
        <v>638</v>
      </c>
      <c r="E314" s="379">
        <v>43646</v>
      </c>
      <c r="F314" s="379">
        <v>45473</v>
      </c>
      <c r="G314" s="383" t="s">
        <v>179</v>
      </c>
      <c r="H314" s="20" t="s">
        <v>286</v>
      </c>
      <c r="I314" s="20" t="s">
        <v>162</v>
      </c>
      <c r="J314" s="20" t="s">
        <v>163</v>
      </c>
      <c r="K314" s="378" t="s">
        <v>287</v>
      </c>
      <c r="L314" s="20" t="s">
        <v>165</v>
      </c>
      <c r="M314" s="380">
        <v>2400</v>
      </c>
      <c r="N314" s="380"/>
      <c r="O314" s="380"/>
      <c r="P314" s="380"/>
      <c r="Q314" s="381" t="s">
        <v>639</v>
      </c>
      <c r="R314" s="381" t="s">
        <v>639</v>
      </c>
      <c r="S314" s="381"/>
      <c r="T314" s="381"/>
      <c r="U314" s="381"/>
      <c r="V314" s="382">
        <v>215</v>
      </c>
      <c r="W314" s="382">
        <v>0</v>
      </c>
      <c r="X314" s="381">
        <v>8.9583333333333334E-2</v>
      </c>
      <c r="Y314" s="381">
        <v>8.9583333333333334E-2</v>
      </c>
      <c r="Z314" s="381">
        <v>0</v>
      </c>
      <c r="AA314" s="381">
        <v>0</v>
      </c>
      <c r="AB314" s="381">
        <v>0</v>
      </c>
      <c r="AC314" s="382">
        <v>8.9583333333333334E-2</v>
      </c>
      <c r="AD314" s="382">
        <v>0</v>
      </c>
      <c r="AE314" s="381" t="s">
        <v>168</v>
      </c>
    </row>
    <row r="315" spans="1:31" ht="15" customHeight="1" x14ac:dyDescent="0.25">
      <c r="A315" s="20" t="s">
        <v>156</v>
      </c>
      <c r="B315" s="20" t="s">
        <v>534</v>
      </c>
      <c r="C315" s="20" t="s">
        <v>535</v>
      </c>
      <c r="D315" s="378" t="s">
        <v>640</v>
      </c>
      <c r="E315" s="379">
        <v>43646</v>
      </c>
      <c r="F315" s="379">
        <v>45473</v>
      </c>
      <c r="G315" s="383" t="s">
        <v>160</v>
      </c>
      <c r="H315" s="20" t="s">
        <v>286</v>
      </c>
      <c r="I315" s="20" t="s">
        <v>162</v>
      </c>
      <c r="J315" s="20" t="s">
        <v>163</v>
      </c>
      <c r="K315" s="378" t="s">
        <v>287</v>
      </c>
      <c r="L315" s="20" t="s">
        <v>165</v>
      </c>
      <c r="M315" s="380">
        <v>2400</v>
      </c>
      <c r="N315" s="380"/>
      <c r="O315" s="380"/>
      <c r="P315" s="380"/>
      <c r="Q315" s="381" t="s">
        <v>641</v>
      </c>
      <c r="R315" s="381" t="s">
        <v>641</v>
      </c>
      <c r="S315" s="381"/>
      <c r="T315" s="381"/>
      <c r="U315" s="381"/>
      <c r="V315" s="382">
        <v>303</v>
      </c>
      <c r="W315" s="382">
        <v>0</v>
      </c>
      <c r="X315" s="381">
        <v>0.12625</v>
      </c>
      <c r="Y315" s="381">
        <v>0.12625</v>
      </c>
      <c r="Z315" s="381">
        <v>0</v>
      </c>
      <c r="AA315" s="381">
        <v>0</v>
      </c>
      <c r="AB315" s="381">
        <v>0</v>
      </c>
      <c r="AC315" s="382">
        <v>0.12625</v>
      </c>
      <c r="AD315" s="382">
        <v>0</v>
      </c>
      <c r="AE315" s="381" t="s">
        <v>168</v>
      </c>
    </row>
    <row r="316" spans="1:31" ht="15" customHeight="1" x14ac:dyDescent="0.25">
      <c r="A316" s="20" t="s">
        <v>156</v>
      </c>
      <c r="B316" s="20" t="s">
        <v>534</v>
      </c>
      <c r="C316" s="20" t="s">
        <v>535</v>
      </c>
      <c r="D316" s="378" t="s">
        <v>311</v>
      </c>
      <c r="E316" s="379">
        <v>43646</v>
      </c>
      <c r="F316" s="379">
        <v>45473</v>
      </c>
      <c r="G316" s="383" t="s">
        <v>160</v>
      </c>
      <c r="H316" s="20" t="s">
        <v>286</v>
      </c>
      <c r="I316" s="20" t="s">
        <v>162</v>
      </c>
      <c r="J316" s="20" t="s">
        <v>163</v>
      </c>
      <c r="K316" s="378" t="s">
        <v>287</v>
      </c>
      <c r="L316" s="20" t="s">
        <v>165</v>
      </c>
      <c r="M316" s="380">
        <v>2400</v>
      </c>
      <c r="N316" s="380"/>
      <c r="O316" s="380"/>
      <c r="P316" s="380"/>
      <c r="Q316" s="381" t="s">
        <v>642</v>
      </c>
      <c r="R316" s="381" t="s">
        <v>642</v>
      </c>
      <c r="S316" s="381"/>
      <c r="T316" s="381"/>
      <c r="U316" s="381"/>
      <c r="V316" s="382">
        <v>227</v>
      </c>
      <c r="W316" s="382">
        <v>0</v>
      </c>
      <c r="X316" s="381">
        <v>9.4583333333333339E-2</v>
      </c>
      <c r="Y316" s="381">
        <v>9.4583333333333339E-2</v>
      </c>
      <c r="Z316" s="381">
        <v>0</v>
      </c>
      <c r="AA316" s="381">
        <v>0</v>
      </c>
      <c r="AB316" s="381">
        <v>0</v>
      </c>
      <c r="AC316" s="382">
        <v>9.4583333333333339E-2</v>
      </c>
      <c r="AD316" s="382">
        <v>0</v>
      </c>
      <c r="AE316" s="381" t="s">
        <v>168</v>
      </c>
    </row>
    <row r="317" spans="1:31" ht="15" customHeight="1" x14ac:dyDescent="0.25">
      <c r="A317" s="20" t="s">
        <v>156</v>
      </c>
      <c r="B317" s="20" t="s">
        <v>534</v>
      </c>
      <c r="C317" s="20" t="s">
        <v>535</v>
      </c>
      <c r="D317" s="378" t="s">
        <v>313</v>
      </c>
      <c r="E317" s="379">
        <v>43646</v>
      </c>
      <c r="F317" s="379">
        <v>45473</v>
      </c>
      <c r="G317" s="383" t="s">
        <v>160</v>
      </c>
      <c r="H317" s="20" t="s">
        <v>286</v>
      </c>
      <c r="I317" s="20" t="s">
        <v>162</v>
      </c>
      <c r="J317" s="20" t="s">
        <v>163</v>
      </c>
      <c r="K317" s="378" t="s">
        <v>287</v>
      </c>
      <c r="L317" s="20" t="s">
        <v>165</v>
      </c>
      <c r="M317" s="380">
        <v>2400</v>
      </c>
      <c r="N317" s="380"/>
      <c r="O317" s="380"/>
      <c r="P317" s="380"/>
      <c r="Q317" s="381" t="s">
        <v>290</v>
      </c>
      <c r="R317" s="381" t="s">
        <v>290</v>
      </c>
      <c r="S317" s="381"/>
      <c r="T317" s="381"/>
      <c r="U317" s="381"/>
      <c r="V317" s="382">
        <v>220</v>
      </c>
      <c r="W317" s="382">
        <v>0</v>
      </c>
      <c r="X317" s="381">
        <v>9.166666666666666E-2</v>
      </c>
      <c r="Y317" s="381">
        <v>9.166666666666666E-2</v>
      </c>
      <c r="Z317" s="381">
        <v>0</v>
      </c>
      <c r="AA317" s="381">
        <v>0</v>
      </c>
      <c r="AB317" s="381">
        <v>0</v>
      </c>
      <c r="AC317" s="382">
        <v>9.166666666666666E-2</v>
      </c>
      <c r="AD317" s="382">
        <v>0</v>
      </c>
      <c r="AE317" s="381" t="s">
        <v>168</v>
      </c>
    </row>
    <row r="318" spans="1:31" ht="15" customHeight="1" x14ac:dyDescent="0.25">
      <c r="A318" s="20" t="s">
        <v>156</v>
      </c>
      <c r="B318" s="20" t="s">
        <v>534</v>
      </c>
      <c r="C318" s="20" t="s">
        <v>535</v>
      </c>
      <c r="D318" s="378" t="s">
        <v>643</v>
      </c>
      <c r="E318" s="379">
        <v>43646</v>
      </c>
      <c r="F318" s="379">
        <v>45473</v>
      </c>
      <c r="G318" s="383" t="s">
        <v>316</v>
      </c>
      <c r="H318" s="20" t="s">
        <v>286</v>
      </c>
      <c r="I318" s="20" t="s">
        <v>162</v>
      </c>
      <c r="J318" s="20" t="s">
        <v>163</v>
      </c>
      <c r="K318" s="378" t="s">
        <v>287</v>
      </c>
      <c r="L318" s="20" t="s">
        <v>165</v>
      </c>
      <c r="M318" s="380">
        <v>2400</v>
      </c>
      <c r="N318" s="380"/>
      <c r="O318" s="380"/>
      <c r="P318" s="380"/>
      <c r="Q318" s="381" t="s">
        <v>644</v>
      </c>
      <c r="R318" s="381" t="s">
        <v>644</v>
      </c>
      <c r="S318" s="381"/>
      <c r="T318" s="381"/>
      <c r="U318" s="381"/>
      <c r="V318" s="382">
        <v>280</v>
      </c>
      <c r="W318" s="382">
        <v>0</v>
      </c>
      <c r="X318" s="381">
        <v>0.11666666666666667</v>
      </c>
      <c r="Y318" s="381">
        <v>0.11666666666666667</v>
      </c>
      <c r="Z318" s="381">
        <v>0</v>
      </c>
      <c r="AA318" s="381">
        <v>0</v>
      </c>
      <c r="AB318" s="381">
        <v>0</v>
      </c>
      <c r="AC318" s="382">
        <v>0.11666666666666667</v>
      </c>
      <c r="AD318" s="382">
        <v>0</v>
      </c>
      <c r="AE318" s="381" t="s">
        <v>168</v>
      </c>
    </row>
    <row r="319" spans="1:31" ht="15" customHeight="1" x14ac:dyDescent="0.25">
      <c r="A319" s="20" t="s">
        <v>156</v>
      </c>
      <c r="B319" s="20" t="s">
        <v>534</v>
      </c>
      <c r="C319" s="20" t="s">
        <v>535</v>
      </c>
      <c r="D319" s="378" t="s">
        <v>317</v>
      </c>
      <c r="E319" s="379">
        <v>43646</v>
      </c>
      <c r="F319" s="379">
        <v>45473</v>
      </c>
      <c r="G319" s="383" t="s">
        <v>316</v>
      </c>
      <c r="H319" s="20" t="s">
        <v>286</v>
      </c>
      <c r="I319" s="20" t="s">
        <v>162</v>
      </c>
      <c r="J319" s="20" t="s">
        <v>163</v>
      </c>
      <c r="K319" s="378" t="s">
        <v>287</v>
      </c>
      <c r="L319" s="20" t="s">
        <v>165</v>
      </c>
      <c r="M319" s="380">
        <v>2400</v>
      </c>
      <c r="N319" s="380"/>
      <c r="O319" s="380"/>
      <c r="P319" s="380"/>
      <c r="Q319" s="381" t="s">
        <v>306</v>
      </c>
      <c r="R319" s="381" t="s">
        <v>306</v>
      </c>
      <c r="S319" s="381"/>
      <c r="T319" s="381"/>
      <c r="U319" s="381"/>
      <c r="V319" s="382">
        <v>221</v>
      </c>
      <c r="W319" s="382">
        <v>0</v>
      </c>
      <c r="X319" s="381">
        <v>9.2083333333333336E-2</v>
      </c>
      <c r="Y319" s="381">
        <v>9.2083333333333336E-2</v>
      </c>
      <c r="Z319" s="381">
        <v>0</v>
      </c>
      <c r="AA319" s="381">
        <v>0</v>
      </c>
      <c r="AB319" s="381">
        <v>0</v>
      </c>
      <c r="AC319" s="382">
        <v>9.2083333333333336E-2</v>
      </c>
      <c r="AD319" s="382">
        <v>0</v>
      </c>
      <c r="AE319" s="381" t="s">
        <v>168</v>
      </c>
    </row>
    <row r="320" spans="1:31" ht="15" customHeight="1" x14ac:dyDescent="0.25">
      <c r="A320" s="20" t="s">
        <v>156</v>
      </c>
      <c r="B320" s="20" t="s">
        <v>534</v>
      </c>
      <c r="C320" s="20" t="s">
        <v>535</v>
      </c>
      <c r="D320" s="378" t="s">
        <v>645</v>
      </c>
      <c r="E320" s="379">
        <v>44490</v>
      </c>
      <c r="F320" s="379">
        <v>46316</v>
      </c>
      <c r="G320" s="378" t="s">
        <v>320</v>
      </c>
      <c r="H320" s="20" t="s">
        <v>321</v>
      </c>
      <c r="I320" s="20" t="s">
        <v>162</v>
      </c>
      <c r="J320" s="20" t="s">
        <v>163</v>
      </c>
      <c r="K320" s="378" t="s">
        <v>322</v>
      </c>
      <c r="L320" s="20" t="s">
        <v>165</v>
      </c>
      <c r="M320" s="380">
        <v>2400</v>
      </c>
      <c r="N320" s="380"/>
      <c r="O320" s="380"/>
      <c r="P320" s="380"/>
      <c r="Q320" s="381" t="s">
        <v>646</v>
      </c>
      <c r="R320" s="381"/>
      <c r="S320" s="381"/>
      <c r="T320" s="381"/>
      <c r="U320" s="381"/>
      <c r="V320" s="382">
        <v>184.71</v>
      </c>
      <c r="W320" s="382">
        <v>0</v>
      </c>
      <c r="X320" s="381">
        <v>7.6962500000000003E-2</v>
      </c>
      <c r="Y320" s="381">
        <v>0</v>
      </c>
      <c r="Z320" s="381">
        <v>0</v>
      </c>
      <c r="AA320" s="381">
        <v>0</v>
      </c>
      <c r="AB320" s="381">
        <v>0</v>
      </c>
      <c r="AC320" s="382">
        <v>7.6962500000000003E-2</v>
      </c>
      <c r="AD320" s="382">
        <v>0</v>
      </c>
      <c r="AE320" s="381" t="s">
        <v>168</v>
      </c>
    </row>
    <row r="321" spans="1:31" ht="15" customHeight="1" x14ac:dyDescent="0.25">
      <c r="A321" s="20" t="s">
        <v>156</v>
      </c>
      <c r="B321" s="20" t="s">
        <v>534</v>
      </c>
      <c r="C321" s="20" t="s">
        <v>535</v>
      </c>
      <c r="D321" s="378" t="s">
        <v>647</v>
      </c>
      <c r="E321" s="379">
        <v>44490</v>
      </c>
      <c r="F321" s="379">
        <v>46316</v>
      </c>
      <c r="G321" s="378" t="s">
        <v>320</v>
      </c>
      <c r="H321" s="20" t="s">
        <v>321</v>
      </c>
      <c r="I321" s="20" t="s">
        <v>162</v>
      </c>
      <c r="J321" s="20" t="s">
        <v>163</v>
      </c>
      <c r="K321" s="378" t="s">
        <v>322</v>
      </c>
      <c r="L321" s="20" t="s">
        <v>165</v>
      </c>
      <c r="M321" s="380">
        <v>2400</v>
      </c>
      <c r="N321" s="380"/>
      <c r="O321" s="380"/>
      <c r="P321" s="380"/>
      <c r="Q321" s="381" t="s">
        <v>648</v>
      </c>
      <c r="R321" s="381"/>
      <c r="S321" s="381"/>
      <c r="T321" s="381"/>
      <c r="U321" s="381"/>
      <c r="V321" s="382">
        <v>186.34</v>
      </c>
      <c r="W321" s="382">
        <v>0</v>
      </c>
      <c r="X321" s="381">
        <v>7.7641666666666664E-2</v>
      </c>
      <c r="Y321" s="381">
        <v>0</v>
      </c>
      <c r="Z321" s="381">
        <v>0</v>
      </c>
      <c r="AA321" s="381">
        <v>0</v>
      </c>
      <c r="AB321" s="381">
        <v>0</v>
      </c>
      <c r="AC321" s="382">
        <v>7.7641666666666664E-2</v>
      </c>
      <c r="AD321" s="382">
        <v>0</v>
      </c>
      <c r="AE321" s="381" t="s">
        <v>168</v>
      </c>
    </row>
    <row r="322" spans="1:31" ht="15" customHeight="1" x14ac:dyDescent="0.25">
      <c r="A322" s="20" t="s">
        <v>156</v>
      </c>
      <c r="B322" s="20" t="s">
        <v>534</v>
      </c>
      <c r="C322" s="20" t="s">
        <v>535</v>
      </c>
      <c r="D322" s="378" t="s">
        <v>649</v>
      </c>
      <c r="E322" s="379">
        <v>44490</v>
      </c>
      <c r="F322" s="379">
        <v>46316</v>
      </c>
      <c r="G322" s="378" t="s">
        <v>320</v>
      </c>
      <c r="H322" s="20" t="s">
        <v>321</v>
      </c>
      <c r="I322" s="20" t="s">
        <v>162</v>
      </c>
      <c r="J322" s="20" t="s">
        <v>163</v>
      </c>
      <c r="K322" s="378" t="s">
        <v>322</v>
      </c>
      <c r="L322" s="20" t="s">
        <v>165</v>
      </c>
      <c r="M322" s="380">
        <v>2400</v>
      </c>
      <c r="N322" s="380"/>
      <c r="O322" s="380"/>
      <c r="P322" s="380"/>
      <c r="Q322" s="381" t="s">
        <v>650</v>
      </c>
      <c r="R322" s="381"/>
      <c r="S322" s="381"/>
      <c r="T322" s="381"/>
      <c r="U322" s="381"/>
      <c r="V322" s="382">
        <v>184.94</v>
      </c>
      <c r="W322" s="382">
        <v>0</v>
      </c>
      <c r="X322" s="381">
        <v>7.7058333333333326E-2</v>
      </c>
      <c r="Y322" s="381">
        <v>0</v>
      </c>
      <c r="Z322" s="381">
        <v>0</v>
      </c>
      <c r="AA322" s="381">
        <v>0</v>
      </c>
      <c r="AB322" s="381">
        <v>0</v>
      </c>
      <c r="AC322" s="382">
        <v>7.7058333333333326E-2</v>
      </c>
      <c r="AD322" s="382">
        <v>0</v>
      </c>
      <c r="AE322" s="381" t="s">
        <v>168</v>
      </c>
    </row>
    <row r="323" spans="1:31" ht="15" customHeight="1" x14ac:dyDescent="0.25">
      <c r="A323" s="20" t="s">
        <v>156</v>
      </c>
      <c r="B323" s="20" t="s">
        <v>534</v>
      </c>
      <c r="C323" s="20" t="s">
        <v>535</v>
      </c>
      <c r="D323" s="378" t="s">
        <v>651</v>
      </c>
      <c r="E323" s="379">
        <v>44490</v>
      </c>
      <c r="F323" s="379">
        <v>46316</v>
      </c>
      <c r="G323" s="378" t="s">
        <v>320</v>
      </c>
      <c r="H323" s="20" t="s">
        <v>321</v>
      </c>
      <c r="I323" s="20" t="s">
        <v>162</v>
      </c>
      <c r="J323" s="20" t="s">
        <v>163</v>
      </c>
      <c r="K323" s="378" t="s">
        <v>322</v>
      </c>
      <c r="L323" s="20" t="s">
        <v>165</v>
      </c>
      <c r="M323" s="380">
        <v>2400</v>
      </c>
      <c r="N323" s="380"/>
      <c r="O323" s="380"/>
      <c r="P323" s="380"/>
      <c r="Q323" s="381" t="s">
        <v>652</v>
      </c>
      <c r="R323" s="381"/>
      <c r="S323" s="381"/>
      <c r="T323" s="381"/>
      <c r="U323" s="381"/>
      <c r="V323" s="382">
        <v>186.54</v>
      </c>
      <c r="W323" s="382">
        <v>0</v>
      </c>
      <c r="X323" s="381">
        <v>7.7725000000000002E-2</v>
      </c>
      <c r="Y323" s="381">
        <v>0</v>
      </c>
      <c r="Z323" s="381">
        <v>0</v>
      </c>
      <c r="AA323" s="381">
        <v>0</v>
      </c>
      <c r="AB323" s="381">
        <v>0</v>
      </c>
      <c r="AC323" s="382">
        <v>7.7725000000000002E-2</v>
      </c>
      <c r="AD323" s="382">
        <v>0</v>
      </c>
      <c r="AE323" s="381" t="s">
        <v>168</v>
      </c>
    </row>
    <row r="324" spans="1:31" ht="15" customHeight="1" x14ac:dyDescent="0.25">
      <c r="A324" s="20" t="s">
        <v>156</v>
      </c>
      <c r="B324" s="20" t="s">
        <v>534</v>
      </c>
      <c r="C324" s="20" t="s">
        <v>535</v>
      </c>
      <c r="D324" s="378" t="s">
        <v>653</v>
      </c>
      <c r="E324" s="379">
        <v>44412</v>
      </c>
      <c r="F324" s="379">
        <v>46238</v>
      </c>
      <c r="G324" s="378" t="s">
        <v>179</v>
      </c>
      <c r="H324" s="20" t="s">
        <v>332</v>
      </c>
      <c r="I324" s="20" t="s">
        <v>162</v>
      </c>
      <c r="J324" s="20" t="s">
        <v>163</v>
      </c>
      <c r="K324" s="378" t="s">
        <v>333</v>
      </c>
      <c r="L324" s="20" t="s">
        <v>165</v>
      </c>
      <c r="M324" s="380">
        <v>2400</v>
      </c>
      <c r="N324" s="380"/>
      <c r="O324" s="380"/>
      <c r="P324" s="380"/>
      <c r="Q324" s="381" t="s">
        <v>654</v>
      </c>
      <c r="R324" s="381"/>
      <c r="S324" s="381"/>
      <c r="T324" s="381"/>
      <c r="U324" s="381"/>
      <c r="V324" s="382">
        <v>252.5</v>
      </c>
      <c r="W324" s="382">
        <v>0</v>
      </c>
      <c r="X324" s="381">
        <v>0.10520833333333333</v>
      </c>
      <c r="Y324" s="381">
        <v>0</v>
      </c>
      <c r="Z324" s="381">
        <v>0</v>
      </c>
      <c r="AA324" s="381">
        <v>0</v>
      </c>
      <c r="AB324" s="381">
        <v>0</v>
      </c>
      <c r="AC324" s="382">
        <v>0.10520833333333333</v>
      </c>
      <c r="AD324" s="382">
        <v>0</v>
      </c>
      <c r="AE324" s="381" t="s">
        <v>168</v>
      </c>
    </row>
    <row r="325" spans="1:31" ht="15" customHeight="1" x14ac:dyDescent="0.25">
      <c r="A325" s="20" t="s">
        <v>156</v>
      </c>
      <c r="B325" s="20" t="s">
        <v>534</v>
      </c>
      <c r="C325" s="20" t="s">
        <v>535</v>
      </c>
      <c r="D325" s="378" t="s">
        <v>655</v>
      </c>
      <c r="E325" s="379">
        <v>44412</v>
      </c>
      <c r="F325" s="379">
        <v>46238</v>
      </c>
      <c r="G325" s="378" t="s">
        <v>179</v>
      </c>
      <c r="H325" s="20" t="s">
        <v>332</v>
      </c>
      <c r="I325" s="20" t="s">
        <v>162</v>
      </c>
      <c r="J325" s="20" t="s">
        <v>163</v>
      </c>
      <c r="K325" s="378" t="s">
        <v>333</v>
      </c>
      <c r="L325" s="20" t="s">
        <v>165</v>
      </c>
      <c r="M325" s="380">
        <v>2400</v>
      </c>
      <c r="N325" s="380"/>
      <c r="O325" s="380"/>
      <c r="P325" s="380"/>
      <c r="Q325" s="381" t="s">
        <v>656</v>
      </c>
      <c r="R325" s="381"/>
      <c r="S325" s="381"/>
      <c r="T325" s="381"/>
      <c r="U325" s="381"/>
      <c r="V325" s="382">
        <v>244.19</v>
      </c>
      <c r="W325" s="382">
        <v>0</v>
      </c>
      <c r="X325" s="381">
        <v>0.10174583333333333</v>
      </c>
      <c r="Y325" s="381">
        <v>0</v>
      </c>
      <c r="Z325" s="381">
        <v>0</v>
      </c>
      <c r="AA325" s="381">
        <v>0</v>
      </c>
      <c r="AB325" s="381">
        <v>0</v>
      </c>
      <c r="AC325" s="382">
        <v>0.10174583333333333</v>
      </c>
      <c r="AD325" s="382">
        <v>0</v>
      </c>
      <c r="AE325" s="381" t="s">
        <v>168</v>
      </c>
    </row>
    <row r="326" spans="1:31" ht="15" customHeight="1" x14ac:dyDescent="0.25">
      <c r="A326" s="20" t="s">
        <v>156</v>
      </c>
      <c r="B326" s="20" t="s">
        <v>534</v>
      </c>
      <c r="C326" s="20" t="s">
        <v>535</v>
      </c>
      <c r="D326" s="378" t="s">
        <v>657</v>
      </c>
      <c r="E326" s="379">
        <v>44412</v>
      </c>
      <c r="F326" s="379">
        <v>46238</v>
      </c>
      <c r="G326" s="378" t="s">
        <v>179</v>
      </c>
      <c r="H326" s="20" t="s">
        <v>332</v>
      </c>
      <c r="I326" s="20" t="s">
        <v>162</v>
      </c>
      <c r="J326" s="20" t="s">
        <v>163</v>
      </c>
      <c r="K326" s="378" t="s">
        <v>333</v>
      </c>
      <c r="L326" s="20" t="s">
        <v>165</v>
      </c>
      <c r="M326" s="380">
        <v>2400</v>
      </c>
      <c r="N326" s="380"/>
      <c r="O326" s="380"/>
      <c r="P326" s="380"/>
      <c r="Q326" s="381" t="s">
        <v>658</v>
      </c>
      <c r="R326" s="381"/>
      <c r="S326" s="381"/>
      <c r="T326" s="381"/>
      <c r="U326" s="381"/>
      <c r="V326" s="382">
        <v>350.41</v>
      </c>
      <c r="W326" s="382">
        <v>0</v>
      </c>
      <c r="X326" s="381">
        <v>0.14600416666666668</v>
      </c>
      <c r="Y326" s="381">
        <v>0</v>
      </c>
      <c r="Z326" s="381">
        <v>0</v>
      </c>
      <c r="AA326" s="381">
        <v>0</v>
      </c>
      <c r="AB326" s="381">
        <v>0</v>
      </c>
      <c r="AC326" s="382">
        <v>0.14600416666666668</v>
      </c>
      <c r="AD326" s="382">
        <v>0</v>
      </c>
      <c r="AE326" s="381" t="s">
        <v>168</v>
      </c>
    </row>
    <row r="327" spans="1:31" ht="15" customHeight="1" x14ac:dyDescent="0.25">
      <c r="A327" s="20" t="s">
        <v>156</v>
      </c>
      <c r="B327" s="20" t="s">
        <v>534</v>
      </c>
      <c r="C327" s="20" t="s">
        <v>535</v>
      </c>
      <c r="D327" s="378" t="s">
        <v>659</v>
      </c>
      <c r="E327" s="379">
        <v>44412</v>
      </c>
      <c r="F327" s="379">
        <v>46238</v>
      </c>
      <c r="G327" s="378" t="s">
        <v>179</v>
      </c>
      <c r="H327" s="20" t="s">
        <v>332</v>
      </c>
      <c r="I327" s="20" t="s">
        <v>162</v>
      </c>
      <c r="J327" s="20" t="s">
        <v>163</v>
      </c>
      <c r="K327" s="378" t="s">
        <v>333</v>
      </c>
      <c r="L327" s="20" t="s">
        <v>165</v>
      </c>
      <c r="M327" s="380">
        <v>2400</v>
      </c>
      <c r="N327" s="380"/>
      <c r="O327" s="380"/>
      <c r="P327" s="380"/>
      <c r="Q327" s="381" t="s">
        <v>660</v>
      </c>
      <c r="R327" s="381"/>
      <c r="S327" s="381"/>
      <c r="T327" s="381"/>
      <c r="U327" s="381"/>
      <c r="V327" s="382">
        <v>331.82</v>
      </c>
      <c r="W327" s="382">
        <v>0</v>
      </c>
      <c r="X327" s="381">
        <v>0.13825833333333334</v>
      </c>
      <c r="Y327" s="381">
        <v>0</v>
      </c>
      <c r="Z327" s="381">
        <v>0</v>
      </c>
      <c r="AA327" s="381">
        <v>0</v>
      </c>
      <c r="AB327" s="381">
        <v>0</v>
      </c>
      <c r="AC327" s="382">
        <v>0.13825833333333334</v>
      </c>
      <c r="AD327" s="382">
        <v>0</v>
      </c>
      <c r="AE327" s="381" t="s">
        <v>168</v>
      </c>
    </row>
    <row r="328" spans="1:31" ht="15" customHeight="1" x14ac:dyDescent="0.25">
      <c r="A328" s="20" t="s">
        <v>156</v>
      </c>
      <c r="B328" s="20" t="s">
        <v>534</v>
      </c>
      <c r="C328" s="20" t="s">
        <v>535</v>
      </c>
      <c r="D328" s="378" t="s">
        <v>661</v>
      </c>
      <c r="E328" s="379">
        <v>44412</v>
      </c>
      <c r="F328" s="379">
        <v>46238</v>
      </c>
      <c r="G328" s="378" t="s">
        <v>179</v>
      </c>
      <c r="H328" s="20" t="s">
        <v>332</v>
      </c>
      <c r="I328" s="20" t="s">
        <v>162</v>
      </c>
      <c r="J328" s="20" t="s">
        <v>163</v>
      </c>
      <c r="K328" s="378" t="s">
        <v>333</v>
      </c>
      <c r="L328" s="20" t="s">
        <v>165</v>
      </c>
      <c r="M328" s="380">
        <v>2400</v>
      </c>
      <c r="N328" s="380"/>
      <c r="O328" s="380"/>
      <c r="P328" s="380"/>
      <c r="Q328" s="381" t="s">
        <v>662</v>
      </c>
      <c r="R328" s="380"/>
      <c r="S328" s="381"/>
      <c r="T328" s="381"/>
      <c r="U328" s="381"/>
      <c r="V328" s="382">
        <v>185.25</v>
      </c>
      <c r="W328" s="382">
        <v>0</v>
      </c>
      <c r="X328" s="381">
        <v>7.7187500000000006E-2</v>
      </c>
      <c r="Y328" s="381">
        <v>0</v>
      </c>
      <c r="Z328" s="381">
        <v>0</v>
      </c>
      <c r="AA328" s="381">
        <v>0</v>
      </c>
      <c r="AB328" s="381">
        <v>0</v>
      </c>
      <c r="AC328" s="382">
        <v>7.7187500000000006E-2</v>
      </c>
      <c r="AD328" s="382">
        <v>0</v>
      </c>
      <c r="AE328" s="381" t="s">
        <v>168</v>
      </c>
    </row>
    <row r="329" spans="1:31" ht="15" customHeight="1" x14ac:dyDescent="0.25">
      <c r="A329" s="20" t="s">
        <v>156</v>
      </c>
      <c r="B329" s="20" t="s">
        <v>534</v>
      </c>
      <c r="C329" s="20" t="s">
        <v>535</v>
      </c>
      <c r="D329" s="378" t="s">
        <v>663</v>
      </c>
      <c r="E329" s="379">
        <v>44539</v>
      </c>
      <c r="F329" s="379">
        <v>46365</v>
      </c>
      <c r="G329" s="378" t="s">
        <v>338</v>
      </c>
      <c r="H329" s="20" t="s">
        <v>339</v>
      </c>
      <c r="I329" s="20" t="s">
        <v>162</v>
      </c>
      <c r="J329" s="20" t="s">
        <v>163</v>
      </c>
      <c r="K329" s="378" t="s">
        <v>340</v>
      </c>
      <c r="L329" s="20" t="s">
        <v>165</v>
      </c>
      <c r="M329" s="380">
        <v>2400</v>
      </c>
      <c r="N329" s="380"/>
      <c r="O329" s="380"/>
      <c r="P329" s="380"/>
      <c r="Q329" s="381" t="s">
        <v>664</v>
      </c>
      <c r="R329" s="381" t="s">
        <v>664</v>
      </c>
      <c r="S329" s="381"/>
      <c r="T329" s="381"/>
      <c r="U329" s="381"/>
      <c r="V329" s="382">
        <v>209.71</v>
      </c>
      <c r="W329" s="382">
        <v>0</v>
      </c>
      <c r="X329" s="381">
        <v>8.7379166666666674E-2</v>
      </c>
      <c r="Y329" s="381">
        <v>8.7379166666666674E-2</v>
      </c>
      <c r="Z329" s="381">
        <v>0</v>
      </c>
      <c r="AA329" s="381">
        <v>0</v>
      </c>
      <c r="AB329" s="381">
        <v>0</v>
      </c>
      <c r="AC329" s="382">
        <v>8.7379166666666674E-2</v>
      </c>
      <c r="AD329" s="382">
        <v>0</v>
      </c>
      <c r="AE329" s="381" t="s">
        <v>168</v>
      </c>
    </row>
    <row r="330" spans="1:31" ht="15" customHeight="1" x14ac:dyDescent="0.25">
      <c r="A330" s="20" t="s">
        <v>156</v>
      </c>
      <c r="B330" s="20" t="s">
        <v>534</v>
      </c>
      <c r="C330" s="20" t="s">
        <v>535</v>
      </c>
      <c r="D330" s="378" t="s">
        <v>665</v>
      </c>
      <c r="E330" s="379">
        <v>44539</v>
      </c>
      <c r="F330" s="379">
        <v>46365</v>
      </c>
      <c r="G330" s="378" t="s">
        <v>338</v>
      </c>
      <c r="H330" s="20" t="s">
        <v>339</v>
      </c>
      <c r="I330" s="20" t="s">
        <v>162</v>
      </c>
      <c r="J330" s="20" t="s">
        <v>163</v>
      </c>
      <c r="K330" s="378" t="s">
        <v>340</v>
      </c>
      <c r="L330" s="20" t="s">
        <v>165</v>
      </c>
      <c r="M330" s="380">
        <v>2400</v>
      </c>
      <c r="N330" s="380"/>
      <c r="O330" s="380"/>
      <c r="P330" s="380"/>
      <c r="Q330" s="381" t="s">
        <v>666</v>
      </c>
      <c r="R330" s="381" t="s">
        <v>666</v>
      </c>
      <c r="S330" s="381"/>
      <c r="T330" s="381"/>
      <c r="U330" s="381"/>
      <c r="V330" s="382">
        <v>209.99</v>
      </c>
      <c r="W330" s="382">
        <v>0</v>
      </c>
      <c r="X330" s="381">
        <v>8.7495833333333342E-2</v>
      </c>
      <c r="Y330" s="381">
        <v>8.7495833333333342E-2</v>
      </c>
      <c r="Z330" s="381">
        <v>0</v>
      </c>
      <c r="AA330" s="381">
        <v>0</v>
      </c>
      <c r="AB330" s="381">
        <v>0</v>
      </c>
      <c r="AC330" s="382">
        <v>8.7495833333333342E-2</v>
      </c>
      <c r="AD330" s="382">
        <v>0</v>
      </c>
      <c r="AE330" s="381" t="s">
        <v>168</v>
      </c>
    </row>
    <row r="331" spans="1:31" ht="15" customHeight="1" x14ac:dyDescent="0.25">
      <c r="A331" s="20" t="s">
        <v>156</v>
      </c>
      <c r="B331" s="20" t="s">
        <v>534</v>
      </c>
      <c r="C331" s="20" t="s">
        <v>535</v>
      </c>
      <c r="D331" s="378" t="s">
        <v>667</v>
      </c>
      <c r="E331" s="379">
        <v>44539</v>
      </c>
      <c r="F331" s="379">
        <v>46365</v>
      </c>
      <c r="G331" s="378" t="s">
        <v>338</v>
      </c>
      <c r="H331" s="20" t="s">
        <v>339</v>
      </c>
      <c r="I331" s="20" t="s">
        <v>162</v>
      </c>
      <c r="J331" s="20" t="s">
        <v>163</v>
      </c>
      <c r="K331" s="378" t="s">
        <v>340</v>
      </c>
      <c r="L331" s="20" t="s">
        <v>165</v>
      </c>
      <c r="M331" s="380">
        <v>2400</v>
      </c>
      <c r="N331" s="380"/>
      <c r="O331" s="380"/>
      <c r="P331" s="380"/>
      <c r="Q331" s="381" t="s">
        <v>668</v>
      </c>
      <c r="R331" s="381" t="s">
        <v>668</v>
      </c>
      <c r="S331" s="381"/>
      <c r="T331" s="381"/>
      <c r="U331" s="381"/>
      <c r="V331" s="382">
        <v>213.51</v>
      </c>
      <c r="W331" s="382">
        <v>0</v>
      </c>
      <c r="X331" s="381">
        <v>8.89625E-2</v>
      </c>
      <c r="Y331" s="381">
        <v>8.89625E-2</v>
      </c>
      <c r="Z331" s="381">
        <v>0</v>
      </c>
      <c r="AA331" s="381">
        <v>0</v>
      </c>
      <c r="AB331" s="381">
        <v>0</v>
      </c>
      <c r="AC331" s="382">
        <v>8.89625E-2</v>
      </c>
      <c r="AD331" s="382">
        <v>0</v>
      </c>
      <c r="AE331" s="381" t="s">
        <v>168</v>
      </c>
    </row>
    <row r="332" spans="1:31" ht="15" customHeight="1" x14ac:dyDescent="0.25">
      <c r="A332" s="20" t="s">
        <v>156</v>
      </c>
      <c r="B332" s="20" t="s">
        <v>534</v>
      </c>
      <c r="C332" s="20" t="s">
        <v>535</v>
      </c>
      <c r="D332" s="378" t="s">
        <v>669</v>
      </c>
      <c r="E332" s="379">
        <v>44539</v>
      </c>
      <c r="F332" s="379">
        <v>46365</v>
      </c>
      <c r="G332" s="378" t="s">
        <v>338</v>
      </c>
      <c r="H332" s="20" t="s">
        <v>339</v>
      </c>
      <c r="I332" s="20" t="s">
        <v>162</v>
      </c>
      <c r="J332" s="20" t="s">
        <v>163</v>
      </c>
      <c r="K332" s="378" t="s">
        <v>340</v>
      </c>
      <c r="L332" s="20" t="s">
        <v>165</v>
      </c>
      <c r="M332" s="380">
        <v>2400</v>
      </c>
      <c r="N332" s="380"/>
      <c r="O332" s="380"/>
      <c r="P332" s="380"/>
      <c r="Q332" s="381" t="s">
        <v>670</v>
      </c>
      <c r="R332" s="381" t="s">
        <v>670</v>
      </c>
      <c r="S332" s="381"/>
      <c r="T332" s="381"/>
      <c r="U332" s="381"/>
      <c r="V332" s="382">
        <v>214.63</v>
      </c>
      <c r="W332" s="382">
        <v>0</v>
      </c>
      <c r="X332" s="381">
        <v>8.9429166666666671E-2</v>
      </c>
      <c r="Y332" s="381">
        <v>8.9429166666666671E-2</v>
      </c>
      <c r="Z332" s="381">
        <v>0</v>
      </c>
      <c r="AA332" s="381">
        <v>0</v>
      </c>
      <c r="AB332" s="381">
        <v>0</v>
      </c>
      <c r="AC332" s="382">
        <v>8.9429166666666671E-2</v>
      </c>
      <c r="AD332" s="382">
        <v>0</v>
      </c>
      <c r="AE332" s="381" t="s">
        <v>168</v>
      </c>
    </row>
    <row r="333" spans="1:31" ht="15" customHeight="1" x14ac:dyDescent="0.25">
      <c r="A333" s="20" t="s">
        <v>156</v>
      </c>
      <c r="B333" s="20" t="s">
        <v>534</v>
      </c>
      <c r="C333" s="20" t="s">
        <v>535</v>
      </c>
      <c r="D333" s="378" t="s">
        <v>671</v>
      </c>
      <c r="E333" s="379">
        <v>44539</v>
      </c>
      <c r="F333" s="379">
        <v>46365</v>
      </c>
      <c r="G333" s="378" t="s">
        <v>338</v>
      </c>
      <c r="H333" s="20" t="s">
        <v>339</v>
      </c>
      <c r="I333" s="20" t="s">
        <v>162</v>
      </c>
      <c r="J333" s="20" t="s">
        <v>163</v>
      </c>
      <c r="K333" s="378" t="s">
        <v>340</v>
      </c>
      <c r="L333" s="20" t="s">
        <v>165</v>
      </c>
      <c r="M333" s="380">
        <v>2400</v>
      </c>
      <c r="N333" s="380"/>
      <c r="O333" s="380"/>
      <c r="P333" s="380"/>
      <c r="Q333" s="381" t="s">
        <v>672</v>
      </c>
      <c r="R333" s="381" t="s">
        <v>672</v>
      </c>
      <c r="S333" s="381"/>
      <c r="T333" s="381"/>
      <c r="U333" s="381"/>
      <c r="V333" s="382">
        <v>215.19</v>
      </c>
      <c r="W333" s="382">
        <v>0</v>
      </c>
      <c r="X333" s="381">
        <v>8.9662499999999992E-2</v>
      </c>
      <c r="Y333" s="381">
        <v>8.9662499999999992E-2</v>
      </c>
      <c r="Z333" s="381">
        <v>0</v>
      </c>
      <c r="AA333" s="381">
        <v>0</v>
      </c>
      <c r="AB333" s="381">
        <v>0</v>
      </c>
      <c r="AC333" s="382">
        <v>8.9662499999999992E-2</v>
      </c>
      <c r="AD333" s="382">
        <v>0</v>
      </c>
      <c r="AE333" s="381" t="s">
        <v>168</v>
      </c>
    </row>
    <row r="334" spans="1:31" ht="15" customHeight="1" x14ac:dyDescent="0.25">
      <c r="A334" s="20" t="s">
        <v>156</v>
      </c>
      <c r="B334" s="20" t="s">
        <v>534</v>
      </c>
      <c r="C334" s="20" t="s">
        <v>535</v>
      </c>
      <c r="D334" s="378" t="s">
        <v>673</v>
      </c>
      <c r="E334" s="379">
        <v>44539</v>
      </c>
      <c r="F334" s="379">
        <v>46365</v>
      </c>
      <c r="G334" s="378" t="s">
        <v>338</v>
      </c>
      <c r="H334" s="20" t="s">
        <v>339</v>
      </c>
      <c r="I334" s="20" t="s">
        <v>162</v>
      </c>
      <c r="J334" s="20" t="s">
        <v>163</v>
      </c>
      <c r="K334" s="378" t="s">
        <v>340</v>
      </c>
      <c r="L334" s="20" t="s">
        <v>165</v>
      </c>
      <c r="M334" s="380">
        <v>2400</v>
      </c>
      <c r="N334" s="380"/>
      <c r="O334" s="380"/>
      <c r="P334" s="380"/>
      <c r="Q334" s="381" t="s">
        <v>674</v>
      </c>
      <c r="R334" s="381" t="s">
        <v>674</v>
      </c>
      <c r="S334" s="381"/>
      <c r="T334" s="381"/>
      <c r="U334" s="381"/>
      <c r="V334" s="382">
        <v>240.97</v>
      </c>
      <c r="W334" s="382">
        <v>0</v>
      </c>
      <c r="X334" s="381">
        <v>0.10040416666666667</v>
      </c>
      <c r="Y334" s="381">
        <v>0.10040416666666667</v>
      </c>
      <c r="Z334" s="381">
        <v>0</v>
      </c>
      <c r="AA334" s="381">
        <v>0</v>
      </c>
      <c r="AB334" s="381">
        <v>0</v>
      </c>
      <c r="AC334" s="382">
        <v>0.10040416666666667</v>
      </c>
      <c r="AD334" s="382">
        <v>0</v>
      </c>
      <c r="AE334" s="381" t="s">
        <v>168</v>
      </c>
    </row>
    <row r="335" spans="1:31" ht="15" customHeight="1" x14ac:dyDescent="0.25">
      <c r="A335" s="20" t="s">
        <v>156</v>
      </c>
      <c r="B335" s="20" t="s">
        <v>534</v>
      </c>
      <c r="C335" s="20" t="s">
        <v>535</v>
      </c>
      <c r="D335" s="378" t="s">
        <v>675</v>
      </c>
      <c r="E335" s="379">
        <v>45016</v>
      </c>
      <c r="F335" s="379">
        <v>46843</v>
      </c>
      <c r="G335" s="378" t="s">
        <v>160</v>
      </c>
      <c r="H335" s="20" t="s">
        <v>416</v>
      </c>
      <c r="I335" s="20" t="s">
        <v>162</v>
      </c>
      <c r="J335" s="20" t="s">
        <v>163</v>
      </c>
      <c r="K335" s="378" t="s">
        <v>417</v>
      </c>
      <c r="L335" s="20" t="s">
        <v>165</v>
      </c>
      <c r="M335" s="380">
        <v>2400</v>
      </c>
      <c r="N335" s="380"/>
      <c r="O335" s="380"/>
      <c r="P335" s="380"/>
      <c r="Q335" s="381">
        <v>220.53</v>
      </c>
      <c r="R335" s="381">
        <v>220.49</v>
      </c>
      <c r="S335" s="381">
        <v>0.04</v>
      </c>
      <c r="T335" s="381"/>
      <c r="U335" s="381"/>
      <c r="V335" s="382">
        <v>220.53</v>
      </c>
      <c r="W335" s="382">
        <v>0</v>
      </c>
      <c r="X335" s="381">
        <v>9.1887499999999997E-2</v>
      </c>
      <c r="Y335" s="381">
        <v>9.1870833333333332E-2</v>
      </c>
      <c r="Z335" s="381">
        <v>1.6666666666666667E-5</v>
      </c>
      <c r="AA335" s="381">
        <v>0</v>
      </c>
      <c r="AB335" s="381">
        <v>0</v>
      </c>
      <c r="AC335" s="382">
        <v>9.1887499999999997E-2</v>
      </c>
      <c r="AD335" s="382">
        <v>0</v>
      </c>
      <c r="AE335" s="381" t="s">
        <v>168</v>
      </c>
    </row>
    <row r="336" spans="1:31" ht="15" customHeight="1" x14ac:dyDescent="0.25">
      <c r="A336" s="20" t="s">
        <v>156</v>
      </c>
      <c r="B336" s="20" t="s">
        <v>534</v>
      </c>
      <c r="C336" s="20" t="s">
        <v>535</v>
      </c>
      <c r="D336" s="378" t="s">
        <v>676</v>
      </c>
      <c r="E336" s="379">
        <v>45016</v>
      </c>
      <c r="F336" s="379">
        <v>46843</v>
      </c>
      <c r="G336" s="378" t="s">
        <v>281</v>
      </c>
      <c r="H336" s="20" t="s">
        <v>282</v>
      </c>
      <c r="I336" s="20" t="s">
        <v>162</v>
      </c>
      <c r="J336" s="20" t="s">
        <v>163</v>
      </c>
      <c r="K336" s="378" t="s">
        <v>283</v>
      </c>
      <c r="L336" s="20" t="s">
        <v>165</v>
      </c>
      <c r="M336" s="380">
        <v>2400</v>
      </c>
      <c r="N336" s="380"/>
      <c r="O336" s="380"/>
      <c r="P336" s="380"/>
      <c r="Q336" s="381">
        <v>278.45</v>
      </c>
      <c r="R336" s="381">
        <v>278.45</v>
      </c>
      <c r="S336" s="381">
        <v>-4.9500000000000004E-3</v>
      </c>
      <c r="T336" s="381"/>
      <c r="U336" s="381"/>
      <c r="V336" s="382">
        <v>278.45</v>
      </c>
      <c r="W336" s="382">
        <v>0</v>
      </c>
      <c r="X336" s="381">
        <v>0.11602083333333332</v>
      </c>
      <c r="Y336" s="381">
        <v>0.11602083333333332</v>
      </c>
      <c r="Z336" s="381">
        <v>-2.0625000000000002E-6</v>
      </c>
      <c r="AA336" s="381">
        <v>0</v>
      </c>
      <c r="AB336" s="381">
        <v>0</v>
      </c>
      <c r="AC336" s="382">
        <v>0.11602083333333332</v>
      </c>
      <c r="AD336" s="382">
        <v>0</v>
      </c>
      <c r="AE336" s="381" t="s">
        <v>168</v>
      </c>
    </row>
    <row r="337" spans="1:31" ht="15" customHeight="1" x14ac:dyDescent="0.25">
      <c r="A337" s="20" t="s">
        <v>156</v>
      </c>
      <c r="B337" s="20" t="s">
        <v>534</v>
      </c>
      <c r="C337" s="20" t="s">
        <v>535</v>
      </c>
      <c r="D337" s="378" t="s">
        <v>677</v>
      </c>
      <c r="E337" s="379">
        <v>45016</v>
      </c>
      <c r="F337" s="379">
        <v>46843</v>
      </c>
      <c r="G337" s="378" t="s">
        <v>281</v>
      </c>
      <c r="H337" s="20" t="s">
        <v>282</v>
      </c>
      <c r="I337" s="20" t="s">
        <v>162</v>
      </c>
      <c r="J337" s="20" t="s">
        <v>163</v>
      </c>
      <c r="K337" s="378" t="s">
        <v>283</v>
      </c>
      <c r="L337" s="20" t="s">
        <v>165</v>
      </c>
      <c r="M337" s="380">
        <v>2400</v>
      </c>
      <c r="N337" s="380"/>
      <c r="O337" s="380"/>
      <c r="P337" s="380"/>
      <c r="Q337" s="381">
        <v>285.07</v>
      </c>
      <c r="R337" s="381">
        <v>285.07</v>
      </c>
      <c r="S337" s="381">
        <v>-1.0999999999999999E-2</v>
      </c>
      <c r="T337" s="381"/>
      <c r="U337" s="381"/>
      <c r="V337" s="382">
        <v>285.07</v>
      </c>
      <c r="W337" s="382">
        <v>0</v>
      </c>
      <c r="X337" s="381">
        <v>0.11877916666666666</v>
      </c>
      <c r="Y337" s="381">
        <v>0.11877916666666666</v>
      </c>
      <c r="Z337" s="381">
        <v>-4.5833333333333332E-6</v>
      </c>
      <c r="AA337" s="381">
        <v>0</v>
      </c>
      <c r="AB337" s="381">
        <v>0</v>
      </c>
      <c r="AC337" s="382">
        <v>0.11877916666666666</v>
      </c>
      <c r="AD337" s="382">
        <v>0</v>
      </c>
      <c r="AE337" s="381" t="s">
        <v>168</v>
      </c>
    </row>
    <row r="338" spans="1:31" ht="15" customHeight="1" x14ac:dyDescent="0.25">
      <c r="A338" s="20" t="s">
        <v>156</v>
      </c>
      <c r="B338" s="20" t="s">
        <v>534</v>
      </c>
      <c r="C338" s="20" t="s">
        <v>535</v>
      </c>
      <c r="D338" s="378" t="s">
        <v>678</v>
      </c>
      <c r="E338" s="379">
        <v>44788</v>
      </c>
      <c r="F338" s="379">
        <v>46113</v>
      </c>
      <c r="G338" s="378" t="s">
        <v>320</v>
      </c>
      <c r="H338" s="20" t="s">
        <v>352</v>
      </c>
      <c r="I338" s="20" t="s">
        <v>353</v>
      </c>
      <c r="J338" s="20" t="s">
        <v>163</v>
      </c>
      <c r="K338" s="378" t="s">
        <v>354</v>
      </c>
      <c r="L338" s="20" t="s">
        <v>165</v>
      </c>
      <c r="M338" s="380">
        <v>2400</v>
      </c>
      <c r="N338" s="380"/>
      <c r="O338" s="380"/>
      <c r="P338" s="380"/>
      <c r="Q338" s="381">
        <v>288</v>
      </c>
      <c r="R338" s="381"/>
      <c r="S338" s="381"/>
      <c r="T338" s="381"/>
      <c r="U338" s="381"/>
      <c r="V338" s="382">
        <v>288</v>
      </c>
      <c r="W338" s="382">
        <v>0</v>
      </c>
      <c r="X338" s="381">
        <v>0.12</v>
      </c>
      <c r="Y338" s="381">
        <v>0</v>
      </c>
      <c r="Z338" s="381">
        <v>0</v>
      </c>
      <c r="AA338" s="381">
        <v>0</v>
      </c>
      <c r="AB338" s="381">
        <v>0</v>
      </c>
      <c r="AC338" s="382">
        <v>0.12</v>
      </c>
      <c r="AD338" s="382">
        <v>0</v>
      </c>
      <c r="AE338" s="381" t="s">
        <v>168</v>
      </c>
    </row>
    <row r="339" spans="1:31" ht="15" customHeight="1" x14ac:dyDescent="0.25">
      <c r="A339" s="20" t="s">
        <v>156</v>
      </c>
      <c r="B339" s="20" t="s">
        <v>534</v>
      </c>
      <c r="C339" s="20" t="s">
        <v>535</v>
      </c>
      <c r="D339" s="378" t="s">
        <v>679</v>
      </c>
      <c r="E339" s="379">
        <v>44788</v>
      </c>
      <c r="F339" s="379">
        <v>46113</v>
      </c>
      <c r="G339" s="378" t="s">
        <v>320</v>
      </c>
      <c r="H339" s="20" t="s">
        <v>352</v>
      </c>
      <c r="I339" s="20" t="s">
        <v>353</v>
      </c>
      <c r="J339" s="20" t="s">
        <v>163</v>
      </c>
      <c r="K339" s="378" t="s">
        <v>354</v>
      </c>
      <c r="L339" s="20" t="s">
        <v>165</v>
      </c>
      <c r="M339" s="380">
        <v>2400</v>
      </c>
      <c r="N339" s="380"/>
      <c r="O339" s="380"/>
      <c r="P339" s="380"/>
      <c r="Q339" s="381">
        <v>231</v>
      </c>
      <c r="R339" s="381"/>
      <c r="S339" s="381"/>
      <c r="T339" s="381"/>
      <c r="U339" s="381"/>
      <c r="V339" s="382">
        <v>231</v>
      </c>
      <c r="W339" s="382">
        <v>0</v>
      </c>
      <c r="X339" s="381">
        <v>9.6250000000000002E-2</v>
      </c>
      <c r="Y339" s="381">
        <v>0</v>
      </c>
      <c r="Z339" s="381">
        <v>0</v>
      </c>
      <c r="AA339" s="381">
        <v>0</v>
      </c>
      <c r="AB339" s="381">
        <v>0</v>
      </c>
      <c r="AC339" s="382">
        <v>9.6250000000000002E-2</v>
      </c>
      <c r="AD339" s="382">
        <v>0</v>
      </c>
      <c r="AE339" s="381" t="s">
        <v>168</v>
      </c>
    </row>
    <row r="340" spans="1:31" ht="15" customHeight="1" x14ac:dyDescent="0.25">
      <c r="A340" s="20" t="s">
        <v>156</v>
      </c>
      <c r="B340" s="20" t="s">
        <v>534</v>
      </c>
      <c r="C340" s="20" t="s">
        <v>535</v>
      </c>
      <c r="D340" s="378" t="s">
        <v>680</v>
      </c>
      <c r="E340" s="379">
        <v>44788</v>
      </c>
      <c r="F340" s="379">
        <v>46113</v>
      </c>
      <c r="G340" s="378" t="s">
        <v>320</v>
      </c>
      <c r="H340" s="20" t="s">
        <v>352</v>
      </c>
      <c r="I340" s="20" t="s">
        <v>353</v>
      </c>
      <c r="J340" s="20" t="s">
        <v>163</v>
      </c>
      <c r="K340" s="378" t="s">
        <v>354</v>
      </c>
      <c r="L340" s="20" t="s">
        <v>165</v>
      </c>
      <c r="M340" s="380">
        <v>2400</v>
      </c>
      <c r="N340" s="380"/>
      <c r="O340" s="380"/>
      <c r="P340" s="380"/>
      <c r="Q340" s="381">
        <v>206</v>
      </c>
      <c r="R340" s="381"/>
      <c r="S340" s="381"/>
      <c r="T340" s="381"/>
      <c r="U340" s="381"/>
      <c r="V340" s="382">
        <v>206</v>
      </c>
      <c r="W340" s="382">
        <v>0</v>
      </c>
      <c r="X340" s="381">
        <v>8.5833333333333331E-2</v>
      </c>
      <c r="Y340" s="381">
        <v>0</v>
      </c>
      <c r="Z340" s="381">
        <v>0</v>
      </c>
      <c r="AA340" s="381">
        <v>0</v>
      </c>
      <c r="AB340" s="381">
        <v>0</v>
      </c>
      <c r="AC340" s="382">
        <v>8.5833333333333331E-2</v>
      </c>
      <c r="AD340" s="382">
        <v>0</v>
      </c>
      <c r="AE340" s="381" t="s">
        <v>168</v>
      </c>
    </row>
    <row r="341" spans="1:31" ht="15" customHeight="1" x14ac:dyDescent="0.25">
      <c r="A341" s="20" t="s">
        <v>156</v>
      </c>
      <c r="B341" s="20" t="s">
        <v>534</v>
      </c>
      <c r="C341" s="20" t="s">
        <v>535</v>
      </c>
      <c r="D341" s="378" t="s">
        <v>681</v>
      </c>
      <c r="E341" s="379">
        <v>44788</v>
      </c>
      <c r="F341" s="379">
        <v>46113</v>
      </c>
      <c r="G341" s="378" t="s">
        <v>320</v>
      </c>
      <c r="H341" s="20" t="s">
        <v>352</v>
      </c>
      <c r="I341" s="20" t="s">
        <v>353</v>
      </c>
      <c r="J341" s="20" t="s">
        <v>163</v>
      </c>
      <c r="K341" s="378" t="s">
        <v>354</v>
      </c>
      <c r="L341" s="20" t="s">
        <v>165</v>
      </c>
      <c r="M341" s="380">
        <v>2400</v>
      </c>
      <c r="N341" s="380"/>
      <c r="O341" s="380"/>
      <c r="P341" s="380"/>
      <c r="Q341" s="381">
        <v>231</v>
      </c>
      <c r="R341" s="381"/>
      <c r="S341" s="381"/>
      <c r="T341" s="381"/>
      <c r="U341" s="381"/>
      <c r="V341" s="382">
        <v>231</v>
      </c>
      <c r="W341" s="382">
        <v>0</v>
      </c>
      <c r="X341" s="381">
        <v>9.6250000000000002E-2</v>
      </c>
      <c r="Y341" s="381">
        <v>0</v>
      </c>
      <c r="Z341" s="381">
        <v>0</v>
      </c>
      <c r="AA341" s="381">
        <v>0</v>
      </c>
      <c r="AB341" s="381">
        <v>0</v>
      </c>
      <c r="AC341" s="382">
        <v>9.6250000000000002E-2</v>
      </c>
      <c r="AD341" s="382">
        <v>0</v>
      </c>
      <c r="AE341" s="381" t="s">
        <v>168</v>
      </c>
    </row>
    <row r="342" spans="1:31" ht="15" customHeight="1" x14ac:dyDescent="0.25">
      <c r="A342" s="20" t="s">
        <v>156</v>
      </c>
      <c r="B342" s="20" t="s">
        <v>534</v>
      </c>
      <c r="C342" s="20" t="s">
        <v>535</v>
      </c>
      <c r="D342" s="378" t="s">
        <v>682</v>
      </c>
      <c r="E342" s="379">
        <v>44788</v>
      </c>
      <c r="F342" s="379">
        <v>46113</v>
      </c>
      <c r="G342" s="378" t="s">
        <v>320</v>
      </c>
      <c r="H342" s="20" t="s">
        <v>352</v>
      </c>
      <c r="I342" s="20" t="s">
        <v>353</v>
      </c>
      <c r="J342" s="20" t="s">
        <v>163</v>
      </c>
      <c r="K342" s="378" t="s">
        <v>354</v>
      </c>
      <c r="L342" s="20" t="s">
        <v>165</v>
      </c>
      <c r="M342" s="380">
        <v>2400</v>
      </c>
      <c r="N342" s="380"/>
      <c r="O342" s="380"/>
      <c r="P342" s="380"/>
      <c r="Q342" s="381">
        <v>210</v>
      </c>
      <c r="R342" s="381"/>
      <c r="S342" s="381"/>
      <c r="T342" s="381"/>
      <c r="U342" s="381"/>
      <c r="V342" s="382">
        <v>210</v>
      </c>
      <c r="W342" s="382">
        <v>0</v>
      </c>
      <c r="X342" s="381">
        <v>8.7499999999999994E-2</v>
      </c>
      <c r="Y342" s="381">
        <v>0</v>
      </c>
      <c r="Z342" s="381">
        <v>0</v>
      </c>
      <c r="AA342" s="381">
        <v>0</v>
      </c>
      <c r="AB342" s="381">
        <v>0</v>
      </c>
      <c r="AC342" s="382">
        <v>8.7499999999999994E-2</v>
      </c>
      <c r="AD342" s="382">
        <v>0</v>
      </c>
      <c r="AE342" s="381" t="s">
        <v>168</v>
      </c>
    </row>
    <row r="343" spans="1:31" ht="15" customHeight="1" x14ac:dyDescent="0.25">
      <c r="A343" s="20" t="s">
        <v>156</v>
      </c>
      <c r="B343" s="20" t="s">
        <v>534</v>
      </c>
      <c r="C343" s="20" t="s">
        <v>535</v>
      </c>
      <c r="D343" s="378" t="s">
        <v>683</v>
      </c>
      <c r="E343" s="379">
        <v>44788</v>
      </c>
      <c r="F343" s="379">
        <v>46113</v>
      </c>
      <c r="G343" s="378" t="s">
        <v>320</v>
      </c>
      <c r="H343" s="20" t="s">
        <v>352</v>
      </c>
      <c r="I343" s="20" t="s">
        <v>353</v>
      </c>
      <c r="J343" s="20" t="s">
        <v>163</v>
      </c>
      <c r="K343" s="378" t="s">
        <v>354</v>
      </c>
      <c r="L343" s="20" t="s">
        <v>165</v>
      </c>
      <c r="M343" s="380">
        <v>2400</v>
      </c>
      <c r="N343" s="380"/>
      <c r="O343" s="380"/>
      <c r="P343" s="380"/>
      <c r="Q343" s="381">
        <v>202</v>
      </c>
      <c r="R343" s="381"/>
      <c r="S343" s="381"/>
      <c r="T343" s="381"/>
      <c r="U343" s="381"/>
      <c r="V343" s="382">
        <v>202</v>
      </c>
      <c r="W343" s="382">
        <v>0</v>
      </c>
      <c r="X343" s="381">
        <v>8.4166666666666667E-2</v>
      </c>
      <c r="Y343" s="381">
        <v>0</v>
      </c>
      <c r="Z343" s="381">
        <v>0</v>
      </c>
      <c r="AA343" s="381">
        <v>0</v>
      </c>
      <c r="AB343" s="381">
        <v>0</v>
      </c>
      <c r="AC343" s="382">
        <v>8.4166666666666667E-2</v>
      </c>
      <c r="AD343" s="382">
        <v>0</v>
      </c>
      <c r="AE343" s="381" t="s">
        <v>168</v>
      </c>
    </row>
    <row r="344" spans="1:31" ht="15" customHeight="1" x14ac:dyDescent="0.25">
      <c r="A344" s="20" t="s">
        <v>156</v>
      </c>
      <c r="B344" s="20" t="s">
        <v>534</v>
      </c>
      <c r="C344" s="20" t="s">
        <v>535</v>
      </c>
      <c r="D344" s="378" t="s">
        <v>684</v>
      </c>
      <c r="E344" s="379">
        <v>44788</v>
      </c>
      <c r="F344" s="379">
        <v>46113</v>
      </c>
      <c r="G344" s="378" t="s">
        <v>320</v>
      </c>
      <c r="H344" s="20" t="s">
        <v>352</v>
      </c>
      <c r="I344" s="20" t="s">
        <v>353</v>
      </c>
      <c r="J344" s="20" t="s">
        <v>163</v>
      </c>
      <c r="K344" s="378" t="s">
        <v>354</v>
      </c>
      <c r="L344" s="20" t="s">
        <v>165</v>
      </c>
      <c r="M344" s="380">
        <v>2400</v>
      </c>
      <c r="N344" s="380"/>
      <c r="O344" s="380"/>
      <c r="P344" s="380"/>
      <c r="Q344" s="381">
        <v>184</v>
      </c>
      <c r="R344" s="381"/>
      <c r="S344" s="381"/>
      <c r="T344" s="381"/>
      <c r="U344" s="381"/>
      <c r="V344" s="382">
        <v>184</v>
      </c>
      <c r="W344" s="382">
        <v>0</v>
      </c>
      <c r="X344" s="381">
        <v>7.6666666666666661E-2</v>
      </c>
      <c r="Y344" s="381">
        <v>0</v>
      </c>
      <c r="Z344" s="381">
        <v>0</v>
      </c>
      <c r="AA344" s="381">
        <v>0</v>
      </c>
      <c r="AB344" s="381">
        <v>0</v>
      </c>
      <c r="AC344" s="382">
        <v>7.6666666666666661E-2</v>
      </c>
      <c r="AD344" s="382">
        <v>0</v>
      </c>
      <c r="AE344" s="381" t="s">
        <v>168</v>
      </c>
    </row>
    <row r="345" spans="1:31" ht="15" customHeight="1" x14ac:dyDescent="0.25">
      <c r="A345" s="20" t="s">
        <v>156</v>
      </c>
      <c r="B345" s="20" t="s">
        <v>534</v>
      </c>
      <c r="C345" s="20" t="s">
        <v>535</v>
      </c>
      <c r="D345" s="378" t="s">
        <v>685</v>
      </c>
      <c r="E345" s="379">
        <v>44788</v>
      </c>
      <c r="F345" s="379">
        <v>46113</v>
      </c>
      <c r="G345" s="378" t="s">
        <v>320</v>
      </c>
      <c r="H345" s="20" t="s">
        <v>352</v>
      </c>
      <c r="I345" s="20" t="s">
        <v>353</v>
      </c>
      <c r="J345" s="20" t="s">
        <v>163</v>
      </c>
      <c r="K345" s="378" t="s">
        <v>354</v>
      </c>
      <c r="L345" s="20" t="s">
        <v>165</v>
      </c>
      <c r="M345" s="380">
        <v>2400</v>
      </c>
      <c r="N345" s="380"/>
      <c r="O345" s="380"/>
      <c r="P345" s="380"/>
      <c r="Q345" s="381">
        <v>259</v>
      </c>
      <c r="R345" s="381"/>
      <c r="S345" s="381"/>
      <c r="T345" s="381"/>
      <c r="U345" s="381"/>
      <c r="V345" s="382">
        <v>259</v>
      </c>
      <c r="W345" s="382">
        <v>0</v>
      </c>
      <c r="X345" s="381">
        <v>0.10791666666666666</v>
      </c>
      <c r="Y345" s="381">
        <v>0</v>
      </c>
      <c r="Z345" s="381">
        <v>0</v>
      </c>
      <c r="AA345" s="381">
        <v>0</v>
      </c>
      <c r="AB345" s="381">
        <v>0</v>
      </c>
      <c r="AC345" s="382">
        <v>0.10791666666666666</v>
      </c>
      <c r="AD345" s="382">
        <v>0</v>
      </c>
      <c r="AE345" s="381" t="s">
        <v>168</v>
      </c>
    </row>
    <row r="346" spans="1:31" ht="15" customHeight="1" x14ac:dyDescent="0.25">
      <c r="A346" s="20" t="s">
        <v>156</v>
      </c>
      <c r="B346" s="20" t="s">
        <v>534</v>
      </c>
      <c r="C346" s="20" t="s">
        <v>535</v>
      </c>
      <c r="D346" s="378" t="s">
        <v>686</v>
      </c>
      <c r="E346" s="379">
        <v>44788</v>
      </c>
      <c r="F346" s="379">
        <v>46113</v>
      </c>
      <c r="G346" s="378" t="s">
        <v>362</v>
      </c>
      <c r="H346" s="20" t="s">
        <v>352</v>
      </c>
      <c r="I346" s="20" t="s">
        <v>353</v>
      </c>
      <c r="J346" s="20" t="s">
        <v>163</v>
      </c>
      <c r="K346" s="378" t="s">
        <v>354</v>
      </c>
      <c r="L346" s="20" t="s">
        <v>165</v>
      </c>
      <c r="M346" s="380">
        <v>2400</v>
      </c>
      <c r="N346" s="380"/>
      <c r="O346" s="380"/>
      <c r="P346" s="380"/>
      <c r="Q346" s="381">
        <v>288</v>
      </c>
      <c r="R346" s="381"/>
      <c r="S346" s="381"/>
      <c r="T346" s="381"/>
      <c r="U346" s="381"/>
      <c r="V346" s="382">
        <v>288</v>
      </c>
      <c r="W346" s="382">
        <v>0</v>
      </c>
      <c r="X346" s="381">
        <v>0.12</v>
      </c>
      <c r="Y346" s="381">
        <v>0</v>
      </c>
      <c r="Z346" s="381">
        <v>0</v>
      </c>
      <c r="AA346" s="381">
        <v>0</v>
      </c>
      <c r="AB346" s="381">
        <v>0</v>
      </c>
      <c r="AC346" s="382">
        <v>0.12</v>
      </c>
      <c r="AD346" s="382">
        <v>0</v>
      </c>
      <c r="AE346" s="381" t="s">
        <v>168</v>
      </c>
    </row>
    <row r="347" spans="1:31" ht="15" customHeight="1" x14ac:dyDescent="0.25">
      <c r="A347" s="20" t="s">
        <v>156</v>
      </c>
      <c r="B347" s="20" t="s">
        <v>534</v>
      </c>
      <c r="C347" s="20" t="s">
        <v>535</v>
      </c>
      <c r="D347" s="378" t="s">
        <v>686</v>
      </c>
      <c r="E347" s="379">
        <v>44788</v>
      </c>
      <c r="F347" s="379">
        <v>46113</v>
      </c>
      <c r="G347" s="378" t="s">
        <v>362</v>
      </c>
      <c r="H347" s="20" t="s">
        <v>352</v>
      </c>
      <c r="I347" s="20" t="s">
        <v>353</v>
      </c>
      <c r="J347" s="20" t="s">
        <v>163</v>
      </c>
      <c r="K347" s="378" t="s">
        <v>354</v>
      </c>
      <c r="L347" s="20" t="s">
        <v>165</v>
      </c>
      <c r="M347" s="380">
        <v>2400</v>
      </c>
      <c r="N347" s="380"/>
      <c r="O347" s="380"/>
      <c r="P347" s="380"/>
      <c r="Q347" s="381">
        <v>280</v>
      </c>
      <c r="R347" s="381"/>
      <c r="S347" s="381"/>
      <c r="T347" s="381"/>
      <c r="U347" s="381"/>
      <c r="V347" s="382">
        <v>280</v>
      </c>
      <c r="W347" s="382">
        <v>0</v>
      </c>
      <c r="X347" s="381">
        <v>0.11666666666666667</v>
      </c>
      <c r="Y347" s="381">
        <v>0</v>
      </c>
      <c r="Z347" s="381">
        <v>0</v>
      </c>
      <c r="AA347" s="381">
        <v>0</v>
      </c>
      <c r="AB347" s="381">
        <v>0</v>
      </c>
      <c r="AC347" s="382">
        <v>0.11666666666666667</v>
      </c>
      <c r="AD347" s="382">
        <v>0</v>
      </c>
      <c r="AE347" s="381" t="s">
        <v>168</v>
      </c>
    </row>
    <row r="348" spans="1:31" ht="15" customHeight="1" x14ac:dyDescent="0.25">
      <c r="A348" s="20" t="s">
        <v>156</v>
      </c>
      <c r="B348" s="20" t="s">
        <v>534</v>
      </c>
      <c r="C348" s="20" t="s">
        <v>535</v>
      </c>
      <c r="D348" s="378" t="s">
        <v>687</v>
      </c>
      <c r="E348" s="379">
        <v>44788</v>
      </c>
      <c r="F348" s="379">
        <v>46113</v>
      </c>
      <c r="G348" s="378" t="s">
        <v>362</v>
      </c>
      <c r="H348" s="20" t="s">
        <v>352</v>
      </c>
      <c r="I348" s="20" t="s">
        <v>353</v>
      </c>
      <c r="J348" s="20" t="s">
        <v>163</v>
      </c>
      <c r="K348" s="378" t="s">
        <v>354</v>
      </c>
      <c r="L348" s="20" t="s">
        <v>165</v>
      </c>
      <c r="M348" s="380">
        <v>2400</v>
      </c>
      <c r="N348" s="380"/>
      <c r="O348" s="380"/>
      <c r="P348" s="380"/>
      <c r="Q348" s="381">
        <v>220</v>
      </c>
      <c r="R348" s="381"/>
      <c r="S348" s="381"/>
      <c r="T348" s="381"/>
      <c r="U348" s="381"/>
      <c r="V348" s="382">
        <v>220</v>
      </c>
      <c r="W348" s="382">
        <v>0</v>
      </c>
      <c r="X348" s="381">
        <v>9.166666666666666E-2</v>
      </c>
      <c r="Y348" s="381">
        <v>0</v>
      </c>
      <c r="Z348" s="381">
        <v>0</v>
      </c>
      <c r="AA348" s="381">
        <v>0</v>
      </c>
      <c r="AB348" s="381">
        <v>0</v>
      </c>
      <c r="AC348" s="382">
        <v>9.166666666666666E-2</v>
      </c>
      <c r="AD348" s="382">
        <v>0</v>
      </c>
      <c r="AE348" s="381" t="s">
        <v>168</v>
      </c>
    </row>
    <row r="349" spans="1:31" ht="15" customHeight="1" x14ac:dyDescent="0.25">
      <c r="A349" s="20" t="s">
        <v>156</v>
      </c>
      <c r="B349" s="20" t="s">
        <v>534</v>
      </c>
      <c r="C349" s="20" t="s">
        <v>535</v>
      </c>
      <c r="D349" s="378" t="s">
        <v>688</v>
      </c>
      <c r="E349" s="379">
        <v>44788</v>
      </c>
      <c r="F349" s="379">
        <v>46113</v>
      </c>
      <c r="G349" s="378" t="s">
        <v>362</v>
      </c>
      <c r="H349" s="20" t="s">
        <v>352</v>
      </c>
      <c r="I349" s="20" t="s">
        <v>353</v>
      </c>
      <c r="J349" s="20" t="s">
        <v>163</v>
      </c>
      <c r="K349" s="378" t="s">
        <v>354</v>
      </c>
      <c r="L349" s="20" t="s">
        <v>165</v>
      </c>
      <c r="M349" s="380">
        <v>2400</v>
      </c>
      <c r="N349" s="380"/>
      <c r="O349" s="380"/>
      <c r="P349" s="380"/>
      <c r="Q349" s="381">
        <v>200</v>
      </c>
      <c r="R349" s="381"/>
      <c r="S349" s="381"/>
      <c r="T349" s="381"/>
      <c r="U349" s="381"/>
      <c r="V349" s="382">
        <v>200</v>
      </c>
      <c r="W349" s="382">
        <v>0</v>
      </c>
      <c r="X349" s="381">
        <v>8.3333333333333329E-2</v>
      </c>
      <c r="Y349" s="381">
        <v>0</v>
      </c>
      <c r="Z349" s="381">
        <v>0</v>
      </c>
      <c r="AA349" s="381">
        <v>0</v>
      </c>
      <c r="AB349" s="381">
        <v>0</v>
      </c>
      <c r="AC349" s="382">
        <v>8.3333333333333329E-2</v>
      </c>
      <c r="AD349" s="382">
        <v>0</v>
      </c>
      <c r="AE349" s="381" t="s">
        <v>168</v>
      </c>
    </row>
    <row r="350" spans="1:31" ht="15" customHeight="1" x14ac:dyDescent="0.25">
      <c r="A350" s="20" t="s">
        <v>156</v>
      </c>
      <c r="B350" s="20" t="s">
        <v>534</v>
      </c>
      <c r="C350" s="20" t="s">
        <v>535</v>
      </c>
      <c r="D350" s="378" t="s">
        <v>689</v>
      </c>
      <c r="E350" s="379">
        <v>44788</v>
      </c>
      <c r="F350" s="379">
        <v>46113</v>
      </c>
      <c r="G350" s="378" t="s">
        <v>362</v>
      </c>
      <c r="H350" s="20" t="s">
        <v>352</v>
      </c>
      <c r="I350" s="20" t="s">
        <v>353</v>
      </c>
      <c r="J350" s="20" t="s">
        <v>163</v>
      </c>
      <c r="K350" s="378" t="s">
        <v>354</v>
      </c>
      <c r="L350" s="20" t="s">
        <v>165</v>
      </c>
      <c r="M350" s="380">
        <v>2400</v>
      </c>
      <c r="N350" s="380"/>
      <c r="O350" s="380"/>
      <c r="P350" s="380"/>
      <c r="Q350" s="381">
        <v>220</v>
      </c>
      <c r="R350" s="381"/>
      <c r="S350" s="381"/>
      <c r="T350" s="381"/>
      <c r="U350" s="381"/>
      <c r="V350" s="382">
        <v>220</v>
      </c>
      <c r="W350" s="382">
        <v>0</v>
      </c>
      <c r="X350" s="381">
        <v>9.166666666666666E-2</v>
      </c>
      <c r="Y350" s="381">
        <v>0</v>
      </c>
      <c r="Z350" s="381">
        <v>0</v>
      </c>
      <c r="AA350" s="381">
        <v>0</v>
      </c>
      <c r="AB350" s="381">
        <v>0</v>
      </c>
      <c r="AC350" s="382">
        <v>9.166666666666666E-2</v>
      </c>
      <c r="AD350" s="382">
        <v>0</v>
      </c>
      <c r="AE350" s="381" t="s">
        <v>168</v>
      </c>
    </row>
    <row r="351" spans="1:31" ht="15" customHeight="1" x14ac:dyDescent="0.25">
      <c r="A351" s="20" t="s">
        <v>156</v>
      </c>
      <c r="B351" s="20" t="s">
        <v>534</v>
      </c>
      <c r="C351" s="20" t="s">
        <v>535</v>
      </c>
      <c r="D351" s="378" t="s">
        <v>690</v>
      </c>
      <c r="E351" s="379">
        <v>44788</v>
      </c>
      <c r="F351" s="379">
        <v>46113</v>
      </c>
      <c r="G351" s="378" t="s">
        <v>362</v>
      </c>
      <c r="H351" s="20" t="s">
        <v>352</v>
      </c>
      <c r="I351" s="20" t="s">
        <v>353</v>
      </c>
      <c r="J351" s="20" t="s">
        <v>163</v>
      </c>
      <c r="K351" s="378" t="s">
        <v>354</v>
      </c>
      <c r="L351" s="20" t="s">
        <v>165</v>
      </c>
      <c r="M351" s="380">
        <v>2400</v>
      </c>
      <c r="N351" s="380"/>
      <c r="O351" s="380"/>
      <c r="P351" s="380"/>
      <c r="Q351" s="381">
        <v>200</v>
      </c>
      <c r="R351" s="381"/>
      <c r="S351" s="381"/>
      <c r="T351" s="381"/>
      <c r="U351" s="381"/>
      <c r="V351" s="382">
        <v>200</v>
      </c>
      <c r="W351" s="382">
        <v>0</v>
      </c>
      <c r="X351" s="381">
        <v>8.3333333333333329E-2</v>
      </c>
      <c r="Y351" s="381">
        <v>0</v>
      </c>
      <c r="Z351" s="381">
        <v>0</v>
      </c>
      <c r="AA351" s="381">
        <v>0</v>
      </c>
      <c r="AB351" s="381">
        <v>0</v>
      </c>
      <c r="AC351" s="382">
        <v>8.3333333333333329E-2</v>
      </c>
      <c r="AD351" s="382">
        <v>0</v>
      </c>
      <c r="AE351" s="381" t="s">
        <v>168</v>
      </c>
    </row>
    <row r="352" spans="1:31" ht="15" customHeight="1" x14ac:dyDescent="0.25">
      <c r="A352" s="20" t="s">
        <v>156</v>
      </c>
      <c r="B352" s="20" t="s">
        <v>534</v>
      </c>
      <c r="C352" s="20" t="s">
        <v>535</v>
      </c>
      <c r="D352" s="378" t="s">
        <v>691</v>
      </c>
      <c r="E352" s="379">
        <v>44788</v>
      </c>
      <c r="F352" s="379">
        <v>46113</v>
      </c>
      <c r="G352" s="378" t="s">
        <v>362</v>
      </c>
      <c r="H352" s="20" t="s">
        <v>352</v>
      </c>
      <c r="I352" s="20" t="s">
        <v>353</v>
      </c>
      <c r="J352" s="20" t="s">
        <v>163</v>
      </c>
      <c r="K352" s="378" t="s">
        <v>354</v>
      </c>
      <c r="L352" s="20" t="s">
        <v>165</v>
      </c>
      <c r="M352" s="380">
        <v>2400</v>
      </c>
      <c r="N352" s="380"/>
      <c r="O352" s="380"/>
      <c r="P352" s="380"/>
      <c r="Q352" s="381">
        <v>194</v>
      </c>
      <c r="R352" s="381"/>
      <c r="S352" s="381"/>
      <c r="T352" s="381"/>
      <c r="U352" s="381"/>
      <c r="V352" s="382">
        <v>194</v>
      </c>
      <c r="W352" s="382">
        <v>0</v>
      </c>
      <c r="X352" s="381">
        <v>8.0833333333333326E-2</v>
      </c>
      <c r="Y352" s="381">
        <v>0</v>
      </c>
      <c r="Z352" s="381">
        <v>0</v>
      </c>
      <c r="AA352" s="381">
        <v>0</v>
      </c>
      <c r="AB352" s="381">
        <v>0</v>
      </c>
      <c r="AC352" s="382">
        <v>8.0833333333333326E-2</v>
      </c>
      <c r="AD352" s="382">
        <v>0</v>
      </c>
      <c r="AE352" s="381" t="s">
        <v>168</v>
      </c>
    </row>
    <row r="353" spans="1:31" ht="15" customHeight="1" x14ac:dyDescent="0.25">
      <c r="A353" s="20" t="s">
        <v>156</v>
      </c>
      <c r="B353" s="20" t="s">
        <v>534</v>
      </c>
      <c r="C353" s="20" t="s">
        <v>535</v>
      </c>
      <c r="D353" s="378" t="s">
        <v>692</v>
      </c>
      <c r="E353" s="379">
        <v>44788</v>
      </c>
      <c r="F353" s="379">
        <v>46113</v>
      </c>
      <c r="G353" s="378" t="s">
        <v>362</v>
      </c>
      <c r="H353" s="20" t="s">
        <v>352</v>
      </c>
      <c r="I353" s="20" t="s">
        <v>353</v>
      </c>
      <c r="J353" s="20" t="s">
        <v>163</v>
      </c>
      <c r="K353" s="378" t="s">
        <v>354</v>
      </c>
      <c r="L353" s="20" t="s">
        <v>165</v>
      </c>
      <c r="M353" s="380">
        <v>2400</v>
      </c>
      <c r="N353" s="380"/>
      <c r="O353" s="380"/>
      <c r="P353" s="380"/>
      <c r="Q353" s="381">
        <v>184</v>
      </c>
      <c r="R353" s="381"/>
      <c r="S353" s="381"/>
      <c r="T353" s="381"/>
      <c r="U353" s="381"/>
      <c r="V353" s="382">
        <v>184</v>
      </c>
      <c r="W353" s="382">
        <v>0</v>
      </c>
      <c r="X353" s="381">
        <v>7.6666666666666661E-2</v>
      </c>
      <c r="Y353" s="381">
        <v>0</v>
      </c>
      <c r="Z353" s="381">
        <v>0</v>
      </c>
      <c r="AA353" s="381">
        <v>0</v>
      </c>
      <c r="AB353" s="381">
        <v>0</v>
      </c>
      <c r="AC353" s="382">
        <v>7.6666666666666661E-2</v>
      </c>
      <c r="AD353" s="382">
        <v>0</v>
      </c>
      <c r="AE353" s="381" t="s">
        <v>168</v>
      </c>
    </row>
    <row r="354" spans="1:31" ht="15" customHeight="1" x14ac:dyDescent="0.25">
      <c r="A354" s="20" t="s">
        <v>156</v>
      </c>
      <c r="B354" s="20" t="s">
        <v>534</v>
      </c>
      <c r="C354" s="20" t="s">
        <v>535</v>
      </c>
      <c r="D354" s="378" t="s">
        <v>693</v>
      </c>
      <c r="E354" s="379">
        <v>44788</v>
      </c>
      <c r="F354" s="379">
        <v>46113</v>
      </c>
      <c r="G354" s="378" t="s">
        <v>362</v>
      </c>
      <c r="H354" s="20" t="s">
        <v>352</v>
      </c>
      <c r="I354" s="20" t="s">
        <v>353</v>
      </c>
      <c r="J354" s="20" t="s">
        <v>163</v>
      </c>
      <c r="K354" s="378" t="s">
        <v>354</v>
      </c>
      <c r="L354" s="20" t="s">
        <v>165</v>
      </c>
      <c r="M354" s="380">
        <v>2400</v>
      </c>
      <c r="N354" s="380"/>
      <c r="O354" s="380"/>
      <c r="P354" s="380"/>
      <c r="Q354" s="381">
        <v>252</v>
      </c>
      <c r="R354" s="381"/>
      <c r="S354" s="381"/>
      <c r="T354" s="381"/>
      <c r="U354" s="381"/>
      <c r="V354" s="382">
        <v>252</v>
      </c>
      <c r="W354" s="382">
        <v>0</v>
      </c>
      <c r="X354" s="381">
        <v>0.105</v>
      </c>
      <c r="Y354" s="381">
        <v>0</v>
      </c>
      <c r="Z354" s="381">
        <v>0</v>
      </c>
      <c r="AA354" s="381">
        <v>0</v>
      </c>
      <c r="AB354" s="381">
        <v>0</v>
      </c>
      <c r="AC354" s="382">
        <v>0.105</v>
      </c>
      <c r="AD354" s="382">
        <v>0</v>
      </c>
      <c r="AE354" s="381" t="s">
        <v>168</v>
      </c>
    </row>
    <row r="355" spans="1:31" ht="15" customHeight="1" x14ac:dyDescent="0.25">
      <c r="A355" s="20" t="s">
        <v>156</v>
      </c>
      <c r="B355" s="20" t="s">
        <v>534</v>
      </c>
      <c r="C355" s="20" t="s">
        <v>535</v>
      </c>
      <c r="D355" s="378" t="s">
        <v>694</v>
      </c>
      <c r="E355" s="379">
        <v>44788</v>
      </c>
      <c r="F355" s="379">
        <v>46113</v>
      </c>
      <c r="G355" s="378" t="s">
        <v>219</v>
      </c>
      <c r="H355" s="20" t="s">
        <v>352</v>
      </c>
      <c r="I355" s="20" t="s">
        <v>353</v>
      </c>
      <c r="J355" s="20" t="s">
        <v>163</v>
      </c>
      <c r="K355" s="378" t="s">
        <v>354</v>
      </c>
      <c r="L355" s="20" t="s">
        <v>165</v>
      </c>
      <c r="M355" s="380">
        <v>2400</v>
      </c>
      <c r="N355" s="380"/>
      <c r="O355" s="380"/>
      <c r="P355" s="380"/>
      <c r="Q355" s="381">
        <v>288</v>
      </c>
      <c r="R355" s="381"/>
      <c r="S355" s="381"/>
      <c r="T355" s="381"/>
      <c r="U355" s="381"/>
      <c r="V355" s="382">
        <v>288</v>
      </c>
      <c r="W355" s="382">
        <v>0</v>
      </c>
      <c r="X355" s="381">
        <v>0.12</v>
      </c>
      <c r="Y355" s="381">
        <v>0</v>
      </c>
      <c r="Z355" s="381">
        <v>0</v>
      </c>
      <c r="AA355" s="381">
        <v>0</v>
      </c>
      <c r="AB355" s="381">
        <v>0</v>
      </c>
      <c r="AC355" s="382">
        <v>0.12</v>
      </c>
      <c r="AD355" s="382">
        <v>0</v>
      </c>
      <c r="AE355" s="381" t="s">
        <v>168</v>
      </c>
    </row>
    <row r="356" spans="1:31" ht="15" customHeight="1" x14ac:dyDescent="0.25">
      <c r="A356" s="20" t="s">
        <v>156</v>
      </c>
      <c r="B356" s="20" t="s">
        <v>534</v>
      </c>
      <c r="C356" s="20" t="s">
        <v>535</v>
      </c>
      <c r="D356" s="378" t="s">
        <v>694</v>
      </c>
      <c r="E356" s="379">
        <v>44788</v>
      </c>
      <c r="F356" s="379">
        <v>46113</v>
      </c>
      <c r="G356" s="378" t="s">
        <v>219</v>
      </c>
      <c r="H356" s="20" t="s">
        <v>352</v>
      </c>
      <c r="I356" s="20" t="s">
        <v>353</v>
      </c>
      <c r="J356" s="20" t="s">
        <v>163</v>
      </c>
      <c r="K356" s="378" t="s">
        <v>354</v>
      </c>
      <c r="L356" s="20" t="s">
        <v>165</v>
      </c>
      <c r="M356" s="380">
        <v>2400</v>
      </c>
      <c r="N356" s="380"/>
      <c r="O356" s="380"/>
      <c r="P356" s="380"/>
      <c r="Q356" s="381">
        <v>288</v>
      </c>
      <c r="R356" s="381"/>
      <c r="S356" s="381"/>
      <c r="T356" s="381"/>
      <c r="U356" s="381"/>
      <c r="V356" s="382">
        <v>288</v>
      </c>
      <c r="W356" s="382">
        <v>0</v>
      </c>
      <c r="X356" s="381">
        <v>0.12</v>
      </c>
      <c r="Y356" s="381">
        <v>0</v>
      </c>
      <c r="Z356" s="381">
        <v>0</v>
      </c>
      <c r="AA356" s="381">
        <v>0</v>
      </c>
      <c r="AB356" s="381">
        <v>0</v>
      </c>
      <c r="AC356" s="382">
        <v>0.12</v>
      </c>
      <c r="AD356" s="382">
        <v>0</v>
      </c>
      <c r="AE356" s="381" t="s">
        <v>168</v>
      </c>
    </row>
    <row r="357" spans="1:31" ht="15" customHeight="1" x14ac:dyDescent="0.25">
      <c r="A357" s="20" t="s">
        <v>156</v>
      </c>
      <c r="B357" s="20" t="s">
        <v>534</v>
      </c>
      <c r="C357" s="20" t="s">
        <v>535</v>
      </c>
      <c r="D357" s="378" t="s">
        <v>694</v>
      </c>
      <c r="E357" s="379">
        <v>44788</v>
      </c>
      <c r="F357" s="379">
        <v>46113</v>
      </c>
      <c r="G357" s="378" t="s">
        <v>219</v>
      </c>
      <c r="H357" s="20" t="s">
        <v>352</v>
      </c>
      <c r="I357" s="20" t="s">
        <v>353</v>
      </c>
      <c r="J357" s="20" t="s">
        <v>163</v>
      </c>
      <c r="K357" s="378" t="s">
        <v>354</v>
      </c>
      <c r="L357" s="20" t="s">
        <v>165</v>
      </c>
      <c r="M357" s="380">
        <v>2400</v>
      </c>
      <c r="N357" s="380"/>
      <c r="O357" s="380"/>
      <c r="P357" s="380"/>
      <c r="Q357" s="381">
        <v>288</v>
      </c>
      <c r="R357" s="381"/>
      <c r="S357" s="381"/>
      <c r="T357" s="381"/>
      <c r="U357" s="381"/>
      <c r="V357" s="382">
        <v>288</v>
      </c>
      <c r="W357" s="382">
        <v>0</v>
      </c>
      <c r="X357" s="381">
        <v>0.12</v>
      </c>
      <c r="Y357" s="381">
        <v>0</v>
      </c>
      <c r="Z357" s="381">
        <v>0</v>
      </c>
      <c r="AA357" s="381">
        <v>0</v>
      </c>
      <c r="AB357" s="381">
        <v>0</v>
      </c>
      <c r="AC357" s="382">
        <v>0.12</v>
      </c>
      <c r="AD357" s="382">
        <v>0</v>
      </c>
      <c r="AE357" s="381" t="s">
        <v>168</v>
      </c>
    </row>
    <row r="358" spans="1:31" ht="15" customHeight="1" x14ac:dyDescent="0.25">
      <c r="A358" s="20" t="s">
        <v>156</v>
      </c>
      <c r="B358" s="20" t="s">
        <v>534</v>
      </c>
      <c r="C358" s="20" t="s">
        <v>535</v>
      </c>
      <c r="D358" s="378" t="s">
        <v>695</v>
      </c>
      <c r="E358" s="379">
        <v>44788</v>
      </c>
      <c r="F358" s="379">
        <v>46113</v>
      </c>
      <c r="G358" s="378" t="s">
        <v>219</v>
      </c>
      <c r="H358" s="20" t="s">
        <v>352</v>
      </c>
      <c r="I358" s="20" t="s">
        <v>353</v>
      </c>
      <c r="J358" s="20" t="s">
        <v>163</v>
      </c>
      <c r="K358" s="378" t="s">
        <v>354</v>
      </c>
      <c r="L358" s="20" t="s">
        <v>165</v>
      </c>
      <c r="M358" s="380">
        <v>2400</v>
      </c>
      <c r="N358" s="380"/>
      <c r="O358" s="380"/>
      <c r="P358" s="380"/>
      <c r="Q358" s="381">
        <v>230</v>
      </c>
      <c r="R358" s="381"/>
      <c r="S358" s="381"/>
      <c r="T358" s="381"/>
      <c r="U358" s="381"/>
      <c r="V358" s="382">
        <v>230</v>
      </c>
      <c r="W358" s="382">
        <v>0</v>
      </c>
      <c r="X358" s="381">
        <v>9.583333333333334E-2</v>
      </c>
      <c r="Y358" s="381">
        <v>0</v>
      </c>
      <c r="Z358" s="381">
        <v>0</v>
      </c>
      <c r="AA358" s="381">
        <v>0</v>
      </c>
      <c r="AB358" s="381">
        <v>0</v>
      </c>
      <c r="AC358" s="382">
        <v>9.583333333333334E-2</v>
      </c>
      <c r="AD358" s="382">
        <v>0</v>
      </c>
      <c r="AE358" s="381" t="s">
        <v>168</v>
      </c>
    </row>
    <row r="359" spans="1:31" ht="15" customHeight="1" x14ac:dyDescent="0.25">
      <c r="A359" s="20" t="s">
        <v>156</v>
      </c>
      <c r="B359" s="20" t="s">
        <v>534</v>
      </c>
      <c r="C359" s="20" t="s">
        <v>535</v>
      </c>
      <c r="D359" s="378" t="s">
        <v>696</v>
      </c>
      <c r="E359" s="379">
        <v>44788</v>
      </c>
      <c r="F359" s="379">
        <v>46113</v>
      </c>
      <c r="G359" s="378" t="s">
        <v>219</v>
      </c>
      <c r="H359" s="20" t="s">
        <v>352</v>
      </c>
      <c r="I359" s="20" t="s">
        <v>353</v>
      </c>
      <c r="J359" s="20" t="s">
        <v>163</v>
      </c>
      <c r="K359" s="378" t="s">
        <v>354</v>
      </c>
      <c r="L359" s="20" t="s">
        <v>165</v>
      </c>
      <c r="M359" s="380">
        <v>2400</v>
      </c>
      <c r="N359" s="380"/>
      <c r="O359" s="380"/>
      <c r="P359" s="380"/>
      <c r="Q359" s="381">
        <v>204</v>
      </c>
      <c r="R359" s="381"/>
      <c r="S359" s="381"/>
      <c r="T359" s="381"/>
      <c r="U359" s="381"/>
      <c r="V359" s="382">
        <v>204</v>
      </c>
      <c r="W359" s="382">
        <v>0</v>
      </c>
      <c r="X359" s="381">
        <v>8.5000000000000006E-2</v>
      </c>
      <c r="Y359" s="381">
        <v>0</v>
      </c>
      <c r="Z359" s="381">
        <v>0</v>
      </c>
      <c r="AA359" s="381">
        <v>0</v>
      </c>
      <c r="AB359" s="381">
        <v>0</v>
      </c>
      <c r="AC359" s="382">
        <v>8.5000000000000006E-2</v>
      </c>
      <c r="AD359" s="382">
        <v>0</v>
      </c>
      <c r="AE359" s="381" t="s">
        <v>168</v>
      </c>
    </row>
    <row r="360" spans="1:31" ht="15" customHeight="1" x14ac:dyDescent="0.25">
      <c r="A360" s="20" t="s">
        <v>156</v>
      </c>
      <c r="B360" s="20" t="s">
        <v>534</v>
      </c>
      <c r="C360" s="20" t="s">
        <v>535</v>
      </c>
      <c r="D360" s="378" t="s">
        <v>697</v>
      </c>
      <c r="E360" s="379">
        <v>44788</v>
      </c>
      <c r="F360" s="379">
        <v>46113</v>
      </c>
      <c r="G360" s="378" t="s">
        <v>219</v>
      </c>
      <c r="H360" s="20" t="s">
        <v>352</v>
      </c>
      <c r="I360" s="20" t="s">
        <v>353</v>
      </c>
      <c r="J360" s="20" t="s">
        <v>163</v>
      </c>
      <c r="K360" s="378" t="s">
        <v>354</v>
      </c>
      <c r="L360" s="20" t="s">
        <v>165</v>
      </c>
      <c r="M360" s="380">
        <v>2400</v>
      </c>
      <c r="N360" s="380"/>
      <c r="O360" s="380"/>
      <c r="P360" s="380"/>
      <c r="Q360" s="381">
        <v>175</v>
      </c>
      <c r="R360" s="381"/>
      <c r="S360" s="381"/>
      <c r="T360" s="381"/>
      <c r="U360" s="381"/>
      <c r="V360" s="382">
        <v>175</v>
      </c>
      <c r="W360" s="382">
        <v>0</v>
      </c>
      <c r="X360" s="381">
        <v>7.2916666666666671E-2</v>
      </c>
      <c r="Y360" s="381">
        <v>0</v>
      </c>
      <c r="Z360" s="381">
        <v>0</v>
      </c>
      <c r="AA360" s="381">
        <v>0</v>
      </c>
      <c r="AB360" s="381">
        <v>0</v>
      </c>
      <c r="AC360" s="382">
        <v>7.2916666666666671E-2</v>
      </c>
      <c r="AD360" s="382">
        <v>0</v>
      </c>
      <c r="AE360" s="381" t="s">
        <v>168</v>
      </c>
    </row>
    <row r="361" spans="1:31" ht="15" customHeight="1" x14ac:dyDescent="0.25">
      <c r="A361" s="20" t="s">
        <v>156</v>
      </c>
      <c r="B361" s="20" t="s">
        <v>534</v>
      </c>
      <c r="C361" s="20" t="s">
        <v>535</v>
      </c>
      <c r="D361" s="378" t="s">
        <v>698</v>
      </c>
      <c r="E361" s="379">
        <v>44788</v>
      </c>
      <c r="F361" s="379">
        <v>46113</v>
      </c>
      <c r="G361" s="378" t="s">
        <v>219</v>
      </c>
      <c r="H361" s="20" t="s">
        <v>352</v>
      </c>
      <c r="I361" s="20" t="s">
        <v>353</v>
      </c>
      <c r="J361" s="20" t="s">
        <v>163</v>
      </c>
      <c r="K361" s="378" t="s">
        <v>354</v>
      </c>
      <c r="L361" s="20" t="s">
        <v>165</v>
      </c>
      <c r="M361" s="380">
        <v>2400</v>
      </c>
      <c r="N361" s="380"/>
      <c r="O361" s="380"/>
      <c r="P361" s="380"/>
      <c r="Q361" s="381">
        <v>230</v>
      </c>
      <c r="R361" s="381"/>
      <c r="S361" s="381"/>
      <c r="T361" s="381"/>
      <c r="U361" s="381"/>
      <c r="V361" s="382">
        <v>230</v>
      </c>
      <c r="W361" s="382">
        <v>0</v>
      </c>
      <c r="X361" s="381">
        <v>9.583333333333334E-2</v>
      </c>
      <c r="Y361" s="381">
        <v>0</v>
      </c>
      <c r="Z361" s="381">
        <v>0</v>
      </c>
      <c r="AA361" s="381">
        <v>0</v>
      </c>
      <c r="AB361" s="381">
        <v>0</v>
      </c>
      <c r="AC361" s="382">
        <v>9.583333333333334E-2</v>
      </c>
      <c r="AD361" s="382">
        <v>0</v>
      </c>
      <c r="AE361" s="381" t="s">
        <v>168</v>
      </c>
    </row>
    <row r="362" spans="1:31" ht="15" customHeight="1" x14ac:dyDescent="0.25">
      <c r="A362" s="20" t="s">
        <v>156</v>
      </c>
      <c r="B362" s="20" t="s">
        <v>534</v>
      </c>
      <c r="C362" s="20" t="s">
        <v>535</v>
      </c>
      <c r="D362" s="378" t="s">
        <v>699</v>
      </c>
      <c r="E362" s="379">
        <v>44788</v>
      </c>
      <c r="F362" s="379">
        <v>46113</v>
      </c>
      <c r="G362" s="378" t="s">
        <v>219</v>
      </c>
      <c r="H362" s="20" t="s">
        <v>352</v>
      </c>
      <c r="I362" s="20" t="s">
        <v>353</v>
      </c>
      <c r="J362" s="20" t="s">
        <v>163</v>
      </c>
      <c r="K362" s="378" t="s">
        <v>354</v>
      </c>
      <c r="L362" s="20" t="s">
        <v>165</v>
      </c>
      <c r="M362" s="380">
        <v>2400</v>
      </c>
      <c r="N362" s="380"/>
      <c r="O362" s="380"/>
      <c r="P362" s="380"/>
      <c r="Q362" s="381">
        <v>209</v>
      </c>
      <c r="R362" s="381"/>
      <c r="S362" s="381"/>
      <c r="T362" s="381"/>
      <c r="U362" s="381"/>
      <c r="V362" s="382">
        <v>209</v>
      </c>
      <c r="W362" s="382">
        <v>0</v>
      </c>
      <c r="X362" s="381">
        <v>8.7083333333333332E-2</v>
      </c>
      <c r="Y362" s="381">
        <v>0</v>
      </c>
      <c r="Z362" s="381">
        <v>0</v>
      </c>
      <c r="AA362" s="381">
        <v>0</v>
      </c>
      <c r="AB362" s="381">
        <v>0</v>
      </c>
      <c r="AC362" s="382">
        <v>8.7083333333333332E-2</v>
      </c>
      <c r="AD362" s="382">
        <v>0</v>
      </c>
      <c r="AE362" s="381" t="s">
        <v>168</v>
      </c>
    </row>
    <row r="363" spans="1:31" ht="15" customHeight="1" x14ac:dyDescent="0.25">
      <c r="A363" s="20" t="s">
        <v>156</v>
      </c>
      <c r="B363" s="20" t="s">
        <v>534</v>
      </c>
      <c r="C363" s="20" t="s">
        <v>535</v>
      </c>
      <c r="D363" s="378" t="s">
        <v>700</v>
      </c>
      <c r="E363" s="379">
        <v>44788</v>
      </c>
      <c r="F363" s="379">
        <v>46113</v>
      </c>
      <c r="G363" s="378" t="s">
        <v>219</v>
      </c>
      <c r="H363" s="20" t="s">
        <v>352</v>
      </c>
      <c r="I363" s="20" t="s">
        <v>353</v>
      </c>
      <c r="J363" s="20" t="s">
        <v>163</v>
      </c>
      <c r="K363" s="378" t="s">
        <v>354</v>
      </c>
      <c r="L363" s="20" t="s">
        <v>165</v>
      </c>
      <c r="M363" s="380">
        <v>2400</v>
      </c>
      <c r="N363" s="380"/>
      <c r="O363" s="380"/>
      <c r="P363" s="380"/>
      <c r="Q363" s="381">
        <v>202</v>
      </c>
      <c r="R363" s="381"/>
      <c r="S363" s="381"/>
      <c r="T363" s="381"/>
      <c r="U363" s="381"/>
      <c r="V363" s="382">
        <v>202</v>
      </c>
      <c r="W363" s="382">
        <v>0</v>
      </c>
      <c r="X363" s="381">
        <v>8.4166666666666667E-2</v>
      </c>
      <c r="Y363" s="381">
        <v>0</v>
      </c>
      <c r="Z363" s="381">
        <v>0</v>
      </c>
      <c r="AA363" s="381">
        <v>0</v>
      </c>
      <c r="AB363" s="381">
        <v>0</v>
      </c>
      <c r="AC363" s="382">
        <v>8.4166666666666667E-2</v>
      </c>
      <c r="AD363" s="382">
        <v>0</v>
      </c>
      <c r="AE363" s="381" t="s">
        <v>168</v>
      </c>
    </row>
    <row r="364" spans="1:31" ht="15" customHeight="1" x14ac:dyDescent="0.25">
      <c r="A364" s="20" t="s">
        <v>156</v>
      </c>
      <c r="B364" s="20" t="s">
        <v>534</v>
      </c>
      <c r="C364" s="20" t="s">
        <v>535</v>
      </c>
      <c r="D364" s="378" t="s">
        <v>701</v>
      </c>
      <c r="E364" s="379">
        <v>44788</v>
      </c>
      <c r="F364" s="379">
        <v>46113</v>
      </c>
      <c r="G364" s="378" t="s">
        <v>219</v>
      </c>
      <c r="H364" s="20" t="s">
        <v>352</v>
      </c>
      <c r="I364" s="20" t="s">
        <v>353</v>
      </c>
      <c r="J364" s="20" t="s">
        <v>163</v>
      </c>
      <c r="K364" s="378" t="s">
        <v>354</v>
      </c>
      <c r="L364" s="20" t="s">
        <v>165</v>
      </c>
      <c r="M364" s="380">
        <v>2400</v>
      </c>
      <c r="N364" s="380"/>
      <c r="O364" s="380"/>
      <c r="P364" s="380"/>
      <c r="Q364" s="381">
        <v>184</v>
      </c>
      <c r="R364" s="381"/>
      <c r="S364" s="381"/>
      <c r="T364" s="381"/>
      <c r="U364" s="381"/>
      <c r="V364" s="382">
        <v>184</v>
      </c>
      <c r="W364" s="382">
        <v>0</v>
      </c>
      <c r="X364" s="381">
        <v>7.6666666666666661E-2</v>
      </c>
      <c r="Y364" s="381">
        <v>0</v>
      </c>
      <c r="Z364" s="381">
        <v>0</v>
      </c>
      <c r="AA364" s="381">
        <v>0</v>
      </c>
      <c r="AB364" s="381">
        <v>0</v>
      </c>
      <c r="AC364" s="382">
        <v>7.6666666666666661E-2</v>
      </c>
      <c r="AD364" s="382">
        <v>0</v>
      </c>
      <c r="AE364" s="381" t="s">
        <v>168</v>
      </c>
    </row>
    <row r="365" spans="1:31" ht="15" customHeight="1" x14ac:dyDescent="0.25">
      <c r="A365" s="20" t="s">
        <v>156</v>
      </c>
      <c r="B365" s="20" t="s">
        <v>534</v>
      </c>
      <c r="C365" s="20" t="s">
        <v>535</v>
      </c>
      <c r="D365" s="378" t="s">
        <v>702</v>
      </c>
      <c r="E365" s="379">
        <v>44788</v>
      </c>
      <c r="F365" s="379">
        <v>46113</v>
      </c>
      <c r="G365" s="378" t="s">
        <v>219</v>
      </c>
      <c r="H365" s="20" t="s">
        <v>352</v>
      </c>
      <c r="I365" s="20" t="s">
        <v>353</v>
      </c>
      <c r="J365" s="20" t="s">
        <v>163</v>
      </c>
      <c r="K365" s="378" t="s">
        <v>354</v>
      </c>
      <c r="L365" s="20" t="s">
        <v>165</v>
      </c>
      <c r="M365" s="380">
        <v>2400</v>
      </c>
      <c r="N365" s="380"/>
      <c r="O365" s="380"/>
      <c r="P365" s="380"/>
      <c r="Q365" s="381">
        <v>252</v>
      </c>
      <c r="R365" s="381"/>
      <c r="S365" s="381"/>
      <c r="T365" s="381"/>
      <c r="U365" s="381"/>
      <c r="V365" s="382">
        <v>252</v>
      </c>
      <c r="W365" s="382">
        <v>0</v>
      </c>
      <c r="X365" s="381">
        <v>0.105</v>
      </c>
      <c r="Y365" s="381">
        <v>0</v>
      </c>
      <c r="Z365" s="381">
        <v>0</v>
      </c>
      <c r="AA365" s="381">
        <v>0</v>
      </c>
      <c r="AB365" s="381">
        <v>0</v>
      </c>
      <c r="AC365" s="382">
        <v>0.105</v>
      </c>
      <c r="AD365" s="382">
        <v>0</v>
      </c>
      <c r="AE365" s="381" t="s">
        <v>168</v>
      </c>
    </row>
    <row r="366" spans="1:31" ht="15" customHeight="1" x14ac:dyDescent="0.25">
      <c r="A366" s="20" t="s">
        <v>156</v>
      </c>
      <c r="B366" s="20" t="s">
        <v>534</v>
      </c>
      <c r="C366" s="20" t="s">
        <v>535</v>
      </c>
      <c r="D366" s="378" t="s">
        <v>703</v>
      </c>
      <c r="E366" s="379">
        <v>44788</v>
      </c>
      <c r="F366" s="379">
        <v>46113</v>
      </c>
      <c r="G366" s="378" t="s">
        <v>378</v>
      </c>
      <c r="H366" s="20" t="s">
        <v>352</v>
      </c>
      <c r="I366" s="20" t="s">
        <v>353</v>
      </c>
      <c r="J366" s="20" t="s">
        <v>163</v>
      </c>
      <c r="K366" s="378" t="s">
        <v>354</v>
      </c>
      <c r="L366" s="20" t="s">
        <v>165</v>
      </c>
      <c r="M366" s="380">
        <v>2400</v>
      </c>
      <c r="N366" s="380"/>
      <c r="O366" s="380"/>
      <c r="P366" s="380"/>
      <c r="Q366" s="381">
        <v>285</v>
      </c>
      <c r="R366" s="381"/>
      <c r="S366" s="381"/>
      <c r="T366" s="381"/>
      <c r="U366" s="381"/>
      <c r="V366" s="382">
        <v>285</v>
      </c>
      <c r="W366" s="382">
        <v>0</v>
      </c>
      <c r="X366" s="381">
        <v>0.11874999999999999</v>
      </c>
      <c r="Y366" s="381">
        <v>0</v>
      </c>
      <c r="Z366" s="381">
        <v>0</v>
      </c>
      <c r="AA366" s="381">
        <v>0</v>
      </c>
      <c r="AB366" s="381">
        <v>0</v>
      </c>
      <c r="AC366" s="382">
        <v>0.11874999999999999</v>
      </c>
      <c r="AD366" s="382">
        <v>0</v>
      </c>
      <c r="AE366" s="381" t="s">
        <v>168</v>
      </c>
    </row>
    <row r="367" spans="1:31" ht="15" customHeight="1" x14ac:dyDescent="0.25">
      <c r="A367" s="20" t="s">
        <v>156</v>
      </c>
      <c r="B367" s="20" t="s">
        <v>534</v>
      </c>
      <c r="C367" s="20" t="s">
        <v>535</v>
      </c>
      <c r="D367" s="378" t="s">
        <v>704</v>
      </c>
      <c r="E367" s="379">
        <v>44788</v>
      </c>
      <c r="F367" s="379">
        <v>46113</v>
      </c>
      <c r="G367" s="378" t="s">
        <v>378</v>
      </c>
      <c r="H367" s="20" t="s">
        <v>352</v>
      </c>
      <c r="I367" s="20" t="s">
        <v>353</v>
      </c>
      <c r="J367" s="20" t="s">
        <v>163</v>
      </c>
      <c r="K367" s="378" t="s">
        <v>354</v>
      </c>
      <c r="L367" s="20" t="s">
        <v>165</v>
      </c>
      <c r="M367" s="380">
        <v>2400</v>
      </c>
      <c r="N367" s="380"/>
      <c r="O367" s="380"/>
      <c r="P367" s="380"/>
      <c r="Q367" s="381">
        <v>227</v>
      </c>
      <c r="R367" s="381"/>
      <c r="S367" s="381"/>
      <c r="T367" s="381"/>
      <c r="U367" s="381"/>
      <c r="V367" s="382">
        <v>227</v>
      </c>
      <c r="W367" s="382">
        <v>0</v>
      </c>
      <c r="X367" s="381">
        <v>9.4583333333333339E-2</v>
      </c>
      <c r="Y367" s="381">
        <v>0</v>
      </c>
      <c r="Z367" s="381">
        <v>0</v>
      </c>
      <c r="AA367" s="381">
        <v>0</v>
      </c>
      <c r="AB367" s="381">
        <v>0</v>
      </c>
      <c r="AC367" s="382">
        <v>9.4583333333333339E-2</v>
      </c>
      <c r="AD367" s="382">
        <v>0</v>
      </c>
      <c r="AE367" s="381" t="s">
        <v>168</v>
      </c>
    </row>
    <row r="368" spans="1:31" ht="15" customHeight="1" x14ac:dyDescent="0.25">
      <c r="A368" s="20" t="s">
        <v>156</v>
      </c>
      <c r="B368" s="20" t="s">
        <v>534</v>
      </c>
      <c r="C368" s="20" t="s">
        <v>535</v>
      </c>
      <c r="D368" s="378" t="s">
        <v>705</v>
      </c>
      <c r="E368" s="379">
        <v>44788</v>
      </c>
      <c r="F368" s="379">
        <v>46113</v>
      </c>
      <c r="G368" s="378" t="s">
        <v>378</v>
      </c>
      <c r="H368" s="20" t="s">
        <v>352</v>
      </c>
      <c r="I368" s="20" t="s">
        <v>353</v>
      </c>
      <c r="J368" s="20" t="s">
        <v>163</v>
      </c>
      <c r="K368" s="378" t="s">
        <v>354</v>
      </c>
      <c r="L368" s="20" t="s">
        <v>165</v>
      </c>
      <c r="M368" s="380">
        <v>2400</v>
      </c>
      <c r="N368" s="380"/>
      <c r="O368" s="380"/>
      <c r="P368" s="380"/>
      <c r="Q368" s="381">
        <v>254</v>
      </c>
      <c r="R368" s="381"/>
      <c r="S368" s="381"/>
      <c r="T368" s="381"/>
      <c r="U368" s="381"/>
      <c r="V368" s="382">
        <v>254</v>
      </c>
      <c r="W368" s="382">
        <v>0</v>
      </c>
      <c r="X368" s="381">
        <v>0.10583333333333333</v>
      </c>
      <c r="Y368" s="381">
        <v>0</v>
      </c>
      <c r="Z368" s="381">
        <v>0</v>
      </c>
      <c r="AA368" s="381">
        <v>0</v>
      </c>
      <c r="AB368" s="381">
        <v>0</v>
      </c>
      <c r="AC368" s="382">
        <v>0.10583333333333333</v>
      </c>
      <c r="AD368" s="382">
        <v>0</v>
      </c>
      <c r="AE368" s="381" t="s">
        <v>168</v>
      </c>
    </row>
    <row r="369" spans="1:31" ht="15" customHeight="1" x14ac:dyDescent="0.25">
      <c r="A369" s="20" t="s">
        <v>156</v>
      </c>
      <c r="B369" s="20" t="s">
        <v>534</v>
      </c>
      <c r="C369" s="20" t="s">
        <v>535</v>
      </c>
      <c r="D369" s="378" t="s">
        <v>706</v>
      </c>
      <c r="E369" s="379">
        <v>44788</v>
      </c>
      <c r="F369" s="379">
        <v>46113</v>
      </c>
      <c r="G369" s="378" t="s">
        <v>378</v>
      </c>
      <c r="H369" s="20" t="s">
        <v>352</v>
      </c>
      <c r="I369" s="20" t="s">
        <v>353</v>
      </c>
      <c r="J369" s="20" t="s">
        <v>163</v>
      </c>
      <c r="K369" s="378" t="s">
        <v>354</v>
      </c>
      <c r="L369" s="20" t="s">
        <v>165</v>
      </c>
      <c r="M369" s="380">
        <v>2400</v>
      </c>
      <c r="N369" s="380"/>
      <c r="O369" s="380"/>
      <c r="P369" s="380"/>
      <c r="Q369" s="381">
        <v>199</v>
      </c>
      <c r="R369" s="381"/>
      <c r="S369" s="381"/>
      <c r="T369" s="381"/>
      <c r="U369" s="381"/>
      <c r="V369" s="382">
        <v>199</v>
      </c>
      <c r="W369" s="382">
        <v>0</v>
      </c>
      <c r="X369" s="381">
        <v>8.2916666666666666E-2</v>
      </c>
      <c r="Y369" s="381">
        <v>0</v>
      </c>
      <c r="Z369" s="381">
        <v>0</v>
      </c>
      <c r="AA369" s="381">
        <v>0</v>
      </c>
      <c r="AB369" s="381">
        <v>0</v>
      </c>
      <c r="AC369" s="382">
        <v>8.2916666666666666E-2</v>
      </c>
      <c r="AD369" s="382">
        <v>0</v>
      </c>
      <c r="AE369" s="381" t="s">
        <v>168</v>
      </c>
    </row>
    <row r="370" spans="1:31" ht="15" customHeight="1" x14ac:dyDescent="0.25">
      <c r="A370" s="20" t="s">
        <v>156</v>
      </c>
      <c r="B370" s="20" t="s">
        <v>534</v>
      </c>
      <c r="C370" s="20" t="s">
        <v>535</v>
      </c>
      <c r="D370" s="378" t="s">
        <v>707</v>
      </c>
      <c r="E370" s="379">
        <v>44788</v>
      </c>
      <c r="F370" s="379">
        <v>46113</v>
      </c>
      <c r="G370" s="378" t="s">
        <v>378</v>
      </c>
      <c r="H370" s="20" t="s">
        <v>352</v>
      </c>
      <c r="I370" s="20" t="s">
        <v>353</v>
      </c>
      <c r="J370" s="20" t="s">
        <v>163</v>
      </c>
      <c r="K370" s="378" t="s">
        <v>354</v>
      </c>
      <c r="L370" s="20" t="s">
        <v>165</v>
      </c>
      <c r="M370" s="380">
        <v>2400</v>
      </c>
      <c r="N370" s="380"/>
      <c r="O370" s="380"/>
      <c r="P370" s="380"/>
      <c r="Q370" s="381">
        <v>162</v>
      </c>
      <c r="R370" s="381"/>
      <c r="S370" s="381"/>
      <c r="T370" s="381"/>
      <c r="U370" s="381"/>
      <c r="V370" s="382">
        <v>162</v>
      </c>
      <c r="W370" s="382">
        <v>0</v>
      </c>
      <c r="X370" s="381">
        <v>6.7500000000000004E-2</v>
      </c>
      <c r="Y370" s="381">
        <v>0</v>
      </c>
      <c r="Z370" s="381">
        <v>0</v>
      </c>
      <c r="AA370" s="381">
        <v>0</v>
      </c>
      <c r="AB370" s="381">
        <v>0</v>
      </c>
      <c r="AC370" s="382">
        <v>6.7500000000000004E-2</v>
      </c>
      <c r="AD370" s="382">
        <v>0</v>
      </c>
      <c r="AE370" s="381" t="s">
        <v>168</v>
      </c>
    </row>
    <row r="371" spans="1:31" ht="15" customHeight="1" x14ac:dyDescent="0.25">
      <c r="A371" s="20" t="s">
        <v>156</v>
      </c>
      <c r="B371" s="20" t="s">
        <v>534</v>
      </c>
      <c r="C371" s="20" t="s">
        <v>535</v>
      </c>
      <c r="D371" s="378" t="s">
        <v>708</v>
      </c>
      <c r="E371" s="379">
        <v>44788</v>
      </c>
      <c r="F371" s="379">
        <v>46113</v>
      </c>
      <c r="G371" s="378" t="s">
        <v>378</v>
      </c>
      <c r="H371" s="20" t="s">
        <v>352</v>
      </c>
      <c r="I371" s="20" t="s">
        <v>353</v>
      </c>
      <c r="J371" s="20" t="s">
        <v>163</v>
      </c>
      <c r="K371" s="378" t="s">
        <v>354</v>
      </c>
      <c r="L371" s="20" t="s">
        <v>165</v>
      </c>
      <c r="M371" s="380">
        <v>2400</v>
      </c>
      <c r="N371" s="380"/>
      <c r="O371" s="380"/>
      <c r="P371" s="380"/>
      <c r="Q371" s="381">
        <v>227</v>
      </c>
      <c r="R371" s="381"/>
      <c r="S371" s="381"/>
      <c r="T371" s="381"/>
      <c r="U371" s="381"/>
      <c r="V371" s="382">
        <v>227</v>
      </c>
      <c r="W371" s="382">
        <v>0</v>
      </c>
      <c r="X371" s="381">
        <v>9.4583333333333339E-2</v>
      </c>
      <c r="Y371" s="381">
        <v>0</v>
      </c>
      <c r="Z371" s="381">
        <v>0</v>
      </c>
      <c r="AA371" s="381">
        <v>0</v>
      </c>
      <c r="AB371" s="381">
        <v>0</v>
      </c>
      <c r="AC371" s="382">
        <v>9.4583333333333339E-2</v>
      </c>
      <c r="AD371" s="382">
        <v>0</v>
      </c>
      <c r="AE371" s="381" t="s">
        <v>168</v>
      </c>
    </row>
    <row r="372" spans="1:31" ht="15" customHeight="1" x14ac:dyDescent="0.25">
      <c r="A372" s="20" t="s">
        <v>156</v>
      </c>
      <c r="B372" s="20" t="s">
        <v>534</v>
      </c>
      <c r="C372" s="20" t="s">
        <v>535</v>
      </c>
      <c r="D372" s="378" t="s">
        <v>709</v>
      </c>
      <c r="E372" s="379">
        <v>44788</v>
      </c>
      <c r="F372" s="379">
        <v>46113</v>
      </c>
      <c r="G372" s="378" t="s">
        <v>378</v>
      </c>
      <c r="H372" s="20" t="s">
        <v>352</v>
      </c>
      <c r="I372" s="20" t="s">
        <v>353</v>
      </c>
      <c r="J372" s="20" t="s">
        <v>163</v>
      </c>
      <c r="K372" s="378" t="s">
        <v>354</v>
      </c>
      <c r="L372" s="20" t="s">
        <v>165</v>
      </c>
      <c r="M372" s="380">
        <v>2400</v>
      </c>
      <c r="N372" s="380"/>
      <c r="O372" s="380"/>
      <c r="P372" s="380"/>
      <c r="Q372" s="381">
        <v>203</v>
      </c>
      <c r="R372" s="381"/>
      <c r="S372" s="381"/>
      <c r="T372" s="381"/>
      <c r="U372" s="381"/>
      <c r="V372" s="382">
        <v>203</v>
      </c>
      <c r="W372" s="382">
        <v>0</v>
      </c>
      <c r="X372" s="381">
        <v>8.458333333333333E-2</v>
      </c>
      <c r="Y372" s="381">
        <v>0</v>
      </c>
      <c r="Z372" s="381">
        <v>0</v>
      </c>
      <c r="AA372" s="381">
        <v>0</v>
      </c>
      <c r="AB372" s="381">
        <v>0</v>
      </c>
      <c r="AC372" s="382">
        <v>8.458333333333333E-2</v>
      </c>
      <c r="AD372" s="382">
        <v>0</v>
      </c>
      <c r="AE372" s="381" t="s">
        <v>168</v>
      </c>
    </row>
    <row r="373" spans="1:31" ht="15" customHeight="1" x14ac:dyDescent="0.25">
      <c r="A373" s="20" t="s">
        <v>156</v>
      </c>
      <c r="B373" s="20" t="s">
        <v>534</v>
      </c>
      <c r="C373" s="20" t="s">
        <v>535</v>
      </c>
      <c r="D373" s="378" t="s">
        <v>710</v>
      </c>
      <c r="E373" s="379">
        <v>44788</v>
      </c>
      <c r="F373" s="379">
        <v>46113</v>
      </c>
      <c r="G373" s="378" t="s">
        <v>378</v>
      </c>
      <c r="H373" s="20" t="s">
        <v>352</v>
      </c>
      <c r="I373" s="20" t="s">
        <v>353</v>
      </c>
      <c r="J373" s="20" t="s">
        <v>163</v>
      </c>
      <c r="K373" s="378" t="s">
        <v>354</v>
      </c>
      <c r="L373" s="20" t="s">
        <v>165</v>
      </c>
      <c r="M373" s="380">
        <v>2400</v>
      </c>
      <c r="N373" s="380"/>
      <c r="O373" s="380"/>
      <c r="P373" s="380"/>
      <c r="Q373" s="381">
        <v>198</v>
      </c>
      <c r="R373" s="381"/>
      <c r="S373" s="381"/>
      <c r="T373" s="381"/>
      <c r="U373" s="381"/>
      <c r="V373" s="382">
        <v>198</v>
      </c>
      <c r="W373" s="382">
        <v>0</v>
      </c>
      <c r="X373" s="381">
        <v>8.2500000000000004E-2</v>
      </c>
      <c r="Y373" s="381">
        <v>0</v>
      </c>
      <c r="Z373" s="381">
        <v>0</v>
      </c>
      <c r="AA373" s="381">
        <v>0</v>
      </c>
      <c r="AB373" s="381">
        <v>0</v>
      </c>
      <c r="AC373" s="382">
        <v>8.2500000000000004E-2</v>
      </c>
      <c r="AD373" s="382">
        <v>0</v>
      </c>
      <c r="AE373" s="381" t="s">
        <v>168</v>
      </c>
    </row>
    <row r="374" spans="1:31" ht="15" customHeight="1" x14ac:dyDescent="0.25">
      <c r="A374" s="20" t="s">
        <v>156</v>
      </c>
      <c r="B374" s="20" t="s">
        <v>534</v>
      </c>
      <c r="C374" s="20" t="s">
        <v>535</v>
      </c>
      <c r="D374" s="378" t="s">
        <v>711</v>
      </c>
      <c r="E374" s="379">
        <v>44788</v>
      </c>
      <c r="F374" s="379">
        <v>46113</v>
      </c>
      <c r="G374" s="378" t="s">
        <v>378</v>
      </c>
      <c r="H374" s="20" t="s">
        <v>352</v>
      </c>
      <c r="I374" s="20" t="s">
        <v>353</v>
      </c>
      <c r="J374" s="20" t="s">
        <v>163</v>
      </c>
      <c r="K374" s="378" t="s">
        <v>354</v>
      </c>
      <c r="L374" s="20" t="s">
        <v>165</v>
      </c>
      <c r="M374" s="380">
        <v>2400</v>
      </c>
      <c r="N374" s="380"/>
      <c r="O374" s="380"/>
      <c r="P374" s="380"/>
      <c r="Q374" s="381">
        <v>180</v>
      </c>
      <c r="R374" s="381"/>
      <c r="S374" s="381"/>
      <c r="T374" s="381"/>
      <c r="U374" s="381"/>
      <c r="V374" s="382">
        <v>180</v>
      </c>
      <c r="W374" s="382">
        <v>0</v>
      </c>
      <c r="X374" s="381">
        <v>7.4999999999999997E-2</v>
      </c>
      <c r="Y374" s="381">
        <v>0</v>
      </c>
      <c r="Z374" s="381">
        <v>0</v>
      </c>
      <c r="AA374" s="381">
        <v>0</v>
      </c>
      <c r="AB374" s="381">
        <v>0</v>
      </c>
      <c r="AC374" s="382">
        <v>7.4999999999999997E-2</v>
      </c>
      <c r="AD374" s="382">
        <v>0</v>
      </c>
      <c r="AE374" s="381" t="s">
        <v>168</v>
      </c>
    </row>
    <row r="375" spans="1:31" ht="15" customHeight="1" x14ac:dyDescent="0.25">
      <c r="A375" s="20" t="s">
        <v>156</v>
      </c>
      <c r="B375" s="20" t="s">
        <v>534</v>
      </c>
      <c r="C375" s="20" t="s">
        <v>535</v>
      </c>
      <c r="D375" s="378" t="s">
        <v>712</v>
      </c>
      <c r="E375" s="379">
        <v>44484</v>
      </c>
      <c r="F375" s="379">
        <v>46143</v>
      </c>
      <c r="G375" s="378" t="s">
        <v>387</v>
      </c>
      <c r="H375" s="20" t="s">
        <v>388</v>
      </c>
      <c r="I375" s="20">
        <v>0</v>
      </c>
      <c r="J375" s="20" t="s">
        <v>163</v>
      </c>
      <c r="K375" s="378" t="s">
        <v>389</v>
      </c>
      <c r="L375" s="20" t="s">
        <v>165</v>
      </c>
      <c r="M375" s="380">
        <v>2400</v>
      </c>
      <c r="N375" s="380"/>
      <c r="O375" s="380"/>
      <c r="P375" s="380"/>
      <c r="Q375" s="381">
        <v>279</v>
      </c>
      <c r="R375" s="381"/>
      <c r="S375" s="381"/>
      <c r="T375" s="381"/>
      <c r="U375" s="381"/>
      <c r="V375" s="382">
        <v>279</v>
      </c>
      <c r="W375" s="382">
        <v>0</v>
      </c>
      <c r="X375" s="381">
        <v>0.11625000000000001</v>
      </c>
      <c r="Y375" s="381">
        <v>0</v>
      </c>
      <c r="Z375" s="381">
        <v>0</v>
      </c>
      <c r="AA375" s="381">
        <v>0</v>
      </c>
      <c r="AB375" s="381">
        <v>0</v>
      </c>
      <c r="AC375" s="382">
        <v>0.11625000000000001</v>
      </c>
      <c r="AD375" s="382">
        <v>0</v>
      </c>
      <c r="AE375" s="381" t="s">
        <v>168</v>
      </c>
    </row>
    <row r="376" spans="1:31" ht="15" customHeight="1" x14ac:dyDescent="0.25">
      <c r="A376" s="20" t="s">
        <v>156</v>
      </c>
      <c r="B376" s="20" t="s">
        <v>534</v>
      </c>
      <c r="C376" s="20" t="s">
        <v>535</v>
      </c>
      <c r="D376" s="378" t="s">
        <v>713</v>
      </c>
      <c r="E376" s="379">
        <v>44484</v>
      </c>
      <c r="F376" s="379">
        <v>46143</v>
      </c>
      <c r="G376" s="378" t="s">
        <v>387</v>
      </c>
      <c r="H376" s="20" t="s">
        <v>388</v>
      </c>
      <c r="I376" s="20">
        <v>0</v>
      </c>
      <c r="J376" s="20" t="s">
        <v>163</v>
      </c>
      <c r="K376" s="378" t="s">
        <v>389</v>
      </c>
      <c r="L376" s="20" t="s">
        <v>165</v>
      </c>
      <c r="M376" s="380">
        <v>2400</v>
      </c>
      <c r="N376" s="380"/>
      <c r="O376" s="380"/>
      <c r="P376" s="380"/>
      <c r="Q376" s="381">
        <v>257</v>
      </c>
      <c r="R376" s="381"/>
      <c r="S376" s="381"/>
      <c r="T376" s="381"/>
      <c r="U376" s="381"/>
      <c r="V376" s="382">
        <v>257</v>
      </c>
      <c r="W376" s="382">
        <v>0</v>
      </c>
      <c r="X376" s="381">
        <v>0.10708333333333334</v>
      </c>
      <c r="Y376" s="381">
        <v>0</v>
      </c>
      <c r="Z376" s="381">
        <v>0</v>
      </c>
      <c r="AA376" s="381">
        <v>0</v>
      </c>
      <c r="AB376" s="381">
        <v>0</v>
      </c>
      <c r="AC376" s="382">
        <v>0.10708333333333334</v>
      </c>
      <c r="AD376" s="382">
        <v>0</v>
      </c>
      <c r="AE376" s="381" t="s">
        <v>168</v>
      </c>
    </row>
    <row r="377" spans="1:31" ht="15" customHeight="1" x14ac:dyDescent="0.25">
      <c r="A377" s="20" t="s">
        <v>156</v>
      </c>
      <c r="B377" s="20" t="s">
        <v>534</v>
      </c>
      <c r="C377" s="20" t="s">
        <v>535</v>
      </c>
      <c r="D377" s="378" t="s">
        <v>714</v>
      </c>
      <c r="E377" s="379">
        <v>44484</v>
      </c>
      <c r="F377" s="379">
        <v>46143</v>
      </c>
      <c r="G377" s="378" t="s">
        <v>391</v>
      </c>
      <c r="H377" s="20" t="s">
        <v>388</v>
      </c>
      <c r="I377" s="20">
        <v>0</v>
      </c>
      <c r="J377" s="20" t="s">
        <v>163</v>
      </c>
      <c r="K377" s="378" t="s">
        <v>389</v>
      </c>
      <c r="L377" s="20" t="s">
        <v>165</v>
      </c>
      <c r="M377" s="380">
        <v>2400</v>
      </c>
      <c r="N377" s="380"/>
      <c r="O377" s="380"/>
      <c r="P377" s="380"/>
      <c r="Q377" s="381">
        <v>278</v>
      </c>
      <c r="R377" s="381"/>
      <c r="S377" s="381"/>
      <c r="T377" s="381"/>
      <c r="U377" s="381"/>
      <c r="V377" s="382">
        <v>278</v>
      </c>
      <c r="W377" s="382">
        <v>0</v>
      </c>
      <c r="X377" s="381">
        <v>0.11583333333333333</v>
      </c>
      <c r="Y377" s="381">
        <v>0</v>
      </c>
      <c r="Z377" s="381">
        <v>0</v>
      </c>
      <c r="AA377" s="381">
        <v>0</v>
      </c>
      <c r="AB377" s="381">
        <v>0</v>
      </c>
      <c r="AC377" s="382">
        <v>0.11583333333333333</v>
      </c>
      <c r="AD377" s="382">
        <v>0</v>
      </c>
      <c r="AE377" s="381" t="s">
        <v>168</v>
      </c>
    </row>
    <row r="378" spans="1:31" ht="15" customHeight="1" x14ac:dyDescent="0.25">
      <c r="A378" s="20" t="s">
        <v>156</v>
      </c>
      <c r="B378" s="20" t="s">
        <v>534</v>
      </c>
      <c r="C378" s="20" t="s">
        <v>535</v>
      </c>
      <c r="D378" s="378" t="s">
        <v>715</v>
      </c>
      <c r="E378" s="379">
        <v>44484</v>
      </c>
      <c r="F378" s="379">
        <v>46143</v>
      </c>
      <c r="G378" s="378" t="s">
        <v>391</v>
      </c>
      <c r="H378" s="20" t="s">
        <v>388</v>
      </c>
      <c r="I378" s="20">
        <v>0</v>
      </c>
      <c r="J378" s="20" t="s">
        <v>163</v>
      </c>
      <c r="K378" s="378" t="s">
        <v>389</v>
      </c>
      <c r="L378" s="20" t="s">
        <v>165</v>
      </c>
      <c r="M378" s="380">
        <v>2400</v>
      </c>
      <c r="N378" s="380"/>
      <c r="O378" s="380"/>
      <c r="P378" s="380"/>
      <c r="Q378" s="381">
        <v>251</v>
      </c>
      <c r="R378" s="381"/>
      <c r="S378" s="381"/>
      <c r="T378" s="381"/>
      <c r="U378" s="381"/>
      <c r="V378" s="382">
        <v>251</v>
      </c>
      <c r="W378" s="382">
        <v>0</v>
      </c>
      <c r="X378" s="381">
        <v>0.10458333333333333</v>
      </c>
      <c r="Y378" s="381">
        <v>0</v>
      </c>
      <c r="Z378" s="381">
        <v>0</v>
      </c>
      <c r="AA378" s="381">
        <v>0</v>
      </c>
      <c r="AB378" s="381">
        <v>0</v>
      </c>
      <c r="AC378" s="382">
        <v>0.10458333333333333</v>
      </c>
      <c r="AD378" s="382">
        <v>0</v>
      </c>
      <c r="AE378" s="381" t="s">
        <v>168</v>
      </c>
    </row>
    <row r="379" spans="1:31" ht="15" customHeight="1" x14ac:dyDescent="0.25">
      <c r="A379" s="20" t="s">
        <v>156</v>
      </c>
      <c r="B379" s="20" t="s">
        <v>534</v>
      </c>
      <c r="C379" s="20" t="s">
        <v>535</v>
      </c>
      <c r="D379" s="378" t="s">
        <v>716</v>
      </c>
      <c r="E379" s="379">
        <v>44620</v>
      </c>
      <c r="F379" s="379">
        <v>46446</v>
      </c>
      <c r="G379" s="378" t="s">
        <v>173</v>
      </c>
      <c r="H379" s="20" t="s">
        <v>393</v>
      </c>
      <c r="I379" s="20"/>
      <c r="J379" s="20" t="s">
        <v>163</v>
      </c>
      <c r="K379" s="378" t="s">
        <v>394</v>
      </c>
      <c r="L379" s="20" t="s">
        <v>165</v>
      </c>
      <c r="M379" s="380">
        <v>2400</v>
      </c>
      <c r="N379" s="380"/>
      <c r="O379" s="380"/>
      <c r="P379" s="380"/>
      <c r="Q379" s="381">
        <v>325</v>
      </c>
      <c r="R379" s="381"/>
      <c r="S379" s="381"/>
      <c r="T379" s="381"/>
      <c r="U379" s="381"/>
      <c r="V379" s="382">
        <v>325</v>
      </c>
      <c r="W379" s="382">
        <v>0</v>
      </c>
      <c r="X379" s="381">
        <v>0.13541666666666666</v>
      </c>
      <c r="Y379" s="381">
        <v>0</v>
      </c>
      <c r="Z379" s="381">
        <v>0</v>
      </c>
      <c r="AA379" s="381">
        <v>0</v>
      </c>
      <c r="AB379" s="381">
        <v>0</v>
      </c>
      <c r="AC379" s="382">
        <v>0.13541666666666666</v>
      </c>
      <c r="AD379" s="382">
        <v>0</v>
      </c>
      <c r="AE379" s="381" t="s">
        <v>168</v>
      </c>
    </row>
    <row r="380" spans="1:31" ht="15" customHeight="1" x14ac:dyDescent="0.25">
      <c r="A380" s="20" t="s">
        <v>156</v>
      </c>
      <c r="B380" s="20" t="s">
        <v>534</v>
      </c>
      <c r="C380" s="20" t="s">
        <v>535</v>
      </c>
      <c r="D380" s="378" t="s">
        <v>717</v>
      </c>
      <c r="E380" s="379">
        <v>44620</v>
      </c>
      <c r="F380" s="379">
        <v>46446</v>
      </c>
      <c r="G380" s="378" t="s">
        <v>173</v>
      </c>
      <c r="H380" s="20" t="s">
        <v>393</v>
      </c>
      <c r="I380" s="20"/>
      <c r="J380" s="20" t="s">
        <v>163</v>
      </c>
      <c r="K380" s="378" t="s">
        <v>394</v>
      </c>
      <c r="L380" s="20" t="s">
        <v>165</v>
      </c>
      <c r="M380" s="380">
        <v>2400</v>
      </c>
      <c r="N380" s="380"/>
      <c r="O380" s="380"/>
      <c r="P380" s="380"/>
      <c r="Q380" s="381">
        <v>292</v>
      </c>
      <c r="R380" s="381"/>
      <c r="S380" s="381"/>
      <c r="T380" s="381"/>
      <c r="U380" s="381"/>
      <c r="V380" s="382">
        <v>292</v>
      </c>
      <c r="W380" s="382">
        <v>0</v>
      </c>
      <c r="X380" s="381">
        <v>0.12166666666666667</v>
      </c>
      <c r="Y380" s="381">
        <v>0</v>
      </c>
      <c r="Z380" s="381">
        <v>0</v>
      </c>
      <c r="AA380" s="381">
        <v>0</v>
      </c>
      <c r="AB380" s="381">
        <v>0</v>
      </c>
      <c r="AC380" s="382">
        <v>0.12166666666666667</v>
      </c>
      <c r="AD380" s="382">
        <v>0</v>
      </c>
      <c r="AE380" s="381" t="s">
        <v>168</v>
      </c>
    </row>
    <row r="381" spans="1:31" ht="15" customHeight="1" x14ac:dyDescent="0.25">
      <c r="A381" s="20" t="s">
        <v>156</v>
      </c>
      <c r="B381" s="20" t="s">
        <v>534</v>
      </c>
      <c r="C381" s="20" t="s">
        <v>535</v>
      </c>
      <c r="D381" s="378" t="s">
        <v>718</v>
      </c>
      <c r="E381" s="379">
        <v>44620</v>
      </c>
      <c r="F381" s="379">
        <v>46446</v>
      </c>
      <c r="G381" s="378" t="s">
        <v>396</v>
      </c>
      <c r="H381" s="20" t="s">
        <v>393</v>
      </c>
      <c r="I381" s="20"/>
      <c r="J381" s="20" t="s">
        <v>163</v>
      </c>
      <c r="K381" s="378" t="s">
        <v>397</v>
      </c>
      <c r="L381" s="20" t="s">
        <v>165</v>
      </c>
      <c r="M381" s="380">
        <v>2400</v>
      </c>
      <c r="N381" s="380"/>
      <c r="O381" s="380"/>
      <c r="P381" s="380"/>
      <c r="Q381" s="381">
        <v>164</v>
      </c>
      <c r="R381" s="381"/>
      <c r="S381" s="381"/>
      <c r="T381" s="381"/>
      <c r="U381" s="381"/>
      <c r="V381" s="382">
        <v>164</v>
      </c>
      <c r="W381" s="382">
        <v>0</v>
      </c>
      <c r="X381" s="381">
        <v>6.8333333333333329E-2</v>
      </c>
      <c r="Y381" s="381">
        <v>0</v>
      </c>
      <c r="Z381" s="381">
        <v>0</v>
      </c>
      <c r="AA381" s="381">
        <v>0</v>
      </c>
      <c r="AB381" s="381">
        <v>0</v>
      </c>
      <c r="AC381" s="382">
        <v>6.8333333333333329E-2</v>
      </c>
      <c r="AD381" s="382">
        <v>0</v>
      </c>
      <c r="AE381" s="381" t="s">
        <v>168</v>
      </c>
    </row>
    <row r="382" spans="1:31" ht="15" customHeight="1" x14ac:dyDescent="0.25">
      <c r="A382" s="20" t="s">
        <v>156</v>
      </c>
      <c r="B382" s="20" t="s">
        <v>534</v>
      </c>
      <c r="C382" s="20" t="s">
        <v>535</v>
      </c>
      <c r="D382" s="378" t="s">
        <v>719</v>
      </c>
      <c r="E382" s="379">
        <v>44620</v>
      </c>
      <c r="F382" s="379">
        <v>46446</v>
      </c>
      <c r="G382" s="378" t="s">
        <v>396</v>
      </c>
      <c r="H382" s="20" t="s">
        <v>393</v>
      </c>
      <c r="I382" s="20"/>
      <c r="J382" s="20" t="s">
        <v>163</v>
      </c>
      <c r="K382" s="378" t="s">
        <v>397</v>
      </c>
      <c r="L382" s="20" t="s">
        <v>165</v>
      </c>
      <c r="M382" s="380">
        <v>2400</v>
      </c>
      <c r="N382" s="380"/>
      <c r="O382" s="380"/>
      <c r="P382" s="380"/>
      <c r="Q382" s="381">
        <v>187</v>
      </c>
      <c r="R382" s="381"/>
      <c r="S382" s="381"/>
      <c r="T382" s="381"/>
      <c r="U382" s="381"/>
      <c r="V382" s="382">
        <v>187</v>
      </c>
      <c r="W382" s="382">
        <v>0</v>
      </c>
      <c r="X382" s="381">
        <v>7.7916666666666662E-2</v>
      </c>
      <c r="Y382" s="381">
        <v>0</v>
      </c>
      <c r="Z382" s="381">
        <v>0</v>
      </c>
      <c r="AA382" s="381">
        <v>0</v>
      </c>
      <c r="AB382" s="381">
        <v>0</v>
      </c>
      <c r="AC382" s="382">
        <v>7.7916666666666662E-2</v>
      </c>
      <c r="AD382" s="382">
        <v>0</v>
      </c>
      <c r="AE382" s="381" t="s">
        <v>168</v>
      </c>
    </row>
    <row r="383" spans="1:31" ht="15" customHeight="1" x14ac:dyDescent="0.25">
      <c r="A383" s="20" t="s">
        <v>156</v>
      </c>
      <c r="B383" s="20" t="s">
        <v>534</v>
      </c>
      <c r="C383" s="20" t="s">
        <v>535</v>
      </c>
      <c r="D383" s="378" t="s">
        <v>720</v>
      </c>
      <c r="E383" s="379">
        <v>44620</v>
      </c>
      <c r="F383" s="379">
        <v>46446</v>
      </c>
      <c r="G383" s="378" t="s">
        <v>396</v>
      </c>
      <c r="H383" s="20" t="s">
        <v>393</v>
      </c>
      <c r="I383" s="20"/>
      <c r="J383" s="20" t="s">
        <v>163</v>
      </c>
      <c r="K383" s="378" t="s">
        <v>397</v>
      </c>
      <c r="L383" s="20" t="s">
        <v>165</v>
      </c>
      <c r="M383" s="380">
        <v>2400</v>
      </c>
      <c r="N383" s="380"/>
      <c r="O383" s="380"/>
      <c r="P383" s="380"/>
      <c r="Q383" s="381">
        <v>240</v>
      </c>
      <c r="R383" s="381"/>
      <c r="S383" s="381"/>
      <c r="T383" s="381"/>
      <c r="U383" s="381"/>
      <c r="V383" s="382">
        <v>240</v>
      </c>
      <c r="W383" s="382">
        <v>0</v>
      </c>
      <c r="X383" s="381">
        <v>0.1</v>
      </c>
      <c r="Y383" s="381">
        <v>0</v>
      </c>
      <c r="Z383" s="381">
        <v>0</v>
      </c>
      <c r="AA383" s="381">
        <v>0</v>
      </c>
      <c r="AB383" s="381">
        <v>0</v>
      </c>
      <c r="AC383" s="382">
        <v>0.1</v>
      </c>
      <c r="AD383" s="382">
        <v>0</v>
      </c>
      <c r="AE383" s="381" t="s">
        <v>168</v>
      </c>
    </row>
    <row r="384" spans="1:31" ht="15" customHeight="1" x14ac:dyDescent="0.25">
      <c r="A384" s="20" t="s">
        <v>156</v>
      </c>
      <c r="B384" s="20" t="s">
        <v>534</v>
      </c>
      <c r="C384" s="20" t="s">
        <v>535</v>
      </c>
      <c r="D384" s="378" t="s">
        <v>721</v>
      </c>
      <c r="E384" s="379">
        <v>44620</v>
      </c>
      <c r="F384" s="379">
        <v>46446</v>
      </c>
      <c r="G384" s="378" t="s">
        <v>396</v>
      </c>
      <c r="H384" s="20" t="s">
        <v>393</v>
      </c>
      <c r="I384" s="20"/>
      <c r="J384" s="20" t="s">
        <v>163</v>
      </c>
      <c r="K384" s="378" t="s">
        <v>397</v>
      </c>
      <c r="L384" s="20" t="s">
        <v>165</v>
      </c>
      <c r="M384" s="380">
        <v>2400</v>
      </c>
      <c r="N384" s="380"/>
      <c r="O384" s="380"/>
      <c r="P384" s="380"/>
      <c r="Q384" s="381">
        <v>200</v>
      </c>
      <c r="R384" s="381"/>
      <c r="S384" s="381"/>
      <c r="T384" s="381"/>
      <c r="U384" s="381"/>
      <c r="V384" s="382">
        <v>200</v>
      </c>
      <c r="W384" s="382">
        <v>0</v>
      </c>
      <c r="X384" s="381">
        <v>8.3333333333333329E-2</v>
      </c>
      <c r="Y384" s="381">
        <v>0</v>
      </c>
      <c r="Z384" s="381">
        <v>0</v>
      </c>
      <c r="AA384" s="381">
        <v>0</v>
      </c>
      <c r="AB384" s="381">
        <v>0</v>
      </c>
      <c r="AC384" s="382">
        <v>8.3333333333333329E-2</v>
      </c>
      <c r="AD384" s="382">
        <v>0</v>
      </c>
      <c r="AE384" s="381" t="s">
        <v>168</v>
      </c>
    </row>
    <row r="385" spans="1:31" ht="15" customHeight="1" x14ac:dyDescent="0.25">
      <c r="A385" s="20" t="s">
        <v>156</v>
      </c>
      <c r="B385" s="20" t="s">
        <v>534</v>
      </c>
      <c r="C385" s="20" t="s">
        <v>535</v>
      </c>
      <c r="D385" s="378" t="s">
        <v>722</v>
      </c>
      <c r="E385" s="379">
        <v>44620</v>
      </c>
      <c r="F385" s="379">
        <v>46446</v>
      </c>
      <c r="G385" s="378" t="s">
        <v>396</v>
      </c>
      <c r="H385" s="20" t="s">
        <v>393</v>
      </c>
      <c r="I385" s="20"/>
      <c r="J385" s="20" t="s">
        <v>163</v>
      </c>
      <c r="K385" s="378" t="s">
        <v>397</v>
      </c>
      <c r="L385" s="20" t="s">
        <v>165</v>
      </c>
      <c r="M385" s="380">
        <v>2400</v>
      </c>
      <c r="N385" s="380"/>
      <c r="O385" s="380"/>
      <c r="P385" s="380"/>
      <c r="Q385" s="381">
        <v>212</v>
      </c>
      <c r="R385" s="381"/>
      <c r="S385" s="381"/>
      <c r="T385" s="381"/>
      <c r="U385" s="381"/>
      <c r="V385" s="382">
        <v>212</v>
      </c>
      <c r="W385" s="382">
        <v>0</v>
      </c>
      <c r="X385" s="381">
        <v>8.8333333333333333E-2</v>
      </c>
      <c r="Y385" s="381">
        <v>0</v>
      </c>
      <c r="Z385" s="381">
        <v>0</v>
      </c>
      <c r="AA385" s="381">
        <v>0</v>
      </c>
      <c r="AB385" s="381">
        <v>0</v>
      </c>
      <c r="AC385" s="382">
        <v>8.8333333333333333E-2</v>
      </c>
      <c r="AD385" s="382">
        <v>0</v>
      </c>
      <c r="AE385" s="381" t="s">
        <v>168</v>
      </c>
    </row>
    <row r="386" spans="1:31" ht="15" customHeight="1" x14ac:dyDescent="0.25">
      <c r="A386" s="20" t="s">
        <v>156</v>
      </c>
      <c r="B386" s="20" t="s">
        <v>534</v>
      </c>
      <c r="C386" s="20" t="s">
        <v>535</v>
      </c>
      <c r="D386" s="378" t="s">
        <v>723</v>
      </c>
      <c r="E386" s="379">
        <v>44620</v>
      </c>
      <c r="F386" s="379">
        <v>46446</v>
      </c>
      <c r="G386" s="378" t="s">
        <v>396</v>
      </c>
      <c r="H386" s="20" t="s">
        <v>393</v>
      </c>
      <c r="I386" s="20"/>
      <c r="J386" s="20" t="s">
        <v>163</v>
      </c>
      <c r="K386" s="378" t="s">
        <v>397</v>
      </c>
      <c r="L386" s="20" t="s">
        <v>165</v>
      </c>
      <c r="M386" s="380">
        <v>2400</v>
      </c>
      <c r="N386" s="380"/>
      <c r="O386" s="380"/>
      <c r="P386" s="380"/>
      <c r="Q386" s="381">
        <v>273</v>
      </c>
      <c r="R386" s="381"/>
      <c r="S386" s="381"/>
      <c r="T386" s="381"/>
      <c r="U386" s="381"/>
      <c r="V386" s="382">
        <v>273</v>
      </c>
      <c r="W386" s="382">
        <v>0</v>
      </c>
      <c r="X386" s="381">
        <v>0.11375</v>
      </c>
      <c r="Y386" s="381">
        <v>0</v>
      </c>
      <c r="Z386" s="381">
        <v>0</v>
      </c>
      <c r="AA386" s="381">
        <v>0</v>
      </c>
      <c r="AB386" s="381">
        <v>0</v>
      </c>
      <c r="AC386" s="382">
        <v>0.11375</v>
      </c>
      <c r="AD386" s="382">
        <v>0</v>
      </c>
      <c r="AE386" s="381" t="s">
        <v>168</v>
      </c>
    </row>
    <row r="387" spans="1:31" ht="15" customHeight="1" x14ac:dyDescent="0.25">
      <c r="A387" s="20" t="s">
        <v>156</v>
      </c>
      <c r="B387" s="20" t="s">
        <v>534</v>
      </c>
      <c r="C387" s="20" t="s">
        <v>535</v>
      </c>
      <c r="D387" s="378" t="s">
        <v>724</v>
      </c>
      <c r="E387" s="379">
        <v>44620</v>
      </c>
      <c r="F387" s="379">
        <v>46446</v>
      </c>
      <c r="G387" s="378" t="s">
        <v>396</v>
      </c>
      <c r="H387" s="20" t="s">
        <v>393</v>
      </c>
      <c r="I387" s="20"/>
      <c r="J387" s="20" t="s">
        <v>163</v>
      </c>
      <c r="K387" s="378" t="s">
        <v>397</v>
      </c>
      <c r="L387" s="20" t="s">
        <v>165</v>
      </c>
      <c r="M387" s="380">
        <v>2400</v>
      </c>
      <c r="N387" s="380"/>
      <c r="O387" s="380"/>
      <c r="P387" s="380"/>
      <c r="Q387" s="381">
        <v>162</v>
      </c>
      <c r="R387" s="381"/>
      <c r="S387" s="381"/>
      <c r="T387" s="381"/>
      <c r="U387" s="381"/>
      <c r="V387" s="382">
        <v>162</v>
      </c>
      <c r="W387" s="382">
        <v>0</v>
      </c>
      <c r="X387" s="381">
        <v>6.7500000000000004E-2</v>
      </c>
      <c r="Y387" s="381">
        <v>0</v>
      </c>
      <c r="Z387" s="381">
        <v>0</v>
      </c>
      <c r="AA387" s="381">
        <v>0</v>
      </c>
      <c r="AB387" s="381">
        <v>0</v>
      </c>
      <c r="AC387" s="382">
        <v>6.7500000000000004E-2</v>
      </c>
      <c r="AD387" s="382">
        <v>0</v>
      </c>
      <c r="AE387" s="381" t="s">
        <v>168</v>
      </c>
    </row>
    <row r="388" spans="1:31" ht="15" customHeight="1" x14ac:dyDescent="0.25">
      <c r="A388" s="20" t="s">
        <v>156</v>
      </c>
      <c r="B388" s="20" t="s">
        <v>534</v>
      </c>
      <c r="C388" s="20" t="s">
        <v>535</v>
      </c>
      <c r="D388" s="378" t="s">
        <v>725</v>
      </c>
      <c r="E388" s="379">
        <v>44620</v>
      </c>
      <c r="F388" s="379">
        <v>46446</v>
      </c>
      <c r="G388" s="378" t="s">
        <v>396</v>
      </c>
      <c r="H388" s="20" t="s">
        <v>393</v>
      </c>
      <c r="I388" s="20"/>
      <c r="J388" s="20" t="s">
        <v>163</v>
      </c>
      <c r="K388" s="378" t="s">
        <v>397</v>
      </c>
      <c r="L388" s="20" t="s">
        <v>165</v>
      </c>
      <c r="M388" s="380">
        <v>2400</v>
      </c>
      <c r="N388" s="380"/>
      <c r="O388" s="380"/>
      <c r="P388" s="380"/>
      <c r="Q388" s="381">
        <v>175</v>
      </c>
      <c r="R388" s="381"/>
      <c r="S388" s="381"/>
      <c r="T388" s="381"/>
      <c r="U388" s="381"/>
      <c r="V388" s="382">
        <v>175</v>
      </c>
      <c r="W388" s="382">
        <v>0</v>
      </c>
      <c r="X388" s="381">
        <v>7.2916666666666671E-2</v>
      </c>
      <c r="Y388" s="381">
        <v>0</v>
      </c>
      <c r="Z388" s="381">
        <v>0</v>
      </c>
      <c r="AA388" s="381">
        <v>0</v>
      </c>
      <c r="AB388" s="381">
        <v>0</v>
      </c>
      <c r="AC388" s="382">
        <v>7.2916666666666671E-2</v>
      </c>
      <c r="AD388" s="382">
        <v>0</v>
      </c>
      <c r="AE388" s="381" t="s">
        <v>168</v>
      </c>
    </row>
    <row r="389" spans="1:31" ht="15" customHeight="1" x14ac:dyDescent="0.25">
      <c r="A389" s="20" t="s">
        <v>156</v>
      </c>
      <c r="B389" s="20" t="s">
        <v>534</v>
      </c>
      <c r="C389" s="20" t="s">
        <v>535</v>
      </c>
      <c r="D389" s="378" t="s">
        <v>726</v>
      </c>
      <c r="E389" s="379">
        <v>44620</v>
      </c>
      <c r="F389" s="379">
        <v>46446</v>
      </c>
      <c r="G389" s="378" t="s">
        <v>396</v>
      </c>
      <c r="H389" s="20" t="s">
        <v>393</v>
      </c>
      <c r="I389" s="20"/>
      <c r="J389" s="20" t="s">
        <v>163</v>
      </c>
      <c r="K389" s="378" t="s">
        <v>397</v>
      </c>
      <c r="L389" s="20" t="s">
        <v>165</v>
      </c>
      <c r="M389" s="380">
        <v>2400</v>
      </c>
      <c r="N389" s="380"/>
      <c r="O389" s="380"/>
      <c r="P389" s="380"/>
      <c r="Q389" s="381">
        <v>196</v>
      </c>
      <c r="R389" s="381"/>
      <c r="S389" s="381"/>
      <c r="T389" s="381"/>
      <c r="U389" s="381"/>
      <c r="V389" s="382">
        <v>196</v>
      </c>
      <c r="W389" s="382">
        <v>0</v>
      </c>
      <c r="X389" s="381">
        <v>8.1666666666666665E-2</v>
      </c>
      <c r="Y389" s="381">
        <v>0</v>
      </c>
      <c r="Z389" s="381">
        <v>0</v>
      </c>
      <c r="AA389" s="381">
        <v>0</v>
      </c>
      <c r="AB389" s="381">
        <v>0</v>
      </c>
      <c r="AC389" s="382">
        <v>8.1666666666666665E-2</v>
      </c>
      <c r="AD389" s="382">
        <v>0</v>
      </c>
      <c r="AE389" s="381" t="s">
        <v>168</v>
      </c>
    </row>
    <row r="390" spans="1:31" ht="15" customHeight="1" x14ac:dyDescent="0.25">
      <c r="A390" s="20" t="s">
        <v>156</v>
      </c>
      <c r="B390" s="20" t="s">
        <v>534</v>
      </c>
      <c r="C390" s="20" t="s">
        <v>535</v>
      </c>
      <c r="D390" s="378" t="s">
        <v>727</v>
      </c>
      <c r="E390" s="379">
        <v>44620</v>
      </c>
      <c r="F390" s="379">
        <v>46446</v>
      </c>
      <c r="G390" s="378" t="s">
        <v>396</v>
      </c>
      <c r="H390" s="20" t="s">
        <v>393</v>
      </c>
      <c r="I390" s="20"/>
      <c r="J390" s="20" t="s">
        <v>163</v>
      </c>
      <c r="K390" s="378" t="s">
        <v>397</v>
      </c>
      <c r="L390" s="20" t="s">
        <v>165</v>
      </c>
      <c r="M390" s="380">
        <v>2400</v>
      </c>
      <c r="N390" s="380"/>
      <c r="O390" s="380"/>
      <c r="P390" s="380"/>
      <c r="Q390" s="381">
        <v>225</v>
      </c>
      <c r="R390" s="381"/>
      <c r="S390" s="381"/>
      <c r="T390" s="381"/>
      <c r="U390" s="381"/>
      <c r="V390" s="382">
        <v>225</v>
      </c>
      <c r="W390" s="382">
        <v>0</v>
      </c>
      <c r="X390" s="381">
        <v>9.375E-2</v>
      </c>
      <c r="Y390" s="381">
        <v>0</v>
      </c>
      <c r="Z390" s="381">
        <v>0</v>
      </c>
      <c r="AA390" s="381">
        <v>0</v>
      </c>
      <c r="AB390" s="381">
        <v>0</v>
      </c>
      <c r="AC390" s="382">
        <v>9.375E-2</v>
      </c>
      <c r="AD390" s="382">
        <v>0</v>
      </c>
      <c r="AE390" s="381" t="s">
        <v>168</v>
      </c>
    </row>
    <row r="391" spans="1:31" ht="15" customHeight="1" x14ac:dyDescent="0.25">
      <c r="A391" s="20" t="s">
        <v>156</v>
      </c>
      <c r="B391" s="20" t="s">
        <v>534</v>
      </c>
      <c r="C391" s="20" t="s">
        <v>535</v>
      </c>
      <c r="D391" s="378" t="s">
        <v>728</v>
      </c>
      <c r="E391" s="379">
        <v>44620</v>
      </c>
      <c r="F391" s="379">
        <v>46446</v>
      </c>
      <c r="G391" s="378" t="s">
        <v>407</v>
      </c>
      <c r="H391" s="20" t="s">
        <v>393</v>
      </c>
      <c r="I391" s="20"/>
      <c r="J391" s="20" t="s">
        <v>163</v>
      </c>
      <c r="K391" s="378" t="s">
        <v>397</v>
      </c>
      <c r="L391" s="20" t="s">
        <v>165</v>
      </c>
      <c r="M391" s="380">
        <v>2400</v>
      </c>
      <c r="N391" s="380"/>
      <c r="O391" s="380"/>
      <c r="P391" s="380"/>
      <c r="Q391" s="381">
        <v>228</v>
      </c>
      <c r="R391" s="381"/>
      <c r="S391" s="381"/>
      <c r="T391" s="381"/>
      <c r="U391" s="381"/>
      <c r="V391" s="382">
        <v>228</v>
      </c>
      <c r="W391" s="382">
        <v>0</v>
      </c>
      <c r="X391" s="381">
        <v>9.5000000000000001E-2</v>
      </c>
      <c r="Y391" s="381">
        <v>0</v>
      </c>
      <c r="Z391" s="381">
        <v>0</v>
      </c>
      <c r="AA391" s="381">
        <v>0</v>
      </c>
      <c r="AB391" s="381">
        <v>0</v>
      </c>
      <c r="AC391" s="382">
        <v>9.5000000000000001E-2</v>
      </c>
      <c r="AD391" s="382">
        <v>0</v>
      </c>
      <c r="AE391" s="381" t="s">
        <v>168</v>
      </c>
    </row>
    <row r="392" spans="1:31" ht="15" customHeight="1" x14ac:dyDescent="0.25">
      <c r="A392" s="20" t="s">
        <v>156</v>
      </c>
      <c r="B392" s="20" t="s">
        <v>534</v>
      </c>
      <c r="C392" s="20" t="s">
        <v>535</v>
      </c>
      <c r="D392" s="378" t="s">
        <v>729</v>
      </c>
      <c r="E392" s="379">
        <v>44620</v>
      </c>
      <c r="F392" s="379">
        <v>46446</v>
      </c>
      <c r="G392" s="378" t="s">
        <v>407</v>
      </c>
      <c r="H392" s="20" t="s">
        <v>393</v>
      </c>
      <c r="I392" s="20"/>
      <c r="J392" s="20" t="s">
        <v>163</v>
      </c>
      <c r="K392" s="378" t="s">
        <v>397</v>
      </c>
      <c r="L392" s="20" t="s">
        <v>165</v>
      </c>
      <c r="M392" s="380">
        <v>2400</v>
      </c>
      <c r="N392" s="380"/>
      <c r="O392" s="380"/>
      <c r="P392" s="380"/>
      <c r="Q392" s="381">
        <v>272</v>
      </c>
      <c r="R392" s="381"/>
      <c r="S392" s="381"/>
      <c r="T392" s="381"/>
      <c r="U392" s="381"/>
      <c r="V392" s="382">
        <v>272</v>
      </c>
      <c r="W392" s="382">
        <v>0</v>
      </c>
      <c r="X392" s="381">
        <v>0.11333333333333333</v>
      </c>
      <c r="Y392" s="381">
        <v>0</v>
      </c>
      <c r="Z392" s="381">
        <v>0</v>
      </c>
      <c r="AA392" s="381">
        <v>0</v>
      </c>
      <c r="AB392" s="381">
        <v>0</v>
      </c>
      <c r="AC392" s="382">
        <v>0.11333333333333333</v>
      </c>
      <c r="AD392" s="382">
        <v>0</v>
      </c>
      <c r="AE392" s="381" t="s">
        <v>168</v>
      </c>
    </row>
    <row r="393" spans="1:31" ht="15" customHeight="1" x14ac:dyDescent="0.25">
      <c r="A393" s="20" t="s">
        <v>156</v>
      </c>
      <c r="B393" s="20" t="s">
        <v>534</v>
      </c>
      <c r="C393" s="20" t="s">
        <v>535</v>
      </c>
      <c r="D393" s="378" t="s">
        <v>730</v>
      </c>
      <c r="E393" s="379">
        <v>44620</v>
      </c>
      <c r="F393" s="379">
        <v>46446</v>
      </c>
      <c r="G393" s="378" t="s">
        <v>407</v>
      </c>
      <c r="H393" s="20" t="s">
        <v>393</v>
      </c>
      <c r="I393" s="20"/>
      <c r="J393" s="20" t="s">
        <v>163</v>
      </c>
      <c r="K393" s="378" t="s">
        <v>397</v>
      </c>
      <c r="L393" s="20" t="s">
        <v>165</v>
      </c>
      <c r="M393" s="380">
        <v>2400</v>
      </c>
      <c r="N393" s="380"/>
      <c r="O393" s="380"/>
      <c r="P393" s="380"/>
      <c r="Q393" s="381">
        <v>255</v>
      </c>
      <c r="R393" s="381"/>
      <c r="S393" s="381"/>
      <c r="T393" s="381"/>
      <c r="U393" s="381"/>
      <c r="V393" s="382">
        <v>255</v>
      </c>
      <c r="W393" s="382">
        <v>0</v>
      </c>
      <c r="X393" s="381">
        <v>0.10625</v>
      </c>
      <c r="Y393" s="381">
        <v>0</v>
      </c>
      <c r="Z393" s="381">
        <v>0</v>
      </c>
      <c r="AA393" s="381">
        <v>0</v>
      </c>
      <c r="AB393" s="381">
        <v>0</v>
      </c>
      <c r="AC393" s="382">
        <v>0.10625</v>
      </c>
      <c r="AD393" s="382">
        <v>0</v>
      </c>
      <c r="AE393" s="381" t="s">
        <v>168</v>
      </c>
    </row>
    <row r="394" spans="1:31" ht="15" customHeight="1" x14ac:dyDescent="0.25">
      <c r="A394" s="20" t="s">
        <v>156</v>
      </c>
      <c r="B394" s="20" t="s">
        <v>534</v>
      </c>
      <c r="C394" s="20" t="s">
        <v>535</v>
      </c>
      <c r="D394" s="378" t="s">
        <v>731</v>
      </c>
      <c r="E394" s="379">
        <v>44620</v>
      </c>
      <c r="F394" s="379">
        <v>46446</v>
      </c>
      <c r="G394" s="378" t="s">
        <v>320</v>
      </c>
      <c r="H394" s="20" t="s">
        <v>393</v>
      </c>
      <c r="I394" s="20"/>
      <c r="J394" s="20" t="s">
        <v>163</v>
      </c>
      <c r="K394" s="378" t="s">
        <v>397</v>
      </c>
      <c r="L394" s="20" t="s">
        <v>165</v>
      </c>
      <c r="M394" s="380">
        <v>2400</v>
      </c>
      <c r="N394" s="380"/>
      <c r="O394" s="380"/>
      <c r="P394" s="380"/>
      <c r="Q394" s="381">
        <v>246</v>
      </c>
      <c r="R394" s="381"/>
      <c r="S394" s="381"/>
      <c r="T394" s="381"/>
      <c r="U394" s="381"/>
      <c r="V394" s="382">
        <v>246</v>
      </c>
      <c r="W394" s="382">
        <v>0</v>
      </c>
      <c r="X394" s="381">
        <v>0.10249999999999999</v>
      </c>
      <c r="Y394" s="381">
        <v>0</v>
      </c>
      <c r="Z394" s="381">
        <v>0</v>
      </c>
      <c r="AA394" s="381">
        <v>0</v>
      </c>
      <c r="AB394" s="381">
        <v>0</v>
      </c>
      <c r="AC394" s="382">
        <v>0.10249999999999999</v>
      </c>
      <c r="AD394" s="382">
        <v>0</v>
      </c>
      <c r="AE394" s="381" t="s">
        <v>168</v>
      </c>
    </row>
    <row r="395" spans="1:31" ht="15" customHeight="1" x14ac:dyDescent="0.25">
      <c r="A395" s="20" t="s">
        <v>156</v>
      </c>
      <c r="B395" s="20" t="s">
        <v>534</v>
      </c>
      <c r="C395" s="20" t="s">
        <v>535</v>
      </c>
      <c r="D395" s="378" t="s">
        <v>732</v>
      </c>
      <c r="E395" s="379">
        <v>44620</v>
      </c>
      <c r="F395" s="379">
        <v>46446</v>
      </c>
      <c r="G395" s="378" t="s">
        <v>320</v>
      </c>
      <c r="H395" s="20" t="s">
        <v>393</v>
      </c>
      <c r="I395" s="20"/>
      <c r="J395" s="20" t="s">
        <v>163</v>
      </c>
      <c r="K395" s="378" t="s">
        <v>397</v>
      </c>
      <c r="L395" s="20" t="s">
        <v>165</v>
      </c>
      <c r="M395" s="380">
        <v>2400</v>
      </c>
      <c r="N395" s="380"/>
      <c r="O395" s="380"/>
      <c r="P395" s="380"/>
      <c r="Q395" s="381">
        <v>280</v>
      </c>
      <c r="R395" s="381"/>
      <c r="S395" s="381"/>
      <c r="T395" s="381"/>
      <c r="U395" s="381"/>
      <c r="V395" s="382">
        <v>280</v>
      </c>
      <c r="W395" s="382">
        <v>0</v>
      </c>
      <c r="X395" s="381">
        <v>0.11666666666666667</v>
      </c>
      <c r="Y395" s="381">
        <v>0</v>
      </c>
      <c r="Z395" s="381">
        <v>0</v>
      </c>
      <c r="AA395" s="381">
        <v>0</v>
      </c>
      <c r="AB395" s="381">
        <v>0</v>
      </c>
      <c r="AC395" s="382">
        <v>0.11666666666666667</v>
      </c>
      <c r="AD395" s="382">
        <v>0</v>
      </c>
      <c r="AE395" s="381" t="s">
        <v>168</v>
      </c>
    </row>
    <row r="396" spans="1:31" ht="15" customHeight="1" x14ac:dyDescent="0.25">
      <c r="A396" s="20" t="s">
        <v>156</v>
      </c>
      <c r="B396" s="20" t="s">
        <v>534</v>
      </c>
      <c r="C396" s="20" t="s">
        <v>535</v>
      </c>
      <c r="D396" s="378" t="s">
        <v>733</v>
      </c>
      <c r="E396" s="379">
        <v>44620</v>
      </c>
      <c r="F396" s="379">
        <v>46446</v>
      </c>
      <c r="G396" s="378" t="s">
        <v>320</v>
      </c>
      <c r="H396" s="20" t="s">
        <v>393</v>
      </c>
      <c r="I396" s="20"/>
      <c r="J396" s="20" t="s">
        <v>163</v>
      </c>
      <c r="K396" s="378" t="s">
        <v>397</v>
      </c>
      <c r="L396" s="20" t="s">
        <v>165</v>
      </c>
      <c r="M396" s="380">
        <v>2400</v>
      </c>
      <c r="N396" s="380"/>
      <c r="O396" s="380"/>
      <c r="P396" s="380"/>
      <c r="Q396" s="381">
        <v>245</v>
      </c>
      <c r="R396" s="381"/>
      <c r="S396" s="381"/>
      <c r="T396" s="381"/>
      <c r="U396" s="381"/>
      <c r="V396" s="382">
        <v>245</v>
      </c>
      <c r="W396" s="382">
        <v>0</v>
      </c>
      <c r="X396" s="381">
        <v>0.10208333333333333</v>
      </c>
      <c r="Y396" s="381">
        <v>0</v>
      </c>
      <c r="Z396" s="381">
        <v>0</v>
      </c>
      <c r="AA396" s="381">
        <v>0</v>
      </c>
      <c r="AB396" s="381">
        <v>0</v>
      </c>
      <c r="AC396" s="382">
        <v>0.10208333333333333</v>
      </c>
      <c r="AD396" s="382">
        <v>0</v>
      </c>
      <c r="AE396" s="381" t="s">
        <v>168</v>
      </c>
    </row>
    <row r="397" spans="1:31" ht="15" customHeight="1" x14ac:dyDescent="0.25">
      <c r="A397" s="20" t="s">
        <v>156</v>
      </c>
      <c r="B397" s="20" t="s">
        <v>534</v>
      </c>
      <c r="C397" s="20" t="s">
        <v>535</v>
      </c>
      <c r="D397" s="378" t="s">
        <v>734</v>
      </c>
      <c r="E397" s="379">
        <v>45016</v>
      </c>
      <c r="F397" s="379">
        <v>46843</v>
      </c>
      <c r="G397" s="378" t="s">
        <v>281</v>
      </c>
      <c r="H397" s="20" t="s">
        <v>282</v>
      </c>
      <c r="I397" s="20" t="s">
        <v>162</v>
      </c>
      <c r="J397" s="20" t="s">
        <v>163</v>
      </c>
      <c r="K397" s="378" t="s">
        <v>283</v>
      </c>
      <c r="L397" s="20" t="s">
        <v>165</v>
      </c>
      <c r="M397" s="380">
        <v>2400</v>
      </c>
      <c r="N397" s="380"/>
      <c r="O397" s="380"/>
      <c r="P397" s="380"/>
      <c r="Q397" s="381">
        <v>229.2</v>
      </c>
      <c r="R397" s="381">
        <v>229.17</v>
      </c>
      <c r="S397" s="381">
        <v>2.9899999999999999E-2</v>
      </c>
      <c r="T397" s="381"/>
      <c r="U397" s="381"/>
      <c r="V397" s="382">
        <v>229.19989999999999</v>
      </c>
      <c r="W397" s="382">
        <v>0</v>
      </c>
      <c r="X397" s="381">
        <v>9.5500000000000002E-2</v>
      </c>
      <c r="Y397" s="381">
        <v>9.5487499999999989E-2</v>
      </c>
      <c r="Z397" s="381">
        <v>1.2458333333333332E-5</v>
      </c>
      <c r="AA397" s="381">
        <v>0</v>
      </c>
      <c r="AB397" s="381">
        <v>0</v>
      </c>
      <c r="AC397" s="382">
        <v>9.5499958333333329E-2</v>
      </c>
      <c r="AD397" s="382">
        <v>0</v>
      </c>
      <c r="AE397" s="381" t="s">
        <v>168</v>
      </c>
    </row>
    <row r="398" spans="1:31" ht="15" customHeight="1" x14ac:dyDescent="0.25">
      <c r="A398" s="20" t="s">
        <v>156</v>
      </c>
      <c r="B398" s="20" t="s">
        <v>534</v>
      </c>
      <c r="C398" s="20" t="s">
        <v>535</v>
      </c>
      <c r="D398" s="378" t="s">
        <v>735</v>
      </c>
      <c r="E398" s="379">
        <v>45016</v>
      </c>
      <c r="F398" s="379">
        <v>46843</v>
      </c>
      <c r="G398" s="378" t="s">
        <v>281</v>
      </c>
      <c r="H398" s="20" t="s">
        <v>282</v>
      </c>
      <c r="I398" s="20" t="s">
        <v>162</v>
      </c>
      <c r="J398" s="20" t="s">
        <v>163</v>
      </c>
      <c r="K398" s="378" t="s">
        <v>283</v>
      </c>
      <c r="L398" s="20" t="s">
        <v>165</v>
      </c>
      <c r="M398" s="380">
        <v>2400</v>
      </c>
      <c r="N398" s="380"/>
      <c r="O398" s="380"/>
      <c r="P398" s="380"/>
      <c r="Q398" s="381">
        <v>231.71</v>
      </c>
      <c r="R398" s="381">
        <v>231.69</v>
      </c>
      <c r="S398" s="381">
        <v>1.7600000000000001E-2</v>
      </c>
      <c r="T398" s="381"/>
      <c r="U398" s="381"/>
      <c r="V398" s="382">
        <v>231.70759999999999</v>
      </c>
      <c r="W398" s="382">
        <v>0</v>
      </c>
      <c r="X398" s="381">
        <v>9.6545833333333331E-2</v>
      </c>
      <c r="Y398" s="381">
        <v>9.6537499999999998E-2</v>
      </c>
      <c r="Z398" s="381">
        <v>7.333333333333334E-6</v>
      </c>
      <c r="AA398" s="381">
        <v>0</v>
      </c>
      <c r="AB398" s="381">
        <v>0</v>
      </c>
      <c r="AC398" s="382">
        <v>9.654483333333333E-2</v>
      </c>
      <c r="AD398" s="382">
        <v>0</v>
      </c>
      <c r="AE398" s="381" t="s">
        <v>168</v>
      </c>
    </row>
    <row r="399" spans="1:31" ht="15" customHeight="1" x14ac:dyDescent="0.25">
      <c r="A399" s="20" t="s">
        <v>156</v>
      </c>
      <c r="B399" s="20" t="s">
        <v>534</v>
      </c>
      <c r="C399" s="20" t="s">
        <v>535</v>
      </c>
      <c r="D399" s="378" t="s">
        <v>736</v>
      </c>
      <c r="E399" s="379">
        <v>45016</v>
      </c>
      <c r="F399" s="379">
        <v>46843</v>
      </c>
      <c r="G399" s="378" t="s">
        <v>281</v>
      </c>
      <c r="H399" s="20" t="s">
        <v>282</v>
      </c>
      <c r="I399" s="20" t="s">
        <v>162</v>
      </c>
      <c r="J399" s="20" t="s">
        <v>163</v>
      </c>
      <c r="K399" s="378" t="s">
        <v>283</v>
      </c>
      <c r="L399" s="20" t="s">
        <v>165</v>
      </c>
      <c r="M399" s="380">
        <v>2400</v>
      </c>
      <c r="N399" s="380"/>
      <c r="O399" s="380"/>
      <c r="P399" s="380"/>
      <c r="Q399" s="381">
        <v>248.83</v>
      </c>
      <c r="R399" s="381">
        <v>248.82</v>
      </c>
      <c r="S399" s="381">
        <v>6.6400000000000001E-3</v>
      </c>
      <c r="T399" s="381"/>
      <c r="U399" s="381"/>
      <c r="V399" s="382">
        <v>248.82664</v>
      </c>
      <c r="W399" s="382">
        <v>0</v>
      </c>
      <c r="X399" s="381">
        <v>0.10367916666666667</v>
      </c>
      <c r="Y399" s="381">
        <v>0.103675</v>
      </c>
      <c r="Z399" s="381">
        <v>2.7666666666666667E-6</v>
      </c>
      <c r="AA399" s="381">
        <v>0</v>
      </c>
      <c r="AB399" s="381">
        <v>0</v>
      </c>
      <c r="AC399" s="382">
        <v>0.10367776666666667</v>
      </c>
      <c r="AD399" s="382">
        <v>0</v>
      </c>
      <c r="AE399" s="381" t="s">
        <v>168</v>
      </c>
    </row>
    <row r="400" spans="1:31" ht="15" customHeight="1" x14ac:dyDescent="0.25">
      <c r="A400" s="20" t="s">
        <v>156</v>
      </c>
      <c r="B400" s="20" t="s">
        <v>534</v>
      </c>
      <c r="C400" s="20" t="s">
        <v>535</v>
      </c>
      <c r="D400" s="378" t="s">
        <v>737</v>
      </c>
      <c r="E400" s="379">
        <v>45016</v>
      </c>
      <c r="F400" s="379">
        <v>46843</v>
      </c>
      <c r="G400" s="378" t="s">
        <v>281</v>
      </c>
      <c r="H400" s="20" t="s">
        <v>282</v>
      </c>
      <c r="I400" s="20" t="s">
        <v>162</v>
      </c>
      <c r="J400" s="20" t="s">
        <v>163</v>
      </c>
      <c r="K400" s="378" t="s">
        <v>283</v>
      </c>
      <c r="L400" s="20" t="s">
        <v>165</v>
      </c>
      <c r="M400" s="380">
        <v>2400</v>
      </c>
      <c r="N400" s="380"/>
      <c r="O400" s="380"/>
      <c r="P400" s="380"/>
      <c r="Q400" s="381">
        <v>217.57</v>
      </c>
      <c r="R400" s="381">
        <v>217.55</v>
      </c>
      <c r="S400" s="381">
        <v>1.2E-2</v>
      </c>
      <c r="T400" s="381"/>
      <c r="U400" s="381"/>
      <c r="V400" s="382">
        <v>217.56200000000001</v>
      </c>
      <c r="W400" s="382">
        <v>0</v>
      </c>
      <c r="X400" s="381">
        <v>9.0654166666666661E-2</v>
      </c>
      <c r="Y400" s="381">
        <v>9.0645833333333342E-2</v>
      </c>
      <c r="Z400" s="381">
        <v>5.0000000000000004E-6</v>
      </c>
      <c r="AA400" s="381">
        <v>0</v>
      </c>
      <c r="AB400" s="381">
        <v>0</v>
      </c>
      <c r="AC400" s="382">
        <v>9.0650833333333347E-2</v>
      </c>
      <c r="AD400" s="382">
        <v>0</v>
      </c>
      <c r="AE400" s="381" t="s">
        <v>168</v>
      </c>
    </row>
    <row r="401" spans="1:31" ht="15" customHeight="1" x14ac:dyDescent="0.25">
      <c r="A401" s="20" t="s">
        <v>156</v>
      </c>
      <c r="B401" s="20" t="s">
        <v>534</v>
      </c>
      <c r="C401" s="20" t="s">
        <v>535</v>
      </c>
      <c r="D401" s="378" t="s">
        <v>738</v>
      </c>
      <c r="E401" s="379">
        <v>45016</v>
      </c>
      <c r="F401" s="379">
        <v>46843</v>
      </c>
      <c r="G401" s="378" t="s">
        <v>281</v>
      </c>
      <c r="H401" s="20" t="s">
        <v>282</v>
      </c>
      <c r="I401" s="20" t="s">
        <v>162</v>
      </c>
      <c r="J401" s="20" t="s">
        <v>163</v>
      </c>
      <c r="K401" s="378" t="s">
        <v>283</v>
      </c>
      <c r="L401" s="20" t="s">
        <v>165</v>
      </c>
      <c r="M401" s="380">
        <v>2400</v>
      </c>
      <c r="N401" s="380"/>
      <c r="O401" s="380"/>
      <c r="P401" s="380"/>
      <c r="Q401" s="381">
        <v>208.85</v>
      </c>
      <c r="R401" s="381">
        <v>208.81</v>
      </c>
      <c r="S401" s="381">
        <v>2.9499999999999998E-2</v>
      </c>
      <c r="T401" s="381"/>
      <c r="U401" s="381"/>
      <c r="V401" s="382">
        <v>208.83950000000002</v>
      </c>
      <c r="W401" s="382">
        <v>0</v>
      </c>
      <c r="X401" s="381">
        <v>8.7020833333333325E-2</v>
      </c>
      <c r="Y401" s="381">
        <v>8.7004166666666674E-2</v>
      </c>
      <c r="Z401" s="381">
        <v>1.2291666666666666E-5</v>
      </c>
      <c r="AA401" s="381">
        <v>0</v>
      </c>
      <c r="AB401" s="381">
        <v>0</v>
      </c>
      <c r="AC401" s="382">
        <v>8.7016458333333338E-2</v>
      </c>
      <c r="AD401" s="382">
        <v>0</v>
      </c>
      <c r="AE401" s="381" t="s">
        <v>168</v>
      </c>
    </row>
    <row r="402" spans="1:31" ht="15" customHeight="1" x14ac:dyDescent="0.25">
      <c r="A402" s="20" t="s">
        <v>156</v>
      </c>
      <c r="B402" s="20" t="s">
        <v>534</v>
      </c>
      <c r="C402" s="20" t="s">
        <v>535</v>
      </c>
      <c r="D402" s="378" t="s">
        <v>739</v>
      </c>
      <c r="E402" s="379">
        <v>45016</v>
      </c>
      <c r="F402" s="379">
        <v>46843</v>
      </c>
      <c r="G402" s="378" t="s">
        <v>160</v>
      </c>
      <c r="H402" s="20" t="s">
        <v>416</v>
      </c>
      <c r="I402" s="20" t="s">
        <v>162</v>
      </c>
      <c r="J402" s="20" t="s">
        <v>163</v>
      </c>
      <c r="K402" s="378" t="s">
        <v>417</v>
      </c>
      <c r="L402" s="20" t="s">
        <v>165</v>
      </c>
      <c r="M402" s="380">
        <v>2400</v>
      </c>
      <c r="N402" s="380"/>
      <c r="O402" s="380"/>
      <c r="P402" s="380"/>
      <c r="Q402" s="381">
        <v>178.52</v>
      </c>
      <c r="R402" s="381">
        <v>178.48</v>
      </c>
      <c r="S402" s="381">
        <v>0.03</v>
      </c>
      <c r="T402" s="381"/>
      <c r="U402" s="381"/>
      <c r="V402" s="382">
        <v>178.51</v>
      </c>
      <c r="W402" s="382">
        <v>0</v>
      </c>
      <c r="X402" s="381">
        <v>7.4383333333333343E-2</v>
      </c>
      <c r="Y402" s="381">
        <v>7.4366666666666664E-2</v>
      </c>
      <c r="Z402" s="381">
        <v>1.2499999999999999E-5</v>
      </c>
      <c r="AA402" s="381">
        <v>0</v>
      </c>
      <c r="AB402" s="381">
        <v>0</v>
      </c>
      <c r="AC402" s="382">
        <v>7.4379166666666663E-2</v>
      </c>
      <c r="AD402" s="382">
        <v>0</v>
      </c>
      <c r="AE402" s="381" t="s">
        <v>168</v>
      </c>
    </row>
    <row r="403" spans="1:31" ht="15" customHeight="1" x14ac:dyDescent="0.25">
      <c r="A403" s="20" t="s">
        <v>156</v>
      </c>
      <c r="B403" s="20" t="s">
        <v>534</v>
      </c>
      <c r="C403" s="20" t="s">
        <v>535</v>
      </c>
      <c r="D403" s="378" t="s">
        <v>740</v>
      </c>
      <c r="E403" s="379">
        <v>45016</v>
      </c>
      <c r="F403" s="379">
        <v>46843</v>
      </c>
      <c r="G403" s="378" t="s">
        <v>160</v>
      </c>
      <c r="H403" s="20" t="s">
        <v>416</v>
      </c>
      <c r="I403" s="20" t="s">
        <v>162</v>
      </c>
      <c r="J403" s="20" t="s">
        <v>163</v>
      </c>
      <c r="K403" s="378" t="s">
        <v>417</v>
      </c>
      <c r="L403" s="20" t="s">
        <v>165</v>
      </c>
      <c r="M403" s="380">
        <v>2400</v>
      </c>
      <c r="N403" s="380"/>
      <c r="O403" s="380"/>
      <c r="P403" s="380"/>
      <c r="Q403" s="381">
        <v>173.59</v>
      </c>
      <c r="R403" s="381">
        <v>173.54</v>
      </c>
      <c r="S403" s="381">
        <v>0.04</v>
      </c>
      <c r="T403" s="381"/>
      <c r="U403" s="381"/>
      <c r="V403" s="382">
        <v>173.57999999999998</v>
      </c>
      <c r="W403" s="382">
        <v>0</v>
      </c>
      <c r="X403" s="381">
        <v>7.2329166666666667E-2</v>
      </c>
      <c r="Y403" s="381">
        <v>7.2308333333333336E-2</v>
      </c>
      <c r="Z403" s="381">
        <v>1.6666666666666667E-5</v>
      </c>
      <c r="AA403" s="381">
        <v>0</v>
      </c>
      <c r="AB403" s="381">
        <v>0</v>
      </c>
      <c r="AC403" s="382">
        <v>7.2325E-2</v>
      </c>
      <c r="AD403" s="382">
        <v>0</v>
      </c>
      <c r="AE403" s="381" t="s">
        <v>168</v>
      </c>
    </row>
    <row r="404" spans="1:31" ht="15" customHeight="1" x14ac:dyDescent="0.25">
      <c r="A404" s="20" t="s">
        <v>156</v>
      </c>
      <c r="B404" s="20" t="s">
        <v>534</v>
      </c>
      <c r="C404" s="20" t="s">
        <v>535</v>
      </c>
      <c r="D404" s="378" t="s">
        <v>741</v>
      </c>
      <c r="E404" s="379">
        <v>45016</v>
      </c>
      <c r="F404" s="379">
        <v>46843</v>
      </c>
      <c r="G404" s="378" t="s">
        <v>281</v>
      </c>
      <c r="H404" s="20" t="s">
        <v>282</v>
      </c>
      <c r="I404" s="20" t="s">
        <v>162</v>
      </c>
      <c r="J404" s="20" t="s">
        <v>163</v>
      </c>
      <c r="K404" s="378" t="s">
        <v>283</v>
      </c>
      <c r="L404" s="20" t="s">
        <v>165</v>
      </c>
      <c r="M404" s="380">
        <v>2400</v>
      </c>
      <c r="N404" s="380"/>
      <c r="O404" s="380"/>
      <c r="P404" s="380"/>
      <c r="Q404" s="381">
        <v>226.95</v>
      </c>
      <c r="R404" s="381">
        <v>226.92</v>
      </c>
      <c r="S404" s="381">
        <v>1.6E-2</v>
      </c>
      <c r="T404" s="381"/>
      <c r="U404" s="381"/>
      <c r="V404" s="382">
        <v>226.93599999999998</v>
      </c>
      <c r="W404" s="382">
        <v>0</v>
      </c>
      <c r="X404" s="381">
        <v>9.4562499999999994E-2</v>
      </c>
      <c r="Y404" s="381">
        <v>9.4549999999999995E-2</v>
      </c>
      <c r="Z404" s="381">
        <v>6.6666666666666666E-6</v>
      </c>
      <c r="AA404" s="381">
        <v>0</v>
      </c>
      <c r="AB404" s="381">
        <v>0</v>
      </c>
      <c r="AC404" s="382">
        <v>9.4556666666666664E-2</v>
      </c>
      <c r="AD404" s="382">
        <v>0</v>
      </c>
      <c r="AE404" s="381" t="s">
        <v>168</v>
      </c>
    </row>
    <row r="405" spans="1:31" ht="15" customHeight="1" x14ac:dyDescent="0.25">
      <c r="A405" s="20" t="s">
        <v>156</v>
      </c>
      <c r="B405" s="20" t="s">
        <v>534</v>
      </c>
      <c r="C405" s="20" t="s">
        <v>535</v>
      </c>
      <c r="D405" s="378" t="s">
        <v>742</v>
      </c>
      <c r="E405" s="379">
        <v>45016</v>
      </c>
      <c r="F405" s="379">
        <v>46843</v>
      </c>
      <c r="G405" s="378" t="s">
        <v>281</v>
      </c>
      <c r="H405" s="20" t="s">
        <v>282</v>
      </c>
      <c r="I405" s="20" t="s">
        <v>162</v>
      </c>
      <c r="J405" s="20" t="s">
        <v>163</v>
      </c>
      <c r="K405" s="378" t="s">
        <v>283</v>
      </c>
      <c r="L405" s="20" t="s">
        <v>165</v>
      </c>
      <c r="M405" s="380">
        <v>2400</v>
      </c>
      <c r="N405" s="380"/>
      <c r="O405" s="380"/>
      <c r="P405" s="380"/>
      <c r="Q405" s="381">
        <v>231.67</v>
      </c>
      <c r="R405" s="381">
        <v>231.64</v>
      </c>
      <c r="S405" s="381">
        <v>1.4999999999999999E-2</v>
      </c>
      <c r="T405" s="381"/>
      <c r="U405" s="381"/>
      <c r="V405" s="382">
        <v>231.65499999999997</v>
      </c>
      <c r="W405" s="382">
        <v>0</v>
      </c>
      <c r="X405" s="381">
        <v>9.6529166666666666E-2</v>
      </c>
      <c r="Y405" s="381">
        <v>9.6516666666666667E-2</v>
      </c>
      <c r="Z405" s="381">
        <v>6.2499999999999995E-6</v>
      </c>
      <c r="AA405" s="381">
        <v>0</v>
      </c>
      <c r="AB405" s="381">
        <v>0</v>
      </c>
      <c r="AC405" s="382">
        <v>9.6522916666666667E-2</v>
      </c>
      <c r="AD405" s="382">
        <v>0</v>
      </c>
      <c r="AE405" s="381" t="s">
        <v>168</v>
      </c>
    </row>
    <row r="406" spans="1:31" ht="15" customHeight="1" x14ac:dyDescent="0.25">
      <c r="A406" s="20" t="s">
        <v>156</v>
      </c>
      <c r="B406" s="20" t="s">
        <v>534</v>
      </c>
      <c r="C406" s="20" t="s">
        <v>535</v>
      </c>
      <c r="D406" s="378" t="s">
        <v>743</v>
      </c>
      <c r="E406" s="379">
        <v>45016</v>
      </c>
      <c r="F406" s="379">
        <v>46843</v>
      </c>
      <c r="G406" s="378" t="s">
        <v>281</v>
      </c>
      <c r="H406" s="20" t="s">
        <v>282</v>
      </c>
      <c r="I406" s="20" t="s">
        <v>162</v>
      </c>
      <c r="J406" s="20" t="s">
        <v>163</v>
      </c>
      <c r="K406" s="378" t="s">
        <v>283</v>
      </c>
      <c r="L406" s="20" t="s">
        <v>165</v>
      </c>
      <c r="M406" s="380">
        <v>2400</v>
      </c>
      <c r="N406" s="380"/>
      <c r="O406" s="380"/>
      <c r="P406" s="380"/>
      <c r="Q406" s="381">
        <v>226.91</v>
      </c>
      <c r="R406" s="381">
        <v>226.88</v>
      </c>
      <c r="S406" s="381">
        <v>1.43E-2</v>
      </c>
      <c r="T406" s="381"/>
      <c r="U406" s="381"/>
      <c r="V406" s="382">
        <v>226.89429999999999</v>
      </c>
      <c r="W406" s="382">
        <v>0</v>
      </c>
      <c r="X406" s="381">
        <v>9.4545833333333329E-2</v>
      </c>
      <c r="Y406" s="381">
        <v>9.453333333333333E-2</v>
      </c>
      <c r="Z406" s="381">
        <v>5.9583333333333336E-6</v>
      </c>
      <c r="AA406" s="381">
        <v>0</v>
      </c>
      <c r="AB406" s="381">
        <v>0</v>
      </c>
      <c r="AC406" s="382">
        <v>9.4539291666666664E-2</v>
      </c>
      <c r="AD406" s="382">
        <v>0</v>
      </c>
      <c r="AE406" s="381" t="s">
        <v>168</v>
      </c>
    </row>
    <row r="407" spans="1:31" ht="15" customHeight="1" x14ac:dyDescent="0.25">
      <c r="A407" s="20" t="s">
        <v>156</v>
      </c>
      <c r="B407" s="20" t="s">
        <v>534</v>
      </c>
      <c r="C407" s="20" t="s">
        <v>535</v>
      </c>
      <c r="D407" s="378" t="s">
        <v>744</v>
      </c>
      <c r="E407" s="379">
        <v>44910</v>
      </c>
      <c r="F407" s="379">
        <v>46736</v>
      </c>
      <c r="G407" s="378" t="s">
        <v>173</v>
      </c>
      <c r="H407" s="20" t="s">
        <v>174</v>
      </c>
      <c r="I407" s="20" t="s">
        <v>162</v>
      </c>
      <c r="J407" s="20" t="s">
        <v>163</v>
      </c>
      <c r="K407" s="378" t="s">
        <v>175</v>
      </c>
      <c r="L407" s="20" t="s">
        <v>165</v>
      </c>
      <c r="M407" s="380">
        <v>2400</v>
      </c>
      <c r="N407" s="380"/>
      <c r="O407" s="380"/>
      <c r="P407" s="380"/>
      <c r="Q407" s="381">
        <v>254</v>
      </c>
      <c r="R407" s="381">
        <v>251</v>
      </c>
      <c r="S407" s="381">
        <v>2.92</v>
      </c>
      <c r="T407" s="381"/>
      <c r="U407" s="381"/>
      <c r="V407" s="382">
        <v>253.92</v>
      </c>
      <c r="W407" s="382">
        <v>0</v>
      </c>
      <c r="X407" s="381">
        <v>0.10583333333333333</v>
      </c>
      <c r="Y407" s="381">
        <v>0.10458333333333333</v>
      </c>
      <c r="Z407" s="381">
        <v>1.2166666666666667E-3</v>
      </c>
      <c r="AA407" s="381">
        <v>0</v>
      </c>
      <c r="AB407" s="381">
        <v>0</v>
      </c>
      <c r="AC407" s="382">
        <v>0.10580000000000001</v>
      </c>
      <c r="AD407" s="382">
        <v>0</v>
      </c>
      <c r="AE407" s="381" t="s">
        <v>168</v>
      </c>
    </row>
    <row r="408" spans="1:31" ht="15" customHeight="1" x14ac:dyDescent="0.25">
      <c r="A408" s="20" t="s">
        <v>156</v>
      </c>
      <c r="B408" s="20" t="s">
        <v>534</v>
      </c>
      <c r="C408" s="20" t="s">
        <v>535</v>
      </c>
      <c r="D408" s="378" t="s">
        <v>745</v>
      </c>
      <c r="E408" s="379">
        <v>44573</v>
      </c>
      <c r="F408" s="379">
        <v>46656</v>
      </c>
      <c r="G408" s="378" t="s">
        <v>179</v>
      </c>
      <c r="H408" s="20" t="s">
        <v>180</v>
      </c>
      <c r="I408" s="20" t="s">
        <v>162</v>
      </c>
      <c r="J408" s="20" t="s">
        <v>163</v>
      </c>
      <c r="K408" s="378" t="s">
        <v>181</v>
      </c>
      <c r="L408" s="20" t="s">
        <v>165</v>
      </c>
      <c r="M408" s="380">
        <v>2400</v>
      </c>
      <c r="N408" s="380"/>
      <c r="O408" s="380"/>
      <c r="P408" s="380"/>
      <c r="Q408" s="381" t="s">
        <v>746</v>
      </c>
      <c r="R408" s="381" t="s">
        <v>747</v>
      </c>
      <c r="S408" s="381" t="s">
        <v>748</v>
      </c>
      <c r="T408" s="381"/>
      <c r="U408" s="381"/>
      <c r="V408" s="382">
        <v>236.43</v>
      </c>
      <c r="W408" s="382">
        <v>0</v>
      </c>
      <c r="X408" s="381">
        <v>9.8750000000000004E-2</v>
      </c>
      <c r="Y408" s="381">
        <v>9.8333333333333328E-2</v>
      </c>
      <c r="Z408" s="381">
        <v>1.7916666666666667E-4</v>
      </c>
      <c r="AA408" s="381">
        <v>0</v>
      </c>
      <c r="AB408" s="381">
        <v>0</v>
      </c>
      <c r="AC408" s="382">
        <v>9.8512499999999989E-2</v>
      </c>
      <c r="AD408" s="382">
        <v>0</v>
      </c>
      <c r="AE408" s="381" t="s">
        <v>168</v>
      </c>
    </row>
    <row r="409" spans="1:31" ht="15" customHeight="1" x14ac:dyDescent="0.25">
      <c r="A409" s="20" t="s">
        <v>156</v>
      </c>
      <c r="B409" s="20" t="s">
        <v>534</v>
      </c>
      <c r="C409" s="20" t="s">
        <v>535</v>
      </c>
      <c r="D409" s="378" t="s">
        <v>544</v>
      </c>
      <c r="E409" s="379">
        <v>44573</v>
      </c>
      <c r="F409" s="379">
        <v>46656</v>
      </c>
      <c r="G409" s="378" t="s">
        <v>179</v>
      </c>
      <c r="H409" s="20" t="s">
        <v>180</v>
      </c>
      <c r="I409" s="20" t="s">
        <v>162</v>
      </c>
      <c r="J409" s="20" t="s">
        <v>163</v>
      </c>
      <c r="K409" s="378" t="s">
        <v>181</v>
      </c>
      <c r="L409" s="20" t="s">
        <v>165</v>
      </c>
      <c r="M409" s="380">
        <v>2400</v>
      </c>
      <c r="N409" s="380"/>
      <c r="O409" s="380"/>
      <c r="P409" s="380"/>
      <c r="Q409" s="381" t="s">
        <v>549</v>
      </c>
      <c r="R409" s="381" t="s">
        <v>749</v>
      </c>
      <c r="S409" s="381" t="s">
        <v>750</v>
      </c>
      <c r="T409" s="381"/>
      <c r="U409" s="381"/>
      <c r="V409" s="382">
        <v>228.42</v>
      </c>
      <c r="W409" s="382">
        <v>0</v>
      </c>
      <c r="X409" s="381">
        <v>9.5416666666666664E-2</v>
      </c>
      <c r="Y409" s="381">
        <v>9.5000000000000001E-2</v>
      </c>
      <c r="Z409" s="381">
        <v>1.75E-4</v>
      </c>
      <c r="AA409" s="381">
        <v>0</v>
      </c>
      <c r="AB409" s="381">
        <v>0</v>
      </c>
      <c r="AC409" s="382">
        <v>9.5174999999999996E-2</v>
      </c>
      <c r="AD409" s="382">
        <v>0</v>
      </c>
      <c r="AE409" s="381" t="s">
        <v>168</v>
      </c>
    </row>
    <row r="410" spans="1:31" ht="15" customHeight="1" x14ac:dyDescent="0.25">
      <c r="A410" s="20" t="s">
        <v>156</v>
      </c>
      <c r="B410" s="20" t="s">
        <v>534</v>
      </c>
      <c r="C410" s="20" t="s">
        <v>535</v>
      </c>
      <c r="D410" s="378" t="s">
        <v>751</v>
      </c>
      <c r="E410" s="379">
        <v>44910</v>
      </c>
      <c r="F410" s="379">
        <v>46736</v>
      </c>
      <c r="G410" s="378" t="s">
        <v>173</v>
      </c>
      <c r="H410" s="20" t="s">
        <v>174</v>
      </c>
      <c r="I410" s="20" t="s">
        <v>162</v>
      </c>
      <c r="J410" s="20" t="s">
        <v>163</v>
      </c>
      <c r="K410" s="378" t="s">
        <v>175</v>
      </c>
      <c r="L410" s="20" t="s">
        <v>165</v>
      </c>
      <c r="M410" s="380">
        <v>2400</v>
      </c>
      <c r="N410" s="380"/>
      <c r="O410" s="380"/>
      <c r="P410" s="380"/>
      <c r="Q410" s="381">
        <v>221</v>
      </c>
      <c r="R410" s="381">
        <v>218</v>
      </c>
      <c r="S410" s="381">
        <v>2.42</v>
      </c>
      <c r="T410" s="381"/>
      <c r="U410" s="381"/>
      <c r="V410" s="382">
        <v>220.42</v>
      </c>
      <c r="W410" s="382">
        <v>0</v>
      </c>
      <c r="X410" s="381">
        <v>9.2083333333333336E-2</v>
      </c>
      <c r="Y410" s="381">
        <v>9.0833333333333335E-2</v>
      </c>
      <c r="Z410" s="381">
        <v>1.0083333333333333E-3</v>
      </c>
      <c r="AA410" s="381">
        <v>0</v>
      </c>
      <c r="AB410" s="381">
        <v>0</v>
      </c>
      <c r="AC410" s="382">
        <v>9.1841666666666669E-2</v>
      </c>
      <c r="AD410" s="382">
        <v>0</v>
      </c>
      <c r="AE410" s="381" t="s">
        <v>168</v>
      </c>
    </row>
    <row r="411" spans="1:31" ht="15" customHeight="1" x14ac:dyDescent="0.25">
      <c r="A411" s="20" t="s">
        <v>156</v>
      </c>
      <c r="B411" s="20" t="s">
        <v>534</v>
      </c>
      <c r="C411" s="20" t="s">
        <v>535</v>
      </c>
      <c r="D411" s="378" t="s">
        <v>752</v>
      </c>
      <c r="E411" s="379">
        <v>44573</v>
      </c>
      <c r="F411" s="379">
        <v>46656</v>
      </c>
      <c r="G411" s="378" t="s">
        <v>179</v>
      </c>
      <c r="H411" s="20" t="s">
        <v>180</v>
      </c>
      <c r="I411" s="20" t="s">
        <v>162</v>
      </c>
      <c r="J411" s="20" t="s">
        <v>163</v>
      </c>
      <c r="K411" s="378" t="s">
        <v>181</v>
      </c>
      <c r="L411" s="20" t="s">
        <v>165</v>
      </c>
      <c r="M411" s="380">
        <v>2400</v>
      </c>
      <c r="N411" s="380"/>
      <c r="O411" s="380"/>
      <c r="P411" s="380"/>
      <c r="Q411" s="381" t="s">
        <v>753</v>
      </c>
      <c r="R411" s="381" t="s">
        <v>754</v>
      </c>
      <c r="S411" s="381" t="s">
        <v>755</v>
      </c>
      <c r="T411" s="381"/>
      <c r="U411" s="381"/>
      <c r="V411" s="382">
        <v>231.33</v>
      </c>
      <c r="W411" s="382">
        <v>0</v>
      </c>
      <c r="X411" s="381">
        <v>9.6666666666666665E-2</v>
      </c>
      <c r="Y411" s="381">
        <v>9.6250000000000002E-2</v>
      </c>
      <c r="Z411" s="381">
        <v>1.3750000000000001E-4</v>
      </c>
      <c r="AA411" s="381">
        <v>0</v>
      </c>
      <c r="AB411" s="381">
        <v>0</v>
      </c>
      <c r="AC411" s="382">
        <v>9.6387500000000001E-2</v>
      </c>
      <c r="AD411" s="382">
        <v>0</v>
      </c>
      <c r="AE411" s="381" t="s">
        <v>168</v>
      </c>
    </row>
    <row r="412" spans="1:31" ht="15" customHeight="1" x14ac:dyDescent="0.25">
      <c r="A412" s="20" t="s">
        <v>156</v>
      </c>
      <c r="B412" s="20" t="s">
        <v>534</v>
      </c>
      <c r="C412" s="20" t="s">
        <v>535</v>
      </c>
      <c r="D412" s="378" t="s">
        <v>756</v>
      </c>
      <c r="E412" s="379">
        <v>44910</v>
      </c>
      <c r="F412" s="379">
        <v>46736</v>
      </c>
      <c r="G412" s="378" t="s">
        <v>173</v>
      </c>
      <c r="H412" s="20" t="s">
        <v>174</v>
      </c>
      <c r="I412" s="20" t="s">
        <v>162</v>
      </c>
      <c r="J412" s="20" t="s">
        <v>163</v>
      </c>
      <c r="K412" s="378" t="s">
        <v>175</v>
      </c>
      <c r="L412" s="20" t="s">
        <v>165</v>
      </c>
      <c r="M412" s="380">
        <v>2400</v>
      </c>
      <c r="N412" s="380"/>
      <c r="O412" s="380"/>
      <c r="P412" s="380"/>
      <c r="Q412" s="381">
        <v>162</v>
      </c>
      <c r="R412" s="381">
        <v>160</v>
      </c>
      <c r="S412" s="381">
        <v>1.51</v>
      </c>
      <c r="T412" s="381"/>
      <c r="U412" s="381"/>
      <c r="V412" s="382">
        <v>161.51</v>
      </c>
      <c r="W412" s="382">
        <v>0</v>
      </c>
      <c r="X412" s="381">
        <v>6.7500000000000004E-2</v>
      </c>
      <c r="Y412" s="381">
        <v>6.6666666666666666E-2</v>
      </c>
      <c r="Z412" s="381">
        <v>6.2916666666666665E-4</v>
      </c>
      <c r="AA412" s="381">
        <v>0</v>
      </c>
      <c r="AB412" s="381">
        <v>0</v>
      </c>
      <c r="AC412" s="382">
        <v>6.7295833333333333E-2</v>
      </c>
      <c r="AD412" s="382">
        <v>0</v>
      </c>
      <c r="AE412" s="381" t="s">
        <v>168</v>
      </c>
    </row>
    <row r="413" spans="1:31" ht="15" customHeight="1" x14ac:dyDescent="0.25">
      <c r="A413" s="20" t="s">
        <v>156</v>
      </c>
      <c r="B413" s="20" t="s">
        <v>534</v>
      </c>
      <c r="C413" s="20" t="s">
        <v>535</v>
      </c>
      <c r="D413" s="378" t="s">
        <v>757</v>
      </c>
      <c r="E413" s="379">
        <v>44588</v>
      </c>
      <c r="F413" s="379">
        <v>46414</v>
      </c>
      <c r="G413" s="378" t="s">
        <v>160</v>
      </c>
      <c r="H413" s="20" t="s">
        <v>161</v>
      </c>
      <c r="I413" s="20" t="s">
        <v>162</v>
      </c>
      <c r="J413" s="20" t="s">
        <v>163</v>
      </c>
      <c r="K413" s="378" t="s">
        <v>164</v>
      </c>
      <c r="L413" s="20" t="s">
        <v>165</v>
      </c>
      <c r="M413" s="380">
        <v>2400</v>
      </c>
      <c r="N413" s="380"/>
      <c r="O413" s="380"/>
      <c r="P413" s="380"/>
      <c r="Q413" s="381" t="s">
        <v>537</v>
      </c>
      <c r="R413" s="381">
        <v>212</v>
      </c>
      <c r="S413" s="381" t="s">
        <v>538</v>
      </c>
      <c r="T413" s="381"/>
      <c r="U413" s="381"/>
      <c r="V413" s="382">
        <v>212.32</v>
      </c>
      <c r="W413" s="382">
        <v>0</v>
      </c>
      <c r="X413" s="381">
        <v>8.8749999999999996E-2</v>
      </c>
      <c r="Y413" s="381">
        <v>8.8333333333333333E-2</v>
      </c>
      <c r="Z413" s="381">
        <v>1.3333333333333334E-4</v>
      </c>
      <c r="AA413" s="381">
        <v>0</v>
      </c>
      <c r="AB413" s="381">
        <v>0</v>
      </c>
      <c r="AC413" s="382">
        <v>8.8466666666666666E-2</v>
      </c>
      <c r="AD413" s="382">
        <v>0</v>
      </c>
      <c r="AE413" s="381" t="s">
        <v>168</v>
      </c>
    </row>
    <row r="414" spans="1:31" ht="15" customHeight="1" x14ac:dyDescent="0.25">
      <c r="A414" s="20" t="s">
        <v>156</v>
      </c>
      <c r="B414" s="20" t="s">
        <v>534</v>
      </c>
      <c r="C414" s="20" t="s">
        <v>535</v>
      </c>
      <c r="D414" s="378" t="s">
        <v>758</v>
      </c>
      <c r="E414" s="379">
        <v>44573</v>
      </c>
      <c r="F414" s="379">
        <v>46656</v>
      </c>
      <c r="G414" s="378" t="s">
        <v>179</v>
      </c>
      <c r="H414" s="20" t="s">
        <v>180</v>
      </c>
      <c r="I414" s="20" t="s">
        <v>162</v>
      </c>
      <c r="J414" s="20" t="s">
        <v>163</v>
      </c>
      <c r="K414" s="378" t="s">
        <v>181</v>
      </c>
      <c r="L414" s="20" t="s">
        <v>165</v>
      </c>
      <c r="M414" s="380">
        <v>2400</v>
      </c>
      <c r="N414" s="380"/>
      <c r="O414" s="380"/>
      <c r="P414" s="380"/>
      <c r="Q414" s="381" t="s">
        <v>537</v>
      </c>
      <c r="R414" s="381" t="s">
        <v>605</v>
      </c>
      <c r="S414" s="381" t="s">
        <v>545</v>
      </c>
      <c r="T414" s="381"/>
      <c r="U414" s="381"/>
      <c r="V414" s="382">
        <v>212.27</v>
      </c>
      <c r="W414" s="382">
        <v>0</v>
      </c>
      <c r="X414" s="381">
        <v>8.8749999999999996E-2</v>
      </c>
      <c r="Y414" s="381">
        <v>8.8333333333333333E-2</v>
      </c>
      <c r="Z414" s="381">
        <v>1.1250000000000001E-4</v>
      </c>
      <c r="AA414" s="381">
        <v>0</v>
      </c>
      <c r="AB414" s="381">
        <v>0</v>
      </c>
      <c r="AC414" s="382">
        <v>8.8445833333333335E-2</v>
      </c>
      <c r="AD414" s="382">
        <v>0</v>
      </c>
      <c r="AE414" s="381" t="s">
        <v>168</v>
      </c>
    </row>
    <row r="415" spans="1:31" ht="15" customHeight="1" x14ac:dyDescent="0.25">
      <c r="A415" s="20" t="s">
        <v>156</v>
      </c>
      <c r="B415" s="20" t="s">
        <v>534</v>
      </c>
      <c r="C415" s="20" t="s">
        <v>535</v>
      </c>
      <c r="D415" s="378" t="s">
        <v>759</v>
      </c>
      <c r="E415" s="379">
        <v>44816</v>
      </c>
      <c r="F415" s="379">
        <v>46642</v>
      </c>
      <c r="G415" s="383" t="s">
        <v>185</v>
      </c>
      <c r="H415" s="20" t="s">
        <v>186</v>
      </c>
      <c r="I415" s="20" t="s">
        <v>162</v>
      </c>
      <c r="J415" s="20" t="s">
        <v>163</v>
      </c>
      <c r="K415" s="378" t="s">
        <v>187</v>
      </c>
      <c r="L415" s="20" t="s">
        <v>165</v>
      </c>
      <c r="M415" s="380">
        <v>2400</v>
      </c>
      <c r="N415" s="380"/>
      <c r="O415" s="380"/>
      <c r="P415" s="380"/>
      <c r="Q415" s="381" t="s">
        <v>543</v>
      </c>
      <c r="R415" s="381" t="s">
        <v>612</v>
      </c>
      <c r="S415" s="381" t="s">
        <v>566</v>
      </c>
      <c r="T415" s="381"/>
      <c r="U415" s="381"/>
      <c r="V415" s="382">
        <v>220.2</v>
      </c>
      <c r="W415" s="382">
        <v>0</v>
      </c>
      <c r="X415" s="381">
        <v>9.2083333333333336E-2</v>
      </c>
      <c r="Y415" s="381">
        <v>9.166666666666666E-2</v>
      </c>
      <c r="Z415" s="381">
        <v>8.3333333333333344E-5</v>
      </c>
      <c r="AA415" s="381">
        <v>0</v>
      </c>
      <c r="AB415" s="381">
        <v>0</v>
      </c>
      <c r="AC415" s="382">
        <v>9.1749999999999998E-2</v>
      </c>
      <c r="AD415" s="382">
        <v>0</v>
      </c>
      <c r="AE415" s="381" t="s">
        <v>168</v>
      </c>
    </row>
    <row r="416" spans="1:31" ht="15" customHeight="1" x14ac:dyDescent="0.25">
      <c r="A416" s="20" t="s">
        <v>156</v>
      </c>
      <c r="B416" s="20" t="s">
        <v>534</v>
      </c>
      <c r="C416" s="20" t="s">
        <v>535</v>
      </c>
      <c r="D416" s="378" t="s">
        <v>760</v>
      </c>
      <c r="E416" s="379">
        <v>45016</v>
      </c>
      <c r="F416" s="379">
        <v>46843</v>
      </c>
      <c r="G416" s="378" t="s">
        <v>215</v>
      </c>
      <c r="H416" s="20" t="s">
        <v>216</v>
      </c>
      <c r="I416" s="20" t="s">
        <v>162</v>
      </c>
      <c r="J416" s="20" t="s">
        <v>163</v>
      </c>
      <c r="K416" s="378" t="s">
        <v>217</v>
      </c>
      <c r="L416" s="20" t="s">
        <v>165</v>
      </c>
      <c r="M416" s="380">
        <v>2400</v>
      </c>
      <c r="N416" s="380"/>
      <c r="O416" s="380"/>
      <c r="P416" s="380"/>
      <c r="Q416" s="381">
        <v>221</v>
      </c>
      <c r="R416" s="381">
        <v>220</v>
      </c>
      <c r="S416" s="381">
        <v>0.182</v>
      </c>
      <c r="T416" s="381"/>
      <c r="U416" s="381"/>
      <c r="V416" s="382">
        <v>220.18199999999999</v>
      </c>
      <c r="W416" s="382">
        <v>0</v>
      </c>
      <c r="X416" s="381">
        <v>9.2083333333333336E-2</v>
      </c>
      <c r="Y416" s="381">
        <v>9.166666666666666E-2</v>
      </c>
      <c r="Z416" s="381">
        <v>7.5833333333333338E-5</v>
      </c>
      <c r="AA416" s="381">
        <v>0</v>
      </c>
      <c r="AB416" s="381">
        <v>0</v>
      </c>
      <c r="AC416" s="382">
        <v>9.1742499999999991E-2</v>
      </c>
      <c r="AD416" s="382">
        <v>0</v>
      </c>
      <c r="AE416" s="381" t="s">
        <v>168</v>
      </c>
    </row>
    <row r="417" spans="1:31" ht="15" customHeight="1" x14ac:dyDescent="0.25">
      <c r="A417" s="20" t="s">
        <v>156</v>
      </c>
      <c r="B417" s="20" t="s">
        <v>534</v>
      </c>
      <c r="C417" s="20" t="s">
        <v>535</v>
      </c>
      <c r="D417" s="378" t="s">
        <v>761</v>
      </c>
      <c r="E417" s="379">
        <v>44816</v>
      </c>
      <c r="F417" s="379">
        <v>46642</v>
      </c>
      <c r="G417" s="383" t="s">
        <v>185</v>
      </c>
      <c r="H417" s="20" t="s">
        <v>186</v>
      </c>
      <c r="I417" s="20" t="s">
        <v>162</v>
      </c>
      <c r="J417" s="20" t="s">
        <v>163</v>
      </c>
      <c r="K417" s="378" t="s">
        <v>187</v>
      </c>
      <c r="L417" s="20" t="s">
        <v>165</v>
      </c>
      <c r="M417" s="380">
        <v>2400</v>
      </c>
      <c r="N417" s="380"/>
      <c r="O417" s="380"/>
      <c r="P417" s="380"/>
      <c r="Q417" s="381" t="s">
        <v>616</v>
      </c>
      <c r="R417" s="381" t="s">
        <v>762</v>
      </c>
      <c r="S417" s="381" t="s">
        <v>563</v>
      </c>
      <c r="T417" s="381"/>
      <c r="U417" s="381"/>
      <c r="V417" s="382">
        <v>216.19</v>
      </c>
      <c r="W417" s="382">
        <v>0</v>
      </c>
      <c r="X417" s="381">
        <v>9.0416666666666673E-2</v>
      </c>
      <c r="Y417" s="381">
        <v>0.09</v>
      </c>
      <c r="Z417" s="381">
        <v>7.9166666666666662E-5</v>
      </c>
      <c r="AA417" s="381">
        <v>0</v>
      </c>
      <c r="AB417" s="381">
        <v>0</v>
      </c>
      <c r="AC417" s="382">
        <v>9.0079166666666668E-2</v>
      </c>
      <c r="AD417" s="382">
        <v>0</v>
      </c>
      <c r="AE417" s="381" t="s">
        <v>168</v>
      </c>
    </row>
    <row r="418" spans="1:31" ht="15" customHeight="1" x14ac:dyDescent="0.25">
      <c r="A418" s="20" t="s">
        <v>156</v>
      </c>
      <c r="B418" s="20" t="s">
        <v>534</v>
      </c>
      <c r="C418" s="20" t="s">
        <v>535</v>
      </c>
      <c r="D418" s="378" t="s">
        <v>763</v>
      </c>
      <c r="E418" s="379">
        <v>44581</v>
      </c>
      <c r="F418" s="379">
        <v>46407</v>
      </c>
      <c r="G418" s="378" t="s">
        <v>237</v>
      </c>
      <c r="H418" s="20" t="s">
        <v>238</v>
      </c>
      <c r="I418" s="20" t="s">
        <v>162</v>
      </c>
      <c r="J418" s="20" t="s">
        <v>163</v>
      </c>
      <c r="K418" s="378" t="s">
        <v>239</v>
      </c>
      <c r="L418" s="20" t="s">
        <v>165</v>
      </c>
      <c r="M418" s="380">
        <v>2400</v>
      </c>
      <c r="N418" s="380"/>
      <c r="O418" s="380"/>
      <c r="P418" s="380"/>
      <c r="Q418" s="381" t="s">
        <v>764</v>
      </c>
      <c r="R418" s="381" t="s">
        <v>213</v>
      </c>
      <c r="S418" s="381" t="s">
        <v>551</v>
      </c>
      <c r="T418" s="381"/>
      <c r="U418" s="381"/>
      <c r="V418" s="382">
        <v>198.23</v>
      </c>
      <c r="W418" s="382">
        <v>0</v>
      </c>
      <c r="X418" s="381">
        <v>8.2916666666666666E-2</v>
      </c>
      <c r="Y418" s="381">
        <v>8.2500000000000004E-2</v>
      </c>
      <c r="Z418" s="381">
        <v>9.5833333333333336E-5</v>
      </c>
      <c r="AA418" s="381">
        <v>0</v>
      </c>
      <c r="AB418" s="381">
        <v>0</v>
      </c>
      <c r="AC418" s="382">
        <v>8.2595833333333341E-2</v>
      </c>
      <c r="AD418" s="382">
        <v>0</v>
      </c>
      <c r="AE418" s="381" t="s">
        <v>168</v>
      </c>
    </row>
    <row r="419" spans="1:31" ht="15" customHeight="1" x14ac:dyDescent="0.25">
      <c r="A419" s="20" t="s">
        <v>156</v>
      </c>
      <c r="B419" s="20" t="s">
        <v>534</v>
      </c>
      <c r="C419" s="20" t="s">
        <v>535</v>
      </c>
      <c r="D419" s="378" t="s">
        <v>765</v>
      </c>
      <c r="E419" s="379">
        <v>44525</v>
      </c>
      <c r="F419" s="379">
        <v>46351</v>
      </c>
      <c r="G419" s="378" t="s">
        <v>262</v>
      </c>
      <c r="H419" s="20" t="s">
        <v>263</v>
      </c>
      <c r="I419" s="20" t="s">
        <v>162</v>
      </c>
      <c r="J419" s="20" t="s">
        <v>163</v>
      </c>
      <c r="K419" s="378" t="s">
        <v>264</v>
      </c>
      <c r="L419" s="20" t="s">
        <v>165</v>
      </c>
      <c r="M419" s="380">
        <v>2400</v>
      </c>
      <c r="N419" s="380"/>
      <c r="O419" s="380"/>
      <c r="P419" s="380"/>
      <c r="Q419" s="381" t="s">
        <v>166</v>
      </c>
      <c r="R419" s="381" t="s">
        <v>588</v>
      </c>
      <c r="S419" s="381" t="s">
        <v>211</v>
      </c>
      <c r="T419" s="381"/>
      <c r="U419" s="381"/>
      <c r="V419" s="382">
        <v>206.17</v>
      </c>
      <c r="W419" s="382">
        <v>0</v>
      </c>
      <c r="X419" s="381">
        <v>8.6249999999999993E-2</v>
      </c>
      <c r="Y419" s="381">
        <v>8.5833333333333331E-2</v>
      </c>
      <c r="Z419" s="381">
        <v>7.0833333333333338E-5</v>
      </c>
      <c r="AA419" s="381">
        <v>0</v>
      </c>
      <c r="AB419" s="381">
        <v>0</v>
      </c>
      <c r="AC419" s="382">
        <v>8.590416666666667E-2</v>
      </c>
      <c r="AD419" s="382">
        <v>0</v>
      </c>
      <c r="AE419" s="381" t="s">
        <v>168</v>
      </c>
    </row>
    <row r="420" spans="1:31" ht="15" customHeight="1" x14ac:dyDescent="0.25">
      <c r="A420" s="20" t="s">
        <v>156</v>
      </c>
      <c r="B420" s="20" t="s">
        <v>534</v>
      </c>
      <c r="C420" s="20" t="s">
        <v>535</v>
      </c>
      <c r="D420" s="378" t="s">
        <v>766</v>
      </c>
      <c r="E420" s="379">
        <v>44525</v>
      </c>
      <c r="F420" s="379">
        <v>46351</v>
      </c>
      <c r="G420" s="378" t="s">
        <v>262</v>
      </c>
      <c r="H420" s="20" t="s">
        <v>263</v>
      </c>
      <c r="I420" s="20" t="s">
        <v>162</v>
      </c>
      <c r="J420" s="20" t="s">
        <v>163</v>
      </c>
      <c r="K420" s="378" t="s">
        <v>264</v>
      </c>
      <c r="L420" s="20" t="s">
        <v>165</v>
      </c>
      <c r="M420" s="380">
        <v>2400</v>
      </c>
      <c r="N420" s="380"/>
      <c r="O420" s="380"/>
      <c r="P420" s="380"/>
      <c r="Q420" s="381" t="s">
        <v>425</v>
      </c>
      <c r="R420" s="381" t="s">
        <v>432</v>
      </c>
      <c r="S420" s="381" t="s">
        <v>223</v>
      </c>
      <c r="T420" s="381"/>
      <c r="U420" s="381"/>
      <c r="V420" s="382">
        <v>209.11</v>
      </c>
      <c r="W420" s="382">
        <v>0</v>
      </c>
      <c r="X420" s="381">
        <v>8.7499999999999994E-2</v>
      </c>
      <c r="Y420" s="381">
        <v>8.7083333333333332E-2</v>
      </c>
      <c r="Z420" s="381">
        <v>4.5833333333333334E-5</v>
      </c>
      <c r="AA420" s="381">
        <v>0</v>
      </c>
      <c r="AB420" s="381">
        <v>0</v>
      </c>
      <c r="AC420" s="382">
        <v>8.712916666666666E-2</v>
      </c>
      <c r="AD420" s="382">
        <v>0</v>
      </c>
      <c r="AE420" s="381" t="s">
        <v>168</v>
      </c>
    </row>
    <row r="421" spans="1:31" ht="15" customHeight="1" x14ac:dyDescent="0.25">
      <c r="A421" s="20" t="s">
        <v>156</v>
      </c>
      <c r="B421" s="20" t="s">
        <v>534</v>
      </c>
      <c r="C421" s="20" t="s">
        <v>535</v>
      </c>
      <c r="D421" s="378" t="s">
        <v>767</v>
      </c>
      <c r="E421" s="379">
        <v>44525</v>
      </c>
      <c r="F421" s="379">
        <v>46351</v>
      </c>
      <c r="G421" s="378" t="s">
        <v>262</v>
      </c>
      <c r="H421" s="20" t="s">
        <v>263</v>
      </c>
      <c r="I421" s="20" t="s">
        <v>162</v>
      </c>
      <c r="J421" s="20" t="s">
        <v>163</v>
      </c>
      <c r="K421" s="378" t="s">
        <v>264</v>
      </c>
      <c r="L421" s="20" t="s">
        <v>165</v>
      </c>
      <c r="M421" s="380">
        <v>2400</v>
      </c>
      <c r="N421" s="380"/>
      <c r="O421" s="380"/>
      <c r="P421" s="380"/>
      <c r="Q421" s="381" t="s">
        <v>768</v>
      </c>
      <c r="R421" s="381" t="s">
        <v>208</v>
      </c>
      <c r="S421" s="381" t="s">
        <v>266</v>
      </c>
      <c r="T421" s="381"/>
      <c r="U421" s="381"/>
      <c r="V421" s="382">
        <v>204.13</v>
      </c>
      <c r="W421" s="382">
        <v>0</v>
      </c>
      <c r="X421" s="381">
        <v>8.5416666666666669E-2</v>
      </c>
      <c r="Y421" s="381">
        <v>8.5000000000000006E-2</v>
      </c>
      <c r="Z421" s="381">
        <v>5.4166666666666671E-5</v>
      </c>
      <c r="AA421" s="381">
        <v>0</v>
      </c>
      <c r="AB421" s="381">
        <v>0</v>
      </c>
      <c r="AC421" s="382">
        <v>8.5054166666666667E-2</v>
      </c>
      <c r="AD421" s="382">
        <v>0</v>
      </c>
      <c r="AE421" s="381" t="s">
        <v>168</v>
      </c>
    </row>
    <row r="422" spans="1:31" ht="15" customHeight="1" x14ac:dyDescent="0.25">
      <c r="A422" s="20" t="s">
        <v>156</v>
      </c>
      <c r="B422" s="20" t="s">
        <v>534</v>
      </c>
      <c r="C422" s="20" t="s">
        <v>535</v>
      </c>
      <c r="D422" s="378" t="s">
        <v>769</v>
      </c>
      <c r="E422" s="379">
        <v>45016</v>
      </c>
      <c r="F422" s="379">
        <v>46843</v>
      </c>
      <c r="G422" s="378" t="s">
        <v>179</v>
      </c>
      <c r="H422" s="20" t="s">
        <v>202</v>
      </c>
      <c r="I422" s="20" t="s">
        <v>162</v>
      </c>
      <c r="J422" s="20" t="s">
        <v>163</v>
      </c>
      <c r="K422" s="378" t="s">
        <v>203</v>
      </c>
      <c r="L422" s="20" t="s">
        <v>165</v>
      </c>
      <c r="M422" s="380">
        <v>2400</v>
      </c>
      <c r="N422" s="380"/>
      <c r="O422" s="380"/>
      <c r="P422" s="380"/>
      <c r="Q422" s="381">
        <v>192</v>
      </c>
      <c r="R422" s="381">
        <v>191</v>
      </c>
      <c r="S422" s="381">
        <v>0.15</v>
      </c>
      <c r="T422" s="381"/>
      <c r="U422" s="381"/>
      <c r="V422" s="382">
        <v>191.15</v>
      </c>
      <c r="W422" s="382">
        <v>0</v>
      </c>
      <c r="X422" s="381">
        <v>0.08</v>
      </c>
      <c r="Y422" s="381">
        <v>7.9583333333333339E-2</v>
      </c>
      <c r="Z422" s="381">
        <v>6.2500000000000001E-5</v>
      </c>
      <c r="AA422" s="381">
        <v>0</v>
      </c>
      <c r="AB422" s="381">
        <v>0</v>
      </c>
      <c r="AC422" s="382">
        <v>7.9645833333333332E-2</v>
      </c>
      <c r="AD422" s="382">
        <v>0</v>
      </c>
      <c r="AE422" s="381" t="s">
        <v>168</v>
      </c>
    </row>
    <row r="423" spans="1:31" ht="15" customHeight="1" x14ac:dyDescent="0.25">
      <c r="A423" s="20" t="s">
        <v>156</v>
      </c>
      <c r="B423" s="20" t="s">
        <v>534</v>
      </c>
      <c r="C423" s="20" t="s">
        <v>535</v>
      </c>
      <c r="D423" s="378" t="s">
        <v>770</v>
      </c>
      <c r="E423" s="379">
        <v>45038</v>
      </c>
      <c r="F423" s="379">
        <v>46865</v>
      </c>
      <c r="G423" s="383" t="s">
        <v>193</v>
      </c>
      <c r="H423" s="20" t="s">
        <v>229</v>
      </c>
      <c r="I423" s="20" t="s">
        <v>162</v>
      </c>
      <c r="J423" s="20" t="s">
        <v>163</v>
      </c>
      <c r="K423" s="378" t="s">
        <v>230</v>
      </c>
      <c r="L423" s="20" t="s">
        <v>165</v>
      </c>
      <c r="M423" s="380">
        <v>2400</v>
      </c>
      <c r="N423" s="380"/>
      <c r="O423" s="380"/>
      <c r="P423" s="380"/>
      <c r="Q423" s="381" t="s">
        <v>771</v>
      </c>
      <c r="R423" s="381" t="s">
        <v>595</v>
      </c>
      <c r="S423" s="381" t="s">
        <v>234</v>
      </c>
      <c r="T423" s="381"/>
      <c r="U423" s="381"/>
      <c r="V423" s="382">
        <v>184.14</v>
      </c>
      <c r="W423" s="382">
        <v>0</v>
      </c>
      <c r="X423" s="381">
        <v>7.7083333333333337E-2</v>
      </c>
      <c r="Y423" s="381">
        <v>7.6666666666666661E-2</v>
      </c>
      <c r="Z423" s="381">
        <v>5.833333333333334E-5</v>
      </c>
      <c r="AA423" s="381">
        <v>0</v>
      </c>
      <c r="AB423" s="381">
        <v>0</v>
      </c>
      <c r="AC423" s="382">
        <v>7.6724999999999988E-2</v>
      </c>
      <c r="AD423" s="382">
        <v>0</v>
      </c>
      <c r="AE423" s="381" t="s">
        <v>168</v>
      </c>
    </row>
    <row r="424" spans="1:31" ht="15" customHeight="1" x14ac:dyDescent="0.25">
      <c r="A424" s="20" t="s">
        <v>156</v>
      </c>
      <c r="B424" s="20" t="s">
        <v>534</v>
      </c>
      <c r="C424" s="20" t="s">
        <v>535</v>
      </c>
      <c r="D424" s="378" t="s">
        <v>772</v>
      </c>
      <c r="E424" s="384" t="s">
        <v>773</v>
      </c>
      <c r="F424" s="384" t="s">
        <v>774</v>
      </c>
      <c r="G424" s="378" t="s">
        <v>439</v>
      </c>
      <c r="H424" s="20" t="s">
        <v>775</v>
      </c>
      <c r="I424" s="378">
        <v>0</v>
      </c>
      <c r="J424" s="20" t="s">
        <v>776</v>
      </c>
      <c r="K424" s="378" t="s">
        <v>777</v>
      </c>
      <c r="L424" s="378" t="s">
        <v>165</v>
      </c>
      <c r="M424" s="380">
        <v>2270</v>
      </c>
      <c r="N424" s="380" t="s">
        <v>443</v>
      </c>
      <c r="O424" s="380" t="s">
        <v>443</v>
      </c>
      <c r="P424" s="380" t="s">
        <v>443</v>
      </c>
      <c r="Q424" s="381">
        <v>211</v>
      </c>
      <c r="R424" s="381">
        <v>211</v>
      </c>
      <c r="S424" s="381">
        <v>9.7600000000000006E-2</v>
      </c>
      <c r="T424" s="381">
        <v>2.1700000000000001E-2</v>
      </c>
      <c r="U424" s="381">
        <v>0</v>
      </c>
      <c r="V424" s="382">
        <v>211.11930000000001</v>
      </c>
      <c r="W424" s="382">
        <v>0</v>
      </c>
      <c r="X424" s="381">
        <v>9.2951541850220268E-2</v>
      </c>
      <c r="Y424" s="381">
        <v>9.2951541850220268E-2</v>
      </c>
      <c r="Z424" s="381">
        <v>4.2995594713656391E-5</v>
      </c>
      <c r="AA424" s="381">
        <v>9.5594713656387661E-6</v>
      </c>
      <c r="AB424" s="381">
        <v>0</v>
      </c>
      <c r="AC424" s="382">
        <v>9.3004096916299558E-2</v>
      </c>
      <c r="AD424" s="382">
        <v>0</v>
      </c>
      <c r="AE424" s="381" t="s">
        <v>444</v>
      </c>
    </row>
    <row r="425" spans="1:31" ht="15" customHeight="1" x14ac:dyDescent="0.25">
      <c r="A425" s="20" t="s">
        <v>156</v>
      </c>
      <c r="B425" s="20" t="s">
        <v>534</v>
      </c>
      <c r="C425" s="20" t="s">
        <v>535</v>
      </c>
      <c r="D425" s="378" t="s">
        <v>778</v>
      </c>
      <c r="E425" s="384" t="s">
        <v>437</v>
      </c>
      <c r="F425" s="384" t="s">
        <v>438</v>
      </c>
      <c r="G425" s="378" t="s">
        <v>439</v>
      </c>
      <c r="H425" s="20" t="s">
        <v>779</v>
      </c>
      <c r="I425" s="378" t="s">
        <v>441</v>
      </c>
      <c r="J425" s="20" t="s">
        <v>163</v>
      </c>
      <c r="K425" s="378" t="s">
        <v>780</v>
      </c>
      <c r="L425" s="378" t="s">
        <v>165</v>
      </c>
      <c r="M425" s="380">
        <v>2384</v>
      </c>
      <c r="N425" s="380" t="s">
        <v>443</v>
      </c>
      <c r="O425" s="380" t="s">
        <v>443</v>
      </c>
      <c r="P425" s="380" t="s">
        <v>443</v>
      </c>
      <c r="Q425" s="381">
        <v>179</v>
      </c>
      <c r="R425" s="381">
        <v>179</v>
      </c>
      <c r="S425" s="381">
        <v>0.222</v>
      </c>
      <c r="T425" s="381">
        <v>0.26400000000000001</v>
      </c>
      <c r="U425" s="381">
        <v>0</v>
      </c>
      <c r="V425" s="382">
        <v>179.48600000000002</v>
      </c>
      <c r="W425" s="382">
        <v>0</v>
      </c>
      <c r="X425" s="381">
        <v>7.508389261744966E-2</v>
      </c>
      <c r="Y425" s="381">
        <v>7.508389261744966E-2</v>
      </c>
      <c r="Z425" s="381">
        <v>9.3120805369127524E-5</v>
      </c>
      <c r="AA425" s="381">
        <v>1.1073825503355705E-4</v>
      </c>
      <c r="AB425" s="381">
        <v>0</v>
      </c>
      <c r="AC425" s="382">
        <v>7.5287751677852344E-2</v>
      </c>
      <c r="AD425" s="382">
        <v>0</v>
      </c>
      <c r="AE425" s="381" t="s">
        <v>444</v>
      </c>
    </row>
    <row r="426" spans="1:31" ht="15" customHeight="1" x14ac:dyDescent="0.25">
      <c r="A426" s="20" t="s">
        <v>156</v>
      </c>
      <c r="B426" s="20" t="s">
        <v>534</v>
      </c>
      <c r="C426" s="20" t="s">
        <v>535</v>
      </c>
      <c r="D426" s="378" t="s">
        <v>781</v>
      </c>
      <c r="E426" s="384" t="s">
        <v>437</v>
      </c>
      <c r="F426" s="384" t="s">
        <v>438</v>
      </c>
      <c r="G426" s="378" t="s">
        <v>439</v>
      </c>
      <c r="H426" s="20" t="s">
        <v>782</v>
      </c>
      <c r="I426" s="378" t="s">
        <v>441</v>
      </c>
      <c r="J426" s="20" t="s">
        <v>163</v>
      </c>
      <c r="K426" s="378" t="s">
        <v>783</v>
      </c>
      <c r="L426" s="378" t="s">
        <v>165</v>
      </c>
      <c r="M426" s="380">
        <v>2384</v>
      </c>
      <c r="N426" s="380" t="s">
        <v>443</v>
      </c>
      <c r="O426" s="380" t="s">
        <v>443</v>
      </c>
      <c r="P426" s="380" t="s">
        <v>443</v>
      </c>
      <c r="Q426" s="381">
        <v>170</v>
      </c>
      <c r="R426" s="381">
        <v>170</v>
      </c>
      <c r="S426" s="381">
        <v>0.23499999999999999</v>
      </c>
      <c r="T426" s="381">
        <v>0.26200000000000001</v>
      </c>
      <c r="U426" s="381">
        <v>0</v>
      </c>
      <c r="V426" s="382">
        <v>170.49700000000001</v>
      </c>
      <c r="W426" s="382">
        <v>0</v>
      </c>
      <c r="X426" s="381">
        <v>7.1308724832214759E-2</v>
      </c>
      <c r="Y426" s="381">
        <v>7.1308724832214759E-2</v>
      </c>
      <c r="Z426" s="381">
        <v>9.8573825503355702E-5</v>
      </c>
      <c r="AA426" s="381">
        <v>1.0989932885906041E-4</v>
      </c>
      <c r="AB426" s="381">
        <v>0</v>
      </c>
      <c r="AC426" s="382">
        <v>7.1517197986577172E-2</v>
      </c>
      <c r="AD426" s="382">
        <v>0</v>
      </c>
      <c r="AE426" s="381" t="s">
        <v>444</v>
      </c>
    </row>
    <row r="427" spans="1:31" ht="15" customHeight="1" x14ac:dyDescent="0.25">
      <c r="A427" s="20" t="s">
        <v>156</v>
      </c>
      <c r="B427" s="20" t="s">
        <v>534</v>
      </c>
      <c r="C427" s="20" t="s">
        <v>535</v>
      </c>
      <c r="D427" s="378" t="s">
        <v>784</v>
      </c>
      <c r="E427" s="384" t="s">
        <v>437</v>
      </c>
      <c r="F427" s="384" t="s">
        <v>438</v>
      </c>
      <c r="G427" s="378" t="s">
        <v>439</v>
      </c>
      <c r="H427" s="20" t="s">
        <v>785</v>
      </c>
      <c r="I427" s="378" t="s">
        <v>441</v>
      </c>
      <c r="J427" s="20" t="s">
        <v>163</v>
      </c>
      <c r="K427" s="378" t="s">
        <v>786</v>
      </c>
      <c r="L427" s="378" t="s">
        <v>165</v>
      </c>
      <c r="M427" s="380">
        <v>2384</v>
      </c>
      <c r="N427" s="380" t="s">
        <v>443</v>
      </c>
      <c r="O427" s="380" t="s">
        <v>443</v>
      </c>
      <c r="P427" s="380" t="s">
        <v>443</v>
      </c>
      <c r="Q427" s="381">
        <v>160</v>
      </c>
      <c r="R427" s="381">
        <v>159</v>
      </c>
      <c r="S427" s="381">
        <v>0.23400000000000001</v>
      </c>
      <c r="T427" s="381">
        <v>0.26200000000000001</v>
      </c>
      <c r="U427" s="381">
        <v>0</v>
      </c>
      <c r="V427" s="382">
        <v>159.49600000000001</v>
      </c>
      <c r="W427" s="382">
        <v>0</v>
      </c>
      <c r="X427" s="381">
        <v>6.7114093959731544E-2</v>
      </c>
      <c r="Y427" s="381">
        <v>6.6694630872483215E-2</v>
      </c>
      <c r="Z427" s="381">
        <v>9.8154362416107388E-5</v>
      </c>
      <c r="AA427" s="381">
        <v>1.0989932885906041E-4</v>
      </c>
      <c r="AB427" s="381">
        <v>0</v>
      </c>
      <c r="AC427" s="382">
        <v>6.6902684563758391E-2</v>
      </c>
      <c r="AD427" s="382">
        <v>0</v>
      </c>
      <c r="AE427" s="381" t="s">
        <v>444</v>
      </c>
    </row>
    <row r="428" spans="1:31" ht="15" customHeight="1" x14ac:dyDescent="0.25">
      <c r="A428" s="20" t="s">
        <v>156</v>
      </c>
      <c r="B428" s="20" t="s">
        <v>534</v>
      </c>
      <c r="C428" s="20" t="s">
        <v>535</v>
      </c>
      <c r="D428" s="378" t="s">
        <v>787</v>
      </c>
      <c r="E428" s="384">
        <v>44613</v>
      </c>
      <c r="F428" s="384">
        <v>46439</v>
      </c>
      <c r="G428" s="378" t="s">
        <v>439</v>
      </c>
      <c r="H428" s="20" t="s">
        <v>455</v>
      </c>
      <c r="I428" s="378" t="s">
        <v>168</v>
      </c>
      <c r="J428" s="20" t="s">
        <v>163</v>
      </c>
      <c r="K428" s="378" t="s">
        <v>456</v>
      </c>
      <c r="L428" s="378" t="s">
        <v>165</v>
      </c>
      <c r="M428" s="380">
        <v>2400</v>
      </c>
      <c r="N428" s="380" t="s">
        <v>443</v>
      </c>
      <c r="O428" s="380" t="s">
        <v>443</v>
      </c>
      <c r="P428" s="380" t="s">
        <v>443</v>
      </c>
      <c r="Q428" s="381">
        <v>178</v>
      </c>
      <c r="R428" s="381">
        <v>0</v>
      </c>
      <c r="S428" s="381">
        <v>0</v>
      </c>
      <c r="T428" s="381">
        <v>0</v>
      </c>
      <c r="U428" s="381">
        <v>0</v>
      </c>
      <c r="V428" s="382">
        <v>178</v>
      </c>
      <c r="W428" s="382">
        <v>0</v>
      </c>
      <c r="X428" s="381">
        <v>7.4166666666666672E-2</v>
      </c>
      <c r="Y428" s="381">
        <v>0</v>
      </c>
      <c r="Z428" s="381">
        <v>0</v>
      </c>
      <c r="AA428" s="381">
        <v>0</v>
      </c>
      <c r="AB428" s="381">
        <v>0</v>
      </c>
      <c r="AC428" s="382">
        <v>7.4166666666666672E-2</v>
      </c>
      <c r="AD428" s="382">
        <v>0</v>
      </c>
      <c r="AE428" s="381" t="s">
        <v>444</v>
      </c>
    </row>
    <row r="429" spans="1:31" ht="15" customHeight="1" x14ac:dyDescent="0.25">
      <c r="A429" s="20" t="s">
        <v>156</v>
      </c>
      <c r="B429" s="20" t="s">
        <v>534</v>
      </c>
      <c r="C429" s="20" t="s">
        <v>535</v>
      </c>
      <c r="D429" s="378" t="s">
        <v>788</v>
      </c>
      <c r="E429" s="384">
        <v>44613</v>
      </c>
      <c r="F429" s="384">
        <v>46439</v>
      </c>
      <c r="G429" s="378" t="s">
        <v>439</v>
      </c>
      <c r="H429" s="20" t="s">
        <v>455</v>
      </c>
      <c r="I429" s="378" t="s">
        <v>168</v>
      </c>
      <c r="J429" s="20" t="s">
        <v>163</v>
      </c>
      <c r="K429" s="378" t="s">
        <v>456</v>
      </c>
      <c r="L429" s="378" t="s">
        <v>165</v>
      </c>
      <c r="M429" s="380">
        <v>2400</v>
      </c>
      <c r="N429" s="380" t="s">
        <v>443</v>
      </c>
      <c r="O429" s="380" t="s">
        <v>443</v>
      </c>
      <c r="P429" s="380" t="s">
        <v>443</v>
      </c>
      <c r="Q429" s="381">
        <v>214</v>
      </c>
      <c r="R429" s="381">
        <v>0</v>
      </c>
      <c r="S429" s="381">
        <v>0</v>
      </c>
      <c r="T429" s="381">
        <v>0</v>
      </c>
      <c r="U429" s="381">
        <v>0</v>
      </c>
      <c r="V429" s="382">
        <v>214</v>
      </c>
      <c r="W429" s="382">
        <v>0</v>
      </c>
      <c r="X429" s="381">
        <v>8.9166666666666672E-2</v>
      </c>
      <c r="Y429" s="381">
        <v>0</v>
      </c>
      <c r="Z429" s="381">
        <v>0</v>
      </c>
      <c r="AA429" s="381">
        <v>0</v>
      </c>
      <c r="AB429" s="381">
        <v>0</v>
      </c>
      <c r="AC429" s="382">
        <v>8.9166666666666672E-2</v>
      </c>
      <c r="AD429" s="382">
        <v>0</v>
      </c>
      <c r="AE429" s="381" t="s">
        <v>444</v>
      </c>
    </row>
    <row r="430" spans="1:31" ht="15" customHeight="1" x14ac:dyDescent="0.25">
      <c r="A430" s="20" t="s">
        <v>156</v>
      </c>
      <c r="B430" s="20" t="s">
        <v>534</v>
      </c>
      <c r="C430" s="20" t="s">
        <v>535</v>
      </c>
      <c r="D430" s="378" t="s">
        <v>789</v>
      </c>
      <c r="E430" s="384">
        <v>44613</v>
      </c>
      <c r="F430" s="384">
        <v>46439</v>
      </c>
      <c r="G430" s="378" t="s">
        <v>439</v>
      </c>
      <c r="H430" s="20" t="s">
        <v>455</v>
      </c>
      <c r="I430" s="378" t="s">
        <v>168</v>
      </c>
      <c r="J430" s="20" t="s">
        <v>163</v>
      </c>
      <c r="K430" s="378" t="s">
        <v>456</v>
      </c>
      <c r="L430" s="378" t="s">
        <v>165</v>
      </c>
      <c r="M430" s="380">
        <v>2400</v>
      </c>
      <c r="N430" s="380" t="s">
        <v>443</v>
      </c>
      <c r="O430" s="380" t="s">
        <v>443</v>
      </c>
      <c r="P430" s="380" t="s">
        <v>443</v>
      </c>
      <c r="Q430" s="381">
        <v>227</v>
      </c>
      <c r="R430" s="381">
        <v>0</v>
      </c>
      <c r="S430" s="381">
        <v>0</v>
      </c>
      <c r="T430" s="381">
        <v>0</v>
      </c>
      <c r="U430" s="381">
        <v>0</v>
      </c>
      <c r="V430" s="382">
        <v>227</v>
      </c>
      <c r="W430" s="382">
        <v>0</v>
      </c>
      <c r="X430" s="381">
        <v>9.4583333333333339E-2</v>
      </c>
      <c r="Y430" s="381">
        <v>0</v>
      </c>
      <c r="Z430" s="381">
        <v>0</v>
      </c>
      <c r="AA430" s="381">
        <v>0</v>
      </c>
      <c r="AB430" s="381">
        <v>0</v>
      </c>
      <c r="AC430" s="382">
        <v>9.4583333333333339E-2</v>
      </c>
      <c r="AD430" s="382">
        <v>0</v>
      </c>
      <c r="AE430" s="381" t="s">
        <v>444</v>
      </c>
    </row>
    <row r="431" spans="1:31" ht="15" customHeight="1" x14ac:dyDescent="0.25">
      <c r="A431" s="20" t="s">
        <v>156</v>
      </c>
      <c r="B431" s="20" t="s">
        <v>534</v>
      </c>
      <c r="C431" s="20" t="s">
        <v>535</v>
      </c>
      <c r="D431" s="378" t="s">
        <v>790</v>
      </c>
      <c r="E431" s="384">
        <v>44613</v>
      </c>
      <c r="F431" s="384">
        <v>46439</v>
      </c>
      <c r="G431" s="378" t="s">
        <v>439</v>
      </c>
      <c r="H431" s="20" t="s">
        <v>455</v>
      </c>
      <c r="I431" s="378" t="s">
        <v>168</v>
      </c>
      <c r="J431" s="20" t="s">
        <v>163</v>
      </c>
      <c r="K431" s="378" t="s">
        <v>456</v>
      </c>
      <c r="L431" s="378" t="s">
        <v>165</v>
      </c>
      <c r="M431" s="380">
        <v>2400</v>
      </c>
      <c r="N431" s="380" t="s">
        <v>443</v>
      </c>
      <c r="O431" s="380" t="s">
        <v>443</v>
      </c>
      <c r="P431" s="380" t="s">
        <v>443</v>
      </c>
      <c r="Q431" s="381">
        <v>240</v>
      </c>
      <c r="R431" s="381">
        <v>0</v>
      </c>
      <c r="S431" s="381">
        <v>0</v>
      </c>
      <c r="T431" s="381">
        <v>0</v>
      </c>
      <c r="U431" s="381">
        <v>0</v>
      </c>
      <c r="V431" s="382">
        <v>240</v>
      </c>
      <c r="W431" s="382">
        <v>0</v>
      </c>
      <c r="X431" s="381">
        <v>0.1</v>
      </c>
      <c r="Y431" s="381">
        <v>0</v>
      </c>
      <c r="Z431" s="381">
        <v>0</v>
      </c>
      <c r="AA431" s="381">
        <v>0</v>
      </c>
      <c r="AB431" s="381">
        <v>0</v>
      </c>
      <c r="AC431" s="382">
        <v>0.1</v>
      </c>
      <c r="AD431" s="382">
        <v>0</v>
      </c>
      <c r="AE431" s="381" t="s">
        <v>444</v>
      </c>
    </row>
    <row r="432" spans="1:31" ht="15" customHeight="1" x14ac:dyDescent="0.25">
      <c r="A432" s="20" t="s">
        <v>156</v>
      </c>
      <c r="B432" s="20" t="s">
        <v>534</v>
      </c>
      <c r="C432" s="20" t="s">
        <v>535</v>
      </c>
      <c r="D432" s="378" t="s">
        <v>791</v>
      </c>
      <c r="E432" s="384">
        <v>44613</v>
      </c>
      <c r="F432" s="384">
        <v>46439</v>
      </c>
      <c r="G432" s="378" t="s">
        <v>439</v>
      </c>
      <c r="H432" s="20" t="s">
        <v>455</v>
      </c>
      <c r="I432" s="378" t="s">
        <v>168</v>
      </c>
      <c r="J432" s="20" t="s">
        <v>163</v>
      </c>
      <c r="K432" s="378" t="s">
        <v>456</v>
      </c>
      <c r="L432" s="378" t="s">
        <v>165</v>
      </c>
      <c r="M432" s="380">
        <v>2400</v>
      </c>
      <c r="N432" s="380" t="s">
        <v>443</v>
      </c>
      <c r="O432" s="380" t="s">
        <v>443</v>
      </c>
      <c r="P432" s="380" t="s">
        <v>443</v>
      </c>
      <c r="Q432" s="381">
        <v>272</v>
      </c>
      <c r="R432" s="381">
        <v>0</v>
      </c>
      <c r="S432" s="381">
        <v>0</v>
      </c>
      <c r="T432" s="381">
        <v>0</v>
      </c>
      <c r="U432" s="381">
        <v>0</v>
      </c>
      <c r="V432" s="382">
        <v>272</v>
      </c>
      <c r="W432" s="382">
        <v>0</v>
      </c>
      <c r="X432" s="381">
        <v>0.11333333333333333</v>
      </c>
      <c r="Y432" s="381">
        <v>0</v>
      </c>
      <c r="Z432" s="381">
        <v>0</v>
      </c>
      <c r="AA432" s="381">
        <v>0</v>
      </c>
      <c r="AB432" s="381">
        <v>0</v>
      </c>
      <c r="AC432" s="382">
        <v>0.11333333333333333</v>
      </c>
      <c r="AD432" s="382">
        <v>0</v>
      </c>
      <c r="AE432" s="381" t="s">
        <v>444</v>
      </c>
    </row>
    <row r="433" spans="1:31" ht="15" customHeight="1" x14ac:dyDescent="0.25">
      <c r="A433" s="20" t="s">
        <v>156</v>
      </c>
      <c r="B433" s="20" t="s">
        <v>534</v>
      </c>
      <c r="C433" s="20" t="s">
        <v>535</v>
      </c>
      <c r="D433" s="378" t="s">
        <v>792</v>
      </c>
      <c r="E433" s="384">
        <v>44613</v>
      </c>
      <c r="F433" s="384">
        <v>46439</v>
      </c>
      <c r="G433" s="378" t="s">
        <v>439</v>
      </c>
      <c r="H433" s="20" t="s">
        <v>455</v>
      </c>
      <c r="I433" s="378" t="s">
        <v>168</v>
      </c>
      <c r="J433" s="20" t="s">
        <v>163</v>
      </c>
      <c r="K433" s="378" t="s">
        <v>456</v>
      </c>
      <c r="L433" s="378" t="s">
        <v>165</v>
      </c>
      <c r="M433" s="380">
        <v>2400</v>
      </c>
      <c r="N433" s="380" t="s">
        <v>443</v>
      </c>
      <c r="O433" s="380" t="s">
        <v>443</v>
      </c>
      <c r="P433" s="380" t="s">
        <v>443</v>
      </c>
      <c r="Q433" s="381">
        <v>301</v>
      </c>
      <c r="R433" s="381">
        <v>0</v>
      </c>
      <c r="S433" s="381">
        <v>0</v>
      </c>
      <c r="T433" s="381">
        <v>0</v>
      </c>
      <c r="U433" s="381">
        <v>0</v>
      </c>
      <c r="V433" s="382">
        <v>301</v>
      </c>
      <c r="W433" s="382">
        <v>0</v>
      </c>
      <c r="X433" s="381">
        <v>0.12541666666666668</v>
      </c>
      <c r="Y433" s="381">
        <v>0</v>
      </c>
      <c r="Z433" s="381">
        <v>0</v>
      </c>
      <c r="AA433" s="381">
        <v>0</v>
      </c>
      <c r="AB433" s="381">
        <v>0</v>
      </c>
      <c r="AC433" s="382">
        <v>0.12541666666666668</v>
      </c>
      <c r="AD433" s="382">
        <v>0</v>
      </c>
      <c r="AE433" s="381" t="s">
        <v>444</v>
      </c>
    </row>
    <row r="434" spans="1:31" ht="15" customHeight="1" x14ac:dyDescent="0.25">
      <c r="A434" s="20" t="s">
        <v>156</v>
      </c>
      <c r="B434" s="20" t="s">
        <v>534</v>
      </c>
      <c r="C434" s="20" t="s">
        <v>535</v>
      </c>
      <c r="D434" s="378" t="s">
        <v>793</v>
      </c>
      <c r="E434" s="384">
        <v>44613</v>
      </c>
      <c r="F434" s="384">
        <v>46439</v>
      </c>
      <c r="G434" s="378" t="s">
        <v>439</v>
      </c>
      <c r="H434" s="20" t="s">
        <v>455</v>
      </c>
      <c r="I434" s="378" t="s">
        <v>168</v>
      </c>
      <c r="J434" s="20" t="s">
        <v>163</v>
      </c>
      <c r="K434" s="378" t="s">
        <v>456</v>
      </c>
      <c r="L434" s="378" t="s">
        <v>165</v>
      </c>
      <c r="M434" s="380">
        <v>2400</v>
      </c>
      <c r="N434" s="380" t="s">
        <v>443</v>
      </c>
      <c r="O434" s="380" t="s">
        <v>443</v>
      </c>
      <c r="P434" s="380" t="s">
        <v>443</v>
      </c>
      <c r="Q434" s="381">
        <v>269</v>
      </c>
      <c r="R434" s="381">
        <v>0</v>
      </c>
      <c r="S434" s="381">
        <v>0</v>
      </c>
      <c r="T434" s="381">
        <v>0</v>
      </c>
      <c r="U434" s="381">
        <v>0</v>
      </c>
      <c r="V434" s="382">
        <v>269</v>
      </c>
      <c r="W434" s="382">
        <v>0</v>
      </c>
      <c r="X434" s="381">
        <v>0.11208333333333333</v>
      </c>
      <c r="Y434" s="381">
        <v>0</v>
      </c>
      <c r="Z434" s="381">
        <v>0</v>
      </c>
      <c r="AA434" s="381">
        <v>0</v>
      </c>
      <c r="AB434" s="381">
        <v>0</v>
      </c>
      <c r="AC434" s="382">
        <v>0.11208333333333333</v>
      </c>
      <c r="AD434" s="382">
        <v>0</v>
      </c>
      <c r="AE434" s="381" t="s">
        <v>444</v>
      </c>
    </row>
    <row r="435" spans="1:31" ht="15" customHeight="1" x14ac:dyDescent="0.25">
      <c r="A435" s="20" t="s">
        <v>156</v>
      </c>
      <c r="B435" s="20" t="s">
        <v>534</v>
      </c>
      <c r="C435" s="20" t="s">
        <v>535</v>
      </c>
      <c r="D435" s="378" t="s">
        <v>794</v>
      </c>
      <c r="E435" s="384">
        <v>44613</v>
      </c>
      <c r="F435" s="384">
        <v>46439</v>
      </c>
      <c r="G435" s="378" t="s">
        <v>439</v>
      </c>
      <c r="H435" s="20" t="s">
        <v>455</v>
      </c>
      <c r="I435" s="378" t="s">
        <v>168</v>
      </c>
      <c r="J435" s="20" t="s">
        <v>163</v>
      </c>
      <c r="K435" s="378" t="s">
        <v>456</v>
      </c>
      <c r="L435" s="378" t="s">
        <v>165</v>
      </c>
      <c r="M435" s="380">
        <v>2400</v>
      </c>
      <c r="N435" s="380" t="s">
        <v>443</v>
      </c>
      <c r="O435" s="380" t="s">
        <v>443</v>
      </c>
      <c r="P435" s="380" t="s">
        <v>443</v>
      </c>
      <c r="Q435" s="381">
        <v>268</v>
      </c>
      <c r="R435" s="381">
        <v>0</v>
      </c>
      <c r="S435" s="381">
        <v>0</v>
      </c>
      <c r="T435" s="381">
        <v>0</v>
      </c>
      <c r="U435" s="381">
        <v>0</v>
      </c>
      <c r="V435" s="382">
        <v>268</v>
      </c>
      <c r="W435" s="382">
        <v>0</v>
      </c>
      <c r="X435" s="381">
        <v>0.11166666666666666</v>
      </c>
      <c r="Y435" s="381">
        <v>0</v>
      </c>
      <c r="Z435" s="381">
        <v>0</v>
      </c>
      <c r="AA435" s="381">
        <v>0</v>
      </c>
      <c r="AB435" s="381">
        <v>0</v>
      </c>
      <c r="AC435" s="382">
        <v>0.11166666666666666</v>
      </c>
      <c r="AD435" s="382">
        <v>0</v>
      </c>
      <c r="AE435" s="381" t="s">
        <v>444</v>
      </c>
    </row>
    <row r="436" spans="1:31" ht="15" customHeight="1" x14ac:dyDescent="0.25">
      <c r="A436" s="20" t="s">
        <v>156</v>
      </c>
      <c r="B436" s="20" t="s">
        <v>534</v>
      </c>
      <c r="C436" s="20" t="s">
        <v>535</v>
      </c>
      <c r="D436" s="378" t="s">
        <v>795</v>
      </c>
      <c r="E436" s="384">
        <v>45596</v>
      </c>
      <c r="F436" s="384">
        <v>46235</v>
      </c>
      <c r="G436" s="378" t="s">
        <v>439</v>
      </c>
      <c r="H436" s="20" t="s">
        <v>465</v>
      </c>
      <c r="I436" s="378" t="s">
        <v>441</v>
      </c>
      <c r="J436" s="20" t="s">
        <v>163</v>
      </c>
      <c r="K436" s="378" t="s">
        <v>466</v>
      </c>
      <c r="L436" s="378" t="s">
        <v>165</v>
      </c>
      <c r="M436" s="380">
        <v>2400</v>
      </c>
      <c r="N436" s="380" t="s">
        <v>443</v>
      </c>
      <c r="O436" s="380" t="s">
        <v>443</v>
      </c>
      <c r="P436" s="380" t="s">
        <v>443</v>
      </c>
      <c r="Q436" s="381">
        <v>175</v>
      </c>
      <c r="R436" s="381">
        <v>0</v>
      </c>
      <c r="S436" s="381">
        <v>0</v>
      </c>
      <c r="T436" s="381">
        <v>0</v>
      </c>
      <c r="U436" s="381">
        <v>0</v>
      </c>
      <c r="V436" s="382">
        <v>175</v>
      </c>
      <c r="W436" s="382">
        <v>0</v>
      </c>
      <c r="X436" s="381">
        <v>7.2916666666666671E-2</v>
      </c>
      <c r="Y436" s="381">
        <v>0</v>
      </c>
      <c r="Z436" s="381">
        <v>0</v>
      </c>
      <c r="AA436" s="381">
        <v>0</v>
      </c>
      <c r="AB436" s="381">
        <v>0</v>
      </c>
      <c r="AC436" s="382">
        <v>7.2916666666666671E-2</v>
      </c>
      <c r="AD436" s="382">
        <v>0</v>
      </c>
      <c r="AE436" s="381" t="s">
        <v>444</v>
      </c>
    </row>
    <row r="437" spans="1:31" ht="15" customHeight="1" x14ac:dyDescent="0.25">
      <c r="A437" s="20" t="s">
        <v>156</v>
      </c>
      <c r="B437" s="20" t="s">
        <v>534</v>
      </c>
      <c r="C437" s="20" t="s">
        <v>535</v>
      </c>
      <c r="D437" s="378" t="s">
        <v>796</v>
      </c>
      <c r="E437" s="384">
        <v>45596</v>
      </c>
      <c r="F437" s="384">
        <v>46235</v>
      </c>
      <c r="G437" s="378" t="s">
        <v>439</v>
      </c>
      <c r="H437" s="20" t="s">
        <v>465</v>
      </c>
      <c r="I437" s="378" t="s">
        <v>441</v>
      </c>
      <c r="J437" s="20" t="s">
        <v>163</v>
      </c>
      <c r="K437" s="378" t="s">
        <v>466</v>
      </c>
      <c r="L437" s="378" t="s">
        <v>165</v>
      </c>
      <c r="M437" s="380">
        <v>2400</v>
      </c>
      <c r="N437" s="380" t="s">
        <v>443</v>
      </c>
      <c r="O437" s="380" t="s">
        <v>443</v>
      </c>
      <c r="P437" s="380" t="s">
        <v>443</v>
      </c>
      <c r="Q437" s="381">
        <v>188</v>
      </c>
      <c r="R437" s="381">
        <v>0</v>
      </c>
      <c r="S437" s="381">
        <v>0</v>
      </c>
      <c r="T437" s="381">
        <v>0</v>
      </c>
      <c r="U437" s="381">
        <v>0</v>
      </c>
      <c r="V437" s="382">
        <v>188</v>
      </c>
      <c r="W437" s="382">
        <v>0</v>
      </c>
      <c r="X437" s="381">
        <v>7.8333333333333338E-2</v>
      </c>
      <c r="Y437" s="381">
        <v>0</v>
      </c>
      <c r="Z437" s="381">
        <v>0</v>
      </c>
      <c r="AA437" s="381">
        <v>0</v>
      </c>
      <c r="AB437" s="381">
        <v>0</v>
      </c>
      <c r="AC437" s="382">
        <v>7.8333333333333338E-2</v>
      </c>
      <c r="AD437" s="382">
        <v>0</v>
      </c>
      <c r="AE437" s="381" t="s">
        <v>444</v>
      </c>
    </row>
    <row r="438" spans="1:31" ht="15" customHeight="1" x14ac:dyDescent="0.25">
      <c r="A438" s="20" t="s">
        <v>156</v>
      </c>
      <c r="B438" s="20" t="s">
        <v>534</v>
      </c>
      <c r="C438" s="20" t="s">
        <v>535</v>
      </c>
      <c r="D438" s="378" t="s">
        <v>797</v>
      </c>
      <c r="E438" s="384">
        <v>45596</v>
      </c>
      <c r="F438" s="384">
        <v>46235</v>
      </c>
      <c r="G438" s="378" t="s">
        <v>439</v>
      </c>
      <c r="H438" s="20" t="s">
        <v>465</v>
      </c>
      <c r="I438" s="378" t="s">
        <v>441</v>
      </c>
      <c r="J438" s="20" t="s">
        <v>163</v>
      </c>
      <c r="K438" s="378" t="s">
        <v>466</v>
      </c>
      <c r="L438" s="378" t="s">
        <v>165</v>
      </c>
      <c r="M438" s="380">
        <v>2400</v>
      </c>
      <c r="N438" s="380" t="s">
        <v>443</v>
      </c>
      <c r="O438" s="380" t="s">
        <v>443</v>
      </c>
      <c r="P438" s="380" t="s">
        <v>443</v>
      </c>
      <c r="Q438" s="381">
        <v>195</v>
      </c>
      <c r="R438" s="381">
        <v>0</v>
      </c>
      <c r="S438" s="381">
        <v>0</v>
      </c>
      <c r="T438" s="381">
        <v>0</v>
      </c>
      <c r="U438" s="381">
        <v>0</v>
      </c>
      <c r="V438" s="382">
        <v>195</v>
      </c>
      <c r="W438" s="382">
        <v>0</v>
      </c>
      <c r="X438" s="381">
        <v>8.1250000000000003E-2</v>
      </c>
      <c r="Y438" s="381">
        <v>0</v>
      </c>
      <c r="Z438" s="381">
        <v>0</v>
      </c>
      <c r="AA438" s="381">
        <v>0</v>
      </c>
      <c r="AB438" s="381">
        <v>0</v>
      </c>
      <c r="AC438" s="382">
        <v>8.1250000000000003E-2</v>
      </c>
      <c r="AD438" s="382">
        <v>0</v>
      </c>
      <c r="AE438" s="381" t="s">
        <v>444</v>
      </c>
    </row>
    <row r="439" spans="1:31" ht="15" customHeight="1" x14ac:dyDescent="0.25">
      <c r="A439" s="20" t="s">
        <v>156</v>
      </c>
      <c r="B439" s="20" t="s">
        <v>534</v>
      </c>
      <c r="C439" s="20" t="s">
        <v>535</v>
      </c>
      <c r="D439" s="378" t="s">
        <v>798</v>
      </c>
      <c r="E439" s="384">
        <v>45596</v>
      </c>
      <c r="F439" s="384">
        <v>46235</v>
      </c>
      <c r="G439" s="378" t="s">
        <v>439</v>
      </c>
      <c r="H439" s="20" t="s">
        <v>465</v>
      </c>
      <c r="I439" s="378" t="s">
        <v>441</v>
      </c>
      <c r="J439" s="20" t="s">
        <v>163</v>
      </c>
      <c r="K439" s="378" t="s">
        <v>466</v>
      </c>
      <c r="L439" s="378" t="s">
        <v>165</v>
      </c>
      <c r="M439" s="380">
        <v>2400</v>
      </c>
      <c r="N439" s="380" t="s">
        <v>443</v>
      </c>
      <c r="O439" s="380" t="s">
        <v>443</v>
      </c>
      <c r="P439" s="380" t="s">
        <v>443</v>
      </c>
      <c r="Q439" s="381">
        <v>195</v>
      </c>
      <c r="R439" s="381">
        <v>0</v>
      </c>
      <c r="S439" s="381">
        <v>0</v>
      </c>
      <c r="T439" s="381">
        <v>0</v>
      </c>
      <c r="U439" s="381">
        <v>0</v>
      </c>
      <c r="V439" s="382">
        <v>195</v>
      </c>
      <c r="W439" s="382">
        <v>0</v>
      </c>
      <c r="X439" s="381">
        <v>8.1250000000000003E-2</v>
      </c>
      <c r="Y439" s="381">
        <v>0</v>
      </c>
      <c r="Z439" s="381">
        <v>0</v>
      </c>
      <c r="AA439" s="381">
        <v>0</v>
      </c>
      <c r="AB439" s="381">
        <v>0</v>
      </c>
      <c r="AC439" s="382">
        <v>8.1250000000000003E-2</v>
      </c>
      <c r="AD439" s="382">
        <v>0</v>
      </c>
      <c r="AE439" s="381" t="s">
        <v>444</v>
      </c>
    </row>
    <row r="440" spans="1:31" ht="15" customHeight="1" x14ac:dyDescent="0.25">
      <c r="A440" s="20" t="s">
        <v>156</v>
      </c>
      <c r="B440" s="20" t="s">
        <v>534</v>
      </c>
      <c r="C440" s="20" t="s">
        <v>535</v>
      </c>
      <c r="D440" s="378" t="s">
        <v>799</v>
      </c>
      <c r="E440" s="384">
        <v>45596</v>
      </c>
      <c r="F440" s="384">
        <v>46235</v>
      </c>
      <c r="G440" s="378" t="s">
        <v>439</v>
      </c>
      <c r="H440" s="20" t="s">
        <v>465</v>
      </c>
      <c r="I440" s="378" t="s">
        <v>441</v>
      </c>
      <c r="J440" s="20" t="s">
        <v>163</v>
      </c>
      <c r="K440" s="378" t="s">
        <v>466</v>
      </c>
      <c r="L440" s="378" t="s">
        <v>165</v>
      </c>
      <c r="M440" s="380">
        <v>2400</v>
      </c>
      <c r="N440" s="380" t="s">
        <v>443</v>
      </c>
      <c r="O440" s="380" t="s">
        <v>443</v>
      </c>
      <c r="P440" s="380" t="s">
        <v>443</v>
      </c>
      <c r="Q440" s="381">
        <v>263</v>
      </c>
      <c r="R440" s="381">
        <v>0</v>
      </c>
      <c r="S440" s="381">
        <v>0</v>
      </c>
      <c r="T440" s="381">
        <v>0</v>
      </c>
      <c r="U440" s="381">
        <v>0</v>
      </c>
      <c r="V440" s="382">
        <v>263</v>
      </c>
      <c r="W440" s="382">
        <v>0</v>
      </c>
      <c r="X440" s="381">
        <v>0.10958333333333334</v>
      </c>
      <c r="Y440" s="381">
        <v>0</v>
      </c>
      <c r="Z440" s="381">
        <v>0</v>
      </c>
      <c r="AA440" s="381">
        <v>0</v>
      </c>
      <c r="AB440" s="381">
        <v>0</v>
      </c>
      <c r="AC440" s="382">
        <v>0.10958333333333334</v>
      </c>
      <c r="AD440" s="382">
        <v>0</v>
      </c>
      <c r="AE440" s="381" t="s">
        <v>444</v>
      </c>
    </row>
    <row r="441" spans="1:31" ht="15" customHeight="1" x14ac:dyDescent="0.25">
      <c r="A441" s="20" t="s">
        <v>156</v>
      </c>
      <c r="B441" s="20" t="s">
        <v>534</v>
      </c>
      <c r="C441" s="20" t="s">
        <v>535</v>
      </c>
      <c r="D441" s="378" t="s">
        <v>800</v>
      </c>
      <c r="E441" s="384">
        <v>45596</v>
      </c>
      <c r="F441" s="384">
        <v>46235</v>
      </c>
      <c r="G441" s="378" t="s">
        <v>439</v>
      </c>
      <c r="H441" s="20" t="s">
        <v>465</v>
      </c>
      <c r="I441" s="378" t="s">
        <v>441</v>
      </c>
      <c r="J441" s="20" t="s">
        <v>163</v>
      </c>
      <c r="K441" s="378" t="s">
        <v>466</v>
      </c>
      <c r="L441" s="378" t="s">
        <v>165</v>
      </c>
      <c r="M441" s="380">
        <v>2400</v>
      </c>
      <c r="N441" s="380" t="s">
        <v>443</v>
      </c>
      <c r="O441" s="380" t="s">
        <v>443</v>
      </c>
      <c r="P441" s="380" t="s">
        <v>443</v>
      </c>
      <c r="Q441" s="381">
        <v>204</v>
      </c>
      <c r="R441" s="381">
        <v>0</v>
      </c>
      <c r="S441" s="381">
        <v>0</v>
      </c>
      <c r="T441" s="381">
        <v>0</v>
      </c>
      <c r="U441" s="381">
        <v>0</v>
      </c>
      <c r="V441" s="382">
        <v>204</v>
      </c>
      <c r="W441" s="382">
        <v>0</v>
      </c>
      <c r="X441" s="381">
        <v>8.5000000000000006E-2</v>
      </c>
      <c r="Y441" s="381">
        <v>0</v>
      </c>
      <c r="Z441" s="381">
        <v>0</v>
      </c>
      <c r="AA441" s="381">
        <v>0</v>
      </c>
      <c r="AB441" s="381">
        <v>0</v>
      </c>
      <c r="AC441" s="382">
        <v>8.5000000000000006E-2</v>
      </c>
      <c r="AD441" s="382">
        <v>0</v>
      </c>
      <c r="AE441" s="381" t="s">
        <v>444</v>
      </c>
    </row>
    <row r="442" spans="1:31" ht="15" customHeight="1" x14ac:dyDescent="0.25">
      <c r="A442" s="20" t="s">
        <v>156</v>
      </c>
      <c r="B442" s="20" t="s">
        <v>534</v>
      </c>
      <c r="C442" s="20" t="s">
        <v>535</v>
      </c>
      <c r="D442" s="378" t="s">
        <v>801</v>
      </c>
      <c r="E442" s="384">
        <v>45321</v>
      </c>
      <c r="F442" s="384">
        <v>46351</v>
      </c>
      <c r="G442" s="378" t="s">
        <v>439</v>
      </c>
      <c r="H442" s="20" t="s">
        <v>802</v>
      </c>
      <c r="I442" s="378" t="s">
        <v>353</v>
      </c>
      <c r="J442" s="20" t="s">
        <v>163</v>
      </c>
      <c r="K442" s="378" t="s">
        <v>803</v>
      </c>
      <c r="L442" s="378" t="s">
        <v>165</v>
      </c>
      <c r="M442" s="380">
        <v>2400</v>
      </c>
      <c r="N442" s="380" t="s">
        <v>443</v>
      </c>
      <c r="O442" s="380" t="s">
        <v>443</v>
      </c>
      <c r="P442" s="380" t="s">
        <v>443</v>
      </c>
      <c r="Q442" s="381">
        <v>196</v>
      </c>
      <c r="R442" s="381">
        <v>0</v>
      </c>
      <c r="S442" s="381">
        <v>0</v>
      </c>
      <c r="T442" s="381">
        <v>0</v>
      </c>
      <c r="U442" s="381">
        <v>0</v>
      </c>
      <c r="V442" s="382">
        <v>196</v>
      </c>
      <c r="W442" s="382">
        <v>0</v>
      </c>
      <c r="X442" s="381">
        <v>8.1666666666666665E-2</v>
      </c>
      <c r="Y442" s="381">
        <v>0</v>
      </c>
      <c r="Z442" s="381">
        <v>0</v>
      </c>
      <c r="AA442" s="381">
        <v>0</v>
      </c>
      <c r="AB442" s="381">
        <v>0</v>
      </c>
      <c r="AC442" s="382">
        <v>8.1666666666666665E-2</v>
      </c>
      <c r="AD442" s="382">
        <v>0</v>
      </c>
      <c r="AE442" s="381" t="s">
        <v>444</v>
      </c>
    </row>
    <row r="443" spans="1:31" ht="15" customHeight="1" x14ac:dyDescent="0.25">
      <c r="A443" s="20" t="s">
        <v>156</v>
      </c>
      <c r="B443" s="20" t="s">
        <v>534</v>
      </c>
      <c r="C443" s="20" t="s">
        <v>535</v>
      </c>
      <c r="D443" s="378" t="s">
        <v>804</v>
      </c>
      <c r="E443" s="384">
        <v>45321</v>
      </c>
      <c r="F443" s="384">
        <v>46351</v>
      </c>
      <c r="G443" s="378" t="s">
        <v>439</v>
      </c>
      <c r="H443" s="20" t="s">
        <v>802</v>
      </c>
      <c r="I443" s="378" t="s">
        <v>353</v>
      </c>
      <c r="J443" s="20" t="s">
        <v>163</v>
      </c>
      <c r="K443" s="378" t="s">
        <v>803</v>
      </c>
      <c r="L443" s="378" t="s">
        <v>165</v>
      </c>
      <c r="M443" s="380">
        <v>2400</v>
      </c>
      <c r="N443" s="380" t="s">
        <v>443</v>
      </c>
      <c r="O443" s="380" t="s">
        <v>443</v>
      </c>
      <c r="P443" s="380" t="s">
        <v>443</v>
      </c>
      <c r="Q443" s="381">
        <v>191</v>
      </c>
      <c r="R443" s="381">
        <v>0</v>
      </c>
      <c r="S443" s="381">
        <v>0</v>
      </c>
      <c r="T443" s="381">
        <v>0</v>
      </c>
      <c r="U443" s="381">
        <v>0</v>
      </c>
      <c r="V443" s="382">
        <v>191</v>
      </c>
      <c r="W443" s="382">
        <v>0</v>
      </c>
      <c r="X443" s="381">
        <v>7.9583333333333339E-2</v>
      </c>
      <c r="Y443" s="381">
        <v>0</v>
      </c>
      <c r="Z443" s="381">
        <v>0</v>
      </c>
      <c r="AA443" s="381">
        <v>0</v>
      </c>
      <c r="AB443" s="381">
        <v>0</v>
      </c>
      <c r="AC443" s="382">
        <v>7.9583333333333339E-2</v>
      </c>
      <c r="AD443" s="382">
        <v>0</v>
      </c>
      <c r="AE443" s="381" t="s">
        <v>444</v>
      </c>
    </row>
    <row r="444" spans="1:31" ht="15" customHeight="1" x14ac:dyDescent="0.25">
      <c r="A444" s="20" t="s">
        <v>156</v>
      </c>
      <c r="B444" s="20" t="s">
        <v>534</v>
      </c>
      <c r="C444" s="20" t="s">
        <v>535</v>
      </c>
      <c r="D444" s="378" t="s">
        <v>805</v>
      </c>
      <c r="E444" s="384">
        <v>45321</v>
      </c>
      <c r="F444" s="384">
        <v>46351</v>
      </c>
      <c r="G444" s="378" t="s">
        <v>439</v>
      </c>
      <c r="H444" s="20" t="s">
        <v>802</v>
      </c>
      <c r="I444" s="378" t="s">
        <v>353</v>
      </c>
      <c r="J444" s="20" t="s">
        <v>163</v>
      </c>
      <c r="K444" s="378" t="s">
        <v>803</v>
      </c>
      <c r="L444" s="378" t="s">
        <v>165</v>
      </c>
      <c r="M444" s="380">
        <v>2400</v>
      </c>
      <c r="N444" s="380" t="s">
        <v>443</v>
      </c>
      <c r="O444" s="380" t="s">
        <v>443</v>
      </c>
      <c r="P444" s="380" t="s">
        <v>443</v>
      </c>
      <c r="Q444" s="381">
        <v>206</v>
      </c>
      <c r="R444" s="381">
        <v>0</v>
      </c>
      <c r="S444" s="381">
        <v>0</v>
      </c>
      <c r="T444" s="381">
        <v>0</v>
      </c>
      <c r="U444" s="381">
        <v>0</v>
      </c>
      <c r="V444" s="382">
        <v>206</v>
      </c>
      <c r="W444" s="382">
        <v>0</v>
      </c>
      <c r="X444" s="381">
        <v>8.5833333333333331E-2</v>
      </c>
      <c r="Y444" s="381">
        <v>0</v>
      </c>
      <c r="Z444" s="381">
        <v>0</v>
      </c>
      <c r="AA444" s="381">
        <v>0</v>
      </c>
      <c r="AB444" s="381">
        <v>0</v>
      </c>
      <c r="AC444" s="382">
        <v>8.5833333333333331E-2</v>
      </c>
      <c r="AD444" s="382">
        <v>0</v>
      </c>
      <c r="AE444" s="381" t="s">
        <v>444</v>
      </c>
    </row>
    <row r="445" spans="1:31" ht="15" customHeight="1" x14ac:dyDescent="0.25">
      <c r="A445" s="20" t="s">
        <v>156</v>
      </c>
      <c r="B445" s="20" t="s">
        <v>534</v>
      </c>
      <c r="C445" s="20" t="s">
        <v>535</v>
      </c>
      <c r="D445" s="378" t="s">
        <v>806</v>
      </c>
      <c r="E445" s="384">
        <v>45321</v>
      </c>
      <c r="F445" s="384">
        <v>46351</v>
      </c>
      <c r="G445" s="378" t="s">
        <v>439</v>
      </c>
      <c r="H445" s="20" t="s">
        <v>802</v>
      </c>
      <c r="I445" s="378" t="s">
        <v>353</v>
      </c>
      <c r="J445" s="20" t="s">
        <v>163</v>
      </c>
      <c r="K445" s="378" t="s">
        <v>803</v>
      </c>
      <c r="L445" s="378" t="s">
        <v>165</v>
      </c>
      <c r="M445" s="380">
        <v>2400</v>
      </c>
      <c r="N445" s="380" t="s">
        <v>443</v>
      </c>
      <c r="O445" s="380" t="s">
        <v>443</v>
      </c>
      <c r="P445" s="380" t="s">
        <v>443</v>
      </c>
      <c r="Q445" s="381">
        <v>252</v>
      </c>
      <c r="R445" s="381">
        <v>0</v>
      </c>
      <c r="S445" s="381">
        <v>0</v>
      </c>
      <c r="T445" s="381">
        <v>0</v>
      </c>
      <c r="U445" s="381">
        <v>0</v>
      </c>
      <c r="V445" s="382">
        <v>252</v>
      </c>
      <c r="W445" s="382">
        <v>0</v>
      </c>
      <c r="X445" s="381">
        <v>0.105</v>
      </c>
      <c r="Y445" s="381">
        <v>0</v>
      </c>
      <c r="Z445" s="381">
        <v>0</v>
      </c>
      <c r="AA445" s="381">
        <v>0</v>
      </c>
      <c r="AB445" s="381">
        <v>0</v>
      </c>
      <c r="AC445" s="382">
        <v>0.105</v>
      </c>
      <c r="AD445" s="382">
        <v>0</v>
      </c>
      <c r="AE445" s="381" t="s">
        <v>444</v>
      </c>
    </row>
    <row r="446" spans="1:31" ht="15" customHeight="1" x14ac:dyDescent="0.25">
      <c r="A446" s="20" t="s">
        <v>156</v>
      </c>
      <c r="B446" s="20" t="s">
        <v>534</v>
      </c>
      <c r="C446" s="20" t="s">
        <v>535</v>
      </c>
      <c r="D446" s="378" t="s">
        <v>807</v>
      </c>
      <c r="E446" s="384">
        <v>45321</v>
      </c>
      <c r="F446" s="384">
        <v>46351</v>
      </c>
      <c r="G446" s="378" t="s">
        <v>439</v>
      </c>
      <c r="H446" s="20" t="s">
        <v>802</v>
      </c>
      <c r="I446" s="378" t="s">
        <v>353</v>
      </c>
      <c r="J446" s="20" t="s">
        <v>163</v>
      </c>
      <c r="K446" s="378" t="s">
        <v>803</v>
      </c>
      <c r="L446" s="378" t="s">
        <v>165</v>
      </c>
      <c r="M446" s="380">
        <v>2400</v>
      </c>
      <c r="N446" s="380" t="s">
        <v>443</v>
      </c>
      <c r="O446" s="380" t="s">
        <v>443</v>
      </c>
      <c r="P446" s="380" t="s">
        <v>443</v>
      </c>
      <c r="Q446" s="381">
        <v>324</v>
      </c>
      <c r="R446" s="381">
        <v>0</v>
      </c>
      <c r="S446" s="381">
        <v>0</v>
      </c>
      <c r="T446" s="381">
        <v>0</v>
      </c>
      <c r="U446" s="381">
        <v>0</v>
      </c>
      <c r="V446" s="382">
        <v>324</v>
      </c>
      <c r="W446" s="382">
        <v>0</v>
      </c>
      <c r="X446" s="381">
        <v>0.13500000000000001</v>
      </c>
      <c r="Y446" s="381">
        <v>0</v>
      </c>
      <c r="Z446" s="381">
        <v>0</v>
      </c>
      <c r="AA446" s="381">
        <v>0</v>
      </c>
      <c r="AB446" s="381">
        <v>0</v>
      </c>
      <c r="AC446" s="382">
        <v>0.13500000000000001</v>
      </c>
      <c r="AD446" s="382">
        <v>0</v>
      </c>
      <c r="AE446" s="381" t="s">
        <v>444</v>
      </c>
    </row>
    <row r="447" spans="1:31" ht="15" customHeight="1" x14ac:dyDescent="0.25">
      <c r="A447" s="20" t="s">
        <v>156</v>
      </c>
      <c r="B447" s="20" t="s">
        <v>534</v>
      </c>
      <c r="C447" s="20" t="s">
        <v>535</v>
      </c>
      <c r="D447" s="378" t="s">
        <v>808</v>
      </c>
      <c r="E447" s="384">
        <v>44803</v>
      </c>
      <c r="F447" s="384">
        <v>46619</v>
      </c>
      <c r="G447" s="378" t="s">
        <v>439</v>
      </c>
      <c r="H447" s="20" t="s">
        <v>470</v>
      </c>
      <c r="I447" s="378" t="s">
        <v>168</v>
      </c>
      <c r="J447" s="20" t="s">
        <v>163</v>
      </c>
      <c r="K447" s="378" t="s">
        <v>471</v>
      </c>
      <c r="L447" s="378" t="s">
        <v>165</v>
      </c>
      <c r="M447" s="380">
        <v>2400</v>
      </c>
      <c r="N447" s="380" t="s">
        <v>443</v>
      </c>
      <c r="O447" s="380" t="s">
        <v>443</v>
      </c>
      <c r="P447" s="380" t="s">
        <v>443</v>
      </c>
      <c r="Q447" s="381">
        <v>317</v>
      </c>
      <c r="R447" s="381">
        <v>317</v>
      </c>
      <c r="S447" s="381">
        <v>4.9399999999999999E-2</v>
      </c>
      <c r="T447" s="381">
        <v>0</v>
      </c>
      <c r="U447" s="381">
        <v>0</v>
      </c>
      <c r="V447" s="382">
        <v>317.04939999999999</v>
      </c>
      <c r="W447" s="382">
        <v>0</v>
      </c>
      <c r="X447" s="381">
        <v>0.13208333333333333</v>
      </c>
      <c r="Y447" s="381">
        <v>0.13208333333333333</v>
      </c>
      <c r="Z447" s="381">
        <v>2.0583333333333333E-5</v>
      </c>
      <c r="AA447" s="381">
        <v>0</v>
      </c>
      <c r="AB447" s="381">
        <v>0</v>
      </c>
      <c r="AC447" s="382">
        <v>0.13210391666666665</v>
      </c>
      <c r="AD447" s="382">
        <v>0</v>
      </c>
      <c r="AE447" s="381" t="s">
        <v>444</v>
      </c>
    </row>
    <row r="448" spans="1:31" ht="15" customHeight="1" x14ac:dyDescent="0.25">
      <c r="A448" s="20" t="s">
        <v>156</v>
      </c>
      <c r="B448" s="20" t="s">
        <v>534</v>
      </c>
      <c r="C448" s="20" t="s">
        <v>535</v>
      </c>
      <c r="D448" s="378" t="s">
        <v>809</v>
      </c>
      <c r="E448" s="384">
        <v>44803</v>
      </c>
      <c r="F448" s="384">
        <v>46619</v>
      </c>
      <c r="G448" s="378" t="s">
        <v>439</v>
      </c>
      <c r="H448" s="20" t="s">
        <v>470</v>
      </c>
      <c r="I448" s="378" t="s">
        <v>168</v>
      </c>
      <c r="J448" s="20" t="s">
        <v>163</v>
      </c>
      <c r="K448" s="378" t="s">
        <v>471</v>
      </c>
      <c r="L448" s="378" t="s">
        <v>165</v>
      </c>
      <c r="M448" s="380">
        <v>2400</v>
      </c>
      <c r="N448" s="380" t="s">
        <v>443</v>
      </c>
      <c r="O448" s="380" t="s">
        <v>443</v>
      </c>
      <c r="P448" s="380" t="s">
        <v>443</v>
      </c>
      <c r="Q448" s="381">
        <v>263</v>
      </c>
      <c r="R448" s="381">
        <v>263</v>
      </c>
      <c r="S448" s="381">
        <v>5.5399999999999998E-2</v>
      </c>
      <c r="T448" s="381">
        <v>0</v>
      </c>
      <c r="U448" s="381">
        <v>0</v>
      </c>
      <c r="V448" s="382">
        <v>263.05540000000002</v>
      </c>
      <c r="W448" s="382">
        <v>0</v>
      </c>
      <c r="X448" s="381">
        <v>0.10958333333333334</v>
      </c>
      <c r="Y448" s="381">
        <v>0.10958333333333334</v>
      </c>
      <c r="Z448" s="381">
        <v>2.3083333333333333E-5</v>
      </c>
      <c r="AA448" s="381">
        <v>0</v>
      </c>
      <c r="AB448" s="381">
        <v>0</v>
      </c>
      <c r="AC448" s="382">
        <v>0.10960641666666668</v>
      </c>
      <c r="AD448" s="382">
        <v>0</v>
      </c>
      <c r="AE448" s="381" t="s">
        <v>444</v>
      </c>
    </row>
    <row r="449" spans="1:31" ht="15" customHeight="1" x14ac:dyDescent="0.25">
      <c r="A449" s="20" t="s">
        <v>156</v>
      </c>
      <c r="B449" s="20" t="s">
        <v>534</v>
      </c>
      <c r="C449" s="20" t="s">
        <v>535</v>
      </c>
      <c r="D449" s="378" t="s">
        <v>810</v>
      </c>
      <c r="E449" s="384">
        <v>44803</v>
      </c>
      <c r="F449" s="384">
        <v>46619</v>
      </c>
      <c r="G449" s="378" t="s">
        <v>439</v>
      </c>
      <c r="H449" s="20" t="s">
        <v>470</v>
      </c>
      <c r="I449" s="378" t="s">
        <v>168</v>
      </c>
      <c r="J449" s="20" t="s">
        <v>163</v>
      </c>
      <c r="K449" s="378" t="s">
        <v>471</v>
      </c>
      <c r="L449" s="378" t="s">
        <v>165</v>
      </c>
      <c r="M449" s="380">
        <v>2400</v>
      </c>
      <c r="N449" s="380" t="s">
        <v>443</v>
      </c>
      <c r="O449" s="380" t="s">
        <v>443</v>
      </c>
      <c r="P449" s="380" t="s">
        <v>443</v>
      </c>
      <c r="Q449" s="381">
        <v>196</v>
      </c>
      <c r="R449" s="381">
        <v>196</v>
      </c>
      <c r="S449" s="381">
        <v>6.3899999999999998E-2</v>
      </c>
      <c r="T449" s="381">
        <v>0</v>
      </c>
      <c r="U449" s="381">
        <v>0</v>
      </c>
      <c r="V449" s="382">
        <v>196.06389999999999</v>
      </c>
      <c r="W449" s="382">
        <v>0</v>
      </c>
      <c r="X449" s="381">
        <v>8.1666666666666665E-2</v>
      </c>
      <c r="Y449" s="381">
        <v>8.1666666666666665E-2</v>
      </c>
      <c r="Z449" s="381">
        <v>2.6625E-5</v>
      </c>
      <c r="AA449" s="381">
        <v>0</v>
      </c>
      <c r="AB449" s="381">
        <v>0</v>
      </c>
      <c r="AC449" s="382">
        <v>8.1693291666666668E-2</v>
      </c>
      <c r="AD449" s="382">
        <v>0</v>
      </c>
      <c r="AE449" s="381" t="s">
        <v>444</v>
      </c>
    </row>
    <row r="450" spans="1:31" ht="15" customHeight="1" x14ac:dyDescent="0.25">
      <c r="A450" s="20" t="s">
        <v>156</v>
      </c>
      <c r="B450" s="20" t="s">
        <v>534</v>
      </c>
      <c r="C450" s="20" t="s">
        <v>535</v>
      </c>
      <c r="D450" s="378" t="s">
        <v>811</v>
      </c>
      <c r="E450" s="384">
        <v>44803</v>
      </c>
      <c r="F450" s="384">
        <v>46619</v>
      </c>
      <c r="G450" s="378" t="s">
        <v>439</v>
      </c>
      <c r="H450" s="20" t="s">
        <v>470</v>
      </c>
      <c r="I450" s="378" t="s">
        <v>168</v>
      </c>
      <c r="J450" s="20" t="s">
        <v>163</v>
      </c>
      <c r="K450" s="378" t="s">
        <v>471</v>
      </c>
      <c r="L450" s="378" t="s">
        <v>165</v>
      </c>
      <c r="M450" s="380">
        <v>2400</v>
      </c>
      <c r="N450" s="380" t="s">
        <v>443</v>
      </c>
      <c r="O450" s="380" t="s">
        <v>443</v>
      </c>
      <c r="P450" s="380" t="s">
        <v>443</v>
      </c>
      <c r="Q450" s="381">
        <v>226</v>
      </c>
      <c r="R450" s="381">
        <v>226</v>
      </c>
      <c r="S450" s="381">
        <v>7.3400000000000007E-2</v>
      </c>
      <c r="T450" s="381">
        <v>0</v>
      </c>
      <c r="U450" s="381">
        <v>0</v>
      </c>
      <c r="V450" s="382">
        <v>226.07339999999999</v>
      </c>
      <c r="W450" s="382">
        <v>0</v>
      </c>
      <c r="X450" s="381">
        <v>9.4166666666666662E-2</v>
      </c>
      <c r="Y450" s="381">
        <v>9.4166666666666662E-2</v>
      </c>
      <c r="Z450" s="381">
        <v>3.0583333333333336E-5</v>
      </c>
      <c r="AA450" s="381">
        <v>0</v>
      </c>
      <c r="AB450" s="381">
        <v>0</v>
      </c>
      <c r="AC450" s="382">
        <v>9.4197249999999996E-2</v>
      </c>
      <c r="AD450" s="382">
        <v>0</v>
      </c>
      <c r="AE450" s="381" t="s">
        <v>444</v>
      </c>
    </row>
    <row r="451" spans="1:31" ht="15" customHeight="1" x14ac:dyDescent="0.25">
      <c r="A451" s="20" t="s">
        <v>156</v>
      </c>
      <c r="B451" s="20" t="s">
        <v>534</v>
      </c>
      <c r="C451" s="20" t="s">
        <v>535</v>
      </c>
      <c r="D451" s="378" t="s">
        <v>812</v>
      </c>
      <c r="E451" s="384">
        <v>45252</v>
      </c>
      <c r="F451" s="384">
        <v>46678</v>
      </c>
      <c r="G451" s="378" t="s">
        <v>439</v>
      </c>
      <c r="H451" s="20" t="s">
        <v>813</v>
      </c>
      <c r="I451" s="378" t="s">
        <v>814</v>
      </c>
      <c r="J451" s="20" t="s">
        <v>163</v>
      </c>
      <c r="K451" s="378" t="s">
        <v>815</v>
      </c>
      <c r="L451" s="378" t="s">
        <v>165</v>
      </c>
      <c r="M451" s="380">
        <v>2400</v>
      </c>
      <c r="N451" s="380" t="s">
        <v>443</v>
      </c>
      <c r="O451" s="380" t="s">
        <v>443</v>
      </c>
      <c r="P451" s="380" t="s">
        <v>443</v>
      </c>
      <c r="Q451" s="381">
        <v>167</v>
      </c>
      <c r="R451" s="381">
        <v>0</v>
      </c>
      <c r="S451" s="381">
        <v>0</v>
      </c>
      <c r="T451" s="381">
        <v>0</v>
      </c>
      <c r="U451" s="381">
        <v>0</v>
      </c>
      <c r="V451" s="382">
        <v>167</v>
      </c>
      <c r="W451" s="382">
        <v>0</v>
      </c>
      <c r="X451" s="381">
        <v>6.958333333333333E-2</v>
      </c>
      <c r="Y451" s="381">
        <v>0</v>
      </c>
      <c r="Z451" s="381">
        <v>0</v>
      </c>
      <c r="AA451" s="381">
        <v>0</v>
      </c>
      <c r="AB451" s="381">
        <v>0</v>
      </c>
      <c r="AC451" s="382">
        <v>6.958333333333333E-2</v>
      </c>
      <c r="AD451" s="382">
        <v>0</v>
      </c>
      <c r="AE451" s="381" t="s">
        <v>444</v>
      </c>
    </row>
    <row r="452" spans="1:31" ht="15" customHeight="1" x14ac:dyDescent="0.25">
      <c r="A452" s="20" t="s">
        <v>156</v>
      </c>
      <c r="B452" s="20" t="s">
        <v>534</v>
      </c>
      <c r="C452" s="20" t="s">
        <v>535</v>
      </c>
      <c r="D452" s="378" t="s">
        <v>816</v>
      </c>
      <c r="E452" s="384">
        <v>44417</v>
      </c>
      <c r="F452" s="384">
        <v>46357</v>
      </c>
      <c r="G452" s="378" t="s">
        <v>439</v>
      </c>
      <c r="H452" s="20" t="s">
        <v>817</v>
      </c>
      <c r="I452" s="378" t="s">
        <v>814</v>
      </c>
      <c r="J452" s="20" t="s">
        <v>163</v>
      </c>
      <c r="K452" s="378" t="s">
        <v>818</v>
      </c>
      <c r="L452" s="378" t="s">
        <v>165</v>
      </c>
      <c r="M452" s="380">
        <v>2400</v>
      </c>
      <c r="N452" s="380" t="s">
        <v>443</v>
      </c>
      <c r="O452" s="380" t="s">
        <v>443</v>
      </c>
      <c r="P452" s="380" t="s">
        <v>443</v>
      </c>
      <c r="Q452" s="381">
        <v>282</v>
      </c>
      <c r="R452" s="381">
        <v>0</v>
      </c>
      <c r="S452" s="381">
        <v>0</v>
      </c>
      <c r="T452" s="381">
        <v>0</v>
      </c>
      <c r="U452" s="381">
        <v>0</v>
      </c>
      <c r="V452" s="382">
        <v>282</v>
      </c>
      <c r="W452" s="382">
        <v>0</v>
      </c>
      <c r="X452" s="381">
        <v>0.11749999999999999</v>
      </c>
      <c r="Y452" s="381">
        <v>0</v>
      </c>
      <c r="Z452" s="381">
        <v>0</v>
      </c>
      <c r="AA452" s="381">
        <v>0</v>
      </c>
      <c r="AB452" s="381">
        <v>0</v>
      </c>
      <c r="AC452" s="382">
        <v>0.11749999999999999</v>
      </c>
      <c r="AD452" s="382">
        <v>0</v>
      </c>
      <c r="AE452" s="381" t="s">
        <v>444</v>
      </c>
    </row>
    <row r="453" spans="1:31" ht="15" customHeight="1" x14ac:dyDescent="0.25">
      <c r="A453" s="20" t="s">
        <v>156</v>
      </c>
      <c r="B453" s="20" t="s">
        <v>534</v>
      </c>
      <c r="C453" s="20" t="s">
        <v>535</v>
      </c>
      <c r="D453" s="378" t="s">
        <v>819</v>
      </c>
      <c r="E453" s="384">
        <v>44613</v>
      </c>
      <c r="F453" s="384">
        <v>46439</v>
      </c>
      <c r="G453" s="378" t="s">
        <v>439</v>
      </c>
      <c r="H453" s="20" t="s">
        <v>455</v>
      </c>
      <c r="I453" s="378" t="s">
        <v>162</v>
      </c>
      <c r="J453" s="20" t="s">
        <v>163</v>
      </c>
      <c r="K453" s="378" t="s">
        <v>476</v>
      </c>
      <c r="L453" s="378" t="s">
        <v>165</v>
      </c>
      <c r="M453" s="380">
        <v>2400</v>
      </c>
      <c r="N453" s="380" t="s">
        <v>443</v>
      </c>
      <c r="O453" s="380" t="s">
        <v>443</v>
      </c>
      <c r="P453" s="380" t="s">
        <v>443</v>
      </c>
      <c r="Q453" s="381">
        <v>183</v>
      </c>
      <c r="R453" s="381">
        <v>0</v>
      </c>
      <c r="S453" s="381">
        <v>0</v>
      </c>
      <c r="T453" s="381">
        <v>0</v>
      </c>
      <c r="U453" s="381">
        <v>0</v>
      </c>
      <c r="V453" s="382">
        <v>183</v>
      </c>
      <c r="W453" s="382">
        <v>0</v>
      </c>
      <c r="X453" s="381">
        <v>7.6249999999999998E-2</v>
      </c>
      <c r="Y453" s="381">
        <v>0</v>
      </c>
      <c r="Z453" s="381">
        <v>0</v>
      </c>
      <c r="AA453" s="381">
        <v>0</v>
      </c>
      <c r="AB453" s="381">
        <v>0</v>
      </c>
      <c r="AC453" s="382">
        <v>7.6249999999999998E-2</v>
      </c>
      <c r="AD453" s="382">
        <v>0</v>
      </c>
      <c r="AE453" s="381" t="s">
        <v>444</v>
      </c>
    </row>
    <row r="454" spans="1:31" ht="15" customHeight="1" x14ac:dyDescent="0.25">
      <c r="A454" s="20" t="s">
        <v>156</v>
      </c>
      <c r="B454" s="20" t="s">
        <v>534</v>
      </c>
      <c r="C454" s="20" t="s">
        <v>535</v>
      </c>
      <c r="D454" s="378" t="s">
        <v>820</v>
      </c>
      <c r="E454" s="384">
        <v>44613</v>
      </c>
      <c r="F454" s="384">
        <v>46439</v>
      </c>
      <c r="G454" s="378" t="s">
        <v>439</v>
      </c>
      <c r="H454" s="20" t="s">
        <v>455</v>
      </c>
      <c r="I454" s="378" t="s">
        <v>162</v>
      </c>
      <c r="J454" s="20" t="s">
        <v>163</v>
      </c>
      <c r="K454" s="378" t="s">
        <v>476</v>
      </c>
      <c r="L454" s="378" t="s">
        <v>165</v>
      </c>
      <c r="M454" s="380">
        <v>2400</v>
      </c>
      <c r="N454" s="380" t="s">
        <v>443</v>
      </c>
      <c r="O454" s="380" t="s">
        <v>443</v>
      </c>
      <c r="P454" s="380" t="s">
        <v>443</v>
      </c>
      <c r="Q454" s="381">
        <v>215</v>
      </c>
      <c r="R454" s="381">
        <v>0</v>
      </c>
      <c r="S454" s="381">
        <v>0</v>
      </c>
      <c r="T454" s="381">
        <v>0</v>
      </c>
      <c r="U454" s="381">
        <v>0</v>
      </c>
      <c r="V454" s="382">
        <v>215</v>
      </c>
      <c r="W454" s="382">
        <v>0</v>
      </c>
      <c r="X454" s="381">
        <v>8.9583333333333334E-2</v>
      </c>
      <c r="Y454" s="381">
        <v>0</v>
      </c>
      <c r="Z454" s="381">
        <v>0</v>
      </c>
      <c r="AA454" s="381">
        <v>0</v>
      </c>
      <c r="AB454" s="381">
        <v>0</v>
      </c>
      <c r="AC454" s="382">
        <v>8.9583333333333334E-2</v>
      </c>
      <c r="AD454" s="382">
        <v>0</v>
      </c>
      <c r="AE454" s="381" t="s">
        <v>444</v>
      </c>
    </row>
    <row r="455" spans="1:31" ht="15" customHeight="1" x14ac:dyDescent="0.25">
      <c r="A455" s="20" t="s">
        <v>156</v>
      </c>
      <c r="B455" s="20" t="s">
        <v>534</v>
      </c>
      <c r="C455" s="20" t="s">
        <v>535</v>
      </c>
      <c r="D455" s="378" t="s">
        <v>821</v>
      </c>
      <c r="E455" s="384">
        <v>44613</v>
      </c>
      <c r="F455" s="384">
        <v>46439</v>
      </c>
      <c r="G455" s="378" t="s">
        <v>439</v>
      </c>
      <c r="H455" s="20" t="s">
        <v>455</v>
      </c>
      <c r="I455" s="378" t="s">
        <v>162</v>
      </c>
      <c r="J455" s="20" t="s">
        <v>163</v>
      </c>
      <c r="K455" s="378" t="s">
        <v>476</v>
      </c>
      <c r="L455" s="378" t="s">
        <v>165</v>
      </c>
      <c r="M455" s="380">
        <v>2400</v>
      </c>
      <c r="N455" s="380" t="s">
        <v>443</v>
      </c>
      <c r="O455" s="380" t="s">
        <v>443</v>
      </c>
      <c r="P455" s="380" t="s">
        <v>443</v>
      </c>
      <c r="Q455" s="381">
        <v>252</v>
      </c>
      <c r="R455" s="381">
        <v>0</v>
      </c>
      <c r="S455" s="381">
        <v>0</v>
      </c>
      <c r="T455" s="381">
        <v>0</v>
      </c>
      <c r="U455" s="381">
        <v>0</v>
      </c>
      <c r="V455" s="382">
        <v>252</v>
      </c>
      <c r="W455" s="382">
        <v>0</v>
      </c>
      <c r="X455" s="381">
        <v>0.105</v>
      </c>
      <c r="Y455" s="381">
        <v>0</v>
      </c>
      <c r="Z455" s="381">
        <v>0</v>
      </c>
      <c r="AA455" s="381">
        <v>0</v>
      </c>
      <c r="AB455" s="381">
        <v>0</v>
      </c>
      <c r="AC455" s="382">
        <v>0.105</v>
      </c>
      <c r="AD455" s="382">
        <v>0</v>
      </c>
      <c r="AE455" s="381" t="s">
        <v>444</v>
      </c>
    </row>
    <row r="456" spans="1:31" ht="15" customHeight="1" x14ac:dyDescent="0.25">
      <c r="A456" s="20" t="s">
        <v>156</v>
      </c>
      <c r="B456" s="20" t="s">
        <v>534</v>
      </c>
      <c r="C456" s="20" t="s">
        <v>535</v>
      </c>
      <c r="D456" s="378" t="s">
        <v>822</v>
      </c>
      <c r="E456" s="384">
        <v>44613</v>
      </c>
      <c r="F456" s="384">
        <v>46439</v>
      </c>
      <c r="G456" s="378" t="s">
        <v>439</v>
      </c>
      <c r="H456" s="20" t="s">
        <v>455</v>
      </c>
      <c r="I456" s="378" t="s">
        <v>162</v>
      </c>
      <c r="J456" s="20" t="s">
        <v>163</v>
      </c>
      <c r="K456" s="378" t="s">
        <v>476</v>
      </c>
      <c r="L456" s="378" t="s">
        <v>165</v>
      </c>
      <c r="M456" s="380">
        <v>2400</v>
      </c>
      <c r="N456" s="380" t="s">
        <v>443</v>
      </c>
      <c r="O456" s="380" t="s">
        <v>443</v>
      </c>
      <c r="P456" s="380" t="s">
        <v>443</v>
      </c>
      <c r="Q456" s="381">
        <v>279</v>
      </c>
      <c r="R456" s="381">
        <v>0</v>
      </c>
      <c r="S456" s="381">
        <v>0</v>
      </c>
      <c r="T456" s="381">
        <v>0</v>
      </c>
      <c r="U456" s="381">
        <v>0</v>
      </c>
      <c r="V456" s="382">
        <v>279</v>
      </c>
      <c r="W456" s="382">
        <v>0</v>
      </c>
      <c r="X456" s="381">
        <v>0.11625000000000001</v>
      </c>
      <c r="Y456" s="381">
        <v>0</v>
      </c>
      <c r="Z456" s="381">
        <v>0</v>
      </c>
      <c r="AA456" s="381">
        <v>0</v>
      </c>
      <c r="AB456" s="381">
        <v>0</v>
      </c>
      <c r="AC456" s="382">
        <v>0.11625000000000001</v>
      </c>
      <c r="AD456" s="382">
        <v>0</v>
      </c>
      <c r="AE456" s="381" t="s">
        <v>444</v>
      </c>
    </row>
    <row r="457" spans="1:31" ht="15" customHeight="1" x14ac:dyDescent="0.25">
      <c r="A457" s="20" t="s">
        <v>156</v>
      </c>
      <c r="B457" s="20" t="s">
        <v>534</v>
      </c>
      <c r="C457" s="20" t="s">
        <v>535</v>
      </c>
      <c r="D457" s="378" t="s">
        <v>823</v>
      </c>
      <c r="E457" s="384">
        <v>44613</v>
      </c>
      <c r="F457" s="384">
        <v>46439</v>
      </c>
      <c r="G457" s="378" t="s">
        <v>439</v>
      </c>
      <c r="H457" s="20" t="s">
        <v>455</v>
      </c>
      <c r="I457" s="378" t="s">
        <v>162</v>
      </c>
      <c r="J457" s="20" t="s">
        <v>163</v>
      </c>
      <c r="K457" s="378" t="s">
        <v>476</v>
      </c>
      <c r="L457" s="378" t="s">
        <v>165</v>
      </c>
      <c r="M457" s="380">
        <v>2400</v>
      </c>
      <c r="N457" s="380" t="s">
        <v>443</v>
      </c>
      <c r="O457" s="380" t="s">
        <v>443</v>
      </c>
      <c r="P457" s="380" t="s">
        <v>443</v>
      </c>
      <c r="Q457" s="381">
        <v>228</v>
      </c>
      <c r="R457" s="381">
        <v>0</v>
      </c>
      <c r="S457" s="381">
        <v>0</v>
      </c>
      <c r="T457" s="381">
        <v>0</v>
      </c>
      <c r="U457" s="381">
        <v>0</v>
      </c>
      <c r="V457" s="382">
        <v>228</v>
      </c>
      <c r="W457" s="382">
        <v>0</v>
      </c>
      <c r="X457" s="381">
        <v>9.5000000000000001E-2</v>
      </c>
      <c r="Y457" s="381">
        <v>0</v>
      </c>
      <c r="Z457" s="381">
        <v>0</v>
      </c>
      <c r="AA457" s="381">
        <v>0</v>
      </c>
      <c r="AB457" s="381">
        <v>0</v>
      </c>
      <c r="AC457" s="382">
        <v>9.5000000000000001E-2</v>
      </c>
      <c r="AD457" s="382">
        <v>0</v>
      </c>
      <c r="AE457" s="381" t="s">
        <v>444</v>
      </c>
    </row>
    <row r="458" spans="1:31" ht="15" customHeight="1" x14ac:dyDescent="0.25">
      <c r="A458" s="20" t="s">
        <v>156</v>
      </c>
      <c r="B458" s="20" t="s">
        <v>534</v>
      </c>
      <c r="C458" s="20" t="s">
        <v>535</v>
      </c>
      <c r="D458" s="378" t="s">
        <v>824</v>
      </c>
      <c r="E458" s="384">
        <v>44613</v>
      </c>
      <c r="F458" s="384">
        <v>46439</v>
      </c>
      <c r="G458" s="378" t="s">
        <v>439</v>
      </c>
      <c r="H458" s="20" t="s">
        <v>455</v>
      </c>
      <c r="I458" s="378" t="s">
        <v>162</v>
      </c>
      <c r="J458" s="20" t="s">
        <v>163</v>
      </c>
      <c r="K458" s="378" t="s">
        <v>476</v>
      </c>
      <c r="L458" s="378" t="s">
        <v>165</v>
      </c>
      <c r="M458" s="380">
        <v>2400</v>
      </c>
      <c r="N458" s="380" t="s">
        <v>443</v>
      </c>
      <c r="O458" s="380" t="s">
        <v>443</v>
      </c>
      <c r="P458" s="380" t="s">
        <v>443</v>
      </c>
      <c r="Q458" s="381">
        <v>297</v>
      </c>
      <c r="R458" s="381">
        <v>0</v>
      </c>
      <c r="S458" s="381">
        <v>0</v>
      </c>
      <c r="T458" s="381">
        <v>0</v>
      </c>
      <c r="U458" s="381">
        <v>0</v>
      </c>
      <c r="V458" s="382">
        <v>297</v>
      </c>
      <c r="W458" s="382">
        <v>0</v>
      </c>
      <c r="X458" s="381">
        <v>0.12375</v>
      </c>
      <c r="Y458" s="381">
        <v>0</v>
      </c>
      <c r="Z458" s="381">
        <v>0</v>
      </c>
      <c r="AA458" s="381">
        <v>0</v>
      </c>
      <c r="AB458" s="381">
        <v>0</v>
      </c>
      <c r="AC458" s="382">
        <v>0.12375</v>
      </c>
      <c r="AD458" s="382">
        <v>0</v>
      </c>
      <c r="AE458" s="381" t="s">
        <v>444</v>
      </c>
    </row>
    <row r="459" spans="1:31" ht="15" customHeight="1" x14ac:dyDescent="0.25">
      <c r="A459" s="20" t="s">
        <v>156</v>
      </c>
      <c r="B459" s="20" t="s">
        <v>534</v>
      </c>
      <c r="C459" s="20" t="s">
        <v>535</v>
      </c>
      <c r="D459" s="378" t="s">
        <v>825</v>
      </c>
      <c r="E459" s="384">
        <v>44613</v>
      </c>
      <c r="F459" s="384">
        <v>46439</v>
      </c>
      <c r="G459" s="378" t="s">
        <v>439</v>
      </c>
      <c r="H459" s="20" t="s">
        <v>455</v>
      </c>
      <c r="I459" s="378" t="s">
        <v>162</v>
      </c>
      <c r="J459" s="20" t="s">
        <v>163</v>
      </c>
      <c r="K459" s="378" t="s">
        <v>476</v>
      </c>
      <c r="L459" s="378" t="s">
        <v>165</v>
      </c>
      <c r="M459" s="380">
        <v>2400</v>
      </c>
      <c r="N459" s="380" t="s">
        <v>443</v>
      </c>
      <c r="O459" s="380" t="s">
        <v>443</v>
      </c>
      <c r="P459" s="380" t="s">
        <v>443</v>
      </c>
      <c r="Q459" s="381">
        <v>272</v>
      </c>
      <c r="R459" s="381">
        <v>0</v>
      </c>
      <c r="S459" s="381">
        <v>0</v>
      </c>
      <c r="T459" s="381">
        <v>0</v>
      </c>
      <c r="U459" s="381">
        <v>0</v>
      </c>
      <c r="V459" s="382">
        <v>272</v>
      </c>
      <c r="W459" s="382">
        <v>0</v>
      </c>
      <c r="X459" s="381">
        <v>0.11333333333333333</v>
      </c>
      <c r="Y459" s="381">
        <v>0</v>
      </c>
      <c r="Z459" s="381">
        <v>0</v>
      </c>
      <c r="AA459" s="381">
        <v>0</v>
      </c>
      <c r="AB459" s="381">
        <v>0</v>
      </c>
      <c r="AC459" s="382">
        <v>0.11333333333333333</v>
      </c>
      <c r="AD459" s="382">
        <v>0</v>
      </c>
      <c r="AE459" s="381" t="s">
        <v>444</v>
      </c>
    </row>
    <row r="460" spans="1:31" ht="15" customHeight="1" x14ac:dyDescent="0.25">
      <c r="A460" s="20" t="s">
        <v>156</v>
      </c>
      <c r="B460" s="20" t="s">
        <v>534</v>
      </c>
      <c r="C460" s="20" t="s">
        <v>535</v>
      </c>
      <c r="D460" s="378" t="s">
        <v>826</v>
      </c>
      <c r="E460" s="384">
        <v>44613</v>
      </c>
      <c r="F460" s="384">
        <v>46439</v>
      </c>
      <c r="G460" s="378" t="s">
        <v>439</v>
      </c>
      <c r="H460" s="20" t="s">
        <v>455</v>
      </c>
      <c r="I460" s="378" t="s">
        <v>162</v>
      </c>
      <c r="J460" s="20" t="s">
        <v>163</v>
      </c>
      <c r="K460" s="378" t="s">
        <v>476</v>
      </c>
      <c r="L460" s="378" t="s">
        <v>165</v>
      </c>
      <c r="M460" s="380">
        <v>2400</v>
      </c>
      <c r="N460" s="380" t="s">
        <v>443</v>
      </c>
      <c r="O460" s="380" t="s">
        <v>443</v>
      </c>
      <c r="P460" s="380" t="s">
        <v>443</v>
      </c>
      <c r="Q460" s="381">
        <v>265</v>
      </c>
      <c r="R460" s="381">
        <v>0</v>
      </c>
      <c r="S460" s="381">
        <v>0</v>
      </c>
      <c r="T460" s="381">
        <v>0</v>
      </c>
      <c r="U460" s="381">
        <v>0</v>
      </c>
      <c r="V460" s="382">
        <v>265</v>
      </c>
      <c r="W460" s="382">
        <v>0</v>
      </c>
      <c r="X460" s="381">
        <v>0.11041666666666666</v>
      </c>
      <c r="Y460" s="381">
        <v>0</v>
      </c>
      <c r="Z460" s="381">
        <v>0</v>
      </c>
      <c r="AA460" s="381">
        <v>0</v>
      </c>
      <c r="AB460" s="381">
        <v>0</v>
      </c>
      <c r="AC460" s="382">
        <v>0.11041666666666666</v>
      </c>
      <c r="AD460" s="382">
        <v>0</v>
      </c>
      <c r="AE460" s="381" t="s">
        <v>444</v>
      </c>
    </row>
    <row r="461" spans="1:31" ht="15" customHeight="1" x14ac:dyDescent="0.25">
      <c r="A461" s="20" t="s">
        <v>156</v>
      </c>
      <c r="B461" s="20" t="s">
        <v>534</v>
      </c>
      <c r="C461" s="20" t="s">
        <v>535</v>
      </c>
      <c r="D461" s="378" t="s">
        <v>827</v>
      </c>
      <c r="E461" s="384">
        <v>44613</v>
      </c>
      <c r="F461" s="384">
        <v>46439</v>
      </c>
      <c r="G461" s="378" t="s">
        <v>439</v>
      </c>
      <c r="H461" s="20" t="s">
        <v>455</v>
      </c>
      <c r="I461" s="378" t="s">
        <v>162</v>
      </c>
      <c r="J461" s="20" t="s">
        <v>163</v>
      </c>
      <c r="K461" s="378" t="s">
        <v>476</v>
      </c>
      <c r="L461" s="378" t="s">
        <v>165</v>
      </c>
      <c r="M461" s="380">
        <v>2400</v>
      </c>
      <c r="N461" s="380" t="s">
        <v>443</v>
      </c>
      <c r="O461" s="380" t="s">
        <v>443</v>
      </c>
      <c r="P461" s="380" t="s">
        <v>443</v>
      </c>
      <c r="Q461" s="381">
        <v>284</v>
      </c>
      <c r="R461" s="381">
        <v>0</v>
      </c>
      <c r="S461" s="381">
        <v>0</v>
      </c>
      <c r="T461" s="381">
        <v>0</v>
      </c>
      <c r="U461" s="381">
        <v>0</v>
      </c>
      <c r="V461" s="382">
        <v>284</v>
      </c>
      <c r="W461" s="382">
        <v>0</v>
      </c>
      <c r="X461" s="381">
        <v>0.11833333333333333</v>
      </c>
      <c r="Y461" s="381">
        <v>0</v>
      </c>
      <c r="Z461" s="381">
        <v>0</v>
      </c>
      <c r="AA461" s="381">
        <v>0</v>
      </c>
      <c r="AB461" s="381">
        <v>0</v>
      </c>
      <c r="AC461" s="382">
        <v>0.11833333333333333</v>
      </c>
      <c r="AD461" s="382">
        <v>0</v>
      </c>
      <c r="AE461" s="381" t="s">
        <v>444</v>
      </c>
    </row>
    <row r="462" spans="1:31" ht="15" customHeight="1" x14ac:dyDescent="0.25">
      <c r="A462" s="20" t="s">
        <v>156</v>
      </c>
      <c r="B462" s="20" t="s">
        <v>534</v>
      </c>
      <c r="C462" s="20" t="s">
        <v>535</v>
      </c>
      <c r="D462" s="378" t="s">
        <v>819</v>
      </c>
      <c r="E462" s="384">
        <v>44613</v>
      </c>
      <c r="F462" s="384">
        <v>46439</v>
      </c>
      <c r="G462" s="378" t="s">
        <v>439</v>
      </c>
      <c r="H462" s="20" t="s">
        <v>455</v>
      </c>
      <c r="I462" s="378" t="s">
        <v>162</v>
      </c>
      <c r="J462" s="20" t="s">
        <v>163</v>
      </c>
      <c r="K462" s="378" t="s">
        <v>476</v>
      </c>
      <c r="L462" s="378" t="s">
        <v>165</v>
      </c>
      <c r="M462" s="380">
        <v>2400</v>
      </c>
      <c r="N462" s="380" t="s">
        <v>443</v>
      </c>
      <c r="O462" s="380" t="s">
        <v>443</v>
      </c>
      <c r="P462" s="380" t="s">
        <v>443</v>
      </c>
      <c r="Q462" s="381">
        <v>183</v>
      </c>
      <c r="R462" s="381">
        <v>0</v>
      </c>
      <c r="S462" s="381">
        <v>0</v>
      </c>
      <c r="T462" s="381">
        <v>0</v>
      </c>
      <c r="U462" s="381">
        <v>0</v>
      </c>
      <c r="V462" s="382">
        <v>183</v>
      </c>
      <c r="W462" s="382">
        <v>0</v>
      </c>
      <c r="X462" s="381">
        <v>7.6249999999999998E-2</v>
      </c>
      <c r="Y462" s="381">
        <v>0</v>
      </c>
      <c r="Z462" s="381">
        <v>0</v>
      </c>
      <c r="AA462" s="381">
        <v>0</v>
      </c>
      <c r="AB462" s="381">
        <v>0</v>
      </c>
      <c r="AC462" s="382">
        <v>7.6249999999999998E-2</v>
      </c>
      <c r="AD462" s="382">
        <v>0</v>
      </c>
      <c r="AE462" s="381" t="s">
        <v>444</v>
      </c>
    </row>
    <row r="463" spans="1:31" ht="15" customHeight="1" x14ac:dyDescent="0.25">
      <c r="A463" s="20" t="s">
        <v>156</v>
      </c>
      <c r="B463" s="20" t="s">
        <v>534</v>
      </c>
      <c r="C463" s="20" t="s">
        <v>535</v>
      </c>
      <c r="D463" s="378" t="s">
        <v>820</v>
      </c>
      <c r="E463" s="384">
        <v>44613</v>
      </c>
      <c r="F463" s="384">
        <v>46439</v>
      </c>
      <c r="G463" s="378" t="s">
        <v>439</v>
      </c>
      <c r="H463" s="20" t="s">
        <v>455</v>
      </c>
      <c r="I463" s="378" t="s">
        <v>162</v>
      </c>
      <c r="J463" s="20" t="s">
        <v>163</v>
      </c>
      <c r="K463" s="378" t="s">
        <v>476</v>
      </c>
      <c r="L463" s="378" t="s">
        <v>165</v>
      </c>
      <c r="M463" s="380">
        <v>2400</v>
      </c>
      <c r="N463" s="380" t="s">
        <v>443</v>
      </c>
      <c r="O463" s="380" t="s">
        <v>443</v>
      </c>
      <c r="P463" s="380" t="s">
        <v>443</v>
      </c>
      <c r="Q463" s="381">
        <v>215</v>
      </c>
      <c r="R463" s="381">
        <v>0</v>
      </c>
      <c r="S463" s="381">
        <v>0</v>
      </c>
      <c r="T463" s="381">
        <v>0</v>
      </c>
      <c r="U463" s="381">
        <v>0</v>
      </c>
      <c r="V463" s="382">
        <v>215</v>
      </c>
      <c r="W463" s="382">
        <v>0</v>
      </c>
      <c r="X463" s="381">
        <v>8.9583333333333334E-2</v>
      </c>
      <c r="Y463" s="381">
        <v>0</v>
      </c>
      <c r="Z463" s="381">
        <v>0</v>
      </c>
      <c r="AA463" s="381">
        <v>0</v>
      </c>
      <c r="AB463" s="381">
        <v>0</v>
      </c>
      <c r="AC463" s="382">
        <v>8.9583333333333334E-2</v>
      </c>
      <c r="AD463" s="382">
        <v>0</v>
      </c>
      <c r="AE463" s="381" t="s">
        <v>444</v>
      </c>
    </row>
    <row r="464" spans="1:31" ht="15" customHeight="1" x14ac:dyDescent="0.25">
      <c r="A464" s="20" t="s">
        <v>156</v>
      </c>
      <c r="B464" s="20" t="s">
        <v>534</v>
      </c>
      <c r="C464" s="20" t="s">
        <v>535</v>
      </c>
      <c r="D464" s="378" t="s">
        <v>821</v>
      </c>
      <c r="E464" s="384">
        <v>44613</v>
      </c>
      <c r="F464" s="384">
        <v>46439</v>
      </c>
      <c r="G464" s="378" t="s">
        <v>439</v>
      </c>
      <c r="H464" s="20" t="s">
        <v>455</v>
      </c>
      <c r="I464" s="378" t="s">
        <v>162</v>
      </c>
      <c r="J464" s="20" t="s">
        <v>163</v>
      </c>
      <c r="K464" s="378" t="s">
        <v>476</v>
      </c>
      <c r="L464" s="378" t="s">
        <v>165</v>
      </c>
      <c r="M464" s="380">
        <v>2400</v>
      </c>
      <c r="N464" s="380" t="s">
        <v>443</v>
      </c>
      <c r="O464" s="380" t="s">
        <v>443</v>
      </c>
      <c r="P464" s="380" t="s">
        <v>443</v>
      </c>
      <c r="Q464" s="381">
        <v>252</v>
      </c>
      <c r="R464" s="381">
        <v>0</v>
      </c>
      <c r="S464" s="381">
        <v>0</v>
      </c>
      <c r="T464" s="381">
        <v>0</v>
      </c>
      <c r="U464" s="381">
        <v>0</v>
      </c>
      <c r="V464" s="382">
        <v>252</v>
      </c>
      <c r="W464" s="382">
        <v>0</v>
      </c>
      <c r="X464" s="381">
        <v>0.105</v>
      </c>
      <c r="Y464" s="381">
        <v>0</v>
      </c>
      <c r="Z464" s="381">
        <v>0</v>
      </c>
      <c r="AA464" s="381">
        <v>0</v>
      </c>
      <c r="AB464" s="381">
        <v>0</v>
      </c>
      <c r="AC464" s="382">
        <v>0.105</v>
      </c>
      <c r="AD464" s="382">
        <v>0</v>
      </c>
      <c r="AE464" s="381" t="s">
        <v>444</v>
      </c>
    </row>
    <row r="465" spans="1:31" ht="15" customHeight="1" x14ac:dyDescent="0.25">
      <c r="A465" s="20" t="s">
        <v>156</v>
      </c>
      <c r="B465" s="20" t="s">
        <v>534</v>
      </c>
      <c r="C465" s="20" t="s">
        <v>535</v>
      </c>
      <c r="D465" s="378" t="s">
        <v>822</v>
      </c>
      <c r="E465" s="384">
        <v>44613</v>
      </c>
      <c r="F465" s="384">
        <v>46439</v>
      </c>
      <c r="G465" s="378" t="s">
        <v>439</v>
      </c>
      <c r="H465" s="20" t="s">
        <v>455</v>
      </c>
      <c r="I465" s="378" t="s">
        <v>162</v>
      </c>
      <c r="J465" s="20" t="s">
        <v>163</v>
      </c>
      <c r="K465" s="378" t="s">
        <v>476</v>
      </c>
      <c r="L465" s="378" t="s">
        <v>165</v>
      </c>
      <c r="M465" s="380">
        <v>2400</v>
      </c>
      <c r="N465" s="380" t="s">
        <v>443</v>
      </c>
      <c r="O465" s="380" t="s">
        <v>443</v>
      </c>
      <c r="P465" s="380" t="s">
        <v>443</v>
      </c>
      <c r="Q465" s="381">
        <v>279</v>
      </c>
      <c r="R465" s="381">
        <v>0</v>
      </c>
      <c r="S465" s="381">
        <v>0</v>
      </c>
      <c r="T465" s="381">
        <v>0</v>
      </c>
      <c r="U465" s="381">
        <v>0</v>
      </c>
      <c r="V465" s="382">
        <v>279</v>
      </c>
      <c r="W465" s="382">
        <v>0</v>
      </c>
      <c r="X465" s="381">
        <v>0.11625000000000001</v>
      </c>
      <c r="Y465" s="381">
        <v>0</v>
      </c>
      <c r="Z465" s="381">
        <v>0</v>
      </c>
      <c r="AA465" s="381">
        <v>0</v>
      </c>
      <c r="AB465" s="381">
        <v>0</v>
      </c>
      <c r="AC465" s="382">
        <v>0.11625000000000001</v>
      </c>
      <c r="AD465" s="382">
        <v>0</v>
      </c>
      <c r="AE465" s="381" t="s">
        <v>444</v>
      </c>
    </row>
    <row r="466" spans="1:31" ht="15" customHeight="1" x14ac:dyDescent="0.25">
      <c r="A466" s="20" t="s">
        <v>156</v>
      </c>
      <c r="B466" s="20" t="s">
        <v>534</v>
      </c>
      <c r="C466" s="20" t="s">
        <v>535</v>
      </c>
      <c r="D466" s="378" t="s">
        <v>823</v>
      </c>
      <c r="E466" s="384">
        <v>44613</v>
      </c>
      <c r="F466" s="384">
        <v>46439</v>
      </c>
      <c r="G466" s="378" t="s">
        <v>439</v>
      </c>
      <c r="H466" s="20" t="s">
        <v>455</v>
      </c>
      <c r="I466" s="378" t="s">
        <v>162</v>
      </c>
      <c r="J466" s="20" t="s">
        <v>163</v>
      </c>
      <c r="K466" s="378" t="s">
        <v>476</v>
      </c>
      <c r="L466" s="378" t="s">
        <v>165</v>
      </c>
      <c r="M466" s="380">
        <v>2400</v>
      </c>
      <c r="N466" s="380" t="s">
        <v>443</v>
      </c>
      <c r="O466" s="380" t="s">
        <v>443</v>
      </c>
      <c r="P466" s="380" t="s">
        <v>443</v>
      </c>
      <c r="Q466" s="381">
        <v>228</v>
      </c>
      <c r="R466" s="381">
        <v>0</v>
      </c>
      <c r="S466" s="381">
        <v>0</v>
      </c>
      <c r="T466" s="381">
        <v>0</v>
      </c>
      <c r="U466" s="381">
        <v>0</v>
      </c>
      <c r="V466" s="382">
        <v>228</v>
      </c>
      <c r="W466" s="382">
        <v>0</v>
      </c>
      <c r="X466" s="381">
        <v>9.5000000000000001E-2</v>
      </c>
      <c r="Y466" s="381">
        <v>0</v>
      </c>
      <c r="Z466" s="381">
        <v>0</v>
      </c>
      <c r="AA466" s="381">
        <v>0</v>
      </c>
      <c r="AB466" s="381">
        <v>0</v>
      </c>
      <c r="AC466" s="382">
        <v>9.5000000000000001E-2</v>
      </c>
      <c r="AD466" s="382">
        <v>0</v>
      </c>
      <c r="AE466" s="381" t="s">
        <v>444</v>
      </c>
    </row>
    <row r="467" spans="1:31" ht="15" customHeight="1" x14ac:dyDescent="0.25">
      <c r="A467" s="20" t="s">
        <v>156</v>
      </c>
      <c r="B467" s="20" t="s">
        <v>534</v>
      </c>
      <c r="C467" s="20" t="s">
        <v>535</v>
      </c>
      <c r="D467" s="378" t="s">
        <v>824</v>
      </c>
      <c r="E467" s="384">
        <v>44613</v>
      </c>
      <c r="F467" s="384">
        <v>46439</v>
      </c>
      <c r="G467" s="378" t="s">
        <v>439</v>
      </c>
      <c r="H467" s="20" t="s">
        <v>455</v>
      </c>
      <c r="I467" s="378" t="s">
        <v>162</v>
      </c>
      <c r="J467" s="20" t="s">
        <v>163</v>
      </c>
      <c r="K467" s="378" t="s">
        <v>476</v>
      </c>
      <c r="L467" s="378" t="s">
        <v>165</v>
      </c>
      <c r="M467" s="380">
        <v>2400</v>
      </c>
      <c r="N467" s="380" t="s">
        <v>443</v>
      </c>
      <c r="O467" s="380" t="s">
        <v>443</v>
      </c>
      <c r="P467" s="380" t="s">
        <v>443</v>
      </c>
      <c r="Q467" s="381">
        <v>297</v>
      </c>
      <c r="R467" s="381">
        <v>0</v>
      </c>
      <c r="S467" s="381">
        <v>0</v>
      </c>
      <c r="T467" s="381">
        <v>0</v>
      </c>
      <c r="U467" s="381">
        <v>0</v>
      </c>
      <c r="V467" s="382">
        <v>297</v>
      </c>
      <c r="W467" s="382">
        <v>0</v>
      </c>
      <c r="X467" s="381">
        <v>0.12375</v>
      </c>
      <c r="Y467" s="381">
        <v>0</v>
      </c>
      <c r="Z467" s="381">
        <v>0</v>
      </c>
      <c r="AA467" s="381">
        <v>0</v>
      </c>
      <c r="AB467" s="381">
        <v>0</v>
      </c>
      <c r="AC467" s="382">
        <v>0.12375</v>
      </c>
      <c r="AD467" s="382">
        <v>0</v>
      </c>
      <c r="AE467" s="381" t="s">
        <v>444</v>
      </c>
    </row>
    <row r="468" spans="1:31" ht="15" customHeight="1" x14ac:dyDescent="0.25">
      <c r="A468" s="20" t="s">
        <v>156</v>
      </c>
      <c r="B468" s="20" t="s">
        <v>534</v>
      </c>
      <c r="C468" s="20" t="s">
        <v>535</v>
      </c>
      <c r="D468" s="378" t="s">
        <v>825</v>
      </c>
      <c r="E468" s="384">
        <v>44613</v>
      </c>
      <c r="F468" s="384">
        <v>46439</v>
      </c>
      <c r="G468" s="378" t="s">
        <v>439</v>
      </c>
      <c r="H468" s="20" t="s">
        <v>455</v>
      </c>
      <c r="I468" s="378" t="s">
        <v>162</v>
      </c>
      <c r="J468" s="20" t="s">
        <v>163</v>
      </c>
      <c r="K468" s="378" t="s">
        <v>476</v>
      </c>
      <c r="L468" s="378" t="s">
        <v>165</v>
      </c>
      <c r="M468" s="380">
        <v>2400</v>
      </c>
      <c r="N468" s="380" t="s">
        <v>443</v>
      </c>
      <c r="O468" s="380" t="s">
        <v>443</v>
      </c>
      <c r="P468" s="380" t="s">
        <v>443</v>
      </c>
      <c r="Q468" s="381">
        <v>272</v>
      </c>
      <c r="R468" s="381">
        <v>0</v>
      </c>
      <c r="S468" s="381">
        <v>0</v>
      </c>
      <c r="T468" s="381">
        <v>0</v>
      </c>
      <c r="U468" s="381">
        <v>0</v>
      </c>
      <c r="V468" s="382">
        <v>272</v>
      </c>
      <c r="W468" s="382">
        <v>0</v>
      </c>
      <c r="X468" s="381">
        <v>0.11333333333333333</v>
      </c>
      <c r="Y468" s="381">
        <v>0</v>
      </c>
      <c r="Z468" s="381">
        <v>0</v>
      </c>
      <c r="AA468" s="381">
        <v>0</v>
      </c>
      <c r="AB468" s="381">
        <v>0</v>
      </c>
      <c r="AC468" s="382">
        <v>0.11333333333333333</v>
      </c>
      <c r="AD468" s="382">
        <v>0</v>
      </c>
      <c r="AE468" s="381" t="s">
        <v>444</v>
      </c>
    </row>
    <row r="469" spans="1:31" ht="15" customHeight="1" x14ac:dyDescent="0.25">
      <c r="A469" s="20" t="s">
        <v>156</v>
      </c>
      <c r="B469" s="20" t="s">
        <v>534</v>
      </c>
      <c r="C469" s="20" t="s">
        <v>535</v>
      </c>
      <c r="D469" s="378" t="s">
        <v>826</v>
      </c>
      <c r="E469" s="384">
        <v>44613</v>
      </c>
      <c r="F469" s="384">
        <v>46439</v>
      </c>
      <c r="G469" s="378" t="s">
        <v>439</v>
      </c>
      <c r="H469" s="20" t="s">
        <v>455</v>
      </c>
      <c r="I469" s="378" t="s">
        <v>162</v>
      </c>
      <c r="J469" s="20" t="s">
        <v>163</v>
      </c>
      <c r="K469" s="378" t="s">
        <v>476</v>
      </c>
      <c r="L469" s="378" t="s">
        <v>165</v>
      </c>
      <c r="M469" s="380">
        <v>2400</v>
      </c>
      <c r="N469" s="380" t="s">
        <v>443</v>
      </c>
      <c r="O469" s="380" t="s">
        <v>443</v>
      </c>
      <c r="P469" s="380" t="s">
        <v>443</v>
      </c>
      <c r="Q469" s="381">
        <v>265</v>
      </c>
      <c r="R469" s="381">
        <v>0</v>
      </c>
      <c r="S469" s="381">
        <v>0</v>
      </c>
      <c r="T469" s="381">
        <v>0</v>
      </c>
      <c r="U469" s="381">
        <v>0</v>
      </c>
      <c r="V469" s="382">
        <v>265</v>
      </c>
      <c r="W469" s="382">
        <v>0</v>
      </c>
      <c r="X469" s="381">
        <v>0.11041666666666666</v>
      </c>
      <c r="Y469" s="381">
        <v>0</v>
      </c>
      <c r="Z469" s="381">
        <v>0</v>
      </c>
      <c r="AA469" s="381">
        <v>0</v>
      </c>
      <c r="AB469" s="381">
        <v>0</v>
      </c>
      <c r="AC469" s="382">
        <v>0.11041666666666666</v>
      </c>
      <c r="AD469" s="382">
        <v>0</v>
      </c>
      <c r="AE469" s="381" t="s">
        <v>444</v>
      </c>
    </row>
    <row r="470" spans="1:31" ht="15" customHeight="1" x14ac:dyDescent="0.25">
      <c r="A470" s="20" t="s">
        <v>156</v>
      </c>
      <c r="B470" s="20" t="s">
        <v>534</v>
      </c>
      <c r="C470" s="20" t="s">
        <v>535</v>
      </c>
      <c r="D470" s="378" t="s">
        <v>827</v>
      </c>
      <c r="E470" s="384">
        <v>44613</v>
      </c>
      <c r="F470" s="384">
        <v>46439</v>
      </c>
      <c r="G470" s="378" t="s">
        <v>439</v>
      </c>
      <c r="H470" s="20" t="s">
        <v>455</v>
      </c>
      <c r="I470" s="378" t="s">
        <v>162</v>
      </c>
      <c r="J470" s="20" t="s">
        <v>163</v>
      </c>
      <c r="K470" s="378" t="s">
        <v>476</v>
      </c>
      <c r="L470" s="378" t="s">
        <v>165</v>
      </c>
      <c r="M470" s="380">
        <v>2400</v>
      </c>
      <c r="N470" s="380" t="s">
        <v>443</v>
      </c>
      <c r="O470" s="380" t="s">
        <v>443</v>
      </c>
      <c r="P470" s="380" t="s">
        <v>443</v>
      </c>
      <c r="Q470" s="381">
        <v>284</v>
      </c>
      <c r="R470" s="381">
        <v>0</v>
      </c>
      <c r="S470" s="381">
        <v>0</v>
      </c>
      <c r="T470" s="381">
        <v>0</v>
      </c>
      <c r="U470" s="381">
        <v>0</v>
      </c>
      <c r="V470" s="382">
        <v>284</v>
      </c>
      <c r="W470" s="382">
        <v>0</v>
      </c>
      <c r="X470" s="381">
        <v>0.11833333333333333</v>
      </c>
      <c r="Y470" s="381">
        <v>0</v>
      </c>
      <c r="Z470" s="381">
        <v>0</v>
      </c>
      <c r="AA470" s="381">
        <v>0</v>
      </c>
      <c r="AB470" s="381">
        <v>0</v>
      </c>
      <c r="AC470" s="382">
        <v>0.11833333333333333</v>
      </c>
      <c r="AD470" s="382">
        <v>0</v>
      </c>
      <c r="AE470" s="381" t="s">
        <v>444</v>
      </c>
    </row>
    <row r="471" spans="1:31" ht="15" customHeight="1" x14ac:dyDescent="0.25">
      <c r="A471" s="20" t="s">
        <v>156</v>
      </c>
      <c r="B471" s="20" t="s">
        <v>534</v>
      </c>
      <c r="C471" s="20" t="s">
        <v>535</v>
      </c>
      <c r="D471" s="378" t="s">
        <v>819</v>
      </c>
      <c r="E471" s="384">
        <v>44613</v>
      </c>
      <c r="F471" s="384">
        <v>46439</v>
      </c>
      <c r="G471" s="378" t="s">
        <v>439</v>
      </c>
      <c r="H471" s="20" t="s">
        <v>455</v>
      </c>
      <c r="I471" s="378" t="s">
        <v>162</v>
      </c>
      <c r="J471" s="20" t="s">
        <v>163</v>
      </c>
      <c r="K471" s="378" t="s">
        <v>476</v>
      </c>
      <c r="L471" s="378" t="s">
        <v>165</v>
      </c>
      <c r="M471" s="380">
        <v>2400</v>
      </c>
      <c r="N471" s="380" t="s">
        <v>443</v>
      </c>
      <c r="O471" s="380" t="s">
        <v>443</v>
      </c>
      <c r="P471" s="380" t="s">
        <v>443</v>
      </c>
      <c r="Q471" s="381">
        <v>183</v>
      </c>
      <c r="R471" s="381">
        <v>0</v>
      </c>
      <c r="S471" s="381">
        <v>0</v>
      </c>
      <c r="T471" s="381">
        <v>0</v>
      </c>
      <c r="U471" s="381">
        <v>0</v>
      </c>
      <c r="V471" s="382">
        <v>183</v>
      </c>
      <c r="W471" s="382">
        <v>0</v>
      </c>
      <c r="X471" s="381">
        <v>7.6249999999999998E-2</v>
      </c>
      <c r="Y471" s="381">
        <v>0</v>
      </c>
      <c r="Z471" s="381">
        <v>0</v>
      </c>
      <c r="AA471" s="381">
        <v>0</v>
      </c>
      <c r="AB471" s="381">
        <v>0</v>
      </c>
      <c r="AC471" s="382">
        <v>7.6249999999999998E-2</v>
      </c>
      <c r="AD471" s="382">
        <v>0</v>
      </c>
      <c r="AE471" s="381" t="s">
        <v>444</v>
      </c>
    </row>
    <row r="472" spans="1:31" ht="15" customHeight="1" x14ac:dyDescent="0.25">
      <c r="A472" s="20" t="s">
        <v>156</v>
      </c>
      <c r="B472" s="20" t="s">
        <v>534</v>
      </c>
      <c r="C472" s="20" t="s">
        <v>535</v>
      </c>
      <c r="D472" s="378" t="s">
        <v>820</v>
      </c>
      <c r="E472" s="384">
        <v>44613</v>
      </c>
      <c r="F472" s="384">
        <v>46439</v>
      </c>
      <c r="G472" s="378" t="s">
        <v>439</v>
      </c>
      <c r="H472" s="20" t="s">
        <v>455</v>
      </c>
      <c r="I472" s="378" t="s">
        <v>162</v>
      </c>
      <c r="J472" s="20" t="s">
        <v>163</v>
      </c>
      <c r="K472" s="378" t="s">
        <v>476</v>
      </c>
      <c r="L472" s="378" t="s">
        <v>165</v>
      </c>
      <c r="M472" s="380">
        <v>2400</v>
      </c>
      <c r="N472" s="380" t="s">
        <v>443</v>
      </c>
      <c r="O472" s="380" t="s">
        <v>443</v>
      </c>
      <c r="P472" s="380" t="s">
        <v>443</v>
      </c>
      <c r="Q472" s="381">
        <v>215</v>
      </c>
      <c r="R472" s="381">
        <v>0</v>
      </c>
      <c r="S472" s="381">
        <v>0</v>
      </c>
      <c r="T472" s="381">
        <v>0</v>
      </c>
      <c r="U472" s="381">
        <v>0</v>
      </c>
      <c r="V472" s="382">
        <v>215</v>
      </c>
      <c r="W472" s="382">
        <v>0</v>
      </c>
      <c r="X472" s="381">
        <v>8.9583333333333334E-2</v>
      </c>
      <c r="Y472" s="381">
        <v>0</v>
      </c>
      <c r="Z472" s="381">
        <v>0</v>
      </c>
      <c r="AA472" s="381">
        <v>0</v>
      </c>
      <c r="AB472" s="381">
        <v>0</v>
      </c>
      <c r="AC472" s="382">
        <v>8.9583333333333334E-2</v>
      </c>
      <c r="AD472" s="382">
        <v>0</v>
      </c>
      <c r="AE472" s="381" t="s">
        <v>444</v>
      </c>
    </row>
    <row r="473" spans="1:31" ht="15" customHeight="1" x14ac:dyDescent="0.25">
      <c r="A473" s="20" t="s">
        <v>156</v>
      </c>
      <c r="B473" s="20" t="s">
        <v>534</v>
      </c>
      <c r="C473" s="20" t="s">
        <v>535</v>
      </c>
      <c r="D473" s="378" t="s">
        <v>821</v>
      </c>
      <c r="E473" s="384">
        <v>44613</v>
      </c>
      <c r="F473" s="384">
        <v>46439</v>
      </c>
      <c r="G473" s="378" t="s">
        <v>439</v>
      </c>
      <c r="H473" s="20" t="s">
        <v>455</v>
      </c>
      <c r="I473" s="378" t="s">
        <v>162</v>
      </c>
      <c r="J473" s="20" t="s">
        <v>163</v>
      </c>
      <c r="K473" s="378" t="s">
        <v>476</v>
      </c>
      <c r="L473" s="378" t="s">
        <v>165</v>
      </c>
      <c r="M473" s="380">
        <v>2400</v>
      </c>
      <c r="N473" s="380" t="s">
        <v>443</v>
      </c>
      <c r="O473" s="380" t="s">
        <v>443</v>
      </c>
      <c r="P473" s="380" t="s">
        <v>443</v>
      </c>
      <c r="Q473" s="381">
        <v>252</v>
      </c>
      <c r="R473" s="381">
        <v>0</v>
      </c>
      <c r="S473" s="381">
        <v>0</v>
      </c>
      <c r="T473" s="381">
        <v>0</v>
      </c>
      <c r="U473" s="381">
        <v>0</v>
      </c>
      <c r="V473" s="382">
        <v>252</v>
      </c>
      <c r="W473" s="382">
        <v>0</v>
      </c>
      <c r="X473" s="381">
        <v>0.105</v>
      </c>
      <c r="Y473" s="381">
        <v>0</v>
      </c>
      <c r="Z473" s="381">
        <v>0</v>
      </c>
      <c r="AA473" s="381">
        <v>0</v>
      </c>
      <c r="AB473" s="381">
        <v>0</v>
      </c>
      <c r="AC473" s="382">
        <v>0.105</v>
      </c>
      <c r="AD473" s="382">
        <v>0</v>
      </c>
      <c r="AE473" s="381" t="s">
        <v>444</v>
      </c>
    </row>
    <row r="474" spans="1:31" ht="15" customHeight="1" x14ac:dyDescent="0.25">
      <c r="A474" s="20" t="s">
        <v>156</v>
      </c>
      <c r="B474" s="20" t="s">
        <v>534</v>
      </c>
      <c r="C474" s="20" t="s">
        <v>535</v>
      </c>
      <c r="D474" s="378" t="s">
        <v>822</v>
      </c>
      <c r="E474" s="384">
        <v>44613</v>
      </c>
      <c r="F474" s="384">
        <v>46439</v>
      </c>
      <c r="G474" s="378" t="s">
        <v>439</v>
      </c>
      <c r="H474" s="20" t="s">
        <v>455</v>
      </c>
      <c r="I474" s="378" t="s">
        <v>162</v>
      </c>
      <c r="J474" s="20" t="s">
        <v>163</v>
      </c>
      <c r="K474" s="378" t="s">
        <v>476</v>
      </c>
      <c r="L474" s="378" t="s">
        <v>165</v>
      </c>
      <c r="M474" s="380">
        <v>2400</v>
      </c>
      <c r="N474" s="380" t="s">
        <v>443</v>
      </c>
      <c r="O474" s="380" t="s">
        <v>443</v>
      </c>
      <c r="P474" s="380" t="s">
        <v>443</v>
      </c>
      <c r="Q474" s="381">
        <v>279</v>
      </c>
      <c r="R474" s="381">
        <v>0</v>
      </c>
      <c r="S474" s="381">
        <v>0</v>
      </c>
      <c r="T474" s="381">
        <v>0</v>
      </c>
      <c r="U474" s="381">
        <v>0</v>
      </c>
      <c r="V474" s="382">
        <v>279</v>
      </c>
      <c r="W474" s="382">
        <v>0</v>
      </c>
      <c r="X474" s="381">
        <v>0.11625000000000001</v>
      </c>
      <c r="Y474" s="381">
        <v>0</v>
      </c>
      <c r="Z474" s="381">
        <v>0</v>
      </c>
      <c r="AA474" s="381">
        <v>0</v>
      </c>
      <c r="AB474" s="381">
        <v>0</v>
      </c>
      <c r="AC474" s="382">
        <v>0.11625000000000001</v>
      </c>
      <c r="AD474" s="382">
        <v>0</v>
      </c>
      <c r="AE474" s="381" t="s">
        <v>444</v>
      </c>
    </row>
    <row r="475" spans="1:31" ht="15" customHeight="1" x14ac:dyDescent="0.25">
      <c r="A475" s="20" t="s">
        <v>156</v>
      </c>
      <c r="B475" s="20" t="s">
        <v>534</v>
      </c>
      <c r="C475" s="20" t="s">
        <v>535</v>
      </c>
      <c r="D475" s="378" t="s">
        <v>823</v>
      </c>
      <c r="E475" s="384">
        <v>44613</v>
      </c>
      <c r="F475" s="384">
        <v>46439</v>
      </c>
      <c r="G475" s="378" t="s">
        <v>439</v>
      </c>
      <c r="H475" s="20" t="s">
        <v>455</v>
      </c>
      <c r="I475" s="378" t="s">
        <v>162</v>
      </c>
      <c r="J475" s="20" t="s">
        <v>163</v>
      </c>
      <c r="K475" s="378" t="s">
        <v>476</v>
      </c>
      <c r="L475" s="378" t="s">
        <v>165</v>
      </c>
      <c r="M475" s="380">
        <v>2400</v>
      </c>
      <c r="N475" s="380" t="s">
        <v>443</v>
      </c>
      <c r="O475" s="380" t="s">
        <v>443</v>
      </c>
      <c r="P475" s="380" t="s">
        <v>443</v>
      </c>
      <c r="Q475" s="381">
        <v>228</v>
      </c>
      <c r="R475" s="381">
        <v>0</v>
      </c>
      <c r="S475" s="381">
        <v>0</v>
      </c>
      <c r="T475" s="381">
        <v>0</v>
      </c>
      <c r="U475" s="381">
        <v>0</v>
      </c>
      <c r="V475" s="382">
        <v>228</v>
      </c>
      <c r="W475" s="382">
        <v>0</v>
      </c>
      <c r="X475" s="381">
        <v>9.5000000000000001E-2</v>
      </c>
      <c r="Y475" s="381">
        <v>0</v>
      </c>
      <c r="Z475" s="381">
        <v>0</v>
      </c>
      <c r="AA475" s="381">
        <v>0</v>
      </c>
      <c r="AB475" s="381">
        <v>0</v>
      </c>
      <c r="AC475" s="382">
        <v>9.5000000000000001E-2</v>
      </c>
      <c r="AD475" s="382">
        <v>0</v>
      </c>
      <c r="AE475" s="381" t="s">
        <v>444</v>
      </c>
    </row>
    <row r="476" spans="1:31" ht="15" customHeight="1" x14ac:dyDescent="0.25">
      <c r="A476" s="20" t="s">
        <v>156</v>
      </c>
      <c r="B476" s="20" t="s">
        <v>534</v>
      </c>
      <c r="C476" s="20" t="s">
        <v>535</v>
      </c>
      <c r="D476" s="378" t="s">
        <v>824</v>
      </c>
      <c r="E476" s="384">
        <v>44613</v>
      </c>
      <c r="F476" s="384">
        <v>46439</v>
      </c>
      <c r="G476" s="378" t="s">
        <v>439</v>
      </c>
      <c r="H476" s="20" t="s">
        <v>455</v>
      </c>
      <c r="I476" s="378" t="s">
        <v>162</v>
      </c>
      <c r="J476" s="20" t="s">
        <v>163</v>
      </c>
      <c r="K476" s="378" t="s">
        <v>476</v>
      </c>
      <c r="L476" s="378" t="s">
        <v>165</v>
      </c>
      <c r="M476" s="380">
        <v>2400</v>
      </c>
      <c r="N476" s="380" t="s">
        <v>443</v>
      </c>
      <c r="O476" s="380" t="s">
        <v>443</v>
      </c>
      <c r="P476" s="380" t="s">
        <v>443</v>
      </c>
      <c r="Q476" s="381">
        <v>297</v>
      </c>
      <c r="R476" s="381">
        <v>0</v>
      </c>
      <c r="S476" s="381">
        <v>0</v>
      </c>
      <c r="T476" s="381">
        <v>0</v>
      </c>
      <c r="U476" s="381">
        <v>0</v>
      </c>
      <c r="V476" s="382">
        <v>297</v>
      </c>
      <c r="W476" s="382">
        <v>0</v>
      </c>
      <c r="X476" s="381">
        <v>0.12375</v>
      </c>
      <c r="Y476" s="381">
        <v>0</v>
      </c>
      <c r="Z476" s="381">
        <v>0</v>
      </c>
      <c r="AA476" s="381">
        <v>0</v>
      </c>
      <c r="AB476" s="381">
        <v>0</v>
      </c>
      <c r="AC476" s="382">
        <v>0.12375</v>
      </c>
      <c r="AD476" s="382">
        <v>0</v>
      </c>
      <c r="AE476" s="381" t="s">
        <v>444</v>
      </c>
    </row>
    <row r="477" spans="1:31" ht="15" customHeight="1" x14ac:dyDescent="0.25">
      <c r="A477" s="20" t="s">
        <v>156</v>
      </c>
      <c r="B477" s="20" t="s">
        <v>534</v>
      </c>
      <c r="C477" s="20" t="s">
        <v>535</v>
      </c>
      <c r="D477" s="378" t="s">
        <v>825</v>
      </c>
      <c r="E477" s="384">
        <v>44613</v>
      </c>
      <c r="F477" s="384">
        <v>46439</v>
      </c>
      <c r="G477" s="378" t="s">
        <v>439</v>
      </c>
      <c r="H477" s="20" t="s">
        <v>455</v>
      </c>
      <c r="I477" s="378" t="s">
        <v>162</v>
      </c>
      <c r="J477" s="20" t="s">
        <v>163</v>
      </c>
      <c r="K477" s="378" t="s">
        <v>476</v>
      </c>
      <c r="L477" s="378" t="s">
        <v>165</v>
      </c>
      <c r="M477" s="380">
        <v>2400</v>
      </c>
      <c r="N477" s="380" t="s">
        <v>443</v>
      </c>
      <c r="O477" s="380" t="s">
        <v>443</v>
      </c>
      <c r="P477" s="380" t="s">
        <v>443</v>
      </c>
      <c r="Q477" s="381">
        <v>272</v>
      </c>
      <c r="R477" s="381">
        <v>0</v>
      </c>
      <c r="S477" s="381">
        <v>0</v>
      </c>
      <c r="T477" s="381">
        <v>0</v>
      </c>
      <c r="U477" s="381">
        <v>0</v>
      </c>
      <c r="V477" s="382">
        <v>272</v>
      </c>
      <c r="W477" s="382">
        <v>0</v>
      </c>
      <c r="X477" s="381">
        <v>0.11333333333333333</v>
      </c>
      <c r="Y477" s="381">
        <v>0</v>
      </c>
      <c r="Z477" s="381">
        <v>0</v>
      </c>
      <c r="AA477" s="381">
        <v>0</v>
      </c>
      <c r="AB477" s="381">
        <v>0</v>
      </c>
      <c r="AC477" s="382">
        <v>0.11333333333333333</v>
      </c>
      <c r="AD477" s="382">
        <v>0</v>
      </c>
      <c r="AE477" s="381" t="s">
        <v>444</v>
      </c>
    </row>
    <row r="478" spans="1:31" ht="15" customHeight="1" x14ac:dyDescent="0.25">
      <c r="A478" s="20" t="s">
        <v>156</v>
      </c>
      <c r="B478" s="20" t="s">
        <v>534</v>
      </c>
      <c r="C478" s="20" t="s">
        <v>535</v>
      </c>
      <c r="D478" s="378" t="s">
        <v>826</v>
      </c>
      <c r="E478" s="384">
        <v>44613</v>
      </c>
      <c r="F478" s="384">
        <v>46439</v>
      </c>
      <c r="G478" s="378" t="s">
        <v>439</v>
      </c>
      <c r="H478" s="20" t="s">
        <v>455</v>
      </c>
      <c r="I478" s="378" t="s">
        <v>162</v>
      </c>
      <c r="J478" s="20" t="s">
        <v>163</v>
      </c>
      <c r="K478" s="378" t="s">
        <v>476</v>
      </c>
      <c r="L478" s="378" t="s">
        <v>165</v>
      </c>
      <c r="M478" s="380">
        <v>2400</v>
      </c>
      <c r="N478" s="380" t="s">
        <v>443</v>
      </c>
      <c r="O478" s="380" t="s">
        <v>443</v>
      </c>
      <c r="P478" s="380" t="s">
        <v>443</v>
      </c>
      <c r="Q478" s="381">
        <v>265</v>
      </c>
      <c r="R478" s="381">
        <v>0</v>
      </c>
      <c r="S478" s="381">
        <v>0</v>
      </c>
      <c r="T478" s="381">
        <v>0</v>
      </c>
      <c r="U478" s="381">
        <v>0</v>
      </c>
      <c r="V478" s="382">
        <v>265</v>
      </c>
      <c r="W478" s="382">
        <v>0</v>
      </c>
      <c r="X478" s="381">
        <v>0.11041666666666666</v>
      </c>
      <c r="Y478" s="381">
        <v>0</v>
      </c>
      <c r="Z478" s="381">
        <v>0</v>
      </c>
      <c r="AA478" s="381">
        <v>0</v>
      </c>
      <c r="AB478" s="381">
        <v>0</v>
      </c>
      <c r="AC478" s="382">
        <v>0.11041666666666666</v>
      </c>
      <c r="AD478" s="382">
        <v>0</v>
      </c>
      <c r="AE478" s="381" t="s">
        <v>444</v>
      </c>
    </row>
    <row r="479" spans="1:31" ht="15" customHeight="1" x14ac:dyDescent="0.25">
      <c r="A479" s="20" t="s">
        <v>156</v>
      </c>
      <c r="B479" s="20" t="s">
        <v>534</v>
      </c>
      <c r="C479" s="20" t="s">
        <v>535</v>
      </c>
      <c r="D479" s="378" t="s">
        <v>827</v>
      </c>
      <c r="E479" s="384">
        <v>44613</v>
      </c>
      <c r="F479" s="384">
        <v>46439</v>
      </c>
      <c r="G479" s="378" t="s">
        <v>439</v>
      </c>
      <c r="H479" s="20" t="s">
        <v>455</v>
      </c>
      <c r="I479" s="378" t="s">
        <v>162</v>
      </c>
      <c r="J479" s="20" t="s">
        <v>163</v>
      </c>
      <c r="K479" s="378" t="s">
        <v>476</v>
      </c>
      <c r="L479" s="378" t="s">
        <v>165</v>
      </c>
      <c r="M479" s="380">
        <v>2400</v>
      </c>
      <c r="N479" s="380" t="s">
        <v>443</v>
      </c>
      <c r="O479" s="380" t="s">
        <v>443</v>
      </c>
      <c r="P479" s="380" t="s">
        <v>443</v>
      </c>
      <c r="Q479" s="381">
        <v>284</v>
      </c>
      <c r="R479" s="381">
        <v>0</v>
      </c>
      <c r="S479" s="381">
        <v>0</v>
      </c>
      <c r="T479" s="381">
        <v>0</v>
      </c>
      <c r="U479" s="381">
        <v>0</v>
      </c>
      <c r="V479" s="382">
        <v>284</v>
      </c>
      <c r="W479" s="382">
        <v>0</v>
      </c>
      <c r="X479" s="381">
        <v>0.11833333333333333</v>
      </c>
      <c r="Y479" s="381">
        <v>0</v>
      </c>
      <c r="Z479" s="381">
        <v>0</v>
      </c>
      <c r="AA479" s="381">
        <v>0</v>
      </c>
      <c r="AB479" s="381">
        <v>0</v>
      </c>
      <c r="AC479" s="382">
        <v>0.11833333333333333</v>
      </c>
      <c r="AD479" s="382">
        <v>0</v>
      </c>
      <c r="AE479" s="381" t="s">
        <v>444</v>
      </c>
    </row>
    <row r="480" spans="1:31" ht="15" customHeight="1" x14ac:dyDescent="0.25">
      <c r="A480" s="20" t="s">
        <v>156</v>
      </c>
      <c r="B480" s="20" t="s">
        <v>534</v>
      </c>
      <c r="C480" s="20" t="s">
        <v>535</v>
      </c>
      <c r="D480" s="378" t="s">
        <v>819</v>
      </c>
      <c r="E480" s="384">
        <v>44613</v>
      </c>
      <c r="F480" s="384">
        <v>46439</v>
      </c>
      <c r="G480" s="378" t="s">
        <v>439</v>
      </c>
      <c r="H480" s="20" t="s">
        <v>455</v>
      </c>
      <c r="I480" s="378" t="s">
        <v>162</v>
      </c>
      <c r="J480" s="20" t="s">
        <v>163</v>
      </c>
      <c r="K480" s="378" t="s">
        <v>476</v>
      </c>
      <c r="L480" s="378" t="s">
        <v>165</v>
      </c>
      <c r="M480" s="380">
        <v>2400</v>
      </c>
      <c r="N480" s="380" t="s">
        <v>443</v>
      </c>
      <c r="O480" s="380" t="s">
        <v>443</v>
      </c>
      <c r="P480" s="380" t="s">
        <v>443</v>
      </c>
      <c r="Q480" s="381">
        <v>183</v>
      </c>
      <c r="R480" s="381">
        <v>0</v>
      </c>
      <c r="S480" s="381">
        <v>0</v>
      </c>
      <c r="T480" s="381">
        <v>0</v>
      </c>
      <c r="U480" s="381">
        <v>0</v>
      </c>
      <c r="V480" s="382">
        <v>183</v>
      </c>
      <c r="W480" s="382">
        <v>0</v>
      </c>
      <c r="X480" s="381">
        <v>7.6249999999999998E-2</v>
      </c>
      <c r="Y480" s="381">
        <v>0</v>
      </c>
      <c r="Z480" s="381">
        <v>0</v>
      </c>
      <c r="AA480" s="381">
        <v>0</v>
      </c>
      <c r="AB480" s="381">
        <v>0</v>
      </c>
      <c r="AC480" s="382">
        <v>7.6249999999999998E-2</v>
      </c>
      <c r="AD480" s="382">
        <v>0</v>
      </c>
      <c r="AE480" s="381" t="s">
        <v>444</v>
      </c>
    </row>
    <row r="481" spans="1:31" ht="15" customHeight="1" x14ac:dyDescent="0.25">
      <c r="A481" s="20" t="s">
        <v>156</v>
      </c>
      <c r="B481" s="20" t="s">
        <v>534</v>
      </c>
      <c r="C481" s="20" t="s">
        <v>535</v>
      </c>
      <c r="D481" s="378" t="s">
        <v>820</v>
      </c>
      <c r="E481" s="384">
        <v>44613</v>
      </c>
      <c r="F481" s="384">
        <v>46439</v>
      </c>
      <c r="G481" s="378" t="s">
        <v>439</v>
      </c>
      <c r="H481" s="20" t="s">
        <v>455</v>
      </c>
      <c r="I481" s="378" t="s">
        <v>162</v>
      </c>
      <c r="J481" s="20" t="s">
        <v>163</v>
      </c>
      <c r="K481" s="378" t="s">
        <v>476</v>
      </c>
      <c r="L481" s="378" t="s">
        <v>165</v>
      </c>
      <c r="M481" s="380">
        <v>2400</v>
      </c>
      <c r="N481" s="380" t="s">
        <v>443</v>
      </c>
      <c r="O481" s="380" t="s">
        <v>443</v>
      </c>
      <c r="P481" s="380" t="s">
        <v>443</v>
      </c>
      <c r="Q481" s="381">
        <v>215</v>
      </c>
      <c r="R481" s="381">
        <v>0</v>
      </c>
      <c r="S481" s="381">
        <v>0</v>
      </c>
      <c r="T481" s="381">
        <v>0</v>
      </c>
      <c r="U481" s="381">
        <v>0</v>
      </c>
      <c r="V481" s="382">
        <v>215</v>
      </c>
      <c r="W481" s="382">
        <v>0</v>
      </c>
      <c r="X481" s="381">
        <v>8.9583333333333334E-2</v>
      </c>
      <c r="Y481" s="381">
        <v>0</v>
      </c>
      <c r="Z481" s="381">
        <v>0</v>
      </c>
      <c r="AA481" s="381">
        <v>0</v>
      </c>
      <c r="AB481" s="381">
        <v>0</v>
      </c>
      <c r="AC481" s="382">
        <v>8.9583333333333334E-2</v>
      </c>
      <c r="AD481" s="382">
        <v>0</v>
      </c>
      <c r="AE481" s="381" t="s">
        <v>444</v>
      </c>
    </row>
    <row r="482" spans="1:31" ht="15" customHeight="1" x14ac:dyDescent="0.25">
      <c r="A482" s="20" t="s">
        <v>156</v>
      </c>
      <c r="B482" s="20" t="s">
        <v>534</v>
      </c>
      <c r="C482" s="20" t="s">
        <v>535</v>
      </c>
      <c r="D482" s="378" t="s">
        <v>821</v>
      </c>
      <c r="E482" s="384">
        <v>44613</v>
      </c>
      <c r="F482" s="384">
        <v>46439</v>
      </c>
      <c r="G482" s="378" t="s">
        <v>439</v>
      </c>
      <c r="H482" s="20" t="s">
        <v>455</v>
      </c>
      <c r="I482" s="378" t="s">
        <v>162</v>
      </c>
      <c r="J482" s="20" t="s">
        <v>163</v>
      </c>
      <c r="K482" s="378" t="s">
        <v>476</v>
      </c>
      <c r="L482" s="378" t="s">
        <v>165</v>
      </c>
      <c r="M482" s="380">
        <v>2400</v>
      </c>
      <c r="N482" s="380" t="s">
        <v>443</v>
      </c>
      <c r="O482" s="380" t="s">
        <v>443</v>
      </c>
      <c r="P482" s="380" t="s">
        <v>443</v>
      </c>
      <c r="Q482" s="381">
        <v>252</v>
      </c>
      <c r="R482" s="381">
        <v>0</v>
      </c>
      <c r="S482" s="381">
        <v>0</v>
      </c>
      <c r="T482" s="381">
        <v>0</v>
      </c>
      <c r="U482" s="381">
        <v>0</v>
      </c>
      <c r="V482" s="382">
        <v>252</v>
      </c>
      <c r="W482" s="382">
        <v>0</v>
      </c>
      <c r="X482" s="381">
        <v>0.105</v>
      </c>
      <c r="Y482" s="381">
        <v>0</v>
      </c>
      <c r="Z482" s="381">
        <v>0</v>
      </c>
      <c r="AA482" s="381">
        <v>0</v>
      </c>
      <c r="AB482" s="381">
        <v>0</v>
      </c>
      <c r="AC482" s="382">
        <v>0.105</v>
      </c>
      <c r="AD482" s="382">
        <v>0</v>
      </c>
      <c r="AE482" s="381" t="s">
        <v>444</v>
      </c>
    </row>
    <row r="483" spans="1:31" ht="15" customHeight="1" x14ac:dyDescent="0.25">
      <c r="A483" s="20" t="s">
        <v>156</v>
      </c>
      <c r="B483" s="20" t="s">
        <v>534</v>
      </c>
      <c r="C483" s="20" t="s">
        <v>535</v>
      </c>
      <c r="D483" s="378" t="s">
        <v>822</v>
      </c>
      <c r="E483" s="384">
        <v>44613</v>
      </c>
      <c r="F483" s="384">
        <v>46439</v>
      </c>
      <c r="G483" s="378" t="s">
        <v>439</v>
      </c>
      <c r="H483" s="20" t="s">
        <v>455</v>
      </c>
      <c r="I483" s="378" t="s">
        <v>162</v>
      </c>
      <c r="J483" s="20" t="s">
        <v>163</v>
      </c>
      <c r="K483" s="378" t="s">
        <v>476</v>
      </c>
      <c r="L483" s="378" t="s">
        <v>165</v>
      </c>
      <c r="M483" s="380">
        <v>2400</v>
      </c>
      <c r="N483" s="380" t="s">
        <v>443</v>
      </c>
      <c r="O483" s="380" t="s">
        <v>443</v>
      </c>
      <c r="P483" s="380" t="s">
        <v>443</v>
      </c>
      <c r="Q483" s="381">
        <v>279</v>
      </c>
      <c r="R483" s="381">
        <v>0</v>
      </c>
      <c r="S483" s="381">
        <v>0</v>
      </c>
      <c r="T483" s="381">
        <v>0</v>
      </c>
      <c r="U483" s="381">
        <v>0</v>
      </c>
      <c r="V483" s="382">
        <v>279</v>
      </c>
      <c r="W483" s="382">
        <v>0</v>
      </c>
      <c r="X483" s="381">
        <v>0.11625000000000001</v>
      </c>
      <c r="Y483" s="381">
        <v>0</v>
      </c>
      <c r="Z483" s="381">
        <v>0</v>
      </c>
      <c r="AA483" s="381">
        <v>0</v>
      </c>
      <c r="AB483" s="381">
        <v>0</v>
      </c>
      <c r="AC483" s="382">
        <v>0.11625000000000001</v>
      </c>
      <c r="AD483" s="382">
        <v>0</v>
      </c>
      <c r="AE483" s="381" t="s">
        <v>444</v>
      </c>
    </row>
    <row r="484" spans="1:31" ht="15" customHeight="1" x14ac:dyDescent="0.25">
      <c r="A484" s="20" t="s">
        <v>156</v>
      </c>
      <c r="B484" s="20" t="s">
        <v>534</v>
      </c>
      <c r="C484" s="20" t="s">
        <v>535</v>
      </c>
      <c r="D484" s="378" t="s">
        <v>823</v>
      </c>
      <c r="E484" s="384">
        <v>44613</v>
      </c>
      <c r="F484" s="384">
        <v>46439</v>
      </c>
      <c r="G484" s="378" t="s">
        <v>439</v>
      </c>
      <c r="H484" s="20" t="s">
        <v>455</v>
      </c>
      <c r="I484" s="378" t="s">
        <v>162</v>
      </c>
      <c r="J484" s="20" t="s">
        <v>163</v>
      </c>
      <c r="K484" s="378" t="s">
        <v>476</v>
      </c>
      <c r="L484" s="378" t="s">
        <v>165</v>
      </c>
      <c r="M484" s="380">
        <v>2400</v>
      </c>
      <c r="N484" s="380" t="s">
        <v>443</v>
      </c>
      <c r="O484" s="380" t="s">
        <v>443</v>
      </c>
      <c r="P484" s="380" t="s">
        <v>443</v>
      </c>
      <c r="Q484" s="381">
        <v>228</v>
      </c>
      <c r="R484" s="381">
        <v>0</v>
      </c>
      <c r="S484" s="381">
        <v>0</v>
      </c>
      <c r="T484" s="381">
        <v>0</v>
      </c>
      <c r="U484" s="381">
        <v>0</v>
      </c>
      <c r="V484" s="382">
        <v>228</v>
      </c>
      <c r="W484" s="382">
        <v>0</v>
      </c>
      <c r="X484" s="381">
        <v>9.5000000000000001E-2</v>
      </c>
      <c r="Y484" s="381">
        <v>0</v>
      </c>
      <c r="Z484" s="381">
        <v>0</v>
      </c>
      <c r="AA484" s="381">
        <v>0</v>
      </c>
      <c r="AB484" s="381">
        <v>0</v>
      </c>
      <c r="AC484" s="382">
        <v>9.5000000000000001E-2</v>
      </c>
      <c r="AD484" s="382">
        <v>0</v>
      </c>
      <c r="AE484" s="381" t="s">
        <v>444</v>
      </c>
    </row>
    <row r="485" spans="1:31" ht="15" customHeight="1" x14ac:dyDescent="0.25">
      <c r="A485" s="20" t="s">
        <v>156</v>
      </c>
      <c r="B485" s="20" t="s">
        <v>534</v>
      </c>
      <c r="C485" s="20" t="s">
        <v>535</v>
      </c>
      <c r="D485" s="378" t="s">
        <v>824</v>
      </c>
      <c r="E485" s="384">
        <v>44613</v>
      </c>
      <c r="F485" s="384">
        <v>46439</v>
      </c>
      <c r="G485" s="378" t="s">
        <v>439</v>
      </c>
      <c r="H485" s="20" t="s">
        <v>455</v>
      </c>
      <c r="I485" s="378" t="s">
        <v>162</v>
      </c>
      <c r="J485" s="20" t="s">
        <v>163</v>
      </c>
      <c r="K485" s="378" t="s">
        <v>476</v>
      </c>
      <c r="L485" s="378" t="s">
        <v>165</v>
      </c>
      <c r="M485" s="380">
        <v>2400</v>
      </c>
      <c r="N485" s="380" t="s">
        <v>443</v>
      </c>
      <c r="O485" s="380" t="s">
        <v>443</v>
      </c>
      <c r="P485" s="380" t="s">
        <v>443</v>
      </c>
      <c r="Q485" s="381">
        <v>297</v>
      </c>
      <c r="R485" s="381">
        <v>0</v>
      </c>
      <c r="S485" s="381">
        <v>0</v>
      </c>
      <c r="T485" s="381">
        <v>0</v>
      </c>
      <c r="U485" s="381">
        <v>0</v>
      </c>
      <c r="V485" s="382">
        <v>297</v>
      </c>
      <c r="W485" s="382">
        <v>0</v>
      </c>
      <c r="X485" s="381">
        <v>0.12375</v>
      </c>
      <c r="Y485" s="381">
        <v>0</v>
      </c>
      <c r="Z485" s="381">
        <v>0</v>
      </c>
      <c r="AA485" s="381">
        <v>0</v>
      </c>
      <c r="AB485" s="381">
        <v>0</v>
      </c>
      <c r="AC485" s="382">
        <v>0.12375</v>
      </c>
      <c r="AD485" s="382">
        <v>0</v>
      </c>
      <c r="AE485" s="381" t="s">
        <v>444</v>
      </c>
    </row>
    <row r="486" spans="1:31" ht="15" customHeight="1" x14ac:dyDescent="0.25">
      <c r="A486" s="20" t="s">
        <v>156</v>
      </c>
      <c r="B486" s="20" t="s">
        <v>534</v>
      </c>
      <c r="C486" s="20" t="s">
        <v>535</v>
      </c>
      <c r="D486" s="378" t="s">
        <v>825</v>
      </c>
      <c r="E486" s="384">
        <v>44613</v>
      </c>
      <c r="F486" s="384">
        <v>46439</v>
      </c>
      <c r="G486" s="378" t="s">
        <v>439</v>
      </c>
      <c r="H486" s="20" t="s">
        <v>455</v>
      </c>
      <c r="I486" s="378" t="s">
        <v>162</v>
      </c>
      <c r="J486" s="20" t="s">
        <v>163</v>
      </c>
      <c r="K486" s="378" t="s">
        <v>476</v>
      </c>
      <c r="L486" s="378" t="s">
        <v>165</v>
      </c>
      <c r="M486" s="380">
        <v>2400</v>
      </c>
      <c r="N486" s="380" t="s">
        <v>443</v>
      </c>
      <c r="O486" s="380" t="s">
        <v>443</v>
      </c>
      <c r="P486" s="380" t="s">
        <v>443</v>
      </c>
      <c r="Q486" s="381">
        <v>272</v>
      </c>
      <c r="R486" s="381">
        <v>0</v>
      </c>
      <c r="S486" s="381">
        <v>0</v>
      </c>
      <c r="T486" s="381">
        <v>0</v>
      </c>
      <c r="U486" s="381">
        <v>0</v>
      </c>
      <c r="V486" s="382">
        <v>272</v>
      </c>
      <c r="W486" s="382">
        <v>0</v>
      </c>
      <c r="X486" s="381">
        <v>0.11333333333333333</v>
      </c>
      <c r="Y486" s="381">
        <v>0</v>
      </c>
      <c r="Z486" s="381">
        <v>0</v>
      </c>
      <c r="AA486" s="381">
        <v>0</v>
      </c>
      <c r="AB486" s="381">
        <v>0</v>
      </c>
      <c r="AC486" s="382">
        <v>0.11333333333333333</v>
      </c>
      <c r="AD486" s="382">
        <v>0</v>
      </c>
      <c r="AE486" s="381" t="s">
        <v>444</v>
      </c>
    </row>
    <row r="487" spans="1:31" ht="15" customHeight="1" x14ac:dyDescent="0.25">
      <c r="A487" s="20" t="s">
        <v>156</v>
      </c>
      <c r="B487" s="20" t="s">
        <v>534</v>
      </c>
      <c r="C487" s="20" t="s">
        <v>535</v>
      </c>
      <c r="D487" s="378" t="s">
        <v>826</v>
      </c>
      <c r="E487" s="384">
        <v>44613</v>
      </c>
      <c r="F487" s="384">
        <v>46439</v>
      </c>
      <c r="G487" s="378" t="s">
        <v>439</v>
      </c>
      <c r="H487" s="20" t="s">
        <v>455</v>
      </c>
      <c r="I487" s="378" t="s">
        <v>162</v>
      </c>
      <c r="J487" s="20" t="s">
        <v>163</v>
      </c>
      <c r="K487" s="378" t="s">
        <v>476</v>
      </c>
      <c r="L487" s="378" t="s">
        <v>165</v>
      </c>
      <c r="M487" s="380">
        <v>2400</v>
      </c>
      <c r="N487" s="380" t="s">
        <v>443</v>
      </c>
      <c r="O487" s="380" t="s">
        <v>443</v>
      </c>
      <c r="P487" s="380" t="s">
        <v>443</v>
      </c>
      <c r="Q487" s="381">
        <v>265</v>
      </c>
      <c r="R487" s="381">
        <v>0</v>
      </c>
      <c r="S487" s="381">
        <v>0</v>
      </c>
      <c r="T487" s="381">
        <v>0</v>
      </c>
      <c r="U487" s="381">
        <v>0</v>
      </c>
      <c r="V487" s="382">
        <v>265</v>
      </c>
      <c r="W487" s="382">
        <v>0</v>
      </c>
      <c r="X487" s="381">
        <v>0.11041666666666666</v>
      </c>
      <c r="Y487" s="381">
        <v>0</v>
      </c>
      <c r="Z487" s="381">
        <v>0</v>
      </c>
      <c r="AA487" s="381">
        <v>0</v>
      </c>
      <c r="AB487" s="381">
        <v>0</v>
      </c>
      <c r="AC487" s="382">
        <v>0.11041666666666666</v>
      </c>
      <c r="AD487" s="382">
        <v>0</v>
      </c>
      <c r="AE487" s="381" t="s">
        <v>444</v>
      </c>
    </row>
    <row r="488" spans="1:31" ht="15" customHeight="1" x14ac:dyDescent="0.25">
      <c r="A488" s="20" t="s">
        <v>156</v>
      </c>
      <c r="B488" s="20" t="s">
        <v>534</v>
      </c>
      <c r="C488" s="20" t="s">
        <v>535</v>
      </c>
      <c r="D488" s="378" t="s">
        <v>827</v>
      </c>
      <c r="E488" s="384">
        <v>44613</v>
      </c>
      <c r="F488" s="384">
        <v>46439</v>
      </c>
      <c r="G488" s="378" t="s">
        <v>439</v>
      </c>
      <c r="H488" s="20" t="s">
        <v>455</v>
      </c>
      <c r="I488" s="378" t="s">
        <v>162</v>
      </c>
      <c r="J488" s="20" t="s">
        <v>163</v>
      </c>
      <c r="K488" s="378" t="s">
        <v>476</v>
      </c>
      <c r="L488" s="378" t="s">
        <v>165</v>
      </c>
      <c r="M488" s="380">
        <v>2400</v>
      </c>
      <c r="N488" s="380" t="s">
        <v>443</v>
      </c>
      <c r="O488" s="380" t="s">
        <v>443</v>
      </c>
      <c r="P488" s="380" t="s">
        <v>443</v>
      </c>
      <c r="Q488" s="381">
        <v>284</v>
      </c>
      <c r="R488" s="381">
        <v>0</v>
      </c>
      <c r="S488" s="381">
        <v>0</v>
      </c>
      <c r="T488" s="381">
        <v>0</v>
      </c>
      <c r="U488" s="381">
        <v>0</v>
      </c>
      <c r="V488" s="382">
        <v>284</v>
      </c>
      <c r="W488" s="382">
        <v>0</v>
      </c>
      <c r="X488" s="381">
        <v>0.11833333333333333</v>
      </c>
      <c r="Y488" s="381">
        <v>0</v>
      </c>
      <c r="Z488" s="381">
        <v>0</v>
      </c>
      <c r="AA488" s="381">
        <v>0</v>
      </c>
      <c r="AB488" s="381">
        <v>0</v>
      </c>
      <c r="AC488" s="382">
        <v>0.11833333333333333</v>
      </c>
      <c r="AD488" s="382">
        <v>0</v>
      </c>
      <c r="AE488" s="381" t="s">
        <v>444</v>
      </c>
    </row>
    <row r="489" spans="1:31" ht="15" customHeight="1" x14ac:dyDescent="0.25">
      <c r="A489" s="20" t="s">
        <v>156</v>
      </c>
      <c r="B489" s="20" t="s">
        <v>534</v>
      </c>
      <c r="C489" s="20" t="s">
        <v>535</v>
      </c>
      <c r="D489" s="378" t="s">
        <v>819</v>
      </c>
      <c r="E489" s="384">
        <v>44613</v>
      </c>
      <c r="F489" s="384">
        <v>46439</v>
      </c>
      <c r="G489" s="378" t="s">
        <v>439</v>
      </c>
      <c r="H489" s="20" t="s">
        <v>455</v>
      </c>
      <c r="I489" s="378" t="s">
        <v>162</v>
      </c>
      <c r="J489" s="20" t="s">
        <v>163</v>
      </c>
      <c r="K489" s="378" t="s">
        <v>476</v>
      </c>
      <c r="L489" s="378" t="s">
        <v>165</v>
      </c>
      <c r="M489" s="380">
        <v>2400</v>
      </c>
      <c r="N489" s="380" t="s">
        <v>443</v>
      </c>
      <c r="O489" s="380" t="s">
        <v>443</v>
      </c>
      <c r="P489" s="380" t="s">
        <v>443</v>
      </c>
      <c r="Q489" s="381">
        <v>183</v>
      </c>
      <c r="R489" s="381">
        <v>0</v>
      </c>
      <c r="S489" s="381">
        <v>0</v>
      </c>
      <c r="T489" s="381">
        <v>0</v>
      </c>
      <c r="U489" s="381">
        <v>0</v>
      </c>
      <c r="V489" s="382">
        <v>183</v>
      </c>
      <c r="W489" s="382">
        <v>0</v>
      </c>
      <c r="X489" s="381">
        <v>7.6249999999999998E-2</v>
      </c>
      <c r="Y489" s="381">
        <v>0</v>
      </c>
      <c r="Z489" s="381">
        <v>0</v>
      </c>
      <c r="AA489" s="381">
        <v>0</v>
      </c>
      <c r="AB489" s="381">
        <v>0</v>
      </c>
      <c r="AC489" s="382">
        <v>7.6249999999999998E-2</v>
      </c>
      <c r="AD489" s="382">
        <v>0</v>
      </c>
      <c r="AE489" s="381" t="s">
        <v>444</v>
      </c>
    </row>
    <row r="490" spans="1:31" ht="15" customHeight="1" x14ac:dyDescent="0.25">
      <c r="A490" s="20" t="s">
        <v>156</v>
      </c>
      <c r="B490" s="20" t="s">
        <v>534</v>
      </c>
      <c r="C490" s="20" t="s">
        <v>535</v>
      </c>
      <c r="D490" s="378" t="s">
        <v>820</v>
      </c>
      <c r="E490" s="384">
        <v>44613</v>
      </c>
      <c r="F490" s="384">
        <v>46439</v>
      </c>
      <c r="G490" s="378" t="s">
        <v>439</v>
      </c>
      <c r="H490" s="20" t="s">
        <v>455</v>
      </c>
      <c r="I490" s="378" t="s">
        <v>162</v>
      </c>
      <c r="J490" s="20" t="s">
        <v>163</v>
      </c>
      <c r="K490" s="378" t="s">
        <v>476</v>
      </c>
      <c r="L490" s="378" t="s">
        <v>165</v>
      </c>
      <c r="M490" s="380">
        <v>2400</v>
      </c>
      <c r="N490" s="380" t="s">
        <v>443</v>
      </c>
      <c r="O490" s="380" t="s">
        <v>443</v>
      </c>
      <c r="P490" s="380" t="s">
        <v>443</v>
      </c>
      <c r="Q490" s="381">
        <v>215</v>
      </c>
      <c r="R490" s="381">
        <v>0</v>
      </c>
      <c r="S490" s="381">
        <v>0</v>
      </c>
      <c r="T490" s="381">
        <v>0</v>
      </c>
      <c r="U490" s="381">
        <v>0</v>
      </c>
      <c r="V490" s="382">
        <v>215</v>
      </c>
      <c r="W490" s="382">
        <v>0</v>
      </c>
      <c r="X490" s="381">
        <v>8.9583333333333334E-2</v>
      </c>
      <c r="Y490" s="381">
        <v>0</v>
      </c>
      <c r="Z490" s="381">
        <v>0</v>
      </c>
      <c r="AA490" s="381">
        <v>0</v>
      </c>
      <c r="AB490" s="381">
        <v>0</v>
      </c>
      <c r="AC490" s="382">
        <v>8.9583333333333334E-2</v>
      </c>
      <c r="AD490" s="382">
        <v>0</v>
      </c>
      <c r="AE490" s="381" t="s">
        <v>444</v>
      </c>
    </row>
    <row r="491" spans="1:31" ht="15" customHeight="1" x14ac:dyDescent="0.25">
      <c r="A491" s="20" t="s">
        <v>156</v>
      </c>
      <c r="B491" s="20" t="s">
        <v>534</v>
      </c>
      <c r="C491" s="20" t="s">
        <v>535</v>
      </c>
      <c r="D491" s="378" t="s">
        <v>821</v>
      </c>
      <c r="E491" s="384">
        <v>44613</v>
      </c>
      <c r="F491" s="384">
        <v>46439</v>
      </c>
      <c r="G491" s="378" t="s">
        <v>439</v>
      </c>
      <c r="H491" s="20" t="s">
        <v>455</v>
      </c>
      <c r="I491" s="378" t="s">
        <v>162</v>
      </c>
      <c r="J491" s="20" t="s">
        <v>163</v>
      </c>
      <c r="K491" s="378" t="s">
        <v>476</v>
      </c>
      <c r="L491" s="378" t="s">
        <v>165</v>
      </c>
      <c r="M491" s="380">
        <v>2400</v>
      </c>
      <c r="N491" s="380" t="s">
        <v>443</v>
      </c>
      <c r="O491" s="380" t="s">
        <v>443</v>
      </c>
      <c r="P491" s="380" t="s">
        <v>443</v>
      </c>
      <c r="Q491" s="381">
        <v>252</v>
      </c>
      <c r="R491" s="381">
        <v>0</v>
      </c>
      <c r="S491" s="381">
        <v>0</v>
      </c>
      <c r="T491" s="381">
        <v>0</v>
      </c>
      <c r="U491" s="381">
        <v>0</v>
      </c>
      <c r="V491" s="382">
        <v>252</v>
      </c>
      <c r="W491" s="382">
        <v>0</v>
      </c>
      <c r="X491" s="381">
        <v>0.105</v>
      </c>
      <c r="Y491" s="381">
        <v>0</v>
      </c>
      <c r="Z491" s="381">
        <v>0</v>
      </c>
      <c r="AA491" s="381">
        <v>0</v>
      </c>
      <c r="AB491" s="381">
        <v>0</v>
      </c>
      <c r="AC491" s="382">
        <v>0.105</v>
      </c>
      <c r="AD491" s="382">
        <v>0</v>
      </c>
      <c r="AE491" s="381" t="s">
        <v>444</v>
      </c>
    </row>
    <row r="492" spans="1:31" ht="15" customHeight="1" x14ac:dyDescent="0.25">
      <c r="A492" s="20" t="s">
        <v>156</v>
      </c>
      <c r="B492" s="20" t="s">
        <v>534</v>
      </c>
      <c r="C492" s="20" t="s">
        <v>535</v>
      </c>
      <c r="D492" s="378" t="s">
        <v>822</v>
      </c>
      <c r="E492" s="384">
        <v>44613</v>
      </c>
      <c r="F492" s="384">
        <v>46439</v>
      </c>
      <c r="G492" s="378" t="s">
        <v>439</v>
      </c>
      <c r="H492" s="20" t="s">
        <v>455</v>
      </c>
      <c r="I492" s="378" t="s">
        <v>162</v>
      </c>
      <c r="J492" s="20" t="s">
        <v>163</v>
      </c>
      <c r="K492" s="378" t="s">
        <v>476</v>
      </c>
      <c r="L492" s="378" t="s">
        <v>165</v>
      </c>
      <c r="M492" s="380">
        <v>2400</v>
      </c>
      <c r="N492" s="380" t="s">
        <v>443</v>
      </c>
      <c r="O492" s="380" t="s">
        <v>443</v>
      </c>
      <c r="P492" s="380" t="s">
        <v>443</v>
      </c>
      <c r="Q492" s="381">
        <v>279</v>
      </c>
      <c r="R492" s="381">
        <v>0</v>
      </c>
      <c r="S492" s="381">
        <v>0</v>
      </c>
      <c r="T492" s="381">
        <v>0</v>
      </c>
      <c r="U492" s="381">
        <v>0</v>
      </c>
      <c r="V492" s="382">
        <v>279</v>
      </c>
      <c r="W492" s="382">
        <v>0</v>
      </c>
      <c r="X492" s="381">
        <v>0.11625000000000001</v>
      </c>
      <c r="Y492" s="381">
        <v>0</v>
      </c>
      <c r="Z492" s="381">
        <v>0</v>
      </c>
      <c r="AA492" s="381">
        <v>0</v>
      </c>
      <c r="AB492" s="381">
        <v>0</v>
      </c>
      <c r="AC492" s="382">
        <v>0.11625000000000001</v>
      </c>
      <c r="AD492" s="382">
        <v>0</v>
      </c>
      <c r="AE492" s="381" t="s">
        <v>444</v>
      </c>
    </row>
    <row r="493" spans="1:31" ht="15" customHeight="1" x14ac:dyDescent="0.25">
      <c r="A493" s="20" t="s">
        <v>156</v>
      </c>
      <c r="B493" s="20" t="s">
        <v>534</v>
      </c>
      <c r="C493" s="20" t="s">
        <v>535</v>
      </c>
      <c r="D493" s="378" t="s">
        <v>823</v>
      </c>
      <c r="E493" s="384">
        <v>44613</v>
      </c>
      <c r="F493" s="384">
        <v>46439</v>
      </c>
      <c r="G493" s="378" t="s">
        <v>439</v>
      </c>
      <c r="H493" s="20" t="s">
        <v>455</v>
      </c>
      <c r="I493" s="378" t="s">
        <v>162</v>
      </c>
      <c r="J493" s="20" t="s">
        <v>163</v>
      </c>
      <c r="K493" s="378" t="s">
        <v>476</v>
      </c>
      <c r="L493" s="378" t="s">
        <v>165</v>
      </c>
      <c r="M493" s="380">
        <v>2400</v>
      </c>
      <c r="N493" s="380" t="s">
        <v>443</v>
      </c>
      <c r="O493" s="380" t="s">
        <v>443</v>
      </c>
      <c r="P493" s="380" t="s">
        <v>443</v>
      </c>
      <c r="Q493" s="381">
        <v>228</v>
      </c>
      <c r="R493" s="381">
        <v>0</v>
      </c>
      <c r="S493" s="381">
        <v>0</v>
      </c>
      <c r="T493" s="381">
        <v>0</v>
      </c>
      <c r="U493" s="381">
        <v>0</v>
      </c>
      <c r="V493" s="382">
        <v>228</v>
      </c>
      <c r="W493" s="382">
        <v>0</v>
      </c>
      <c r="X493" s="381">
        <v>9.5000000000000001E-2</v>
      </c>
      <c r="Y493" s="381">
        <v>0</v>
      </c>
      <c r="Z493" s="381">
        <v>0</v>
      </c>
      <c r="AA493" s="381">
        <v>0</v>
      </c>
      <c r="AB493" s="381">
        <v>0</v>
      </c>
      <c r="AC493" s="382">
        <v>9.5000000000000001E-2</v>
      </c>
      <c r="AD493" s="382">
        <v>0</v>
      </c>
      <c r="AE493" s="381" t="s">
        <v>444</v>
      </c>
    </row>
    <row r="494" spans="1:31" ht="15" customHeight="1" x14ac:dyDescent="0.25">
      <c r="A494" s="20" t="s">
        <v>156</v>
      </c>
      <c r="B494" s="20" t="s">
        <v>534</v>
      </c>
      <c r="C494" s="20" t="s">
        <v>535</v>
      </c>
      <c r="D494" s="378" t="s">
        <v>824</v>
      </c>
      <c r="E494" s="384">
        <v>44613</v>
      </c>
      <c r="F494" s="384">
        <v>46439</v>
      </c>
      <c r="G494" s="378" t="s">
        <v>439</v>
      </c>
      <c r="H494" s="20" t="s">
        <v>455</v>
      </c>
      <c r="I494" s="378" t="s">
        <v>162</v>
      </c>
      <c r="J494" s="20" t="s">
        <v>163</v>
      </c>
      <c r="K494" s="378" t="s">
        <v>476</v>
      </c>
      <c r="L494" s="378" t="s">
        <v>165</v>
      </c>
      <c r="M494" s="380">
        <v>2400</v>
      </c>
      <c r="N494" s="380" t="s">
        <v>443</v>
      </c>
      <c r="O494" s="380" t="s">
        <v>443</v>
      </c>
      <c r="P494" s="380" t="s">
        <v>443</v>
      </c>
      <c r="Q494" s="381">
        <v>297</v>
      </c>
      <c r="R494" s="381">
        <v>0</v>
      </c>
      <c r="S494" s="381">
        <v>0</v>
      </c>
      <c r="T494" s="381">
        <v>0</v>
      </c>
      <c r="U494" s="381">
        <v>0</v>
      </c>
      <c r="V494" s="382">
        <v>297</v>
      </c>
      <c r="W494" s="382">
        <v>0</v>
      </c>
      <c r="X494" s="381">
        <v>0.12375</v>
      </c>
      <c r="Y494" s="381">
        <v>0</v>
      </c>
      <c r="Z494" s="381">
        <v>0</v>
      </c>
      <c r="AA494" s="381">
        <v>0</v>
      </c>
      <c r="AB494" s="381">
        <v>0</v>
      </c>
      <c r="AC494" s="382">
        <v>0.12375</v>
      </c>
      <c r="AD494" s="382">
        <v>0</v>
      </c>
      <c r="AE494" s="381" t="s">
        <v>444</v>
      </c>
    </row>
    <row r="495" spans="1:31" ht="15" customHeight="1" x14ac:dyDescent="0.25">
      <c r="A495" s="20" t="s">
        <v>156</v>
      </c>
      <c r="B495" s="20" t="s">
        <v>534</v>
      </c>
      <c r="C495" s="20" t="s">
        <v>535</v>
      </c>
      <c r="D495" s="378" t="s">
        <v>825</v>
      </c>
      <c r="E495" s="384">
        <v>44613</v>
      </c>
      <c r="F495" s="384">
        <v>46439</v>
      </c>
      <c r="G495" s="378" t="s">
        <v>439</v>
      </c>
      <c r="H495" s="20" t="s">
        <v>455</v>
      </c>
      <c r="I495" s="378" t="s">
        <v>162</v>
      </c>
      <c r="J495" s="20" t="s">
        <v>163</v>
      </c>
      <c r="K495" s="378" t="s">
        <v>476</v>
      </c>
      <c r="L495" s="378" t="s">
        <v>165</v>
      </c>
      <c r="M495" s="380">
        <v>2400</v>
      </c>
      <c r="N495" s="380" t="s">
        <v>443</v>
      </c>
      <c r="O495" s="380" t="s">
        <v>443</v>
      </c>
      <c r="P495" s="380" t="s">
        <v>443</v>
      </c>
      <c r="Q495" s="381">
        <v>272</v>
      </c>
      <c r="R495" s="381">
        <v>0</v>
      </c>
      <c r="S495" s="381">
        <v>0</v>
      </c>
      <c r="T495" s="381">
        <v>0</v>
      </c>
      <c r="U495" s="381">
        <v>0</v>
      </c>
      <c r="V495" s="382">
        <v>272</v>
      </c>
      <c r="W495" s="382">
        <v>0</v>
      </c>
      <c r="X495" s="381">
        <v>0.11333333333333333</v>
      </c>
      <c r="Y495" s="381">
        <v>0</v>
      </c>
      <c r="Z495" s="381">
        <v>0</v>
      </c>
      <c r="AA495" s="381">
        <v>0</v>
      </c>
      <c r="AB495" s="381">
        <v>0</v>
      </c>
      <c r="AC495" s="382">
        <v>0.11333333333333333</v>
      </c>
      <c r="AD495" s="382">
        <v>0</v>
      </c>
      <c r="AE495" s="381" t="s">
        <v>444</v>
      </c>
    </row>
    <row r="496" spans="1:31" ht="15" customHeight="1" x14ac:dyDescent="0.25">
      <c r="A496" s="20" t="s">
        <v>156</v>
      </c>
      <c r="B496" s="20" t="s">
        <v>534</v>
      </c>
      <c r="C496" s="20" t="s">
        <v>535</v>
      </c>
      <c r="D496" s="378" t="s">
        <v>826</v>
      </c>
      <c r="E496" s="384">
        <v>44613</v>
      </c>
      <c r="F496" s="384">
        <v>46439</v>
      </c>
      <c r="G496" s="378" t="s">
        <v>439</v>
      </c>
      <c r="H496" s="20" t="s">
        <v>455</v>
      </c>
      <c r="I496" s="378" t="s">
        <v>162</v>
      </c>
      <c r="J496" s="20" t="s">
        <v>163</v>
      </c>
      <c r="K496" s="378" t="s">
        <v>476</v>
      </c>
      <c r="L496" s="378" t="s">
        <v>165</v>
      </c>
      <c r="M496" s="380">
        <v>2400</v>
      </c>
      <c r="N496" s="380" t="s">
        <v>443</v>
      </c>
      <c r="O496" s="380" t="s">
        <v>443</v>
      </c>
      <c r="P496" s="380" t="s">
        <v>443</v>
      </c>
      <c r="Q496" s="381">
        <v>265</v>
      </c>
      <c r="R496" s="381">
        <v>0</v>
      </c>
      <c r="S496" s="381">
        <v>0</v>
      </c>
      <c r="T496" s="381">
        <v>0</v>
      </c>
      <c r="U496" s="381">
        <v>0</v>
      </c>
      <c r="V496" s="382">
        <v>265</v>
      </c>
      <c r="W496" s="382">
        <v>0</v>
      </c>
      <c r="X496" s="381">
        <v>0.11041666666666666</v>
      </c>
      <c r="Y496" s="381">
        <v>0</v>
      </c>
      <c r="Z496" s="381">
        <v>0</v>
      </c>
      <c r="AA496" s="381">
        <v>0</v>
      </c>
      <c r="AB496" s="381">
        <v>0</v>
      </c>
      <c r="AC496" s="382">
        <v>0.11041666666666666</v>
      </c>
      <c r="AD496" s="382">
        <v>0</v>
      </c>
      <c r="AE496" s="381" t="s">
        <v>444</v>
      </c>
    </row>
    <row r="497" spans="1:31" ht="15" customHeight="1" x14ac:dyDescent="0.25">
      <c r="A497" s="20" t="s">
        <v>156</v>
      </c>
      <c r="B497" s="20" t="s">
        <v>534</v>
      </c>
      <c r="C497" s="20" t="s">
        <v>535</v>
      </c>
      <c r="D497" s="378" t="s">
        <v>827</v>
      </c>
      <c r="E497" s="384">
        <v>44613</v>
      </c>
      <c r="F497" s="384">
        <v>46439</v>
      </c>
      <c r="G497" s="378" t="s">
        <v>439</v>
      </c>
      <c r="H497" s="20" t="s">
        <v>455</v>
      </c>
      <c r="I497" s="378" t="s">
        <v>162</v>
      </c>
      <c r="J497" s="20" t="s">
        <v>163</v>
      </c>
      <c r="K497" s="378" t="s">
        <v>476</v>
      </c>
      <c r="L497" s="378" t="s">
        <v>165</v>
      </c>
      <c r="M497" s="380">
        <v>2400</v>
      </c>
      <c r="N497" s="380" t="s">
        <v>443</v>
      </c>
      <c r="O497" s="380" t="s">
        <v>443</v>
      </c>
      <c r="P497" s="380" t="s">
        <v>443</v>
      </c>
      <c r="Q497" s="381">
        <v>284</v>
      </c>
      <c r="R497" s="381">
        <v>0</v>
      </c>
      <c r="S497" s="381">
        <v>0</v>
      </c>
      <c r="T497" s="381">
        <v>0</v>
      </c>
      <c r="U497" s="381">
        <v>0</v>
      </c>
      <c r="V497" s="382">
        <v>284</v>
      </c>
      <c r="W497" s="382">
        <v>0</v>
      </c>
      <c r="X497" s="381">
        <v>0.11833333333333333</v>
      </c>
      <c r="Y497" s="381">
        <v>0</v>
      </c>
      <c r="Z497" s="381">
        <v>0</v>
      </c>
      <c r="AA497" s="381">
        <v>0</v>
      </c>
      <c r="AB497" s="381">
        <v>0</v>
      </c>
      <c r="AC497" s="382">
        <v>0.11833333333333333</v>
      </c>
      <c r="AD497" s="382">
        <v>0</v>
      </c>
      <c r="AE497" s="381" t="s">
        <v>444</v>
      </c>
    </row>
    <row r="498" spans="1:31" ht="15" customHeight="1" x14ac:dyDescent="0.25">
      <c r="A498" s="20" t="s">
        <v>156</v>
      </c>
      <c r="B498" s="20" t="s">
        <v>534</v>
      </c>
      <c r="C498" s="20" t="s">
        <v>535</v>
      </c>
      <c r="D498" s="378" t="s">
        <v>819</v>
      </c>
      <c r="E498" s="384">
        <v>44613</v>
      </c>
      <c r="F498" s="384">
        <v>46439</v>
      </c>
      <c r="G498" s="378" t="s">
        <v>439</v>
      </c>
      <c r="H498" s="20" t="s">
        <v>455</v>
      </c>
      <c r="I498" s="378" t="s">
        <v>162</v>
      </c>
      <c r="J498" s="20" t="s">
        <v>163</v>
      </c>
      <c r="K498" s="378" t="s">
        <v>476</v>
      </c>
      <c r="L498" s="378" t="s">
        <v>165</v>
      </c>
      <c r="M498" s="380">
        <v>2400</v>
      </c>
      <c r="N498" s="380" t="s">
        <v>443</v>
      </c>
      <c r="O498" s="380" t="s">
        <v>443</v>
      </c>
      <c r="P498" s="380" t="s">
        <v>443</v>
      </c>
      <c r="Q498" s="381">
        <v>183</v>
      </c>
      <c r="R498" s="381">
        <v>0</v>
      </c>
      <c r="S498" s="381">
        <v>0</v>
      </c>
      <c r="T498" s="381">
        <v>0</v>
      </c>
      <c r="U498" s="381">
        <v>0</v>
      </c>
      <c r="V498" s="382">
        <v>183</v>
      </c>
      <c r="W498" s="382">
        <v>0</v>
      </c>
      <c r="X498" s="381">
        <v>7.6249999999999998E-2</v>
      </c>
      <c r="Y498" s="381">
        <v>0</v>
      </c>
      <c r="Z498" s="381">
        <v>0</v>
      </c>
      <c r="AA498" s="381">
        <v>0</v>
      </c>
      <c r="AB498" s="381">
        <v>0</v>
      </c>
      <c r="AC498" s="382">
        <v>7.6249999999999998E-2</v>
      </c>
      <c r="AD498" s="382">
        <v>0</v>
      </c>
      <c r="AE498" s="381" t="s">
        <v>444</v>
      </c>
    </row>
    <row r="499" spans="1:31" ht="15" customHeight="1" x14ac:dyDescent="0.25">
      <c r="A499" s="20" t="s">
        <v>156</v>
      </c>
      <c r="B499" s="20" t="s">
        <v>534</v>
      </c>
      <c r="C499" s="20" t="s">
        <v>535</v>
      </c>
      <c r="D499" s="378" t="s">
        <v>820</v>
      </c>
      <c r="E499" s="384">
        <v>44613</v>
      </c>
      <c r="F499" s="384">
        <v>46439</v>
      </c>
      <c r="G499" s="378" t="s">
        <v>439</v>
      </c>
      <c r="H499" s="20" t="s">
        <v>455</v>
      </c>
      <c r="I499" s="378" t="s">
        <v>162</v>
      </c>
      <c r="J499" s="20" t="s">
        <v>163</v>
      </c>
      <c r="K499" s="378" t="s">
        <v>476</v>
      </c>
      <c r="L499" s="378" t="s">
        <v>165</v>
      </c>
      <c r="M499" s="380">
        <v>2400</v>
      </c>
      <c r="N499" s="380" t="s">
        <v>443</v>
      </c>
      <c r="O499" s="380" t="s">
        <v>443</v>
      </c>
      <c r="P499" s="380" t="s">
        <v>443</v>
      </c>
      <c r="Q499" s="381">
        <v>215</v>
      </c>
      <c r="R499" s="381">
        <v>0</v>
      </c>
      <c r="S499" s="381">
        <v>0</v>
      </c>
      <c r="T499" s="381">
        <v>0</v>
      </c>
      <c r="U499" s="381">
        <v>0</v>
      </c>
      <c r="V499" s="382">
        <v>215</v>
      </c>
      <c r="W499" s="382">
        <v>0</v>
      </c>
      <c r="X499" s="381">
        <v>8.9583333333333334E-2</v>
      </c>
      <c r="Y499" s="381">
        <v>0</v>
      </c>
      <c r="Z499" s="381">
        <v>0</v>
      </c>
      <c r="AA499" s="381">
        <v>0</v>
      </c>
      <c r="AB499" s="381">
        <v>0</v>
      </c>
      <c r="AC499" s="382">
        <v>8.9583333333333334E-2</v>
      </c>
      <c r="AD499" s="382">
        <v>0</v>
      </c>
      <c r="AE499" s="381" t="s">
        <v>444</v>
      </c>
    </row>
    <row r="500" spans="1:31" ht="15" customHeight="1" x14ac:dyDescent="0.25">
      <c r="A500" s="20" t="s">
        <v>156</v>
      </c>
      <c r="B500" s="20" t="s">
        <v>534</v>
      </c>
      <c r="C500" s="20" t="s">
        <v>535</v>
      </c>
      <c r="D500" s="378" t="s">
        <v>821</v>
      </c>
      <c r="E500" s="384">
        <v>44613</v>
      </c>
      <c r="F500" s="384">
        <v>46439</v>
      </c>
      <c r="G500" s="378" t="s">
        <v>439</v>
      </c>
      <c r="H500" s="20" t="s">
        <v>455</v>
      </c>
      <c r="I500" s="378" t="s">
        <v>162</v>
      </c>
      <c r="J500" s="20" t="s">
        <v>163</v>
      </c>
      <c r="K500" s="378" t="s">
        <v>476</v>
      </c>
      <c r="L500" s="378" t="s">
        <v>165</v>
      </c>
      <c r="M500" s="380">
        <v>2400</v>
      </c>
      <c r="N500" s="380" t="s">
        <v>443</v>
      </c>
      <c r="O500" s="380" t="s">
        <v>443</v>
      </c>
      <c r="P500" s="380" t="s">
        <v>443</v>
      </c>
      <c r="Q500" s="381">
        <v>252</v>
      </c>
      <c r="R500" s="381">
        <v>0</v>
      </c>
      <c r="S500" s="381">
        <v>0</v>
      </c>
      <c r="T500" s="381">
        <v>0</v>
      </c>
      <c r="U500" s="381">
        <v>0</v>
      </c>
      <c r="V500" s="382">
        <v>252</v>
      </c>
      <c r="W500" s="382">
        <v>0</v>
      </c>
      <c r="X500" s="381">
        <v>0.105</v>
      </c>
      <c r="Y500" s="381">
        <v>0</v>
      </c>
      <c r="Z500" s="381">
        <v>0</v>
      </c>
      <c r="AA500" s="381">
        <v>0</v>
      </c>
      <c r="AB500" s="381">
        <v>0</v>
      </c>
      <c r="AC500" s="382">
        <v>0.105</v>
      </c>
      <c r="AD500" s="382">
        <v>0</v>
      </c>
      <c r="AE500" s="381" t="s">
        <v>444</v>
      </c>
    </row>
    <row r="501" spans="1:31" ht="15" customHeight="1" x14ac:dyDescent="0.25">
      <c r="A501" s="20" t="s">
        <v>156</v>
      </c>
      <c r="B501" s="20" t="s">
        <v>534</v>
      </c>
      <c r="C501" s="20" t="s">
        <v>535</v>
      </c>
      <c r="D501" s="378" t="s">
        <v>822</v>
      </c>
      <c r="E501" s="384">
        <v>44613</v>
      </c>
      <c r="F501" s="384">
        <v>46439</v>
      </c>
      <c r="G501" s="378" t="s">
        <v>439</v>
      </c>
      <c r="H501" s="20" t="s">
        <v>455</v>
      </c>
      <c r="I501" s="378" t="s">
        <v>162</v>
      </c>
      <c r="J501" s="20" t="s">
        <v>163</v>
      </c>
      <c r="K501" s="378" t="s">
        <v>476</v>
      </c>
      <c r="L501" s="378" t="s">
        <v>165</v>
      </c>
      <c r="M501" s="380">
        <v>2400</v>
      </c>
      <c r="N501" s="380" t="s">
        <v>443</v>
      </c>
      <c r="O501" s="380" t="s">
        <v>443</v>
      </c>
      <c r="P501" s="380" t="s">
        <v>443</v>
      </c>
      <c r="Q501" s="381">
        <v>279</v>
      </c>
      <c r="R501" s="381">
        <v>0</v>
      </c>
      <c r="S501" s="381">
        <v>0</v>
      </c>
      <c r="T501" s="381">
        <v>0</v>
      </c>
      <c r="U501" s="381">
        <v>0</v>
      </c>
      <c r="V501" s="382">
        <v>279</v>
      </c>
      <c r="W501" s="382">
        <v>0</v>
      </c>
      <c r="X501" s="381">
        <v>0.11625000000000001</v>
      </c>
      <c r="Y501" s="381">
        <v>0</v>
      </c>
      <c r="Z501" s="381">
        <v>0</v>
      </c>
      <c r="AA501" s="381">
        <v>0</v>
      </c>
      <c r="AB501" s="381">
        <v>0</v>
      </c>
      <c r="AC501" s="382">
        <v>0.11625000000000001</v>
      </c>
      <c r="AD501" s="382">
        <v>0</v>
      </c>
      <c r="AE501" s="381" t="s">
        <v>444</v>
      </c>
    </row>
    <row r="502" spans="1:31" ht="15" customHeight="1" x14ac:dyDescent="0.25">
      <c r="A502" s="20" t="s">
        <v>156</v>
      </c>
      <c r="B502" s="20" t="s">
        <v>534</v>
      </c>
      <c r="C502" s="20" t="s">
        <v>535</v>
      </c>
      <c r="D502" s="378" t="s">
        <v>823</v>
      </c>
      <c r="E502" s="384">
        <v>44613</v>
      </c>
      <c r="F502" s="384">
        <v>46439</v>
      </c>
      <c r="G502" s="378" t="s">
        <v>439</v>
      </c>
      <c r="H502" s="20" t="s">
        <v>455</v>
      </c>
      <c r="I502" s="378" t="s">
        <v>162</v>
      </c>
      <c r="J502" s="20" t="s">
        <v>163</v>
      </c>
      <c r="K502" s="378" t="s">
        <v>476</v>
      </c>
      <c r="L502" s="378" t="s">
        <v>165</v>
      </c>
      <c r="M502" s="380">
        <v>2400</v>
      </c>
      <c r="N502" s="380" t="s">
        <v>443</v>
      </c>
      <c r="O502" s="380" t="s">
        <v>443</v>
      </c>
      <c r="P502" s="380" t="s">
        <v>443</v>
      </c>
      <c r="Q502" s="381">
        <v>228</v>
      </c>
      <c r="R502" s="381">
        <v>0</v>
      </c>
      <c r="S502" s="381">
        <v>0</v>
      </c>
      <c r="T502" s="381">
        <v>0</v>
      </c>
      <c r="U502" s="381">
        <v>0</v>
      </c>
      <c r="V502" s="382">
        <v>228</v>
      </c>
      <c r="W502" s="382">
        <v>0</v>
      </c>
      <c r="X502" s="381">
        <v>9.5000000000000001E-2</v>
      </c>
      <c r="Y502" s="381">
        <v>0</v>
      </c>
      <c r="Z502" s="381">
        <v>0</v>
      </c>
      <c r="AA502" s="381">
        <v>0</v>
      </c>
      <c r="AB502" s="381">
        <v>0</v>
      </c>
      <c r="AC502" s="382">
        <v>9.5000000000000001E-2</v>
      </c>
      <c r="AD502" s="382">
        <v>0</v>
      </c>
      <c r="AE502" s="381" t="s">
        <v>444</v>
      </c>
    </row>
    <row r="503" spans="1:31" ht="15" customHeight="1" x14ac:dyDescent="0.25">
      <c r="A503" s="20" t="s">
        <v>156</v>
      </c>
      <c r="B503" s="20" t="s">
        <v>534</v>
      </c>
      <c r="C503" s="20" t="s">
        <v>535</v>
      </c>
      <c r="D503" s="378" t="s">
        <v>824</v>
      </c>
      <c r="E503" s="384">
        <v>44613</v>
      </c>
      <c r="F503" s="384">
        <v>46439</v>
      </c>
      <c r="G503" s="378" t="s">
        <v>439</v>
      </c>
      <c r="H503" s="20" t="s">
        <v>455</v>
      </c>
      <c r="I503" s="378" t="s">
        <v>162</v>
      </c>
      <c r="J503" s="20" t="s">
        <v>163</v>
      </c>
      <c r="K503" s="378" t="s">
        <v>476</v>
      </c>
      <c r="L503" s="378" t="s">
        <v>165</v>
      </c>
      <c r="M503" s="380">
        <v>2400</v>
      </c>
      <c r="N503" s="380" t="s">
        <v>443</v>
      </c>
      <c r="O503" s="380" t="s">
        <v>443</v>
      </c>
      <c r="P503" s="380" t="s">
        <v>443</v>
      </c>
      <c r="Q503" s="381">
        <v>297</v>
      </c>
      <c r="R503" s="381">
        <v>0</v>
      </c>
      <c r="S503" s="381">
        <v>0</v>
      </c>
      <c r="T503" s="381">
        <v>0</v>
      </c>
      <c r="U503" s="381">
        <v>0</v>
      </c>
      <c r="V503" s="382">
        <v>297</v>
      </c>
      <c r="W503" s="382">
        <v>0</v>
      </c>
      <c r="X503" s="381">
        <v>0.12375</v>
      </c>
      <c r="Y503" s="381">
        <v>0</v>
      </c>
      <c r="Z503" s="381">
        <v>0</v>
      </c>
      <c r="AA503" s="381">
        <v>0</v>
      </c>
      <c r="AB503" s="381">
        <v>0</v>
      </c>
      <c r="AC503" s="382">
        <v>0.12375</v>
      </c>
      <c r="AD503" s="382">
        <v>0</v>
      </c>
      <c r="AE503" s="381" t="s">
        <v>444</v>
      </c>
    </row>
    <row r="504" spans="1:31" ht="15" customHeight="1" x14ac:dyDescent="0.25">
      <c r="A504" s="20" t="s">
        <v>156</v>
      </c>
      <c r="B504" s="20" t="s">
        <v>534</v>
      </c>
      <c r="C504" s="20" t="s">
        <v>535</v>
      </c>
      <c r="D504" s="378" t="s">
        <v>825</v>
      </c>
      <c r="E504" s="384">
        <v>44613</v>
      </c>
      <c r="F504" s="384">
        <v>46439</v>
      </c>
      <c r="G504" s="378" t="s">
        <v>439</v>
      </c>
      <c r="H504" s="20" t="s">
        <v>455</v>
      </c>
      <c r="I504" s="378" t="s">
        <v>162</v>
      </c>
      <c r="J504" s="20" t="s">
        <v>163</v>
      </c>
      <c r="K504" s="378" t="s">
        <v>476</v>
      </c>
      <c r="L504" s="378" t="s">
        <v>165</v>
      </c>
      <c r="M504" s="380">
        <v>2400</v>
      </c>
      <c r="N504" s="380" t="s">
        <v>443</v>
      </c>
      <c r="O504" s="380" t="s">
        <v>443</v>
      </c>
      <c r="P504" s="380" t="s">
        <v>443</v>
      </c>
      <c r="Q504" s="381">
        <v>272</v>
      </c>
      <c r="R504" s="381">
        <v>0</v>
      </c>
      <c r="S504" s="381">
        <v>0</v>
      </c>
      <c r="T504" s="381">
        <v>0</v>
      </c>
      <c r="U504" s="381">
        <v>0</v>
      </c>
      <c r="V504" s="382">
        <v>272</v>
      </c>
      <c r="W504" s="382">
        <v>0</v>
      </c>
      <c r="X504" s="381">
        <v>0.11333333333333333</v>
      </c>
      <c r="Y504" s="381">
        <v>0</v>
      </c>
      <c r="Z504" s="381">
        <v>0</v>
      </c>
      <c r="AA504" s="381">
        <v>0</v>
      </c>
      <c r="AB504" s="381">
        <v>0</v>
      </c>
      <c r="AC504" s="382">
        <v>0.11333333333333333</v>
      </c>
      <c r="AD504" s="382">
        <v>0</v>
      </c>
      <c r="AE504" s="381" t="s">
        <v>444</v>
      </c>
    </row>
    <row r="505" spans="1:31" ht="15" customHeight="1" x14ac:dyDescent="0.25">
      <c r="A505" s="20" t="s">
        <v>156</v>
      </c>
      <c r="B505" s="20" t="s">
        <v>534</v>
      </c>
      <c r="C505" s="20" t="s">
        <v>535</v>
      </c>
      <c r="D505" s="378" t="s">
        <v>826</v>
      </c>
      <c r="E505" s="384">
        <v>44613</v>
      </c>
      <c r="F505" s="384">
        <v>46439</v>
      </c>
      <c r="G505" s="378" t="s">
        <v>439</v>
      </c>
      <c r="H505" s="20" t="s">
        <v>455</v>
      </c>
      <c r="I505" s="378" t="s">
        <v>162</v>
      </c>
      <c r="J505" s="20" t="s">
        <v>163</v>
      </c>
      <c r="K505" s="378" t="s">
        <v>476</v>
      </c>
      <c r="L505" s="378" t="s">
        <v>165</v>
      </c>
      <c r="M505" s="380">
        <v>2400</v>
      </c>
      <c r="N505" s="380" t="s">
        <v>443</v>
      </c>
      <c r="O505" s="380" t="s">
        <v>443</v>
      </c>
      <c r="P505" s="380" t="s">
        <v>443</v>
      </c>
      <c r="Q505" s="381">
        <v>265</v>
      </c>
      <c r="R505" s="381">
        <v>0</v>
      </c>
      <c r="S505" s="381">
        <v>0</v>
      </c>
      <c r="T505" s="381">
        <v>0</v>
      </c>
      <c r="U505" s="381">
        <v>0</v>
      </c>
      <c r="V505" s="382">
        <v>265</v>
      </c>
      <c r="W505" s="382">
        <v>0</v>
      </c>
      <c r="X505" s="381">
        <v>0.11041666666666666</v>
      </c>
      <c r="Y505" s="381">
        <v>0</v>
      </c>
      <c r="Z505" s="381">
        <v>0</v>
      </c>
      <c r="AA505" s="381">
        <v>0</v>
      </c>
      <c r="AB505" s="381">
        <v>0</v>
      </c>
      <c r="AC505" s="382">
        <v>0.11041666666666666</v>
      </c>
      <c r="AD505" s="382">
        <v>0</v>
      </c>
      <c r="AE505" s="381" t="s">
        <v>444</v>
      </c>
    </row>
    <row r="506" spans="1:31" ht="15" customHeight="1" x14ac:dyDescent="0.25">
      <c r="A506" s="20" t="s">
        <v>156</v>
      </c>
      <c r="B506" s="20" t="s">
        <v>534</v>
      </c>
      <c r="C506" s="20" t="s">
        <v>535</v>
      </c>
      <c r="D506" s="378" t="s">
        <v>827</v>
      </c>
      <c r="E506" s="384">
        <v>44613</v>
      </c>
      <c r="F506" s="384">
        <v>46439</v>
      </c>
      <c r="G506" s="378" t="s">
        <v>439</v>
      </c>
      <c r="H506" s="20" t="s">
        <v>455</v>
      </c>
      <c r="I506" s="378" t="s">
        <v>162</v>
      </c>
      <c r="J506" s="20" t="s">
        <v>163</v>
      </c>
      <c r="K506" s="378" t="s">
        <v>476</v>
      </c>
      <c r="L506" s="378" t="s">
        <v>165</v>
      </c>
      <c r="M506" s="380">
        <v>2400</v>
      </c>
      <c r="N506" s="380" t="s">
        <v>443</v>
      </c>
      <c r="O506" s="380" t="s">
        <v>443</v>
      </c>
      <c r="P506" s="380" t="s">
        <v>443</v>
      </c>
      <c r="Q506" s="381">
        <v>284</v>
      </c>
      <c r="R506" s="381">
        <v>0</v>
      </c>
      <c r="S506" s="381">
        <v>0</v>
      </c>
      <c r="T506" s="381">
        <v>0</v>
      </c>
      <c r="U506" s="381">
        <v>0</v>
      </c>
      <c r="V506" s="382">
        <v>284</v>
      </c>
      <c r="W506" s="382">
        <v>0</v>
      </c>
      <c r="X506" s="381">
        <v>0.11833333333333333</v>
      </c>
      <c r="Y506" s="381">
        <v>0</v>
      </c>
      <c r="Z506" s="381">
        <v>0</v>
      </c>
      <c r="AA506" s="381">
        <v>0</v>
      </c>
      <c r="AB506" s="381">
        <v>0</v>
      </c>
      <c r="AC506" s="382">
        <v>0.11833333333333333</v>
      </c>
      <c r="AD506" s="382">
        <v>0</v>
      </c>
      <c r="AE506" s="381" t="s">
        <v>444</v>
      </c>
    </row>
    <row r="507" spans="1:31" ht="15" customHeight="1" x14ac:dyDescent="0.25">
      <c r="A507" s="20" t="s">
        <v>156</v>
      </c>
      <c r="B507" s="20" t="s">
        <v>534</v>
      </c>
      <c r="C507" s="20" t="s">
        <v>535</v>
      </c>
      <c r="D507" s="378" t="s">
        <v>819</v>
      </c>
      <c r="E507" s="384">
        <v>44613</v>
      </c>
      <c r="F507" s="384">
        <v>46439</v>
      </c>
      <c r="G507" s="378" t="s">
        <v>439</v>
      </c>
      <c r="H507" s="20" t="s">
        <v>455</v>
      </c>
      <c r="I507" s="378" t="s">
        <v>162</v>
      </c>
      <c r="J507" s="20" t="s">
        <v>163</v>
      </c>
      <c r="K507" s="378" t="s">
        <v>476</v>
      </c>
      <c r="L507" s="378" t="s">
        <v>165</v>
      </c>
      <c r="M507" s="380">
        <v>2400</v>
      </c>
      <c r="N507" s="380" t="s">
        <v>443</v>
      </c>
      <c r="O507" s="380" t="s">
        <v>443</v>
      </c>
      <c r="P507" s="380" t="s">
        <v>443</v>
      </c>
      <c r="Q507" s="381">
        <v>183</v>
      </c>
      <c r="R507" s="381">
        <v>0</v>
      </c>
      <c r="S507" s="381">
        <v>0</v>
      </c>
      <c r="T507" s="381">
        <v>0</v>
      </c>
      <c r="U507" s="381">
        <v>0</v>
      </c>
      <c r="V507" s="382">
        <v>183</v>
      </c>
      <c r="W507" s="382">
        <v>0</v>
      </c>
      <c r="X507" s="381">
        <v>7.6249999999999998E-2</v>
      </c>
      <c r="Y507" s="381">
        <v>0</v>
      </c>
      <c r="Z507" s="381">
        <v>0</v>
      </c>
      <c r="AA507" s="381">
        <v>0</v>
      </c>
      <c r="AB507" s="381">
        <v>0</v>
      </c>
      <c r="AC507" s="382">
        <v>7.6249999999999998E-2</v>
      </c>
      <c r="AD507" s="382">
        <v>0</v>
      </c>
      <c r="AE507" s="381" t="s">
        <v>444</v>
      </c>
    </row>
    <row r="508" spans="1:31" ht="15" customHeight="1" x14ac:dyDescent="0.25">
      <c r="A508" s="20" t="s">
        <v>156</v>
      </c>
      <c r="B508" s="20" t="s">
        <v>534</v>
      </c>
      <c r="C508" s="20" t="s">
        <v>535</v>
      </c>
      <c r="D508" s="378" t="s">
        <v>820</v>
      </c>
      <c r="E508" s="384">
        <v>44613</v>
      </c>
      <c r="F508" s="384">
        <v>46439</v>
      </c>
      <c r="G508" s="378" t="s">
        <v>439</v>
      </c>
      <c r="H508" s="20" t="s">
        <v>455</v>
      </c>
      <c r="I508" s="378" t="s">
        <v>162</v>
      </c>
      <c r="J508" s="20" t="s">
        <v>163</v>
      </c>
      <c r="K508" s="378" t="s">
        <v>476</v>
      </c>
      <c r="L508" s="378" t="s">
        <v>165</v>
      </c>
      <c r="M508" s="380">
        <v>2400</v>
      </c>
      <c r="N508" s="380" t="s">
        <v>443</v>
      </c>
      <c r="O508" s="380" t="s">
        <v>443</v>
      </c>
      <c r="P508" s="380" t="s">
        <v>443</v>
      </c>
      <c r="Q508" s="381">
        <v>215</v>
      </c>
      <c r="R508" s="381">
        <v>0</v>
      </c>
      <c r="S508" s="381">
        <v>0</v>
      </c>
      <c r="T508" s="381">
        <v>0</v>
      </c>
      <c r="U508" s="381">
        <v>0</v>
      </c>
      <c r="V508" s="382">
        <v>215</v>
      </c>
      <c r="W508" s="382">
        <v>0</v>
      </c>
      <c r="X508" s="381">
        <v>8.9583333333333334E-2</v>
      </c>
      <c r="Y508" s="381">
        <v>0</v>
      </c>
      <c r="Z508" s="381">
        <v>0</v>
      </c>
      <c r="AA508" s="381">
        <v>0</v>
      </c>
      <c r="AB508" s="381">
        <v>0</v>
      </c>
      <c r="AC508" s="382">
        <v>8.9583333333333334E-2</v>
      </c>
      <c r="AD508" s="382">
        <v>0</v>
      </c>
      <c r="AE508" s="381" t="s">
        <v>444</v>
      </c>
    </row>
    <row r="509" spans="1:31" ht="15" customHeight="1" x14ac:dyDescent="0.25">
      <c r="A509" s="20" t="s">
        <v>156</v>
      </c>
      <c r="B509" s="20" t="s">
        <v>534</v>
      </c>
      <c r="C509" s="20" t="s">
        <v>535</v>
      </c>
      <c r="D509" s="378" t="s">
        <v>821</v>
      </c>
      <c r="E509" s="384">
        <v>44613</v>
      </c>
      <c r="F509" s="384">
        <v>46439</v>
      </c>
      <c r="G509" s="378" t="s">
        <v>439</v>
      </c>
      <c r="H509" s="20" t="s">
        <v>455</v>
      </c>
      <c r="I509" s="378" t="s">
        <v>162</v>
      </c>
      <c r="J509" s="20" t="s">
        <v>163</v>
      </c>
      <c r="K509" s="378" t="s">
        <v>476</v>
      </c>
      <c r="L509" s="378" t="s">
        <v>165</v>
      </c>
      <c r="M509" s="380">
        <v>2400</v>
      </c>
      <c r="N509" s="380" t="s">
        <v>443</v>
      </c>
      <c r="O509" s="380" t="s">
        <v>443</v>
      </c>
      <c r="P509" s="380" t="s">
        <v>443</v>
      </c>
      <c r="Q509" s="381">
        <v>252</v>
      </c>
      <c r="R509" s="381">
        <v>0</v>
      </c>
      <c r="S509" s="381">
        <v>0</v>
      </c>
      <c r="T509" s="381">
        <v>0</v>
      </c>
      <c r="U509" s="381">
        <v>0</v>
      </c>
      <c r="V509" s="382">
        <v>252</v>
      </c>
      <c r="W509" s="382">
        <v>0</v>
      </c>
      <c r="X509" s="381">
        <v>0.105</v>
      </c>
      <c r="Y509" s="381">
        <v>0</v>
      </c>
      <c r="Z509" s="381">
        <v>0</v>
      </c>
      <c r="AA509" s="381">
        <v>0</v>
      </c>
      <c r="AB509" s="381">
        <v>0</v>
      </c>
      <c r="AC509" s="382">
        <v>0.105</v>
      </c>
      <c r="AD509" s="382">
        <v>0</v>
      </c>
      <c r="AE509" s="381" t="s">
        <v>444</v>
      </c>
    </row>
    <row r="510" spans="1:31" ht="15" customHeight="1" x14ac:dyDescent="0.25">
      <c r="A510" s="20" t="s">
        <v>156</v>
      </c>
      <c r="B510" s="20" t="s">
        <v>534</v>
      </c>
      <c r="C510" s="20" t="s">
        <v>535</v>
      </c>
      <c r="D510" s="378" t="s">
        <v>822</v>
      </c>
      <c r="E510" s="384">
        <v>44613</v>
      </c>
      <c r="F510" s="384">
        <v>46439</v>
      </c>
      <c r="G510" s="378" t="s">
        <v>439</v>
      </c>
      <c r="H510" s="20" t="s">
        <v>455</v>
      </c>
      <c r="I510" s="378" t="s">
        <v>162</v>
      </c>
      <c r="J510" s="20" t="s">
        <v>163</v>
      </c>
      <c r="K510" s="378" t="s">
        <v>476</v>
      </c>
      <c r="L510" s="378" t="s">
        <v>165</v>
      </c>
      <c r="M510" s="380">
        <v>2400</v>
      </c>
      <c r="N510" s="380" t="s">
        <v>443</v>
      </c>
      <c r="O510" s="380" t="s">
        <v>443</v>
      </c>
      <c r="P510" s="380" t="s">
        <v>443</v>
      </c>
      <c r="Q510" s="381">
        <v>279</v>
      </c>
      <c r="R510" s="381">
        <v>0</v>
      </c>
      <c r="S510" s="381">
        <v>0</v>
      </c>
      <c r="T510" s="381">
        <v>0</v>
      </c>
      <c r="U510" s="381">
        <v>0</v>
      </c>
      <c r="V510" s="382">
        <v>279</v>
      </c>
      <c r="W510" s="382">
        <v>0</v>
      </c>
      <c r="X510" s="381">
        <v>0.11625000000000001</v>
      </c>
      <c r="Y510" s="381">
        <v>0</v>
      </c>
      <c r="Z510" s="381">
        <v>0</v>
      </c>
      <c r="AA510" s="381">
        <v>0</v>
      </c>
      <c r="AB510" s="381">
        <v>0</v>
      </c>
      <c r="AC510" s="382">
        <v>0.11625000000000001</v>
      </c>
      <c r="AD510" s="382">
        <v>0</v>
      </c>
      <c r="AE510" s="381" t="s">
        <v>444</v>
      </c>
    </row>
    <row r="511" spans="1:31" ht="15" customHeight="1" x14ac:dyDescent="0.25">
      <c r="A511" s="20" t="s">
        <v>156</v>
      </c>
      <c r="B511" s="20" t="s">
        <v>534</v>
      </c>
      <c r="C511" s="20" t="s">
        <v>535</v>
      </c>
      <c r="D511" s="378" t="s">
        <v>823</v>
      </c>
      <c r="E511" s="384">
        <v>44613</v>
      </c>
      <c r="F511" s="384">
        <v>46439</v>
      </c>
      <c r="G511" s="378" t="s">
        <v>439</v>
      </c>
      <c r="H511" s="20" t="s">
        <v>455</v>
      </c>
      <c r="I511" s="378" t="s">
        <v>162</v>
      </c>
      <c r="J511" s="20" t="s">
        <v>163</v>
      </c>
      <c r="K511" s="378" t="s">
        <v>476</v>
      </c>
      <c r="L511" s="378" t="s">
        <v>165</v>
      </c>
      <c r="M511" s="380">
        <v>2400</v>
      </c>
      <c r="N511" s="380" t="s">
        <v>443</v>
      </c>
      <c r="O511" s="380" t="s">
        <v>443</v>
      </c>
      <c r="P511" s="380" t="s">
        <v>443</v>
      </c>
      <c r="Q511" s="381">
        <v>228</v>
      </c>
      <c r="R511" s="381">
        <v>0</v>
      </c>
      <c r="S511" s="381">
        <v>0</v>
      </c>
      <c r="T511" s="381">
        <v>0</v>
      </c>
      <c r="U511" s="381">
        <v>0</v>
      </c>
      <c r="V511" s="382">
        <v>228</v>
      </c>
      <c r="W511" s="382">
        <v>0</v>
      </c>
      <c r="X511" s="381">
        <v>9.5000000000000001E-2</v>
      </c>
      <c r="Y511" s="381">
        <v>0</v>
      </c>
      <c r="Z511" s="381">
        <v>0</v>
      </c>
      <c r="AA511" s="381">
        <v>0</v>
      </c>
      <c r="AB511" s="381">
        <v>0</v>
      </c>
      <c r="AC511" s="382">
        <v>9.5000000000000001E-2</v>
      </c>
      <c r="AD511" s="382">
        <v>0</v>
      </c>
      <c r="AE511" s="381" t="s">
        <v>444</v>
      </c>
    </row>
    <row r="512" spans="1:31" ht="15" customHeight="1" x14ac:dyDescent="0.25">
      <c r="A512" s="20" t="s">
        <v>156</v>
      </c>
      <c r="B512" s="20" t="s">
        <v>534</v>
      </c>
      <c r="C512" s="20" t="s">
        <v>535</v>
      </c>
      <c r="D512" s="378" t="s">
        <v>824</v>
      </c>
      <c r="E512" s="384">
        <v>44613</v>
      </c>
      <c r="F512" s="384">
        <v>46439</v>
      </c>
      <c r="G512" s="378" t="s">
        <v>439</v>
      </c>
      <c r="H512" s="20" t="s">
        <v>455</v>
      </c>
      <c r="I512" s="378" t="s">
        <v>162</v>
      </c>
      <c r="J512" s="20" t="s">
        <v>163</v>
      </c>
      <c r="K512" s="378" t="s">
        <v>476</v>
      </c>
      <c r="L512" s="378" t="s">
        <v>165</v>
      </c>
      <c r="M512" s="380">
        <v>2400</v>
      </c>
      <c r="N512" s="380" t="s">
        <v>443</v>
      </c>
      <c r="O512" s="380" t="s">
        <v>443</v>
      </c>
      <c r="P512" s="380" t="s">
        <v>443</v>
      </c>
      <c r="Q512" s="381">
        <v>297</v>
      </c>
      <c r="R512" s="381">
        <v>0</v>
      </c>
      <c r="S512" s="381">
        <v>0</v>
      </c>
      <c r="T512" s="381">
        <v>0</v>
      </c>
      <c r="U512" s="381">
        <v>0</v>
      </c>
      <c r="V512" s="382">
        <v>297</v>
      </c>
      <c r="W512" s="382">
        <v>0</v>
      </c>
      <c r="X512" s="381">
        <v>0.12375</v>
      </c>
      <c r="Y512" s="381">
        <v>0</v>
      </c>
      <c r="Z512" s="381">
        <v>0</v>
      </c>
      <c r="AA512" s="381">
        <v>0</v>
      </c>
      <c r="AB512" s="381">
        <v>0</v>
      </c>
      <c r="AC512" s="382">
        <v>0.12375</v>
      </c>
      <c r="AD512" s="382">
        <v>0</v>
      </c>
      <c r="AE512" s="381" t="s">
        <v>444</v>
      </c>
    </row>
    <row r="513" spans="1:31" ht="15" customHeight="1" x14ac:dyDescent="0.25">
      <c r="A513" s="20" t="s">
        <v>156</v>
      </c>
      <c r="B513" s="20" t="s">
        <v>534</v>
      </c>
      <c r="C513" s="20" t="s">
        <v>535</v>
      </c>
      <c r="D513" s="378" t="s">
        <v>825</v>
      </c>
      <c r="E513" s="384">
        <v>44613</v>
      </c>
      <c r="F513" s="384">
        <v>46439</v>
      </c>
      <c r="G513" s="378" t="s">
        <v>439</v>
      </c>
      <c r="H513" s="20" t="s">
        <v>455</v>
      </c>
      <c r="I513" s="378" t="s">
        <v>162</v>
      </c>
      <c r="J513" s="20" t="s">
        <v>163</v>
      </c>
      <c r="K513" s="378" t="s">
        <v>476</v>
      </c>
      <c r="L513" s="378" t="s">
        <v>165</v>
      </c>
      <c r="M513" s="380">
        <v>2400</v>
      </c>
      <c r="N513" s="380" t="s">
        <v>443</v>
      </c>
      <c r="O513" s="380" t="s">
        <v>443</v>
      </c>
      <c r="P513" s="380" t="s">
        <v>443</v>
      </c>
      <c r="Q513" s="381">
        <v>272</v>
      </c>
      <c r="R513" s="381">
        <v>0</v>
      </c>
      <c r="S513" s="381">
        <v>0</v>
      </c>
      <c r="T513" s="381">
        <v>0</v>
      </c>
      <c r="U513" s="381">
        <v>0</v>
      </c>
      <c r="V513" s="382">
        <v>272</v>
      </c>
      <c r="W513" s="382">
        <v>0</v>
      </c>
      <c r="X513" s="381">
        <v>0.11333333333333333</v>
      </c>
      <c r="Y513" s="381">
        <v>0</v>
      </c>
      <c r="Z513" s="381">
        <v>0</v>
      </c>
      <c r="AA513" s="381">
        <v>0</v>
      </c>
      <c r="AB513" s="381">
        <v>0</v>
      </c>
      <c r="AC513" s="382">
        <v>0.11333333333333333</v>
      </c>
      <c r="AD513" s="382">
        <v>0</v>
      </c>
      <c r="AE513" s="381" t="s">
        <v>444</v>
      </c>
    </row>
    <row r="514" spans="1:31" ht="15" customHeight="1" x14ac:dyDescent="0.25">
      <c r="A514" s="20" t="s">
        <v>156</v>
      </c>
      <c r="B514" s="20" t="s">
        <v>534</v>
      </c>
      <c r="C514" s="20" t="s">
        <v>535</v>
      </c>
      <c r="D514" s="378" t="s">
        <v>826</v>
      </c>
      <c r="E514" s="384">
        <v>44613</v>
      </c>
      <c r="F514" s="384">
        <v>46439</v>
      </c>
      <c r="G514" s="378" t="s">
        <v>439</v>
      </c>
      <c r="H514" s="20" t="s">
        <v>455</v>
      </c>
      <c r="I514" s="378" t="s">
        <v>162</v>
      </c>
      <c r="J514" s="20" t="s">
        <v>163</v>
      </c>
      <c r="K514" s="378" t="s">
        <v>476</v>
      </c>
      <c r="L514" s="378" t="s">
        <v>165</v>
      </c>
      <c r="M514" s="380">
        <v>2400</v>
      </c>
      <c r="N514" s="380" t="s">
        <v>443</v>
      </c>
      <c r="O514" s="380" t="s">
        <v>443</v>
      </c>
      <c r="P514" s="380" t="s">
        <v>443</v>
      </c>
      <c r="Q514" s="381">
        <v>265</v>
      </c>
      <c r="R514" s="381">
        <v>0</v>
      </c>
      <c r="S514" s="381">
        <v>0</v>
      </c>
      <c r="T514" s="381">
        <v>0</v>
      </c>
      <c r="U514" s="381">
        <v>0</v>
      </c>
      <c r="V514" s="382">
        <v>265</v>
      </c>
      <c r="W514" s="382">
        <v>0</v>
      </c>
      <c r="X514" s="381">
        <v>0.11041666666666666</v>
      </c>
      <c r="Y514" s="381">
        <v>0</v>
      </c>
      <c r="Z514" s="381">
        <v>0</v>
      </c>
      <c r="AA514" s="381">
        <v>0</v>
      </c>
      <c r="AB514" s="381">
        <v>0</v>
      </c>
      <c r="AC514" s="382">
        <v>0.11041666666666666</v>
      </c>
      <c r="AD514" s="382">
        <v>0</v>
      </c>
      <c r="AE514" s="381" t="s">
        <v>444</v>
      </c>
    </row>
    <row r="515" spans="1:31" ht="15" customHeight="1" x14ac:dyDescent="0.25">
      <c r="A515" s="20" t="s">
        <v>156</v>
      </c>
      <c r="B515" s="20" t="s">
        <v>534</v>
      </c>
      <c r="C515" s="20" t="s">
        <v>535</v>
      </c>
      <c r="D515" s="378" t="s">
        <v>827</v>
      </c>
      <c r="E515" s="384">
        <v>44613</v>
      </c>
      <c r="F515" s="384">
        <v>46439</v>
      </c>
      <c r="G515" s="378" t="s">
        <v>439</v>
      </c>
      <c r="H515" s="20" t="s">
        <v>455</v>
      </c>
      <c r="I515" s="378" t="s">
        <v>162</v>
      </c>
      <c r="J515" s="20" t="s">
        <v>163</v>
      </c>
      <c r="K515" s="378" t="s">
        <v>476</v>
      </c>
      <c r="L515" s="378" t="s">
        <v>165</v>
      </c>
      <c r="M515" s="380">
        <v>2400</v>
      </c>
      <c r="N515" s="380" t="s">
        <v>443</v>
      </c>
      <c r="O515" s="380" t="s">
        <v>443</v>
      </c>
      <c r="P515" s="380" t="s">
        <v>443</v>
      </c>
      <c r="Q515" s="381">
        <v>284</v>
      </c>
      <c r="R515" s="381">
        <v>0</v>
      </c>
      <c r="S515" s="381">
        <v>0</v>
      </c>
      <c r="T515" s="381">
        <v>0</v>
      </c>
      <c r="U515" s="381">
        <v>0</v>
      </c>
      <c r="V515" s="382">
        <v>284</v>
      </c>
      <c r="W515" s="382">
        <v>0</v>
      </c>
      <c r="X515" s="381">
        <v>0.11833333333333333</v>
      </c>
      <c r="Y515" s="381">
        <v>0</v>
      </c>
      <c r="Z515" s="381">
        <v>0</v>
      </c>
      <c r="AA515" s="381">
        <v>0</v>
      </c>
      <c r="AB515" s="381">
        <v>0</v>
      </c>
      <c r="AC515" s="382">
        <v>0.11833333333333333</v>
      </c>
      <c r="AD515" s="382">
        <v>0</v>
      </c>
      <c r="AE515" s="381" t="s">
        <v>444</v>
      </c>
    </row>
    <row r="516" spans="1:31" ht="15" customHeight="1" x14ac:dyDescent="0.25">
      <c r="A516" s="20" t="s">
        <v>156</v>
      </c>
      <c r="B516" s="20" t="s">
        <v>534</v>
      </c>
      <c r="C516" s="20" t="s">
        <v>535</v>
      </c>
      <c r="D516" s="378" t="s">
        <v>828</v>
      </c>
      <c r="E516" s="384">
        <v>45292</v>
      </c>
      <c r="F516" s="384">
        <v>47119</v>
      </c>
      <c r="G516" s="378" t="s">
        <v>439</v>
      </c>
      <c r="H516" s="20" t="s">
        <v>829</v>
      </c>
      <c r="I516" s="378" t="s">
        <v>441</v>
      </c>
      <c r="J516" s="20" t="s">
        <v>163</v>
      </c>
      <c r="K516" s="378" t="s">
        <v>830</v>
      </c>
      <c r="L516" s="378" t="s">
        <v>165</v>
      </c>
      <c r="M516" s="380" t="s">
        <v>488</v>
      </c>
      <c r="N516" s="380" t="s">
        <v>443</v>
      </c>
      <c r="O516" s="380" t="s">
        <v>443</v>
      </c>
      <c r="P516" s="380" t="s">
        <v>443</v>
      </c>
      <c r="Q516" s="381">
        <v>417.41917000000001</v>
      </c>
      <c r="R516" s="381">
        <v>417.00078999999999</v>
      </c>
      <c r="S516" s="381">
        <v>0.41689652999999999</v>
      </c>
      <c r="T516" s="381">
        <v>1.4865013E-3</v>
      </c>
      <c r="U516" s="381">
        <v>0</v>
      </c>
      <c r="V516" s="382">
        <v>417.41917303129998</v>
      </c>
      <c r="W516" s="382">
        <v>0</v>
      </c>
      <c r="X516" s="381">
        <v>0.17392465416666666</v>
      </c>
      <c r="Y516" s="381">
        <v>0.17375032916666666</v>
      </c>
      <c r="Z516" s="381">
        <v>1.7370688749999998E-4</v>
      </c>
      <c r="AA516" s="381">
        <v>6.1937554166666665E-7</v>
      </c>
      <c r="AB516" s="381">
        <v>0</v>
      </c>
      <c r="AC516" s="382">
        <v>0.17392465542970834</v>
      </c>
      <c r="AD516" s="382">
        <v>0</v>
      </c>
      <c r="AE516" s="381" t="s">
        <v>444</v>
      </c>
    </row>
    <row r="517" spans="1:31" ht="15" customHeight="1" x14ac:dyDescent="0.25">
      <c r="A517" s="20" t="s">
        <v>156</v>
      </c>
      <c r="B517" s="20" t="s">
        <v>534</v>
      </c>
      <c r="C517" s="20" t="s">
        <v>535</v>
      </c>
      <c r="D517" s="378" t="s">
        <v>831</v>
      </c>
      <c r="E517" s="384">
        <v>45292</v>
      </c>
      <c r="F517" s="384">
        <v>47119</v>
      </c>
      <c r="G517" s="378" t="s">
        <v>439</v>
      </c>
      <c r="H517" s="20" t="s">
        <v>832</v>
      </c>
      <c r="I517" s="378" t="s">
        <v>441</v>
      </c>
      <c r="J517" s="20" t="s">
        <v>163</v>
      </c>
      <c r="K517" s="378" t="s">
        <v>833</v>
      </c>
      <c r="L517" s="378" t="s">
        <v>165</v>
      </c>
      <c r="M517" s="380" t="s">
        <v>488</v>
      </c>
      <c r="N517" s="380" t="s">
        <v>443</v>
      </c>
      <c r="O517" s="380" t="s">
        <v>443</v>
      </c>
      <c r="P517" s="380" t="s">
        <v>443</v>
      </c>
      <c r="Q517" s="381">
        <v>326.46224000000001</v>
      </c>
      <c r="R517" s="381">
        <v>326.11973999999998</v>
      </c>
      <c r="S517" s="381">
        <v>0.34106529000000002</v>
      </c>
      <c r="T517" s="381">
        <v>1.4342787E-3</v>
      </c>
      <c r="U517" s="381">
        <v>0</v>
      </c>
      <c r="V517" s="382">
        <v>326.4622395687</v>
      </c>
      <c r="W517" s="382">
        <v>0</v>
      </c>
      <c r="X517" s="381">
        <v>0.13602593333333335</v>
      </c>
      <c r="Y517" s="381">
        <v>0.135883225</v>
      </c>
      <c r="Z517" s="381">
        <v>1.421105375E-4</v>
      </c>
      <c r="AA517" s="381">
        <v>5.9761612500000005E-7</v>
      </c>
      <c r="AB517" s="381">
        <v>0</v>
      </c>
      <c r="AC517" s="382">
        <v>0.13602593315362499</v>
      </c>
      <c r="AD517" s="382">
        <v>0</v>
      </c>
      <c r="AE517" s="381" t="s">
        <v>444</v>
      </c>
    </row>
    <row r="518" spans="1:31" ht="15" customHeight="1" x14ac:dyDescent="0.25">
      <c r="A518" s="20" t="s">
        <v>156</v>
      </c>
      <c r="B518" s="20" t="s">
        <v>534</v>
      </c>
      <c r="C518" s="20" t="s">
        <v>535</v>
      </c>
      <c r="D518" s="378" t="s">
        <v>834</v>
      </c>
      <c r="E518" s="384">
        <v>45292</v>
      </c>
      <c r="F518" s="384">
        <v>47119</v>
      </c>
      <c r="G518" s="378" t="s">
        <v>439</v>
      </c>
      <c r="H518" s="20" t="s">
        <v>835</v>
      </c>
      <c r="I518" s="378" t="s">
        <v>441</v>
      </c>
      <c r="J518" s="20" t="s">
        <v>163</v>
      </c>
      <c r="K518" s="378" t="s">
        <v>836</v>
      </c>
      <c r="L518" s="378" t="s">
        <v>165</v>
      </c>
      <c r="M518" s="380" t="s">
        <v>488</v>
      </c>
      <c r="N518" s="380" t="s">
        <v>443</v>
      </c>
      <c r="O518" s="380" t="s">
        <v>443</v>
      </c>
      <c r="P518" s="380" t="s">
        <v>443</v>
      </c>
      <c r="Q518" s="381">
        <v>319.24829</v>
      </c>
      <c r="R518" s="381">
        <v>318.90800000000002</v>
      </c>
      <c r="S518" s="381">
        <v>0.33886255999999998</v>
      </c>
      <c r="T518" s="381">
        <v>1.4355931E-3</v>
      </c>
      <c r="U518" s="381">
        <v>0</v>
      </c>
      <c r="V518" s="382">
        <v>319.2482981531</v>
      </c>
      <c r="W518" s="382">
        <v>0</v>
      </c>
      <c r="X518" s="381">
        <v>0.13302012083333334</v>
      </c>
      <c r="Y518" s="381">
        <v>0.13287833333333335</v>
      </c>
      <c r="Z518" s="381">
        <v>1.4119273333333332E-4</v>
      </c>
      <c r="AA518" s="381">
        <v>5.981637916666667E-7</v>
      </c>
      <c r="AB518" s="381">
        <v>0</v>
      </c>
      <c r="AC518" s="382">
        <v>0.13302012423045834</v>
      </c>
      <c r="AD518" s="382">
        <v>0</v>
      </c>
      <c r="AE518" s="381" t="s">
        <v>444</v>
      </c>
    </row>
    <row r="519" spans="1:31" ht="15" customHeight="1" x14ac:dyDescent="0.25">
      <c r="A519" s="20" t="s">
        <v>156</v>
      </c>
      <c r="B519" s="20" t="s">
        <v>534</v>
      </c>
      <c r="C519" s="20" t="s">
        <v>535</v>
      </c>
      <c r="D519" s="378" t="s">
        <v>837</v>
      </c>
      <c r="E519" s="384">
        <v>45292</v>
      </c>
      <c r="F519" s="384">
        <v>47119</v>
      </c>
      <c r="G519" s="378" t="s">
        <v>439</v>
      </c>
      <c r="H519" s="20" t="s">
        <v>838</v>
      </c>
      <c r="I519" s="378" t="s">
        <v>441</v>
      </c>
      <c r="J519" s="20" t="s">
        <v>163</v>
      </c>
      <c r="K519" s="378" t="s">
        <v>839</v>
      </c>
      <c r="L519" s="378" t="s">
        <v>165</v>
      </c>
      <c r="M519" s="380" t="s">
        <v>488</v>
      </c>
      <c r="N519" s="380" t="s">
        <v>443</v>
      </c>
      <c r="O519" s="380" t="s">
        <v>443</v>
      </c>
      <c r="P519" s="380" t="s">
        <v>443</v>
      </c>
      <c r="Q519" s="381">
        <v>222.97548</v>
      </c>
      <c r="R519" s="381">
        <v>222.75926000000001</v>
      </c>
      <c r="S519" s="381">
        <v>0.21534184000000001</v>
      </c>
      <c r="T519" s="381">
        <v>8.7429904999999995E-4</v>
      </c>
      <c r="U519" s="381">
        <v>0</v>
      </c>
      <c r="V519" s="382">
        <v>222.97547613905002</v>
      </c>
      <c r="W519" s="382">
        <v>0</v>
      </c>
      <c r="X519" s="381">
        <v>9.2906450000000002E-2</v>
      </c>
      <c r="Y519" s="381">
        <v>9.2816358333333335E-2</v>
      </c>
      <c r="Z519" s="381">
        <v>8.9725766666666674E-5</v>
      </c>
      <c r="AA519" s="381">
        <v>3.6429127083333329E-7</v>
      </c>
      <c r="AB519" s="381">
        <v>0</v>
      </c>
      <c r="AC519" s="382">
        <v>9.2906448391270838E-2</v>
      </c>
      <c r="AD519" s="382">
        <v>0</v>
      </c>
      <c r="AE519" s="381" t="s">
        <v>444</v>
      </c>
    </row>
    <row r="520" spans="1:31" ht="15" customHeight="1" x14ac:dyDescent="0.25">
      <c r="A520" s="20" t="s">
        <v>156</v>
      </c>
      <c r="B520" s="20" t="s">
        <v>534</v>
      </c>
      <c r="C520" s="20" t="s">
        <v>535</v>
      </c>
      <c r="D520" s="378" t="s">
        <v>840</v>
      </c>
      <c r="E520" s="384">
        <v>45292</v>
      </c>
      <c r="F520" s="384">
        <v>47119</v>
      </c>
      <c r="G520" s="378" t="s">
        <v>439</v>
      </c>
      <c r="H520" s="20" t="s">
        <v>841</v>
      </c>
      <c r="I520" s="378" t="s">
        <v>441</v>
      </c>
      <c r="J520" s="20" t="s">
        <v>163</v>
      </c>
      <c r="K520" s="378" t="s">
        <v>842</v>
      </c>
      <c r="L520" s="378" t="s">
        <v>165</v>
      </c>
      <c r="M520" s="380" t="s">
        <v>488</v>
      </c>
      <c r="N520" s="380" t="s">
        <v>443</v>
      </c>
      <c r="O520" s="380" t="s">
        <v>443</v>
      </c>
      <c r="P520" s="380" t="s">
        <v>443</v>
      </c>
      <c r="Q520" s="381">
        <v>222.97548</v>
      </c>
      <c r="R520" s="381">
        <v>222.75926000000001</v>
      </c>
      <c r="S520" s="381">
        <v>0.21534184000000001</v>
      </c>
      <c r="T520" s="381">
        <v>8.7429904999999995E-4</v>
      </c>
      <c r="U520" s="381">
        <v>0</v>
      </c>
      <c r="V520" s="382">
        <v>222.97547613905002</v>
      </c>
      <c r="W520" s="382">
        <v>0</v>
      </c>
      <c r="X520" s="381">
        <v>9.2906450000000002E-2</v>
      </c>
      <c r="Y520" s="381">
        <v>9.2816358333333335E-2</v>
      </c>
      <c r="Z520" s="381">
        <v>8.9725766666666674E-5</v>
      </c>
      <c r="AA520" s="381">
        <v>3.6429127083333329E-7</v>
      </c>
      <c r="AB520" s="381">
        <v>0</v>
      </c>
      <c r="AC520" s="382">
        <v>9.2906448391270838E-2</v>
      </c>
      <c r="AD520" s="382">
        <v>0</v>
      </c>
      <c r="AE520" s="381" t="s">
        <v>444</v>
      </c>
    </row>
    <row r="521" spans="1:31" ht="15" customHeight="1" x14ac:dyDescent="0.25">
      <c r="A521" s="20" t="s">
        <v>156</v>
      </c>
      <c r="B521" s="20" t="s">
        <v>534</v>
      </c>
      <c r="C521" s="20" t="s">
        <v>535</v>
      </c>
      <c r="D521" s="378" t="s">
        <v>843</v>
      </c>
      <c r="E521" s="384">
        <v>45292</v>
      </c>
      <c r="F521" s="384">
        <v>47119</v>
      </c>
      <c r="G521" s="378" t="s">
        <v>439</v>
      </c>
      <c r="H521" s="20" t="s">
        <v>844</v>
      </c>
      <c r="I521" s="378" t="s">
        <v>441</v>
      </c>
      <c r="J521" s="20" t="s">
        <v>163</v>
      </c>
      <c r="K521" s="378" t="s">
        <v>845</v>
      </c>
      <c r="L521" s="378" t="s">
        <v>165</v>
      </c>
      <c r="M521" s="380" t="s">
        <v>488</v>
      </c>
      <c r="N521" s="380" t="s">
        <v>443</v>
      </c>
      <c r="O521" s="380" t="s">
        <v>443</v>
      </c>
      <c r="P521" s="380" t="s">
        <v>443</v>
      </c>
      <c r="Q521" s="381">
        <v>216.77457999999999</v>
      </c>
      <c r="R521" s="381">
        <v>216.56153</v>
      </c>
      <c r="S521" s="381">
        <v>0.21218229</v>
      </c>
      <c r="T521" s="381">
        <v>8.7372762000000005E-4</v>
      </c>
      <c r="U521" s="381">
        <v>0</v>
      </c>
      <c r="V521" s="382">
        <v>216.77458601761998</v>
      </c>
      <c r="W521" s="382">
        <v>0</v>
      </c>
      <c r="X521" s="381">
        <v>9.0322741666666664E-2</v>
      </c>
      <c r="Y521" s="381">
        <v>9.023397083333333E-2</v>
      </c>
      <c r="Z521" s="381">
        <v>8.8409287500000003E-5</v>
      </c>
      <c r="AA521" s="381">
        <v>3.6405317500000001E-7</v>
      </c>
      <c r="AB521" s="381">
        <v>0</v>
      </c>
      <c r="AC521" s="382">
        <v>9.0322744174008318E-2</v>
      </c>
      <c r="AD521" s="382">
        <v>0</v>
      </c>
      <c r="AE521" s="381" t="s">
        <v>444</v>
      </c>
    </row>
    <row r="522" spans="1:31" ht="15" customHeight="1" x14ac:dyDescent="0.25">
      <c r="A522" s="20" t="s">
        <v>156</v>
      </c>
      <c r="B522" s="20" t="s">
        <v>534</v>
      </c>
      <c r="C522" s="20" t="s">
        <v>535</v>
      </c>
      <c r="D522" s="378" t="s">
        <v>846</v>
      </c>
      <c r="E522" s="384">
        <v>45292</v>
      </c>
      <c r="F522" s="384">
        <v>47119</v>
      </c>
      <c r="G522" s="378" t="s">
        <v>439</v>
      </c>
      <c r="H522" s="20" t="s">
        <v>847</v>
      </c>
      <c r="I522" s="378" t="s">
        <v>441</v>
      </c>
      <c r="J522" s="20" t="s">
        <v>163</v>
      </c>
      <c r="K522" s="378" t="s">
        <v>848</v>
      </c>
      <c r="L522" s="378" t="s">
        <v>165</v>
      </c>
      <c r="M522" s="380" t="s">
        <v>488</v>
      </c>
      <c r="N522" s="380" t="s">
        <v>443</v>
      </c>
      <c r="O522" s="380" t="s">
        <v>443</v>
      </c>
      <c r="P522" s="380" t="s">
        <v>443</v>
      </c>
      <c r="Q522" s="381">
        <v>216.77457999999999</v>
      </c>
      <c r="R522" s="381">
        <v>216.56153</v>
      </c>
      <c r="S522" s="381">
        <v>0.21218229</v>
      </c>
      <c r="T522" s="381">
        <v>8.7372762000000005E-4</v>
      </c>
      <c r="U522" s="381">
        <v>0</v>
      </c>
      <c r="V522" s="382">
        <v>216.77458601761998</v>
      </c>
      <c r="W522" s="382">
        <v>0</v>
      </c>
      <c r="X522" s="381">
        <v>9.0322741666666664E-2</v>
      </c>
      <c r="Y522" s="381">
        <v>9.023397083333333E-2</v>
      </c>
      <c r="Z522" s="381">
        <v>8.8409287500000003E-5</v>
      </c>
      <c r="AA522" s="381">
        <v>3.6405317500000001E-7</v>
      </c>
      <c r="AB522" s="381">
        <v>0</v>
      </c>
      <c r="AC522" s="382">
        <v>9.0322744174008318E-2</v>
      </c>
      <c r="AD522" s="382">
        <v>0</v>
      </c>
      <c r="AE522" s="381" t="s">
        <v>444</v>
      </c>
    </row>
    <row r="523" spans="1:31" ht="15" customHeight="1" x14ac:dyDescent="0.25">
      <c r="A523" s="20" t="s">
        <v>156</v>
      </c>
      <c r="B523" s="20" t="s">
        <v>534</v>
      </c>
      <c r="C523" s="20" t="s">
        <v>535</v>
      </c>
      <c r="D523" s="378" t="s">
        <v>849</v>
      </c>
      <c r="E523" s="384">
        <v>45292</v>
      </c>
      <c r="F523" s="384">
        <v>47119</v>
      </c>
      <c r="G523" s="378" t="s">
        <v>439</v>
      </c>
      <c r="H523" s="20" t="s">
        <v>850</v>
      </c>
      <c r="I523" s="378" t="s">
        <v>441</v>
      </c>
      <c r="J523" s="20" t="s">
        <v>163</v>
      </c>
      <c r="K523" s="378" t="s">
        <v>851</v>
      </c>
      <c r="L523" s="378" t="s">
        <v>165</v>
      </c>
      <c r="M523" s="380" t="s">
        <v>488</v>
      </c>
      <c r="N523" s="380" t="s">
        <v>443</v>
      </c>
      <c r="O523" s="380" t="s">
        <v>443</v>
      </c>
      <c r="P523" s="380" t="s">
        <v>443</v>
      </c>
      <c r="Q523" s="381">
        <v>165.67500000000001</v>
      </c>
      <c r="R523" s="381">
        <v>165.47794999999999</v>
      </c>
      <c r="S523" s="381">
        <v>0.19602832000000001</v>
      </c>
      <c r="T523" s="381">
        <v>1.0239097E-3</v>
      </c>
      <c r="U523" s="381">
        <v>0</v>
      </c>
      <c r="V523" s="382">
        <v>165.6750022297</v>
      </c>
      <c r="W523" s="382">
        <v>0</v>
      </c>
      <c r="X523" s="381">
        <v>6.9031250000000002E-2</v>
      </c>
      <c r="Y523" s="381">
        <v>6.8949145833333336E-2</v>
      </c>
      <c r="Z523" s="381">
        <v>8.1678466666666667E-5</v>
      </c>
      <c r="AA523" s="381">
        <v>4.2662904166666667E-7</v>
      </c>
      <c r="AB523" s="381">
        <v>0</v>
      </c>
      <c r="AC523" s="382">
        <v>6.9031250929041665E-2</v>
      </c>
      <c r="AD523" s="382">
        <v>0</v>
      </c>
      <c r="AE523" s="381" t="s">
        <v>444</v>
      </c>
    </row>
    <row r="524" spans="1:31" ht="15" customHeight="1" x14ac:dyDescent="0.25">
      <c r="A524" s="20" t="s">
        <v>156</v>
      </c>
      <c r="B524" s="20" t="s">
        <v>534</v>
      </c>
      <c r="C524" s="20" t="s">
        <v>535</v>
      </c>
      <c r="D524" s="378" t="s">
        <v>852</v>
      </c>
      <c r="E524" s="384">
        <v>45292</v>
      </c>
      <c r="F524" s="384">
        <v>47119</v>
      </c>
      <c r="G524" s="378" t="s">
        <v>439</v>
      </c>
      <c r="H524" s="20" t="s">
        <v>853</v>
      </c>
      <c r="I524" s="378" t="s">
        <v>441</v>
      </c>
      <c r="J524" s="20" t="s">
        <v>163</v>
      </c>
      <c r="K524" s="378" t="s">
        <v>854</v>
      </c>
      <c r="L524" s="378" t="s">
        <v>165</v>
      </c>
      <c r="M524" s="380" t="s">
        <v>488</v>
      </c>
      <c r="N524" s="380" t="s">
        <v>443</v>
      </c>
      <c r="O524" s="380" t="s">
        <v>443</v>
      </c>
      <c r="P524" s="380" t="s">
        <v>443</v>
      </c>
      <c r="Q524" s="381">
        <v>159.38842</v>
      </c>
      <c r="R524" s="381">
        <v>159.19476</v>
      </c>
      <c r="S524" s="381">
        <v>0.19263997999999999</v>
      </c>
      <c r="T524" s="381">
        <v>1.0245535E-3</v>
      </c>
      <c r="U524" s="381">
        <v>0</v>
      </c>
      <c r="V524" s="382">
        <v>159.3884245335</v>
      </c>
      <c r="W524" s="382">
        <v>0</v>
      </c>
      <c r="X524" s="381">
        <v>6.6411841666666666E-2</v>
      </c>
      <c r="Y524" s="381">
        <v>6.6331150000000005E-2</v>
      </c>
      <c r="Z524" s="381">
        <v>8.026665833333333E-5</v>
      </c>
      <c r="AA524" s="381">
        <v>4.2689729166666666E-7</v>
      </c>
      <c r="AB524" s="381">
        <v>0</v>
      </c>
      <c r="AC524" s="382">
        <v>6.6411843555625003E-2</v>
      </c>
      <c r="AD524" s="382">
        <v>0</v>
      </c>
      <c r="AE524" s="381" t="s">
        <v>444</v>
      </c>
    </row>
    <row r="525" spans="1:31" ht="15" customHeight="1" x14ac:dyDescent="0.25">
      <c r="A525" s="20" t="s">
        <v>156</v>
      </c>
      <c r="B525" s="20" t="s">
        <v>534</v>
      </c>
      <c r="C525" s="20" t="s">
        <v>535</v>
      </c>
      <c r="D525" s="378" t="s">
        <v>855</v>
      </c>
      <c r="E525" s="384">
        <v>45292</v>
      </c>
      <c r="F525" s="384">
        <v>47119</v>
      </c>
      <c r="G525" s="378" t="s">
        <v>439</v>
      </c>
      <c r="H525" s="20" t="s">
        <v>856</v>
      </c>
      <c r="I525" s="378" t="s">
        <v>441</v>
      </c>
      <c r="J525" s="20" t="s">
        <v>163</v>
      </c>
      <c r="K525" s="378" t="s">
        <v>857</v>
      </c>
      <c r="L525" s="378" t="s">
        <v>165</v>
      </c>
      <c r="M525" s="380" t="s">
        <v>488</v>
      </c>
      <c r="N525" s="380" t="s">
        <v>443</v>
      </c>
      <c r="O525" s="380" t="s">
        <v>443</v>
      </c>
      <c r="P525" s="380" t="s">
        <v>443</v>
      </c>
      <c r="Q525" s="381">
        <v>165.16309000000001</v>
      </c>
      <c r="R525" s="381">
        <v>164.97818000000001</v>
      </c>
      <c r="S525" s="381">
        <v>0.18404135999999999</v>
      </c>
      <c r="T525" s="381">
        <v>8.6983955000000004E-4</v>
      </c>
      <c r="U525" s="381">
        <v>0</v>
      </c>
      <c r="V525" s="382">
        <v>165.16309119955002</v>
      </c>
      <c r="W525" s="382">
        <v>0</v>
      </c>
      <c r="X525" s="381">
        <v>6.8817954166666667E-2</v>
      </c>
      <c r="Y525" s="381">
        <v>6.8740908333333336E-2</v>
      </c>
      <c r="Z525" s="381">
        <v>7.6683899999999993E-5</v>
      </c>
      <c r="AA525" s="381">
        <v>3.6243314583333338E-7</v>
      </c>
      <c r="AB525" s="381">
        <v>0</v>
      </c>
      <c r="AC525" s="382">
        <v>6.8817954666479164E-2</v>
      </c>
      <c r="AD525" s="382">
        <v>0</v>
      </c>
      <c r="AE525" s="381" t="s">
        <v>444</v>
      </c>
    </row>
    <row r="526" spans="1:31" ht="15" customHeight="1" x14ac:dyDescent="0.25">
      <c r="A526" s="20" t="s">
        <v>156</v>
      </c>
      <c r="B526" s="20" t="s">
        <v>534</v>
      </c>
      <c r="C526" s="20" t="s">
        <v>535</v>
      </c>
      <c r="D526" s="378" t="s">
        <v>858</v>
      </c>
      <c r="E526" s="384">
        <v>45292</v>
      </c>
      <c r="F526" s="384">
        <v>47119</v>
      </c>
      <c r="G526" s="378" t="s">
        <v>439</v>
      </c>
      <c r="H526" s="20" t="s">
        <v>859</v>
      </c>
      <c r="I526" s="378" t="s">
        <v>441</v>
      </c>
      <c r="J526" s="20" t="s">
        <v>163</v>
      </c>
      <c r="K526" s="378" t="s">
        <v>860</v>
      </c>
      <c r="L526" s="378" t="s">
        <v>165</v>
      </c>
      <c r="M526" s="380" t="s">
        <v>488</v>
      </c>
      <c r="N526" s="380" t="s">
        <v>443</v>
      </c>
      <c r="O526" s="380" t="s">
        <v>443</v>
      </c>
      <c r="P526" s="380" t="s">
        <v>443</v>
      </c>
      <c r="Q526" s="381">
        <v>166.35613000000001</v>
      </c>
      <c r="R526" s="381">
        <v>166.17338000000001</v>
      </c>
      <c r="S526" s="381">
        <v>0.18188713000000001</v>
      </c>
      <c r="T526" s="381">
        <v>8.7076413000000002E-4</v>
      </c>
      <c r="U526" s="381">
        <v>0</v>
      </c>
      <c r="V526" s="382">
        <v>166.35613789413003</v>
      </c>
      <c r="W526" s="382">
        <v>0</v>
      </c>
      <c r="X526" s="381">
        <v>6.9315054166666668E-2</v>
      </c>
      <c r="Y526" s="381">
        <v>6.9238908333333335E-2</v>
      </c>
      <c r="Z526" s="381">
        <v>7.5786304166666676E-5</v>
      </c>
      <c r="AA526" s="381">
        <v>3.6281838749999999E-7</v>
      </c>
      <c r="AB526" s="381">
        <v>0</v>
      </c>
      <c r="AC526" s="382">
        <v>6.9315057455887508E-2</v>
      </c>
      <c r="AD526" s="382">
        <v>0</v>
      </c>
      <c r="AE526" s="381" t="s">
        <v>444</v>
      </c>
    </row>
    <row r="527" spans="1:31" ht="15" customHeight="1" x14ac:dyDescent="0.25">
      <c r="A527" s="20" t="s">
        <v>156</v>
      </c>
      <c r="B527" s="20" t="s">
        <v>534</v>
      </c>
      <c r="C527" s="20" t="s">
        <v>535</v>
      </c>
      <c r="D527" s="378" t="s">
        <v>861</v>
      </c>
      <c r="E527" s="384">
        <v>45292</v>
      </c>
      <c r="F527" s="384">
        <v>47119</v>
      </c>
      <c r="G527" s="378" t="s">
        <v>439</v>
      </c>
      <c r="H527" s="20" t="s">
        <v>862</v>
      </c>
      <c r="I527" s="378" t="s">
        <v>441</v>
      </c>
      <c r="J527" s="20" t="s">
        <v>163</v>
      </c>
      <c r="K527" s="378" t="s">
        <v>863</v>
      </c>
      <c r="L527" s="378" t="s">
        <v>165</v>
      </c>
      <c r="M527" s="380" t="s">
        <v>488</v>
      </c>
      <c r="N527" s="380" t="s">
        <v>443</v>
      </c>
      <c r="O527" s="380" t="s">
        <v>443</v>
      </c>
      <c r="P527" s="380" t="s">
        <v>443</v>
      </c>
      <c r="Q527" s="381">
        <v>248.03402</v>
      </c>
      <c r="R527" s="381">
        <v>247.85214999999999</v>
      </c>
      <c r="S527" s="381">
        <v>0.17320708000000001</v>
      </c>
      <c r="T527" s="381">
        <v>8.6625800999999992E-3</v>
      </c>
      <c r="U527" s="381">
        <v>0</v>
      </c>
      <c r="V527" s="382">
        <v>248.0340196601</v>
      </c>
      <c r="W527" s="382">
        <v>0</v>
      </c>
      <c r="X527" s="381">
        <v>0.10334750833333334</v>
      </c>
      <c r="Y527" s="381">
        <v>0.10327172916666666</v>
      </c>
      <c r="Z527" s="381">
        <v>7.2169616666666671E-5</v>
      </c>
      <c r="AA527" s="381">
        <v>3.6094083749999997E-6</v>
      </c>
      <c r="AB527" s="381">
        <v>0</v>
      </c>
      <c r="AC527" s="382">
        <v>0.10334750819170833</v>
      </c>
      <c r="AD527" s="382">
        <v>0</v>
      </c>
      <c r="AE527" s="381" t="s">
        <v>444</v>
      </c>
    </row>
    <row r="528" spans="1:31" ht="15" customHeight="1" x14ac:dyDescent="0.25">
      <c r="A528" s="20" t="s">
        <v>156</v>
      </c>
      <c r="B528" s="20" t="s">
        <v>534</v>
      </c>
      <c r="C528" s="20" t="s">
        <v>535</v>
      </c>
      <c r="D528" s="378" t="s">
        <v>864</v>
      </c>
      <c r="E528" s="384">
        <v>45292</v>
      </c>
      <c r="F528" s="384">
        <v>47119</v>
      </c>
      <c r="G528" s="378" t="s">
        <v>439</v>
      </c>
      <c r="H528" s="20" t="s">
        <v>865</v>
      </c>
      <c r="I528" s="378" t="s">
        <v>441</v>
      </c>
      <c r="J528" s="20" t="s">
        <v>163</v>
      </c>
      <c r="K528" s="378" t="s">
        <v>866</v>
      </c>
      <c r="L528" s="378" t="s">
        <v>165</v>
      </c>
      <c r="M528" s="380" t="s">
        <v>488</v>
      </c>
      <c r="N528" s="380" t="s">
        <v>443</v>
      </c>
      <c r="O528" s="380" t="s">
        <v>443</v>
      </c>
      <c r="P528" s="380" t="s">
        <v>443</v>
      </c>
      <c r="Q528" s="381">
        <v>158.87548000000001</v>
      </c>
      <c r="R528" s="381">
        <v>158.69399999999999</v>
      </c>
      <c r="S528" s="381">
        <v>0.18060899</v>
      </c>
      <c r="T528" s="381">
        <v>8.6991721000000003E-4</v>
      </c>
      <c r="U528" s="381">
        <v>0</v>
      </c>
      <c r="V528" s="382">
        <v>158.87547890720998</v>
      </c>
      <c r="W528" s="382">
        <v>0</v>
      </c>
      <c r="X528" s="381">
        <v>6.6198116666666668E-2</v>
      </c>
      <c r="Y528" s="381">
        <v>6.6122500000000001E-2</v>
      </c>
      <c r="Z528" s="381">
        <v>7.5253745833333332E-5</v>
      </c>
      <c r="AA528" s="381">
        <v>3.6246550416666669E-7</v>
      </c>
      <c r="AB528" s="381">
        <v>0</v>
      </c>
      <c r="AC528" s="382">
        <v>6.6198116211337504E-2</v>
      </c>
      <c r="AD528" s="382">
        <v>0</v>
      </c>
      <c r="AE528" s="381" t="s">
        <v>444</v>
      </c>
    </row>
    <row r="529" spans="1:31" ht="15" customHeight="1" x14ac:dyDescent="0.25">
      <c r="A529" s="20" t="s">
        <v>156</v>
      </c>
      <c r="B529" s="20" t="s">
        <v>534</v>
      </c>
      <c r="C529" s="20" t="s">
        <v>535</v>
      </c>
      <c r="D529" s="378" t="s">
        <v>867</v>
      </c>
      <c r="E529" s="384">
        <v>45292</v>
      </c>
      <c r="F529" s="384">
        <v>47119</v>
      </c>
      <c r="G529" s="378" t="s">
        <v>439</v>
      </c>
      <c r="H529" s="20" t="s">
        <v>868</v>
      </c>
      <c r="I529" s="378" t="s">
        <v>441</v>
      </c>
      <c r="J529" s="20" t="s">
        <v>163</v>
      </c>
      <c r="K529" s="378" t="s">
        <v>869</v>
      </c>
      <c r="L529" s="378" t="s">
        <v>165</v>
      </c>
      <c r="M529" s="380" t="s">
        <v>488</v>
      </c>
      <c r="N529" s="380" t="s">
        <v>443</v>
      </c>
      <c r="O529" s="380" t="s">
        <v>443</v>
      </c>
      <c r="P529" s="380" t="s">
        <v>443</v>
      </c>
      <c r="Q529" s="381">
        <v>156.93378999999999</v>
      </c>
      <c r="R529" s="381">
        <v>156.75609</v>
      </c>
      <c r="S529" s="381">
        <v>0.17687005</v>
      </c>
      <c r="T529" s="381">
        <v>8.3182448000000003E-4</v>
      </c>
      <c r="U529" s="381">
        <v>0</v>
      </c>
      <c r="V529" s="382">
        <v>156.93379187447999</v>
      </c>
      <c r="W529" s="382">
        <v>0</v>
      </c>
      <c r="X529" s="381">
        <v>6.5389079166666655E-2</v>
      </c>
      <c r="Y529" s="381">
        <v>6.5315037500000006E-2</v>
      </c>
      <c r="Z529" s="381">
        <v>7.3695854166666669E-5</v>
      </c>
      <c r="AA529" s="381">
        <v>3.4659353333333334E-7</v>
      </c>
      <c r="AB529" s="381">
        <v>0</v>
      </c>
      <c r="AC529" s="382">
        <v>6.5389079947700005E-2</v>
      </c>
      <c r="AD529" s="382">
        <v>0</v>
      </c>
      <c r="AE529" s="381" t="s">
        <v>444</v>
      </c>
    </row>
    <row r="530" spans="1:31" ht="15" customHeight="1" x14ac:dyDescent="0.25">
      <c r="A530" s="20" t="s">
        <v>156</v>
      </c>
      <c r="B530" s="20" t="s">
        <v>534</v>
      </c>
      <c r="C530" s="20" t="s">
        <v>535</v>
      </c>
      <c r="D530" s="378" t="s">
        <v>870</v>
      </c>
      <c r="E530" s="384">
        <v>45292</v>
      </c>
      <c r="F530" s="384">
        <v>47119</v>
      </c>
      <c r="G530" s="378" t="s">
        <v>439</v>
      </c>
      <c r="H530" s="20" t="s">
        <v>871</v>
      </c>
      <c r="I530" s="378" t="s">
        <v>441</v>
      </c>
      <c r="J530" s="20" t="s">
        <v>163</v>
      </c>
      <c r="K530" s="378" t="s">
        <v>872</v>
      </c>
      <c r="L530" s="378" t="s">
        <v>165</v>
      </c>
      <c r="M530" s="380" t="s">
        <v>488</v>
      </c>
      <c r="N530" s="380" t="s">
        <v>443</v>
      </c>
      <c r="O530" s="380" t="s">
        <v>443</v>
      </c>
      <c r="P530" s="380" t="s">
        <v>443</v>
      </c>
      <c r="Q530" s="381">
        <v>263.38646999999997</v>
      </c>
      <c r="R530" s="381">
        <v>263.22597000000002</v>
      </c>
      <c r="S530" s="381">
        <v>7.8804251000000006E-2</v>
      </c>
      <c r="T530" s="381">
        <v>8.1695856999999997E-2</v>
      </c>
      <c r="U530" s="381">
        <v>0</v>
      </c>
      <c r="V530" s="382">
        <v>263.38647010800003</v>
      </c>
      <c r="W530" s="382">
        <v>0</v>
      </c>
      <c r="X530" s="381">
        <v>0.10974436249999998</v>
      </c>
      <c r="Y530" s="381">
        <v>0.1096774875</v>
      </c>
      <c r="Z530" s="381">
        <v>3.2835104583333333E-5</v>
      </c>
      <c r="AA530" s="381">
        <v>3.4039940416666662E-5</v>
      </c>
      <c r="AB530" s="381">
        <v>0</v>
      </c>
      <c r="AC530" s="382">
        <v>0.109744362545</v>
      </c>
      <c r="AD530" s="382">
        <v>0</v>
      </c>
      <c r="AE530" s="381" t="s">
        <v>444</v>
      </c>
    </row>
    <row r="531" spans="1:31" ht="15" customHeight="1" x14ac:dyDescent="0.25">
      <c r="A531" s="20" t="s">
        <v>156</v>
      </c>
      <c r="B531" s="20" t="s">
        <v>534</v>
      </c>
      <c r="C531" s="20" t="s">
        <v>535</v>
      </c>
      <c r="D531" s="378" t="s">
        <v>873</v>
      </c>
      <c r="E531" s="384">
        <v>45292</v>
      </c>
      <c r="F531" s="384">
        <v>47119</v>
      </c>
      <c r="G531" s="378" t="s">
        <v>439</v>
      </c>
      <c r="H531" s="20" t="s">
        <v>874</v>
      </c>
      <c r="I531" s="378" t="s">
        <v>441</v>
      </c>
      <c r="J531" s="20" t="s">
        <v>163</v>
      </c>
      <c r="K531" s="378" t="s">
        <v>875</v>
      </c>
      <c r="L531" s="378" t="s">
        <v>165</v>
      </c>
      <c r="M531" s="380" t="s">
        <v>488</v>
      </c>
      <c r="N531" s="380" t="s">
        <v>443</v>
      </c>
      <c r="O531" s="380" t="s">
        <v>443</v>
      </c>
      <c r="P531" s="380" t="s">
        <v>443</v>
      </c>
      <c r="Q531" s="381">
        <v>173.66058000000001</v>
      </c>
      <c r="R531" s="381">
        <v>173.51419999999999</v>
      </c>
      <c r="S531" s="381">
        <v>0.14606614000000001</v>
      </c>
      <c r="T531" s="381">
        <v>3.0986582000000002E-4</v>
      </c>
      <c r="U531" s="381">
        <v>0</v>
      </c>
      <c r="V531" s="382">
        <v>173.66057600581996</v>
      </c>
      <c r="W531" s="382">
        <v>0</v>
      </c>
      <c r="X531" s="381">
        <v>7.2358575000000008E-2</v>
      </c>
      <c r="Y531" s="381">
        <v>7.2297583333333332E-2</v>
      </c>
      <c r="Z531" s="381">
        <v>6.0860891666666674E-5</v>
      </c>
      <c r="AA531" s="381">
        <v>1.2911075833333335E-7</v>
      </c>
      <c r="AB531" s="381">
        <v>0</v>
      </c>
      <c r="AC531" s="382">
        <v>7.2358573335758333E-2</v>
      </c>
      <c r="AD531" s="382">
        <v>0</v>
      </c>
      <c r="AE531" s="381" t="s">
        <v>444</v>
      </c>
    </row>
    <row r="532" spans="1:31" ht="15" customHeight="1" x14ac:dyDescent="0.25">
      <c r="A532" s="20" t="s">
        <v>156</v>
      </c>
      <c r="B532" s="20" t="s">
        <v>534</v>
      </c>
      <c r="C532" s="20" t="s">
        <v>535</v>
      </c>
      <c r="D532" s="378" t="s">
        <v>876</v>
      </c>
      <c r="E532" s="384">
        <v>45292</v>
      </c>
      <c r="F532" s="384">
        <v>47119</v>
      </c>
      <c r="G532" s="378" t="s">
        <v>439</v>
      </c>
      <c r="H532" s="20" t="s">
        <v>877</v>
      </c>
      <c r="I532" s="378" t="s">
        <v>441</v>
      </c>
      <c r="J532" s="20" t="s">
        <v>163</v>
      </c>
      <c r="K532" s="378" t="s">
        <v>878</v>
      </c>
      <c r="L532" s="378" t="s">
        <v>165</v>
      </c>
      <c r="M532" s="380" t="s">
        <v>488</v>
      </c>
      <c r="N532" s="380" t="s">
        <v>443</v>
      </c>
      <c r="O532" s="380" t="s">
        <v>443</v>
      </c>
      <c r="P532" s="380" t="s">
        <v>443</v>
      </c>
      <c r="Q532" s="381">
        <v>164.68576999999999</v>
      </c>
      <c r="R532" s="381">
        <v>164.54297</v>
      </c>
      <c r="S532" s="381">
        <v>0.14250023000000001</v>
      </c>
      <c r="T532" s="381">
        <v>3.0737339000000001E-4</v>
      </c>
      <c r="U532" s="381">
        <v>0</v>
      </c>
      <c r="V532" s="382">
        <v>164.68577760338999</v>
      </c>
      <c r="W532" s="382">
        <v>0</v>
      </c>
      <c r="X532" s="381">
        <v>6.8619070833333323E-2</v>
      </c>
      <c r="Y532" s="381">
        <v>6.8559570833333333E-2</v>
      </c>
      <c r="Z532" s="381">
        <v>5.9375095833333334E-5</v>
      </c>
      <c r="AA532" s="381">
        <v>1.2807224583333333E-7</v>
      </c>
      <c r="AB532" s="381">
        <v>0</v>
      </c>
      <c r="AC532" s="382">
        <v>6.8619074001412497E-2</v>
      </c>
      <c r="AD532" s="382">
        <v>0</v>
      </c>
      <c r="AE532" s="381" t="s">
        <v>444</v>
      </c>
    </row>
    <row r="533" spans="1:31" ht="15" customHeight="1" x14ac:dyDescent="0.25">
      <c r="A533" s="20" t="s">
        <v>156</v>
      </c>
      <c r="B533" s="20" t="s">
        <v>534</v>
      </c>
      <c r="C533" s="20" t="s">
        <v>535</v>
      </c>
      <c r="D533" s="378" t="s">
        <v>879</v>
      </c>
      <c r="E533" s="384">
        <v>45292</v>
      </c>
      <c r="F533" s="384">
        <v>47119</v>
      </c>
      <c r="G533" s="378" t="s">
        <v>439</v>
      </c>
      <c r="H533" s="20" t="s">
        <v>880</v>
      </c>
      <c r="I533" s="378" t="s">
        <v>441</v>
      </c>
      <c r="J533" s="20" t="s">
        <v>163</v>
      </c>
      <c r="K533" s="378" t="s">
        <v>881</v>
      </c>
      <c r="L533" s="378" t="s">
        <v>165</v>
      </c>
      <c r="M533" s="380" t="s">
        <v>488</v>
      </c>
      <c r="N533" s="380" t="s">
        <v>443</v>
      </c>
      <c r="O533" s="380" t="s">
        <v>443</v>
      </c>
      <c r="P533" s="380" t="s">
        <v>443</v>
      </c>
      <c r="Q533" s="381">
        <v>263.98021999999997</v>
      </c>
      <c r="R533" s="381">
        <v>263.85493000000002</v>
      </c>
      <c r="S533" s="381">
        <v>0.1252673</v>
      </c>
      <c r="T533" s="381">
        <v>1.5689441000000001E-5</v>
      </c>
      <c r="U533" s="381">
        <v>0</v>
      </c>
      <c r="V533" s="382">
        <v>263.98021298944104</v>
      </c>
      <c r="W533" s="382">
        <v>0</v>
      </c>
      <c r="X533" s="381">
        <v>0.10999175833333333</v>
      </c>
      <c r="Y533" s="381">
        <v>0.10993955416666668</v>
      </c>
      <c r="Z533" s="381">
        <v>5.2194708333333335E-5</v>
      </c>
      <c r="AA533" s="381">
        <v>6.5372670833333339E-9</v>
      </c>
      <c r="AB533" s="381">
        <v>0</v>
      </c>
      <c r="AC533" s="382">
        <v>0.10999175541226709</v>
      </c>
      <c r="AD533" s="382">
        <v>0</v>
      </c>
      <c r="AE533" s="381" t="s">
        <v>444</v>
      </c>
    </row>
    <row r="534" spans="1:31" ht="15" customHeight="1" x14ac:dyDescent="0.25">
      <c r="A534" s="20" t="s">
        <v>156</v>
      </c>
      <c r="B534" s="20" t="s">
        <v>534</v>
      </c>
      <c r="C534" s="20" t="s">
        <v>535</v>
      </c>
      <c r="D534" s="378" t="s">
        <v>882</v>
      </c>
      <c r="E534" s="384">
        <v>45292</v>
      </c>
      <c r="F534" s="384">
        <v>47119</v>
      </c>
      <c r="G534" s="378" t="s">
        <v>439</v>
      </c>
      <c r="H534" s="20" t="s">
        <v>883</v>
      </c>
      <c r="I534" s="378" t="s">
        <v>441</v>
      </c>
      <c r="J534" s="20" t="s">
        <v>163</v>
      </c>
      <c r="K534" s="378" t="s">
        <v>884</v>
      </c>
      <c r="L534" s="378" t="s">
        <v>165</v>
      </c>
      <c r="M534" s="380" t="s">
        <v>488</v>
      </c>
      <c r="N534" s="380" t="s">
        <v>443</v>
      </c>
      <c r="O534" s="380" t="s">
        <v>443</v>
      </c>
      <c r="P534" s="380" t="s">
        <v>443</v>
      </c>
      <c r="Q534" s="381">
        <v>230.92318</v>
      </c>
      <c r="R534" s="381">
        <v>230.79852</v>
      </c>
      <c r="S534" s="381">
        <v>5.6590673000000001E-2</v>
      </c>
      <c r="T534" s="381">
        <v>6.8071080000000006E-2</v>
      </c>
      <c r="U534" s="381">
        <v>0</v>
      </c>
      <c r="V534" s="382">
        <v>230.92318175299999</v>
      </c>
      <c r="W534" s="382">
        <v>0</v>
      </c>
      <c r="X534" s="381">
        <v>9.6217991666666669E-2</v>
      </c>
      <c r="Y534" s="381">
        <v>9.6166050000000003E-2</v>
      </c>
      <c r="Z534" s="381">
        <v>2.3579447083333333E-5</v>
      </c>
      <c r="AA534" s="381">
        <v>2.8362950000000003E-5</v>
      </c>
      <c r="AB534" s="381">
        <v>0</v>
      </c>
      <c r="AC534" s="382">
        <v>9.6217992397083341E-2</v>
      </c>
      <c r="AD534" s="382">
        <v>0</v>
      </c>
      <c r="AE534" s="381" t="s">
        <v>444</v>
      </c>
    </row>
    <row r="535" spans="1:31" ht="15" customHeight="1" x14ac:dyDescent="0.25">
      <c r="A535" s="20" t="s">
        <v>156</v>
      </c>
      <c r="B535" s="20" t="s">
        <v>534</v>
      </c>
      <c r="C535" s="20" t="s">
        <v>535</v>
      </c>
      <c r="D535" s="378" t="s">
        <v>885</v>
      </c>
      <c r="E535" s="384">
        <v>45292</v>
      </c>
      <c r="F535" s="384">
        <v>47119</v>
      </c>
      <c r="G535" s="378" t="s">
        <v>439</v>
      </c>
      <c r="H535" s="20" t="s">
        <v>886</v>
      </c>
      <c r="I535" s="378" t="s">
        <v>441</v>
      </c>
      <c r="J535" s="20" t="s">
        <v>163</v>
      </c>
      <c r="K535" s="378" t="s">
        <v>887</v>
      </c>
      <c r="L535" s="378" t="s">
        <v>165</v>
      </c>
      <c r="M535" s="380" t="s">
        <v>488</v>
      </c>
      <c r="N535" s="380" t="s">
        <v>443</v>
      </c>
      <c r="O535" s="380" t="s">
        <v>443</v>
      </c>
      <c r="P535" s="380" t="s">
        <v>443</v>
      </c>
      <c r="Q535" s="381">
        <v>215.94999000000001</v>
      </c>
      <c r="R535" s="381">
        <v>215.82941</v>
      </c>
      <c r="S535" s="381">
        <v>9.8559392999999995E-2</v>
      </c>
      <c r="T535" s="381">
        <v>2.2017617999999999E-2</v>
      </c>
      <c r="U535" s="381">
        <v>0</v>
      </c>
      <c r="V535" s="382">
        <v>215.94998701099999</v>
      </c>
      <c r="W535" s="382">
        <v>0</v>
      </c>
      <c r="X535" s="381">
        <v>8.9979162500000001E-2</v>
      </c>
      <c r="Y535" s="381">
        <v>8.9928920833333328E-2</v>
      </c>
      <c r="Z535" s="381">
        <v>4.1066413749999996E-5</v>
      </c>
      <c r="AA535" s="381">
        <v>9.1740074999999994E-6</v>
      </c>
      <c r="AB535" s="381">
        <v>0</v>
      </c>
      <c r="AC535" s="382">
        <v>8.9979161254583329E-2</v>
      </c>
      <c r="AD535" s="382">
        <v>0</v>
      </c>
      <c r="AE535" s="381" t="s">
        <v>444</v>
      </c>
    </row>
    <row r="536" spans="1:31" ht="15" customHeight="1" x14ac:dyDescent="0.25">
      <c r="A536" s="20" t="s">
        <v>156</v>
      </c>
      <c r="B536" s="20" t="s">
        <v>534</v>
      </c>
      <c r="C536" s="20" t="s">
        <v>535</v>
      </c>
      <c r="D536" s="378" t="s">
        <v>888</v>
      </c>
      <c r="E536" s="384">
        <v>45292</v>
      </c>
      <c r="F536" s="384">
        <v>47119</v>
      </c>
      <c r="G536" s="378" t="s">
        <v>439</v>
      </c>
      <c r="H536" s="20" t="s">
        <v>889</v>
      </c>
      <c r="I536" s="378" t="s">
        <v>441</v>
      </c>
      <c r="J536" s="20" t="s">
        <v>163</v>
      </c>
      <c r="K536" s="378" t="s">
        <v>890</v>
      </c>
      <c r="L536" s="378" t="s">
        <v>165</v>
      </c>
      <c r="M536" s="380" t="s">
        <v>488</v>
      </c>
      <c r="N536" s="380" t="s">
        <v>443</v>
      </c>
      <c r="O536" s="380" t="s">
        <v>443</v>
      </c>
      <c r="P536" s="380" t="s">
        <v>443</v>
      </c>
      <c r="Q536" s="381">
        <v>210.86545000000001</v>
      </c>
      <c r="R536" s="381">
        <v>210.74606</v>
      </c>
      <c r="S536" s="381">
        <v>9.7645119000000002E-2</v>
      </c>
      <c r="T536" s="381">
        <v>2.1743592999999999E-2</v>
      </c>
      <c r="U536" s="381">
        <v>0</v>
      </c>
      <c r="V536" s="382">
        <v>210.86544871199999</v>
      </c>
      <c r="W536" s="382">
        <v>0</v>
      </c>
      <c r="X536" s="381">
        <v>8.7860604166666675E-2</v>
      </c>
      <c r="Y536" s="381">
        <v>8.7810858333333339E-2</v>
      </c>
      <c r="Z536" s="381">
        <v>4.0685466250000001E-5</v>
      </c>
      <c r="AA536" s="381">
        <v>9.0598304166666669E-6</v>
      </c>
      <c r="AB536" s="381">
        <v>0</v>
      </c>
      <c r="AC536" s="382">
        <v>8.7860603630000006E-2</v>
      </c>
      <c r="AD536" s="382">
        <v>0</v>
      </c>
      <c r="AE536" s="381" t="s">
        <v>444</v>
      </c>
    </row>
    <row r="537" spans="1:31" ht="15" customHeight="1" x14ac:dyDescent="0.25">
      <c r="A537" s="20" t="s">
        <v>156</v>
      </c>
      <c r="B537" s="20" t="s">
        <v>534</v>
      </c>
      <c r="C537" s="20" t="s">
        <v>535</v>
      </c>
      <c r="D537" s="378" t="s">
        <v>891</v>
      </c>
      <c r="E537" s="384">
        <v>45292</v>
      </c>
      <c r="F537" s="384">
        <v>47119</v>
      </c>
      <c r="G537" s="378" t="s">
        <v>439</v>
      </c>
      <c r="H537" s="20" t="s">
        <v>892</v>
      </c>
      <c r="I537" s="378" t="s">
        <v>441</v>
      </c>
      <c r="J537" s="20" t="s">
        <v>163</v>
      </c>
      <c r="K537" s="378" t="s">
        <v>893</v>
      </c>
      <c r="L537" s="378" t="s">
        <v>165</v>
      </c>
      <c r="M537" s="380" t="s">
        <v>488</v>
      </c>
      <c r="N537" s="380" t="s">
        <v>443</v>
      </c>
      <c r="O537" s="380" t="s">
        <v>443</v>
      </c>
      <c r="P537" s="380" t="s">
        <v>443</v>
      </c>
      <c r="Q537" s="381">
        <v>188.84550999999999</v>
      </c>
      <c r="R537" s="381">
        <v>188.73369</v>
      </c>
      <c r="S537" s="381">
        <v>9.3318239999999997E-2</v>
      </c>
      <c r="T537" s="381">
        <v>1.8501751E-2</v>
      </c>
      <c r="U537" s="381">
        <v>0</v>
      </c>
      <c r="V537" s="382">
        <v>188.845509991</v>
      </c>
      <c r="W537" s="382">
        <v>0</v>
      </c>
      <c r="X537" s="381">
        <v>7.868562916666666E-2</v>
      </c>
      <c r="Y537" s="381">
        <v>7.8639037499999995E-2</v>
      </c>
      <c r="Z537" s="381">
        <v>3.8882599999999999E-5</v>
      </c>
      <c r="AA537" s="381">
        <v>7.7090629166666668E-6</v>
      </c>
      <c r="AB537" s="381">
        <v>0</v>
      </c>
      <c r="AC537" s="382">
        <v>7.8685629162916659E-2</v>
      </c>
      <c r="AD537" s="382">
        <v>0</v>
      </c>
      <c r="AE537" s="381" t="s">
        <v>444</v>
      </c>
    </row>
    <row r="538" spans="1:31" ht="15" customHeight="1" x14ac:dyDescent="0.25">
      <c r="A538" s="20" t="s">
        <v>156</v>
      </c>
      <c r="B538" s="20" t="s">
        <v>534</v>
      </c>
      <c r="C538" s="20" t="s">
        <v>535</v>
      </c>
      <c r="D538" s="378" t="s">
        <v>894</v>
      </c>
      <c r="E538" s="384">
        <v>45292</v>
      </c>
      <c r="F538" s="384">
        <v>47119</v>
      </c>
      <c r="G538" s="378" t="s">
        <v>439</v>
      </c>
      <c r="H538" s="20" t="s">
        <v>895</v>
      </c>
      <c r="I538" s="378" t="s">
        <v>441</v>
      </c>
      <c r="J538" s="20" t="s">
        <v>163</v>
      </c>
      <c r="K538" s="378" t="s">
        <v>896</v>
      </c>
      <c r="L538" s="378" t="s">
        <v>165</v>
      </c>
      <c r="M538" s="380" t="s">
        <v>488</v>
      </c>
      <c r="N538" s="380" t="s">
        <v>443</v>
      </c>
      <c r="O538" s="380" t="s">
        <v>443</v>
      </c>
      <c r="P538" s="380" t="s">
        <v>443</v>
      </c>
      <c r="Q538" s="381">
        <v>207.63136</v>
      </c>
      <c r="R538" s="381">
        <v>207.52033</v>
      </c>
      <c r="S538" s="381">
        <v>9.0477486999999995E-2</v>
      </c>
      <c r="T538" s="381">
        <v>2.0549171000000001E-2</v>
      </c>
      <c r="U538" s="381">
        <v>0</v>
      </c>
      <c r="V538" s="382">
        <v>207.63135665799999</v>
      </c>
      <c r="W538" s="382">
        <v>0</v>
      </c>
      <c r="X538" s="381">
        <v>8.6513066666666666E-2</v>
      </c>
      <c r="Y538" s="381">
        <v>8.6466804166666661E-2</v>
      </c>
      <c r="Z538" s="381">
        <v>3.7698952916666667E-5</v>
      </c>
      <c r="AA538" s="381">
        <v>8.5621545833333338E-6</v>
      </c>
      <c r="AB538" s="381">
        <v>0</v>
      </c>
      <c r="AC538" s="382">
        <v>8.6513065274166662E-2</v>
      </c>
      <c r="AD538" s="382">
        <v>0</v>
      </c>
      <c r="AE538" s="381" t="s">
        <v>444</v>
      </c>
    </row>
    <row r="539" spans="1:31" ht="15" customHeight="1" x14ac:dyDescent="0.25">
      <c r="A539" s="20" t="s">
        <v>156</v>
      </c>
      <c r="B539" s="20" t="s">
        <v>534</v>
      </c>
      <c r="C539" s="20" t="s">
        <v>535</v>
      </c>
      <c r="D539" s="378" t="s">
        <v>897</v>
      </c>
      <c r="E539" s="384">
        <v>45292</v>
      </c>
      <c r="F539" s="384">
        <v>47119</v>
      </c>
      <c r="G539" s="378" t="s">
        <v>439</v>
      </c>
      <c r="H539" s="20" t="s">
        <v>898</v>
      </c>
      <c r="I539" s="378" t="s">
        <v>441</v>
      </c>
      <c r="J539" s="20" t="s">
        <v>163</v>
      </c>
      <c r="K539" s="378" t="s">
        <v>899</v>
      </c>
      <c r="L539" s="378" t="s">
        <v>165</v>
      </c>
      <c r="M539" s="380" t="s">
        <v>488</v>
      </c>
      <c r="N539" s="380" t="s">
        <v>443</v>
      </c>
      <c r="O539" s="380" t="s">
        <v>443</v>
      </c>
      <c r="P539" s="380" t="s">
        <v>443</v>
      </c>
      <c r="Q539" s="381">
        <v>208.50900999999999</v>
      </c>
      <c r="R539" s="381">
        <v>208.39816999999999</v>
      </c>
      <c r="S539" s="381">
        <v>9.0040111000000006E-2</v>
      </c>
      <c r="T539" s="381">
        <v>2.0800603000000001E-2</v>
      </c>
      <c r="U539" s="381">
        <v>0</v>
      </c>
      <c r="V539" s="382">
        <v>208.509010714</v>
      </c>
      <c r="W539" s="382">
        <v>0</v>
      </c>
      <c r="X539" s="381">
        <v>8.6878754166666669E-2</v>
      </c>
      <c r="Y539" s="381">
        <v>8.6832570833333331E-2</v>
      </c>
      <c r="Z539" s="381">
        <v>3.7516712916666671E-5</v>
      </c>
      <c r="AA539" s="381">
        <v>8.6669179166666668E-6</v>
      </c>
      <c r="AB539" s="381">
        <v>0</v>
      </c>
      <c r="AC539" s="382">
        <v>8.6878754464166666E-2</v>
      </c>
      <c r="AD539" s="382">
        <v>0</v>
      </c>
      <c r="AE539" s="381" t="s">
        <v>444</v>
      </c>
    </row>
    <row r="540" spans="1:31" ht="15" customHeight="1" x14ac:dyDescent="0.25">
      <c r="A540" s="20" t="s">
        <v>156</v>
      </c>
      <c r="B540" s="20" t="s">
        <v>534</v>
      </c>
      <c r="C540" s="20" t="s">
        <v>535</v>
      </c>
      <c r="D540" s="378" t="s">
        <v>900</v>
      </c>
      <c r="E540" s="384">
        <v>45292</v>
      </c>
      <c r="F540" s="384">
        <v>47119</v>
      </c>
      <c r="G540" s="378" t="s">
        <v>439</v>
      </c>
      <c r="H540" s="20" t="s">
        <v>901</v>
      </c>
      <c r="I540" s="378" t="s">
        <v>441</v>
      </c>
      <c r="J540" s="20" t="s">
        <v>163</v>
      </c>
      <c r="K540" s="378" t="s">
        <v>902</v>
      </c>
      <c r="L540" s="378" t="s">
        <v>165</v>
      </c>
      <c r="M540" s="380" t="s">
        <v>488</v>
      </c>
      <c r="N540" s="380" t="s">
        <v>443</v>
      </c>
      <c r="O540" s="380" t="s">
        <v>443</v>
      </c>
      <c r="P540" s="380" t="s">
        <v>443</v>
      </c>
      <c r="Q540" s="381">
        <v>196.45063999999999</v>
      </c>
      <c r="R540" s="381">
        <v>196.33985999999999</v>
      </c>
      <c r="S540" s="381">
        <v>9.1872386E-2</v>
      </c>
      <c r="T540" s="381">
        <v>1.8908085000000002E-2</v>
      </c>
      <c r="U540" s="381">
        <v>0</v>
      </c>
      <c r="V540" s="382">
        <v>196.45064047099999</v>
      </c>
      <c r="W540" s="382">
        <v>0</v>
      </c>
      <c r="X540" s="381">
        <v>8.1854433333333323E-2</v>
      </c>
      <c r="Y540" s="381">
        <v>8.1808275E-2</v>
      </c>
      <c r="Z540" s="381">
        <v>3.8280160833333332E-5</v>
      </c>
      <c r="AA540" s="381">
        <v>7.8783687500000002E-6</v>
      </c>
      <c r="AB540" s="381">
        <v>0</v>
      </c>
      <c r="AC540" s="382">
        <v>8.185443352958334E-2</v>
      </c>
      <c r="AD540" s="382">
        <v>0</v>
      </c>
      <c r="AE540" s="381" t="s">
        <v>444</v>
      </c>
    </row>
    <row r="541" spans="1:31" ht="15" customHeight="1" x14ac:dyDescent="0.25">
      <c r="A541" s="20" t="s">
        <v>156</v>
      </c>
      <c r="B541" s="20" t="s">
        <v>534</v>
      </c>
      <c r="C541" s="20" t="s">
        <v>535</v>
      </c>
      <c r="D541" s="378" t="s">
        <v>903</v>
      </c>
      <c r="E541" s="384">
        <v>45292</v>
      </c>
      <c r="F541" s="384">
        <v>47119</v>
      </c>
      <c r="G541" s="378" t="s">
        <v>439</v>
      </c>
      <c r="H541" s="20" t="s">
        <v>904</v>
      </c>
      <c r="I541" s="378" t="s">
        <v>441</v>
      </c>
      <c r="J541" s="20" t="s">
        <v>163</v>
      </c>
      <c r="K541" s="378" t="s">
        <v>905</v>
      </c>
      <c r="L541" s="378" t="s">
        <v>165</v>
      </c>
      <c r="M541" s="380" t="s">
        <v>488</v>
      </c>
      <c r="N541" s="380" t="s">
        <v>443</v>
      </c>
      <c r="O541" s="380" t="s">
        <v>443</v>
      </c>
      <c r="P541" s="380" t="s">
        <v>443</v>
      </c>
      <c r="Q541" s="381">
        <v>179.05417</v>
      </c>
      <c r="R541" s="381">
        <v>178.95126999999999</v>
      </c>
      <c r="S541" s="381">
        <v>5.7106224999999997E-2</v>
      </c>
      <c r="T541" s="381">
        <v>4.5785779999999998E-2</v>
      </c>
      <c r="U541" s="381">
        <v>0</v>
      </c>
      <c r="V541" s="382">
        <v>179.05416200499999</v>
      </c>
      <c r="W541" s="382">
        <v>0</v>
      </c>
      <c r="X541" s="381">
        <v>7.4605904166666667E-2</v>
      </c>
      <c r="Y541" s="381">
        <v>7.4563029166666669E-2</v>
      </c>
      <c r="Z541" s="381">
        <v>2.3794260416666665E-5</v>
      </c>
      <c r="AA541" s="381">
        <v>1.9077408333333333E-5</v>
      </c>
      <c r="AB541" s="381">
        <v>0</v>
      </c>
      <c r="AC541" s="382">
        <v>7.4605900835416669E-2</v>
      </c>
      <c r="AD541" s="382">
        <v>0</v>
      </c>
      <c r="AE541" s="381" t="s">
        <v>444</v>
      </c>
    </row>
    <row r="542" spans="1:31" ht="15" customHeight="1" x14ac:dyDescent="0.25">
      <c r="A542" s="20" t="s">
        <v>156</v>
      </c>
      <c r="B542" s="20" t="s">
        <v>534</v>
      </c>
      <c r="C542" s="20" t="s">
        <v>535</v>
      </c>
      <c r="D542" s="378" t="s">
        <v>906</v>
      </c>
      <c r="E542" s="384">
        <v>45292</v>
      </c>
      <c r="F542" s="384">
        <v>47119</v>
      </c>
      <c r="G542" s="378" t="s">
        <v>439</v>
      </c>
      <c r="H542" s="20" t="s">
        <v>907</v>
      </c>
      <c r="I542" s="378" t="s">
        <v>441</v>
      </c>
      <c r="J542" s="20" t="s">
        <v>163</v>
      </c>
      <c r="K542" s="378" t="s">
        <v>908</v>
      </c>
      <c r="L542" s="378" t="s">
        <v>165</v>
      </c>
      <c r="M542" s="380" t="s">
        <v>488</v>
      </c>
      <c r="N542" s="380" t="s">
        <v>443</v>
      </c>
      <c r="O542" s="380" t="s">
        <v>443</v>
      </c>
      <c r="P542" s="380" t="s">
        <v>443</v>
      </c>
      <c r="Q542" s="381">
        <v>227.76722000000001</v>
      </c>
      <c r="R542" s="381">
        <v>227.66561999999999</v>
      </c>
      <c r="S542" s="381">
        <v>0.10158250000000001</v>
      </c>
      <c r="T542" s="381">
        <v>1.530675E-5</v>
      </c>
      <c r="U542" s="381">
        <v>0</v>
      </c>
      <c r="V542" s="382">
        <v>227.76721780674998</v>
      </c>
      <c r="W542" s="382">
        <v>0</v>
      </c>
      <c r="X542" s="381">
        <v>9.490300833333333E-2</v>
      </c>
      <c r="Y542" s="381">
        <v>9.4860674999999992E-2</v>
      </c>
      <c r="Z542" s="381">
        <v>4.2326041666666666E-5</v>
      </c>
      <c r="AA542" s="381">
        <v>6.3778124999999999E-9</v>
      </c>
      <c r="AB542" s="381">
        <v>0</v>
      </c>
      <c r="AC542" s="382">
        <v>9.4903007419479157E-2</v>
      </c>
      <c r="AD542" s="382">
        <v>0</v>
      </c>
      <c r="AE542" s="381" t="s">
        <v>444</v>
      </c>
    </row>
    <row r="543" spans="1:31" ht="15" customHeight="1" x14ac:dyDescent="0.25">
      <c r="A543" s="20" t="s">
        <v>156</v>
      </c>
      <c r="B543" s="20" t="s">
        <v>534</v>
      </c>
      <c r="C543" s="20" t="s">
        <v>535</v>
      </c>
      <c r="D543" s="378" t="s">
        <v>909</v>
      </c>
      <c r="E543" s="384">
        <v>45292</v>
      </c>
      <c r="F543" s="384">
        <v>47119</v>
      </c>
      <c r="G543" s="378" t="s">
        <v>439</v>
      </c>
      <c r="H543" s="20" t="s">
        <v>910</v>
      </c>
      <c r="I543" s="378" t="s">
        <v>441</v>
      </c>
      <c r="J543" s="20" t="s">
        <v>163</v>
      </c>
      <c r="K543" s="378" t="s">
        <v>911</v>
      </c>
      <c r="L543" s="378" t="s">
        <v>165</v>
      </c>
      <c r="M543" s="380" t="s">
        <v>488</v>
      </c>
      <c r="N543" s="380" t="s">
        <v>443</v>
      </c>
      <c r="O543" s="380" t="s">
        <v>443</v>
      </c>
      <c r="P543" s="380" t="s">
        <v>443</v>
      </c>
      <c r="Q543" s="381">
        <v>180.25583</v>
      </c>
      <c r="R543" s="381">
        <v>180.16299000000001</v>
      </c>
      <c r="S543" s="381">
        <v>9.1489350999999997E-2</v>
      </c>
      <c r="T543" s="381">
        <v>1.3458855E-3</v>
      </c>
      <c r="U543" s="381">
        <v>0</v>
      </c>
      <c r="V543" s="382">
        <v>180.25582523650002</v>
      </c>
      <c r="W543" s="382">
        <v>0</v>
      </c>
      <c r="X543" s="381">
        <v>7.5106595833333331E-2</v>
      </c>
      <c r="Y543" s="381">
        <v>7.50679125E-2</v>
      </c>
      <c r="Z543" s="381">
        <v>3.8120562916666664E-5</v>
      </c>
      <c r="AA543" s="381">
        <v>5.6078562499999994E-7</v>
      </c>
      <c r="AB543" s="381">
        <v>0</v>
      </c>
      <c r="AC543" s="382">
        <v>7.5106593848541667E-2</v>
      </c>
      <c r="AD543" s="382">
        <v>0</v>
      </c>
      <c r="AE543" s="381" t="s">
        <v>444</v>
      </c>
    </row>
    <row r="544" spans="1:31" ht="15" customHeight="1" x14ac:dyDescent="0.25">
      <c r="A544" s="20" t="s">
        <v>156</v>
      </c>
      <c r="B544" s="20" t="s">
        <v>534</v>
      </c>
      <c r="C544" s="20" t="s">
        <v>535</v>
      </c>
      <c r="D544" s="378" t="s">
        <v>912</v>
      </c>
      <c r="E544" s="384">
        <v>45292</v>
      </c>
      <c r="F544" s="384">
        <v>47119</v>
      </c>
      <c r="G544" s="378" t="s">
        <v>439</v>
      </c>
      <c r="H544" s="20" t="s">
        <v>913</v>
      </c>
      <c r="I544" s="378" t="s">
        <v>441</v>
      </c>
      <c r="J544" s="20" t="s">
        <v>163</v>
      </c>
      <c r="K544" s="378" t="s">
        <v>914</v>
      </c>
      <c r="L544" s="378" t="s">
        <v>165</v>
      </c>
      <c r="M544" s="380" t="s">
        <v>488</v>
      </c>
      <c r="N544" s="380" t="s">
        <v>443</v>
      </c>
      <c r="O544" s="380" t="s">
        <v>443</v>
      </c>
      <c r="P544" s="380" t="s">
        <v>443</v>
      </c>
      <c r="Q544" s="381">
        <v>377.35953000000001</v>
      </c>
      <c r="R544" s="381">
        <v>377.27553</v>
      </c>
      <c r="S544" s="381">
        <v>8.1727353000000003E-2</v>
      </c>
      <c r="T544" s="381">
        <v>2.2793784E-3</v>
      </c>
      <c r="U544" s="381">
        <v>0</v>
      </c>
      <c r="V544" s="382">
        <v>377.3595367314</v>
      </c>
      <c r="W544" s="382">
        <v>0</v>
      </c>
      <c r="X544" s="381">
        <v>0.15723313750000001</v>
      </c>
      <c r="Y544" s="381">
        <v>0.1571981375</v>
      </c>
      <c r="Z544" s="381">
        <v>3.4053063750000004E-5</v>
      </c>
      <c r="AA544" s="381">
        <v>9.4974099999999995E-7</v>
      </c>
      <c r="AB544" s="381">
        <v>0</v>
      </c>
      <c r="AC544" s="382">
        <v>0.15723314030475002</v>
      </c>
      <c r="AD544" s="382">
        <v>0</v>
      </c>
      <c r="AE544" s="381" t="s">
        <v>444</v>
      </c>
    </row>
    <row r="545" spans="1:31" ht="15" customHeight="1" x14ac:dyDescent="0.25">
      <c r="A545" s="20" t="s">
        <v>156</v>
      </c>
      <c r="B545" s="20" t="s">
        <v>534</v>
      </c>
      <c r="C545" s="20" t="s">
        <v>535</v>
      </c>
      <c r="D545" s="378" t="s">
        <v>915</v>
      </c>
      <c r="E545" s="384">
        <v>45292</v>
      </c>
      <c r="F545" s="384">
        <v>47119</v>
      </c>
      <c r="G545" s="378" t="s">
        <v>439</v>
      </c>
      <c r="H545" s="20" t="s">
        <v>916</v>
      </c>
      <c r="I545" s="378" t="s">
        <v>441</v>
      </c>
      <c r="J545" s="20" t="s">
        <v>163</v>
      </c>
      <c r="K545" s="378" t="s">
        <v>917</v>
      </c>
      <c r="L545" s="378" t="s">
        <v>165</v>
      </c>
      <c r="M545" s="380" t="s">
        <v>488</v>
      </c>
      <c r="N545" s="380" t="s">
        <v>443</v>
      </c>
      <c r="O545" s="380" t="s">
        <v>443</v>
      </c>
      <c r="P545" s="380" t="s">
        <v>443</v>
      </c>
      <c r="Q545" s="381">
        <v>179.74429000000001</v>
      </c>
      <c r="R545" s="381">
        <v>179.66362000000001</v>
      </c>
      <c r="S545" s="381">
        <v>7.9477457000000001E-2</v>
      </c>
      <c r="T545" s="381">
        <v>1.1914944999999999E-3</v>
      </c>
      <c r="U545" s="381">
        <v>0</v>
      </c>
      <c r="V545" s="382">
        <v>179.74428895150001</v>
      </c>
      <c r="W545" s="382">
        <v>0</v>
      </c>
      <c r="X545" s="381">
        <v>7.4893454166666665E-2</v>
      </c>
      <c r="Y545" s="381">
        <v>7.4859841666666677E-2</v>
      </c>
      <c r="Z545" s="381">
        <v>3.3115607083333335E-5</v>
      </c>
      <c r="AA545" s="381">
        <v>4.9645604166666662E-7</v>
      </c>
      <c r="AB545" s="381">
        <v>0</v>
      </c>
      <c r="AC545" s="382">
        <v>7.489345372979167E-2</v>
      </c>
      <c r="AD545" s="382">
        <v>0</v>
      </c>
      <c r="AE545" s="381" t="s">
        <v>444</v>
      </c>
    </row>
    <row r="546" spans="1:31" ht="15" customHeight="1" x14ac:dyDescent="0.25">
      <c r="A546" s="20" t="s">
        <v>156</v>
      </c>
      <c r="B546" s="20" t="s">
        <v>534</v>
      </c>
      <c r="C546" s="20" t="s">
        <v>535</v>
      </c>
      <c r="D546" s="378" t="s">
        <v>918</v>
      </c>
      <c r="E546" s="384">
        <v>45292</v>
      </c>
      <c r="F546" s="384">
        <v>47119</v>
      </c>
      <c r="G546" s="378" t="s">
        <v>439</v>
      </c>
      <c r="H546" s="20" t="s">
        <v>919</v>
      </c>
      <c r="I546" s="378" t="s">
        <v>441</v>
      </c>
      <c r="J546" s="20" t="s">
        <v>163</v>
      </c>
      <c r="K546" s="378" t="s">
        <v>920</v>
      </c>
      <c r="L546" s="378" t="s">
        <v>165</v>
      </c>
      <c r="M546" s="380" t="s">
        <v>488</v>
      </c>
      <c r="N546" s="380" t="s">
        <v>443</v>
      </c>
      <c r="O546" s="380" t="s">
        <v>443</v>
      </c>
      <c r="P546" s="380" t="s">
        <v>443</v>
      </c>
      <c r="Q546" s="381">
        <v>177.46567999999999</v>
      </c>
      <c r="R546" s="381">
        <v>177.38738000000001</v>
      </c>
      <c r="S546" s="381">
        <v>7.7104386999999996E-2</v>
      </c>
      <c r="T546" s="381">
        <v>1.1907832E-3</v>
      </c>
      <c r="U546" s="381">
        <v>0</v>
      </c>
      <c r="V546" s="382">
        <v>177.4656751702</v>
      </c>
      <c r="W546" s="382">
        <v>0</v>
      </c>
      <c r="X546" s="381">
        <v>7.3944033333333326E-2</v>
      </c>
      <c r="Y546" s="381">
        <v>7.3911408333333331E-2</v>
      </c>
      <c r="Z546" s="381">
        <v>3.2126827916666665E-5</v>
      </c>
      <c r="AA546" s="381">
        <v>4.9615966666666662E-7</v>
      </c>
      <c r="AB546" s="381">
        <v>0</v>
      </c>
      <c r="AC546" s="382">
        <v>7.3944031320916676E-2</v>
      </c>
      <c r="AD546" s="382">
        <v>0</v>
      </c>
      <c r="AE546" s="381" t="s">
        <v>444</v>
      </c>
    </row>
    <row r="547" spans="1:31" ht="15" customHeight="1" x14ac:dyDescent="0.25">
      <c r="A547" s="20" t="s">
        <v>156</v>
      </c>
      <c r="B547" s="20" t="s">
        <v>534</v>
      </c>
      <c r="C547" s="20" t="s">
        <v>535</v>
      </c>
      <c r="D547" s="378" t="s">
        <v>921</v>
      </c>
      <c r="E547" s="384">
        <v>45292</v>
      </c>
      <c r="F547" s="384">
        <v>47119</v>
      </c>
      <c r="G547" s="378" t="s">
        <v>439</v>
      </c>
      <c r="H547" s="20" t="s">
        <v>922</v>
      </c>
      <c r="I547" s="378" t="s">
        <v>441</v>
      </c>
      <c r="J547" s="20" t="s">
        <v>163</v>
      </c>
      <c r="K547" s="378" t="s">
        <v>923</v>
      </c>
      <c r="L547" s="378" t="s">
        <v>165</v>
      </c>
      <c r="M547" s="380" t="s">
        <v>488</v>
      </c>
      <c r="N547" s="380" t="s">
        <v>443</v>
      </c>
      <c r="O547" s="380" t="s">
        <v>443</v>
      </c>
      <c r="P547" s="380" t="s">
        <v>443</v>
      </c>
      <c r="Q547" s="381">
        <v>245.91797</v>
      </c>
      <c r="R547" s="381">
        <v>245.83974000000001</v>
      </c>
      <c r="S547" s="381">
        <v>7.6919225999999993E-2</v>
      </c>
      <c r="T547" s="381">
        <v>1.3107323999999999E-3</v>
      </c>
      <c r="U547" s="381">
        <v>0</v>
      </c>
      <c r="V547" s="382">
        <v>245.91796995839999</v>
      </c>
      <c r="W547" s="382">
        <v>0</v>
      </c>
      <c r="X547" s="381">
        <v>0.10246582083333333</v>
      </c>
      <c r="Y547" s="381">
        <v>0.102433225</v>
      </c>
      <c r="Z547" s="381">
        <v>3.2049677499999994E-5</v>
      </c>
      <c r="AA547" s="381">
        <v>5.4613849999999995E-7</v>
      </c>
      <c r="AB547" s="381">
        <v>0</v>
      </c>
      <c r="AC547" s="382">
        <v>0.102465820816</v>
      </c>
      <c r="AD547" s="382">
        <v>0</v>
      </c>
      <c r="AE547" s="381" t="s">
        <v>444</v>
      </c>
    </row>
    <row r="548" spans="1:31" ht="15" customHeight="1" x14ac:dyDescent="0.25">
      <c r="A548" s="20" t="s">
        <v>156</v>
      </c>
      <c r="B548" s="20" t="s">
        <v>534</v>
      </c>
      <c r="C548" s="20" t="s">
        <v>535</v>
      </c>
      <c r="D548" s="378" t="s">
        <v>924</v>
      </c>
      <c r="E548" s="384">
        <v>45292</v>
      </c>
      <c r="F548" s="384">
        <v>47119</v>
      </c>
      <c r="G548" s="378" t="s">
        <v>439</v>
      </c>
      <c r="H548" s="20" t="s">
        <v>925</v>
      </c>
      <c r="I548" s="378" t="s">
        <v>441</v>
      </c>
      <c r="J548" s="20" t="s">
        <v>163</v>
      </c>
      <c r="K548" s="378" t="s">
        <v>926</v>
      </c>
      <c r="L548" s="378" t="s">
        <v>165</v>
      </c>
      <c r="M548" s="380" t="s">
        <v>488</v>
      </c>
      <c r="N548" s="380" t="s">
        <v>443</v>
      </c>
      <c r="O548" s="380" t="s">
        <v>443</v>
      </c>
      <c r="P548" s="380" t="s">
        <v>443</v>
      </c>
      <c r="Q548" s="381">
        <v>245.91797</v>
      </c>
      <c r="R548" s="381">
        <v>245.83974000000001</v>
      </c>
      <c r="S548" s="381">
        <v>7.6919225999999993E-2</v>
      </c>
      <c r="T548" s="381">
        <v>1.3107323999999999E-3</v>
      </c>
      <c r="U548" s="381">
        <v>0</v>
      </c>
      <c r="V548" s="382">
        <v>245.91796995839999</v>
      </c>
      <c r="W548" s="382">
        <v>0</v>
      </c>
      <c r="X548" s="381">
        <v>0.10246582083333333</v>
      </c>
      <c r="Y548" s="381">
        <v>0.102433225</v>
      </c>
      <c r="Z548" s="381">
        <v>3.2049677499999994E-5</v>
      </c>
      <c r="AA548" s="381">
        <v>5.4613849999999995E-7</v>
      </c>
      <c r="AB548" s="381">
        <v>0</v>
      </c>
      <c r="AC548" s="382">
        <v>0.102465820816</v>
      </c>
      <c r="AD548" s="382">
        <v>0</v>
      </c>
      <c r="AE548" s="381" t="s">
        <v>444</v>
      </c>
    </row>
    <row r="549" spans="1:31" ht="15" customHeight="1" x14ac:dyDescent="0.25">
      <c r="A549" s="20" t="s">
        <v>156</v>
      </c>
      <c r="B549" s="20" t="s">
        <v>534</v>
      </c>
      <c r="C549" s="20" t="s">
        <v>535</v>
      </c>
      <c r="D549" s="378" t="s">
        <v>927</v>
      </c>
      <c r="E549" s="384">
        <v>45292</v>
      </c>
      <c r="F549" s="384">
        <v>47119</v>
      </c>
      <c r="G549" s="378" t="s">
        <v>439</v>
      </c>
      <c r="H549" s="20" t="s">
        <v>928</v>
      </c>
      <c r="I549" s="378" t="s">
        <v>441</v>
      </c>
      <c r="J549" s="20" t="s">
        <v>163</v>
      </c>
      <c r="K549" s="378" t="s">
        <v>929</v>
      </c>
      <c r="L549" s="378" t="s">
        <v>165</v>
      </c>
      <c r="M549" s="380" t="s">
        <v>488</v>
      </c>
      <c r="N549" s="380" t="s">
        <v>443</v>
      </c>
      <c r="O549" s="380" t="s">
        <v>443</v>
      </c>
      <c r="P549" s="380" t="s">
        <v>443</v>
      </c>
      <c r="Q549" s="381">
        <v>178.70975999999999</v>
      </c>
      <c r="R549" s="381">
        <v>178.63875999999999</v>
      </c>
      <c r="S549" s="381">
        <v>7.0987023999999996E-2</v>
      </c>
      <c r="T549" s="381">
        <v>1.7438890999999999E-5</v>
      </c>
      <c r="U549" s="381">
        <v>0</v>
      </c>
      <c r="V549" s="382">
        <v>178.709764462891</v>
      </c>
      <c r="W549" s="382">
        <v>0</v>
      </c>
      <c r="X549" s="381">
        <v>7.4462399999999998E-2</v>
      </c>
      <c r="Y549" s="381">
        <v>7.4432816666666665E-2</v>
      </c>
      <c r="Z549" s="381">
        <v>2.9577926666666664E-5</v>
      </c>
      <c r="AA549" s="381">
        <v>7.2662045833333324E-9</v>
      </c>
      <c r="AB549" s="381">
        <v>0</v>
      </c>
      <c r="AC549" s="382">
        <v>7.4462401859537911E-2</v>
      </c>
      <c r="AD549" s="382">
        <v>0</v>
      </c>
      <c r="AE549" s="381" t="s">
        <v>444</v>
      </c>
    </row>
    <row r="550" spans="1:31" ht="15" customHeight="1" x14ac:dyDescent="0.25">
      <c r="A550" s="20" t="s">
        <v>156</v>
      </c>
      <c r="B550" s="20" t="s">
        <v>534</v>
      </c>
      <c r="C550" s="20" t="s">
        <v>535</v>
      </c>
      <c r="D550" s="378" t="s">
        <v>930</v>
      </c>
      <c r="E550" s="384">
        <v>45292</v>
      </c>
      <c r="F550" s="384">
        <v>47119</v>
      </c>
      <c r="G550" s="378" t="s">
        <v>439</v>
      </c>
      <c r="H550" s="20" t="s">
        <v>931</v>
      </c>
      <c r="I550" s="378" t="s">
        <v>441</v>
      </c>
      <c r="J550" s="20" t="s">
        <v>163</v>
      </c>
      <c r="K550" s="378" t="s">
        <v>932</v>
      </c>
      <c r="L550" s="378" t="s">
        <v>165</v>
      </c>
      <c r="M550" s="380" t="s">
        <v>488</v>
      </c>
      <c r="N550" s="380" t="s">
        <v>443</v>
      </c>
      <c r="O550" s="380" t="s">
        <v>443</v>
      </c>
      <c r="P550" s="380" t="s">
        <v>443</v>
      </c>
      <c r="Q550" s="381">
        <v>165.06120000000001</v>
      </c>
      <c r="R550" s="381">
        <v>165.01166000000001</v>
      </c>
      <c r="S550" s="381">
        <v>3.1010474E-2</v>
      </c>
      <c r="T550" s="381">
        <v>1.8531022000000001E-2</v>
      </c>
      <c r="U550" s="381">
        <v>0</v>
      </c>
      <c r="V550" s="382">
        <v>165.061201496</v>
      </c>
      <c r="W550" s="382">
        <v>0</v>
      </c>
      <c r="X550" s="381">
        <v>6.8775500000000003E-2</v>
      </c>
      <c r="Y550" s="381">
        <v>6.8754858333333335E-2</v>
      </c>
      <c r="Z550" s="381">
        <v>1.2921030833333334E-5</v>
      </c>
      <c r="AA550" s="381">
        <v>7.7212591666666679E-6</v>
      </c>
      <c r="AB550" s="381">
        <v>0</v>
      </c>
      <c r="AC550" s="382">
        <v>6.8775500623333333E-2</v>
      </c>
      <c r="AD550" s="382">
        <v>0</v>
      </c>
      <c r="AE550" s="381" t="s">
        <v>444</v>
      </c>
    </row>
    <row r="551" spans="1:31" ht="15" customHeight="1" x14ac:dyDescent="0.25">
      <c r="A551" s="20" t="s">
        <v>156</v>
      </c>
      <c r="B551" s="20" t="s">
        <v>534</v>
      </c>
      <c r="C551" s="20" t="s">
        <v>535</v>
      </c>
      <c r="D551" s="378" t="s">
        <v>933</v>
      </c>
      <c r="E551" s="384">
        <v>45292</v>
      </c>
      <c r="F551" s="384">
        <v>47119</v>
      </c>
      <c r="G551" s="378" t="s">
        <v>439</v>
      </c>
      <c r="H551" s="20" t="s">
        <v>934</v>
      </c>
      <c r="I551" s="378" t="s">
        <v>441</v>
      </c>
      <c r="J551" s="20" t="s">
        <v>163</v>
      </c>
      <c r="K551" s="378" t="s">
        <v>935</v>
      </c>
      <c r="L551" s="378" t="s">
        <v>165</v>
      </c>
      <c r="M551" s="380" t="s">
        <v>488</v>
      </c>
      <c r="N551" s="380" t="s">
        <v>443</v>
      </c>
      <c r="O551" s="380" t="s">
        <v>443</v>
      </c>
      <c r="P551" s="380" t="s">
        <v>443</v>
      </c>
      <c r="Q551" s="381">
        <v>186.88766000000001</v>
      </c>
      <c r="R551" s="381">
        <v>186.85402999999999</v>
      </c>
      <c r="S551" s="381">
        <v>3.2982003000000003E-2</v>
      </c>
      <c r="T551" s="381">
        <v>6.5294854999999995E-4</v>
      </c>
      <c r="U551" s="381">
        <v>0</v>
      </c>
      <c r="V551" s="382">
        <v>186.88766495154999</v>
      </c>
      <c r="W551" s="382">
        <v>0</v>
      </c>
      <c r="X551" s="381">
        <v>7.7869858333333333E-2</v>
      </c>
      <c r="Y551" s="381">
        <v>7.7855845833333326E-2</v>
      </c>
      <c r="Z551" s="381">
        <v>1.3742501250000001E-5</v>
      </c>
      <c r="AA551" s="381">
        <v>2.7206189583333331E-7</v>
      </c>
      <c r="AB551" s="381">
        <v>0</v>
      </c>
      <c r="AC551" s="382">
        <v>7.7869860396479154E-2</v>
      </c>
      <c r="AD551" s="382">
        <v>0</v>
      </c>
      <c r="AE551" s="381" t="s">
        <v>444</v>
      </c>
    </row>
    <row r="552" spans="1:31" ht="15" customHeight="1" x14ac:dyDescent="0.25">
      <c r="A552" s="20" t="s">
        <v>156</v>
      </c>
      <c r="B552" s="20" t="s">
        <v>534</v>
      </c>
      <c r="C552" s="20" t="s">
        <v>535</v>
      </c>
      <c r="D552" s="378" t="s">
        <v>936</v>
      </c>
      <c r="E552" s="384">
        <v>45292</v>
      </c>
      <c r="F552" s="384">
        <v>47119</v>
      </c>
      <c r="G552" s="378" t="s">
        <v>439</v>
      </c>
      <c r="H552" s="20" t="s">
        <v>937</v>
      </c>
      <c r="I552" s="378" t="s">
        <v>441</v>
      </c>
      <c r="J552" s="20" t="s">
        <v>163</v>
      </c>
      <c r="K552" s="378" t="s">
        <v>938</v>
      </c>
      <c r="L552" s="378" t="s">
        <v>165</v>
      </c>
      <c r="M552" s="380" t="s">
        <v>488</v>
      </c>
      <c r="N552" s="380" t="s">
        <v>443</v>
      </c>
      <c r="O552" s="380" t="s">
        <v>443</v>
      </c>
      <c r="P552" s="380" t="s">
        <v>443</v>
      </c>
      <c r="Q552" s="381">
        <v>291.43765000000002</v>
      </c>
      <c r="R552" s="381">
        <v>291.44932999999997</v>
      </c>
      <c r="S552" s="381">
        <v>-2.096806E-2</v>
      </c>
      <c r="T552" s="381">
        <v>9.2897104999999994E-3</v>
      </c>
      <c r="U552" s="381">
        <v>0</v>
      </c>
      <c r="V552" s="382">
        <v>291.45861971049999</v>
      </c>
      <c r="W552" s="382">
        <v>0</v>
      </c>
      <c r="X552" s="381">
        <v>0.12143235416666667</v>
      </c>
      <c r="Y552" s="381">
        <v>0.12143722083333332</v>
      </c>
      <c r="Z552" s="381">
        <v>-8.7366916666666672E-6</v>
      </c>
      <c r="AA552" s="381">
        <v>3.8707127083333329E-6</v>
      </c>
      <c r="AB552" s="381">
        <v>0</v>
      </c>
      <c r="AC552" s="382">
        <v>0.12144109154604166</v>
      </c>
      <c r="AD552" s="382">
        <v>0</v>
      </c>
      <c r="AE552" s="381" t="s">
        <v>444</v>
      </c>
    </row>
    <row r="553" spans="1:31" ht="15" customHeight="1" x14ac:dyDescent="0.25">
      <c r="A553" s="20" t="s">
        <v>156</v>
      </c>
      <c r="B553" s="20" t="s">
        <v>939</v>
      </c>
      <c r="C553" s="20" t="s">
        <v>940</v>
      </c>
      <c r="D553" s="378" t="s">
        <v>941</v>
      </c>
      <c r="E553" s="379">
        <v>44573</v>
      </c>
      <c r="F553" s="379">
        <v>46656</v>
      </c>
      <c r="G553" s="378" t="s">
        <v>179</v>
      </c>
      <c r="H553" s="20" t="s">
        <v>180</v>
      </c>
      <c r="I553" s="20" t="s">
        <v>162</v>
      </c>
      <c r="J553" s="20" t="s">
        <v>163</v>
      </c>
      <c r="K553" s="378" t="s">
        <v>181</v>
      </c>
      <c r="L553" s="20" t="s">
        <v>165</v>
      </c>
      <c r="M553" s="380">
        <v>2400</v>
      </c>
      <c r="N553" s="380"/>
      <c r="O553" s="380"/>
      <c r="P553" s="380"/>
      <c r="Q553" s="381" t="s">
        <v>942</v>
      </c>
      <c r="R553" s="381" t="s">
        <v>942</v>
      </c>
      <c r="S553" s="381" t="s">
        <v>943</v>
      </c>
      <c r="T553" s="381"/>
      <c r="U553" s="381"/>
      <c r="V553" s="382">
        <v>255.44</v>
      </c>
      <c r="W553" s="382">
        <v>0</v>
      </c>
      <c r="X553" s="381">
        <v>0.10625</v>
      </c>
      <c r="Y553" s="381">
        <v>0.10625</v>
      </c>
      <c r="Z553" s="381">
        <v>1.8333333333333334E-4</v>
      </c>
      <c r="AA553" s="381">
        <v>0</v>
      </c>
      <c r="AB553" s="381">
        <v>0</v>
      </c>
      <c r="AC553" s="382">
        <v>0.10643333333333332</v>
      </c>
      <c r="AD553" s="382">
        <v>0</v>
      </c>
      <c r="AE553" s="381" t="s">
        <v>168</v>
      </c>
    </row>
    <row r="554" spans="1:31" ht="15" customHeight="1" x14ac:dyDescent="0.25">
      <c r="A554" s="20" t="s">
        <v>156</v>
      </c>
      <c r="B554" s="20" t="s">
        <v>939</v>
      </c>
      <c r="C554" s="20" t="s">
        <v>940</v>
      </c>
      <c r="D554" s="378" t="s">
        <v>944</v>
      </c>
      <c r="E554" s="379">
        <v>44588</v>
      </c>
      <c r="F554" s="379">
        <v>46414</v>
      </c>
      <c r="G554" s="378" t="s">
        <v>160</v>
      </c>
      <c r="H554" s="20" t="s">
        <v>161</v>
      </c>
      <c r="I554" s="20" t="s">
        <v>162</v>
      </c>
      <c r="J554" s="20" t="s">
        <v>163</v>
      </c>
      <c r="K554" s="378" t="s">
        <v>164</v>
      </c>
      <c r="L554" s="20" t="s">
        <v>165</v>
      </c>
      <c r="M554" s="380">
        <v>2400</v>
      </c>
      <c r="N554" s="380"/>
      <c r="O554" s="380"/>
      <c r="P554" s="380"/>
      <c r="Q554" s="381" t="s">
        <v>945</v>
      </c>
      <c r="R554" s="381">
        <v>238</v>
      </c>
      <c r="S554" s="381" t="s">
        <v>755</v>
      </c>
      <c r="T554" s="381"/>
      <c r="U554" s="381"/>
      <c r="V554" s="382">
        <v>238.33</v>
      </c>
      <c r="W554" s="382">
        <v>0</v>
      </c>
      <c r="X554" s="381">
        <v>9.9166666666666667E-2</v>
      </c>
      <c r="Y554" s="381">
        <v>9.9166666666666667E-2</v>
      </c>
      <c r="Z554" s="381">
        <v>1.3750000000000001E-4</v>
      </c>
      <c r="AA554" s="381">
        <v>0</v>
      </c>
      <c r="AB554" s="381">
        <v>0</v>
      </c>
      <c r="AC554" s="382">
        <v>9.9304166666666666E-2</v>
      </c>
      <c r="AD554" s="382">
        <v>0</v>
      </c>
      <c r="AE554" s="381" t="s">
        <v>168</v>
      </c>
    </row>
    <row r="555" spans="1:31" ht="15" customHeight="1" x14ac:dyDescent="0.25">
      <c r="A555" s="20" t="s">
        <v>156</v>
      </c>
      <c r="B555" s="20" t="s">
        <v>939</v>
      </c>
      <c r="C555" s="20" t="s">
        <v>940</v>
      </c>
      <c r="D555" s="378" t="s">
        <v>946</v>
      </c>
      <c r="E555" s="379">
        <v>44588</v>
      </c>
      <c r="F555" s="379">
        <v>46414</v>
      </c>
      <c r="G555" s="378" t="s">
        <v>160</v>
      </c>
      <c r="H555" s="20" t="s">
        <v>161</v>
      </c>
      <c r="I555" s="20" t="s">
        <v>162</v>
      </c>
      <c r="J555" s="20" t="s">
        <v>163</v>
      </c>
      <c r="K555" s="378" t="s">
        <v>164</v>
      </c>
      <c r="L555" s="20" t="s">
        <v>165</v>
      </c>
      <c r="M555" s="380">
        <v>2400</v>
      </c>
      <c r="N555" s="380"/>
      <c r="O555" s="380"/>
      <c r="P555" s="380"/>
      <c r="Q555" s="381" t="s">
        <v>947</v>
      </c>
      <c r="R555" s="381">
        <v>246</v>
      </c>
      <c r="S555" s="381" t="s">
        <v>948</v>
      </c>
      <c r="T555" s="381"/>
      <c r="U555" s="381"/>
      <c r="V555" s="382">
        <v>246.34</v>
      </c>
      <c r="W555" s="382">
        <v>0</v>
      </c>
      <c r="X555" s="381">
        <v>0.10249999999999999</v>
      </c>
      <c r="Y555" s="381">
        <v>0.10249999999999999</v>
      </c>
      <c r="Z555" s="381">
        <v>1.4166666666666668E-4</v>
      </c>
      <c r="AA555" s="381">
        <v>0</v>
      </c>
      <c r="AB555" s="381">
        <v>0</v>
      </c>
      <c r="AC555" s="382">
        <v>0.10264166666666666</v>
      </c>
      <c r="AD555" s="382">
        <v>0</v>
      </c>
      <c r="AE555" s="381" t="s">
        <v>168</v>
      </c>
    </row>
    <row r="556" spans="1:31" ht="15" customHeight="1" x14ac:dyDescent="0.25">
      <c r="A556" s="20" t="s">
        <v>156</v>
      </c>
      <c r="B556" s="20" t="s">
        <v>939</v>
      </c>
      <c r="C556" s="20" t="s">
        <v>940</v>
      </c>
      <c r="D556" s="378" t="s">
        <v>949</v>
      </c>
      <c r="E556" s="379">
        <v>44588</v>
      </c>
      <c r="F556" s="379">
        <v>46414</v>
      </c>
      <c r="G556" s="378" t="s">
        <v>160</v>
      </c>
      <c r="H556" s="20" t="s">
        <v>161</v>
      </c>
      <c r="I556" s="20" t="s">
        <v>162</v>
      </c>
      <c r="J556" s="20" t="s">
        <v>163</v>
      </c>
      <c r="K556" s="378" t="s">
        <v>164</v>
      </c>
      <c r="L556" s="20" t="s">
        <v>165</v>
      </c>
      <c r="M556" s="380">
        <v>2400</v>
      </c>
      <c r="N556" s="380"/>
      <c r="O556" s="380"/>
      <c r="P556" s="380"/>
      <c r="Q556" s="381" t="s">
        <v>950</v>
      </c>
      <c r="R556" s="381">
        <v>239</v>
      </c>
      <c r="S556" s="381" t="s">
        <v>755</v>
      </c>
      <c r="T556" s="381"/>
      <c r="U556" s="381"/>
      <c r="V556" s="382">
        <v>239.33</v>
      </c>
      <c r="W556" s="382">
        <v>0</v>
      </c>
      <c r="X556" s="381">
        <v>9.9583333333333329E-2</v>
      </c>
      <c r="Y556" s="381">
        <v>9.9583333333333329E-2</v>
      </c>
      <c r="Z556" s="381">
        <v>1.3750000000000001E-4</v>
      </c>
      <c r="AA556" s="381">
        <v>0</v>
      </c>
      <c r="AB556" s="381">
        <v>0</v>
      </c>
      <c r="AC556" s="382">
        <v>9.9720833333333328E-2</v>
      </c>
      <c r="AD556" s="382">
        <v>0</v>
      </c>
      <c r="AE556" s="381" t="s">
        <v>168</v>
      </c>
    </row>
    <row r="557" spans="1:31" ht="15" customHeight="1" x14ac:dyDescent="0.25">
      <c r="A557" s="20" t="s">
        <v>156</v>
      </c>
      <c r="B557" s="20" t="s">
        <v>939</v>
      </c>
      <c r="C557" s="20" t="s">
        <v>940</v>
      </c>
      <c r="D557" s="378" t="s">
        <v>951</v>
      </c>
      <c r="E557" s="379">
        <v>44816</v>
      </c>
      <c r="F557" s="379">
        <v>46642</v>
      </c>
      <c r="G557" s="383" t="s">
        <v>185</v>
      </c>
      <c r="H557" s="20" t="s">
        <v>186</v>
      </c>
      <c r="I557" s="20" t="s">
        <v>162</v>
      </c>
      <c r="J557" s="20" t="s">
        <v>163</v>
      </c>
      <c r="K557" s="378" t="s">
        <v>187</v>
      </c>
      <c r="L557" s="20" t="s">
        <v>165</v>
      </c>
      <c r="M557" s="380">
        <v>2400</v>
      </c>
      <c r="N557" s="380"/>
      <c r="O557" s="380"/>
      <c r="P557" s="380"/>
      <c r="Q557" s="381" t="s">
        <v>547</v>
      </c>
      <c r="R557" s="381" t="s">
        <v>547</v>
      </c>
      <c r="S557" s="381" t="s">
        <v>952</v>
      </c>
      <c r="T557" s="381"/>
      <c r="U557" s="381"/>
      <c r="V557" s="382">
        <v>218.3</v>
      </c>
      <c r="W557" s="382">
        <v>0</v>
      </c>
      <c r="X557" s="381">
        <v>9.0833333333333335E-2</v>
      </c>
      <c r="Y557" s="381">
        <v>9.0833333333333335E-2</v>
      </c>
      <c r="Z557" s="381">
        <v>1.25E-4</v>
      </c>
      <c r="AA557" s="381">
        <v>0</v>
      </c>
      <c r="AB557" s="381">
        <v>0</v>
      </c>
      <c r="AC557" s="382">
        <v>9.0958333333333335E-2</v>
      </c>
      <c r="AD557" s="382">
        <v>0</v>
      </c>
      <c r="AE557" s="381" t="s">
        <v>168</v>
      </c>
    </row>
    <row r="558" spans="1:31" ht="15" customHeight="1" x14ac:dyDescent="0.25">
      <c r="A558" s="20" t="s">
        <v>156</v>
      </c>
      <c r="B558" s="20" t="s">
        <v>939</v>
      </c>
      <c r="C558" s="20" t="s">
        <v>940</v>
      </c>
      <c r="D558" s="378" t="s">
        <v>953</v>
      </c>
      <c r="E558" s="379">
        <v>44573</v>
      </c>
      <c r="F558" s="379">
        <v>46656</v>
      </c>
      <c r="G558" s="378" t="s">
        <v>179</v>
      </c>
      <c r="H558" s="20" t="s">
        <v>180</v>
      </c>
      <c r="I558" s="20" t="s">
        <v>162</v>
      </c>
      <c r="J558" s="20" t="s">
        <v>163</v>
      </c>
      <c r="K558" s="378" t="s">
        <v>181</v>
      </c>
      <c r="L558" s="20" t="s">
        <v>165</v>
      </c>
      <c r="M558" s="380">
        <v>2400</v>
      </c>
      <c r="N558" s="380"/>
      <c r="O558" s="380"/>
      <c r="P558" s="380"/>
      <c r="Q558" s="381" t="s">
        <v>276</v>
      </c>
      <c r="R558" s="381" t="s">
        <v>276</v>
      </c>
      <c r="S558" s="381" t="s">
        <v>183</v>
      </c>
      <c r="T558" s="381"/>
      <c r="U558" s="381"/>
      <c r="V558" s="382">
        <v>192.26</v>
      </c>
      <c r="W558" s="382">
        <v>0</v>
      </c>
      <c r="X558" s="381">
        <v>0.08</v>
      </c>
      <c r="Y558" s="381">
        <v>0.08</v>
      </c>
      <c r="Z558" s="381">
        <v>1.0833333333333334E-4</v>
      </c>
      <c r="AA558" s="381">
        <v>0</v>
      </c>
      <c r="AB558" s="381">
        <v>0</v>
      </c>
      <c r="AC558" s="382">
        <v>8.0108333333333337E-2</v>
      </c>
      <c r="AD558" s="382">
        <v>0</v>
      </c>
      <c r="AE558" s="381" t="s">
        <v>168</v>
      </c>
    </row>
    <row r="559" spans="1:31" ht="15" customHeight="1" x14ac:dyDescent="0.25">
      <c r="A559" s="20" t="s">
        <v>156</v>
      </c>
      <c r="B559" s="20" t="s">
        <v>939</v>
      </c>
      <c r="C559" s="20" t="s">
        <v>940</v>
      </c>
      <c r="D559" s="378" t="s">
        <v>954</v>
      </c>
      <c r="E559" s="379">
        <v>44573</v>
      </c>
      <c r="F559" s="379">
        <v>46656</v>
      </c>
      <c r="G559" s="378" t="s">
        <v>179</v>
      </c>
      <c r="H559" s="20" t="s">
        <v>180</v>
      </c>
      <c r="I559" s="20" t="s">
        <v>162</v>
      </c>
      <c r="J559" s="20" t="s">
        <v>163</v>
      </c>
      <c r="K559" s="378" t="s">
        <v>181</v>
      </c>
      <c r="L559" s="20" t="s">
        <v>165</v>
      </c>
      <c r="M559" s="380">
        <v>2400</v>
      </c>
      <c r="N559" s="380"/>
      <c r="O559" s="380"/>
      <c r="P559" s="380"/>
      <c r="Q559" s="381" t="s">
        <v>955</v>
      </c>
      <c r="R559" s="381" t="s">
        <v>955</v>
      </c>
      <c r="S559" s="381" t="s">
        <v>952</v>
      </c>
      <c r="T559" s="381"/>
      <c r="U559" s="381"/>
      <c r="V559" s="382">
        <v>233.3</v>
      </c>
      <c r="W559" s="382">
        <v>0</v>
      </c>
      <c r="X559" s="381">
        <v>9.7083333333333327E-2</v>
      </c>
      <c r="Y559" s="381">
        <v>9.7083333333333327E-2</v>
      </c>
      <c r="Z559" s="381">
        <v>1.25E-4</v>
      </c>
      <c r="AA559" s="381">
        <v>0</v>
      </c>
      <c r="AB559" s="381">
        <v>0</v>
      </c>
      <c r="AC559" s="382">
        <v>9.7208333333333327E-2</v>
      </c>
      <c r="AD559" s="382">
        <v>0</v>
      </c>
      <c r="AE559" s="381" t="s">
        <v>168</v>
      </c>
    </row>
    <row r="560" spans="1:31" ht="15" customHeight="1" x14ac:dyDescent="0.25">
      <c r="A560" s="20" t="s">
        <v>156</v>
      </c>
      <c r="B560" s="20" t="s">
        <v>939</v>
      </c>
      <c r="C560" s="20" t="s">
        <v>940</v>
      </c>
      <c r="D560" s="378" t="s">
        <v>956</v>
      </c>
      <c r="E560" s="379">
        <v>44581</v>
      </c>
      <c r="F560" s="379">
        <v>46407</v>
      </c>
      <c r="G560" s="378" t="s">
        <v>237</v>
      </c>
      <c r="H560" s="20" t="s">
        <v>238</v>
      </c>
      <c r="I560" s="20" t="s">
        <v>162</v>
      </c>
      <c r="J560" s="20" t="s">
        <v>163</v>
      </c>
      <c r="K560" s="378" t="s">
        <v>239</v>
      </c>
      <c r="L560" s="20" t="s">
        <v>165</v>
      </c>
      <c r="M560" s="380">
        <v>2400</v>
      </c>
      <c r="N560" s="380"/>
      <c r="O560" s="380"/>
      <c r="P560" s="380"/>
      <c r="Q560" s="381" t="s">
        <v>581</v>
      </c>
      <c r="R560" s="381" t="s">
        <v>581</v>
      </c>
      <c r="S560" s="381" t="s">
        <v>957</v>
      </c>
      <c r="T560" s="381"/>
      <c r="U560" s="381"/>
      <c r="V560" s="382">
        <v>222.25</v>
      </c>
      <c r="W560" s="382">
        <v>0</v>
      </c>
      <c r="X560" s="381">
        <v>9.2499999999999999E-2</v>
      </c>
      <c r="Y560" s="381">
        <v>9.2499999999999999E-2</v>
      </c>
      <c r="Z560" s="381">
        <v>1.0416666666666667E-4</v>
      </c>
      <c r="AA560" s="381">
        <v>0</v>
      </c>
      <c r="AB560" s="381">
        <v>0</v>
      </c>
      <c r="AC560" s="382">
        <v>9.2604166666666668E-2</v>
      </c>
      <c r="AD560" s="382">
        <v>0</v>
      </c>
      <c r="AE560" s="381" t="s">
        <v>168</v>
      </c>
    </row>
    <row r="561" spans="1:31" ht="15" customHeight="1" x14ac:dyDescent="0.25">
      <c r="A561" s="20" t="s">
        <v>156</v>
      </c>
      <c r="B561" s="20" t="s">
        <v>939</v>
      </c>
      <c r="C561" s="20" t="s">
        <v>940</v>
      </c>
      <c r="D561" s="378" t="s">
        <v>958</v>
      </c>
      <c r="E561" s="379">
        <v>44573</v>
      </c>
      <c r="F561" s="379">
        <v>46656</v>
      </c>
      <c r="G561" s="378" t="s">
        <v>179</v>
      </c>
      <c r="H561" s="20" t="s">
        <v>180</v>
      </c>
      <c r="I561" s="20" t="s">
        <v>162</v>
      </c>
      <c r="J561" s="20" t="s">
        <v>163</v>
      </c>
      <c r="K561" s="378" t="s">
        <v>181</v>
      </c>
      <c r="L561" s="20" t="s">
        <v>165</v>
      </c>
      <c r="M561" s="380">
        <v>2400</v>
      </c>
      <c r="N561" s="380"/>
      <c r="O561" s="380"/>
      <c r="P561" s="380"/>
      <c r="Q561" s="381" t="s">
        <v>959</v>
      </c>
      <c r="R561" s="381" t="s">
        <v>959</v>
      </c>
      <c r="S561" s="381" t="s">
        <v>960</v>
      </c>
      <c r="T561" s="381"/>
      <c r="U561" s="381"/>
      <c r="V561" s="382">
        <v>250.28</v>
      </c>
      <c r="W561" s="382">
        <v>0</v>
      </c>
      <c r="X561" s="381">
        <v>0.10416666666666667</v>
      </c>
      <c r="Y561" s="381">
        <v>0.10416666666666667</v>
      </c>
      <c r="Z561" s="381">
        <v>1.1666666666666668E-4</v>
      </c>
      <c r="AA561" s="381">
        <v>0</v>
      </c>
      <c r="AB561" s="381">
        <v>0</v>
      </c>
      <c r="AC561" s="382">
        <v>0.10428333333333334</v>
      </c>
      <c r="AD561" s="382">
        <v>0</v>
      </c>
      <c r="AE561" s="381" t="s">
        <v>168</v>
      </c>
    </row>
    <row r="562" spans="1:31" ht="15" customHeight="1" x14ac:dyDescent="0.25">
      <c r="A562" s="20" t="s">
        <v>156</v>
      </c>
      <c r="B562" s="20" t="s">
        <v>939</v>
      </c>
      <c r="C562" s="20" t="s">
        <v>940</v>
      </c>
      <c r="D562" s="378" t="s">
        <v>961</v>
      </c>
      <c r="E562" s="379">
        <v>44581</v>
      </c>
      <c r="F562" s="379">
        <v>46407</v>
      </c>
      <c r="G562" s="378" t="s">
        <v>237</v>
      </c>
      <c r="H562" s="20" t="s">
        <v>238</v>
      </c>
      <c r="I562" s="20" t="s">
        <v>162</v>
      </c>
      <c r="J562" s="20" t="s">
        <v>163</v>
      </c>
      <c r="K562" s="378" t="s">
        <v>239</v>
      </c>
      <c r="L562" s="20" t="s">
        <v>165</v>
      </c>
      <c r="M562" s="380">
        <v>2400</v>
      </c>
      <c r="N562" s="380"/>
      <c r="O562" s="380"/>
      <c r="P562" s="380"/>
      <c r="Q562" s="381" t="s">
        <v>616</v>
      </c>
      <c r="R562" s="381" t="s">
        <v>616</v>
      </c>
      <c r="S562" s="381" t="s">
        <v>962</v>
      </c>
      <c r="T562" s="381"/>
      <c r="U562" s="381"/>
      <c r="V562" s="382">
        <v>217.24</v>
      </c>
      <c r="W562" s="382">
        <v>0</v>
      </c>
      <c r="X562" s="381">
        <v>9.0416666666666673E-2</v>
      </c>
      <c r="Y562" s="381">
        <v>9.0416666666666673E-2</v>
      </c>
      <c r="Z562" s="381">
        <v>9.9999999999999991E-5</v>
      </c>
      <c r="AA562" s="381">
        <v>0</v>
      </c>
      <c r="AB562" s="381">
        <v>0</v>
      </c>
      <c r="AC562" s="382">
        <v>9.0516666666666676E-2</v>
      </c>
      <c r="AD562" s="382">
        <v>0</v>
      </c>
      <c r="AE562" s="381" t="s">
        <v>168</v>
      </c>
    </row>
    <row r="563" spans="1:31" ht="15" customHeight="1" x14ac:dyDescent="0.25">
      <c r="A563" s="20" t="s">
        <v>156</v>
      </c>
      <c r="B563" s="20" t="s">
        <v>939</v>
      </c>
      <c r="C563" s="20" t="s">
        <v>940</v>
      </c>
      <c r="D563" s="378" t="s">
        <v>963</v>
      </c>
      <c r="E563" s="379">
        <v>44816</v>
      </c>
      <c r="F563" s="379">
        <v>46642</v>
      </c>
      <c r="G563" s="383" t="s">
        <v>185</v>
      </c>
      <c r="H563" s="20" t="s">
        <v>186</v>
      </c>
      <c r="I563" s="20" t="s">
        <v>162</v>
      </c>
      <c r="J563" s="20" t="s">
        <v>163</v>
      </c>
      <c r="K563" s="378" t="s">
        <v>187</v>
      </c>
      <c r="L563" s="20" t="s">
        <v>165</v>
      </c>
      <c r="M563" s="380">
        <v>2400</v>
      </c>
      <c r="N563" s="380"/>
      <c r="O563" s="380"/>
      <c r="P563" s="380"/>
      <c r="Q563" s="381" t="s">
        <v>276</v>
      </c>
      <c r="R563" s="381" t="s">
        <v>276</v>
      </c>
      <c r="S563" s="381" t="s">
        <v>964</v>
      </c>
      <c r="T563" s="381"/>
      <c r="U563" s="381"/>
      <c r="V563" s="382">
        <v>192.21</v>
      </c>
      <c r="W563" s="382">
        <v>0</v>
      </c>
      <c r="X563" s="381">
        <v>0.08</v>
      </c>
      <c r="Y563" s="381">
        <v>0.08</v>
      </c>
      <c r="Z563" s="381">
        <v>8.7499999999999999E-5</v>
      </c>
      <c r="AA563" s="381">
        <v>0</v>
      </c>
      <c r="AB563" s="381">
        <v>0</v>
      </c>
      <c r="AC563" s="382">
        <v>8.0087500000000006E-2</v>
      </c>
      <c r="AD563" s="382">
        <v>0</v>
      </c>
      <c r="AE563" s="381" t="s">
        <v>168</v>
      </c>
    </row>
    <row r="564" spans="1:31" ht="15" customHeight="1" x14ac:dyDescent="0.25">
      <c r="A564" s="20" t="s">
        <v>156</v>
      </c>
      <c r="B564" s="20" t="s">
        <v>939</v>
      </c>
      <c r="C564" s="20" t="s">
        <v>940</v>
      </c>
      <c r="D564" s="378" t="s">
        <v>965</v>
      </c>
      <c r="E564" s="379">
        <v>44816</v>
      </c>
      <c r="F564" s="379">
        <v>46642</v>
      </c>
      <c r="G564" s="383" t="s">
        <v>185</v>
      </c>
      <c r="H564" s="20" t="s">
        <v>186</v>
      </c>
      <c r="I564" s="20" t="s">
        <v>162</v>
      </c>
      <c r="J564" s="20" t="s">
        <v>163</v>
      </c>
      <c r="K564" s="378" t="s">
        <v>187</v>
      </c>
      <c r="L564" s="20" t="s">
        <v>165</v>
      </c>
      <c r="M564" s="380">
        <v>2400</v>
      </c>
      <c r="N564" s="380"/>
      <c r="O564" s="380"/>
      <c r="P564" s="380"/>
      <c r="Q564" s="381" t="s">
        <v>966</v>
      </c>
      <c r="R564" s="381" t="s">
        <v>966</v>
      </c>
      <c r="S564" s="381" t="s">
        <v>967</v>
      </c>
      <c r="T564" s="381"/>
      <c r="U564" s="381"/>
      <c r="V564" s="382">
        <v>203.22</v>
      </c>
      <c r="W564" s="382">
        <v>0</v>
      </c>
      <c r="X564" s="381">
        <v>8.458333333333333E-2</v>
      </c>
      <c r="Y564" s="381">
        <v>8.458333333333333E-2</v>
      </c>
      <c r="Z564" s="381">
        <v>9.1666666666666668E-5</v>
      </c>
      <c r="AA564" s="381">
        <v>0</v>
      </c>
      <c r="AB564" s="381">
        <v>0</v>
      </c>
      <c r="AC564" s="382">
        <v>8.4675E-2</v>
      </c>
      <c r="AD564" s="382">
        <v>0</v>
      </c>
      <c r="AE564" s="381" t="s">
        <v>168</v>
      </c>
    </row>
    <row r="565" spans="1:31" ht="15" customHeight="1" x14ac:dyDescent="0.25">
      <c r="A565" s="20" t="s">
        <v>156</v>
      </c>
      <c r="B565" s="20" t="s">
        <v>939</v>
      </c>
      <c r="C565" s="20" t="s">
        <v>940</v>
      </c>
      <c r="D565" s="378" t="s">
        <v>968</v>
      </c>
      <c r="E565" s="379">
        <v>44816</v>
      </c>
      <c r="F565" s="379">
        <v>46642</v>
      </c>
      <c r="G565" s="383" t="s">
        <v>185</v>
      </c>
      <c r="H565" s="20" t="s">
        <v>186</v>
      </c>
      <c r="I565" s="20" t="s">
        <v>162</v>
      </c>
      <c r="J565" s="20" t="s">
        <v>163</v>
      </c>
      <c r="K565" s="378" t="s">
        <v>187</v>
      </c>
      <c r="L565" s="20" t="s">
        <v>165</v>
      </c>
      <c r="M565" s="380">
        <v>2400</v>
      </c>
      <c r="N565" s="380"/>
      <c r="O565" s="380"/>
      <c r="P565" s="380"/>
      <c r="Q565" s="381" t="s">
        <v>966</v>
      </c>
      <c r="R565" s="381" t="s">
        <v>966</v>
      </c>
      <c r="S565" s="381" t="s">
        <v>967</v>
      </c>
      <c r="T565" s="381"/>
      <c r="U565" s="381"/>
      <c r="V565" s="382">
        <v>203.22</v>
      </c>
      <c r="W565" s="382">
        <v>0</v>
      </c>
      <c r="X565" s="381">
        <v>8.458333333333333E-2</v>
      </c>
      <c r="Y565" s="381">
        <v>8.458333333333333E-2</v>
      </c>
      <c r="Z565" s="381">
        <v>9.1666666666666668E-5</v>
      </c>
      <c r="AA565" s="381">
        <v>0</v>
      </c>
      <c r="AB565" s="381">
        <v>0</v>
      </c>
      <c r="AC565" s="382">
        <v>8.4675E-2</v>
      </c>
      <c r="AD565" s="382">
        <v>0</v>
      </c>
      <c r="AE565" s="381" t="s">
        <v>168</v>
      </c>
    </row>
    <row r="566" spans="1:31" ht="15" customHeight="1" x14ac:dyDescent="0.25">
      <c r="A566" s="20" t="s">
        <v>156</v>
      </c>
      <c r="B566" s="20" t="s">
        <v>939</v>
      </c>
      <c r="C566" s="20" t="s">
        <v>940</v>
      </c>
      <c r="D566" s="378" t="s">
        <v>969</v>
      </c>
      <c r="E566" s="379">
        <v>44573</v>
      </c>
      <c r="F566" s="379">
        <v>46656</v>
      </c>
      <c r="G566" s="378" t="s">
        <v>179</v>
      </c>
      <c r="H566" s="20" t="s">
        <v>180</v>
      </c>
      <c r="I566" s="20" t="s">
        <v>162</v>
      </c>
      <c r="J566" s="20" t="s">
        <v>163</v>
      </c>
      <c r="K566" s="378" t="s">
        <v>181</v>
      </c>
      <c r="L566" s="20" t="s">
        <v>165</v>
      </c>
      <c r="M566" s="380">
        <v>2400</v>
      </c>
      <c r="N566" s="380"/>
      <c r="O566" s="380"/>
      <c r="P566" s="380"/>
      <c r="Q566" s="381" t="s">
        <v>970</v>
      </c>
      <c r="R566" s="381" t="s">
        <v>970</v>
      </c>
      <c r="S566" s="381" t="s">
        <v>971</v>
      </c>
      <c r="T566" s="381"/>
      <c r="U566" s="381"/>
      <c r="V566" s="382">
        <v>269.29000000000002</v>
      </c>
      <c r="W566" s="382">
        <v>0</v>
      </c>
      <c r="X566" s="381">
        <v>0.11208333333333333</v>
      </c>
      <c r="Y566" s="381">
        <v>0.11208333333333333</v>
      </c>
      <c r="Z566" s="381">
        <v>1.2083333333333332E-4</v>
      </c>
      <c r="AA566" s="381">
        <v>0</v>
      </c>
      <c r="AB566" s="381">
        <v>0</v>
      </c>
      <c r="AC566" s="382">
        <v>0.11220416666666666</v>
      </c>
      <c r="AD566" s="382">
        <v>0</v>
      </c>
      <c r="AE566" s="381" t="s">
        <v>168</v>
      </c>
    </row>
    <row r="567" spans="1:31" ht="15" customHeight="1" x14ac:dyDescent="0.25">
      <c r="A567" s="20" t="s">
        <v>156</v>
      </c>
      <c r="B567" s="20" t="s">
        <v>939</v>
      </c>
      <c r="C567" s="20" t="s">
        <v>940</v>
      </c>
      <c r="D567" s="378" t="s">
        <v>972</v>
      </c>
      <c r="E567" s="379">
        <v>44816</v>
      </c>
      <c r="F567" s="379">
        <v>46642</v>
      </c>
      <c r="G567" s="383" t="s">
        <v>185</v>
      </c>
      <c r="H567" s="20" t="s">
        <v>186</v>
      </c>
      <c r="I567" s="20" t="s">
        <v>162</v>
      </c>
      <c r="J567" s="20" t="s">
        <v>163</v>
      </c>
      <c r="K567" s="378" t="s">
        <v>187</v>
      </c>
      <c r="L567" s="20" t="s">
        <v>165</v>
      </c>
      <c r="M567" s="380">
        <v>2400</v>
      </c>
      <c r="N567" s="380"/>
      <c r="O567" s="380"/>
      <c r="P567" s="380"/>
      <c r="Q567" s="381" t="s">
        <v>764</v>
      </c>
      <c r="R567" s="381" t="s">
        <v>764</v>
      </c>
      <c r="S567" s="381" t="s">
        <v>964</v>
      </c>
      <c r="T567" s="381"/>
      <c r="U567" s="381"/>
      <c r="V567" s="382">
        <v>199.21</v>
      </c>
      <c r="W567" s="382">
        <v>0</v>
      </c>
      <c r="X567" s="381">
        <v>8.2916666666666666E-2</v>
      </c>
      <c r="Y567" s="381">
        <v>8.2916666666666666E-2</v>
      </c>
      <c r="Z567" s="381">
        <v>8.7499999999999999E-5</v>
      </c>
      <c r="AA567" s="381">
        <v>0</v>
      </c>
      <c r="AB567" s="381">
        <v>0</v>
      </c>
      <c r="AC567" s="382">
        <v>8.3004166666666671E-2</v>
      </c>
      <c r="AD567" s="382">
        <v>0</v>
      </c>
      <c r="AE567" s="381" t="s">
        <v>168</v>
      </c>
    </row>
    <row r="568" spans="1:31" ht="15" customHeight="1" x14ac:dyDescent="0.25">
      <c r="A568" s="20" t="s">
        <v>156</v>
      </c>
      <c r="B568" s="20" t="s">
        <v>939</v>
      </c>
      <c r="C568" s="20" t="s">
        <v>940</v>
      </c>
      <c r="D568" s="378" t="s">
        <v>973</v>
      </c>
      <c r="E568" s="379">
        <v>44816</v>
      </c>
      <c r="F568" s="379">
        <v>46642</v>
      </c>
      <c r="G568" s="383" t="s">
        <v>185</v>
      </c>
      <c r="H568" s="20" t="s">
        <v>186</v>
      </c>
      <c r="I568" s="20" t="s">
        <v>162</v>
      </c>
      <c r="J568" s="20" t="s">
        <v>163</v>
      </c>
      <c r="K568" s="378" t="s">
        <v>187</v>
      </c>
      <c r="L568" s="20" t="s">
        <v>165</v>
      </c>
      <c r="M568" s="380">
        <v>2400</v>
      </c>
      <c r="N568" s="380"/>
      <c r="O568" s="380"/>
      <c r="P568" s="380"/>
      <c r="Q568" s="381" t="s">
        <v>425</v>
      </c>
      <c r="R568" s="381" t="s">
        <v>425</v>
      </c>
      <c r="S568" s="381" t="s">
        <v>967</v>
      </c>
      <c r="T568" s="381"/>
      <c r="U568" s="381"/>
      <c r="V568" s="382">
        <v>210.22</v>
      </c>
      <c r="W568" s="382">
        <v>0</v>
      </c>
      <c r="X568" s="381">
        <v>8.7499999999999994E-2</v>
      </c>
      <c r="Y568" s="381">
        <v>8.7499999999999994E-2</v>
      </c>
      <c r="Z568" s="381">
        <v>9.1666666666666668E-5</v>
      </c>
      <c r="AA568" s="381">
        <v>0</v>
      </c>
      <c r="AB568" s="381">
        <v>0</v>
      </c>
      <c r="AC568" s="382">
        <v>8.7591666666666665E-2</v>
      </c>
      <c r="AD568" s="382">
        <v>0</v>
      </c>
      <c r="AE568" s="381" t="s">
        <v>168</v>
      </c>
    </row>
    <row r="569" spans="1:31" ht="15" customHeight="1" x14ac:dyDescent="0.25">
      <c r="A569" s="20" t="s">
        <v>156</v>
      </c>
      <c r="B569" s="20" t="s">
        <v>939</v>
      </c>
      <c r="C569" s="20" t="s">
        <v>940</v>
      </c>
      <c r="D569" s="378" t="s">
        <v>974</v>
      </c>
      <c r="E569" s="379">
        <v>44816</v>
      </c>
      <c r="F569" s="379">
        <v>46642</v>
      </c>
      <c r="G569" s="383" t="s">
        <v>185</v>
      </c>
      <c r="H569" s="20" t="s">
        <v>186</v>
      </c>
      <c r="I569" s="20" t="s">
        <v>162</v>
      </c>
      <c r="J569" s="20" t="s">
        <v>163</v>
      </c>
      <c r="K569" s="378" t="s">
        <v>187</v>
      </c>
      <c r="L569" s="20" t="s">
        <v>165</v>
      </c>
      <c r="M569" s="380">
        <v>2400</v>
      </c>
      <c r="N569" s="380"/>
      <c r="O569" s="380"/>
      <c r="P569" s="380"/>
      <c r="Q569" s="381" t="s">
        <v>975</v>
      </c>
      <c r="R569" s="381" t="s">
        <v>975</v>
      </c>
      <c r="S569" s="381" t="s">
        <v>563</v>
      </c>
      <c r="T569" s="381"/>
      <c r="U569" s="381"/>
      <c r="V569" s="382">
        <v>183.19</v>
      </c>
      <c r="W569" s="382">
        <v>0</v>
      </c>
      <c r="X569" s="381">
        <v>7.6249999999999998E-2</v>
      </c>
      <c r="Y569" s="381">
        <v>7.6249999999999998E-2</v>
      </c>
      <c r="Z569" s="381">
        <v>7.9166666666666662E-5</v>
      </c>
      <c r="AA569" s="381">
        <v>0</v>
      </c>
      <c r="AB569" s="381">
        <v>0</v>
      </c>
      <c r="AC569" s="382">
        <v>7.632916666666667E-2</v>
      </c>
      <c r="AD569" s="382">
        <v>0</v>
      </c>
      <c r="AE569" s="381" t="s">
        <v>168</v>
      </c>
    </row>
    <row r="570" spans="1:31" ht="15" customHeight="1" x14ac:dyDescent="0.25">
      <c r="A570" s="20" t="s">
        <v>156</v>
      </c>
      <c r="B570" s="20" t="s">
        <v>939</v>
      </c>
      <c r="C570" s="20" t="s">
        <v>940</v>
      </c>
      <c r="D570" s="378" t="s">
        <v>976</v>
      </c>
      <c r="E570" s="379">
        <v>45016</v>
      </c>
      <c r="F570" s="379">
        <v>46843</v>
      </c>
      <c r="G570" s="378" t="s">
        <v>193</v>
      </c>
      <c r="H570" s="20" t="s">
        <v>194</v>
      </c>
      <c r="I570" s="20" t="s">
        <v>162</v>
      </c>
      <c r="J570" s="20" t="s">
        <v>163</v>
      </c>
      <c r="K570" s="378" t="s">
        <v>195</v>
      </c>
      <c r="L570" s="20" t="s">
        <v>165</v>
      </c>
      <c r="M570" s="380">
        <v>2400</v>
      </c>
      <c r="N570" s="380"/>
      <c r="O570" s="380"/>
      <c r="P570" s="380"/>
      <c r="Q570" s="381">
        <v>225</v>
      </c>
      <c r="R570" s="381">
        <v>225</v>
      </c>
      <c r="S570" s="381">
        <v>0.22600000000000001</v>
      </c>
      <c r="T570" s="381"/>
      <c r="U570" s="381"/>
      <c r="V570" s="382">
        <v>225.226</v>
      </c>
      <c r="W570" s="382">
        <v>0</v>
      </c>
      <c r="X570" s="381">
        <v>9.375E-2</v>
      </c>
      <c r="Y570" s="381">
        <v>9.375E-2</v>
      </c>
      <c r="Z570" s="381">
        <v>9.4166666666666674E-5</v>
      </c>
      <c r="AA570" s="381">
        <v>0</v>
      </c>
      <c r="AB570" s="381">
        <v>0</v>
      </c>
      <c r="AC570" s="382">
        <v>9.3844166666666673E-2</v>
      </c>
      <c r="AD570" s="382">
        <v>0</v>
      </c>
      <c r="AE570" s="381" t="s">
        <v>168</v>
      </c>
    </row>
    <row r="571" spans="1:31" ht="15" customHeight="1" x14ac:dyDescent="0.25">
      <c r="A571" s="20" t="s">
        <v>156</v>
      </c>
      <c r="B571" s="20" t="s">
        <v>939</v>
      </c>
      <c r="C571" s="20" t="s">
        <v>940</v>
      </c>
      <c r="D571" s="378" t="s">
        <v>977</v>
      </c>
      <c r="E571" s="379">
        <v>44910</v>
      </c>
      <c r="F571" s="379">
        <v>46736</v>
      </c>
      <c r="G571" s="378" t="s">
        <v>173</v>
      </c>
      <c r="H571" s="20" t="s">
        <v>174</v>
      </c>
      <c r="I571" s="20" t="s">
        <v>162</v>
      </c>
      <c r="J571" s="20" t="s">
        <v>163</v>
      </c>
      <c r="K571" s="378" t="s">
        <v>175</v>
      </c>
      <c r="L571" s="20" t="s">
        <v>165</v>
      </c>
      <c r="M571" s="380">
        <v>2400</v>
      </c>
      <c r="N571" s="380"/>
      <c r="O571" s="380"/>
      <c r="P571" s="380"/>
      <c r="Q571" s="381">
        <v>282</v>
      </c>
      <c r="R571" s="381">
        <v>279</v>
      </c>
      <c r="S571" s="381">
        <v>3.28</v>
      </c>
      <c r="T571" s="381"/>
      <c r="U571" s="381"/>
      <c r="V571" s="382">
        <v>282.27999999999997</v>
      </c>
      <c r="W571" s="382">
        <v>0</v>
      </c>
      <c r="X571" s="381">
        <v>0.11749999999999999</v>
      </c>
      <c r="Y571" s="381">
        <v>0.11625000000000001</v>
      </c>
      <c r="Z571" s="381">
        <v>1.3666666666666666E-3</v>
      </c>
      <c r="AA571" s="381">
        <v>0</v>
      </c>
      <c r="AB571" s="381">
        <v>0</v>
      </c>
      <c r="AC571" s="382">
        <v>0.11761666666666667</v>
      </c>
      <c r="AD571" s="382">
        <v>0</v>
      </c>
      <c r="AE571" s="381" t="s">
        <v>168</v>
      </c>
    </row>
    <row r="572" spans="1:31" ht="15" customHeight="1" x14ac:dyDescent="0.25">
      <c r="A572" s="20" t="s">
        <v>156</v>
      </c>
      <c r="B572" s="20" t="s">
        <v>939</v>
      </c>
      <c r="C572" s="20" t="s">
        <v>940</v>
      </c>
      <c r="D572" s="378" t="s">
        <v>978</v>
      </c>
      <c r="E572" s="379">
        <v>44294</v>
      </c>
      <c r="F572" s="379">
        <v>46120</v>
      </c>
      <c r="G572" s="378" t="s">
        <v>219</v>
      </c>
      <c r="H572" s="20" t="s">
        <v>220</v>
      </c>
      <c r="I572" s="20" t="s">
        <v>162</v>
      </c>
      <c r="J572" s="20" t="s">
        <v>163</v>
      </c>
      <c r="K572" s="378" t="s">
        <v>221</v>
      </c>
      <c r="L572" s="20" t="s">
        <v>165</v>
      </c>
      <c r="M572" s="380">
        <v>2400</v>
      </c>
      <c r="N572" s="380"/>
      <c r="O572" s="380"/>
      <c r="P572" s="380"/>
      <c r="Q572" s="381" t="s">
        <v>979</v>
      </c>
      <c r="R572" s="380" t="s">
        <v>979</v>
      </c>
      <c r="S572" s="381" t="s">
        <v>967</v>
      </c>
      <c r="T572" s="381"/>
      <c r="U572" s="381"/>
      <c r="V572" s="382">
        <v>240.22</v>
      </c>
      <c r="W572" s="382">
        <v>0</v>
      </c>
      <c r="X572" s="381">
        <v>0.1</v>
      </c>
      <c r="Y572" s="381">
        <v>0.1</v>
      </c>
      <c r="Z572" s="381">
        <v>9.1666666666666668E-5</v>
      </c>
      <c r="AA572" s="381">
        <v>0</v>
      </c>
      <c r="AB572" s="381">
        <v>0</v>
      </c>
      <c r="AC572" s="382">
        <v>0.10009166666666668</v>
      </c>
      <c r="AD572" s="382">
        <v>0</v>
      </c>
      <c r="AE572" s="381" t="s">
        <v>168</v>
      </c>
    </row>
    <row r="573" spans="1:31" ht="15" customHeight="1" x14ac:dyDescent="0.25">
      <c r="A573" s="20" t="s">
        <v>156</v>
      </c>
      <c r="B573" s="20" t="s">
        <v>939</v>
      </c>
      <c r="C573" s="20" t="s">
        <v>940</v>
      </c>
      <c r="D573" s="378" t="s">
        <v>980</v>
      </c>
      <c r="E573" s="379">
        <v>44816</v>
      </c>
      <c r="F573" s="379">
        <v>46642</v>
      </c>
      <c r="G573" s="383" t="s">
        <v>185</v>
      </c>
      <c r="H573" s="20" t="s">
        <v>186</v>
      </c>
      <c r="I573" s="20" t="s">
        <v>162</v>
      </c>
      <c r="J573" s="20" t="s">
        <v>163</v>
      </c>
      <c r="K573" s="378" t="s">
        <v>187</v>
      </c>
      <c r="L573" s="20" t="s">
        <v>165</v>
      </c>
      <c r="M573" s="380">
        <v>2400</v>
      </c>
      <c r="N573" s="380"/>
      <c r="O573" s="380"/>
      <c r="P573" s="380"/>
      <c r="Q573" s="381" t="s">
        <v>981</v>
      </c>
      <c r="R573" s="381" t="s">
        <v>981</v>
      </c>
      <c r="S573" s="381" t="s">
        <v>967</v>
      </c>
      <c r="T573" s="381"/>
      <c r="U573" s="381"/>
      <c r="V573" s="382">
        <v>242.22</v>
      </c>
      <c r="W573" s="382">
        <v>0</v>
      </c>
      <c r="X573" s="381">
        <v>0.10083333333333333</v>
      </c>
      <c r="Y573" s="381">
        <v>0.10083333333333333</v>
      </c>
      <c r="Z573" s="381">
        <v>9.1666666666666668E-5</v>
      </c>
      <c r="AA573" s="381">
        <v>0</v>
      </c>
      <c r="AB573" s="381">
        <v>0</v>
      </c>
      <c r="AC573" s="382">
        <v>0.100925</v>
      </c>
      <c r="AD573" s="382">
        <v>0</v>
      </c>
      <c r="AE573" s="381" t="s">
        <v>168</v>
      </c>
    </row>
    <row r="574" spans="1:31" ht="15" customHeight="1" x14ac:dyDescent="0.25">
      <c r="A574" s="20" t="s">
        <v>156</v>
      </c>
      <c r="B574" s="20" t="s">
        <v>939</v>
      </c>
      <c r="C574" s="20" t="s">
        <v>940</v>
      </c>
      <c r="D574" s="378" t="s">
        <v>982</v>
      </c>
      <c r="E574" s="379">
        <v>44816</v>
      </c>
      <c r="F574" s="379">
        <v>46642</v>
      </c>
      <c r="G574" s="383" t="s">
        <v>185</v>
      </c>
      <c r="H574" s="20" t="s">
        <v>186</v>
      </c>
      <c r="I574" s="20" t="s">
        <v>162</v>
      </c>
      <c r="J574" s="20" t="s">
        <v>163</v>
      </c>
      <c r="K574" s="378" t="s">
        <v>187</v>
      </c>
      <c r="L574" s="20" t="s">
        <v>165</v>
      </c>
      <c r="M574" s="380">
        <v>2400</v>
      </c>
      <c r="N574" s="380"/>
      <c r="O574" s="380"/>
      <c r="P574" s="380"/>
      <c r="Q574" s="381" t="s">
        <v>983</v>
      </c>
      <c r="R574" s="381" t="s">
        <v>983</v>
      </c>
      <c r="S574" s="381" t="s">
        <v>551</v>
      </c>
      <c r="T574" s="381"/>
      <c r="U574" s="381"/>
      <c r="V574" s="382">
        <v>256.23</v>
      </c>
      <c r="W574" s="382">
        <v>0</v>
      </c>
      <c r="X574" s="381">
        <v>0.10666666666666667</v>
      </c>
      <c r="Y574" s="381">
        <v>0.10666666666666667</v>
      </c>
      <c r="Z574" s="381">
        <v>9.5833333333333336E-5</v>
      </c>
      <c r="AA574" s="381">
        <v>0</v>
      </c>
      <c r="AB574" s="381">
        <v>0</v>
      </c>
      <c r="AC574" s="382">
        <v>0.10676250000000001</v>
      </c>
      <c r="AD574" s="382">
        <v>0</v>
      </c>
      <c r="AE574" s="381" t="s">
        <v>168</v>
      </c>
    </row>
    <row r="575" spans="1:31" ht="15" customHeight="1" x14ac:dyDescent="0.25">
      <c r="A575" s="20" t="s">
        <v>156</v>
      </c>
      <c r="B575" s="20" t="s">
        <v>939</v>
      </c>
      <c r="C575" s="20" t="s">
        <v>940</v>
      </c>
      <c r="D575" s="378" t="s">
        <v>984</v>
      </c>
      <c r="E575" s="379">
        <v>45016</v>
      </c>
      <c r="F575" s="379">
        <v>46843</v>
      </c>
      <c r="G575" s="378" t="s">
        <v>193</v>
      </c>
      <c r="H575" s="20" t="s">
        <v>194</v>
      </c>
      <c r="I575" s="20" t="s">
        <v>162</v>
      </c>
      <c r="J575" s="20" t="s">
        <v>163</v>
      </c>
      <c r="K575" s="378" t="s">
        <v>195</v>
      </c>
      <c r="L575" s="20" t="s">
        <v>165</v>
      </c>
      <c r="M575" s="380">
        <v>2400</v>
      </c>
      <c r="N575" s="380"/>
      <c r="O575" s="380"/>
      <c r="P575" s="380"/>
      <c r="Q575" s="381">
        <v>295</v>
      </c>
      <c r="R575" s="381">
        <v>295</v>
      </c>
      <c r="S575" s="381">
        <v>0.26400000000000001</v>
      </c>
      <c r="T575" s="381"/>
      <c r="U575" s="381"/>
      <c r="V575" s="382">
        <v>295.26400000000001</v>
      </c>
      <c r="W575" s="382">
        <v>0</v>
      </c>
      <c r="X575" s="381">
        <v>0.12291666666666666</v>
      </c>
      <c r="Y575" s="381">
        <v>0.12291666666666666</v>
      </c>
      <c r="Z575" s="381">
        <v>1.1E-4</v>
      </c>
      <c r="AA575" s="381">
        <v>0</v>
      </c>
      <c r="AB575" s="381">
        <v>0</v>
      </c>
      <c r="AC575" s="382">
        <v>0.12302666666666666</v>
      </c>
      <c r="AD575" s="382">
        <v>0</v>
      </c>
      <c r="AE575" s="381" t="s">
        <v>168</v>
      </c>
    </row>
    <row r="576" spans="1:31" ht="15" customHeight="1" x14ac:dyDescent="0.25">
      <c r="A576" s="20" t="s">
        <v>156</v>
      </c>
      <c r="B576" s="20" t="s">
        <v>939</v>
      </c>
      <c r="C576" s="20" t="s">
        <v>940</v>
      </c>
      <c r="D576" s="378" t="s">
        <v>985</v>
      </c>
      <c r="E576" s="379">
        <v>44816</v>
      </c>
      <c r="F576" s="379">
        <v>46642</v>
      </c>
      <c r="G576" s="383" t="s">
        <v>185</v>
      </c>
      <c r="H576" s="20" t="s">
        <v>186</v>
      </c>
      <c r="I576" s="20" t="s">
        <v>162</v>
      </c>
      <c r="J576" s="20" t="s">
        <v>163</v>
      </c>
      <c r="K576" s="378" t="s">
        <v>187</v>
      </c>
      <c r="L576" s="20" t="s">
        <v>165</v>
      </c>
      <c r="M576" s="380">
        <v>2400</v>
      </c>
      <c r="N576" s="380"/>
      <c r="O576" s="380"/>
      <c r="P576" s="380"/>
      <c r="Q576" s="381" t="s">
        <v>986</v>
      </c>
      <c r="R576" s="381" t="s">
        <v>986</v>
      </c>
      <c r="S576" s="381" t="s">
        <v>967</v>
      </c>
      <c r="T576" s="381"/>
      <c r="U576" s="381"/>
      <c r="V576" s="382">
        <v>248.22</v>
      </c>
      <c r="W576" s="382">
        <v>0</v>
      </c>
      <c r="X576" s="381">
        <v>0.10333333333333333</v>
      </c>
      <c r="Y576" s="381">
        <v>0.10333333333333333</v>
      </c>
      <c r="Z576" s="381">
        <v>9.1666666666666668E-5</v>
      </c>
      <c r="AA576" s="381">
        <v>0</v>
      </c>
      <c r="AB576" s="381">
        <v>0</v>
      </c>
      <c r="AC576" s="382">
        <v>0.103425</v>
      </c>
      <c r="AD576" s="382">
        <v>0</v>
      </c>
      <c r="AE576" s="381" t="s">
        <v>168</v>
      </c>
    </row>
    <row r="577" spans="1:31" ht="15" customHeight="1" x14ac:dyDescent="0.25">
      <c r="A577" s="20" t="s">
        <v>156</v>
      </c>
      <c r="B577" s="20" t="s">
        <v>939</v>
      </c>
      <c r="C577" s="20" t="s">
        <v>940</v>
      </c>
      <c r="D577" s="378" t="s">
        <v>987</v>
      </c>
      <c r="E577" s="379">
        <v>45016</v>
      </c>
      <c r="F577" s="379">
        <v>46843</v>
      </c>
      <c r="G577" s="378" t="s">
        <v>179</v>
      </c>
      <c r="H577" s="20" t="s">
        <v>202</v>
      </c>
      <c r="I577" s="20" t="s">
        <v>162</v>
      </c>
      <c r="J577" s="20" t="s">
        <v>163</v>
      </c>
      <c r="K577" s="378" t="s">
        <v>203</v>
      </c>
      <c r="L577" s="20" t="s">
        <v>165</v>
      </c>
      <c r="M577" s="380">
        <v>2400</v>
      </c>
      <c r="N577" s="380"/>
      <c r="O577" s="380"/>
      <c r="P577" s="380"/>
      <c r="Q577" s="381">
        <v>181</v>
      </c>
      <c r="R577" s="381">
        <v>181</v>
      </c>
      <c r="S577" s="381">
        <v>0.16</v>
      </c>
      <c r="T577" s="381"/>
      <c r="U577" s="381"/>
      <c r="V577" s="382">
        <v>181.16</v>
      </c>
      <c r="W577" s="382">
        <v>0</v>
      </c>
      <c r="X577" s="381">
        <v>7.5416666666666674E-2</v>
      </c>
      <c r="Y577" s="381">
        <v>7.5416666666666674E-2</v>
      </c>
      <c r="Z577" s="381">
        <v>6.666666666666667E-5</v>
      </c>
      <c r="AA577" s="381">
        <v>0</v>
      </c>
      <c r="AB577" s="381">
        <v>0</v>
      </c>
      <c r="AC577" s="382">
        <v>7.5483333333333347E-2</v>
      </c>
      <c r="AD577" s="382">
        <v>0</v>
      </c>
      <c r="AE577" s="381" t="s">
        <v>168</v>
      </c>
    </row>
    <row r="578" spans="1:31" ht="15" customHeight="1" x14ac:dyDescent="0.25">
      <c r="A578" s="20" t="s">
        <v>156</v>
      </c>
      <c r="B578" s="20" t="s">
        <v>939</v>
      </c>
      <c r="C578" s="20" t="s">
        <v>940</v>
      </c>
      <c r="D578" s="378" t="s">
        <v>988</v>
      </c>
      <c r="E578" s="379">
        <v>45016</v>
      </c>
      <c r="F578" s="379">
        <v>46843</v>
      </c>
      <c r="G578" s="378" t="s">
        <v>215</v>
      </c>
      <c r="H578" s="20" t="s">
        <v>216</v>
      </c>
      <c r="I578" s="20" t="s">
        <v>162</v>
      </c>
      <c r="J578" s="20" t="s">
        <v>163</v>
      </c>
      <c r="K578" s="378" t="s">
        <v>217</v>
      </c>
      <c r="L578" s="20" t="s">
        <v>165</v>
      </c>
      <c r="M578" s="380">
        <v>2400</v>
      </c>
      <c r="N578" s="380"/>
      <c r="O578" s="380"/>
      <c r="P578" s="380"/>
      <c r="Q578" s="381">
        <v>248</v>
      </c>
      <c r="R578" s="381">
        <v>248</v>
      </c>
      <c r="S578" s="381">
        <v>0.21</v>
      </c>
      <c r="T578" s="381"/>
      <c r="U578" s="381"/>
      <c r="V578" s="382">
        <v>248.21</v>
      </c>
      <c r="W578" s="382">
        <v>0</v>
      </c>
      <c r="X578" s="381">
        <v>0.10333333333333333</v>
      </c>
      <c r="Y578" s="381">
        <v>0.10333333333333333</v>
      </c>
      <c r="Z578" s="381">
        <v>8.7499999999999999E-5</v>
      </c>
      <c r="AA578" s="381">
        <v>0</v>
      </c>
      <c r="AB578" s="381">
        <v>0</v>
      </c>
      <c r="AC578" s="382">
        <v>0.10342083333333334</v>
      </c>
      <c r="AD578" s="382">
        <v>0</v>
      </c>
      <c r="AE578" s="381" t="s">
        <v>168</v>
      </c>
    </row>
    <row r="579" spans="1:31" ht="15" customHeight="1" x14ac:dyDescent="0.25">
      <c r="A579" s="20" t="s">
        <v>156</v>
      </c>
      <c r="B579" s="20" t="s">
        <v>939</v>
      </c>
      <c r="C579" s="20" t="s">
        <v>940</v>
      </c>
      <c r="D579" s="378" t="s">
        <v>989</v>
      </c>
      <c r="E579" s="379">
        <v>45016</v>
      </c>
      <c r="F579" s="379">
        <v>46843</v>
      </c>
      <c r="G579" s="378" t="s">
        <v>179</v>
      </c>
      <c r="H579" s="20" t="s">
        <v>202</v>
      </c>
      <c r="I579" s="20" t="s">
        <v>162</v>
      </c>
      <c r="J579" s="20" t="s">
        <v>163</v>
      </c>
      <c r="K579" s="378" t="s">
        <v>203</v>
      </c>
      <c r="L579" s="20" t="s">
        <v>165</v>
      </c>
      <c r="M579" s="380">
        <v>2400</v>
      </c>
      <c r="N579" s="380"/>
      <c r="O579" s="380"/>
      <c r="P579" s="380"/>
      <c r="Q579" s="381">
        <v>260</v>
      </c>
      <c r="R579" s="381">
        <v>260</v>
      </c>
      <c r="S579" s="381">
        <v>0.22</v>
      </c>
      <c r="T579" s="381"/>
      <c r="U579" s="381"/>
      <c r="V579" s="382">
        <v>260.22000000000003</v>
      </c>
      <c r="W579" s="382">
        <v>0</v>
      </c>
      <c r="X579" s="381">
        <v>0.10833333333333334</v>
      </c>
      <c r="Y579" s="381">
        <v>0.10833333333333334</v>
      </c>
      <c r="Z579" s="381">
        <v>9.1666666666666668E-5</v>
      </c>
      <c r="AA579" s="381">
        <v>0</v>
      </c>
      <c r="AB579" s="381">
        <v>0</v>
      </c>
      <c r="AC579" s="382">
        <v>0.10842500000000001</v>
      </c>
      <c r="AD579" s="382">
        <v>0</v>
      </c>
      <c r="AE579" s="381" t="s">
        <v>168</v>
      </c>
    </row>
    <row r="580" spans="1:31" ht="15" customHeight="1" x14ac:dyDescent="0.25">
      <c r="A580" s="20" t="s">
        <v>156</v>
      </c>
      <c r="B580" s="20" t="s">
        <v>939</v>
      </c>
      <c r="C580" s="20" t="s">
        <v>940</v>
      </c>
      <c r="D580" s="378" t="s">
        <v>990</v>
      </c>
      <c r="E580" s="379">
        <v>44294</v>
      </c>
      <c r="F580" s="379">
        <v>46120</v>
      </c>
      <c r="G580" s="378" t="s">
        <v>219</v>
      </c>
      <c r="H580" s="20" t="s">
        <v>220</v>
      </c>
      <c r="I580" s="20" t="s">
        <v>162</v>
      </c>
      <c r="J580" s="20" t="s">
        <v>163</v>
      </c>
      <c r="K580" s="378" t="s">
        <v>221</v>
      </c>
      <c r="L580" s="20" t="s">
        <v>165</v>
      </c>
      <c r="M580" s="380">
        <v>2400</v>
      </c>
      <c r="N580" s="380"/>
      <c r="O580" s="380"/>
      <c r="P580" s="380"/>
      <c r="Q580" s="381" t="s">
        <v>577</v>
      </c>
      <c r="R580" s="380" t="s">
        <v>577</v>
      </c>
      <c r="S580" s="381" t="s">
        <v>234</v>
      </c>
      <c r="T580" s="381"/>
      <c r="U580" s="381"/>
      <c r="V580" s="382">
        <v>167.14</v>
      </c>
      <c r="W580" s="382">
        <v>0</v>
      </c>
      <c r="X580" s="381">
        <v>6.958333333333333E-2</v>
      </c>
      <c r="Y580" s="381">
        <v>6.958333333333333E-2</v>
      </c>
      <c r="Z580" s="381">
        <v>5.833333333333334E-5</v>
      </c>
      <c r="AA580" s="381">
        <v>0</v>
      </c>
      <c r="AB580" s="381">
        <v>0</v>
      </c>
      <c r="AC580" s="382">
        <v>6.9641666666666657E-2</v>
      </c>
      <c r="AD580" s="382">
        <v>0</v>
      </c>
      <c r="AE580" s="381" t="s">
        <v>168</v>
      </c>
    </row>
    <row r="581" spans="1:31" ht="15" customHeight="1" x14ac:dyDescent="0.25">
      <c r="A581" s="20" t="s">
        <v>156</v>
      </c>
      <c r="B581" s="20" t="s">
        <v>939</v>
      </c>
      <c r="C581" s="20" t="s">
        <v>940</v>
      </c>
      <c r="D581" s="378" t="s">
        <v>991</v>
      </c>
      <c r="E581" s="379">
        <v>44294</v>
      </c>
      <c r="F581" s="379">
        <v>46120</v>
      </c>
      <c r="G581" s="378" t="s">
        <v>219</v>
      </c>
      <c r="H581" s="20" t="s">
        <v>220</v>
      </c>
      <c r="I581" s="20" t="s">
        <v>162</v>
      </c>
      <c r="J581" s="20" t="s">
        <v>163</v>
      </c>
      <c r="K581" s="378" t="s">
        <v>221</v>
      </c>
      <c r="L581" s="20" t="s">
        <v>165</v>
      </c>
      <c r="M581" s="380">
        <v>2400</v>
      </c>
      <c r="N581" s="380"/>
      <c r="O581" s="380"/>
      <c r="P581" s="380"/>
      <c r="Q581" s="381" t="s">
        <v>577</v>
      </c>
      <c r="R581" s="380" t="s">
        <v>577</v>
      </c>
      <c r="S581" s="381" t="s">
        <v>234</v>
      </c>
      <c r="T581" s="381"/>
      <c r="U581" s="381"/>
      <c r="V581" s="382">
        <v>167.14</v>
      </c>
      <c r="W581" s="382">
        <v>0</v>
      </c>
      <c r="X581" s="381">
        <v>6.958333333333333E-2</v>
      </c>
      <c r="Y581" s="381">
        <v>6.958333333333333E-2</v>
      </c>
      <c r="Z581" s="381">
        <v>5.833333333333334E-5</v>
      </c>
      <c r="AA581" s="381">
        <v>0</v>
      </c>
      <c r="AB581" s="381">
        <v>0</v>
      </c>
      <c r="AC581" s="382">
        <v>6.9641666666666657E-2</v>
      </c>
      <c r="AD581" s="382">
        <v>0</v>
      </c>
      <c r="AE581" s="381" t="s">
        <v>168</v>
      </c>
    </row>
    <row r="582" spans="1:31" ht="15" customHeight="1" x14ac:dyDescent="0.25">
      <c r="A582" s="20" t="s">
        <v>156</v>
      </c>
      <c r="B582" s="20" t="s">
        <v>939</v>
      </c>
      <c r="C582" s="20" t="s">
        <v>940</v>
      </c>
      <c r="D582" s="378" t="s">
        <v>992</v>
      </c>
      <c r="E582" s="379">
        <v>45016</v>
      </c>
      <c r="F582" s="379">
        <v>46843</v>
      </c>
      <c r="G582" s="378" t="s">
        <v>193</v>
      </c>
      <c r="H582" s="20" t="s">
        <v>194</v>
      </c>
      <c r="I582" s="20" t="s">
        <v>162</v>
      </c>
      <c r="J582" s="20" t="s">
        <v>163</v>
      </c>
      <c r="K582" s="378" t="s">
        <v>195</v>
      </c>
      <c r="L582" s="20" t="s">
        <v>165</v>
      </c>
      <c r="M582" s="380">
        <v>2400</v>
      </c>
      <c r="N582" s="380"/>
      <c r="O582" s="380"/>
      <c r="P582" s="380"/>
      <c r="Q582" s="381">
        <v>271</v>
      </c>
      <c r="R582" s="381">
        <v>271</v>
      </c>
      <c r="S582" s="381">
        <v>0.22500000000000001</v>
      </c>
      <c r="T582" s="381"/>
      <c r="U582" s="381"/>
      <c r="V582" s="382">
        <v>271.22500000000002</v>
      </c>
      <c r="W582" s="382">
        <v>0</v>
      </c>
      <c r="X582" s="381">
        <v>0.11291666666666667</v>
      </c>
      <c r="Y582" s="381">
        <v>0.11291666666666667</v>
      </c>
      <c r="Z582" s="381">
        <v>9.3750000000000002E-5</v>
      </c>
      <c r="AA582" s="381">
        <v>0</v>
      </c>
      <c r="AB582" s="381">
        <v>0</v>
      </c>
      <c r="AC582" s="382">
        <v>0.11301041666666667</v>
      </c>
      <c r="AD582" s="382">
        <v>0</v>
      </c>
      <c r="AE582" s="381" t="s">
        <v>168</v>
      </c>
    </row>
    <row r="583" spans="1:31" ht="15" customHeight="1" x14ac:dyDescent="0.25">
      <c r="A583" s="20" t="s">
        <v>156</v>
      </c>
      <c r="B583" s="20" t="s">
        <v>939</v>
      </c>
      <c r="C583" s="20" t="s">
        <v>940</v>
      </c>
      <c r="D583" s="378" t="s">
        <v>993</v>
      </c>
      <c r="E583" s="379">
        <v>44294</v>
      </c>
      <c r="F583" s="379">
        <v>46120</v>
      </c>
      <c r="G583" s="378" t="s">
        <v>219</v>
      </c>
      <c r="H583" s="20" t="s">
        <v>220</v>
      </c>
      <c r="I583" s="20" t="s">
        <v>162</v>
      </c>
      <c r="J583" s="20" t="s">
        <v>163</v>
      </c>
      <c r="K583" s="378" t="s">
        <v>221</v>
      </c>
      <c r="L583" s="20" t="s">
        <v>165</v>
      </c>
      <c r="M583" s="380">
        <v>2400</v>
      </c>
      <c r="N583" s="380"/>
      <c r="O583" s="380"/>
      <c r="P583" s="380"/>
      <c r="Q583" s="381" t="s">
        <v>994</v>
      </c>
      <c r="R583" s="380" t="s">
        <v>994</v>
      </c>
      <c r="S583" s="381" t="s">
        <v>234</v>
      </c>
      <c r="T583" s="381"/>
      <c r="U583" s="381"/>
      <c r="V583" s="382">
        <v>169.14</v>
      </c>
      <c r="W583" s="382">
        <v>0</v>
      </c>
      <c r="X583" s="381">
        <v>7.0416666666666669E-2</v>
      </c>
      <c r="Y583" s="381">
        <v>7.0416666666666669E-2</v>
      </c>
      <c r="Z583" s="381">
        <v>5.833333333333334E-5</v>
      </c>
      <c r="AA583" s="381">
        <v>0</v>
      </c>
      <c r="AB583" s="381">
        <v>0</v>
      </c>
      <c r="AC583" s="382">
        <v>7.0474999999999996E-2</v>
      </c>
      <c r="AD583" s="382">
        <v>0</v>
      </c>
      <c r="AE583" s="381" t="s">
        <v>168</v>
      </c>
    </row>
    <row r="584" spans="1:31" ht="15" customHeight="1" x14ac:dyDescent="0.25">
      <c r="A584" s="20" t="s">
        <v>156</v>
      </c>
      <c r="B584" s="20" t="s">
        <v>939</v>
      </c>
      <c r="C584" s="20" t="s">
        <v>940</v>
      </c>
      <c r="D584" s="378" t="s">
        <v>995</v>
      </c>
      <c r="E584" s="379">
        <v>44294</v>
      </c>
      <c r="F584" s="379">
        <v>46120</v>
      </c>
      <c r="G584" s="378" t="s">
        <v>219</v>
      </c>
      <c r="H584" s="20" t="s">
        <v>220</v>
      </c>
      <c r="I584" s="20" t="s">
        <v>162</v>
      </c>
      <c r="J584" s="20" t="s">
        <v>163</v>
      </c>
      <c r="K584" s="378" t="s">
        <v>221</v>
      </c>
      <c r="L584" s="20" t="s">
        <v>165</v>
      </c>
      <c r="M584" s="380">
        <v>2400</v>
      </c>
      <c r="N584" s="380"/>
      <c r="O584" s="380"/>
      <c r="P584" s="380"/>
      <c r="Q584" s="381" t="s">
        <v>994</v>
      </c>
      <c r="R584" s="380" t="s">
        <v>994</v>
      </c>
      <c r="S584" s="381" t="s">
        <v>234</v>
      </c>
      <c r="T584" s="381"/>
      <c r="U584" s="381"/>
      <c r="V584" s="382">
        <v>169.14</v>
      </c>
      <c r="W584" s="382">
        <v>0</v>
      </c>
      <c r="X584" s="381">
        <v>7.0416666666666669E-2</v>
      </c>
      <c r="Y584" s="381">
        <v>7.0416666666666669E-2</v>
      </c>
      <c r="Z584" s="381">
        <v>5.833333333333334E-5</v>
      </c>
      <c r="AA584" s="381">
        <v>0</v>
      </c>
      <c r="AB584" s="381">
        <v>0</v>
      </c>
      <c r="AC584" s="382">
        <v>7.0474999999999996E-2</v>
      </c>
      <c r="AD584" s="382">
        <v>0</v>
      </c>
      <c r="AE584" s="381" t="s">
        <v>168</v>
      </c>
    </row>
    <row r="585" spans="1:31" ht="15" customHeight="1" x14ac:dyDescent="0.25">
      <c r="A585" s="20" t="s">
        <v>156</v>
      </c>
      <c r="B585" s="20" t="s">
        <v>939</v>
      </c>
      <c r="C585" s="20" t="s">
        <v>940</v>
      </c>
      <c r="D585" s="378" t="s">
        <v>996</v>
      </c>
      <c r="E585" s="379">
        <v>45038</v>
      </c>
      <c r="F585" s="379">
        <v>46865</v>
      </c>
      <c r="G585" s="383" t="s">
        <v>193</v>
      </c>
      <c r="H585" s="20" t="s">
        <v>229</v>
      </c>
      <c r="I585" s="20" t="s">
        <v>162</v>
      </c>
      <c r="J585" s="20" t="s">
        <v>163</v>
      </c>
      <c r="K585" s="378" t="s">
        <v>230</v>
      </c>
      <c r="L585" s="20" t="s">
        <v>165</v>
      </c>
      <c r="M585" s="380">
        <v>2400</v>
      </c>
      <c r="N585" s="380"/>
      <c r="O585" s="380"/>
      <c r="P585" s="380"/>
      <c r="Q585" s="381" t="s">
        <v>986</v>
      </c>
      <c r="R585" s="381" t="s">
        <v>986</v>
      </c>
      <c r="S585" s="381" t="s">
        <v>566</v>
      </c>
      <c r="T585" s="381"/>
      <c r="U585" s="381"/>
      <c r="V585" s="382">
        <v>248.2</v>
      </c>
      <c r="W585" s="382">
        <v>0</v>
      </c>
      <c r="X585" s="381">
        <v>0.10333333333333333</v>
      </c>
      <c r="Y585" s="381">
        <v>0.10333333333333333</v>
      </c>
      <c r="Z585" s="381">
        <v>8.3333333333333344E-5</v>
      </c>
      <c r="AA585" s="381">
        <v>0</v>
      </c>
      <c r="AB585" s="381">
        <v>0</v>
      </c>
      <c r="AC585" s="382">
        <v>0.10341666666666667</v>
      </c>
      <c r="AD585" s="382">
        <v>0</v>
      </c>
      <c r="AE585" s="381" t="s">
        <v>168</v>
      </c>
    </row>
    <row r="586" spans="1:31" ht="15" customHeight="1" x14ac:dyDescent="0.25">
      <c r="A586" s="20" t="s">
        <v>156</v>
      </c>
      <c r="B586" s="20" t="s">
        <v>939</v>
      </c>
      <c r="C586" s="20" t="s">
        <v>940</v>
      </c>
      <c r="D586" s="378" t="s">
        <v>997</v>
      </c>
      <c r="E586" s="379">
        <v>45016</v>
      </c>
      <c r="F586" s="379">
        <v>46843</v>
      </c>
      <c r="G586" s="378" t="s">
        <v>179</v>
      </c>
      <c r="H586" s="20" t="s">
        <v>202</v>
      </c>
      <c r="I586" s="20" t="s">
        <v>162</v>
      </c>
      <c r="J586" s="20" t="s">
        <v>163</v>
      </c>
      <c r="K586" s="378" t="s">
        <v>203</v>
      </c>
      <c r="L586" s="20" t="s">
        <v>165</v>
      </c>
      <c r="M586" s="380">
        <v>2400</v>
      </c>
      <c r="N586" s="380"/>
      <c r="O586" s="380"/>
      <c r="P586" s="380"/>
      <c r="Q586" s="381">
        <v>217</v>
      </c>
      <c r="R586" s="381">
        <v>217</v>
      </c>
      <c r="S586" s="381">
        <v>0.17</v>
      </c>
      <c r="T586" s="381"/>
      <c r="U586" s="381"/>
      <c r="V586" s="382">
        <v>217.17</v>
      </c>
      <c r="W586" s="382">
        <v>0</v>
      </c>
      <c r="X586" s="381">
        <v>9.0416666666666673E-2</v>
      </c>
      <c r="Y586" s="381">
        <v>9.0416666666666673E-2</v>
      </c>
      <c r="Z586" s="381">
        <v>7.0833333333333338E-5</v>
      </c>
      <c r="AA586" s="381">
        <v>0</v>
      </c>
      <c r="AB586" s="381">
        <v>0</v>
      </c>
      <c r="AC586" s="382">
        <v>9.0487500000000012E-2</v>
      </c>
      <c r="AD586" s="382">
        <v>0</v>
      </c>
      <c r="AE586" s="381" t="s">
        <v>168</v>
      </c>
    </row>
    <row r="587" spans="1:31" ht="15" customHeight="1" x14ac:dyDescent="0.25">
      <c r="A587" s="20" t="s">
        <v>156</v>
      </c>
      <c r="B587" s="20" t="s">
        <v>939</v>
      </c>
      <c r="C587" s="20" t="s">
        <v>940</v>
      </c>
      <c r="D587" s="378" t="s">
        <v>998</v>
      </c>
      <c r="E587" s="379">
        <v>45038</v>
      </c>
      <c r="F587" s="379">
        <v>46865</v>
      </c>
      <c r="G587" s="383" t="s">
        <v>193</v>
      </c>
      <c r="H587" s="20" t="s">
        <v>229</v>
      </c>
      <c r="I587" s="20" t="s">
        <v>162</v>
      </c>
      <c r="J587" s="20" t="s">
        <v>163</v>
      </c>
      <c r="K587" s="378" t="s">
        <v>230</v>
      </c>
      <c r="L587" s="20" t="s">
        <v>165</v>
      </c>
      <c r="M587" s="380">
        <v>2400</v>
      </c>
      <c r="N587" s="380"/>
      <c r="O587" s="380"/>
      <c r="P587" s="380"/>
      <c r="Q587" s="381" t="s">
        <v>999</v>
      </c>
      <c r="R587" s="381" t="s">
        <v>999</v>
      </c>
      <c r="S587" s="381" t="s">
        <v>206</v>
      </c>
      <c r="T587" s="381"/>
      <c r="U587" s="381"/>
      <c r="V587" s="382">
        <v>230.18</v>
      </c>
      <c r="W587" s="382">
        <v>0</v>
      </c>
      <c r="X587" s="381">
        <v>9.583333333333334E-2</v>
      </c>
      <c r="Y587" s="381">
        <v>9.583333333333334E-2</v>
      </c>
      <c r="Z587" s="381">
        <v>7.4999999999999993E-5</v>
      </c>
      <c r="AA587" s="381">
        <v>0</v>
      </c>
      <c r="AB587" s="381">
        <v>0</v>
      </c>
      <c r="AC587" s="382">
        <v>9.5908333333333345E-2</v>
      </c>
      <c r="AD587" s="382">
        <v>0</v>
      </c>
      <c r="AE587" s="381" t="s">
        <v>168</v>
      </c>
    </row>
    <row r="588" spans="1:31" ht="15" customHeight="1" x14ac:dyDescent="0.25">
      <c r="A588" s="20" t="s">
        <v>156</v>
      </c>
      <c r="B588" s="20" t="s">
        <v>939</v>
      </c>
      <c r="C588" s="20" t="s">
        <v>940</v>
      </c>
      <c r="D588" s="378" t="s">
        <v>1000</v>
      </c>
      <c r="E588" s="379">
        <v>44581</v>
      </c>
      <c r="F588" s="379">
        <v>46407</v>
      </c>
      <c r="G588" s="378" t="s">
        <v>237</v>
      </c>
      <c r="H588" s="20" t="s">
        <v>238</v>
      </c>
      <c r="I588" s="20" t="s">
        <v>162</v>
      </c>
      <c r="J588" s="20" t="s">
        <v>163</v>
      </c>
      <c r="K588" s="378" t="s">
        <v>239</v>
      </c>
      <c r="L588" s="20" t="s">
        <v>165</v>
      </c>
      <c r="M588" s="380">
        <v>2400</v>
      </c>
      <c r="N588" s="380"/>
      <c r="O588" s="380"/>
      <c r="P588" s="380"/>
      <c r="Q588" s="381" t="s">
        <v>1001</v>
      </c>
      <c r="R588" s="381" t="s">
        <v>1001</v>
      </c>
      <c r="S588" s="381" t="s">
        <v>566</v>
      </c>
      <c r="T588" s="381"/>
      <c r="U588" s="381"/>
      <c r="V588" s="382">
        <v>258.2</v>
      </c>
      <c r="W588" s="382">
        <v>0</v>
      </c>
      <c r="X588" s="381">
        <v>0.1075</v>
      </c>
      <c r="Y588" s="381">
        <v>0.1075</v>
      </c>
      <c r="Z588" s="381">
        <v>8.3333333333333344E-5</v>
      </c>
      <c r="AA588" s="381">
        <v>0</v>
      </c>
      <c r="AB588" s="381">
        <v>0</v>
      </c>
      <c r="AC588" s="382">
        <v>0.10758333333333334</v>
      </c>
      <c r="AD588" s="382">
        <v>0</v>
      </c>
      <c r="AE588" s="381" t="s">
        <v>168</v>
      </c>
    </row>
    <row r="589" spans="1:31" ht="15" customHeight="1" x14ac:dyDescent="0.25">
      <c r="A589" s="20" t="s">
        <v>156</v>
      </c>
      <c r="B589" s="20" t="s">
        <v>939</v>
      </c>
      <c r="C589" s="20" t="s">
        <v>940</v>
      </c>
      <c r="D589" s="378" t="s">
        <v>1002</v>
      </c>
      <c r="E589" s="379">
        <v>45038</v>
      </c>
      <c r="F589" s="379">
        <v>46865</v>
      </c>
      <c r="G589" s="383" t="s">
        <v>193</v>
      </c>
      <c r="H589" s="20" t="s">
        <v>229</v>
      </c>
      <c r="I589" s="20" t="s">
        <v>162</v>
      </c>
      <c r="J589" s="20" t="s">
        <v>163</v>
      </c>
      <c r="K589" s="378" t="s">
        <v>230</v>
      </c>
      <c r="L589" s="20" t="s">
        <v>165</v>
      </c>
      <c r="M589" s="380">
        <v>2400</v>
      </c>
      <c r="N589" s="380"/>
      <c r="O589" s="380"/>
      <c r="P589" s="380"/>
      <c r="Q589" s="381" t="s">
        <v>432</v>
      </c>
      <c r="R589" s="381" t="s">
        <v>432</v>
      </c>
      <c r="S589" s="381" t="s">
        <v>189</v>
      </c>
      <c r="T589" s="381"/>
      <c r="U589" s="381"/>
      <c r="V589" s="382">
        <v>209.16</v>
      </c>
      <c r="W589" s="382">
        <v>0</v>
      </c>
      <c r="X589" s="381">
        <v>8.7083333333333332E-2</v>
      </c>
      <c r="Y589" s="381">
        <v>8.7083333333333332E-2</v>
      </c>
      <c r="Z589" s="381">
        <v>6.666666666666667E-5</v>
      </c>
      <c r="AA589" s="381">
        <v>0</v>
      </c>
      <c r="AB589" s="381">
        <v>0</v>
      </c>
      <c r="AC589" s="382">
        <v>8.7150000000000005E-2</v>
      </c>
      <c r="AD589" s="382">
        <v>0</v>
      </c>
      <c r="AE589" s="381" t="s">
        <v>168</v>
      </c>
    </row>
    <row r="590" spans="1:31" ht="15" customHeight="1" x14ac:dyDescent="0.25">
      <c r="A590" s="20" t="s">
        <v>156</v>
      </c>
      <c r="B590" s="20" t="s">
        <v>939</v>
      </c>
      <c r="C590" s="20" t="s">
        <v>940</v>
      </c>
      <c r="D590" s="378" t="s">
        <v>1003</v>
      </c>
      <c r="E590" s="379">
        <v>45016</v>
      </c>
      <c r="F590" s="379">
        <v>46843</v>
      </c>
      <c r="G590" s="378" t="s">
        <v>193</v>
      </c>
      <c r="H590" s="20" t="s">
        <v>194</v>
      </c>
      <c r="I590" s="20" t="s">
        <v>162</v>
      </c>
      <c r="J590" s="20" t="s">
        <v>163</v>
      </c>
      <c r="K590" s="378" t="s">
        <v>195</v>
      </c>
      <c r="L590" s="20" t="s">
        <v>165</v>
      </c>
      <c r="M590" s="380">
        <v>2400</v>
      </c>
      <c r="N590" s="380"/>
      <c r="O590" s="380"/>
      <c r="P590" s="380"/>
      <c r="Q590" s="381">
        <v>325</v>
      </c>
      <c r="R590" s="381">
        <v>325</v>
      </c>
      <c r="S590" s="381">
        <v>0.247</v>
      </c>
      <c r="T590" s="381"/>
      <c r="U590" s="381"/>
      <c r="V590" s="382">
        <v>325.24700000000001</v>
      </c>
      <c r="W590" s="382">
        <v>0</v>
      </c>
      <c r="X590" s="381">
        <v>0.13541666666666666</v>
      </c>
      <c r="Y590" s="381">
        <v>0.13541666666666666</v>
      </c>
      <c r="Z590" s="381">
        <v>1.0291666666666667E-4</v>
      </c>
      <c r="AA590" s="381">
        <v>0</v>
      </c>
      <c r="AB590" s="381">
        <v>0</v>
      </c>
      <c r="AC590" s="382">
        <v>0.13551958333333333</v>
      </c>
      <c r="AD590" s="382">
        <v>0</v>
      </c>
      <c r="AE590" s="381" t="s">
        <v>168</v>
      </c>
    </row>
    <row r="591" spans="1:31" ht="15" customHeight="1" x14ac:dyDescent="0.25">
      <c r="A591" s="20" t="s">
        <v>156</v>
      </c>
      <c r="B591" s="20" t="s">
        <v>939</v>
      </c>
      <c r="C591" s="20" t="s">
        <v>940</v>
      </c>
      <c r="D591" s="378" t="s">
        <v>1004</v>
      </c>
      <c r="E591" s="379">
        <v>44581</v>
      </c>
      <c r="F591" s="379">
        <v>46407</v>
      </c>
      <c r="G591" s="378" t="s">
        <v>237</v>
      </c>
      <c r="H591" s="20" t="s">
        <v>238</v>
      </c>
      <c r="I591" s="20" t="s">
        <v>162</v>
      </c>
      <c r="J591" s="20" t="s">
        <v>163</v>
      </c>
      <c r="K591" s="378" t="s">
        <v>239</v>
      </c>
      <c r="L591" s="20" t="s">
        <v>165</v>
      </c>
      <c r="M591" s="380">
        <v>2400</v>
      </c>
      <c r="N591" s="380"/>
      <c r="O591" s="380"/>
      <c r="P591" s="380"/>
      <c r="Q591" s="381" t="s">
        <v>213</v>
      </c>
      <c r="R591" s="381" t="s">
        <v>213</v>
      </c>
      <c r="S591" s="381" t="s">
        <v>200</v>
      </c>
      <c r="T591" s="381"/>
      <c r="U591" s="381"/>
      <c r="V591" s="382">
        <v>198.15</v>
      </c>
      <c r="W591" s="382">
        <v>0</v>
      </c>
      <c r="X591" s="381">
        <v>8.2500000000000004E-2</v>
      </c>
      <c r="Y591" s="381">
        <v>8.2500000000000004E-2</v>
      </c>
      <c r="Z591" s="381">
        <v>6.2500000000000001E-5</v>
      </c>
      <c r="AA591" s="381">
        <v>0</v>
      </c>
      <c r="AB591" s="381">
        <v>0</v>
      </c>
      <c r="AC591" s="382">
        <v>8.2562499999999997E-2</v>
      </c>
      <c r="AD591" s="382">
        <v>0</v>
      </c>
      <c r="AE591" s="381" t="s">
        <v>168</v>
      </c>
    </row>
    <row r="592" spans="1:31" ht="15" customHeight="1" x14ac:dyDescent="0.25">
      <c r="A592" s="20" t="s">
        <v>156</v>
      </c>
      <c r="B592" s="20" t="s">
        <v>939</v>
      </c>
      <c r="C592" s="20" t="s">
        <v>940</v>
      </c>
      <c r="D592" s="378" t="s">
        <v>1005</v>
      </c>
      <c r="E592" s="379">
        <v>44581</v>
      </c>
      <c r="F592" s="379">
        <v>46407</v>
      </c>
      <c r="G592" s="378" t="s">
        <v>237</v>
      </c>
      <c r="H592" s="20" t="s">
        <v>238</v>
      </c>
      <c r="I592" s="20" t="s">
        <v>162</v>
      </c>
      <c r="J592" s="20" t="s">
        <v>163</v>
      </c>
      <c r="K592" s="378" t="s">
        <v>239</v>
      </c>
      <c r="L592" s="20" t="s">
        <v>165</v>
      </c>
      <c r="M592" s="380">
        <v>2400</v>
      </c>
      <c r="N592" s="380"/>
      <c r="O592" s="380"/>
      <c r="P592" s="380"/>
      <c r="Q592" s="381" t="s">
        <v>273</v>
      </c>
      <c r="R592" s="381" t="s">
        <v>273</v>
      </c>
      <c r="S592" s="381" t="s">
        <v>234</v>
      </c>
      <c r="T592" s="381"/>
      <c r="U592" s="381"/>
      <c r="V592" s="382">
        <v>188.14</v>
      </c>
      <c r="W592" s="382">
        <v>0</v>
      </c>
      <c r="X592" s="381">
        <v>7.8333333333333338E-2</v>
      </c>
      <c r="Y592" s="381">
        <v>7.8333333333333338E-2</v>
      </c>
      <c r="Z592" s="381">
        <v>5.833333333333334E-5</v>
      </c>
      <c r="AA592" s="381">
        <v>0</v>
      </c>
      <c r="AB592" s="381">
        <v>0</v>
      </c>
      <c r="AC592" s="382">
        <v>7.8391666666666665E-2</v>
      </c>
      <c r="AD592" s="382">
        <v>0</v>
      </c>
      <c r="AE592" s="381" t="s">
        <v>168</v>
      </c>
    </row>
    <row r="593" spans="1:31" ht="15" customHeight="1" x14ac:dyDescent="0.25">
      <c r="A593" s="20" t="s">
        <v>156</v>
      </c>
      <c r="B593" s="20" t="s">
        <v>939</v>
      </c>
      <c r="C593" s="20" t="s">
        <v>940</v>
      </c>
      <c r="D593" s="378" t="s">
        <v>1006</v>
      </c>
      <c r="E593" s="379">
        <v>45038</v>
      </c>
      <c r="F593" s="379">
        <v>46865</v>
      </c>
      <c r="G593" s="383" t="s">
        <v>193</v>
      </c>
      <c r="H593" s="20" t="s">
        <v>229</v>
      </c>
      <c r="I593" s="20" t="s">
        <v>162</v>
      </c>
      <c r="J593" s="20" t="s">
        <v>163</v>
      </c>
      <c r="K593" s="378" t="s">
        <v>230</v>
      </c>
      <c r="L593" s="20" t="s">
        <v>165</v>
      </c>
      <c r="M593" s="380">
        <v>2400</v>
      </c>
      <c r="N593" s="380"/>
      <c r="O593" s="380"/>
      <c r="P593" s="380"/>
      <c r="Q593" s="381" t="s">
        <v>1007</v>
      </c>
      <c r="R593" s="381" t="s">
        <v>1007</v>
      </c>
      <c r="S593" s="381" t="s">
        <v>200</v>
      </c>
      <c r="T593" s="381"/>
      <c r="U593" s="381"/>
      <c r="V593" s="382">
        <v>202.15</v>
      </c>
      <c r="W593" s="382">
        <v>0</v>
      </c>
      <c r="X593" s="381">
        <v>8.4166666666666667E-2</v>
      </c>
      <c r="Y593" s="381">
        <v>8.4166666666666667E-2</v>
      </c>
      <c r="Z593" s="381">
        <v>6.2500000000000001E-5</v>
      </c>
      <c r="AA593" s="381">
        <v>0</v>
      </c>
      <c r="AB593" s="381">
        <v>0</v>
      </c>
      <c r="AC593" s="382">
        <v>8.4229166666666661E-2</v>
      </c>
      <c r="AD593" s="382">
        <v>0</v>
      </c>
      <c r="AE593" s="381" t="s">
        <v>168</v>
      </c>
    </row>
    <row r="594" spans="1:31" ht="15" customHeight="1" x14ac:dyDescent="0.25">
      <c r="A594" s="20" t="s">
        <v>156</v>
      </c>
      <c r="B594" s="20" t="s">
        <v>939</v>
      </c>
      <c r="C594" s="20" t="s">
        <v>940</v>
      </c>
      <c r="D594" s="378" t="s">
        <v>1008</v>
      </c>
      <c r="E594" s="379">
        <v>44581</v>
      </c>
      <c r="F594" s="379">
        <v>46407</v>
      </c>
      <c r="G594" s="378" t="s">
        <v>237</v>
      </c>
      <c r="H594" s="20" t="s">
        <v>238</v>
      </c>
      <c r="I594" s="20" t="s">
        <v>162</v>
      </c>
      <c r="J594" s="20" t="s">
        <v>163</v>
      </c>
      <c r="K594" s="378" t="s">
        <v>239</v>
      </c>
      <c r="L594" s="20" t="s">
        <v>165</v>
      </c>
      <c r="M594" s="380">
        <v>2400</v>
      </c>
      <c r="N594" s="380"/>
      <c r="O594" s="380"/>
      <c r="P594" s="380"/>
      <c r="Q594" s="381" t="s">
        <v>549</v>
      </c>
      <c r="R594" s="381" t="s">
        <v>549</v>
      </c>
      <c r="S594" s="381" t="s">
        <v>211</v>
      </c>
      <c r="T594" s="381"/>
      <c r="U594" s="381"/>
      <c r="V594" s="382">
        <v>229.17</v>
      </c>
      <c r="W594" s="382">
        <v>0</v>
      </c>
      <c r="X594" s="381">
        <v>9.5416666666666664E-2</v>
      </c>
      <c r="Y594" s="381">
        <v>9.5416666666666664E-2</v>
      </c>
      <c r="Z594" s="381">
        <v>7.0833333333333338E-5</v>
      </c>
      <c r="AA594" s="381">
        <v>0</v>
      </c>
      <c r="AB594" s="381">
        <v>0</v>
      </c>
      <c r="AC594" s="382">
        <v>9.5487500000000003E-2</v>
      </c>
      <c r="AD594" s="382">
        <v>0</v>
      </c>
      <c r="AE594" s="381" t="s">
        <v>168</v>
      </c>
    </row>
    <row r="595" spans="1:31" ht="15" customHeight="1" x14ac:dyDescent="0.25">
      <c r="A595" s="20" t="s">
        <v>156</v>
      </c>
      <c r="B595" s="20" t="s">
        <v>939</v>
      </c>
      <c r="C595" s="20" t="s">
        <v>940</v>
      </c>
      <c r="D595" s="378" t="s">
        <v>1009</v>
      </c>
      <c r="E595" s="379">
        <v>45038</v>
      </c>
      <c r="F595" s="379">
        <v>46865</v>
      </c>
      <c r="G595" s="383" t="s">
        <v>193</v>
      </c>
      <c r="H595" s="20" t="s">
        <v>229</v>
      </c>
      <c r="I595" s="20" t="s">
        <v>162</v>
      </c>
      <c r="J595" s="20" t="s">
        <v>163</v>
      </c>
      <c r="K595" s="378" t="s">
        <v>230</v>
      </c>
      <c r="L595" s="20" t="s">
        <v>165</v>
      </c>
      <c r="M595" s="380">
        <v>2400</v>
      </c>
      <c r="N595" s="380"/>
      <c r="O595" s="380"/>
      <c r="P595" s="380"/>
      <c r="Q595" s="381" t="s">
        <v>999</v>
      </c>
      <c r="R595" s="381" t="s">
        <v>999</v>
      </c>
      <c r="S595" s="381" t="s">
        <v>211</v>
      </c>
      <c r="T595" s="381"/>
      <c r="U595" s="381"/>
      <c r="V595" s="382">
        <v>230.17</v>
      </c>
      <c r="W595" s="382">
        <v>0</v>
      </c>
      <c r="X595" s="381">
        <v>9.583333333333334E-2</v>
      </c>
      <c r="Y595" s="381">
        <v>9.583333333333334E-2</v>
      </c>
      <c r="Z595" s="381">
        <v>7.0833333333333338E-5</v>
      </c>
      <c r="AA595" s="381">
        <v>0</v>
      </c>
      <c r="AB595" s="381">
        <v>0</v>
      </c>
      <c r="AC595" s="382">
        <v>9.5904166666666679E-2</v>
      </c>
      <c r="AD595" s="382">
        <v>0</v>
      </c>
      <c r="AE595" s="381" t="s">
        <v>168</v>
      </c>
    </row>
    <row r="596" spans="1:31" ht="15" customHeight="1" x14ac:dyDescent="0.25">
      <c r="A596" s="20" t="s">
        <v>156</v>
      </c>
      <c r="B596" s="20" t="s">
        <v>939</v>
      </c>
      <c r="C596" s="20" t="s">
        <v>940</v>
      </c>
      <c r="D596" s="378" t="s">
        <v>1010</v>
      </c>
      <c r="E596" s="379">
        <v>45038</v>
      </c>
      <c r="F596" s="379">
        <v>46865</v>
      </c>
      <c r="G596" s="383" t="s">
        <v>193</v>
      </c>
      <c r="H596" s="20" t="s">
        <v>229</v>
      </c>
      <c r="I596" s="20" t="s">
        <v>162</v>
      </c>
      <c r="J596" s="20" t="s">
        <v>163</v>
      </c>
      <c r="K596" s="378" t="s">
        <v>230</v>
      </c>
      <c r="L596" s="20" t="s">
        <v>165</v>
      </c>
      <c r="M596" s="380">
        <v>2400</v>
      </c>
      <c r="N596" s="380"/>
      <c r="O596" s="380"/>
      <c r="P596" s="380"/>
      <c r="Q596" s="381" t="s">
        <v>966</v>
      </c>
      <c r="R596" s="381" t="s">
        <v>966</v>
      </c>
      <c r="S596" s="381" t="s">
        <v>200</v>
      </c>
      <c r="T596" s="381"/>
      <c r="U596" s="381"/>
      <c r="V596" s="382">
        <v>203.15</v>
      </c>
      <c r="W596" s="382">
        <v>0</v>
      </c>
      <c r="X596" s="381">
        <v>8.458333333333333E-2</v>
      </c>
      <c r="Y596" s="381">
        <v>8.458333333333333E-2</v>
      </c>
      <c r="Z596" s="381">
        <v>6.2500000000000001E-5</v>
      </c>
      <c r="AA596" s="381">
        <v>0</v>
      </c>
      <c r="AB596" s="381">
        <v>0</v>
      </c>
      <c r="AC596" s="382">
        <v>8.4645833333333323E-2</v>
      </c>
      <c r="AD596" s="382">
        <v>0</v>
      </c>
      <c r="AE596" s="381" t="s">
        <v>168</v>
      </c>
    </row>
    <row r="597" spans="1:31" ht="15" customHeight="1" x14ac:dyDescent="0.25">
      <c r="A597" s="20" t="s">
        <v>156</v>
      </c>
      <c r="B597" s="20" t="s">
        <v>939</v>
      </c>
      <c r="C597" s="20" t="s">
        <v>940</v>
      </c>
      <c r="D597" s="378" t="s">
        <v>1011</v>
      </c>
      <c r="E597" s="379">
        <v>45038</v>
      </c>
      <c r="F597" s="379">
        <v>46865</v>
      </c>
      <c r="G597" s="383" t="s">
        <v>193</v>
      </c>
      <c r="H597" s="20" t="s">
        <v>229</v>
      </c>
      <c r="I597" s="20" t="s">
        <v>162</v>
      </c>
      <c r="J597" s="20" t="s">
        <v>163</v>
      </c>
      <c r="K597" s="378" t="s">
        <v>230</v>
      </c>
      <c r="L597" s="20" t="s">
        <v>165</v>
      </c>
      <c r="M597" s="380">
        <v>2400</v>
      </c>
      <c r="N597" s="380"/>
      <c r="O597" s="380"/>
      <c r="P597" s="380"/>
      <c r="Q597" s="381" t="s">
        <v>240</v>
      </c>
      <c r="R597" s="381" t="s">
        <v>240</v>
      </c>
      <c r="S597" s="381" t="s">
        <v>234</v>
      </c>
      <c r="T597" s="381"/>
      <c r="U597" s="381"/>
      <c r="V597" s="382">
        <v>190.14</v>
      </c>
      <c r="W597" s="382">
        <v>0</v>
      </c>
      <c r="X597" s="381">
        <v>7.9166666666666663E-2</v>
      </c>
      <c r="Y597" s="381">
        <v>7.9166666666666663E-2</v>
      </c>
      <c r="Z597" s="381">
        <v>5.833333333333334E-5</v>
      </c>
      <c r="AA597" s="381">
        <v>0</v>
      </c>
      <c r="AB597" s="381">
        <v>0</v>
      </c>
      <c r="AC597" s="382">
        <v>7.922499999999999E-2</v>
      </c>
      <c r="AD597" s="382">
        <v>0</v>
      </c>
      <c r="AE597" s="381" t="s">
        <v>168</v>
      </c>
    </row>
    <row r="598" spans="1:31" ht="15" customHeight="1" x14ac:dyDescent="0.25">
      <c r="A598" s="20" t="s">
        <v>156</v>
      </c>
      <c r="B598" s="20" t="s">
        <v>939</v>
      </c>
      <c r="C598" s="20" t="s">
        <v>940</v>
      </c>
      <c r="D598" s="378" t="s">
        <v>1012</v>
      </c>
      <c r="E598" s="379">
        <v>45038</v>
      </c>
      <c r="F598" s="379">
        <v>46865</v>
      </c>
      <c r="G598" s="383" t="s">
        <v>193</v>
      </c>
      <c r="H598" s="20" t="s">
        <v>229</v>
      </c>
      <c r="I598" s="20" t="s">
        <v>162</v>
      </c>
      <c r="J598" s="20" t="s">
        <v>163</v>
      </c>
      <c r="K598" s="378" t="s">
        <v>230</v>
      </c>
      <c r="L598" s="20" t="s">
        <v>165</v>
      </c>
      <c r="M598" s="380">
        <v>2400</v>
      </c>
      <c r="N598" s="380"/>
      <c r="O598" s="380"/>
      <c r="P598" s="380"/>
      <c r="Q598" s="381" t="s">
        <v>1013</v>
      </c>
      <c r="R598" s="381" t="s">
        <v>1013</v>
      </c>
      <c r="S598" s="381" t="s">
        <v>234</v>
      </c>
      <c r="T598" s="381"/>
      <c r="U598" s="381"/>
      <c r="V598" s="382">
        <v>191.14</v>
      </c>
      <c r="W598" s="382">
        <v>0</v>
      </c>
      <c r="X598" s="381">
        <v>7.9583333333333339E-2</v>
      </c>
      <c r="Y598" s="381">
        <v>7.9583333333333339E-2</v>
      </c>
      <c r="Z598" s="381">
        <v>5.833333333333334E-5</v>
      </c>
      <c r="AA598" s="381">
        <v>0</v>
      </c>
      <c r="AB598" s="381">
        <v>0</v>
      </c>
      <c r="AC598" s="382">
        <v>7.9641666666666666E-2</v>
      </c>
      <c r="AD598" s="382">
        <v>0</v>
      </c>
      <c r="AE598" s="381" t="s">
        <v>168</v>
      </c>
    </row>
    <row r="599" spans="1:31" ht="15" customHeight="1" x14ac:dyDescent="0.25">
      <c r="A599" s="20" t="s">
        <v>156</v>
      </c>
      <c r="B599" s="20" t="s">
        <v>939</v>
      </c>
      <c r="C599" s="20" t="s">
        <v>940</v>
      </c>
      <c r="D599" s="378" t="s">
        <v>1014</v>
      </c>
      <c r="E599" s="379">
        <v>44581</v>
      </c>
      <c r="F599" s="379">
        <v>46407</v>
      </c>
      <c r="G599" s="378" t="s">
        <v>237</v>
      </c>
      <c r="H599" s="20" t="s">
        <v>238</v>
      </c>
      <c r="I599" s="20" t="s">
        <v>162</v>
      </c>
      <c r="J599" s="20" t="s">
        <v>163</v>
      </c>
      <c r="K599" s="378" t="s">
        <v>239</v>
      </c>
      <c r="L599" s="20" t="s">
        <v>165</v>
      </c>
      <c r="M599" s="380">
        <v>2400</v>
      </c>
      <c r="N599" s="380"/>
      <c r="O599" s="380"/>
      <c r="P599" s="380"/>
      <c r="Q599" s="381" t="s">
        <v>1013</v>
      </c>
      <c r="R599" s="381" t="s">
        <v>1013</v>
      </c>
      <c r="S599" s="381" t="s">
        <v>234</v>
      </c>
      <c r="T599" s="381"/>
      <c r="U599" s="381"/>
      <c r="V599" s="382">
        <v>191.14</v>
      </c>
      <c r="W599" s="382">
        <v>0</v>
      </c>
      <c r="X599" s="381">
        <v>7.9583333333333339E-2</v>
      </c>
      <c r="Y599" s="381">
        <v>7.9583333333333339E-2</v>
      </c>
      <c r="Z599" s="381">
        <v>5.833333333333334E-5</v>
      </c>
      <c r="AA599" s="381">
        <v>0</v>
      </c>
      <c r="AB599" s="381">
        <v>0</v>
      </c>
      <c r="AC599" s="382">
        <v>7.9641666666666666E-2</v>
      </c>
      <c r="AD599" s="382">
        <v>0</v>
      </c>
      <c r="AE599" s="381" t="s">
        <v>168</v>
      </c>
    </row>
    <row r="600" spans="1:31" ht="15" customHeight="1" x14ac:dyDescent="0.25">
      <c r="A600" s="20" t="s">
        <v>156</v>
      </c>
      <c r="B600" s="20" t="s">
        <v>939</v>
      </c>
      <c r="C600" s="20" t="s">
        <v>940</v>
      </c>
      <c r="D600" s="378" t="s">
        <v>1015</v>
      </c>
      <c r="E600" s="379">
        <v>44581</v>
      </c>
      <c r="F600" s="379">
        <v>46407</v>
      </c>
      <c r="G600" s="378" t="s">
        <v>237</v>
      </c>
      <c r="H600" s="20" t="s">
        <v>238</v>
      </c>
      <c r="I600" s="20" t="s">
        <v>162</v>
      </c>
      <c r="J600" s="20" t="s">
        <v>163</v>
      </c>
      <c r="K600" s="378" t="s">
        <v>239</v>
      </c>
      <c r="L600" s="20" t="s">
        <v>165</v>
      </c>
      <c r="M600" s="380">
        <v>2400</v>
      </c>
      <c r="N600" s="380"/>
      <c r="O600" s="380"/>
      <c r="P600" s="380"/>
      <c r="Q600" s="381" t="s">
        <v>1016</v>
      </c>
      <c r="R600" s="381" t="s">
        <v>1016</v>
      </c>
      <c r="S600" s="381" t="s">
        <v>234</v>
      </c>
      <c r="T600" s="381"/>
      <c r="U600" s="381"/>
      <c r="V600" s="382">
        <v>193.14</v>
      </c>
      <c r="W600" s="382">
        <v>0</v>
      </c>
      <c r="X600" s="381">
        <v>8.0416666666666664E-2</v>
      </c>
      <c r="Y600" s="381">
        <v>8.0416666666666664E-2</v>
      </c>
      <c r="Z600" s="381">
        <v>5.833333333333334E-5</v>
      </c>
      <c r="AA600" s="381">
        <v>0</v>
      </c>
      <c r="AB600" s="381">
        <v>0</v>
      </c>
      <c r="AC600" s="382">
        <v>8.0474999999999991E-2</v>
      </c>
      <c r="AD600" s="382">
        <v>0</v>
      </c>
      <c r="AE600" s="381" t="s">
        <v>168</v>
      </c>
    </row>
    <row r="601" spans="1:31" ht="15" customHeight="1" x14ac:dyDescent="0.25">
      <c r="A601" s="20" t="s">
        <v>156</v>
      </c>
      <c r="B601" s="20" t="s">
        <v>939</v>
      </c>
      <c r="C601" s="20" t="s">
        <v>940</v>
      </c>
      <c r="D601" s="378" t="s">
        <v>1017</v>
      </c>
      <c r="E601" s="379">
        <v>45016</v>
      </c>
      <c r="F601" s="379">
        <v>46843</v>
      </c>
      <c r="G601" s="378" t="s">
        <v>193</v>
      </c>
      <c r="H601" s="20" t="s">
        <v>194</v>
      </c>
      <c r="I601" s="20" t="s">
        <v>162</v>
      </c>
      <c r="J601" s="20" t="s">
        <v>163</v>
      </c>
      <c r="K601" s="378" t="s">
        <v>195</v>
      </c>
      <c r="L601" s="20" t="s">
        <v>165</v>
      </c>
      <c r="M601" s="380">
        <v>2400</v>
      </c>
      <c r="N601" s="380"/>
      <c r="O601" s="380"/>
      <c r="P601" s="380"/>
      <c r="Q601" s="381">
        <v>280</v>
      </c>
      <c r="R601" s="381">
        <v>280</v>
      </c>
      <c r="S601" s="381">
        <v>0.20300000000000001</v>
      </c>
      <c r="T601" s="381"/>
      <c r="U601" s="381"/>
      <c r="V601" s="382">
        <v>280.20299999999997</v>
      </c>
      <c r="W601" s="382">
        <v>0</v>
      </c>
      <c r="X601" s="381">
        <v>0.11666666666666667</v>
      </c>
      <c r="Y601" s="381">
        <v>0.11666666666666667</v>
      </c>
      <c r="Z601" s="381">
        <v>8.4583333333333334E-5</v>
      </c>
      <c r="AA601" s="381">
        <v>0</v>
      </c>
      <c r="AB601" s="381">
        <v>0</v>
      </c>
      <c r="AC601" s="382">
        <v>0.11675125</v>
      </c>
      <c r="AD601" s="382">
        <v>0</v>
      </c>
      <c r="AE601" s="381" t="s">
        <v>168</v>
      </c>
    </row>
    <row r="602" spans="1:31" ht="15" customHeight="1" x14ac:dyDescent="0.25">
      <c r="A602" s="20" t="s">
        <v>156</v>
      </c>
      <c r="B602" s="20" t="s">
        <v>939</v>
      </c>
      <c r="C602" s="20" t="s">
        <v>940</v>
      </c>
      <c r="D602" s="378" t="s">
        <v>1018</v>
      </c>
      <c r="E602" s="379">
        <v>44581</v>
      </c>
      <c r="F602" s="379">
        <v>46407</v>
      </c>
      <c r="G602" s="378" t="s">
        <v>237</v>
      </c>
      <c r="H602" s="20" t="s">
        <v>238</v>
      </c>
      <c r="I602" s="20" t="s">
        <v>162</v>
      </c>
      <c r="J602" s="20" t="s">
        <v>163</v>
      </c>
      <c r="K602" s="378" t="s">
        <v>239</v>
      </c>
      <c r="L602" s="20" t="s">
        <v>165</v>
      </c>
      <c r="M602" s="380">
        <v>2400</v>
      </c>
      <c r="N602" s="380"/>
      <c r="O602" s="380"/>
      <c r="P602" s="380"/>
      <c r="Q602" s="381" t="s">
        <v>1019</v>
      </c>
      <c r="R602" s="381" t="s">
        <v>1019</v>
      </c>
      <c r="S602" s="381" t="s">
        <v>266</v>
      </c>
      <c r="T602" s="381"/>
      <c r="U602" s="381"/>
      <c r="V602" s="382">
        <v>181.13</v>
      </c>
      <c r="W602" s="382">
        <v>0</v>
      </c>
      <c r="X602" s="381">
        <v>7.5416666666666674E-2</v>
      </c>
      <c r="Y602" s="381">
        <v>7.5416666666666674E-2</v>
      </c>
      <c r="Z602" s="381">
        <v>5.4166666666666671E-5</v>
      </c>
      <c r="AA602" s="381">
        <v>0</v>
      </c>
      <c r="AB602" s="381">
        <v>0</v>
      </c>
      <c r="AC602" s="382">
        <v>7.5470833333333334E-2</v>
      </c>
      <c r="AD602" s="382">
        <v>0</v>
      </c>
      <c r="AE602" s="381" t="s">
        <v>168</v>
      </c>
    </row>
    <row r="603" spans="1:31" ht="15" customHeight="1" x14ac:dyDescent="0.25">
      <c r="A603" s="20" t="s">
        <v>156</v>
      </c>
      <c r="B603" s="20" t="s">
        <v>939</v>
      </c>
      <c r="C603" s="20" t="s">
        <v>940</v>
      </c>
      <c r="D603" s="378" t="s">
        <v>1020</v>
      </c>
      <c r="E603" s="379">
        <v>45038</v>
      </c>
      <c r="F603" s="379">
        <v>46865</v>
      </c>
      <c r="G603" s="383" t="s">
        <v>193</v>
      </c>
      <c r="H603" s="20" t="s">
        <v>229</v>
      </c>
      <c r="I603" s="20" t="s">
        <v>162</v>
      </c>
      <c r="J603" s="20" t="s">
        <v>163</v>
      </c>
      <c r="K603" s="378" t="s">
        <v>230</v>
      </c>
      <c r="L603" s="20" t="s">
        <v>165</v>
      </c>
      <c r="M603" s="380">
        <v>2400</v>
      </c>
      <c r="N603" s="380"/>
      <c r="O603" s="380"/>
      <c r="P603" s="380"/>
      <c r="Q603" s="381" t="s">
        <v>270</v>
      </c>
      <c r="R603" s="381" t="s">
        <v>270</v>
      </c>
      <c r="S603" s="381" t="s">
        <v>234</v>
      </c>
      <c r="T603" s="381"/>
      <c r="U603" s="381"/>
      <c r="V603" s="382">
        <v>197.14</v>
      </c>
      <c r="W603" s="382">
        <v>0</v>
      </c>
      <c r="X603" s="381">
        <v>8.2083333333333328E-2</v>
      </c>
      <c r="Y603" s="381">
        <v>8.2083333333333328E-2</v>
      </c>
      <c r="Z603" s="381">
        <v>5.833333333333334E-5</v>
      </c>
      <c r="AA603" s="381">
        <v>0</v>
      </c>
      <c r="AB603" s="381">
        <v>0</v>
      </c>
      <c r="AC603" s="382">
        <v>8.2141666666666655E-2</v>
      </c>
      <c r="AD603" s="382">
        <v>0</v>
      </c>
      <c r="AE603" s="381" t="s">
        <v>168</v>
      </c>
    </row>
    <row r="604" spans="1:31" ht="15" customHeight="1" x14ac:dyDescent="0.25">
      <c r="A604" s="20" t="s">
        <v>156</v>
      </c>
      <c r="B604" s="20" t="s">
        <v>939</v>
      </c>
      <c r="C604" s="20" t="s">
        <v>940</v>
      </c>
      <c r="D604" s="378" t="s">
        <v>1021</v>
      </c>
      <c r="E604" s="379">
        <v>44581</v>
      </c>
      <c r="F604" s="379">
        <v>46407</v>
      </c>
      <c r="G604" s="378" t="s">
        <v>237</v>
      </c>
      <c r="H604" s="20" t="s">
        <v>238</v>
      </c>
      <c r="I604" s="20" t="s">
        <v>162</v>
      </c>
      <c r="J604" s="20" t="s">
        <v>163</v>
      </c>
      <c r="K604" s="378" t="s">
        <v>239</v>
      </c>
      <c r="L604" s="20" t="s">
        <v>165</v>
      </c>
      <c r="M604" s="380">
        <v>2400</v>
      </c>
      <c r="N604" s="380"/>
      <c r="O604" s="380"/>
      <c r="P604" s="380"/>
      <c r="Q604" s="381" t="s">
        <v>771</v>
      </c>
      <c r="R604" s="381" t="s">
        <v>771</v>
      </c>
      <c r="S604" s="381" t="s">
        <v>266</v>
      </c>
      <c r="T604" s="381"/>
      <c r="U604" s="381"/>
      <c r="V604" s="382">
        <v>185.13</v>
      </c>
      <c r="W604" s="382">
        <v>0</v>
      </c>
      <c r="X604" s="381">
        <v>7.7083333333333337E-2</v>
      </c>
      <c r="Y604" s="381">
        <v>7.7083333333333337E-2</v>
      </c>
      <c r="Z604" s="381">
        <v>5.4166666666666671E-5</v>
      </c>
      <c r="AA604" s="381">
        <v>0</v>
      </c>
      <c r="AB604" s="381">
        <v>0</v>
      </c>
      <c r="AC604" s="382">
        <v>7.7137499999999998E-2</v>
      </c>
      <c r="AD604" s="382">
        <v>0</v>
      </c>
      <c r="AE604" s="381" t="s">
        <v>168</v>
      </c>
    </row>
    <row r="605" spans="1:31" ht="15" customHeight="1" x14ac:dyDescent="0.25">
      <c r="A605" s="20" t="s">
        <v>156</v>
      </c>
      <c r="B605" s="20" t="s">
        <v>939</v>
      </c>
      <c r="C605" s="20" t="s">
        <v>940</v>
      </c>
      <c r="D605" s="378" t="s">
        <v>1022</v>
      </c>
      <c r="E605" s="379">
        <v>44525</v>
      </c>
      <c r="F605" s="379">
        <v>46351</v>
      </c>
      <c r="G605" s="378" t="s">
        <v>262</v>
      </c>
      <c r="H605" s="20" t="s">
        <v>263</v>
      </c>
      <c r="I605" s="20" t="s">
        <v>162</v>
      </c>
      <c r="J605" s="20" t="s">
        <v>163</v>
      </c>
      <c r="K605" s="378" t="s">
        <v>264</v>
      </c>
      <c r="L605" s="20" t="s">
        <v>165</v>
      </c>
      <c r="M605" s="380">
        <v>2400</v>
      </c>
      <c r="N605" s="380"/>
      <c r="O605" s="380"/>
      <c r="P605" s="380"/>
      <c r="Q605" s="381" t="s">
        <v>747</v>
      </c>
      <c r="R605" s="381" t="s">
        <v>747</v>
      </c>
      <c r="S605" s="381" t="s">
        <v>189</v>
      </c>
      <c r="T605" s="381"/>
      <c r="U605" s="381"/>
      <c r="V605" s="382">
        <v>236.16</v>
      </c>
      <c r="W605" s="382">
        <v>0</v>
      </c>
      <c r="X605" s="381">
        <v>9.8333333333333328E-2</v>
      </c>
      <c r="Y605" s="381">
        <v>9.8333333333333328E-2</v>
      </c>
      <c r="Z605" s="381">
        <v>6.666666666666667E-5</v>
      </c>
      <c r="AA605" s="381">
        <v>0</v>
      </c>
      <c r="AB605" s="381">
        <v>0</v>
      </c>
      <c r="AC605" s="382">
        <v>9.8400000000000001E-2</v>
      </c>
      <c r="AD605" s="382">
        <v>0</v>
      </c>
      <c r="AE605" s="381" t="s">
        <v>168</v>
      </c>
    </row>
    <row r="606" spans="1:31" ht="15" customHeight="1" x14ac:dyDescent="0.25">
      <c r="A606" s="20" t="s">
        <v>156</v>
      </c>
      <c r="B606" s="20" t="s">
        <v>939</v>
      </c>
      <c r="C606" s="20" t="s">
        <v>940</v>
      </c>
      <c r="D606" s="378" t="s">
        <v>1023</v>
      </c>
      <c r="E606" s="379">
        <v>44525</v>
      </c>
      <c r="F606" s="379">
        <v>46351</v>
      </c>
      <c r="G606" s="378" t="s">
        <v>262</v>
      </c>
      <c r="H606" s="20" t="s">
        <v>263</v>
      </c>
      <c r="I606" s="20" t="s">
        <v>162</v>
      </c>
      <c r="J606" s="20" t="s">
        <v>163</v>
      </c>
      <c r="K606" s="378" t="s">
        <v>264</v>
      </c>
      <c r="L606" s="20" t="s">
        <v>165</v>
      </c>
      <c r="M606" s="380">
        <v>2400</v>
      </c>
      <c r="N606" s="380"/>
      <c r="O606" s="380"/>
      <c r="P606" s="380"/>
      <c r="Q606" s="381" t="s">
        <v>746</v>
      </c>
      <c r="R606" s="381" t="s">
        <v>746</v>
      </c>
      <c r="S606" s="381" t="s">
        <v>189</v>
      </c>
      <c r="T606" s="381"/>
      <c r="U606" s="381"/>
      <c r="V606" s="382">
        <v>237.16</v>
      </c>
      <c r="W606" s="382">
        <v>0</v>
      </c>
      <c r="X606" s="381">
        <v>9.8750000000000004E-2</v>
      </c>
      <c r="Y606" s="381">
        <v>9.8750000000000004E-2</v>
      </c>
      <c r="Z606" s="381">
        <v>6.666666666666667E-5</v>
      </c>
      <c r="AA606" s="381">
        <v>0</v>
      </c>
      <c r="AB606" s="381">
        <v>0</v>
      </c>
      <c r="AC606" s="382">
        <v>9.8816666666666678E-2</v>
      </c>
      <c r="AD606" s="382">
        <v>0</v>
      </c>
      <c r="AE606" s="381" t="s">
        <v>168</v>
      </c>
    </row>
    <row r="607" spans="1:31" ht="15" customHeight="1" x14ac:dyDescent="0.25">
      <c r="A607" s="20" t="s">
        <v>156</v>
      </c>
      <c r="B607" s="20" t="s">
        <v>939</v>
      </c>
      <c r="C607" s="20" t="s">
        <v>940</v>
      </c>
      <c r="D607" s="378" t="s">
        <v>1024</v>
      </c>
      <c r="E607" s="379">
        <v>44525</v>
      </c>
      <c r="F607" s="379">
        <v>46351</v>
      </c>
      <c r="G607" s="378" t="s">
        <v>262</v>
      </c>
      <c r="H607" s="20" t="s">
        <v>263</v>
      </c>
      <c r="I607" s="20" t="s">
        <v>162</v>
      </c>
      <c r="J607" s="20" t="s">
        <v>163</v>
      </c>
      <c r="K607" s="378" t="s">
        <v>264</v>
      </c>
      <c r="L607" s="20" t="s">
        <v>165</v>
      </c>
      <c r="M607" s="380">
        <v>2400</v>
      </c>
      <c r="N607" s="380"/>
      <c r="O607" s="380"/>
      <c r="P607" s="380"/>
      <c r="Q607" s="381" t="s">
        <v>746</v>
      </c>
      <c r="R607" s="381" t="s">
        <v>746</v>
      </c>
      <c r="S607" s="381" t="s">
        <v>189</v>
      </c>
      <c r="T607" s="381"/>
      <c r="U607" s="381"/>
      <c r="V607" s="382">
        <v>237.16</v>
      </c>
      <c r="W607" s="382">
        <v>0</v>
      </c>
      <c r="X607" s="381">
        <v>9.8750000000000004E-2</v>
      </c>
      <c r="Y607" s="381">
        <v>9.8750000000000004E-2</v>
      </c>
      <c r="Z607" s="381">
        <v>6.666666666666667E-5</v>
      </c>
      <c r="AA607" s="381">
        <v>0</v>
      </c>
      <c r="AB607" s="381">
        <v>0</v>
      </c>
      <c r="AC607" s="382">
        <v>9.8816666666666678E-2</v>
      </c>
      <c r="AD607" s="382">
        <v>0</v>
      </c>
      <c r="AE607" s="381" t="s">
        <v>168</v>
      </c>
    </row>
    <row r="608" spans="1:31" ht="15" customHeight="1" x14ac:dyDescent="0.25">
      <c r="A608" s="20" t="s">
        <v>156</v>
      </c>
      <c r="B608" s="20" t="s">
        <v>939</v>
      </c>
      <c r="C608" s="20" t="s">
        <v>940</v>
      </c>
      <c r="D608" s="378" t="s">
        <v>1025</v>
      </c>
      <c r="E608" s="379">
        <v>44581</v>
      </c>
      <c r="F608" s="379">
        <v>46407</v>
      </c>
      <c r="G608" s="378" t="s">
        <v>237</v>
      </c>
      <c r="H608" s="20" t="s">
        <v>238</v>
      </c>
      <c r="I608" s="20" t="s">
        <v>162</v>
      </c>
      <c r="J608" s="20" t="s">
        <v>163</v>
      </c>
      <c r="K608" s="378" t="s">
        <v>239</v>
      </c>
      <c r="L608" s="20" t="s">
        <v>165</v>
      </c>
      <c r="M608" s="380">
        <v>2400</v>
      </c>
      <c r="N608" s="380"/>
      <c r="O608" s="380"/>
      <c r="P608" s="380"/>
      <c r="Q608" s="381" t="s">
        <v>942</v>
      </c>
      <c r="R608" s="381" t="s">
        <v>942</v>
      </c>
      <c r="S608" s="381" t="s">
        <v>211</v>
      </c>
      <c r="T608" s="381"/>
      <c r="U608" s="381"/>
      <c r="V608" s="382">
        <v>255.17</v>
      </c>
      <c r="W608" s="382">
        <v>0</v>
      </c>
      <c r="X608" s="381">
        <v>0.10625</v>
      </c>
      <c r="Y608" s="381">
        <v>0.10625</v>
      </c>
      <c r="Z608" s="381">
        <v>7.0833333333333338E-5</v>
      </c>
      <c r="AA608" s="381">
        <v>0</v>
      </c>
      <c r="AB608" s="381">
        <v>0</v>
      </c>
      <c r="AC608" s="382">
        <v>0.10632083333333334</v>
      </c>
      <c r="AD608" s="382">
        <v>0</v>
      </c>
      <c r="AE608" s="381" t="s">
        <v>168</v>
      </c>
    </row>
    <row r="609" spans="1:31" ht="15" customHeight="1" x14ac:dyDescent="0.25">
      <c r="A609" s="20" t="s">
        <v>156</v>
      </c>
      <c r="B609" s="20" t="s">
        <v>939</v>
      </c>
      <c r="C609" s="20" t="s">
        <v>940</v>
      </c>
      <c r="D609" s="378" t="s">
        <v>1026</v>
      </c>
      <c r="E609" s="379">
        <v>44525</v>
      </c>
      <c r="F609" s="379">
        <v>46351</v>
      </c>
      <c r="G609" s="378" t="s">
        <v>262</v>
      </c>
      <c r="H609" s="20" t="s">
        <v>263</v>
      </c>
      <c r="I609" s="20" t="s">
        <v>162</v>
      </c>
      <c r="J609" s="20" t="s">
        <v>163</v>
      </c>
      <c r="K609" s="378" t="s">
        <v>264</v>
      </c>
      <c r="L609" s="20" t="s">
        <v>165</v>
      </c>
      <c r="M609" s="380">
        <v>2400</v>
      </c>
      <c r="N609" s="380"/>
      <c r="O609" s="380"/>
      <c r="P609" s="380"/>
      <c r="Q609" s="381" t="s">
        <v>1027</v>
      </c>
      <c r="R609" s="381" t="s">
        <v>1027</v>
      </c>
      <c r="S609" s="381" t="s">
        <v>200</v>
      </c>
      <c r="T609" s="381"/>
      <c r="U609" s="381"/>
      <c r="V609" s="382">
        <v>227.15</v>
      </c>
      <c r="W609" s="382">
        <v>0</v>
      </c>
      <c r="X609" s="381">
        <v>9.4583333333333339E-2</v>
      </c>
      <c r="Y609" s="381">
        <v>9.4583333333333339E-2</v>
      </c>
      <c r="Z609" s="381">
        <v>6.2500000000000001E-5</v>
      </c>
      <c r="AA609" s="381">
        <v>0</v>
      </c>
      <c r="AB609" s="381">
        <v>0</v>
      </c>
      <c r="AC609" s="382">
        <v>9.4645833333333332E-2</v>
      </c>
      <c r="AD609" s="382">
        <v>0</v>
      </c>
      <c r="AE609" s="381" t="s">
        <v>168</v>
      </c>
    </row>
    <row r="610" spans="1:31" ht="15" customHeight="1" x14ac:dyDescent="0.25">
      <c r="A610" s="20" t="s">
        <v>156</v>
      </c>
      <c r="B610" s="20" t="s">
        <v>939</v>
      </c>
      <c r="C610" s="20" t="s">
        <v>940</v>
      </c>
      <c r="D610" s="378" t="s">
        <v>1028</v>
      </c>
      <c r="E610" s="379">
        <v>44525</v>
      </c>
      <c r="F610" s="379">
        <v>46351</v>
      </c>
      <c r="G610" s="378" t="s">
        <v>262</v>
      </c>
      <c r="H610" s="20" t="s">
        <v>263</v>
      </c>
      <c r="I610" s="20" t="s">
        <v>162</v>
      </c>
      <c r="J610" s="20" t="s">
        <v>163</v>
      </c>
      <c r="K610" s="378" t="s">
        <v>264</v>
      </c>
      <c r="L610" s="20" t="s">
        <v>165</v>
      </c>
      <c r="M610" s="380">
        <v>2400</v>
      </c>
      <c r="N610" s="380"/>
      <c r="O610" s="380"/>
      <c r="P610" s="380"/>
      <c r="Q610" s="381" t="s">
        <v>1029</v>
      </c>
      <c r="R610" s="381" t="s">
        <v>1029</v>
      </c>
      <c r="S610" s="381" t="s">
        <v>200</v>
      </c>
      <c r="T610" s="381"/>
      <c r="U610" s="381"/>
      <c r="V610" s="382">
        <v>234.15</v>
      </c>
      <c r="W610" s="382">
        <v>0</v>
      </c>
      <c r="X610" s="381">
        <v>9.7500000000000003E-2</v>
      </c>
      <c r="Y610" s="381">
        <v>9.7500000000000003E-2</v>
      </c>
      <c r="Z610" s="381">
        <v>6.2500000000000001E-5</v>
      </c>
      <c r="AA610" s="381">
        <v>0</v>
      </c>
      <c r="AB610" s="381">
        <v>0</v>
      </c>
      <c r="AC610" s="382">
        <v>9.7562499999999996E-2</v>
      </c>
      <c r="AD610" s="382">
        <v>0</v>
      </c>
      <c r="AE610" s="381" t="s">
        <v>168</v>
      </c>
    </row>
    <row r="611" spans="1:31" ht="15" customHeight="1" x14ac:dyDescent="0.25">
      <c r="A611" s="20" t="s">
        <v>156</v>
      </c>
      <c r="B611" s="20" t="s">
        <v>939</v>
      </c>
      <c r="C611" s="20" t="s">
        <v>940</v>
      </c>
      <c r="D611" s="378" t="s">
        <v>1030</v>
      </c>
      <c r="E611" s="379">
        <v>44525</v>
      </c>
      <c r="F611" s="379">
        <v>46351</v>
      </c>
      <c r="G611" s="378" t="s">
        <v>262</v>
      </c>
      <c r="H611" s="20" t="s">
        <v>263</v>
      </c>
      <c r="I611" s="20" t="s">
        <v>162</v>
      </c>
      <c r="J611" s="20" t="s">
        <v>163</v>
      </c>
      <c r="K611" s="378" t="s">
        <v>264</v>
      </c>
      <c r="L611" s="20" t="s">
        <v>165</v>
      </c>
      <c r="M611" s="380">
        <v>2400</v>
      </c>
      <c r="N611" s="380"/>
      <c r="O611" s="380"/>
      <c r="P611" s="380"/>
      <c r="Q611" s="381" t="s">
        <v>1031</v>
      </c>
      <c r="R611" s="381" t="s">
        <v>1031</v>
      </c>
      <c r="S611" s="381" t="s">
        <v>200</v>
      </c>
      <c r="T611" s="381"/>
      <c r="U611" s="381"/>
      <c r="V611" s="382">
        <v>235.15</v>
      </c>
      <c r="W611" s="382">
        <v>0</v>
      </c>
      <c r="X611" s="381">
        <v>9.7916666666666666E-2</v>
      </c>
      <c r="Y611" s="381">
        <v>9.7916666666666666E-2</v>
      </c>
      <c r="Z611" s="381">
        <v>6.2500000000000001E-5</v>
      </c>
      <c r="AA611" s="381">
        <v>0</v>
      </c>
      <c r="AB611" s="381">
        <v>0</v>
      </c>
      <c r="AC611" s="382">
        <v>9.7979166666666659E-2</v>
      </c>
      <c r="AD611" s="382">
        <v>0</v>
      </c>
      <c r="AE611" s="381" t="s">
        <v>168</v>
      </c>
    </row>
    <row r="612" spans="1:31" ht="15" customHeight="1" x14ac:dyDescent="0.25">
      <c r="A612" s="20" t="s">
        <v>156</v>
      </c>
      <c r="B612" s="20" t="s">
        <v>939</v>
      </c>
      <c r="C612" s="20" t="s">
        <v>940</v>
      </c>
      <c r="D612" s="378" t="s">
        <v>1032</v>
      </c>
      <c r="E612" s="379">
        <v>44525</v>
      </c>
      <c r="F612" s="379">
        <v>46351</v>
      </c>
      <c r="G612" s="378" t="s">
        <v>262</v>
      </c>
      <c r="H612" s="20" t="s">
        <v>263</v>
      </c>
      <c r="I612" s="20" t="s">
        <v>162</v>
      </c>
      <c r="J612" s="20" t="s">
        <v>163</v>
      </c>
      <c r="K612" s="378" t="s">
        <v>264</v>
      </c>
      <c r="L612" s="20" t="s">
        <v>165</v>
      </c>
      <c r="M612" s="380">
        <v>2400</v>
      </c>
      <c r="N612" s="380"/>
      <c r="O612" s="380"/>
      <c r="P612" s="380"/>
      <c r="Q612" s="381" t="s">
        <v>1031</v>
      </c>
      <c r="R612" s="381" t="s">
        <v>1031</v>
      </c>
      <c r="S612" s="381" t="s">
        <v>200</v>
      </c>
      <c r="T612" s="381"/>
      <c r="U612" s="381"/>
      <c r="V612" s="382">
        <v>235.15</v>
      </c>
      <c r="W612" s="382">
        <v>0</v>
      </c>
      <c r="X612" s="381">
        <v>9.7916666666666666E-2</v>
      </c>
      <c r="Y612" s="381">
        <v>9.7916666666666666E-2</v>
      </c>
      <c r="Z612" s="381">
        <v>6.2500000000000001E-5</v>
      </c>
      <c r="AA612" s="381">
        <v>0</v>
      </c>
      <c r="AB612" s="381">
        <v>0</v>
      </c>
      <c r="AC612" s="382">
        <v>9.7979166666666659E-2</v>
      </c>
      <c r="AD612" s="382">
        <v>0</v>
      </c>
      <c r="AE612" s="381" t="s">
        <v>168</v>
      </c>
    </row>
    <row r="613" spans="1:31" ht="15" customHeight="1" x14ac:dyDescent="0.25">
      <c r="A613" s="20" t="s">
        <v>156</v>
      </c>
      <c r="B613" s="20" t="s">
        <v>939</v>
      </c>
      <c r="C613" s="20" t="s">
        <v>940</v>
      </c>
      <c r="D613" s="378" t="s">
        <v>1033</v>
      </c>
      <c r="E613" s="379">
        <v>45016</v>
      </c>
      <c r="F613" s="379">
        <v>46843</v>
      </c>
      <c r="G613" s="378" t="s">
        <v>215</v>
      </c>
      <c r="H613" s="20" t="s">
        <v>216</v>
      </c>
      <c r="I613" s="20" t="s">
        <v>162</v>
      </c>
      <c r="J613" s="20" t="s">
        <v>163</v>
      </c>
      <c r="K613" s="378" t="s">
        <v>217</v>
      </c>
      <c r="L613" s="20" t="s">
        <v>165</v>
      </c>
      <c r="M613" s="380">
        <v>2400</v>
      </c>
      <c r="N613" s="380"/>
      <c r="O613" s="380"/>
      <c r="P613" s="380"/>
      <c r="Q613" s="381">
        <v>337</v>
      </c>
      <c r="R613" s="381">
        <v>337</v>
      </c>
      <c r="S613" s="381">
        <v>0.21299999999999999</v>
      </c>
      <c r="T613" s="381"/>
      <c r="U613" s="381"/>
      <c r="V613" s="382">
        <v>337.21300000000002</v>
      </c>
      <c r="W613" s="382">
        <v>0</v>
      </c>
      <c r="X613" s="381">
        <v>0.14041666666666666</v>
      </c>
      <c r="Y613" s="381">
        <v>0.14041666666666666</v>
      </c>
      <c r="Z613" s="381">
        <v>8.8750000000000002E-5</v>
      </c>
      <c r="AA613" s="381">
        <v>0</v>
      </c>
      <c r="AB613" s="381">
        <v>0</v>
      </c>
      <c r="AC613" s="382">
        <v>0.14050541666666666</v>
      </c>
      <c r="AD613" s="382">
        <v>0</v>
      </c>
      <c r="AE613" s="381" t="s">
        <v>168</v>
      </c>
    </row>
    <row r="614" spans="1:31" ht="15" customHeight="1" x14ac:dyDescent="0.25">
      <c r="A614" s="20" t="s">
        <v>156</v>
      </c>
      <c r="B614" s="20" t="s">
        <v>939</v>
      </c>
      <c r="C614" s="20" t="s">
        <v>940</v>
      </c>
      <c r="D614" s="378" t="s">
        <v>1034</v>
      </c>
      <c r="E614" s="379">
        <v>44581</v>
      </c>
      <c r="F614" s="379">
        <v>46407</v>
      </c>
      <c r="G614" s="378" t="s">
        <v>237</v>
      </c>
      <c r="H614" s="20" t="s">
        <v>238</v>
      </c>
      <c r="I614" s="20" t="s">
        <v>162</v>
      </c>
      <c r="J614" s="20" t="s">
        <v>163</v>
      </c>
      <c r="K614" s="378" t="s">
        <v>239</v>
      </c>
      <c r="L614" s="20" t="s">
        <v>165</v>
      </c>
      <c r="M614" s="380">
        <v>2400</v>
      </c>
      <c r="N614" s="380"/>
      <c r="O614" s="380"/>
      <c r="P614" s="380"/>
      <c r="Q614" s="381" t="s">
        <v>979</v>
      </c>
      <c r="R614" s="381" t="s">
        <v>979</v>
      </c>
      <c r="S614" s="381" t="s">
        <v>200</v>
      </c>
      <c r="T614" s="381"/>
      <c r="U614" s="381"/>
      <c r="V614" s="382">
        <v>240.15</v>
      </c>
      <c r="W614" s="382">
        <v>0</v>
      </c>
      <c r="X614" s="381">
        <v>0.1</v>
      </c>
      <c r="Y614" s="381">
        <v>0.1</v>
      </c>
      <c r="Z614" s="381">
        <v>6.2500000000000001E-5</v>
      </c>
      <c r="AA614" s="381">
        <v>0</v>
      </c>
      <c r="AB614" s="381">
        <v>0</v>
      </c>
      <c r="AC614" s="382">
        <v>0.1000625</v>
      </c>
      <c r="AD614" s="382">
        <v>0</v>
      </c>
      <c r="AE614" s="381" t="s">
        <v>168</v>
      </c>
    </row>
    <row r="615" spans="1:31" ht="15" customHeight="1" x14ac:dyDescent="0.25">
      <c r="A615" s="20" t="s">
        <v>156</v>
      </c>
      <c r="B615" s="20" t="s">
        <v>939</v>
      </c>
      <c r="C615" s="20" t="s">
        <v>940</v>
      </c>
      <c r="D615" s="378" t="s">
        <v>1035</v>
      </c>
      <c r="E615" s="379">
        <v>44294</v>
      </c>
      <c r="F615" s="379">
        <v>46120</v>
      </c>
      <c r="G615" s="378" t="s">
        <v>219</v>
      </c>
      <c r="H615" s="20" t="s">
        <v>220</v>
      </c>
      <c r="I615" s="20" t="s">
        <v>162</v>
      </c>
      <c r="J615" s="20" t="s">
        <v>163</v>
      </c>
      <c r="K615" s="378" t="s">
        <v>221</v>
      </c>
      <c r="L615" s="20" t="s">
        <v>165</v>
      </c>
      <c r="M615" s="380">
        <v>2400</v>
      </c>
      <c r="N615" s="380"/>
      <c r="O615" s="380"/>
      <c r="P615" s="380"/>
      <c r="Q615" s="381" t="s">
        <v>1036</v>
      </c>
      <c r="R615" s="380" t="s">
        <v>1036</v>
      </c>
      <c r="S615" s="381" t="s">
        <v>223</v>
      </c>
      <c r="T615" s="381"/>
      <c r="U615" s="381"/>
      <c r="V615" s="382">
        <v>178.11</v>
      </c>
      <c r="W615" s="382">
        <v>0</v>
      </c>
      <c r="X615" s="381">
        <v>7.4166666666666672E-2</v>
      </c>
      <c r="Y615" s="381">
        <v>7.4166666666666672E-2</v>
      </c>
      <c r="Z615" s="381">
        <v>4.5833333333333334E-5</v>
      </c>
      <c r="AA615" s="381">
        <v>0</v>
      </c>
      <c r="AB615" s="381">
        <v>0</v>
      </c>
      <c r="AC615" s="382">
        <v>7.4212500000000001E-2</v>
      </c>
      <c r="AD615" s="382">
        <v>0</v>
      </c>
      <c r="AE615" s="381" t="s">
        <v>168</v>
      </c>
    </row>
    <row r="616" spans="1:31" ht="15" customHeight="1" x14ac:dyDescent="0.25">
      <c r="A616" s="20" t="s">
        <v>156</v>
      </c>
      <c r="B616" s="20" t="s">
        <v>939</v>
      </c>
      <c r="C616" s="20" t="s">
        <v>940</v>
      </c>
      <c r="D616" s="378" t="s">
        <v>1037</v>
      </c>
      <c r="E616" s="379">
        <v>45038</v>
      </c>
      <c r="F616" s="379">
        <v>46865</v>
      </c>
      <c r="G616" s="383" t="s">
        <v>193</v>
      </c>
      <c r="H616" s="20" t="s">
        <v>229</v>
      </c>
      <c r="I616" s="20" t="s">
        <v>162</v>
      </c>
      <c r="J616" s="20" t="s">
        <v>163</v>
      </c>
      <c r="K616" s="378" t="s">
        <v>230</v>
      </c>
      <c r="L616" s="20" t="s">
        <v>165</v>
      </c>
      <c r="M616" s="380">
        <v>2400</v>
      </c>
      <c r="N616" s="380"/>
      <c r="O616" s="380"/>
      <c r="P616" s="380"/>
      <c r="Q616" s="381" t="s">
        <v>1038</v>
      </c>
      <c r="R616" s="381" t="s">
        <v>1038</v>
      </c>
      <c r="S616" s="381" t="s">
        <v>189</v>
      </c>
      <c r="T616" s="381"/>
      <c r="U616" s="381"/>
      <c r="V616" s="382">
        <v>259.16000000000003</v>
      </c>
      <c r="W616" s="382">
        <v>0</v>
      </c>
      <c r="X616" s="381">
        <v>0.10791666666666666</v>
      </c>
      <c r="Y616" s="381">
        <v>0.10791666666666666</v>
      </c>
      <c r="Z616" s="381">
        <v>6.666666666666667E-5</v>
      </c>
      <c r="AA616" s="381">
        <v>0</v>
      </c>
      <c r="AB616" s="381">
        <v>0</v>
      </c>
      <c r="AC616" s="382">
        <v>0.10798333333333333</v>
      </c>
      <c r="AD616" s="382">
        <v>0</v>
      </c>
      <c r="AE616" s="381" t="s">
        <v>168</v>
      </c>
    </row>
    <row r="617" spans="1:31" ht="15" customHeight="1" x14ac:dyDescent="0.25">
      <c r="A617" s="20" t="s">
        <v>156</v>
      </c>
      <c r="B617" s="20" t="s">
        <v>939</v>
      </c>
      <c r="C617" s="20" t="s">
        <v>940</v>
      </c>
      <c r="D617" s="378" t="s">
        <v>1039</v>
      </c>
      <c r="E617" s="379">
        <v>45038</v>
      </c>
      <c r="F617" s="379">
        <v>46865</v>
      </c>
      <c r="G617" s="383" t="s">
        <v>193</v>
      </c>
      <c r="H617" s="20" t="s">
        <v>229</v>
      </c>
      <c r="I617" s="20" t="s">
        <v>162</v>
      </c>
      <c r="J617" s="20" t="s">
        <v>163</v>
      </c>
      <c r="K617" s="378" t="s">
        <v>230</v>
      </c>
      <c r="L617" s="20" t="s">
        <v>165</v>
      </c>
      <c r="M617" s="380">
        <v>2400</v>
      </c>
      <c r="N617" s="380"/>
      <c r="O617" s="380"/>
      <c r="P617" s="380"/>
      <c r="Q617" s="381" t="s">
        <v>1040</v>
      </c>
      <c r="R617" s="381" t="s">
        <v>1040</v>
      </c>
      <c r="S617" s="381" t="s">
        <v>189</v>
      </c>
      <c r="T617" s="381"/>
      <c r="U617" s="381"/>
      <c r="V617" s="382">
        <v>261.16000000000003</v>
      </c>
      <c r="W617" s="382">
        <v>0</v>
      </c>
      <c r="X617" s="381">
        <v>0.10875</v>
      </c>
      <c r="Y617" s="381">
        <v>0.10875</v>
      </c>
      <c r="Z617" s="381">
        <v>6.666666666666667E-5</v>
      </c>
      <c r="AA617" s="381">
        <v>0</v>
      </c>
      <c r="AB617" s="381">
        <v>0</v>
      </c>
      <c r="AC617" s="382">
        <v>0.10881666666666667</v>
      </c>
      <c r="AD617" s="382">
        <v>0</v>
      </c>
      <c r="AE617" s="381" t="s">
        <v>168</v>
      </c>
    </row>
    <row r="618" spans="1:31" ht="15" customHeight="1" x14ac:dyDescent="0.25">
      <c r="A618" s="20" t="s">
        <v>156</v>
      </c>
      <c r="B618" s="20" t="s">
        <v>939</v>
      </c>
      <c r="C618" s="20" t="s">
        <v>940</v>
      </c>
      <c r="D618" s="378" t="s">
        <v>1041</v>
      </c>
      <c r="E618" s="379">
        <v>44816</v>
      </c>
      <c r="F618" s="379">
        <v>46642</v>
      </c>
      <c r="G618" s="383" t="s">
        <v>185</v>
      </c>
      <c r="H618" s="20" t="s">
        <v>186</v>
      </c>
      <c r="I618" s="20" t="s">
        <v>162</v>
      </c>
      <c r="J618" s="20" t="s">
        <v>163</v>
      </c>
      <c r="K618" s="378" t="s">
        <v>187</v>
      </c>
      <c r="L618" s="20" t="s">
        <v>165</v>
      </c>
      <c r="M618" s="380">
        <v>2400</v>
      </c>
      <c r="N618" s="380"/>
      <c r="O618" s="380"/>
      <c r="P618" s="380"/>
      <c r="Q618" s="381" t="s">
        <v>1042</v>
      </c>
      <c r="R618" s="381" t="s">
        <v>1042</v>
      </c>
      <c r="S618" s="381" t="s">
        <v>200</v>
      </c>
      <c r="T618" s="381"/>
      <c r="U618" s="381"/>
      <c r="V618" s="382">
        <v>245.15</v>
      </c>
      <c r="W618" s="382">
        <v>0</v>
      </c>
      <c r="X618" s="381">
        <v>0.10208333333333333</v>
      </c>
      <c r="Y618" s="381">
        <v>0.10208333333333333</v>
      </c>
      <c r="Z618" s="381">
        <v>6.2500000000000001E-5</v>
      </c>
      <c r="AA618" s="381">
        <v>0</v>
      </c>
      <c r="AB618" s="381">
        <v>0</v>
      </c>
      <c r="AC618" s="382">
        <v>0.10214583333333332</v>
      </c>
      <c r="AD618" s="382">
        <v>0</v>
      </c>
      <c r="AE618" s="381" t="s">
        <v>168</v>
      </c>
    </row>
    <row r="619" spans="1:31" ht="15" customHeight="1" x14ac:dyDescent="0.25">
      <c r="A619" s="20" t="s">
        <v>156</v>
      </c>
      <c r="B619" s="20" t="s">
        <v>939</v>
      </c>
      <c r="C619" s="20" t="s">
        <v>940</v>
      </c>
      <c r="D619" s="378" t="s">
        <v>1043</v>
      </c>
      <c r="E619" s="379">
        <v>45038</v>
      </c>
      <c r="F619" s="379">
        <v>46865</v>
      </c>
      <c r="G619" s="383" t="s">
        <v>193</v>
      </c>
      <c r="H619" s="20" t="s">
        <v>229</v>
      </c>
      <c r="I619" s="20" t="s">
        <v>162</v>
      </c>
      <c r="J619" s="20" t="s">
        <v>163</v>
      </c>
      <c r="K619" s="378" t="s">
        <v>230</v>
      </c>
      <c r="L619" s="20" t="s">
        <v>165</v>
      </c>
      <c r="M619" s="380">
        <v>2400</v>
      </c>
      <c r="N619" s="380"/>
      <c r="O619" s="380"/>
      <c r="P619" s="380"/>
      <c r="Q619" s="381" t="s">
        <v>986</v>
      </c>
      <c r="R619" s="381" t="s">
        <v>986</v>
      </c>
      <c r="S619" s="381" t="s">
        <v>200</v>
      </c>
      <c r="T619" s="381"/>
      <c r="U619" s="381"/>
      <c r="V619" s="382">
        <v>248.15</v>
      </c>
      <c r="W619" s="382">
        <v>0</v>
      </c>
      <c r="X619" s="381">
        <v>0.10333333333333333</v>
      </c>
      <c r="Y619" s="381">
        <v>0.10333333333333333</v>
      </c>
      <c r="Z619" s="381">
        <v>6.2500000000000001E-5</v>
      </c>
      <c r="AA619" s="381">
        <v>0</v>
      </c>
      <c r="AB619" s="381">
        <v>0</v>
      </c>
      <c r="AC619" s="382">
        <v>0.10339583333333333</v>
      </c>
      <c r="AD619" s="382">
        <v>0</v>
      </c>
      <c r="AE619" s="381" t="s">
        <v>168</v>
      </c>
    </row>
    <row r="620" spans="1:31" ht="15" customHeight="1" x14ac:dyDescent="0.25">
      <c r="A620" s="20" t="s">
        <v>156</v>
      </c>
      <c r="B620" s="20" t="s">
        <v>939</v>
      </c>
      <c r="C620" s="20" t="s">
        <v>940</v>
      </c>
      <c r="D620" s="378" t="s">
        <v>1044</v>
      </c>
      <c r="E620" s="379">
        <v>45016</v>
      </c>
      <c r="F620" s="379">
        <v>46843</v>
      </c>
      <c r="G620" s="378" t="s">
        <v>179</v>
      </c>
      <c r="H620" s="20" t="s">
        <v>202</v>
      </c>
      <c r="I620" s="20" t="s">
        <v>162</v>
      </c>
      <c r="J620" s="20" t="s">
        <v>163</v>
      </c>
      <c r="K620" s="378" t="s">
        <v>203</v>
      </c>
      <c r="L620" s="20" t="s">
        <v>165</v>
      </c>
      <c r="M620" s="380">
        <v>2400</v>
      </c>
      <c r="N620" s="380"/>
      <c r="O620" s="380"/>
      <c r="P620" s="380"/>
      <c r="Q620" s="381">
        <v>270</v>
      </c>
      <c r="R620" s="381">
        <v>270</v>
      </c>
      <c r="S620" s="381">
        <v>0.16</v>
      </c>
      <c r="T620" s="381"/>
      <c r="U620" s="381"/>
      <c r="V620" s="382">
        <v>270.16000000000003</v>
      </c>
      <c r="W620" s="382">
        <v>0</v>
      </c>
      <c r="X620" s="381">
        <v>0.1125</v>
      </c>
      <c r="Y620" s="381">
        <v>0.1125</v>
      </c>
      <c r="Z620" s="381">
        <v>6.666666666666667E-5</v>
      </c>
      <c r="AA620" s="381">
        <v>0</v>
      </c>
      <c r="AB620" s="381">
        <v>0</v>
      </c>
      <c r="AC620" s="382">
        <v>0.11256666666666668</v>
      </c>
      <c r="AD620" s="382">
        <v>0</v>
      </c>
      <c r="AE620" s="381" t="s">
        <v>168</v>
      </c>
    </row>
    <row r="621" spans="1:31" ht="15" customHeight="1" x14ac:dyDescent="0.25">
      <c r="A621" s="20" t="s">
        <v>156</v>
      </c>
      <c r="B621" s="20" t="s">
        <v>939</v>
      </c>
      <c r="C621" s="20" t="s">
        <v>940</v>
      </c>
      <c r="D621" s="378" t="s">
        <v>1045</v>
      </c>
      <c r="E621" s="379">
        <v>44525</v>
      </c>
      <c r="F621" s="379">
        <v>46351</v>
      </c>
      <c r="G621" s="378" t="s">
        <v>262</v>
      </c>
      <c r="H621" s="20" t="s">
        <v>263</v>
      </c>
      <c r="I621" s="20" t="s">
        <v>162</v>
      </c>
      <c r="J621" s="20" t="s">
        <v>163</v>
      </c>
      <c r="K621" s="378" t="s">
        <v>264</v>
      </c>
      <c r="L621" s="20" t="s">
        <v>165</v>
      </c>
      <c r="M621" s="380">
        <v>2400</v>
      </c>
      <c r="N621" s="380"/>
      <c r="O621" s="380"/>
      <c r="P621" s="380"/>
      <c r="Q621" s="381" t="s">
        <v>1046</v>
      </c>
      <c r="R621" s="381" t="s">
        <v>1046</v>
      </c>
      <c r="S621" s="381" t="s">
        <v>234</v>
      </c>
      <c r="T621" s="381"/>
      <c r="U621" s="381"/>
      <c r="V621" s="382">
        <v>266.14</v>
      </c>
      <c r="W621" s="382">
        <v>0</v>
      </c>
      <c r="X621" s="381">
        <v>0.11083333333333334</v>
      </c>
      <c r="Y621" s="381">
        <v>0.11083333333333334</v>
      </c>
      <c r="Z621" s="381">
        <v>5.833333333333334E-5</v>
      </c>
      <c r="AA621" s="381">
        <v>0</v>
      </c>
      <c r="AB621" s="381">
        <v>0</v>
      </c>
      <c r="AC621" s="382">
        <v>0.11089166666666667</v>
      </c>
      <c r="AD621" s="382">
        <v>0</v>
      </c>
      <c r="AE621" s="381" t="s">
        <v>168</v>
      </c>
    </row>
    <row r="622" spans="1:31" ht="15" customHeight="1" x14ac:dyDescent="0.25">
      <c r="A622" s="20" t="s">
        <v>156</v>
      </c>
      <c r="B622" s="20" t="s">
        <v>939</v>
      </c>
      <c r="C622" s="20" t="s">
        <v>940</v>
      </c>
      <c r="D622" s="378" t="s">
        <v>1047</v>
      </c>
      <c r="E622" s="379">
        <v>44573</v>
      </c>
      <c r="F622" s="379">
        <v>46656</v>
      </c>
      <c r="G622" s="378" t="s">
        <v>179</v>
      </c>
      <c r="H622" s="20" t="s">
        <v>180</v>
      </c>
      <c r="I622" s="20" t="s">
        <v>162</v>
      </c>
      <c r="J622" s="20" t="s">
        <v>163</v>
      </c>
      <c r="K622" s="378" t="s">
        <v>181</v>
      </c>
      <c r="L622" s="20" t="s">
        <v>165</v>
      </c>
      <c r="M622" s="380">
        <v>2400</v>
      </c>
      <c r="N622" s="380"/>
      <c r="O622" s="380"/>
      <c r="P622" s="380"/>
      <c r="Q622" s="381" t="s">
        <v>1048</v>
      </c>
      <c r="R622" s="381" t="s">
        <v>1048</v>
      </c>
      <c r="S622" s="381" t="s">
        <v>266</v>
      </c>
      <c r="T622" s="381"/>
      <c r="U622" s="381"/>
      <c r="V622" s="382">
        <v>257.13</v>
      </c>
      <c r="W622" s="382">
        <v>0</v>
      </c>
      <c r="X622" s="381">
        <v>0.10708333333333334</v>
      </c>
      <c r="Y622" s="381">
        <v>0.10708333333333334</v>
      </c>
      <c r="Z622" s="381">
        <v>5.4166666666666671E-5</v>
      </c>
      <c r="AA622" s="381">
        <v>0</v>
      </c>
      <c r="AB622" s="381">
        <v>0</v>
      </c>
      <c r="AC622" s="382">
        <v>0.1071375</v>
      </c>
      <c r="AD622" s="382">
        <v>0</v>
      </c>
      <c r="AE622" s="381" t="s">
        <v>168</v>
      </c>
    </row>
    <row r="623" spans="1:31" ht="15" customHeight="1" x14ac:dyDescent="0.25">
      <c r="A623" s="20" t="s">
        <v>156</v>
      </c>
      <c r="B623" s="20" t="s">
        <v>939</v>
      </c>
      <c r="C623" s="20" t="s">
        <v>940</v>
      </c>
      <c r="D623" s="378" t="s">
        <v>1049</v>
      </c>
      <c r="E623" s="379">
        <v>44573</v>
      </c>
      <c r="F623" s="379">
        <v>46656</v>
      </c>
      <c r="G623" s="378" t="s">
        <v>179</v>
      </c>
      <c r="H623" s="20" t="s">
        <v>180</v>
      </c>
      <c r="I623" s="20" t="s">
        <v>162</v>
      </c>
      <c r="J623" s="20" t="s">
        <v>163</v>
      </c>
      <c r="K623" s="378" t="s">
        <v>181</v>
      </c>
      <c r="L623" s="20" t="s">
        <v>165</v>
      </c>
      <c r="M623" s="380">
        <v>2400</v>
      </c>
      <c r="N623" s="380"/>
      <c r="O623" s="380"/>
      <c r="P623" s="380"/>
      <c r="Q623" s="381" t="s">
        <v>1001</v>
      </c>
      <c r="R623" s="381" t="s">
        <v>1001</v>
      </c>
      <c r="S623" s="381" t="s">
        <v>266</v>
      </c>
      <c r="T623" s="381"/>
      <c r="U623" s="381"/>
      <c r="V623" s="382">
        <v>258.13</v>
      </c>
      <c r="W623" s="382">
        <v>0</v>
      </c>
      <c r="X623" s="381">
        <v>0.1075</v>
      </c>
      <c r="Y623" s="381">
        <v>0.1075</v>
      </c>
      <c r="Z623" s="381">
        <v>5.4166666666666671E-5</v>
      </c>
      <c r="AA623" s="381">
        <v>0</v>
      </c>
      <c r="AB623" s="381">
        <v>0</v>
      </c>
      <c r="AC623" s="382">
        <v>0.10755416666666666</v>
      </c>
      <c r="AD623" s="382">
        <v>0</v>
      </c>
      <c r="AE623" s="381" t="s">
        <v>168</v>
      </c>
    </row>
    <row r="624" spans="1:31" ht="15" customHeight="1" x14ac:dyDescent="0.25">
      <c r="A624" s="20" t="s">
        <v>156</v>
      </c>
      <c r="B624" s="20" t="s">
        <v>939</v>
      </c>
      <c r="C624" s="20" t="s">
        <v>940</v>
      </c>
      <c r="D624" s="378" t="s">
        <v>1050</v>
      </c>
      <c r="E624" s="379">
        <v>44525</v>
      </c>
      <c r="F624" s="379">
        <v>46351</v>
      </c>
      <c r="G624" s="378" t="s">
        <v>262</v>
      </c>
      <c r="H624" s="20" t="s">
        <v>263</v>
      </c>
      <c r="I624" s="20" t="s">
        <v>162</v>
      </c>
      <c r="J624" s="20" t="s">
        <v>163</v>
      </c>
      <c r="K624" s="378" t="s">
        <v>264</v>
      </c>
      <c r="L624" s="20" t="s">
        <v>165</v>
      </c>
      <c r="M624" s="380">
        <v>2400</v>
      </c>
      <c r="N624" s="380"/>
      <c r="O624" s="380"/>
      <c r="P624" s="380"/>
      <c r="Q624" s="381" t="s">
        <v>754</v>
      </c>
      <c r="R624" s="381" t="s">
        <v>754</v>
      </c>
      <c r="S624" s="381" t="s">
        <v>223</v>
      </c>
      <c r="T624" s="381"/>
      <c r="U624" s="381"/>
      <c r="V624" s="382">
        <v>231.11</v>
      </c>
      <c r="W624" s="382">
        <v>0</v>
      </c>
      <c r="X624" s="381">
        <v>9.6250000000000002E-2</v>
      </c>
      <c r="Y624" s="381">
        <v>9.6250000000000002E-2</v>
      </c>
      <c r="Z624" s="381">
        <v>4.5833333333333334E-5</v>
      </c>
      <c r="AA624" s="381">
        <v>0</v>
      </c>
      <c r="AB624" s="381">
        <v>0</v>
      </c>
      <c r="AC624" s="382">
        <v>9.6295833333333331E-2</v>
      </c>
      <c r="AD624" s="382">
        <v>0</v>
      </c>
      <c r="AE624" s="381" t="s">
        <v>168</v>
      </c>
    </row>
    <row r="625" spans="1:31" ht="15" customHeight="1" x14ac:dyDescent="0.25">
      <c r="A625" s="20" t="s">
        <v>156</v>
      </c>
      <c r="B625" s="20" t="s">
        <v>939</v>
      </c>
      <c r="C625" s="20" t="s">
        <v>940</v>
      </c>
      <c r="D625" s="378" t="s">
        <v>1051</v>
      </c>
      <c r="E625" s="379">
        <v>44525</v>
      </c>
      <c r="F625" s="379">
        <v>46351</v>
      </c>
      <c r="G625" s="378" t="s">
        <v>262</v>
      </c>
      <c r="H625" s="20" t="s">
        <v>263</v>
      </c>
      <c r="I625" s="20" t="s">
        <v>162</v>
      </c>
      <c r="J625" s="20" t="s">
        <v>163</v>
      </c>
      <c r="K625" s="378" t="s">
        <v>264</v>
      </c>
      <c r="L625" s="20" t="s">
        <v>165</v>
      </c>
      <c r="M625" s="380">
        <v>2400</v>
      </c>
      <c r="N625" s="380"/>
      <c r="O625" s="380"/>
      <c r="P625" s="380"/>
      <c r="Q625" s="381" t="s">
        <v>581</v>
      </c>
      <c r="R625" s="381" t="s">
        <v>581</v>
      </c>
      <c r="S625" s="381" t="s">
        <v>268</v>
      </c>
      <c r="T625" s="381"/>
      <c r="U625" s="381"/>
      <c r="V625" s="382">
        <v>222.1</v>
      </c>
      <c r="W625" s="382">
        <v>0</v>
      </c>
      <c r="X625" s="381">
        <v>9.2499999999999999E-2</v>
      </c>
      <c r="Y625" s="381">
        <v>9.2499999999999999E-2</v>
      </c>
      <c r="Z625" s="381">
        <v>4.1666666666666672E-5</v>
      </c>
      <c r="AA625" s="381">
        <v>0</v>
      </c>
      <c r="AB625" s="381">
        <v>0</v>
      </c>
      <c r="AC625" s="382">
        <v>9.2541666666666661E-2</v>
      </c>
      <c r="AD625" s="382">
        <v>0</v>
      </c>
      <c r="AE625" s="381" t="s">
        <v>168</v>
      </c>
    </row>
    <row r="626" spans="1:31" ht="15" customHeight="1" x14ac:dyDescent="0.25">
      <c r="A626" s="20" t="s">
        <v>156</v>
      </c>
      <c r="B626" s="20" t="s">
        <v>939</v>
      </c>
      <c r="C626" s="20" t="s">
        <v>940</v>
      </c>
      <c r="D626" s="378" t="s">
        <v>1052</v>
      </c>
      <c r="E626" s="379">
        <v>45016</v>
      </c>
      <c r="F626" s="379">
        <v>46843</v>
      </c>
      <c r="G626" s="378" t="s">
        <v>215</v>
      </c>
      <c r="H626" s="20" t="s">
        <v>216</v>
      </c>
      <c r="I626" s="20" t="s">
        <v>162</v>
      </c>
      <c r="J626" s="20" t="s">
        <v>163</v>
      </c>
      <c r="K626" s="378" t="s">
        <v>217</v>
      </c>
      <c r="L626" s="20" t="s">
        <v>165</v>
      </c>
      <c r="M626" s="380">
        <v>2400</v>
      </c>
      <c r="N626" s="380"/>
      <c r="O626" s="380"/>
      <c r="P626" s="380"/>
      <c r="Q626" s="381">
        <v>342</v>
      </c>
      <c r="R626" s="381">
        <v>342</v>
      </c>
      <c r="S626" s="381">
        <v>0.127</v>
      </c>
      <c r="T626" s="381"/>
      <c r="U626" s="381"/>
      <c r="V626" s="382">
        <v>342.12700000000001</v>
      </c>
      <c r="W626" s="382">
        <v>0</v>
      </c>
      <c r="X626" s="381">
        <v>0.14249999999999999</v>
      </c>
      <c r="Y626" s="381">
        <v>0.14249999999999999</v>
      </c>
      <c r="Z626" s="381">
        <v>5.2916666666666668E-5</v>
      </c>
      <c r="AA626" s="381">
        <v>0</v>
      </c>
      <c r="AB626" s="381">
        <v>0</v>
      </c>
      <c r="AC626" s="382">
        <v>0.14255291666666667</v>
      </c>
      <c r="AD626" s="382">
        <v>0</v>
      </c>
      <c r="AE626" s="381" t="s">
        <v>168</v>
      </c>
    </row>
    <row r="627" spans="1:31" ht="15" customHeight="1" x14ac:dyDescent="0.25">
      <c r="A627" s="20" t="s">
        <v>156</v>
      </c>
      <c r="B627" s="20" t="s">
        <v>939</v>
      </c>
      <c r="C627" s="20" t="s">
        <v>940</v>
      </c>
      <c r="D627" s="378" t="s">
        <v>1053</v>
      </c>
      <c r="E627" s="379">
        <v>45016</v>
      </c>
      <c r="F627" s="379">
        <v>46843</v>
      </c>
      <c r="G627" s="378" t="s">
        <v>215</v>
      </c>
      <c r="H627" s="20" t="s">
        <v>216</v>
      </c>
      <c r="I627" s="20" t="s">
        <v>162</v>
      </c>
      <c r="J627" s="20" t="s">
        <v>163</v>
      </c>
      <c r="K627" s="378" t="s">
        <v>217</v>
      </c>
      <c r="L627" s="20" t="s">
        <v>165</v>
      </c>
      <c r="M627" s="380">
        <v>2400</v>
      </c>
      <c r="N627" s="380"/>
      <c r="O627" s="380"/>
      <c r="P627" s="380"/>
      <c r="Q627" s="381">
        <v>459</v>
      </c>
      <c r="R627" s="381">
        <v>459</v>
      </c>
      <c r="S627" s="381">
        <v>0.16600000000000001</v>
      </c>
      <c r="T627" s="381"/>
      <c r="U627" s="381"/>
      <c r="V627" s="382">
        <v>459.166</v>
      </c>
      <c r="W627" s="382">
        <v>0</v>
      </c>
      <c r="X627" s="381">
        <v>0.19125</v>
      </c>
      <c r="Y627" s="381">
        <v>0.19125</v>
      </c>
      <c r="Z627" s="381">
        <v>6.9166666666666676E-5</v>
      </c>
      <c r="AA627" s="381">
        <v>0</v>
      </c>
      <c r="AB627" s="381">
        <v>0</v>
      </c>
      <c r="AC627" s="382">
        <v>0.19131916666666668</v>
      </c>
      <c r="AD627" s="382">
        <v>0</v>
      </c>
      <c r="AE627" s="381" t="s">
        <v>168</v>
      </c>
    </row>
    <row r="628" spans="1:31" ht="15" customHeight="1" x14ac:dyDescent="0.25">
      <c r="A628" s="20" t="s">
        <v>156</v>
      </c>
      <c r="B628" s="20" t="s">
        <v>939</v>
      </c>
      <c r="C628" s="20" t="s">
        <v>940</v>
      </c>
      <c r="D628" s="378" t="s">
        <v>1054</v>
      </c>
      <c r="E628" s="379">
        <v>45016</v>
      </c>
      <c r="F628" s="379">
        <v>46843</v>
      </c>
      <c r="G628" s="378" t="s">
        <v>281</v>
      </c>
      <c r="H628" s="20" t="s">
        <v>282</v>
      </c>
      <c r="I628" s="20" t="s">
        <v>162</v>
      </c>
      <c r="J628" s="20" t="s">
        <v>163</v>
      </c>
      <c r="K628" s="378" t="s">
        <v>283</v>
      </c>
      <c r="L628" s="20" t="s">
        <v>165</v>
      </c>
      <c r="M628" s="380">
        <v>2400</v>
      </c>
      <c r="N628" s="380"/>
      <c r="O628" s="380"/>
      <c r="P628" s="380"/>
      <c r="Q628" s="381">
        <v>305.99</v>
      </c>
      <c r="R628" s="381">
        <v>306</v>
      </c>
      <c r="S628" s="381">
        <v>-4.0400000000000002E-3</v>
      </c>
      <c r="T628" s="381"/>
      <c r="U628" s="381"/>
      <c r="V628" s="382">
        <v>306</v>
      </c>
      <c r="W628" s="382">
        <v>0</v>
      </c>
      <c r="X628" s="381">
        <v>0.12749583333333334</v>
      </c>
      <c r="Y628" s="381">
        <v>0.1275</v>
      </c>
      <c r="Z628" s="381">
        <v>-1.6833333333333335E-6</v>
      </c>
      <c r="AA628" s="381">
        <v>0</v>
      </c>
      <c r="AB628" s="381">
        <v>0</v>
      </c>
      <c r="AC628" s="382">
        <v>0.1275</v>
      </c>
      <c r="AD628" s="382">
        <v>0</v>
      </c>
      <c r="AE628" s="381" t="s">
        <v>168</v>
      </c>
    </row>
    <row r="629" spans="1:31" ht="15" customHeight="1" x14ac:dyDescent="0.25">
      <c r="A629" s="20" t="s">
        <v>156</v>
      </c>
      <c r="B629" s="20" t="s">
        <v>939</v>
      </c>
      <c r="C629" s="20" t="s">
        <v>940</v>
      </c>
      <c r="D629" s="378" t="s">
        <v>1055</v>
      </c>
      <c r="E629" s="379">
        <v>45016</v>
      </c>
      <c r="F629" s="379">
        <v>46843</v>
      </c>
      <c r="G629" s="378" t="s">
        <v>281</v>
      </c>
      <c r="H629" s="20" t="s">
        <v>282</v>
      </c>
      <c r="I629" s="20" t="s">
        <v>162</v>
      </c>
      <c r="J629" s="20" t="s">
        <v>163</v>
      </c>
      <c r="K629" s="378" t="s">
        <v>283</v>
      </c>
      <c r="L629" s="20" t="s">
        <v>165</v>
      </c>
      <c r="M629" s="380">
        <v>2400</v>
      </c>
      <c r="N629" s="380"/>
      <c r="O629" s="380"/>
      <c r="P629" s="380"/>
      <c r="Q629" s="381">
        <v>343.18</v>
      </c>
      <c r="R629" s="381">
        <v>343.19</v>
      </c>
      <c r="S629" s="381">
        <v>-6.11E-3</v>
      </c>
      <c r="T629" s="381"/>
      <c r="U629" s="381"/>
      <c r="V629" s="382">
        <v>343.19</v>
      </c>
      <c r="W629" s="382">
        <v>0</v>
      </c>
      <c r="X629" s="381">
        <v>0.14299166666666666</v>
      </c>
      <c r="Y629" s="381">
        <v>0.14299583333333332</v>
      </c>
      <c r="Z629" s="381">
        <v>-2.5458333333333332E-6</v>
      </c>
      <c r="AA629" s="381">
        <v>0</v>
      </c>
      <c r="AB629" s="381">
        <v>0</v>
      </c>
      <c r="AC629" s="382">
        <v>0.14299583333333332</v>
      </c>
      <c r="AD629" s="382">
        <v>0</v>
      </c>
      <c r="AE629" s="381" t="s">
        <v>168</v>
      </c>
    </row>
    <row r="630" spans="1:31" ht="15" customHeight="1" x14ac:dyDescent="0.25">
      <c r="A630" s="20" t="s">
        <v>156</v>
      </c>
      <c r="B630" s="20" t="s">
        <v>939</v>
      </c>
      <c r="C630" s="20" t="s">
        <v>940</v>
      </c>
      <c r="D630" s="378" t="s">
        <v>1056</v>
      </c>
      <c r="E630" s="379">
        <v>45016</v>
      </c>
      <c r="F630" s="379">
        <v>46843</v>
      </c>
      <c r="G630" s="378" t="s">
        <v>281</v>
      </c>
      <c r="H630" s="20" t="s">
        <v>282</v>
      </c>
      <c r="I630" s="20" t="s">
        <v>162</v>
      </c>
      <c r="J630" s="20" t="s">
        <v>163</v>
      </c>
      <c r="K630" s="378" t="s">
        <v>283</v>
      </c>
      <c r="L630" s="20" t="s">
        <v>165</v>
      </c>
      <c r="M630" s="380">
        <v>2400</v>
      </c>
      <c r="N630" s="380"/>
      <c r="O630" s="380"/>
      <c r="P630" s="380"/>
      <c r="Q630" s="381">
        <v>360.47</v>
      </c>
      <c r="R630" s="381">
        <v>360.48</v>
      </c>
      <c r="S630" s="381">
        <v>-6.8900000000000003E-3</v>
      </c>
      <c r="T630" s="381"/>
      <c r="U630" s="381"/>
      <c r="V630" s="382">
        <v>360.48</v>
      </c>
      <c r="W630" s="382">
        <v>0</v>
      </c>
      <c r="X630" s="381">
        <v>0.15019583333333333</v>
      </c>
      <c r="Y630" s="381">
        <v>0.1502</v>
      </c>
      <c r="Z630" s="381">
        <v>-2.8708333333333335E-6</v>
      </c>
      <c r="AA630" s="381">
        <v>0</v>
      </c>
      <c r="AB630" s="381">
        <v>0</v>
      </c>
      <c r="AC630" s="382">
        <v>0.1502</v>
      </c>
      <c r="AD630" s="382">
        <v>0</v>
      </c>
      <c r="AE630" s="381" t="s">
        <v>168</v>
      </c>
    </row>
    <row r="631" spans="1:31" ht="15" customHeight="1" x14ac:dyDescent="0.25">
      <c r="A631" s="20" t="s">
        <v>156</v>
      </c>
      <c r="B631" s="20" t="s">
        <v>939</v>
      </c>
      <c r="C631" s="20" t="s">
        <v>940</v>
      </c>
      <c r="D631" s="378" t="s">
        <v>1057</v>
      </c>
      <c r="E631" s="379">
        <v>45016</v>
      </c>
      <c r="F631" s="379">
        <v>46843</v>
      </c>
      <c r="G631" s="378" t="s">
        <v>281</v>
      </c>
      <c r="H631" s="20" t="s">
        <v>282</v>
      </c>
      <c r="I631" s="20" t="s">
        <v>162</v>
      </c>
      <c r="J631" s="20" t="s">
        <v>163</v>
      </c>
      <c r="K631" s="378" t="s">
        <v>283</v>
      </c>
      <c r="L631" s="20" t="s">
        <v>165</v>
      </c>
      <c r="M631" s="380">
        <v>2400</v>
      </c>
      <c r="N631" s="380"/>
      <c r="O631" s="380"/>
      <c r="P631" s="380"/>
      <c r="Q631" s="381">
        <v>247.33</v>
      </c>
      <c r="R631" s="381">
        <v>247.3</v>
      </c>
      <c r="S631" s="381">
        <v>3.1899999999999998E-2</v>
      </c>
      <c r="T631" s="381"/>
      <c r="U631" s="381"/>
      <c r="V631" s="382">
        <v>247.33190000000002</v>
      </c>
      <c r="W631" s="382">
        <v>0</v>
      </c>
      <c r="X631" s="381">
        <v>0.10305416666666667</v>
      </c>
      <c r="Y631" s="381">
        <v>0.10304166666666667</v>
      </c>
      <c r="Z631" s="381">
        <v>1.3291666666666665E-5</v>
      </c>
      <c r="AA631" s="381">
        <v>0</v>
      </c>
      <c r="AB631" s="381">
        <v>0</v>
      </c>
      <c r="AC631" s="382">
        <v>0.10305495833333334</v>
      </c>
      <c r="AD631" s="382">
        <v>0</v>
      </c>
      <c r="AE631" s="381" t="s">
        <v>168</v>
      </c>
    </row>
    <row r="632" spans="1:31" ht="15" customHeight="1" x14ac:dyDescent="0.25">
      <c r="A632" s="20" t="s">
        <v>156</v>
      </c>
      <c r="B632" s="20" t="s">
        <v>939</v>
      </c>
      <c r="C632" s="20" t="s">
        <v>940</v>
      </c>
      <c r="D632" s="378" t="s">
        <v>1058</v>
      </c>
      <c r="E632" s="379">
        <v>45016</v>
      </c>
      <c r="F632" s="379">
        <v>46843</v>
      </c>
      <c r="G632" s="378" t="s">
        <v>281</v>
      </c>
      <c r="H632" s="20" t="s">
        <v>282</v>
      </c>
      <c r="I632" s="20" t="s">
        <v>162</v>
      </c>
      <c r="J632" s="20" t="s">
        <v>163</v>
      </c>
      <c r="K632" s="378" t="s">
        <v>283</v>
      </c>
      <c r="L632" s="20" t="s">
        <v>165</v>
      </c>
      <c r="M632" s="380">
        <v>2400</v>
      </c>
      <c r="N632" s="380"/>
      <c r="O632" s="380"/>
      <c r="P632" s="380"/>
      <c r="Q632" s="381">
        <v>244.96</v>
      </c>
      <c r="R632" s="381">
        <v>244.93</v>
      </c>
      <c r="S632" s="381">
        <v>3.15E-2</v>
      </c>
      <c r="T632" s="381"/>
      <c r="U632" s="381"/>
      <c r="V632" s="382">
        <v>244.9615</v>
      </c>
      <c r="W632" s="382">
        <v>0</v>
      </c>
      <c r="X632" s="381">
        <v>0.10206666666666667</v>
      </c>
      <c r="Y632" s="381">
        <v>0.10205416666666667</v>
      </c>
      <c r="Z632" s="381">
        <v>1.3125000000000001E-5</v>
      </c>
      <c r="AA632" s="381">
        <v>0</v>
      </c>
      <c r="AB632" s="381">
        <v>0</v>
      </c>
      <c r="AC632" s="382">
        <v>0.10206729166666667</v>
      </c>
      <c r="AD632" s="382">
        <v>0</v>
      </c>
      <c r="AE632" s="381" t="s">
        <v>168</v>
      </c>
    </row>
    <row r="633" spans="1:31" ht="15" customHeight="1" x14ac:dyDescent="0.25">
      <c r="A633" s="20" t="s">
        <v>156</v>
      </c>
      <c r="B633" s="20" t="s">
        <v>939</v>
      </c>
      <c r="C633" s="20" t="s">
        <v>940</v>
      </c>
      <c r="D633" s="378" t="s">
        <v>1059</v>
      </c>
      <c r="E633" s="379">
        <v>45016</v>
      </c>
      <c r="F633" s="379">
        <v>46843</v>
      </c>
      <c r="G633" s="378" t="s">
        <v>281</v>
      </c>
      <c r="H633" s="20" t="s">
        <v>282</v>
      </c>
      <c r="I633" s="20" t="s">
        <v>162</v>
      </c>
      <c r="J633" s="20" t="s">
        <v>163</v>
      </c>
      <c r="K633" s="378" t="s">
        <v>283</v>
      </c>
      <c r="L633" s="20" t="s">
        <v>165</v>
      </c>
      <c r="M633" s="380">
        <v>2400</v>
      </c>
      <c r="N633" s="380"/>
      <c r="O633" s="380"/>
      <c r="P633" s="380"/>
      <c r="Q633" s="381">
        <v>245.02</v>
      </c>
      <c r="R633" s="381">
        <v>244.99</v>
      </c>
      <c r="S633" s="381">
        <v>3.15E-2</v>
      </c>
      <c r="T633" s="381"/>
      <c r="U633" s="381"/>
      <c r="V633" s="382">
        <v>245.0215</v>
      </c>
      <c r="W633" s="382">
        <v>0</v>
      </c>
      <c r="X633" s="381">
        <v>0.10209166666666668</v>
      </c>
      <c r="Y633" s="381">
        <v>0.10207916666666667</v>
      </c>
      <c r="Z633" s="381">
        <v>1.3125000000000001E-5</v>
      </c>
      <c r="AA633" s="381">
        <v>0</v>
      </c>
      <c r="AB633" s="381">
        <v>0</v>
      </c>
      <c r="AC633" s="382">
        <v>0.10209229166666667</v>
      </c>
      <c r="AD633" s="382">
        <v>0</v>
      </c>
      <c r="AE633" s="381" t="s">
        <v>168</v>
      </c>
    </row>
    <row r="634" spans="1:31" ht="15" customHeight="1" x14ac:dyDescent="0.25">
      <c r="A634" s="20" t="s">
        <v>156</v>
      </c>
      <c r="B634" s="20" t="s">
        <v>939</v>
      </c>
      <c r="C634" s="20" t="s">
        <v>940</v>
      </c>
      <c r="D634" s="378" t="s">
        <v>1060</v>
      </c>
      <c r="E634" s="379">
        <v>45016</v>
      </c>
      <c r="F634" s="379">
        <v>46843</v>
      </c>
      <c r="G634" s="378" t="s">
        <v>281</v>
      </c>
      <c r="H634" s="20" t="s">
        <v>282</v>
      </c>
      <c r="I634" s="20" t="s">
        <v>162</v>
      </c>
      <c r="J634" s="20" t="s">
        <v>163</v>
      </c>
      <c r="K634" s="378" t="s">
        <v>283</v>
      </c>
      <c r="L634" s="20" t="s">
        <v>165</v>
      </c>
      <c r="M634" s="380">
        <v>2400</v>
      </c>
      <c r="N634" s="380"/>
      <c r="O634" s="380"/>
      <c r="P634" s="380"/>
      <c r="Q634" s="381">
        <v>235.58</v>
      </c>
      <c r="R634" s="381">
        <v>235.54</v>
      </c>
      <c r="S634" s="381">
        <v>4.1399999999999999E-2</v>
      </c>
      <c r="T634" s="381"/>
      <c r="U634" s="381"/>
      <c r="V634" s="382">
        <v>235.5814</v>
      </c>
      <c r="W634" s="382">
        <v>0</v>
      </c>
      <c r="X634" s="381">
        <v>9.8158333333333334E-2</v>
      </c>
      <c r="Y634" s="381">
        <v>9.8141666666666669E-2</v>
      </c>
      <c r="Z634" s="381">
        <v>1.7249999999999999E-5</v>
      </c>
      <c r="AA634" s="381">
        <v>0</v>
      </c>
      <c r="AB634" s="381">
        <v>0</v>
      </c>
      <c r="AC634" s="382">
        <v>9.8158916666666665E-2</v>
      </c>
      <c r="AD634" s="382">
        <v>0</v>
      </c>
      <c r="AE634" s="381" t="s">
        <v>168</v>
      </c>
    </row>
    <row r="635" spans="1:31" ht="15" customHeight="1" x14ac:dyDescent="0.25">
      <c r="A635" s="20" t="s">
        <v>156</v>
      </c>
      <c r="B635" s="20" t="s">
        <v>939</v>
      </c>
      <c r="C635" s="20" t="s">
        <v>940</v>
      </c>
      <c r="D635" s="378" t="s">
        <v>1061</v>
      </c>
      <c r="E635" s="379">
        <v>45016</v>
      </c>
      <c r="F635" s="379">
        <v>46843</v>
      </c>
      <c r="G635" s="378" t="s">
        <v>281</v>
      </c>
      <c r="H635" s="20" t="s">
        <v>282</v>
      </c>
      <c r="I635" s="20" t="s">
        <v>162</v>
      </c>
      <c r="J635" s="20" t="s">
        <v>163</v>
      </c>
      <c r="K635" s="378" t="s">
        <v>283</v>
      </c>
      <c r="L635" s="20" t="s">
        <v>165</v>
      </c>
      <c r="M635" s="380">
        <v>2400</v>
      </c>
      <c r="N635" s="380"/>
      <c r="O635" s="380"/>
      <c r="P635" s="380"/>
      <c r="Q635" s="381">
        <v>242.58</v>
      </c>
      <c r="R635" s="381">
        <v>242.55</v>
      </c>
      <c r="S635" s="381">
        <v>3.1199999999999999E-2</v>
      </c>
      <c r="T635" s="381"/>
      <c r="U635" s="381"/>
      <c r="V635" s="382">
        <v>242.58120000000002</v>
      </c>
      <c r="W635" s="382">
        <v>0</v>
      </c>
      <c r="X635" s="381">
        <v>0.10107500000000001</v>
      </c>
      <c r="Y635" s="381">
        <v>0.1010625</v>
      </c>
      <c r="Z635" s="381">
        <v>1.2999999999999999E-5</v>
      </c>
      <c r="AA635" s="381">
        <v>0</v>
      </c>
      <c r="AB635" s="381">
        <v>0</v>
      </c>
      <c r="AC635" s="382">
        <v>0.1010755</v>
      </c>
      <c r="AD635" s="382">
        <v>0</v>
      </c>
      <c r="AE635" s="381" t="s">
        <v>168</v>
      </c>
    </row>
    <row r="636" spans="1:31" ht="15" customHeight="1" x14ac:dyDescent="0.25">
      <c r="A636" s="20" t="s">
        <v>156</v>
      </c>
      <c r="B636" s="20" t="s">
        <v>939</v>
      </c>
      <c r="C636" s="20" t="s">
        <v>940</v>
      </c>
      <c r="D636" s="378" t="s">
        <v>1062</v>
      </c>
      <c r="E636" s="379">
        <v>45016</v>
      </c>
      <c r="F636" s="379">
        <v>46843</v>
      </c>
      <c r="G636" s="378" t="s">
        <v>281</v>
      </c>
      <c r="H636" s="20" t="s">
        <v>282</v>
      </c>
      <c r="I636" s="20" t="s">
        <v>162</v>
      </c>
      <c r="J636" s="20" t="s">
        <v>163</v>
      </c>
      <c r="K636" s="378" t="s">
        <v>283</v>
      </c>
      <c r="L636" s="20" t="s">
        <v>165</v>
      </c>
      <c r="M636" s="380">
        <v>2400</v>
      </c>
      <c r="N636" s="380"/>
      <c r="O636" s="380"/>
      <c r="P636" s="380"/>
      <c r="Q636" s="381">
        <v>240.2</v>
      </c>
      <c r="R636" s="381">
        <v>240.17</v>
      </c>
      <c r="S636" s="381">
        <v>3.0800000000000001E-2</v>
      </c>
      <c r="T636" s="381"/>
      <c r="U636" s="381"/>
      <c r="V636" s="382">
        <v>240.20079999999999</v>
      </c>
      <c r="W636" s="382">
        <v>0</v>
      </c>
      <c r="X636" s="381">
        <v>0.10008333333333333</v>
      </c>
      <c r="Y636" s="381">
        <v>0.10007083333333333</v>
      </c>
      <c r="Z636" s="381">
        <v>1.2833333333333333E-5</v>
      </c>
      <c r="AA636" s="381">
        <v>0</v>
      </c>
      <c r="AB636" s="381">
        <v>0</v>
      </c>
      <c r="AC636" s="382">
        <v>0.10008366666666667</v>
      </c>
      <c r="AD636" s="382">
        <v>0</v>
      </c>
      <c r="AE636" s="381" t="s">
        <v>168</v>
      </c>
    </row>
    <row r="637" spans="1:31" ht="15" customHeight="1" x14ac:dyDescent="0.25">
      <c r="A637" s="20" t="s">
        <v>156</v>
      </c>
      <c r="B637" s="20" t="s">
        <v>939</v>
      </c>
      <c r="C637" s="20" t="s">
        <v>940</v>
      </c>
      <c r="D637" s="378" t="s">
        <v>1063</v>
      </c>
      <c r="E637" s="379">
        <v>45016</v>
      </c>
      <c r="F637" s="379">
        <v>46843</v>
      </c>
      <c r="G637" s="378" t="s">
        <v>281</v>
      </c>
      <c r="H637" s="20" t="s">
        <v>282</v>
      </c>
      <c r="I637" s="20" t="s">
        <v>162</v>
      </c>
      <c r="J637" s="20" t="s">
        <v>163</v>
      </c>
      <c r="K637" s="378" t="s">
        <v>283</v>
      </c>
      <c r="L637" s="20" t="s">
        <v>165</v>
      </c>
      <c r="M637" s="380">
        <v>2400</v>
      </c>
      <c r="N637" s="380"/>
      <c r="O637" s="380"/>
      <c r="P637" s="380"/>
      <c r="Q637" s="381">
        <v>277.67</v>
      </c>
      <c r="R637" s="381">
        <v>277.64999999999998</v>
      </c>
      <c r="S637" s="381">
        <v>2.0799999999999999E-2</v>
      </c>
      <c r="T637" s="381"/>
      <c r="U637" s="381"/>
      <c r="V637" s="382">
        <v>277.67079999999999</v>
      </c>
      <c r="W637" s="382">
        <v>0</v>
      </c>
      <c r="X637" s="381">
        <v>0.11569583333333334</v>
      </c>
      <c r="Y637" s="381">
        <v>0.11568749999999998</v>
      </c>
      <c r="Z637" s="381">
        <v>8.6666666666666661E-6</v>
      </c>
      <c r="AA637" s="381">
        <v>0</v>
      </c>
      <c r="AB637" s="381">
        <v>0</v>
      </c>
      <c r="AC637" s="382">
        <v>0.11569616666666666</v>
      </c>
      <c r="AD637" s="382">
        <v>0</v>
      </c>
      <c r="AE637" s="381" t="s">
        <v>168</v>
      </c>
    </row>
    <row r="638" spans="1:31" ht="15" customHeight="1" x14ac:dyDescent="0.25">
      <c r="A638" s="20" t="s">
        <v>156</v>
      </c>
      <c r="B638" s="20" t="s">
        <v>939</v>
      </c>
      <c r="C638" s="20" t="s">
        <v>940</v>
      </c>
      <c r="D638" s="378" t="s">
        <v>1064</v>
      </c>
      <c r="E638" s="379">
        <v>45016</v>
      </c>
      <c r="F638" s="379">
        <v>46843</v>
      </c>
      <c r="G638" s="378" t="s">
        <v>281</v>
      </c>
      <c r="H638" s="20" t="s">
        <v>282</v>
      </c>
      <c r="I638" s="20" t="s">
        <v>162</v>
      </c>
      <c r="J638" s="20" t="s">
        <v>163</v>
      </c>
      <c r="K638" s="378" t="s">
        <v>283</v>
      </c>
      <c r="L638" s="20" t="s">
        <v>165</v>
      </c>
      <c r="M638" s="380">
        <v>2400</v>
      </c>
      <c r="N638" s="380"/>
      <c r="O638" s="380"/>
      <c r="P638" s="380"/>
      <c r="Q638" s="381">
        <v>256.05</v>
      </c>
      <c r="R638" s="381">
        <v>256.02999999999997</v>
      </c>
      <c r="S638" s="381">
        <v>2.01E-2</v>
      </c>
      <c r="T638" s="381"/>
      <c r="U638" s="381"/>
      <c r="V638" s="382">
        <v>256.05009999999999</v>
      </c>
      <c r="W638" s="382">
        <v>0</v>
      </c>
      <c r="X638" s="381">
        <v>0.1066875</v>
      </c>
      <c r="Y638" s="381">
        <v>0.10667916666666666</v>
      </c>
      <c r="Z638" s="381">
        <v>8.3750000000000003E-6</v>
      </c>
      <c r="AA638" s="381">
        <v>0</v>
      </c>
      <c r="AB638" s="381">
        <v>0</v>
      </c>
      <c r="AC638" s="382">
        <v>0.10668754166666666</v>
      </c>
      <c r="AD638" s="382">
        <v>0</v>
      </c>
      <c r="AE638" s="381" t="s">
        <v>168</v>
      </c>
    </row>
    <row r="639" spans="1:31" ht="15" customHeight="1" x14ac:dyDescent="0.25">
      <c r="A639" s="20" t="s">
        <v>156</v>
      </c>
      <c r="B639" s="20" t="s">
        <v>939</v>
      </c>
      <c r="C639" s="20" t="s">
        <v>940</v>
      </c>
      <c r="D639" s="378" t="s">
        <v>1065</v>
      </c>
      <c r="E639" s="379">
        <v>43646</v>
      </c>
      <c r="F639" s="379">
        <v>45473</v>
      </c>
      <c r="G639" s="383" t="s">
        <v>285</v>
      </c>
      <c r="H639" s="20" t="s">
        <v>286</v>
      </c>
      <c r="I639" s="20" t="s">
        <v>162</v>
      </c>
      <c r="J639" s="20" t="s">
        <v>163</v>
      </c>
      <c r="K639" s="378" t="s">
        <v>287</v>
      </c>
      <c r="L639" s="20" t="s">
        <v>165</v>
      </c>
      <c r="M639" s="380">
        <v>2400</v>
      </c>
      <c r="N639" s="380"/>
      <c r="O639" s="380"/>
      <c r="P639" s="380"/>
      <c r="Q639" s="381" t="s">
        <v>1066</v>
      </c>
      <c r="R639" s="381" t="s">
        <v>1066</v>
      </c>
      <c r="S639" s="381"/>
      <c r="T639" s="381"/>
      <c r="U639" s="381"/>
      <c r="V639" s="382">
        <v>343</v>
      </c>
      <c r="W639" s="382">
        <v>0</v>
      </c>
      <c r="X639" s="381">
        <v>0.14291666666666666</v>
      </c>
      <c r="Y639" s="381">
        <v>0.14291666666666666</v>
      </c>
      <c r="Z639" s="381">
        <v>0</v>
      </c>
      <c r="AA639" s="381">
        <v>0</v>
      </c>
      <c r="AB639" s="381">
        <v>0</v>
      </c>
      <c r="AC639" s="382">
        <v>0.14291666666666666</v>
      </c>
      <c r="AD639" s="382">
        <v>0</v>
      </c>
      <c r="AE639" s="381" t="s">
        <v>168</v>
      </c>
    </row>
    <row r="640" spans="1:31" ht="15" customHeight="1" x14ac:dyDescent="0.25">
      <c r="A640" s="20" t="s">
        <v>156</v>
      </c>
      <c r="B640" s="20" t="s">
        <v>939</v>
      </c>
      <c r="C640" s="20" t="s">
        <v>940</v>
      </c>
      <c r="D640" s="378" t="s">
        <v>1067</v>
      </c>
      <c r="E640" s="379">
        <v>43646</v>
      </c>
      <c r="F640" s="379">
        <v>45473</v>
      </c>
      <c r="G640" s="383" t="s">
        <v>285</v>
      </c>
      <c r="H640" s="20" t="s">
        <v>286</v>
      </c>
      <c r="I640" s="20" t="s">
        <v>162</v>
      </c>
      <c r="J640" s="20" t="s">
        <v>163</v>
      </c>
      <c r="K640" s="378" t="s">
        <v>287</v>
      </c>
      <c r="L640" s="20" t="s">
        <v>165</v>
      </c>
      <c r="M640" s="380">
        <v>2400</v>
      </c>
      <c r="N640" s="380"/>
      <c r="O640" s="380"/>
      <c r="P640" s="380"/>
      <c r="Q640" s="381" t="s">
        <v>288</v>
      </c>
      <c r="R640" s="381" t="s">
        <v>288</v>
      </c>
      <c r="S640" s="381"/>
      <c r="T640" s="381"/>
      <c r="U640" s="381"/>
      <c r="V640" s="382">
        <v>273</v>
      </c>
      <c r="W640" s="382">
        <v>0</v>
      </c>
      <c r="X640" s="381">
        <v>0.11375</v>
      </c>
      <c r="Y640" s="381">
        <v>0.11375</v>
      </c>
      <c r="Z640" s="381">
        <v>0</v>
      </c>
      <c r="AA640" s="381">
        <v>0</v>
      </c>
      <c r="AB640" s="381">
        <v>0</v>
      </c>
      <c r="AC640" s="382">
        <v>0.11375</v>
      </c>
      <c r="AD640" s="382">
        <v>0</v>
      </c>
      <c r="AE640" s="381" t="s">
        <v>168</v>
      </c>
    </row>
    <row r="641" spans="1:31" ht="15" customHeight="1" x14ac:dyDescent="0.25">
      <c r="A641" s="20" t="s">
        <v>156</v>
      </c>
      <c r="B641" s="20" t="s">
        <v>939</v>
      </c>
      <c r="C641" s="20" t="s">
        <v>940</v>
      </c>
      <c r="D641" s="378" t="s">
        <v>1068</v>
      </c>
      <c r="E641" s="379">
        <v>43646</v>
      </c>
      <c r="F641" s="379">
        <v>45473</v>
      </c>
      <c r="G641" s="383" t="s">
        <v>285</v>
      </c>
      <c r="H641" s="20" t="s">
        <v>286</v>
      </c>
      <c r="I641" s="20" t="s">
        <v>162</v>
      </c>
      <c r="J641" s="20" t="s">
        <v>163</v>
      </c>
      <c r="K641" s="378" t="s">
        <v>287</v>
      </c>
      <c r="L641" s="20" t="s">
        <v>165</v>
      </c>
      <c r="M641" s="380">
        <v>2400</v>
      </c>
      <c r="N641" s="380"/>
      <c r="O641" s="380"/>
      <c r="P641" s="380"/>
      <c r="Q641" s="381" t="s">
        <v>1069</v>
      </c>
      <c r="R641" s="381" t="s">
        <v>1069</v>
      </c>
      <c r="S641" s="381"/>
      <c r="T641" s="381"/>
      <c r="U641" s="381"/>
      <c r="V641" s="382">
        <v>196</v>
      </c>
      <c r="W641" s="382">
        <v>0</v>
      </c>
      <c r="X641" s="381">
        <v>8.1666666666666665E-2</v>
      </c>
      <c r="Y641" s="381">
        <v>8.1666666666666665E-2</v>
      </c>
      <c r="Z641" s="381">
        <v>0</v>
      </c>
      <c r="AA641" s="381">
        <v>0</v>
      </c>
      <c r="AB641" s="381">
        <v>0</v>
      </c>
      <c r="AC641" s="382">
        <v>8.1666666666666665E-2</v>
      </c>
      <c r="AD641" s="382">
        <v>0</v>
      </c>
      <c r="AE641" s="381" t="s">
        <v>168</v>
      </c>
    </row>
    <row r="642" spans="1:31" ht="15" customHeight="1" x14ac:dyDescent="0.25">
      <c r="A642" s="20" t="s">
        <v>156</v>
      </c>
      <c r="B642" s="20" t="s">
        <v>939</v>
      </c>
      <c r="C642" s="20" t="s">
        <v>940</v>
      </c>
      <c r="D642" s="378" t="s">
        <v>1070</v>
      </c>
      <c r="E642" s="379">
        <v>43646</v>
      </c>
      <c r="F642" s="379">
        <v>45473</v>
      </c>
      <c r="G642" s="383" t="s">
        <v>285</v>
      </c>
      <c r="H642" s="20" t="s">
        <v>286</v>
      </c>
      <c r="I642" s="20" t="s">
        <v>162</v>
      </c>
      <c r="J642" s="20" t="s">
        <v>163</v>
      </c>
      <c r="K642" s="378" t="s">
        <v>287</v>
      </c>
      <c r="L642" s="20" t="s">
        <v>165</v>
      </c>
      <c r="M642" s="380">
        <v>2400</v>
      </c>
      <c r="N642" s="380"/>
      <c r="O642" s="380"/>
      <c r="P642" s="380"/>
      <c r="Q642" s="381" t="s">
        <v>1071</v>
      </c>
      <c r="R642" s="381" t="s">
        <v>1071</v>
      </c>
      <c r="S642" s="381"/>
      <c r="T642" s="381"/>
      <c r="U642" s="381"/>
      <c r="V642" s="382">
        <v>176</v>
      </c>
      <c r="W642" s="382">
        <v>0</v>
      </c>
      <c r="X642" s="381">
        <v>7.3333333333333334E-2</v>
      </c>
      <c r="Y642" s="381">
        <v>7.3333333333333334E-2</v>
      </c>
      <c r="Z642" s="381">
        <v>0</v>
      </c>
      <c r="AA642" s="381">
        <v>0</v>
      </c>
      <c r="AB642" s="381">
        <v>0</v>
      </c>
      <c r="AC642" s="382">
        <v>7.3333333333333334E-2</v>
      </c>
      <c r="AD642" s="382">
        <v>0</v>
      </c>
      <c r="AE642" s="381" t="s">
        <v>168</v>
      </c>
    </row>
    <row r="643" spans="1:31" ht="15" customHeight="1" x14ac:dyDescent="0.25">
      <c r="A643" s="20" t="s">
        <v>156</v>
      </c>
      <c r="B643" s="20" t="s">
        <v>939</v>
      </c>
      <c r="C643" s="20" t="s">
        <v>940</v>
      </c>
      <c r="D643" s="378" t="s">
        <v>1072</v>
      </c>
      <c r="E643" s="379">
        <v>43646</v>
      </c>
      <c r="F643" s="379">
        <v>45473</v>
      </c>
      <c r="G643" s="383" t="s">
        <v>193</v>
      </c>
      <c r="H643" s="20" t="s">
        <v>286</v>
      </c>
      <c r="I643" s="20" t="s">
        <v>162</v>
      </c>
      <c r="J643" s="20" t="s">
        <v>163</v>
      </c>
      <c r="K643" s="378" t="s">
        <v>287</v>
      </c>
      <c r="L643" s="20" t="s">
        <v>165</v>
      </c>
      <c r="M643" s="380">
        <v>2400</v>
      </c>
      <c r="N643" s="380"/>
      <c r="O643" s="380"/>
      <c r="P643" s="380"/>
      <c r="Q643" s="381" t="s">
        <v>641</v>
      </c>
      <c r="R643" s="381" t="s">
        <v>641</v>
      </c>
      <c r="S643" s="381"/>
      <c r="T643" s="381"/>
      <c r="U643" s="381"/>
      <c r="V643" s="382">
        <v>303</v>
      </c>
      <c r="W643" s="382">
        <v>0</v>
      </c>
      <c r="X643" s="381">
        <v>0.12625</v>
      </c>
      <c r="Y643" s="381">
        <v>0.12625</v>
      </c>
      <c r="Z643" s="381">
        <v>0</v>
      </c>
      <c r="AA643" s="381">
        <v>0</v>
      </c>
      <c r="AB643" s="381">
        <v>0</v>
      </c>
      <c r="AC643" s="382">
        <v>0.12625</v>
      </c>
      <c r="AD643" s="382">
        <v>0</v>
      </c>
      <c r="AE643" s="381" t="s">
        <v>168</v>
      </c>
    </row>
    <row r="644" spans="1:31" ht="15" customHeight="1" x14ac:dyDescent="0.25">
      <c r="A644" s="20" t="s">
        <v>156</v>
      </c>
      <c r="B644" s="20" t="s">
        <v>939</v>
      </c>
      <c r="C644" s="20" t="s">
        <v>940</v>
      </c>
      <c r="D644" s="378" t="s">
        <v>1073</v>
      </c>
      <c r="E644" s="379">
        <v>43646</v>
      </c>
      <c r="F644" s="379">
        <v>45473</v>
      </c>
      <c r="G644" s="383" t="s">
        <v>193</v>
      </c>
      <c r="H644" s="20" t="s">
        <v>286</v>
      </c>
      <c r="I644" s="20" t="s">
        <v>162</v>
      </c>
      <c r="J644" s="20" t="s">
        <v>163</v>
      </c>
      <c r="K644" s="378" t="s">
        <v>287</v>
      </c>
      <c r="L644" s="20" t="s">
        <v>165</v>
      </c>
      <c r="M644" s="380">
        <v>2400</v>
      </c>
      <c r="N644" s="380"/>
      <c r="O644" s="380"/>
      <c r="P644" s="380"/>
      <c r="Q644" s="381" t="s">
        <v>1074</v>
      </c>
      <c r="R644" s="381" t="s">
        <v>1074</v>
      </c>
      <c r="S644" s="381"/>
      <c r="T644" s="381"/>
      <c r="U644" s="381"/>
      <c r="V644" s="382">
        <v>247</v>
      </c>
      <c r="W644" s="382">
        <v>0</v>
      </c>
      <c r="X644" s="381">
        <v>0.10291666666666667</v>
      </c>
      <c r="Y644" s="381">
        <v>0.10291666666666667</v>
      </c>
      <c r="Z644" s="381">
        <v>0</v>
      </c>
      <c r="AA644" s="381">
        <v>0</v>
      </c>
      <c r="AB644" s="381">
        <v>0</v>
      </c>
      <c r="AC644" s="382">
        <v>0.10291666666666667</v>
      </c>
      <c r="AD644" s="382">
        <v>0</v>
      </c>
      <c r="AE644" s="381" t="s">
        <v>168</v>
      </c>
    </row>
    <row r="645" spans="1:31" ht="15" customHeight="1" x14ac:dyDescent="0.25">
      <c r="A645" s="20" t="s">
        <v>156</v>
      </c>
      <c r="B645" s="20" t="s">
        <v>939</v>
      </c>
      <c r="C645" s="20" t="s">
        <v>940</v>
      </c>
      <c r="D645" s="378" t="s">
        <v>1075</v>
      </c>
      <c r="E645" s="379">
        <v>43646</v>
      </c>
      <c r="F645" s="379">
        <v>45473</v>
      </c>
      <c r="G645" s="383" t="s">
        <v>193</v>
      </c>
      <c r="H645" s="20" t="s">
        <v>286</v>
      </c>
      <c r="I645" s="20" t="s">
        <v>162</v>
      </c>
      <c r="J645" s="20" t="s">
        <v>163</v>
      </c>
      <c r="K645" s="378" t="s">
        <v>287</v>
      </c>
      <c r="L645" s="20" t="s">
        <v>165</v>
      </c>
      <c r="M645" s="380">
        <v>2400</v>
      </c>
      <c r="N645" s="380"/>
      <c r="O645" s="380"/>
      <c r="P645" s="380"/>
      <c r="Q645" s="381" t="s">
        <v>1076</v>
      </c>
      <c r="R645" s="381" t="s">
        <v>1076</v>
      </c>
      <c r="S645" s="381"/>
      <c r="T645" s="381"/>
      <c r="U645" s="381"/>
      <c r="V645" s="382">
        <v>186</v>
      </c>
      <c r="W645" s="382">
        <v>0</v>
      </c>
      <c r="X645" s="381">
        <v>7.7499999999999999E-2</v>
      </c>
      <c r="Y645" s="381">
        <v>7.7499999999999999E-2</v>
      </c>
      <c r="Z645" s="381">
        <v>0</v>
      </c>
      <c r="AA645" s="381">
        <v>0</v>
      </c>
      <c r="AB645" s="381">
        <v>0</v>
      </c>
      <c r="AC645" s="382">
        <v>7.7499999999999999E-2</v>
      </c>
      <c r="AD645" s="382">
        <v>0</v>
      </c>
      <c r="AE645" s="381" t="s">
        <v>168</v>
      </c>
    </row>
    <row r="646" spans="1:31" ht="15" customHeight="1" x14ac:dyDescent="0.25">
      <c r="A646" s="20" t="s">
        <v>156</v>
      </c>
      <c r="B646" s="20" t="s">
        <v>939</v>
      </c>
      <c r="C646" s="20" t="s">
        <v>940</v>
      </c>
      <c r="D646" s="378" t="s">
        <v>1077</v>
      </c>
      <c r="E646" s="379">
        <v>43646</v>
      </c>
      <c r="F646" s="379">
        <v>45473</v>
      </c>
      <c r="G646" s="383" t="s">
        <v>179</v>
      </c>
      <c r="H646" s="20" t="s">
        <v>286</v>
      </c>
      <c r="I646" s="20" t="s">
        <v>162</v>
      </c>
      <c r="J646" s="20" t="s">
        <v>163</v>
      </c>
      <c r="K646" s="378" t="s">
        <v>287</v>
      </c>
      <c r="L646" s="20" t="s">
        <v>165</v>
      </c>
      <c r="M646" s="380">
        <v>2400</v>
      </c>
      <c r="N646" s="380"/>
      <c r="O646" s="380"/>
      <c r="P646" s="380"/>
      <c r="Q646" s="381" t="s">
        <v>1078</v>
      </c>
      <c r="R646" s="381" t="s">
        <v>1078</v>
      </c>
      <c r="S646" s="381"/>
      <c r="T646" s="381"/>
      <c r="U646" s="381"/>
      <c r="V646" s="382">
        <v>328</v>
      </c>
      <c r="W646" s="382">
        <v>0</v>
      </c>
      <c r="X646" s="381">
        <v>0.13666666666666666</v>
      </c>
      <c r="Y646" s="381">
        <v>0.13666666666666666</v>
      </c>
      <c r="Z646" s="381">
        <v>0</v>
      </c>
      <c r="AA646" s="381">
        <v>0</v>
      </c>
      <c r="AB646" s="381">
        <v>0</v>
      </c>
      <c r="AC646" s="382">
        <v>0.13666666666666666</v>
      </c>
      <c r="AD646" s="382">
        <v>0</v>
      </c>
      <c r="AE646" s="381" t="s">
        <v>168</v>
      </c>
    </row>
    <row r="647" spans="1:31" ht="15" customHeight="1" x14ac:dyDescent="0.25">
      <c r="A647" s="20" t="s">
        <v>156</v>
      </c>
      <c r="B647" s="20" t="s">
        <v>939</v>
      </c>
      <c r="C647" s="20" t="s">
        <v>940</v>
      </c>
      <c r="D647" s="378" t="s">
        <v>1079</v>
      </c>
      <c r="E647" s="379">
        <v>43646</v>
      </c>
      <c r="F647" s="379">
        <v>45473</v>
      </c>
      <c r="G647" s="383" t="s">
        <v>179</v>
      </c>
      <c r="H647" s="20" t="s">
        <v>286</v>
      </c>
      <c r="I647" s="20" t="s">
        <v>162</v>
      </c>
      <c r="J647" s="20" t="s">
        <v>163</v>
      </c>
      <c r="K647" s="378" t="s">
        <v>287</v>
      </c>
      <c r="L647" s="20" t="s">
        <v>165</v>
      </c>
      <c r="M647" s="380">
        <v>2400</v>
      </c>
      <c r="N647" s="380"/>
      <c r="O647" s="380"/>
      <c r="P647" s="380"/>
      <c r="Q647" s="381" t="s">
        <v>310</v>
      </c>
      <c r="R647" s="381" t="s">
        <v>310</v>
      </c>
      <c r="S647" s="381"/>
      <c r="T647" s="381"/>
      <c r="U647" s="381"/>
      <c r="V647" s="382">
        <v>265</v>
      </c>
      <c r="W647" s="382">
        <v>0</v>
      </c>
      <c r="X647" s="381">
        <v>0.11041666666666666</v>
      </c>
      <c r="Y647" s="381">
        <v>0.11041666666666666</v>
      </c>
      <c r="Z647" s="381">
        <v>0</v>
      </c>
      <c r="AA647" s="381">
        <v>0</v>
      </c>
      <c r="AB647" s="381">
        <v>0</v>
      </c>
      <c r="AC647" s="382">
        <v>0.11041666666666666</v>
      </c>
      <c r="AD647" s="382">
        <v>0</v>
      </c>
      <c r="AE647" s="381" t="s">
        <v>168</v>
      </c>
    </row>
    <row r="648" spans="1:31" ht="15" customHeight="1" x14ac:dyDescent="0.25">
      <c r="A648" s="20" t="s">
        <v>156</v>
      </c>
      <c r="B648" s="20" t="s">
        <v>939</v>
      </c>
      <c r="C648" s="20" t="s">
        <v>940</v>
      </c>
      <c r="D648" s="378" t="s">
        <v>1080</v>
      </c>
      <c r="E648" s="379">
        <v>43646</v>
      </c>
      <c r="F648" s="379">
        <v>45473</v>
      </c>
      <c r="G648" s="383" t="s">
        <v>179</v>
      </c>
      <c r="H648" s="20" t="s">
        <v>286</v>
      </c>
      <c r="I648" s="20" t="s">
        <v>162</v>
      </c>
      <c r="J648" s="20" t="s">
        <v>163</v>
      </c>
      <c r="K648" s="378" t="s">
        <v>287</v>
      </c>
      <c r="L648" s="20" t="s">
        <v>165</v>
      </c>
      <c r="M648" s="380">
        <v>2400</v>
      </c>
      <c r="N648" s="380"/>
      <c r="O648" s="380"/>
      <c r="P648" s="380"/>
      <c r="Q648" s="381" t="s">
        <v>1081</v>
      </c>
      <c r="R648" s="381" t="s">
        <v>1081</v>
      </c>
      <c r="S648" s="381"/>
      <c r="T648" s="381"/>
      <c r="U648" s="381"/>
      <c r="V648" s="382">
        <v>252</v>
      </c>
      <c r="W648" s="382">
        <v>0</v>
      </c>
      <c r="X648" s="381">
        <v>0.105</v>
      </c>
      <c r="Y648" s="381">
        <v>0.105</v>
      </c>
      <c r="Z648" s="381">
        <v>0</v>
      </c>
      <c r="AA648" s="381">
        <v>0</v>
      </c>
      <c r="AB648" s="381">
        <v>0</v>
      </c>
      <c r="AC648" s="382">
        <v>0.105</v>
      </c>
      <c r="AD648" s="382">
        <v>0</v>
      </c>
      <c r="AE648" s="381" t="s">
        <v>168</v>
      </c>
    </row>
    <row r="649" spans="1:31" ht="15" customHeight="1" x14ac:dyDescent="0.25">
      <c r="A649" s="20" t="s">
        <v>156</v>
      </c>
      <c r="B649" s="20" t="s">
        <v>939</v>
      </c>
      <c r="C649" s="20" t="s">
        <v>940</v>
      </c>
      <c r="D649" s="378" t="s">
        <v>1082</v>
      </c>
      <c r="E649" s="379">
        <v>43646</v>
      </c>
      <c r="F649" s="379">
        <v>45473</v>
      </c>
      <c r="G649" s="383" t="s">
        <v>160</v>
      </c>
      <c r="H649" s="20" t="s">
        <v>286</v>
      </c>
      <c r="I649" s="20" t="s">
        <v>162</v>
      </c>
      <c r="J649" s="20" t="s">
        <v>163</v>
      </c>
      <c r="K649" s="378" t="s">
        <v>287</v>
      </c>
      <c r="L649" s="20" t="s">
        <v>165</v>
      </c>
      <c r="M649" s="380">
        <v>2400</v>
      </c>
      <c r="N649" s="380"/>
      <c r="O649" s="380"/>
      <c r="P649" s="380"/>
      <c r="Q649" s="381" t="s">
        <v>1083</v>
      </c>
      <c r="R649" s="381" t="s">
        <v>1083</v>
      </c>
      <c r="S649" s="381"/>
      <c r="T649" s="381"/>
      <c r="U649" s="381"/>
      <c r="V649" s="382">
        <v>351</v>
      </c>
      <c r="W649" s="382">
        <v>0</v>
      </c>
      <c r="X649" s="381">
        <v>0.14624999999999999</v>
      </c>
      <c r="Y649" s="381">
        <v>0.14624999999999999</v>
      </c>
      <c r="Z649" s="381">
        <v>0</v>
      </c>
      <c r="AA649" s="381">
        <v>0</v>
      </c>
      <c r="AB649" s="381">
        <v>0</v>
      </c>
      <c r="AC649" s="382">
        <v>0.14624999999999999</v>
      </c>
      <c r="AD649" s="382">
        <v>0</v>
      </c>
      <c r="AE649" s="381" t="s">
        <v>168</v>
      </c>
    </row>
    <row r="650" spans="1:31" ht="15" customHeight="1" x14ac:dyDescent="0.25">
      <c r="A650" s="20" t="s">
        <v>156</v>
      </c>
      <c r="B650" s="20" t="s">
        <v>939</v>
      </c>
      <c r="C650" s="20" t="s">
        <v>940</v>
      </c>
      <c r="D650" s="378" t="s">
        <v>311</v>
      </c>
      <c r="E650" s="379">
        <v>43646</v>
      </c>
      <c r="F650" s="379">
        <v>45473</v>
      </c>
      <c r="G650" s="383" t="s">
        <v>160</v>
      </c>
      <c r="H650" s="20" t="s">
        <v>286</v>
      </c>
      <c r="I650" s="20" t="s">
        <v>162</v>
      </c>
      <c r="J650" s="20" t="s">
        <v>163</v>
      </c>
      <c r="K650" s="378" t="s">
        <v>287</v>
      </c>
      <c r="L650" s="20" t="s">
        <v>165</v>
      </c>
      <c r="M650" s="380">
        <v>2400</v>
      </c>
      <c r="N650" s="380"/>
      <c r="O650" s="380"/>
      <c r="P650" s="380"/>
      <c r="Q650" s="381" t="s">
        <v>1084</v>
      </c>
      <c r="R650" s="381" t="s">
        <v>1084</v>
      </c>
      <c r="S650" s="381"/>
      <c r="T650" s="381"/>
      <c r="U650" s="381"/>
      <c r="V650" s="382">
        <v>263</v>
      </c>
      <c r="W650" s="382">
        <v>0</v>
      </c>
      <c r="X650" s="381">
        <v>0.10958333333333334</v>
      </c>
      <c r="Y650" s="381">
        <v>0.10958333333333334</v>
      </c>
      <c r="Z650" s="381">
        <v>0</v>
      </c>
      <c r="AA650" s="381">
        <v>0</v>
      </c>
      <c r="AB650" s="381">
        <v>0</v>
      </c>
      <c r="AC650" s="382">
        <v>0.10958333333333334</v>
      </c>
      <c r="AD650" s="382">
        <v>0</v>
      </c>
      <c r="AE650" s="381" t="s">
        <v>168</v>
      </c>
    </row>
    <row r="651" spans="1:31" ht="15" customHeight="1" x14ac:dyDescent="0.25">
      <c r="A651" s="20" t="s">
        <v>156</v>
      </c>
      <c r="B651" s="20" t="s">
        <v>939</v>
      </c>
      <c r="C651" s="20" t="s">
        <v>940</v>
      </c>
      <c r="D651" s="378" t="s">
        <v>313</v>
      </c>
      <c r="E651" s="379">
        <v>43646</v>
      </c>
      <c r="F651" s="379">
        <v>45473</v>
      </c>
      <c r="G651" s="383" t="s">
        <v>160</v>
      </c>
      <c r="H651" s="20" t="s">
        <v>286</v>
      </c>
      <c r="I651" s="20" t="s">
        <v>162</v>
      </c>
      <c r="J651" s="20" t="s">
        <v>163</v>
      </c>
      <c r="K651" s="378" t="s">
        <v>287</v>
      </c>
      <c r="L651" s="20" t="s">
        <v>165</v>
      </c>
      <c r="M651" s="380">
        <v>2400</v>
      </c>
      <c r="N651" s="380"/>
      <c r="O651" s="380"/>
      <c r="P651" s="380"/>
      <c r="Q651" s="381" t="s">
        <v>1085</v>
      </c>
      <c r="R651" s="381" t="s">
        <v>1085</v>
      </c>
      <c r="S651" s="381"/>
      <c r="T651" s="381"/>
      <c r="U651" s="381"/>
      <c r="V651" s="382">
        <v>238</v>
      </c>
      <c r="W651" s="382">
        <v>0</v>
      </c>
      <c r="X651" s="381">
        <v>9.9166666666666667E-2</v>
      </c>
      <c r="Y651" s="381">
        <v>9.9166666666666667E-2</v>
      </c>
      <c r="Z651" s="381">
        <v>0</v>
      </c>
      <c r="AA651" s="381">
        <v>0</v>
      </c>
      <c r="AB651" s="381">
        <v>0</v>
      </c>
      <c r="AC651" s="382">
        <v>9.9166666666666667E-2</v>
      </c>
      <c r="AD651" s="382">
        <v>0</v>
      </c>
      <c r="AE651" s="381" t="s">
        <v>168</v>
      </c>
    </row>
    <row r="652" spans="1:31" ht="15" customHeight="1" x14ac:dyDescent="0.25">
      <c r="A652" s="20" t="s">
        <v>156</v>
      </c>
      <c r="B652" s="20" t="s">
        <v>939</v>
      </c>
      <c r="C652" s="20" t="s">
        <v>940</v>
      </c>
      <c r="D652" s="378" t="s">
        <v>1086</v>
      </c>
      <c r="E652" s="379">
        <v>43646</v>
      </c>
      <c r="F652" s="379">
        <v>45473</v>
      </c>
      <c r="G652" s="383" t="s">
        <v>316</v>
      </c>
      <c r="H652" s="20" t="s">
        <v>286</v>
      </c>
      <c r="I652" s="20" t="s">
        <v>162</v>
      </c>
      <c r="J652" s="20" t="s">
        <v>163</v>
      </c>
      <c r="K652" s="378" t="s">
        <v>287</v>
      </c>
      <c r="L652" s="20" t="s">
        <v>165</v>
      </c>
      <c r="M652" s="380">
        <v>2400</v>
      </c>
      <c r="N652" s="380"/>
      <c r="O652" s="380"/>
      <c r="P652" s="380"/>
      <c r="Q652" s="381" t="s">
        <v>1087</v>
      </c>
      <c r="R652" s="381" t="s">
        <v>1087</v>
      </c>
      <c r="S652" s="381"/>
      <c r="T652" s="381"/>
      <c r="U652" s="381"/>
      <c r="V652" s="382">
        <v>321</v>
      </c>
      <c r="W652" s="382">
        <v>0</v>
      </c>
      <c r="X652" s="381">
        <v>0.13375000000000001</v>
      </c>
      <c r="Y652" s="381">
        <v>0.13375000000000001</v>
      </c>
      <c r="Z652" s="381">
        <v>0</v>
      </c>
      <c r="AA652" s="381">
        <v>0</v>
      </c>
      <c r="AB652" s="381">
        <v>0</v>
      </c>
      <c r="AC652" s="382">
        <v>0.13375000000000001</v>
      </c>
      <c r="AD652" s="382">
        <v>0</v>
      </c>
      <c r="AE652" s="381" t="s">
        <v>168</v>
      </c>
    </row>
    <row r="653" spans="1:31" ht="15" customHeight="1" x14ac:dyDescent="0.25">
      <c r="A653" s="20" t="s">
        <v>156</v>
      </c>
      <c r="B653" s="20" t="s">
        <v>939</v>
      </c>
      <c r="C653" s="20" t="s">
        <v>940</v>
      </c>
      <c r="D653" s="378" t="s">
        <v>317</v>
      </c>
      <c r="E653" s="379">
        <v>43646</v>
      </c>
      <c r="F653" s="379">
        <v>45473</v>
      </c>
      <c r="G653" s="383" t="s">
        <v>316</v>
      </c>
      <c r="H653" s="20" t="s">
        <v>286</v>
      </c>
      <c r="I653" s="20" t="s">
        <v>162</v>
      </c>
      <c r="J653" s="20" t="s">
        <v>163</v>
      </c>
      <c r="K653" s="378" t="s">
        <v>287</v>
      </c>
      <c r="L653" s="20" t="s">
        <v>165</v>
      </c>
      <c r="M653" s="380">
        <v>2400</v>
      </c>
      <c r="N653" s="380"/>
      <c r="O653" s="380"/>
      <c r="P653" s="380"/>
      <c r="Q653" s="381" t="s">
        <v>1088</v>
      </c>
      <c r="R653" s="381" t="s">
        <v>1088</v>
      </c>
      <c r="S653" s="381"/>
      <c r="T653" s="381"/>
      <c r="U653" s="381"/>
      <c r="V653" s="382">
        <v>237</v>
      </c>
      <c r="W653" s="382">
        <v>0</v>
      </c>
      <c r="X653" s="381">
        <v>9.8750000000000004E-2</v>
      </c>
      <c r="Y653" s="381">
        <v>9.8750000000000004E-2</v>
      </c>
      <c r="Z653" s="381">
        <v>0</v>
      </c>
      <c r="AA653" s="381">
        <v>0</v>
      </c>
      <c r="AB653" s="381">
        <v>0</v>
      </c>
      <c r="AC653" s="382">
        <v>9.8750000000000004E-2</v>
      </c>
      <c r="AD653" s="382">
        <v>0</v>
      </c>
      <c r="AE653" s="381" t="s">
        <v>168</v>
      </c>
    </row>
    <row r="654" spans="1:31" ht="15" customHeight="1" x14ac:dyDescent="0.25">
      <c r="A654" s="20" t="s">
        <v>156</v>
      </c>
      <c r="B654" s="20" t="s">
        <v>939</v>
      </c>
      <c r="C654" s="20" t="s">
        <v>940</v>
      </c>
      <c r="D654" s="378" t="s">
        <v>1089</v>
      </c>
      <c r="E654" s="379">
        <v>44490</v>
      </c>
      <c r="F654" s="379">
        <v>46316</v>
      </c>
      <c r="G654" s="378" t="s">
        <v>320</v>
      </c>
      <c r="H654" s="20" t="s">
        <v>321</v>
      </c>
      <c r="I654" s="20" t="s">
        <v>162</v>
      </c>
      <c r="J654" s="20" t="s">
        <v>163</v>
      </c>
      <c r="K654" s="378" t="s">
        <v>322</v>
      </c>
      <c r="L654" s="20" t="s">
        <v>165</v>
      </c>
      <c r="M654" s="380">
        <v>2400</v>
      </c>
      <c r="N654" s="380"/>
      <c r="O654" s="380"/>
      <c r="P654" s="380"/>
      <c r="Q654" s="381" t="s">
        <v>1090</v>
      </c>
      <c r="R654" s="381"/>
      <c r="S654" s="381"/>
      <c r="T654" s="381"/>
      <c r="U654" s="381"/>
      <c r="V654" s="382">
        <v>217.34</v>
      </c>
      <c r="W654" s="382">
        <v>0</v>
      </c>
      <c r="X654" s="381">
        <v>9.0558333333333338E-2</v>
      </c>
      <c r="Y654" s="381">
        <v>0</v>
      </c>
      <c r="Z654" s="381">
        <v>0</v>
      </c>
      <c r="AA654" s="381">
        <v>0</v>
      </c>
      <c r="AB654" s="381">
        <v>0</v>
      </c>
      <c r="AC654" s="382">
        <v>9.0558333333333338E-2</v>
      </c>
      <c r="AD654" s="382">
        <v>0</v>
      </c>
      <c r="AE654" s="381" t="s">
        <v>168</v>
      </c>
    </row>
    <row r="655" spans="1:31" ht="15" customHeight="1" x14ac:dyDescent="0.25">
      <c r="A655" s="20" t="s">
        <v>156</v>
      </c>
      <c r="B655" s="20" t="s">
        <v>939</v>
      </c>
      <c r="C655" s="20" t="s">
        <v>940</v>
      </c>
      <c r="D655" s="378" t="s">
        <v>1091</v>
      </c>
      <c r="E655" s="379">
        <v>44490</v>
      </c>
      <c r="F655" s="379">
        <v>46316</v>
      </c>
      <c r="G655" s="378" t="s">
        <v>320</v>
      </c>
      <c r="H655" s="20" t="s">
        <v>321</v>
      </c>
      <c r="I655" s="20" t="s">
        <v>162</v>
      </c>
      <c r="J655" s="20" t="s">
        <v>163</v>
      </c>
      <c r="K655" s="378" t="s">
        <v>322</v>
      </c>
      <c r="L655" s="20" t="s">
        <v>165</v>
      </c>
      <c r="M655" s="380">
        <v>2400</v>
      </c>
      <c r="N655" s="380"/>
      <c r="O655" s="380"/>
      <c r="P655" s="380"/>
      <c r="Q655" s="381" t="s">
        <v>1092</v>
      </c>
      <c r="R655" s="381"/>
      <c r="S655" s="381"/>
      <c r="T655" s="381"/>
      <c r="U655" s="381"/>
      <c r="V655" s="382">
        <v>219.35</v>
      </c>
      <c r="W655" s="382">
        <v>0</v>
      </c>
      <c r="X655" s="381">
        <v>9.1395833333333329E-2</v>
      </c>
      <c r="Y655" s="381">
        <v>0</v>
      </c>
      <c r="Z655" s="381">
        <v>0</v>
      </c>
      <c r="AA655" s="381">
        <v>0</v>
      </c>
      <c r="AB655" s="381">
        <v>0</v>
      </c>
      <c r="AC655" s="382">
        <v>9.1395833333333329E-2</v>
      </c>
      <c r="AD655" s="382">
        <v>0</v>
      </c>
      <c r="AE655" s="381" t="s">
        <v>168</v>
      </c>
    </row>
    <row r="656" spans="1:31" ht="15" customHeight="1" x14ac:dyDescent="0.25">
      <c r="A656" s="20" t="s">
        <v>156</v>
      </c>
      <c r="B656" s="20" t="s">
        <v>939</v>
      </c>
      <c r="C656" s="20" t="s">
        <v>940</v>
      </c>
      <c r="D656" s="378" t="s">
        <v>1093</v>
      </c>
      <c r="E656" s="379">
        <v>44490</v>
      </c>
      <c r="F656" s="379">
        <v>46316</v>
      </c>
      <c r="G656" s="378" t="s">
        <v>320</v>
      </c>
      <c r="H656" s="20" t="s">
        <v>321</v>
      </c>
      <c r="I656" s="20" t="s">
        <v>162</v>
      </c>
      <c r="J656" s="20" t="s">
        <v>163</v>
      </c>
      <c r="K656" s="378" t="s">
        <v>322</v>
      </c>
      <c r="L656" s="20" t="s">
        <v>165</v>
      </c>
      <c r="M656" s="380">
        <v>2400</v>
      </c>
      <c r="N656" s="380"/>
      <c r="O656" s="380"/>
      <c r="P656" s="380"/>
      <c r="Q656" s="381" t="s">
        <v>1094</v>
      </c>
      <c r="R656" s="381"/>
      <c r="S656" s="381"/>
      <c r="T656" s="381"/>
      <c r="U656" s="381"/>
      <c r="V656" s="382">
        <v>217.59</v>
      </c>
      <c r="W656" s="382">
        <v>0</v>
      </c>
      <c r="X656" s="381">
        <v>9.0662500000000007E-2</v>
      </c>
      <c r="Y656" s="381">
        <v>0</v>
      </c>
      <c r="Z656" s="381">
        <v>0</v>
      </c>
      <c r="AA656" s="381">
        <v>0</v>
      </c>
      <c r="AB656" s="381">
        <v>0</v>
      </c>
      <c r="AC656" s="382">
        <v>9.0662500000000007E-2</v>
      </c>
      <c r="AD656" s="382">
        <v>0</v>
      </c>
      <c r="AE656" s="381" t="s">
        <v>168</v>
      </c>
    </row>
    <row r="657" spans="1:31" ht="15" customHeight="1" x14ac:dyDescent="0.25">
      <c r="A657" s="20" t="s">
        <v>156</v>
      </c>
      <c r="B657" s="20" t="s">
        <v>939</v>
      </c>
      <c r="C657" s="20" t="s">
        <v>940</v>
      </c>
      <c r="D657" s="378" t="s">
        <v>1095</v>
      </c>
      <c r="E657" s="379">
        <v>44490</v>
      </c>
      <c r="F657" s="379">
        <v>46316</v>
      </c>
      <c r="G657" s="378" t="s">
        <v>320</v>
      </c>
      <c r="H657" s="20" t="s">
        <v>321</v>
      </c>
      <c r="I657" s="20" t="s">
        <v>162</v>
      </c>
      <c r="J657" s="20" t="s">
        <v>163</v>
      </c>
      <c r="K657" s="378" t="s">
        <v>322</v>
      </c>
      <c r="L657" s="20" t="s">
        <v>165</v>
      </c>
      <c r="M657" s="380">
        <v>2400</v>
      </c>
      <c r="N657" s="380"/>
      <c r="O657" s="380"/>
      <c r="P657" s="380"/>
      <c r="Q657" s="381" t="s">
        <v>1096</v>
      </c>
      <c r="R657" s="381"/>
      <c r="S657" s="381"/>
      <c r="T657" s="381"/>
      <c r="U657" s="381"/>
      <c r="V657" s="382">
        <v>219.55</v>
      </c>
      <c r="W657" s="382">
        <v>0</v>
      </c>
      <c r="X657" s="381">
        <v>9.1479166666666667E-2</v>
      </c>
      <c r="Y657" s="381">
        <v>0</v>
      </c>
      <c r="Z657" s="381">
        <v>0</v>
      </c>
      <c r="AA657" s="381">
        <v>0</v>
      </c>
      <c r="AB657" s="381">
        <v>0</v>
      </c>
      <c r="AC657" s="382">
        <v>9.1479166666666667E-2</v>
      </c>
      <c r="AD657" s="382">
        <v>0</v>
      </c>
      <c r="AE657" s="381" t="s">
        <v>168</v>
      </c>
    </row>
    <row r="658" spans="1:31" ht="15" customHeight="1" x14ac:dyDescent="0.25">
      <c r="A658" s="20" t="s">
        <v>156</v>
      </c>
      <c r="B658" s="20" t="s">
        <v>939</v>
      </c>
      <c r="C658" s="20" t="s">
        <v>940</v>
      </c>
      <c r="D658" s="378" t="s">
        <v>1097</v>
      </c>
      <c r="E658" s="379">
        <v>44412</v>
      </c>
      <c r="F658" s="379">
        <v>46238</v>
      </c>
      <c r="G658" s="378" t="s">
        <v>179</v>
      </c>
      <c r="H658" s="20" t="s">
        <v>332</v>
      </c>
      <c r="I658" s="20" t="s">
        <v>162</v>
      </c>
      <c r="J658" s="20" t="s">
        <v>163</v>
      </c>
      <c r="K658" s="378" t="s">
        <v>333</v>
      </c>
      <c r="L658" s="20" t="s">
        <v>165</v>
      </c>
      <c r="M658" s="380">
        <v>2400</v>
      </c>
      <c r="N658" s="380"/>
      <c r="O658" s="380"/>
      <c r="P658" s="380"/>
      <c r="Q658" s="381" t="s">
        <v>1098</v>
      </c>
      <c r="R658" s="381"/>
      <c r="S658" s="381"/>
      <c r="T658" s="381"/>
      <c r="U658" s="381"/>
      <c r="V658" s="382">
        <v>266.20999999999998</v>
      </c>
      <c r="W658" s="382">
        <v>0</v>
      </c>
      <c r="X658" s="381">
        <v>0.11092083333333333</v>
      </c>
      <c r="Y658" s="381">
        <v>0</v>
      </c>
      <c r="Z658" s="381">
        <v>0</v>
      </c>
      <c r="AA658" s="381">
        <v>0</v>
      </c>
      <c r="AB658" s="381">
        <v>0</v>
      </c>
      <c r="AC658" s="382">
        <v>0.11092083333333333</v>
      </c>
      <c r="AD658" s="382">
        <v>0</v>
      </c>
      <c r="AE658" s="381" t="s">
        <v>168</v>
      </c>
    </row>
    <row r="659" spans="1:31" ht="15" customHeight="1" x14ac:dyDescent="0.25">
      <c r="A659" s="20" t="s">
        <v>156</v>
      </c>
      <c r="B659" s="20" t="s">
        <v>939</v>
      </c>
      <c r="C659" s="20" t="s">
        <v>940</v>
      </c>
      <c r="D659" s="378" t="s">
        <v>1099</v>
      </c>
      <c r="E659" s="379">
        <v>44412</v>
      </c>
      <c r="F659" s="379">
        <v>46238</v>
      </c>
      <c r="G659" s="378" t="s">
        <v>179</v>
      </c>
      <c r="H659" s="20" t="s">
        <v>332</v>
      </c>
      <c r="I659" s="20" t="s">
        <v>162</v>
      </c>
      <c r="J659" s="20" t="s">
        <v>163</v>
      </c>
      <c r="K659" s="378" t="s">
        <v>333</v>
      </c>
      <c r="L659" s="20" t="s">
        <v>165</v>
      </c>
      <c r="M659" s="380">
        <v>2400</v>
      </c>
      <c r="N659" s="380"/>
      <c r="O659" s="380"/>
      <c r="P659" s="380"/>
      <c r="Q659" s="381" t="s">
        <v>1100</v>
      </c>
      <c r="R659" s="381"/>
      <c r="S659" s="381"/>
      <c r="T659" s="381"/>
      <c r="U659" s="381"/>
      <c r="V659" s="382">
        <v>324.73</v>
      </c>
      <c r="W659" s="382">
        <v>0</v>
      </c>
      <c r="X659" s="381">
        <v>0.13530416666666667</v>
      </c>
      <c r="Y659" s="381">
        <v>0</v>
      </c>
      <c r="Z659" s="381">
        <v>0</v>
      </c>
      <c r="AA659" s="381">
        <v>0</v>
      </c>
      <c r="AB659" s="381">
        <v>0</v>
      </c>
      <c r="AC659" s="382">
        <v>0.13530416666666667</v>
      </c>
      <c r="AD659" s="382">
        <v>0</v>
      </c>
      <c r="AE659" s="381" t="s">
        <v>168</v>
      </c>
    </row>
    <row r="660" spans="1:31" ht="15" customHeight="1" x14ac:dyDescent="0.25">
      <c r="A660" s="20" t="s">
        <v>156</v>
      </c>
      <c r="B660" s="20" t="s">
        <v>939</v>
      </c>
      <c r="C660" s="20" t="s">
        <v>940</v>
      </c>
      <c r="D660" s="378" t="s">
        <v>1101</v>
      </c>
      <c r="E660" s="379">
        <v>44412</v>
      </c>
      <c r="F660" s="379">
        <v>46238</v>
      </c>
      <c r="G660" s="378" t="s">
        <v>179</v>
      </c>
      <c r="H660" s="20" t="s">
        <v>332</v>
      </c>
      <c r="I660" s="20" t="s">
        <v>162</v>
      </c>
      <c r="J660" s="20" t="s">
        <v>163</v>
      </c>
      <c r="K660" s="378" t="s">
        <v>333</v>
      </c>
      <c r="L660" s="20" t="s">
        <v>165</v>
      </c>
      <c r="M660" s="380">
        <v>2400</v>
      </c>
      <c r="N660" s="380"/>
      <c r="O660" s="380"/>
      <c r="P660" s="380"/>
      <c r="Q660" s="381" t="s">
        <v>1102</v>
      </c>
      <c r="R660" s="381"/>
      <c r="S660" s="381"/>
      <c r="T660" s="381"/>
      <c r="U660" s="381"/>
      <c r="V660" s="382">
        <v>275.49</v>
      </c>
      <c r="W660" s="382">
        <v>0</v>
      </c>
      <c r="X660" s="381">
        <v>0.1147875</v>
      </c>
      <c r="Y660" s="381">
        <v>0</v>
      </c>
      <c r="Z660" s="381">
        <v>0</v>
      </c>
      <c r="AA660" s="381">
        <v>0</v>
      </c>
      <c r="AB660" s="381">
        <v>0</v>
      </c>
      <c r="AC660" s="382">
        <v>0.1147875</v>
      </c>
      <c r="AD660" s="382">
        <v>0</v>
      </c>
      <c r="AE660" s="381" t="s">
        <v>168</v>
      </c>
    </row>
    <row r="661" spans="1:31" ht="15" customHeight="1" x14ac:dyDescent="0.25">
      <c r="A661" s="20" t="s">
        <v>156</v>
      </c>
      <c r="B661" s="20" t="s">
        <v>939</v>
      </c>
      <c r="C661" s="20" t="s">
        <v>940</v>
      </c>
      <c r="D661" s="378" t="s">
        <v>1103</v>
      </c>
      <c r="E661" s="379">
        <v>44412</v>
      </c>
      <c r="F661" s="379">
        <v>46238</v>
      </c>
      <c r="G661" s="378" t="s">
        <v>179</v>
      </c>
      <c r="H661" s="20" t="s">
        <v>332</v>
      </c>
      <c r="I661" s="20" t="s">
        <v>162</v>
      </c>
      <c r="J661" s="20" t="s">
        <v>163</v>
      </c>
      <c r="K661" s="378" t="s">
        <v>333</v>
      </c>
      <c r="L661" s="20" t="s">
        <v>165</v>
      </c>
      <c r="M661" s="380">
        <v>2400</v>
      </c>
      <c r="N661" s="380"/>
      <c r="O661" s="380"/>
      <c r="P661" s="380"/>
      <c r="Q661" s="381" t="s">
        <v>1104</v>
      </c>
      <c r="R661" s="380"/>
      <c r="S661" s="381"/>
      <c r="T661" s="381"/>
      <c r="U661" s="381"/>
      <c r="V661" s="382">
        <v>249.31</v>
      </c>
      <c r="W661" s="382">
        <v>0</v>
      </c>
      <c r="X661" s="381">
        <v>0.10387916666666666</v>
      </c>
      <c r="Y661" s="381">
        <v>0</v>
      </c>
      <c r="Z661" s="381">
        <v>0</v>
      </c>
      <c r="AA661" s="381">
        <v>0</v>
      </c>
      <c r="AB661" s="381">
        <v>0</v>
      </c>
      <c r="AC661" s="382">
        <v>0.10387916666666666</v>
      </c>
      <c r="AD661" s="382">
        <v>0</v>
      </c>
      <c r="AE661" s="381" t="s">
        <v>168</v>
      </c>
    </row>
    <row r="662" spans="1:31" ht="15" customHeight="1" x14ac:dyDescent="0.25">
      <c r="A662" s="20" t="s">
        <v>156</v>
      </c>
      <c r="B662" s="20" t="s">
        <v>939</v>
      </c>
      <c r="C662" s="20" t="s">
        <v>940</v>
      </c>
      <c r="D662" s="378" t="s">
        <v>1105</v>
      </c>
      <c r="E662" s="379">
        <v>44412</v>
      </c>
      <c r="F662" s="379">
        <v>46238</v>
      </c>
      <c r="G662" s="378" t="s">
        <v>179</v>
      </c>
      <c r="H662" s="20" t="s">
        <v>332</v>
      </c>
      <c r="I662" s="20" t="s">
        <v>162</v>
      </c>
      <c r="J662" s="20" t="s">
        <v>163</v>
      </c>
      <c r="K662" s="378" t="s">
        <v>333</v>
      </c>
      <c r="L662" s="20" t="s">
        <v>165</v>
      </c>
      <c r="M662" s="380">
        <v>2400</v>
      </c>
      <c r="N662" s="380"/>
      <c r="O662" s="380"/>
      <c r="P662" s="380"/>
      <c r="Q662" s="381" t="s">
        <v>1106</v>
      </c>
      <c r="R662" s="380"/>
      <c r="S662" s="381"/>
      <c r="T662" s="381"/>
      <c r="U662" s="381"/>
      <c r="V662" s="382">
        <v>203.16</v>
      </c>
      <c r="W662" s="382">
        <v>0</v>
      </c>
      <c r="X662" s="381">
        <v>8.4650000000000003E-2</v>
      </c>
      <c r="Y662" s="381">
        <v>0</v>
      </c>
      <c r="Z662" s="381">
        <v>0</v>
      </c>
      <c r="AA662" s="381">
        <v>0</v>
      </c>
      <c r="AB662" s="381">
        <v>0</v>
      </c>
      <c r="AC662" s="382">
        <v>8.4650000000000003E-2</v>
      </c>
      <c r="AD662" s="382">
        <v>0</v>
      </c>
      <c r="AE662" s="381" t="s">
        <v>168</v>
      </c>
    </row>
    <row r="663" spans="1:31" ht="15" customHeight="1" x14ac:dyDescent="0.25">
      <c r="A663" s="20" t="s">
        <v>156</v>
      </c>
      <c r="B663" s="20" t="s">
        <v>939</v>
      </c>
      <c r="C663" s="20" t="s">
        <v>940</v>
      </c>
      <c r="D663" s="378" t="s">
        <v>1107</v>
      </c>
      <c r="E663" s="379">
        <v>44539</v>
      </c>
      <c r="F663" s="379">
        <v>46365</v>
      </c>
      <c r="G663" s="378" t="s">
        <v>338</v>
      </c>
      <c r="H663" s="20" t="s">
        <v>339</v>
      </c>
      <c r="I663" s="20" t="s">
        <v>162</v>
      </c>
      <c r="J663" s="20" t="s">
        <v>163</v>
      </c>
      <c r="K663" s="378" t="s">
        <v>340</v>
      </c>
      <c r="L663" s="20" t="s">
        <v>165</v>
      </c>
      <c r="M663" s="380">
        <v>2400</v>
      </c>
      <c r="N663" s="380"/>
      <c r="O663" s="380"/>
      <c r="P663" s="380"/>
      <c r="Q663" s="381" t="s">
        <v>1108</v>
      </c>
      <c r="R663" s="381" t="s">
        <v>1108</v>
      </c>
      <c r="S663" s="381"/>
      <c r="T663" s="381"/>
      <c r="U663" s="381"/>
      <c r="V663" s="382">
        <v>237.22</v>
      </c>
      <c r="W663" s="382">
        <v>0</v>
      </c>
      <c r="X663" s="381">
        <v>9.8841666666666661E-2</v>
      </c>
      <c r="Y663" s="381">
        <v>9.8841666666666661E-2</v>
      </c>
      <c r="Z663" s="381">
        <v>0</v>
      </c>
      <c r="AA663" s="381">
        <v>0</v>
      </c>
      <c r="AB663" s="381">
        <v>0</v>
      </c>
      <c r="AC663" s="382">
        <v>9.8841666666666661E-2</v>
      </c>
      <c r="AD663" s="382">
        <v>0</v>
      </c>
      <c r="AE663" s="381" t="s">
        <v>168</v>
      </c>
    </row>
    <row r="664" spans="1:31" ht="15" customHeight="1" x14ac:dyDescent="0.25">
      <c r="A664" s="20" t="s">
        <v>156</v>
      </c>
      <c r="B664" s="20" t="s">
        <v>939</v>
      </c>
      <c r="C664" s="20" t="s">
        <v>940</v>
      </c>
      <c r="D664" s="378" t="s">
        <v>1109</v>
      </c>
      <c r="E664" s="379">
        <v>44539</v>
      </c>
      <c r="F664" s="379">
        <v>46365</v>
      </c>
      <c r="G664" s="378" t="s">
        <v>338</v>
      </c>
      <c r="H664" s="20" t="s">
        <v>339</v>
      </c>
      <c r="I664" s="20" t="s">
        <v>162</v>
      </c>
      <c r="J664" s="20" t="s">
        <v>163</v>
      </c>
      <c r="K664" s="378" t="s">
        <v>340</v>
      </c>
      <c r="L664" s="20" t="s">
        <v>165</v>
      </c>
      <c r="M664" s="380">
        <v>2400</v>
      </c>
      <c r="N664" s="380"/>
      <c r="O664" s="380"/>
      <c r="P664" s="380"/>
      <c r="Q664" s="381" t="s">
        <v>1110</v>
      </c>
      <c r="R664" s="381" t="s">
        <v>1110</v>
      </c>
      <c r="S664" s="381"/>
      <c r="T664" s="381"/>
      <c r="U664" s="381"/>
      <c r="V664" s="382">
        <v>237.71</v>
      </c>
      <c r="W664" s="382">
        <v>0</v>
      </c>
      <c r="X664" s="381">
        <v>9.9045833333333333E-2</v>
      </c>
      <c r="Y664" s="381">
        <v>9.9045833333333333E-2</v>
      </c>
      <c r="Z664" s="381">
        <v>0</v>
      </c>
      <c r="AA664" s="381">
        <v>0</v>
      </c>
      <c r="AB664" s="381">
        <v>0</v>
      </c>
      <c r="AC664" s="382">
        <v>9.9045833333333333E-2</v>
      </c>
      <c r="AD664" s="382">
        <v>0</v>
      </c>
      <c r="AE664" s="381" t="s">
        <v>168</v>
      </c>
    </row>
    <row r="665" spans="1:31" ht="15" customHeight="1" x14ac:dyDescent="0.25">
      <c r="A665" s="20" t="s">
        <v>156</v>
      </c>
      <c r="B665" s="20" t="s">
        <v>939</v>
      </c>
      <c r="C665" s="20" t="s">
        <v>940</v>
      </c>
      <c r="D665" s="378" t="s">
        <v>1111</v>
      </c>
      <c r="E665" s="379">
        <v>44539</v>
      </c>
      <c r="F665" s="379">
        <v>46365</v>
      </c>
      <c r="G665" s="378" t="s">
        <v>338</v>
      </c>
      <c r="H665" s="20" t="s">
        <v>339</v>
      </c>
      <c r="I665" s="20" t="s">
        <v>162</v>
      </c>
      <c r="J665" s="20" t="s">
        <v>163</v>
      </c>
      <c r="K665" s="378" t="s">
        <v>340</v>
      </c>
      <c r="L665" s="20" t="s">
        <v>165</v>
      </c>
      <c r="M665" s="380">
        <v>2400</v>
      </c>
      <c r="N665" s="380"/>
      <c r="O665" s="380"/>
      <c r="P665" s="380"/>
      <c r="Q665" s="381" t="s">
        <v>1112</v>
      </c>
      <c r="R665" s="381" t="s">
        <v>1112</v>
      </c>
      <c r="S665" s="381"/>
      <c r="T665" s="381"/>
      <c r="U665" s="381"/>
      <c r="V665" s="382">
        <v>245.84</v>
      </c>
      <c r="W665" s="382">
        <v>0</v>
      </c>
      <c r="X665" s="381">
        <v>0.10243333333333333</v>
      </c>
      <c r="Y665" s="381">
        <v>0.10243333333333333</v>
      </c>
      <c r="Z665" s="381">
        <v>0</v>
      </c>
      <c r="AA665" s="381">
        <v>0</v>
      </c>
      <c r="AB665" s="381">
        <v>0</v>
      </c>
      <c r="AC665" s="382">
        <v>0.10243333333333333</v>
      </c>
      <c r="AD665" s="382">
        <v>0</v>
      </c>
      <c r="AE665" s="381" t="s">
        <v>168</v>
      </c>
    </row>
    <row r="666" spans="1:31" ht="15" customHeight="1" x14ac:dyDescent="0.25">
      <c r="A666" s="20" t="s">
        <v>156</v>
      </c>
      <c r="B666" s="20" t="s">
        <v>939</v>
      </c>
      <c r="C666" s="20" t="s">
        <v>940</v>
      </c>
      <c r="D666" s="378" t="s">
        <v>1113</v>
      </c>
      <c r="E666" s="379">
        <v>44539</v>
      </c>
      <c r="F666" s="379">
        <v>46365</v>
      </c>
      <c r="G666" s="378" t="s">
        <v>338</v>
      </c>
      <c r="H666" s="20" t="s">
        <v>339</v>
      </c>
      <c r="I666" s="20" t="s">
        <v>162</v>
      </c>
      <c r="J666" s="20" t="s">
        <v>163</v>
      </c>
      <c r="K666" s="378" t="s">
        <v>340</v>
      </c>
      <c r="L666" s="20" t="s">
        <v>165</v>
      </c>
      <c r="M666" s="380">
        <v>2400</v>
      </c>
      <c r="N666" s="380"/>
      <c r="O666" s="380"/>
      <c r="P666" s="380"/>
      <c r="Q666" s="381" t="s">
        <v>1114</v>
      </c>
      <c r="R666" s="381" t="s">
        <v>1114</v>
      </c>
      <c r="S666" s="381"/>
      <c r="T666" s="381"/>
      <c r="U666" s="381"/>
      <c r="V666" s="382">
        <v>246.17</v>
      </c>
      <c r="W666" s="382">
        <v>0</v>
      </c>
      <c r="X666" s="381">
        <v>0.10257083333333333</v>
      </c>
      <c r="Y666" s="381">
        <v>0.10257083333333333</v>
      </c>
      <c r="Z666" s="381">
        <v>0</v>
      </c>
      <c r="AA666" s="381">
        <v>0</v>
      </c>
      <c r="AB666" s="381">
        <v>0</v>
      </c>
      <c r="AC666" s="382">
        <v>0.10257083333333333</v>
      </c>
      <c r="AD666" s="382">
        <v>0</v>
      </c>
      <c r="AE666" s="381" t="s">
        <v>168</v>
      </c>
    </row>
    <row r="667" spans="1:31" ht="15" customHeight="1" x14ac:dyDescent="0.25">
      <c r="A667" s="20" t="s">
        <v>156</v>
      </c>
      <c r="B667" s="20" t="s">
        <v>939</v>
      </c>
      <c r="C667" s="20" t="s">
        <v>940</v>
      </c>
      <c r="D667" s="378" t="s">
        <v>1115</v>
      </c>
      <c r="E667" s="379">
        <v>45016</v>
      </c>
      <c r="F667" s="379">
        <v>46843</v>
      </c>
      <c r="G667" s="378" t="s">
        <v>160</v>
      </c>
      <c r="H667" s="20" t="s">
        <v>416</v>
      </c>
      <c r="I667" s="20" t="s">
        <v>162</v>
      </c>
      <c r="J667" s="20" t="s">
        <v>163</v>
      </c>
      <c r="K667" s="378" t="s">
        <v>417</v>
      </c>
      <c r="L667" s="20" t="s">
        <v>165</v>
      </c>
      <c r="M667" s="380">
        <v>2400</v>
      </c>
      <c r="N667" s="380"/>
      <c r="O667" s="380"/>
      <c r="P667" s="380"/>
      <c r="Q667" s="381">
        <v>194.77</v>
      </c>
      <c r="R667" s="381">
        <v>194.72</v>
      </c>
      <c r="S667" s="381">
        <v>0.05</v>
      </c>
      <c r="T667" s="381"/>
      <c r="U667" s="381"/>
      <c r="V667" s="382">
        <v>194.77</v>
      </c>
      <c r="W667" s="382">
        <v>0</v>
      </c>
      <c r="X667" s="381">
        <v>8.1154166666666666E-2</v>
      </c>
      <c r="Y667" s="381">
        <v>8.1133333333333335E-2</v>
      </c>
      <c r="Z667" s="381">
        <v>2.0833333333333336E-5</v>
      </c>
      <c r="AA667" s="381">
        <v>0</v>
      </c>
      <c r="AB667" s="381">
        <v>0</v>
      </c>
      <c r="AC667" s="382">
        <v>8.1154166666666666E-2</v>
      </c>
      <c r="AD667" s="382">
        <v>0</v>
      </c>
      <c r="AE667" s="381" t="s">
        <v>168</v>
      </c>
    </row>
    <row r="668" spans="1:31" ht="15" customHeight="1" x14ac:dyDescent="0.25">
      <c r="A668" s="20" t="s">
        <v>156</v>
      </c>
      <c r="B668" s="20" t="s">
        <v>939</v>
      </c>
      <c r="C668" s="20" t="s">
        <v>940</v>
      </c>
      <c r="D668" s="378" t="s">
        <v>1116</v>
      </c>
      <c r="E668" s="379">
        <v>45016</v>
      </c>
      <c r="F668" s="379">
        <v>46843</v>
      </c>
      <c r="G668" s="378" t="s">
        <v>281</v>
      </c>
      <c r="H668" s="20" t="s">
        <v>282</v>
      </c>
      <c r="I668" s="20" t="s">
        <v>162</v>
      </c>
      <c r="J668" s="20" t="s">
        <v>163</v>
      </c>
      <c r="K668" s="378" t="s">
        <v>283</v>
      </c>
      <c r="L668" s="20" t="s">
        <v>165</v>
      </c>
      <c r="M668" s="380">
        <v>2400</v>
      </c>
      <c r="N668" s="380"/>
      <c r="O668" s="380"/>
      <c r="P668" s="380"/>
      <c r="Q668" s="381">
        <v>335.12</v>
      </c>
      <c r="R668" s="381">
        <v>335.12</v>
      </c>
      <c r="S668" s="381">
        <v>-5.1900000000000002E-3</v>
      </c>
      <c r="T668" s="381"/>
      <c r="U668" s="381"/>
      <c r="V668" s="382">
        <v>335.12</v>
      </c>
      <c r="W668" s="382">
        <v>0</v>
      </c>
      <c r="X668" s="381">
        <v>0.13963333333333333</v>
      </c>
      <c r="Y668" s="381">
        <v>0.13963333333333333</v>
      </c>
      <c r="Z668" s="381">
        <v>-2.1625E-6</v>
      </c>
      <c r="AA668" s="381">
        <v>0</v>
      </c>
      <c r="AB668" s="381">
        <v>0</v>
      </c>
      <c r="AC668" s="382">
        <v>0.13963333333333333</v>
      </c>
      <c r="AD668" s="382">
        <v>0</v>
      </c>
      <c r="AE668" s="381" t="s">
        <v>168</v>
      </c>
    </row>
    <row r="669" spans="1:31" ht="15" customHeight="1" x14ac:dyDescent="0.25">
      <c r="A669" s="20" t="s">
        <v>156</v>
      </c>
      <c r="B669" s="20" t="s">
        <v>939</v>
      </c>
      <c r="C669" s="20" t="s">
        <v>940</v>
      </c>
      <c r="D669" s="378" t="s">
        <v>1117</v>
      </c>
      <c r="E669" s="379">
        <v>45016</v>
      </c>
      <c r="F669" s="379">
        <v>46843</v>
      </c>
      <c r="G669" s="378" t="s">
        <v>281</v>
      </c>
      <c r="H669" s="20" t="s">
        <v>282</v>
      </c>
      <c r="I669" s="20" t="s">
        <v>162</v>
      </c>
      <c r="J669" s="20" t="s">
        <v>163</v>
      </c>
      <c r="K669" s="378" t="s">
        <v>283</v>
      </c>
      <c r="L669" s="20" t="s">
        <v>165</v>
      </c>
      <c r="M669" s="380">
        <v>2400</v>
      </c>
      <c r="N669" s="380"/>
      <c r="O669" s="380"/>
      <c r="P669" s="380"/>
      <c r="Q669" s="381">
        <v>295.48</v>
      </c>
      <c r="R669" s="381">
        <v>295.48</v>
      </c>
      <c r="S669" s="381">
        <v>-2.8600000000000001E-3</v>
      </c>
      <c r="T669" s="381"/>
      <c r="U669" s="381"/>
      <c r="V669" s="382">
        <v>295.48</v>
      </c>
      <c r="W669" s="382">
        <v>0</v>
      </c>
      <c r="X669" s="381">
        <v>0.12311666666666668</v>
      </c>
      <c r="Y669" s="381">
        <v>0.12311666666666668</v>
      </c>
      <c r="Z669" s="381">
        <v>-1.1916666666666668E-6</v>
      </c>
      <c r="AA669" s="381">
        <v>0</v>
      </c>
      <c r="AB669" s="381">
        <v>0</v>
      </c>
      <c r="AC669" s="382">
        <v>0.12311666666666668</v>
      </c>
      <c r="AD669" s="382">
        <v>0</v>
      </c>
      <c r="AE669" s="381" t="s">
        <v>168</v>
      </c>
    </row>
    <row r="670" spans="1:31" ht="15" customHeight="1" x14ac:dyDescent="0.25">
      <c r="A670" s="20" t="s">
        <v>156</v>
      </c>
      <c r="B670" s="20" t="s">
        <v>939</v>
      </c>
      <c r="C670" s="20" t="s">
        <v>940</v>
      </c>
      <c r="D670" s="378" t="s">
        <v>1118</v>
      </c>
      <c r="E670" s="379">
        <v>45016</v>
      </c>
      <c r="F670" s="379">
        <v>46843</v>
      </c>
      <c r="G670" s="378" t="s">
        <v>281</v>
      </c>
      <c r="H670" s="20" t="s">
        <v>282</v>
      </c>
      <c r="I670" s="20" t="s">
        <v>162</v>
      </c>
      <c r="J670" s="20" t="s">
        <v>163</v>
      </c>
      <c r="K670" s="378" t="s">
        <v>283</v>
      </c>
      <c r="L670" s="20" t="s">
        <v>165</v>
      </c>
      <c r="M670" s="380">
        <v>2400</v>
      </c>
      <c r="N670" s="380"/>
      <c r="O670" s="380"/>
      <c r="P670" s="380"/>
      <c r="Q670" s="381">
        <v>358.56</v>
      </c>
      <c r="R670" s="381">
        <v>358.56</v>
      </c>
      <c r="S670" s="381">
        <v>-6.7999999999999996E-3</v>
      </c>
      <c r="T670" s="381"/>
      <c r="U670" s="381"/>
      <c r="V670" s="382">
        <v>358.56</v>
      </c>
      <c r="W670" s="382">
        <v>0</v>
      </c>
      <c r="X670" s="381">
        <v>0.14940000000000001</v>
      </c>
      <c r="Y670" s="381">
        <v>0.14940000000000001</v>
      </c>
      <c r="Z670" s="381">
        <v>-2.833333333333333E-6</v>
      </c>
      <c r="AA670" s="381">
        <v>0</v>
      </c>
      <c r="AB670" s="381">
        <v>0</v>
      </c>
      <c r="AC670" s="382">
        <v>0.14940000000000001</v>
      </c>
      <c r="AD670" s="382">
        <v>0</v>
      </c>
      <c r="AE670" s="381" t="s">
        <v>168</v>
      </c>
    </row>
    <row r="671" spans="1:31" ht="15" customHeight="1" x14ac:dyDescent="0.25">
      <c r="A671" s="20" t="s">
        <v>156</v>
      </c>
      <c r="B671" s="20" t="s">
        <v>939</v>
      </c>
      <c r="C671" s="20" t="s">
        <v>940</v>
      </c>
      <c r="D671" s="378" t="s">
        <v>1119</v>
      </c>
      <c r="E671" s="379">
        <v>45016</v>
      </c>
      <c r="F671" s="379">
        <v>46843</v>
      </c>
      <c r="G671" s="378" t="s">
        <v>281</v>
      </c>
      <c r="H671" s="20" t="s">
        <v>282</v>
      </c>
      <c r="I671" s="20" t="s">
        <v>162</v>
      </c>
      <c r="J671" s="20" t="s">
        <v>163</v>
      </c>
      <c r="K671" s="378" t="s">
        <v>283</v>
      </c>
      <c r="L671" s="20" t="s">
        <v>165</v>
      </c>
      <c r="M671" s="380">
        <v>2400</v>
      </c>
      <c r="N671" s="380"/>
      <c r="O671" s="380"/>
      <c r="P671" s="380"/>
      <c r="Q671" s="381">
        <v>307.26</v>
      </c>
      <c r="R671" s="381">
        <v>307.26</v>
      </c>
      <c r="S671" s="381">
        <v>-1.9300000000000001E-3</v>
      </c>
      <c r="T671" s="381"/>
      <c r="U671" s="381"/>
      <c r="V671" s="382">
        <v>307.26</v>
      </c>
      <c r="W671" s="382">
        <v>0</v>
      </c>
      <c r="X671" s="381">
        <v>0.128025</v>
      </c>
      <c r="Y671" s="381">
        <v>0.128025</v>
      </c>
      <c r="Z671" s="381">
        <v>-8.0416666666666666E-7</v>
      </c>
      <c r="AA671" s="381">
        <v>0</v>
      </c>
      <c r="AB671" s="381">
        <v>0</v>
      </c>
      <c r="AC671" s="382">
        <v>0.128025</v>
      </c>
      <c r="AD671" s="382">
        <v>0</v>
      </c>
      <c r="AE671" s="381" t="s">
        <v>168</v>
      </c>
    </row>
    <row r="672" spans="1:31" ht="15" customHeight="1" x14ac:dyDescent="0.25">
      <c r="A672" s="20" t="s">
        <v>156</v>
      </c>
      <c r="B672" s="20" t="s">
        <v>939</v>
      </c>
      <c r="C672" s="20" t="s">
        <v>940</v>
      </c>
      <c r="D672" s="378" t="s">
        <v>1120</v>
      </c>
      <c r="E672" s="379">
        <v>45016</v>
      </c>
      <c r="F672" s="379">
        <v>46843</v>
      </c>
      <c r="G672" s="378" t="s">
        <v>281</v>
      </c>
      <c r="H672" s="20" t="s">
        <v>282</v>
      </c>
      <c r="I672" s="20" t="s">
        <v>162</v>
      </c>
      <c r="J672" s="20" t="s">
        <v>163</v>
      </c>
      <c r="K672" s="378" t="s">
        <v>283</v>
      </c>
      <c r="L672" s="20" t="s">
        <v>165</v>
      </c>
      <c r="M672" s="380">
        <v>2400</v>
      </c>
      <c r="N672" s="380"/>
      <c r="O672" s="380"/>
      <c r="P672" s="380"/>
      <c r="Q672" s="381">
        <v>347.94</v>
      </c>
      <c r="R672" s="381">
        <v>347.94</v>
      </c>
      <c r="S672" s="381">
        <v>-6.3099999999999996E-3</v>
      </c>
      <c r="T672" s="381"/>
      <c r="U672" s="381"/>
      <c r="V672" s="382">
        <v>347.94</v>
      </c>
      <c r="W672" s="382">
        <v>0</v>
      </c>
      <c r="X672" s="381">
        <v>0.14497499999999999</v>
      </c>
      <c r="Y672" s="381">
        <v>0.14497499999999999</v>
      </c>
      <c r="Z672" s="381">
        <v>-2.6291666666666663E-6</v>
      </c>
      <c r="AA672" s="381">
        <v>0</v>
      </c>
      <c r="AB672" s="381">
        <v>0</v>
      </c>
      <c r="AC672" s="382">
        <v>0.14497499999999999</v>
      </c>
      <c r="AD672" s="382">
        <v>0</v>
      </c>
      <c r="AE672" s="381" t="s">
        <v>168</v>
      </c>
    </row>
    <row r="673" spans="1:31" ht="15" customHeight="1" x14ac:dyDescent="0.25">
      <c r="A673" s="20" t="s">
        <v>156</v>
      </c>
      <c r="B673" s="20" t="s">
        <v>939</v>
      </c>
      <c r="C673" s="20" t="s">
        <v>940</v>
      </c>
      <c r="D673" s="378" t="s">
        <v>1121</v>
      </c>
      <c r="E673" s="379">
        <v>44788</v>
      </c>
      <c r="F673" s="379">
        <v>46113</v>
      </c>
      <c r="G673" s="378" t="s">
        <v>320</v>
      </c>
      <c r="H673" s="20" t="s">
        <v>352</v>
      </c>
      <c r="I673" s="20" t="s">
        <v>353</v>
      </c>
      <c r="J673" s="20" t="s">
        <v>163</v>
      </c>
      <c r="K673" s="378" t="s">
        <v>354</v>
      </c>
      <c r="L673" s="20" t="s">
        <v>165</v>
      </c>
      <c r="M673" s="380">
        <v>2400</v>
      </c>
      <c r="N673" s="380"/>
      <c r="O673" s="380"/>
      <c r="P673" s="380"/>
      <c r="Q673" s="381">
        <v>314</v>
      </c>
      <c r="R673" s="381"/>
      <c r="S673" s="381"/>
      <c r="T673" s="381"/>
      <c r="U673" s="381"/>
      <c r="V673" s="382">
        <v>314</v>
      </c>
      <c r="W673" s="382">
        <v>0</v>
      </c>
      <c r="X673" s="381">
        <v>0.13083333333333333</v>
      </c>
      <c r="Y673" s="381">
        <v>0</v>
      </c>
      <c r="Z673" s="381">
        <v>0</v>
      </c>
      <c r="AA673" s="381">
        <v>0</v>
      </c>
      <c r="AB673" s="381">
        <v>0</v>
      </c>
      <c r="AC673" s="382">
        <v>0.13083333333333333</v>
      </c>
      <c r="AD673" s="382">
        <v>0</v>
      </c>
      <c r="AE673" s="381" t="s">
        <v>168</v>
      </c>
    </row>
    <row r="674" spans="1:31" ht="15" customHeight="1" x14ac:dyDescent="0.25">
      <c r="A674" s="20" t="s">
        <v>156</v>
      </c>
      <c r="B674" s="20" t="s">
        <v>939</v>
      </c>
      <c r="C674" s="20" t="s">
        <v>940</v>
      </c>
      <c r="D674" s="378" t="s">
        <v>1122</v>
      </c>
      <c r="E674" s="379">
        <v>44788</v>
      </c>
      <c r="F674" s="379">
        <v>46113</v>
      </c>
      <c r="G674" s="378" t="s">
        <v>320</v>
      </c>
      <c r="H674" s="20" t="s">
        <v>352</v>
      </c>
      <c r="I674" s="20" t="s">
        <v>353</v>
      </c>
      <c r="J674" s="20" t="s">
        <v>163</v>
      </c>
      <c r="K674" s="378" t="s">
        <v>354</v>
      </c>
      <c r="L674" s="20" t="s">
        <v>165</v>
      </c>
      <c r="M674" s="380">
        <v>2400</v>
      </c>
      <c r="N674" s="380"/>
      <c r="O674" s="380"/>
      <c r="P674" s="380"/>
      <c r="Q674" s="381">
        <v>262</v>
      </c>
      <c r="R674" s="381"/>
      <c r="S674" s="381"/>
      <c r="T674" s="381"/>
      <c r="U674" s="381"/>
      <c r="V674" s="382">
        <v>262</v>
      </c>
      <c r="W674" s="382">
        <v>0</v>
      </c>
      <c r="X674" s="381">
        <v>0.10916666666666666</v>
      </c>
      <c r="Y674" s="381">
        <v>0</v>
      </c>
      <c r="Z674" s="381">
        <v>0</v>
      </c>
      <c r="AA674" s="381">
        <v>0</v>
      </c>
      <c r="AB674" s="381">
        <v>0</v>
      </c>
      <c r="AC674" s="382">
        <v>0.10916666666666666</v>
      </c>
      <c r="AD674" s="382">
        <v>0</v>
      </c>
      <c r="AE674" s="381" t="s">
        <v>168</v>
      </c>
    </row>
    <row r="675" spans="1:31" ht="15" customHeight="1" x14ac:dyDescent="0.25">
      <c r="A675" s="20" t="s">
        <v>156</v>
      </c>
      <c r="B675" s="20" t="s">
        <v>939</v>
      </c>
      <c r="C675" s="20" t="s">
        <v>940</v>
      </c>
      <c r="D675" s="378" t="s">
        <v>1123</v>
      </c>
      <c r="E675" s="379">
        <v>44788</v>
      </c>
      <c r="F675" s="379">
        <v>46113</v>
      </c>
      <c r="G675" s="378" t="s">
        <v>320</v>
      </c>
      <c r="H675" s="20" t="s">
        <v>352</v>
      </c>
      <c r="I675" s="20" t="s">
        <v>353</v>
      </c>
      <c r="J675" s="20" t="s">
        <v>163</v>
      </c>
      <c r="K675" s="378" t="s">
        <v>354</v>
      </c>
      <c r="L675" s="20" t="s">
        <v>165</v>
      </c>
      <c r="M675" s="380">
        <v>2400</v>
      </c>
      <c r="N675" s="380"/>
      <c r="O675" s="380"/>
      <c r="P675" s="380"/>
      <c r="Q675" s="381">
        <v>224</v>
      </c>
      <c r="R675" s="381"/>
      <c r="S675" s="381"/>
      <c r="T675" s="381"/>
      <c r="U675" s="381"/>
      <c r="V675" s="382">
        <v>224</v>
      </c>
      <c r="W675" s="382">
        <v>0</v>
      </c>
      <c r="X675" s="381">
        <v>9.3333333333333338E-2</v>
      </c>
      <c r="Y675" s="381">
        <v>0</v>
      </c>
      <c r="Z675" s="381">
        <v>0</v>
      </c>
      <c r="AA675" s="381">
        <v>0</v>
      </c>
      <c r="AB675" s="381">
        <v>0</v>
      </c>
      <c r="AC675" s="382">
        <v>9.3333333333333338E-2</v>
      </c>
      <c r="AD675" s="382">
        <v>0</v>
      </c>
      <c r="AE675" s="381" t="s">
        <v>168</v>
      </c>
    </row>
    <row r="676" spans="1:31" ht="15" customHeight="1" x14ac:dyDescent="0.25">
      <c r="A676" s="20" t="s">
        <v>156</v>
      </c>
      <c r="B676" s="20" t="s">
        <v>939</v>
      </c>
      <c r="C676" s="20" t="s">
        <v>940</v>
      </c>
      <c r="D676" s="378" t="s">
        <v>1124</v>
      </c>
      <c r="E676" s="379">
        <v>44788</v>
      </c>
      <c r="F676" s="379">
        <v>46113</v>
      </c>
      <c r="G676" s="378" t="s">
        <v>320</v>
      </c>
      <c r="H676" s="20" t="s">
        <v>352</v>
      </c>
      <c r="I676" s="20" t="s">
        <v>353</v>
      </c>
      <c r="J676" s="20" t="s">
        <v>163</v>
      </c>
      <c r="K676" s="378" t="s">
        <v>354</v>
      </c>
      <c r="L676" s="20" t="s">
        <v>165</v>
      </c>
      <c r="M676" s="380">
        <v>2400</v>
      </c>
      <c r="N676" s="380"/>
      <c r="O676" s="380"/>
      <c r="P676" s="380"/>
      <c r="Q676" s="381">
        <v>262</v>
      </c>
      <c r="R676" s="381"/>
      <c r="S676" s="381"/>
      <c r="T676" s="381"/>
      <c r="U676" s="381"/>
      <c r="V676" s="382">
        <v>262</v>
      </c>
      <c r="W676" s="382">
        <v>0</v>
      </c>
      <c r="X676" s="381">
        <v>0.10916666666666666</v>
      </c>
      <c r="Y676" s="381">
        <v>0</v>
      </c>
      <c r="Z676" s="381">
        <v>0</v>
      </c>
      <c r="AA676" s="381">
        <v>0</v>
      </c>
      <c r="AB676" s="381">
        <v>0</v>
      </c>
      <c r="AC676" s="382">
        <v>0.10916666666666666</v>
      </c>
      <c r="AD676" s="382">
        <v>0</v>
      </c>
      <c r="AE676" s="381" t="s">
        <v>168</v>
      </c>
    </row>
    <row r="677" spans="1:31" ht="15" customHeight="1" x14ac:dyDescent="0.25">
      <c r="A677" s="20" t="s">
        <v>156</v>
      </c>
      <c r="B677" s="20" t="s">
        <v>939</v>
      </c>
      <c r="C677" s="20" t="s">
        <v>940</v>
      </c>
      <c r="D677" s="378" t="s">
        <v>1125</v>
      </c>
      <c r="E677" s="379">
        <v>44788</v>
      </c>
      <c r="F677" s="379">
        <v>46113</v>
      </c>
      <c r="G677" s="378" t="s">
        <v>320</v>
      </c>
      <c r="H677" s="20" t="s">
        <v>352</v>
      </c>
      <c r="I677" s="20" t="s">
        <v>353</v>
      </c>
      <c r="J677" s="20" t="s">
        <v>163</v>
      </c>
      <c r="K677" s="378" t="s">
        <v>354</v>
      </c>
      <c r="L677" s="20" t="s">
        <v>165</v>
      </c>
      <c r="M677" s="380">
        <v>2400</v>
      </c>
      <c r="N677" s="380"/>
      <c r="O677" s="380"/>
      <c r="P677" s="380"/>
      <c r="Q677" s="381">
        <v>240</v>
      </c>
      <c r="R677" s="381"/>
      <c r="S677" s="381"/>
      <c r="T677" s="381"/>
      <c r="U677" s="381"/>
      <c r="V677" s="382">
        <v>240</v>
      </c>
      <c r="W677" s="382">
        <v>0</v>
      </c>
      <c r="X677" s="381">
        <v>0.1</v>
      </c>
      <c r="Y677" s="381">
        <v>0</v>
      </c>
      <c r="Z677" s="381">
        <v>0</v>
      </c>
      <c r="AA677" s="381">
        <v>0</v>
      </c>
      <c r="AB677" s="381">
        <v>0</v>
      </c>
      <c r="AC677" s="382">
        <v>0.1</v>
      </c>
      <c r="AD677" s="382">
        <v>0</v>
      </c>
      <c r="AE677" s="381" t="s">
        <v>168</v>
      </c>
    </row>
    <row r="678" spans="1:31" ht="15" customHeight="1" x14ac:dyDescent="0.25">
      <c r="A678" s="20" t="s">
        <v>156</v>
      </c>
      <c r="B678" s="20" t="s">
        <v>939</v>
      </c>
      <c r="C678" s="20" t="s">
        <v>940</v>
      </c>
      <c r="D678" s="378" t="s">
        <v>1126</v>
      </c>
      <c r="E678" s="379">
        <v>44788</v>
      </c>
      <c r="F678" s="379">
        <v>46113</v>
      </c>
      <c r="G678" s="378" t="s">
        <v>320</v>
      </c>
      <c r="H678" s="20" t="s">
        <v>352</v>
      </c>
      <c r="I678" s="20" t="s">
        <v>353</v>
      </c>
      <c r="J678" s="20" t="s">
        <v>163</v>
      </c>
      <c r="K678" s="378" t="s">
        <v>354</v>
      </c>
      <c r="L678" s="20" t="s">
        <v>165</v>
      </c>
      <c r="M678" s="380">
        <v>2400</v>
      </c>
      <c r="N678" s="380"/>
      <c r="O678" s="380"/>
      <c r="P678" s="380"/>
      <c r="Q678" s="381">
        <v>228</v>
      </c>
      <c r="R678" s="381"/>
      <c r="S678" s="381"/>
      <c r="T678" s="381"/>
      <c r="U678" s="381"/>
      <c r="V678" s="382">
        <v>228</v>
      </c>
      <c r="W678" s="382">
        <v>0</v>
      </c>
      <c r="X678" s="381">
        <v>9.5000000000000001E-2</v>
      </c>
      <c r="Y678" s="381">
        <v>0</v>
      </c>
      <c r="Z678" s="381">
        <v>0</v>
      </c>
      <c r="AA678" s="381">
        <v>0</v>
      </c>
      <c r="AB678" s="381">
        <v>0</v>
      </c>
      <c r="AC678" s="382">
        <v>9.5000000000000001E-2</v>
      </c>
      <c r="AD678" s="382">
        <v>0</v>
      </c>
      <c r="AE678" s="381" t="s">
        <v>168</v>
      </c>
    </row>
    <row r="679" spans="1:31" ht="15" customHeight="1" x14ac:dyDescent="0.25">
      <c r="A679" s="20" t="s">
        <v>156</v>
      </c>
      <c r="B679" s="20" t="s">
        <v>939</v>
      </c>
      <c r="C679" s="20" t="s">
        <v>940</v>
      </c>
      <c r="D679" s="378" t="s">
        <v>1127</v>
      </c>
      <c r="E679" s="379">
        <v>44788</v>
      </c>
      <c r="F679" s="379">
        <v>46113</v>
      </c>
      <c r="G679" s="378" t="s">
        <v>320</v>
      </c>
      <c r="H679" s="20" t="s">
        <v>352</v>
      </c>
      <c r="I679" s="20" t="s">
        <v>353</v>
      </c>
      <c r="J679" s="20" t="s">
        <v>163</v>
      </c>
      <c r="K679" s="378" t="s">
        <v>354</v>
      </c>
      <c r="L679" s="20" t="s">
        <v>165</v>
      </c>
      <c r="M679" s="380">
        <v>2400</v>
      </c>
      <c r="N679" s="380"/>
      <c r="O679" s="380"/>
      <c r="P679" s="380"/>
      <c r="Q679" s="381">
        <v>197</v>
      </c>
      <c r="R679" s="381"/>
      <c r="S679" s="381"/>
      <c r="T679" s="381"/>
      <c r="U679" s="381"/>
      <c r="V679" s="382">
        <v>197</v>
      </c>
      <c r="W679" s="382">
        <v>0</v>
      </c>
      <c r="X679" s="381">
        <v>8.2083333333333328E-2</v>
      </c>
      <c r="Y679" s="381">
        <v>0</v>
      </c>
      <c r="Z679" s="381">
        <v>0</v>
      </c>
      <c r="AA679" s="381">
        <v>0</v>
      </c>
      <c r="AB679" s="381">
        <v>0</v>
      </c>
      <c r="AC679" s="382">
        <v>8.2083333333333328E-2</v>
      </c>
      <c r="AD679" s="382">
        <v>0</v>
      </c>
      <c r="AE679" s="381" t="s">
        <v>168</v>
      </c>
    </row>
    <row r="680" spans="1:31" ht="15" customHeight="1" x14ac:dyDescent="0.25">
      <c r="A680" s="20" t="s">
        <v>156</v>
      </c>
      <c r="B680" s="20" t="s">
        <v>939</v>
      </c>
      <c r="C680" s="20" t="s">
        <v>940</v>
      </c>
      <c r="D680" s="378" t="s">
        <v>1128</v>
      </c>
      <c r="E680" s="379">
        <v>44788</v>
      </c>
      <c r="F680" s="379">
        <v>46113</v>
      </c>
      <c r="G680" s="378" t="s">
        <v>320</v>
      </c>
      <c r="H680" s="20" t="s">
        <v>352</v>
      </c>
      <c r="I680" s="20" t="s">
        <v>353</v>
      </c>
      <c r="J680" s="20" t="s">
        <v>163</v>
      </c>
      <c r="K680" s="378" t="s">
        <v>354</v>
      </c>
      <c r="L680" s="20" t="s">
        <v>165</v>
      </c>
      <c r="M680" s="380">
        <v>2400</v>
      </c>
      <c r="N680" s="380"/>
      <c r="O680" s="380"/>
      <c r="P680" s="380"/>
      <c r="Q680" s="381">
        <v>295</v>
      </c>
      <c r="R680" s="381"/>
      <c r="S680" s="381"/>
      <c r="T680" s="381"/>
      <c r="U680" s="381"/>
      <c r="V680" s="382">
        <v>295</v>
      </c>
      <c r="W680" s="382">
        <v>0</v>
      </c>
      <c r="X680" s="381">
        <v>0.12291666666666666</v>
      </c>
      <c r="Y680" s="381">
        <v>0</v>
      </c>
      <c r="Z680" s="381">
        <v>0</v>
      </c>
      <c r="AA680" s="381">
        <v>0</v>
      </c>
      <c r="AB680" s="381">
        <v>0</v>
      </c>
      <c r="AC680" s="382">
        <v>0.12291666666666666</v>
      </c>
      <c r="AD680" s="382">
        <v>0</v>
      </c>
      <c r="AE680" s="381" t="s">
        <v>168</v>
      </c>
    </row>
    <row r="681" spans="1:31" ht="15" customHeight="1" x14ac:dyDescent="0.25">
      <c r="A681" s="20" t="s">
        <v>156</v>
      </c>
      <c r="B681" s="20" t="s">
        <v>939</v>
      </c>
      <c r="C681" s="20" t="s">
        <v>940</v>
      </c>
      <c r="D681" s="378" t="s">
        <v>1129</v>
      </c>
      <c r="E681" s="379">
        <v>44788</v>
      </c>
      <c r="F681" s="379">
        <v>46113</v>
      </c>
      <c r="G681" s="378" t="s">
        <v>362</v>
      </c>
      <c r="H681" s="20" t="s">
        <v>352</v>
      </c>
      <c r="I681" s="20" t="s">
        <v>353</v>
      </c>
      <c r="J681" s="20" t="s">
        <v>163</v>
      </c>
      <c r="K681" s="378" t="s">
        <v>354</v>
      </c>
      <c r="L681" s="20" t="s">
        <v>165</v>
      </c>
      <c r="M681" s="380">
        <v>2400</v>
      </c>
      <c r="N681" s="380"/>
      <c r="O681" s="380"/>
      <c r="P681" s="380"/>
      <c r="Q681" s="381">
        <v>306</v>
      </c>
      <c r="R681" s="381"/>
      <c r="S681" s="381"/>
      <c r="T681" s="381"/>
      <c r="U681" s="381"/>
      <c r="V681" s="382">
        <v>306</v>
      </c>
      <c r="W681" s="382">
        <v>0</v>
      </c>
      <c r="X681" s="381">
        <v>0.1275</v>
      </c>
      <c r="Y681" s="381">
        <v>0</v>
      </c>
      <c r="Z681" s="381">
        <v>0</v>
      </c>
      <c r="AA681" s="381">
        <v>0</v>
      </c>
      <c r="AB681" s="381">
        <v>0</v>
      </c>
      <c r="AC681" s="382">
        <v>0.1275</v>
      </c>
      <c r="AD681" s="382">
        <v>0</v>
      </c>
      <c r="AE681" s="381" t="s">
        <v>168</v>
      </c>
    </row>
    <row r="682" spans="1:31" ht="15" customHeight="1" x14ac:dyDescent="0.25">
      <c r="A682" s="20" t="s">
        <v>156</v>
      </c>
      <c r="B682" s="20" t="s">
        <v>939</v>
      </c>
      <c r="C682" s="20" t="s">
        <v>940</v>
      </c>
      <c r="D682" s="378" t="s">
        <v>1130</v>
      </c>
      <c r="E682" s="379">
        <v>44788</v>
      </c>
      <c r="F682" s="379">
        <v>46113</v>
      </c>
      <c r="G682" s="378" t="s">
        <v>362</v>
      </c>
      <c r="H682" s="20" t="s">
        <v>352</v>
      </c>
      <c r="I682" s="20" t="s">
        <v>353</v>
      </c>
      <c r="J682" s="20" t="s">
        <v>163</v>
      </c>
      <c r="K682" s="378" t="s">
        <v>354</v>
      </c>
      <c r="L682" s="20" t="s">
        <v>165</v>
      </c>
      <c r="M682" s="380">
        <v>2400</v>
      </c>
      <c r="N682" s="380"/>
      <c r="O682" s="380"/>
      <c r="P682" s="380"/>
      <c r="Q682" s="381">
        <v>250</v>
      </c>
      <c r="R682" s="381"/>
      <c r="S682" s="381"/>
      <c r="T682" s="381"/>
      <c r="U682" s="381"/>
      <c r="V682" s="382">
        <v>250</v>
      </c>
      <c r="W682" s="382">
        <v>0</v>
      </c>
      <c r="X682" s="381">
        <v>0.10416666666666667</v>
      </c>
      <c r="Y682" s="381">
        <v>0</v>
      </c>
      <c r="Z682" s="381">
        <v>0</v>
      </c>
      <c r="AA682" s="381">
        <v>0</v>
      </c>
      <c r="AB682" s="381">
        <v>0</v>
      </c>
      <c r="AC682" s="382">
        <v>0.10416666666666667</v>
      </c>
      <c r="AD682" s="382">
        <v>0</v>
      </c>
      <c r="AE682" s="381" t="s">
        <v>168</v>
      </c>
    </row>
    <row r="683" spans="1:31" ht="15" customHeight="1" x14ac:dyDescent="0.25">
      <c r="A683" s="20" t="s">
        <v>156</v>
      </c>
      <c r="B683" s="20" t="s">
        <v>939</v>
      </c>
      <c r="C683" s="20" t="s">
        <v>940</v>
      </c>
      <c r="D683" s="378" t="s">
        <v>1131</v>
      </c>
      <c r="E683" s="379">
        <v>44788</v>
      </c>
      <c r="F683" s="379">
        <v>46113</v>
      </c>
      <c r="G683" s="378" t="s">
        <v>362</v>
      </c>
      <c r="H683" s="20" t="s">
        <v>352</v>
      </c>
      <c r="I683" s="20" t="s">
        <v>353</v>
      </c>
      <c r="J683" s="20" t="s">
        <v>163</v>
      </c>
      <c r="K683" s="378" t="s">
        <v>354</v>
      </c>
      <c r="L683" s="20" t="s">
        <v>165</v>
      </c>
      <c r="M683" s="380">
        <v>2400</v>
      </c>
      <c r="N683" s="380"/>
      <c r="O683" s="380"/>
      <c r="P683" s="380"/>
      <c r="Q683" s="381">
        <v>250</v>
      </c>
      <c r="R683" s="381"/>
      <c r="S683" s="381"/>
      <c r="T683" s="381"/>
      <c r="U683" s="381"/>
      <c r="V683" s="382">
        <v>250</v>
      </c>
      <c r="W683" s="382">
        <v>0</v>
      </c>
      <c r="X683" s="381">
        <v>0.10416666666666667</v>
      </c>
      <c r="Y683" s="381">
        <v>0</v>
      </c>
      <c r="Z683" s="381">
        <v>0</v>
      </c>
      <c r="AA683" s="381">
        <v>0</v>
      </c>
      <c r="AB683" s="381">
        <v>0</v>
      </c>
      <c r="AC683" s="382">
        <v>0.10416666666666667</v>
      </c>
      <c r="AD683" s="382">
        <v>0</v>
      </c>
      <c r="AE683" s="381" t="s">
        <v>168</v>
      </c>
    </row>
    <row r="684" spans="1:31" ht="15" customHeight="1" x14ac:dyDescent="0.25">
      <c r="A684" s="20" t="s">
        <v>156</v>
      </c>
      <c r="B684" s="20" t="s">
        <v>939</v>
      </c>
      <c r="C684" s="20" t="s">
        <v>940</v>
      </c>
      <c r="D684" s="378" t="s">
        <v>1132</v>
      </c>
      <c r="E684" s="379">
        <v>44788</v>
      </c>
      <c r="F684" s="379">
        <v>46113</v>
      </c>
      <c r="G684" s="378" t="s">
        <v>362</v>
      </c>
      <c r="H684" s="20" t="s">
        <v>352</v>
      </c>
      <c r="I684" s="20" t="s">
        <v>353</v>
      </c>
      <c r="J684" s="20" t="s">
        <v>163</v>
      </c>
      <c r="K684" s="378" t="s">
        <v>354</v>
      </c>
      <c r="L684" s="20" t="s">
        <v>165</v>
      </c>
      <c r="M684" s="380">
        <v>2400</v>
      </c>
      <c r="N684" s="380"/>
      <c r="O684" s="380"/>
      <c r="P684" s="380"/>
      <c r="Q684" s="381">
        <v>232</v>
      </c>
      <c r="R684" s="381"/>
      <c r="S684" s="381"/>
      <c r="T684" s="381"/>
      <c r="U684" s="381"/>
      <c r="V684" s="382">
        <v>232</v>
      </c>
      <c r="W684" s="382">
        <v>0</v>
      </c>
      <c r="X684" s="381">
        <v>9.6666666666666665E-2</v>
      </c>
      <c r="Y684" s="381">
        <v>0</v>
      </c>
      <c r="Z684" s="381">
        <v>0</v>
      </c>
      <c r="AA684" s="381">
        <v>0</v>
      </c>
      <c r="AB684" s="381">
        <v>0</v>
      </c>
      <c r="AC684" s="382">
        <v>9.6666666666666665E-2</v>
      </c>
      <c r="AD684" s="382">
        <v>0</v>
      </c>
      <c r="AE684" s="381" t="s">
        <v>168</v>
      </c>
    </row>
    <row r="685" spans="1:31" ht="15" customHeight="1" x14ac:dyDescent="0.25">
      <c r="A685" s="20" t="s">
        <v>156</v>
      </c>
      <c r="B685" s="20" t="s">
        <v>939</v>
      </c>
      <c r="C685" s="20" t="s">
        <v>940</v>
      </c>
      <c r="D685" s="378" t="s">
        <v>1133</v>
      </c>
      <c r="E685" s="379">
        <v>44788</v>
      </c>
      <c r="F685" s="379">
        <v>46113</v>
      </c>
      <c r="G685" s="378" t="s">
        <v>362</v>
      </c>
      <c r="H685" s="20" t="s">
        <v>352</v>
      </c>
      <c r="I685" s="20" t="s">
        <v>353</v>
      </c>
      <c r="J685" s="20" t="s">
        <v>163</v>
      </c>
      <c r="K685" s="378" t="s">
        <v>354</v>
      </c>
      <c r="L685" s="20" t="s">
        <v>165</v>
      </c>
      <c r="M685" s="380">
        <v>2400</v>
      </c>
      <c r="N685" s="380"/>
      <c r="O685" s="380"/>
      <c r="P685" s="380"/>
      <c r="Q685" s="381">
        <v>220</v>
      </c>
      <c r="R685" s="381"/>
      <c r="S685" s="381"/>
      <c r="T685" s="381"/>
      <c r="U685" s="381"/>
      <c r="V685" s="382">
        <v>220</v>
      </c>
      <c r="W685" s="382">
        <v>0</v>
      </c>
      <c r="X685" s="381">
        <v>9.166666666666666E-2</v>
      </c>
      <c r="Y685" s="381">
        <v>0</v>
      </c>
      <c r="Z685" s="381">
        <v>0</v>
      </c>
      <c r="AA685" s="381">
        <v>0</v>
      </c>
      <c r="AB685" s="381">
        <v>0</v>
      </c>
      <c r="AC685" s="382">
        <v>9.166666666666666E-2</v>
      </c>
      <c r="AD685" s="382">
        <v>0</v>
      </c>
      <c r="AE685" s="381" t="s">
        <v>168</v>
      </c>
    </row>
    <row r="686" spans="1:31" ht="15" customHeight="1" x14ac:dyDescent="0.25">
      <c r="A686" s="20" t="s">
        <v>156</v>
      </c>
      <c r="B686" s="20" t="s">
        <v>939</v>
      </c>
      <c r="C686" s="20" t="s">
        <v>940</v>
      </c>
      <c r="D686" s="378" t="s">
        <v>1134</v>
      </c>
      <c r="E686" s="379">
        <v>44788</v>
      </c>
      <c r="F686" s="379">
        <v>46113</v>
      </c>
      <c r="G686" s="378" t="s">
        <v>362</v>
      </c>
      <c r="H686" s="20" t="s">
        <v>352</v>
      </c>
      <c r="I686" s="20" t="s">
        <v>353</v>
      </c>
      <c r="J686" s="20" t="s">
        <v>163</v>
      </c>
      <c r="K686" s="378" t="s">
        <v>354</v>
      </c>
      <c r="L686" s="20" t="s">
        <v>165</v>
      </c>
      <c r="M686" s="380">
        <v>2400</v>
      </c>
      <c r="N686" s="380"/>
      <c r="O686" s="380"/>
      <c r="P686" s="380"/>
      <c r="Q686" s="381">
        <v>198</v>
      </c>
      <c r="R686" s="381"/>
      <c r="S686" s="381"/>
      <c r="T686" s="381"/>
      <c r="U686" s="381"/>
      <c r="V686" s="382">
        <v>198</v>
      </c>
      <c r="W686" s="382">
        <v>0</v>
      </c>
      <c r="X686" s="381">
        <v>8.2500000000000004E-2</v>
      </c>
      <c r="Y686" s="381">
        <v>0</v>
      </c>
      <c r="Z686" s="381">
        <v>0</v>
      </c>
      <c r="AA686" s="381">
        <v>0</v>
      </c>
      <c r="AB686" s="381">
        <v>0</v>
      </c>
      <c r="AC686" s="382">
        <v>8.2500000000000004E-2</v>
      </c>
      <c r="AD686" s="382">
        <v>0</v>
      </c>
      <c r="AE686" s="381" t="s">
        <v>168</v>
      </c>
    </row>
    <row r="687" spans="1:31" ht="15" customHeight="1" x14ac:dyDescent="0.25">
      <c r="A687" s="20" t="s">
        <v>156</v>
      </c>
      <c r="B687" s="20" t="s">
        <v>939</v>
      </c>
      <c r="C687" s="20" t="s">
        <v>940</v>
      </c>
      <c r="D687" s="378" t="s">
        <v>1135</v>
      </c>
      <c r="E687" s="379">
        <v>44788</v>
      </c>
      <c r="F687" s="379">
        <v>46113</v>
      </c>
      <c r="G687" s="378" t="s">
        <v>362</v>
      </c>
      <c r="H687" s="20" t="s">
        <v>352</v>
      </c>
      <c r="I687" s="20" t="s">
        <v>353</v>
      </c>
      <c r="J687" s="20" t="s">
        <v>163</v>
      </c>
      <c r="K687" s="378" t="s">
        <v>354</v>
      </c>
      <c r="L687" s="20" t="s">
        <v>165</v>
      </c>
      <c r="M687" s="380">
        <v>2400</v>
      </c>
      <c r="N687" s="380"/>
      <c r="O687" s="380"/>
      <c r="P687" s="380"/>
      <c r="Q687" s="381">
        <v>218</v>
      </c>
      <c r="R687" s="381"/>
      <c r="S687" s="381"/>
      <c r="T687" s="381"/>
      <c r="U687" s="381"/>
      <c r="V687" s="382">
        <v>218</v>
      </c>
      <c r="W687" s="382">
        <v>0</v>
      </c>
      <c r="X687" s="381">
        <v>9.0833333333333335E-2</v>
      </c>
      <c r="Y687" s="381">
        <v>0</v>
      </c>
      <c r="Z687" s="381">
        <v>0</v>
      </c>
      <c r="AA687" s="381">
        <v>0</v>
      </c>
      <c r="AB687" s="381">
        <v>0</v>
      </c>
      <c r="AC687" s="382">
        <v>9.0833333333333335E-2</v>
      </c>
      <c r="AD687" s="382">
        <v>0</v>
      </c>
      <c r="AE687" s="381" t="s">
        <v>168</v>
      </c>
    </row>
    <row r="688" spans="1:31" ht="15" customHeight="1" x14ac:dyDescent="0.25">
      <c r="A688" s="20" t="s">
        <v>156</v>
      </c>
      <c r="B688" s="20" t="s">
        <v>939</v>
      </c>
      <c r="C688" s="20" t="s">
        <v>940</v>
      </c>
      <c r="D688" s="378" t="s">
        <v>1136</v>
      </c>
      <c r="E688" s="379">
        <v>44788</v>
      </c>
      <c r="F688" s="379">
        <v>46113</v>
      </c>
      <c r="G688" s="378" t="s">
        <v>362</v>
      </c>
      <c r="H688" s="20" t="s">
        <v>352</v>
      </c>
      <c r="I688" s="20" t="s">
        <v>353</v>
      </c>
      <c r="J688" s="20" t="s">
        <v>163</v>
      </c>
      <c r="K688" s="378" t="s">
        <v>354</v>
      </c>
      <c r="L688" s="20" t="s">
        <v>165</v>
      </c>
      <c r="M688" s="380">
        <v>2400</v>
      </c>
      <c r="N688" s="380"/>
      <c r="O688" s="380"/>
      <c r="P688" s="380"/>
      <c r="Q688" s="381">
        <v>287</v>
      </c>
      <c r="R688" s="381"/>
      <c r="S688" s="381"/>
      <c r="T688" s="381"/>
      <c r="U688" s="381"/>
      <c r="V688" s="382">
        <v>287</v>
      </c>
      <c r="W688" s="382">
        <v>0</v>
      </c>
      <c r="X688" s="381">
        <v>0.11958333333333333</v>
      </c>
      <c r="Y688" s="381">
        <v>0</v>
      </c>
      <c r="Z688" s="381">
        <v>0</v>
      </c>
      <c r="AA688" s="381">
        <v>0</v>
      </c>
      <c r="AB688" s="381">
        <v>0</v>
      </c>
      <c r="AC688" s="382">
        <v>0.11958333333333333</v>
      </c>
      <c r="AD688" s="382">
        <v>0</v>
      </c>
      <c r="AE688" s="381" t="s">
        <v>168</v>
      </c>
    </row>
    <row r="689" spans="1:31" ht="15" customHeight="1" x14ac:dyDescent="0.25">
      <c r="A689" s="20" t="s">
        <v>156</v>
      </c>
      <c r="B689" s="20" t="s">
        <v>939</v>
      </c>
      <c r="C689" s="20" t="s">
        <v>940</v>
      </c>
      <c r="D689" s="378" t="s">
        <v>1137</v>
      </c>
      <c r="E689" s="379">
        <v>44788</v>
      </c>
      <c r="F689" s="379">
        <v>46113</v>
      </c>
      <c r="G689" s="378" t="s">
        <v>219</v>
      </c>
      <c r="H689" s="20" t="s">
        <v>352</v>
      </c>
      <c r="I689" s="20" t="s">
        <v>353</v>
      </c>
      <c r="J689" s="20" t="s">
        <v>163</v>
      </c>
      <c r="K689" s="378" t="s">
        <v>354</v>
      </c>
      <c r="L689" s="20" t="s">
        <v>165</v>
      </c>
      <c r="M689" s="380">
        <v>2400</v>
      </c>
      <c r="N689" s="380"/>
      <c r="O689" s="380"/>
      <c r="P689" s="380"/>
      <c r="Q689" s="381">
        <v>314</v>
      </c>
      <c r="R689" s="381"/>
      <c r="S689" s="381"/>
      <c r="T689" s="381"/>
      <c r="U689" s="381"/>
      <c r="V689" s="382">
        <v>314</v>
      </c>
      <c r="W689" s="382">
        <v>0</v>
      </c>
      <c r="X689" s="381">
        <v>0.13083333333333333</v>
      </c>
      <c r="Y689" s="381">
        <v>0</v>
      </c>
      <c r="Z689" s="381">
        <v>0</v>
      </c>
      <c r="AA689" s="381">
        <v>0</v>
      </c>
      <c r="AB689" s="381">
        <v>0</v>
      </c>
      <c r="AC689" s="382">
        <v>0.13083333333333333</v>
      </c>
      <c r="AD689" s="382">
        <v>0</v>
      </c>
      <c r="AE689" s="381" t="s">
        <v>168</v>
      </c>
    </row>
    <row r="690" spans="1:31" ht="15" customHeight="1" x14ac:dyDescent="0.25">
      <c r="A690" s="20" t="s">
        <v>156</v>
      </c>
      <c r="B690" s="20" t="s">
        <v>939</v>
      </c>
      <c r="C690" s="20" t="s">
        <v>940</v>
      </c>
      <c r="D690" s="378" t="s">
        <v>1138</v>
      </c>
      <c r="E690" s="379">
        <v>44788</v>
      </c>
      <c r="F690" s="379">
        <v>46113</v>
      </c>
      <c r="G690" s="378" t="s">
        <v>219</v>
      </c>
      <c r="H690" s="20" t="s">
        <v>352</v>
      </c>
      <c r="I690" s="20" t="s">
        <v>353</v>
      </c>
      <c r="J690" s="20" t="s">
        <v>163</v>
      </c>
      <c r="K690" s="378" t="s">
        <v>354</v>
      </c>
      <c r="L690" s="20" t="s">
        <v>165</v>
      </c>
      <c r="M690" s="380">
        <v>2400</v>
      </c>
      <c r="N690" s="380"/>
      <c r="O690" s="380"/>
      <c r="P690" s="380"/>
      <c r="Q690" s="381">
        <v>260</v>
      </c>
      <c r="R690" s="381"/>
      <c r="S690" s="381"/>
      <c r="T690" s="381"/>
      <c r="U690" s="381"/>
      <c r="V690" s="382">
        <v>260</v>
      </c>
      <c r="W690" s="382">
        <v>0</v>
      </c>
      <c r="X690" s="381">
        <v>0.10833333333333334</v>
      </c>
      <c r="Y690" s="381">
        <v>0</v>
      </c>
      <c r="Z690" s="381">
        <v>0</v>
      </c>
      <c r="AA690" s="381">
        <v>0</v>
      </c>
      <c r="AB690" s="381">
        <v>0</v>
      </c>
      <c r="AC690" s="382">
        <v>0.10833333333333334</v>
      </c>
      <c r="AD690" s="382">
        <v>0</v>
      </c>
      <c r="AE690" s="381" t="s">
        <v>168</v>
      </c>
    </row>
    <row r="691" spans="1:31" ht="15" customHeight="1" x14ac:dyDescent="0.25">
      <c r="A691" s="20" t="s">
        <v>156</v>
      </c>
      <c r="B691" s="20" t="s">
        <v>939</v>
      </c>
      <c r="C691" s="20" t="s">
        <v>940</v>
      </c>
      <c r="D691" s="378" t="s">
        <v>1139</v>
      </c>
      <c r="E691" s="379">
        <v>44788</v>
      </c>
      <c r="F691" s="379">
        <v>46113</v>
      </c>
      <c r="G691" s="378" t="s">
        <v>219</v>
      </c>
      <c r="H691" s="20" t="s">
        <v>352</v>
      </c>
      <c r="I691" s="20" t="s">
        <v>353</v>
      </c>
      <c r="J691" s="20" t="s">
        <v>163</v>
      </c>
      <c r="K691" s="378" t="s">
        <v>354</v>
      </c>
      <c r="L691" s="20" t="s">
        <v>165</v>
      </c>
      <c r="M691" s="380">
        <v>2400</v>
      </c>
      <c r="N691" s="380"/>
      <c r="O691" s="380"/>
      <c r="P691" s="380"/>
      <c r="Q691" s="381">
        <v>221</v>
      </c>
      <c r="R691" s="381"/>
      <c r="S691" s="381"/>
      <c r="T691" s="381"/>
      <c r="U691" s="381"/>
      <c r="V691" s="382">
        <v>221</v>
      </c>
      <c r="W691" s="382">
        <v>0</v>
      </c>
      <c r="X691" s="381">
        <v>9.2083333333333336E-2</v>
      </c>
      <c r="Y691" s="381">
        <v>0</v>
      </c>
      <c r="Z691" s="381">
        <v>0</v>
      </c>
      <c r="AA691" s="381">
        <v>0</v>
      </c>
      <c r="AB691" s="381">
        <v>0</v>
      </c>
      <c r="AC691" s="382">
        <v>9.2083333333333336E-2</v>
      </c>
      <c r="AD691" s="382">
        <v>0</v>
      </c>
      <c r="AE691" s="381" t="s">
        <v>168</v>
      </c>
    </row>
    <row r="692" spans="1:31" ht="15" customHeight="1" x14ac:dyDescent="0.25">
      <c r="A692" s="20" t="s">
        <v>156</v>
      </c>
      <c r="B692" s="20" t="s">
        <v>939</v>
      </c>
      <c r="C692" s="20" t="s">
        <v>940</v>
      </c>
      <c r="D692" s="378" t="s">
        <v>1140</v>
      </c>
      <c r="E692" s="379">
        <v>44788</v>
      </c>
      <c r="F692" s="379">
        <v>46113</v>
      </c>
      <c r="G692" s="378" t="s">
        <v>219</v>
      </c>
      <c r="H692" s="20" t="s">
        <v>352</v>
      </c>
      <c r="I692" s="20" t="s">
        <v>353</v>
      </c>
      <c r="J692" s="20" t="s">
        <v>163</v>
      </c>
      <c r="K692" s="378" t="s">
        <v>354</v>
      </c>
      <c r="L692" s="20" t="s">
        <v>165</v>
      </c>
      <c r="M692" s="380">
        <v>2400</v>
      </c>
      <c r="N692" s="380"/>
      <c r="O692" s="380"/>
      <c r="P692" s="380"/>
      <c r="Q692" s="381">
        <v>207</v>
      </c>
      <c r="R692" s="381"/>
      <c r="S692" s="381"/>
      <c r="T692" s="381"/>
      <c r="U692" s="381"/>
      <c r="V692" s="382">
        <v>207</v>
      </c>
      <c r="W692" s="382">
        <v>0</v>
      </c>
      <c r="X692" s="381">
        <v>8.6249999999999993E-2</v>
      </c>
      <c r="Y692" s="381">
        <v>0</v>
      </c>
      <c r="Z692" s="381">
        <v>0</v>
      </c>
      <c r="AA692" s="381">
        <v>0</v>
      </c>
      <c r="AB692" s="381">
        <v>0</v>
      </c>
      <c r="AC692" s="382">
        <v>8.6249999999999993E-2</v>
      </c>
      <c r="AD692" s="382">
        <v>0</v>
      </c>
      <c r="AE692" s="381" t="s">
        <v>168</v>
      </c>
    </row>
    <row r="693" spans="1:31" ht="15" customHeight="1" x14ac:dyDescent="0.25">
      <c r="A693" s="20" t="s">
        <v>156</v>
      </c>
      <c r="B693" s="20" t="s">
        <v>939</v>
      </c>
      <c r="C693" s="20" t="s">
        <v>940</v>
      </c>
      <c r="D693" s="378" t="s">
        <v>1141</v>
      </c>
      <c r="E693" s="379">
        <v>44788</v>
      </c>
      <c r="F693" s="379">
        <v>46113</v>
      </c>
      <c r="G693" s="378" t="s">
        <v>219</v>
      </c>
      <c r="H693" s="20" t="s">
        <v>352</v>
      </c>
      <c r="I693" s="20" t="s">
        <v>353</v>
      </c>
      <c r="J693" s="20" t="s">
        <v>163</v>
      </c>
      <c r="K693" s="378" t="s">
        <v>354</v>
      </c>
      <c r="L693" s="20" t="s">
        <v>165</v>
      </c>
      <c r="M693" s="380">
        <v>2400</v>
      </c>
      <c r="N693" s="380"/>
      <c r="O693" s="380"/>
      <c r="P693" s="380"/>
      <c r="Q693" s="381">
        <v>260</v>
      </c>
      <c r="R693" s="381"/>
      <c r="S693" s="381"/>
      <c r="T693" s="381"/>
      <c r="U693" s="381"/>
      <c r="V693" s="382">
        <v>260</v>
      </c>
      <c r="W693" s="382">
        <v>0</v>
      </c>
      <c r="X693" s="381">
        <v>0.10833333333333334</v>
      </c>
      <c r="Y693" s="381">
        <v>0</v>
      </c>
      <c r="Z693" s="381">
        <v>0</v>
      </c>
      <c r="AA693" s="381">
        <v>0</v>
      </c>
      <c r="AB693" s="381">
        <v>0</v>
      </c>
      <c r="AC693" s="382">
        <v>0.10833333333333334</v>
      </c>
      <c r="AD693" s="382">
        <v>0</v>
      </c>
      <c r="AE693" s="381" t="s">
        <v>168</v>
      </c>
    </row>
    <row r="694" spans="1:31" ht="15" customHeight="1" x14ac:dyDescent="0.25">
      <c r="A694" s="20" t="s">
        <v>156</v>
      </c>
      <c r="B694" s="20" t="s">
        <v>939</v>
      </c>
      <c r="C694" s="20" t="s">
        <v>940</v>
      </c>
      <c r="D694" s="378" t="s">
        <v>1142</v>
      </c>
      <c r="E694" s="379">
        <v>44788</v>
      </c>
      <c r="F694" s="379">
        <v>46113</v>
      </c>
      <c r="G694" s="378" t="s">
        <v>219</v>
      </c>
      <c r="H694" s="20" t="s">
        <v>352</v>
      </c>
      <c r="I694" s="20" t="s">
        <v>353</v>
      </c>
      <c r="J694" s="20" t="s">
        <v>163</v>
      </c>
      <c r="K694" s="378" t="s">
        <v>354</v>
      </c>
      <c r="L694" s="20" t="s">
        <v>165</v>
      </c>
      <c r="M694" s="380">
        <v>2400</v>
      </c>
      <c r="N694" s="380"/>
      <c r="O694" s="380"/>
      <c r="P694" s="380"/>
      <c r="Q694" s="381">
        <v>238</v>
      </c>
      <c r="R694" s="381"/>
      <c r="S694" s="381"/>
      <c r="T694" s="381"/>
      <c r="U694" s="381"/>
      <c r="V694" s="382">
        <v>238</v>
      </c>
      <c r="W694" s="382">
        <v>0</v>
      </c>
      <c r="X694" s="381">
        <v>9.9166666666666667E-2</v>
      </c>
      <c r="Y694" s="381">
        <v>0</v>
      </c>
      <c r="Z694" s="381">
        <v>0</v>
      </c>
      <c r="AA694" s="381">
        <v>0</v>
      </c>
      <c r="AB694" s="381">
        <v>0</v>
      </c>
      <c r="AC694" s="382">
        <v>9.9166666666666667E-2</v>
      </c>
      <c r="AD694" s="382">
        <v>0</v>
      </c>
      <c r="AE694" s="381" t="s">
        <v>168</v>
      </c>
    </row>
    <row r="695" spans="1:31" ht="15" customHeight="1" x14ac:dyDescent="0.25">
      <c r="A695" s="20" t="s">
        <v>156</v>
      </c>
      <c r="B695" s="20" t="s">
        <v>939</v>
      </c>
      <c r="C695" s="20" t="s">
        <v>940</v>
      </c>
      <c r="D695" s="378" t="s">
        <v>1143</v>
      </c>
      <c r="E695" s="379">
        <v>44788</v>
      </c>
      <c r="F695" s="379">
        <v>46113</v>
      </c>
      <c r="G695" s="378" t="s">
        <v>219</v>
      </c>
      <c r="H695" s="20" t="s">
        <v>352</v>
      </c>
      <c r="I695" s="20" t="s">
        <v>353</v>
      </c>
      <c r="J695" s="20" t="s">
        <v>163</v>
      </c>
      <c r="K695" s="378" t="s">
        <v>354</v>
      </c>
      <c r="L695" s="20" t="s">
        <v>165</v>
      </c>
      <c r="M695" s="380">
        <v>2400</v>
      </c>
      <c r="N695" s="380"/>
      <c r="O695" s="380"/>
      <c r="P695" s="380"/>
      <c r="Q695" s="381">
        <v>229</v>
      </c>
      <c r="R695" s="381"/>
      <c r="S695" s="381"/>
      <c r="T695" s="381"/>
      <c r="U695" s="381"/>
      <c r="V695" s="382">
        <v>229</v>
      </c>
      <c r="W695" s="382">
        <v>0</v>
      </c>
      <c r="X695" s="381">
        <v>9.5416666666666664E-2</v>
      </c>
      <c r="Y695" s="381">
        <v>0</v>
      </c>
      <c r="Z695" s="381">
        <v>0</v>
      </c>
      <c r="AA695" s="381">
        <v>0</v>
      </c>
      <c r="AB695" s="381">
        <v>0</v>
      </c>
      <c r="AC695" s="382">
        <v>9.5416666666666664E-2</v>
      </c>
      <c r="AD695" s="382">
        <v>0</v>
      </c>
      <c r="AE695" s="381" t="s">
        <v>168</v>
      </c>
    </row>
    <row r="696" spans="1:31" ht="15" customHeight="1" x14ac:dyDescent="0.25">
      <c r="A696" s="20" t="s">
        <v>156</v>
      </c>
      <c r="B696" s="20" t="s">
        <v>939</v>
      </c>
      <c r="C696" s="20" t="s">
        <v>940</v>
      </c>
      <c r="D696" s="378" t="s">
        <v>1144</v>
      </c>
      <c r="E696" s="379">
        <v>44788</v>
      </c>
      <c r="F696" s="379">
        <v>46113</v>
      </c>
      <c r="G696" s="378" t="s">
        <v>219</v>
      </c>
      <c r="H696" s="20" t="s">
        <v>352</v>
      </c>
      <c r="I696" s="20" t="s">
        <v>353</v>
      </c>
      <c r="J696" s="20" t="s">
        <v>163</v>
      </c>
      <c r="K696" s="378" t="s">
        <v>354</v>
      </c>
      <c r="L696" s="20" t="s">
        <v>165</v>
      </c>
      <c r="M696" s="380">
        <v>2400</v>
      </c>
      <c r="N696" s="380"/>
      <c r="O696" s="380"/>
      <c r="P696" s="380"/>
      <c r="Q696" s="381">
        <v>198</v>
      </c>
      <c r="R696" s="381"/>
      <c r="S696" s="381"/>
      <c r="T696" s="381"/>
      <c r="U696" s="381"/>
      <c r="V696" s="382">
        <v>198</v>
      </c>
      <c r="W696" s="382">
        <v>0</v>
      </c>
      <c r="X696" s="381">
        <v>8.2500000000000004E-2</v>
      </c>
      <c r="Y696" s="381">
        <v>0</v>
      </c>
      <c r="Z696" s="381">
        <v>0</v>
      </c>
      <c r="AA696" s="381">
        <v>0</v>
      </c>
      <c r="AB696" s="381">
        <v>0</v>
      </c>
      <c r="AC696" s="382">
        <v>8.2500000000000004E-2</v>
      </c>
      <c r="AD696" s="382">
        <v>0</v>
      </c>
      <c r="AE696" s="381" t="s">
        <v>168</v>
      </c>
    </row>
    <row r="697" spans="1:31" ht="15" customHeight="1" x14ac:dyDescent="0.25">
      <c r="A697" s="20" t="s">
        <v>156</v>
      </c>
      <c r="B697" s="20" t="s">
        <v>939</v>
      </c>
      <c r="C697" s="20" t="s">
        <v>940</v>
      </c>
      <c r="D697" s="378" t="s">
        <v>1145</v>
      </c>
      <c r="E697" s="379">
        <v>44788</v>
      </c>
      <c r="F697" s="379">
        <v>46113</v>
      </c>
      <c r="G697" s="378" t="s">
        <v>219</v>
      </c>
      <c r="H697" s="20" t="s">
        <v>352</v>
      </c>
      <c r="I697" s="20" t="s">
        <v>353</v>
      </c>
      <c r="J697" s="20" t="s">
        <v>163</v>
      </c>
      <c r="K697" s="378" t="s">
        <v>354</v>
      </c>
      <c r="L697" s="20" t="s">
        <v>165</v>
      </c>
      <c r="M697" s="380">
        <v>2400</v>
      </c>
      <c r="N697" s="380"/>
      <c r="O697" s="380"/>
      <c r="P697" s="380"/>
      <c r="Q697" s="381">
        <v>287</v>
      </c>
      <c r="R697" s="381"/>
      <c r="S697" s="381"/>
      <c r="T697" s="381"/>
      <c r="U697" s="381"/>
      <c r="V697" s="382">
        <v>287</v>
      </c>
      <c r="W697" s="382">
        <v>0</v>
      </c>
      <c r="X697" s="381">
        <v>0.11958333333333333</v>
      </c>
      <c r="Y697" s="381">
        <v>0</v>
      </c>
      <c r="Z697" s="381">
        <v>0</v>
      </c>
      <c r="AA697" s="381">
        <v>0</v>
      </c>
      <c r="AB697" s="381">
        <v>0</v>
      </c>
      <c r="AC697" s="382">
        <v>0.11958333333333333</v>
      </c>
      <c r="AD697" s="382">
        <v>0</v>
      </c>
      <c r="AE697" s="381" t="s">
        <v>168</v>
      </c>
    </row>
    <row r="698" spans="1:31" ht="15" customHeight="1" x14ac:dyDescent="0.25">
      <c r="A698" s="20" t="s">
        <v>156</v>
      </c>
      <c r="B698" s="20" t="s">
        <v>939</v>
      </c>
      <c r="C698" s="20" t="s">
        <v>940</v>
      </c>
      <c r="D698" s="378" t="s">
        <v>1146</v>
      </c>
      <c r="E698" s="379">
        <v>44788</v>
      </c>
      <c r="F698" s="379">
        <v>46113</v>
      </c>
      <c r="G698" s="378" t="s">
        <v>378</v>
      </c>
      <c r="H698" s="20" t="s">
        <v>352</v>
      </c>
      <c r="I698" s="20" t="s">
        <v>353</v>
      </c>
      <c r="J698" s="20" t="s">
        <v>163</v>
      </c>
      <c r="K698" s="378" t="s">
        <v>354</v>
      </c>
      <c r="L698" s="20" t="s">
        <v>165</v>
      </c>
      <c r="M698" s="380">
        <v>2400</v>
      </c>
      <c r="N698" s="380"/>
      <c r="O698" s="380"/>
      <c r="P698" s="380"/>
      <c r="Q698" s="381">
        <v>310</v>
      </c>
      <c r="R698" s="381"/>
      <c r="S698" s="381"/>
      <c r="T698" s="381"/>
      <c r="U698" s="381"/>
      <c r="V698" s="382">
        <v>310</v>
      </c>
      <c r="W698" s="382">
        <v>0</v>
      </c>
      <c r="X698" s="381">
        <v>0.12916666666666668</v>
      </c>
      <c r="Y698" s="381">
        <v>0</v>
      </c>
      <c r="Z698" s="381">
        <v>0</v>
      </c>
      <c r="AA698" s="381">
        <v>0</v>
      </c>
      <c r="AB698" s="381">
        <v>0</v>
      </c>
      <c r="AC698" s="382">
        <v>0.12916666666666668</v>
      </c>
      <c r="AD698" s="382">
        <v>0</v>
      </c>
      <c r="AE698" s="381" t="s">
        <v>168</v>
      </c>
    </row>
    <row r="699" spans="1:31" ht="15" customHeight="1" x14ac:dyDescent="0.25">
      <c r="A699" s="20" t="s">
        <v>156</v>
      </c>
      <c r="B699" s="20" t="s">
        <v>939</v>
      </c>
      <c r="C699" s="20" t="s">
        <v>940</v>
      </c>
      <c r="D699" s="378" t="s">
        <v>1147</v>
      </c>
      <c r="E699" s="379">
        <v>44788</v>
      </c>
      <c r="F699" s="379">
        <v>46113</v>
      </c>
      <c r="G699" s="378" t="s">
        <v>378</v>
      </c>
      <c r="H699" s="20" t="s">
        <v>352</v>
      </c>
      <c r="I699" s="20" t="s">
        <v>353</v>
      </c>
      <c r="J699" s="20" t="s">
        <v>163</v>
      </c>
      <c r="K699" s="378" t="s">
        <v>354</v>
      </c>
      <c r="L699" s="20" t="s">
        <v>165</v>
      </c>
      <c r="M699" s="380">
        <v>2400</v>
      </c>
      <c r="N699" s="380"/>
      <c r="O699" s="380"/>
      <c r="P699" s="380"/>
      <c r="Q699" s="381">
        <v>257</v>
      </c>
      <c r="R699" s="381"/>
      <c r="S699" s="381"/>
      <c r="T699" s="381"/>
      <c r="U699" s="381"/>
      <c r="V699" s="382">
        <v>257</v>
      </c>
      <c r="W699" s="382">
        <v>0</v>
      </c>
      <c r="X699" s="381">
        <v>0.10708333333333334</v>
      </c>
      <c r="Y699" s="381">
        <v>0</v>
      </c>
      <c r="Z699" s="381">
        <v>0</v>
      </c>
      <c r="AA699" s="381">
        <v>0</v>
      </c>
      <c r="AB699" s="381">
        <v>0</v>
      </c>
      <c r="AC699" s="382">
        <v>0.10708333333333334</v>
      </c>
      <c r="AD699" s="382">
        <v>0</v>
      </c>
      <c r="AE699" s="381" t="s">
        <v>168</v>
      </c>
    </row>
    <row r="700" spans="1:31" ht="15" customHeight="1" x14ac:dyDescent="0.25">
      <c r="A700" s="20" t="s">
        <v>156</v>
      </c>
      <c r="B700" s="20" t="s">
        <v>939</v>
      </c>
      <c r="C700" s="20" t="s">
        <v>940</v>
      </c>
      <c r="D700" s="378" t="s">
        <v>1148</v>
      </c>
      <c r="E700" s="379">
        <v>44788</v>
      </c>
      <c r="F700" s="379">
        <v>46113</v>
      </c>
      <c r="G700" s="378" t="s">
        <v>378</v>
      </c>
      <c r="H700" s="20" t="s">
        <v>352</v>
      </c>
      <c r="I700" s="20" t="s">
        <v>353</v>
      </c>
      <c r="J700" s="20" t="s">
        <v>163</v>
      </c>
      <c r="K700" s="378" t="s">
        <v>354</v>
      </c>
      <c r="L700" s="20" t="s">
        <v>165</v>
      </c>
      <c r="M700" s="380">
        <v>2400</v>
      </c>
      <c r="N700" s="380"/>
      <c r="O700" s="380"/>
      <c r="P700" s="380"/>
      <c r="Q700" s="381">
        <v>216</v>
      </c>
      <c r="R700" s="381"/>
      <c r="S700" s="381"/>
      <c r="T700" s="381"/>
      <c r="U700" s="381"/>
      <c r="V700" s="382">
        <v>216</v>
      </c>
      <c r="W700" s="382">
        <v>0</v>
      </c>
      <c r="X700" s="381">
        <v>0.09</v>
      </c>
      <c r="Y700" s="381">
        <v>0</v>
      </c>
      <c r="Z700" s="381">
        <v>0</v>
      </c>
      <c r="AA700" s="381">
        <v>0</v>
      </c>
      <c r="AB700" s="381">
        <v>0</v>
      </c>
      <c r="AC700" s="382">
        <v>0.09</v>
      </c>
      <c r="AD700" s="382">
        <v>0</v>
      </c>
      <c r="AE700" s="381" t="s">
        <v>168</v>
      </c>
    </row>
    <row r="701" spans="1:31" ht="15" customHeight="1" x14ac:dyDescent="0.25">
      <c r="A701" s="20" t="s">
        <v>156</v>
      </c>
      <c r="B701" s="20" t="s">
        <v>939</v>
      </c>
      <c r="C701" s="20" t="s">
        <v>940</v>
      </c>
      <c r="D701" s="378" t="s">
        <v>1149</v>
      </c>
      <c r="E701" s="379">
        <v>44788</v>
      </c>
      <c r="F701" s="379">
        <v>46113</v>
      </c>
      <c r="G701" s="378" t="s">
        <v>378</v>
      </c>
      <c r="H701" s="20" t="s">
        <v>352</v>
      </c>
      <c r="I701" s="20" t="s">
        <v>353</v>
      </c>
      <c r="J701" s="20" t="s">
        <v>163</v>
      </c>
      <c r="K701" s="378" t="s">
        <v>354</v>
      </c>
      <c r="L701" s="20" t="s">
        <v>165</v>
      </c>
      <c r="M701" s="380">
        <v>2400</v>
      </c>
      <c r="N701" s="380"/>
      <c r="O701" s="380"/>
      <c r="P701" s="380"/>
      <c r="Q701" s="381">
        <v>288</v>
      </c>
      <c r="R701" s="381"/>
      <c r="S701" s="381"/>
      <c r="T701" s="381"/>
      <c r="U701" s="381"/>
      <c r="V701" s="382">
        <v>288</v>
      </c>
      <c r="W701" s="382">
        <v>0</v>
      </c>
      <c r="X701" s="381">
        <v>0.12</v>
      </c>
      <c r="Y701" s="381">
        <v>0</v>
      </c>
      <c r="Z701" s="381">
        <v>0</v>
      </c>
      <c r="AA701" s="381">
        <v>0</v>
      </c>
      <c r="AB701" s="381">
        <v>0</v>
      </c>
      <c r="AC701" s="382">
        <v>0.12</v>
      </c>
      <c r="AD701" s="382">
        <v>0</v>
      </c>
      <c r="AE701" s="381" t="s">
        <v>168</v>
      </c>
    </row>
    <row r="702" spans="1:31" ht="15" customHeight="1" x14ac:dyDescent="0.25">
      <c r="A702" s="20" t="s">
        <v>156</v>
      </c>
      <c r="B702" s="20" t="s">
        <v>939</v>
      </c>
      <c r="C702" s="20" t="s">
        <v>940</v>
      </c>
      <c r="D702" s="378" t="s">
        <v>1150</v>
      </c>
      <c r="E702" s="379">
        <v>44788</v>
      </c>
      <c r="F702" s="379">
        <v>46113</v>
      </c>
      <c r="G702" s="378" t="s">
        <v>378</v>
      </c>
      <c r="H702" s="20" t="s">
        <v>352</v>
      </c>
      <c r="I702" s="20" t="s">
        <v>353</v>
      </c>
      <c r="J702" s="20" t="s">
        <v>163</v>
      </c>
      <c r="K702" s="378" t="s">
        <v>354</v>
      </c>
      <c r="L702" s="20" t="s">
        <v>165</v>
      </c>
      <c r="M702" s="380">
        <v>2400</v>
      </c>
      <c r="N702" s="380"/>
      <c r="O702" s="380"/>
      <c r="P702" s="380"/>
      <c r="Q702" s="381">
        <v>185</v>
      </c>
      <c r="R702" s="381"/>
      <c r="S702" s="381"/>
      <c r="T702" s="381"/>
      <c r="U702" s="381"/>
      <c r="V702" s="382">
        <v>185</v>
      </c>
      <c r="W702" s="382">
        <v>0</v>
      </c>
      <c r="X702" s="381">
        <v>7.7083333333333337E-2</v>
      </c>
      <c r="Y702" s="381">
        <v>0</v>
      </c>
      <c r="Z702" s="381">
        <v>0</v>
      </c>
      <c r="AA702" s="381">
        <v>0</v>
      </c>
      <c r="AB702" s="381">
        <v>0</v>
      </c>
      <c r="AC702" s="382">
        <v>7.7083333333333337E-2</v>
      </c>
      <c r="AD702" s="382">
        <v>0</v>
      </c>
      <c r="AE702" s="381" t="s">
        <v>168</v>
      </c>
    </row>
    <row r="703" spans="1:31" ht="15" customHeight="1" x14ac:dyDescent="0.25">
      <c r="A703" s="20" t="s">
        <v>156</v>
      </c>
      <c r="B703" s="20" t="s">
        <v>939</v>
      </c>
      <c r="C703" s="20" t="s">
        <v>940</v>
      </c>
      <c r="D703" s="378" t="s">
        <v>1151</v>
      </c>
      <c r="E703" s="379">
        <v>44788</v>
      </c>
      <c r="F703" s="379">
        <v>46113</v>
      </c>
      <c r="G703" s="378" t="s">
        <v>378</v>
      </c>
      <c r="H703" s="20" t="s">
        <v>352</v>
      </c>
      <c r="I703" s="20" t="s">
        <v>353</v>
      </c>
      <c r="J703" s="20" t="s">
        <v>163</v>
      </c>
      <c r="K703" s="378" t="s">
        <v>354</v>
      </c>
      <c r="L703" s="20" t="s">
        <v>165</v>
      </c>
      <c r="M703" s="380">
        <v>2400</v>
      </c>
      <c r="N703" s="380"/>
      <c r="O703" s="380"/>
      <c r="P703" s="380"/>
      <c r="Q703" s="381">
        <v>257</v>
      </c>
      <c r="R703" s="381"/>
      <c r="S703" s="381"/>
      <c r="T703" s="381"/>
      <c r="U703" s="381"/>
      <c r="V703" s="382">
        <v>257</v>
      </c>
      <c r="W703" s="382">
        <v>0</v>
      </c>
      <c r="X703" s="381">
        <v>0.10708333333333334</v>
      </c>
      <c r="Y703" s="381">
        <v>0</v>
      </c>
      <c r="Z703" s="381">
        <v>0</v>
      </c>
      <c r="AA703" s="381">
        <v>0</v>
      </c>
      <c r="AB703" s="381">
        <v>0</v>
      </c>
      <c r="AC703" s="382">
        <v>0.10708333333333334</v>
      </c>
      <c r="AD703" s="382">
        <v>0</v>
      </c>
      <c r="AE703" s="381" t="s">
        <v>168</v>
      </c>
    </row>
    <row r="704" spans="1:31" ht="15" customHeight="1" x14ac:dyDescent="0.25">
      <c r="A704" s="20" t="s">
        <v>156</v>
      </c>
      <c r="B704" s="20" t="s">
        <v>939</v>
      </c>
      <c r="C704" s="20" t="s">
        <v>940</v>
      </c>
      <c r="D704" s="378" t="s">
        <v>1152</v>
      </c>
      <c r="E704" s="379">
        <v>44788</v>
      </c>
      <c r="F704" s="379">
        <v>46113</v>
      </c>
      <c r="G704" s="378" t="s">
        <v>378</v>
      </c>
      <c r="H704" s="20" t="s">
        <v>352</v>
      </c>
      <c r="I704" s="20" t="s">
        <v>353</v>
      </c>
      <c r="J704" s="20" t="s">
        <v>163</v>
      </c>
      <c r="K704" s="378" t="s">
        <v>354</v>
      </c>
      <c r="L704" s="20" t="s">
        <v>165</v>
      </c>
      <c r="M704" s="380">
        <v>2400</v>
      </c>
      <c r="N704" s="380"/>
      <c r="O704" s="380"/>
      <c r="P704" s="380"/>
      <c r="Q704" s="381">
        <v>233</v>
      </c>
      <c r="R704" s="381"/>
      <c r="S704" s="381"/>
      <c r="T704" s="381"/>
      <c r="U704" s="381"/>
      <c r="V704" s="382">
        <v>233</v>
      </c>
      <c r="W704" s="382">
        <v>0</v>
      </c>
      <c r="X704" s="381">
        <v>9.7083333333333327E-2</v>
      </c>
      <c r="Y704" s="381">
        <v>0</v>
      </c>
      <c r="Z704" s="381">
        <v>0</v>
      </c>
      <c r="AA704" s="381">
        <v>0</v>
      </c>
      <c r="AB704" s="381">
        <v>0</v>
      </c>
      <c r="AC704" s="382">
        <v>9.7083333333333327E-2</v>
      </c>
      <c r="AD704" s="382">
        <v>0</v>
      </c>
      <c r="AE704" s="381" t="s">
        <v>168</v>
      </c>
    </row>
    <row r="705" spans="1:31" ht="15" customHeight="1" x14ac:dyDescent="0.25">
      <c r="A705" s="20" t="s">
        <v>156</v>
      </c>
      <c r="B705" s="20" t="s">
        <v>939</v>
      </c>
      <c r="C705" s="20" t="s">
        <v>940</v>
      </c>
      <c r="D705" s="378" t="s">
        <v>1153</v>
      </c>
      <c r="E705" s="379">
        <v>44788</v>
      </c>
      <c r="F705" s="379">
        <v>46113</v>
      </c>
      <c r="G705" s="378" t="s">
        <v>378</v>
      </c>
      <c r="H705" s="20" t="s">
        <v>352</v>
      </c>
      <c r="I705" s="20" t="s">
        <v>353</v>
      </c>
      <c r="J705" s="20" t="s">
        <v>163</v>
      </c>
      <c r="K705" s="378" t="s">
        <v>354</v>
      </c>
      <c r="L705" s="20" t="s">
        <v>165</v>
      </c>
      <c r="M705" s="380">
        <v>2400</v>
      </c>
      <c r="N705" s="380"/>
      <c r="O705" s="380"/>
      <c r="P705" s="380"/>
      <c r="Q705" s="381">
        <v>224</v>
      </c>
      <c r="R705" s="381"/>
      <c r="S705" s="381"/>
      <c r="T705" s="381"/>
      <c r="U705" s="381"/>
      <c r="V705" s="382">
        <v>224</v>
      </c>
      <c r="W705" s="382">
        <v>0</v>
      </c>
      <c r="X705" s="381">
        <v>9.3333333333333338E-2</v>
      </c>
      <c r="Y705" s="381">
        <v>0</v>
      </c>
      <c r="Z705" s="381">
        <v>0</v>
      </c>
      <c r="AA705" s="381">
        <v>0</v>
      </c>
      <c r="AB705" s="381">
        <v>0</v>
      </c>
      <c r="AC705" s="382">
        <v>9.3333333333333338E-2</v>
      </c>
      <c r="AD705" s="382">
        <v>0</v>
      </c>
      <c r="AE705" s="381" t="s">
        <v>168</v>
      </c>
    </row>
    <row r="706" spans="1:31" ht="15" customHeight="1" x14ac:dyDescent="0.25">
      <c r="A706" s="20" t="s">
        <v>156</v>
      </c>
      <c r="B706" s="20" t="s">
        <v>939</v>
      </c>
      <c r="C706" s="20" t="s">
        <v>940</v>
      </c>
      <c r="D706" s="378" t="s">
        <v>1154</v>
      </c>
      <c r="E706" s="379">
        <v>44788</v>
      </c>
      <c r="F706" s="379">
        <v>46113</v>
      </c>
      <c r="G706" s="378" t="s">
        <v>378</v>
      </c>
      <c r="H706" s="20" t="s">
        <v>352</v>
      </c>
      <c r="I706" s="20" t="s">
        <v>353</v>
      </c>
      <c r="J706" s="20" t="s">
        <v>163</v>
      </c>
      <c r="K706" s="378" t="s">
        <v>354</v>
      </c>
      <c r="L706" s="20" t="s">
        <v>165</v>
      </c>
      <c r="M706" s="380">
        <v>2400</v>
      </c>
      <c r="N706" s="380"/>
      <c r="O706" s="380"/>
      <c r="P706" s="380"/>
      <c r="Q706" s="381">
        <v>193</v>
      </c>
      <c r="R706" s="381"/>
      <c r="S706" s="381"/>
      <c r="T706" s="381"/>
      <c r="U706" s="381"/>
      <c r="V706" s="382">
        <v>193</v>
      </c>
      <c r="W706" s="382">
        <v>0</v>
      </c>
      <c r="X706" s="381">
        <v>8.0416666666666664E-2</v>
      </c>
      <c r="Y706" s="381">
        <v>0</v>
      </c>
      <c r="Z706" s="381">
        <v>0</v>
      </c>
      <c r="AA706" s="381">
        <v>0</v>
      </c>
      <c r="AB706" s="381">
        <v>0</v>
      </c>
      <c r="AC706" s="382">
        <v>8.0416666666666664E-2</v>
      </c>
      <c r="AD706" s="382">
        <v>0</v>
      </c>
      <c r="AE706" s="381" t="s">
        <v>168</v>
      </c>
    </row>
    <row r="707" spans="1:31" ht="15" customHeight="1" x14ac:dyDescent="0.25">
      <c r="A707" s="20" t="s">
        <v>156</v>
      </c>
      <c r="B707" s="20" t="s">
        <v>939</v>
      </c>
      <c r="C707" s="20" t="s">
        <v>940</v>
      </c>
      <c r="D707" s="378" t="s">
        <v>1155</v>
      </c>
      <c r="E707" s="379">
        <v>44484</v>
      </c>
      <c r="F707" s="379">
        <v>46143</v>
      </c>
      <c r="G707" s="378" t="s">
        <v>387</v>
      </c>
      <c r="H707" s="20" t="s">
        <v>388</v>
      </c>
      <c r="I707" s="20">
        <v>0</v>
      </c>
      <c r="J707" s="20" t="s">
        <v>163</v>
      </c>
      <c r="K707" s="378" t="s">
        <v>389</v>
      </c>
      <c r="L707" s="20" t="s">
        <v>165</v>
      </c>
      <c r="M707" s="380">
        <v>2400</v>
      </c>
      <c r="N707" s="380"/>
      <c r="O707" s="380"/>
      <c r="P707" s="380"/>
      <c r="Q707" s="381">
        <v>308</v>
      </c>
      <c r="R707" s="381"/>
      <c r="S707" s="381"/>
      <c r="T707" s="381"/>
      <c r="U707" s="381"/>
      <c r="V707" s="382">
        <v>308</v>
      </c>
      <c r="W707" s="382">
        <v>0</v>
      </c>
      <c r="X707" s="381">
        <v>0.12833333333333333</v>
      </c>
      <c r="Y707" s="381">
        <v>0</v>
      </c>
      <c r="Z707" s="381">
        <v>0</v>
      </c>
      <c r="AA707" s="381">
        <v>0</v>
      </c>
      <c r="AB707" s="381">
        <v>0</v>
      </c>
      <c r="AC707" s="382">
        <v>0.12833333333333333</v>
      </c>
      <c r="AD707" s="382">
        <v>0</v>
      </c>
      <c r="AE707" s="381" t="s">
        <v>168</v>
      </c>
    </row>
    <row r="708" spans="1:31" ht="15" customHeight="1" x14ac:dyDescent="0.25">
      <c r="A708" s="20" t="s">
        <v>156</v>
      </c>
      <c r="B708" s="20" t="s">
        <v>939</v>
      </c>
      <c r="C708" s="20" t="s">
        <v>940</v>
      </c>
      <c r="D708" s="378" t="s">
        <v>1156</v>
      </c>
      <c r="E708" s="379">
        <v>44484</v>
      </c>
      <c r="F708" s="379">
        <v>46143</v>
      </c>
      <c r="G708" s="378" t="s">
        <v>387</v>
      </c>
      <c r="H708" s="20" t="s">
        <v>388</v>
      </c>
      <c r="I708" s="20">
        <v>0</v>
      </c>
      <c r="J708" s="20" t="s">
        <v>163</v>
      </c>
      <c r="K708" s="378" t="s">
        <v>389</v>
      </c>
      <c r="L708" s="20" t="s">
        <v>165</v>
      </c>
      <c r="M708" s="380">
        <v>2400</v>
      </c>
      <c r="N708" s="380"/>
      <c r="O708" s="380"/>
      <c r="P708" s="380"/>
      <c r="Q708" s="381">
        <v>276</v>
      </c>
      <c r="R708" s="381"/>
      <c r="S708" s="381"/>
      <c r="T708" s="381"/>
      <c r="U708" s="381"/>
      <c r="V708" s="382">
        <v>276</v>
      </c>
      <c r="W708" s="382">
        <v>0</v>
      </c>
      <c r="X708" s="381">
        <v>0.115</v>
      </c>
      <c r="Y708" s="381">
        <v>0</v>
      </c>
      <c r="Z708" s="381">
        <v>0</v>
      </c>
      <c r="AA708" s="381">
        <v>0</v>
      </c>
      <c r="AB708" s="381">
        <v>0</v>
      </c>
      <c r="AC708" s="382">
        <v>0.115</v>
      </c>
      <c r="AD708" s="382">
        <v>0</v>
      </c>
      <c r="AE708" s="381" t="s">
        <v>168</v>
      </c>
    </row>
    <row r="709" spans="1:31" ht="15" customHeight="1" x14ac:dyDescent="0.25">
      <c r="A709" s="20" t="s">
        <v>156</v>
      </c>
      <c r="B709" s="20" t="s">
        <v>939</v>
      </c>
      <c r="C709" s="20" t="s">
        <v>940</v>
      </c>
      <c r="D709" s="378" t="s">
        <v>1157</v>
      </c>
      <c r="E709" s="379">
        <v>44484</v>
      </c>
      <c r="F709" s="379">
        <v>46143</v>
      </c>
      <c r="G709" s="378" t="s">
        <v>391</v>
      </c>
      <c r="H709" s="20" t="s">
        <v>388</v>
      </c>
      <c r="I709" s="20">
        <v>0</v>
      </c>
      <c r="J709" s="20" t="s">
        <v>163</v>
      </c>
      <c r="K709" s="378" t="s">
        <v>389</v>
      </c>
      <c r="L709" s="20" t="s">
        <v>165</v>
      </c>
      <c r="M709" s="380">
        <v>2400</v>
      </c>
      <c r="N709" s="380"/>
      <c r="O709" s="380"/>
      <c r="P709" s="380"/>
      <c r="Q709" s="381">
        <v>306</v>
      </c>
      <c r="R709" s="381"/>
      <c r="S709" s="381"/>
      <c r="T709" s="381"/>
      <c r="U709" s="381"/>
      <c r="V709" s="382">
        <v>306</v>
      </c>
      <c r="W709" s="382">
        <v>0</v>
      </c>
      <c r="X709" s="381">
        <v>0.1275</v>
      </c>
      <c r="Y709" s="381">
        <v>0</v>
      </c>
      <c r="Z709" s="381">
        <v>0</v>
      </c>
      <c r="AA709" s="381">
        <v>0</v>
      </c>
      <c r="AB709" s="381">
        <v>0</v>
      </c>
      <c r="AC709" s="382">
        <v>0.1275</v>
      </c>
      <c r="AD709" s="382">
        <v>0</v>
      </c>
      <c r="AE709" s="381" t="s">
        <v>168</v>
      </c>
    </row>
    <row r="710" spans="1:31" ht="15" customHeight="1" x14ac:dyDescent="0.25">
      <c r="A710" s="20" t="s">
        <v>156</v>
      </c>
      <c r="B710" s="20" t="s">
        <v>939</v>
      </c>
      <c r="C710" s="20" t="s">
        <v>940</v>
      </c>
      <c r="D710" s="378" t="s">
        <v>1158</v>
      </c>
      <c r="E710" s="379">
        <v>44484</v>
      </c>
      <c r="F710" s="379">
        <v>46143</v>
      </c>
      <c r="G710" s="378" t="s">
        <v>391</v>
      </c>
      <c r="H710" s="20" t="s">
        <v>388</v>
      </c>
      <c r="I710" s="20">
        <v>0</v>
      </c>
      <c r="J710" s="20" t="s">
        <v>163</v>
      </c>
      <c r="K710" s="378" t="s">
        <v>389</v>
      </c>
      <c r="L710" s="20" t="s">
        <v>165</v>
      </c>
      <c r="M710" s="380">
        <v>2400</v>
      </c>
      <c r="N710" s="380"/>
      <c r="O710" s="380"/>
      <c r="P710" s="380"/>
      <c r="Q710" s="381">
        <v>268</v>
      </c>
      <c r="R710" s="381"/>
      <c r="S710" s="381"/>
      <c r="T710" s="381"/>
      <c r="U710" s="381"/>
      <c r="V710" s="382">
        <v>268</v>
      </c>
      <c r="W710" s="382">
        <v>0</v>
      </c>
      <c r="X710" s="381">
        <v>0.11166666666666666</v>
      </c>
      <c r="Y710" s="381">
        <v>0</v>
      </c>
      <c r="Z710" s="381">
        <v>0</v>
      </c>
      <c r="AA710" s="381">
        <v>0</v>
      </c>
      <c r="AB710" s="381">
        <v>0</v>
      </c>
      <c r="AC710" s="382">
        <v>0.11166666666666666</v>
      </c>
      <c r="AD710" s="382">
        <v>0</v>
      </c>
      <c r="AE710" s="381" t="s">
        <v>168</v>
      </c>
    </row>
    <row r="711" spans="1:31" ht="15" customHeight="1" x14ac:dyDescent="0.25">
      <c r="A711" s="20" t="s">
        <v>156</v>
      </c>
      <c r="B711" s="20" t="s">
        <v>939</v>
      </c>
      <c r="C711" s="20" t="s">
        <v>940</v>
      </c>
      <c r="D711" s="378" t="s">
        <v>1159</v>
      </c>
      <c r="E711" s="379">
        <v>44620</v>
      </c>
      <c r="F711" s="379">
        <v>46446</v>
      </c>
      <c r="G711" s="378" t="s">
        <v>173</v>
      </c>
      <c r="H711" s="20" t="s">
        <v>393</v>
      </c>
      <c r="I711" s="20"/>
      <c r="J711" s="20" t="s">
        <v>163</v>
      </c>
      <c r="K711" s="378" t="s">
        <v>394</v>
      </c>
      <c r="L711" s="20" t="s">
        <v>165</v>
      </c>
      <c r="M711" s="380">
        <v>2400</v>
      </c>
      <c r="N711" s="380"/>
      <c r="O711" s="380"/>
      <c r="P711" s="380"/>
      <c r="Q711" s="381">
        <v>363</v>
      </c>
      <c r="R711" s="381"/>
      <c r="S711" s="381"/>
      <c r="T711" s="381"/>
      <c r="U711" s="381"/>
      <c r="V711" s="382">
        <v>363</v>
      </c>
      <c r="W711" s="382">
        <v>0</v>
      </c>
      <c r="X711" s="381">
        <v>0.15125</v>
      </c>
      <c r="Y711" s="381">
        <v>0</v>
      </c>
      <c r="Z711" s="381">
        <v>0</v>
      </c>
      <c r="AA711" s="381">
        <v>0</v>
      </c>
      <c r="AB711" s="381">
        <v>0</v>
      </c>
      <c r="AC711" s="382">
        <v>0.15125</v>
      </c>
      <c r="AD711" s="382">
        <v>0</v>
      </c>
      <c r="AE711" s="381" t="s">
        <v>168</v>
      </c>
    </row>
    <row r="712" spans="1:31" ht="15" customHeight="1" x14ac:dyDescent="0.25">
      <c r="A712" s="20" t="s">
        <v>156</v>
      </c>
      <c r="B712" s="20" t="s">
        <v>939</v>
      </c>
      <c r="C712" s="20" t="s">
        <v>940</v>
      </c>
      <c r="D712" s="378" t="s">
        <v>1160</v>
      </c>
      <c r="E712" s="379">
        <v>44620</v>
      </c>
      <c r="F712" s="379">
        <v>46446</v>
      </c>
      <c r="G712" s="378" t="s">
        <v>173</v>
      </c>
      <c r="H712" s="20" t="s">
        <v>393</v>
      </c>
      <c r="I712" s="20"/>
      <c r="J712" s="20" t="s">
        <v>163</v>
      </c>
      <c r="K712" s="378" t="s">
        <v>394</v>
      </c>
      <c r="L712" s="20" t="s">
        <v>165</v>
      </c>
      <c r="M712" s="380">
        <v>2400</v>
      </c>
      <c r="N712" s="380"/>
      <c r="O712" s="380"/>
      <c r="P712" s="380"/>
      <c r="Q712" s="381">
        <v>349</v>
      </c>
      <c r="R712" s="381"/>
      <c r="S712" s="381"/>
      <c r="T712" s="381"/>
      <c r="U712" s="381"/>
      <c r="V712" s="382">
        <v>349</v>
      </c>
      <c r="W712" s="382">
        <v>0</v>
      </c>
      <c r="X712" s="381">
        <v>0.14541666666666667</v>
      </c>
      <c r="Y712" s="381">
        <v>0</v>
      </c>
      <c r="Z712" s="381">
        <v>0</v>
      </c>
      <c r="AA712" s="381">
        <v>0</v>
      </c>
      <c r="AB712" s="381">
        <v>0</v>
      </c>
      <c r="AC712" s="382">
        <v>0.14541666666666667</v>
      </c>
      <c r="AD712" s="382">
        <v>0</v>
      </c>
      <c r="AE712" s="381" t="s">
        <v>168</v>
      </c>
    </row>
    <row r="713" spans="1:31" ht="15" customHeight="1" x14ac:dyDescent="0.25">
      <c r="A713" s="20" t="s">
        <v>156</v>
      </c>
      <c r="B713" s="20" t="s">
        <v>939</v>
      </c>
      <c r="C713" s="20" t="s">
        <v>940</v>
      </c>
      <c r="D713" s="378" t="s">
        <v>1161</v>
      </c>
      <c r="E713" s="379">
        <v>44620</v>
      </c>
      <c r="F713" s="379">
        <v>46446</v>
      </c>
      <c r="G713" s="378" t="s">
        <v>173</v>
      </c>
      <c r="H713" s="20" t="s">
        <v>393</v>
      </c>
      <c r="I713" s="20"/>
      <c r="J713" s="20" t="s">
        <v>163</v>
      </c>
      <c r="K713" s="378" t="s">
        <v>394</v>
      </c>
      <c r="L713" s="20" t="s">
        <v>165</v>
      </c>
      <c r="M713" s="380">
        <v>2400</v>
      </c>
      <c r="N713" s="380"/>
      <c r="O713" s="380"/>
      <c r="P713" s="380"/>
      <c r="Q713" s="381">
        <v>399</v>
      </c>
      <c r="R713" s="381"/>
      <c r="S713" s="381"/>
      <c r="T713" s="381"/>
      <c r="U713" s="381"/>
      <c r="V713" s="382">
        <v>399</v>
      </c>
      <c r="W713" s="382">
        <v>0</v>
      </c>
      <c r="X713" s="381">
        <v>0.16625000000000001</v>
      </c>
      <c r="Y713" s="381">
        <v>0</v>
      </c>
      <c r="Z713" s="381">
        <v>0</v>
      </c>
      <c r="AA713" s="381">
        <v>0</v>
      </c>
      <c r="AB713" s="381">
        <v>0</v>
      </c>
      <c r="AC713" s="382">
        <v>0.16625000000000001</v>
      </c>
      <c r="AD713" s="382">
        <v>0</v>
      </c>
      <c r="AE713" s="381" t="s">
        <v>168</v>
      </c>
    </row>
    <row r="714" spans="1:31" ht="15" customHeight="1" x14ac:dyDescent="0.25">
      <c r="A714" s="20" t="s">
        <v>156</v>
      </c>
      <c r="B714" s="20" t="s">
        <v>939</v>
      </c>
      <c r="C714" s="20" t="s">
        <v>940</v>
      </c>
      <c r="D714" s="378" t="s">
        <v>1162</v>
      </c>
      <c r="E714" s="379">
        <v>44620</v>
      </c>
      <c r="F714" s="379">
        <v>46446</v>
      </c>
      <c r="G714" s="378" t="s">
        <v>173</v>
      </c>
      <c r="H714" s="20" t="s">
        <v>393</v>
      </c>
      <c r="I714" s="20"/>
      <c r="J714" s="20" t="s">
        <v>163</v>
      </c>
      <c r="K714" s="378" t="s">
        <v>394</v>
      </c>
      <c r="L714" s="20" t="s">
        <v>165</v>
      </c>
      <c r="M714" s="380">
        <v>2400</v>
      </c>
      <c r="N714" s="380"/>
      <c r="O714" s="380"/>
      <c r="P714" s="380"/>
      <c r="Q714" s="381">
        <v>399</v>
      </c>
      <c r="R714" s="381"/>
      <c r="S714" s="381"/>
      <c r="T714" s="381"/>
      <c r="U714" s="381"/>
      <c r="V714" s="382">
        <v>399</v>
      </c>
      <c r="W714" s="382">
        <v>0</v>
      </c>
      <c r="X714" s="381">
        <v>0.16625000000000001</v>
      </c>
      <c r="Y714" s="381">
        <v>0</v>
      </c>
      <c r="Z714" s="381">
        <v>0</v>
      </c>
      <c r="AA714" s="381">
        <v>0</v>
      </c>
      <c r="AB714" s="381">
        <v>0</v>
      </c>
      <c r="AC714" s="382">
        <v>0.16625000000000001</v>
      </c>
      <c r="AD714" s="382">
        <v>0</v>
      </c>
      <c r="AE714" s="381" t="s">
        <v>168</v>
      </c>
    </row>
    <row r="715" spans="1:31" ht="15" customHeight="1" x14ac:dyDescent="0.25">
      <c r="A715" s="20" t="s">
        <v>156</v>
      </c>
      <c r="B715" s="20" t="s">
        <v>939</v>
      </c>
      <c r="C715" s="20" t="s">
        <v>940</v>
      </c>
      <c r="D715" s="378" t="s">
        <v>1163</v>
      </c>
      <c r="E715" s="379">
        <v>44620</v>
      </c>
      <c r="F715" s="379">
        <v>46446</v>
      </c>
      <c r="G715" s="378" t="s">
        <v>173</v>
      </c>
      <c r="H715" s="20" t="s">
        <v>393</v>
      </c>
      <c r="I715" s="20"/>
      <c r="J715" s="20" t="s">
        <v>163</v>
      </c>
      <c r="K715" s="378" t="s">
        <v>394</v>
      </c>
      <c r="L715" s="20" t="s">
        <v>165</v>
      </c>
      <c r="M715" s="380">
        <v>2400</v>
      </c>
      <c r="N715" s="380"/>
      <c r="O715" s="380"/>
      <c r="P715" s="380"/>
      <c r="Q715" s="381">
        <v>317</v>
      </c>
      <c r="R715" s="381"/>
      <c r="S715" s="381"/>
      <c r="T715" s="381"/>
      <c r="U715" s="381"/>
      <c r="V715" s="382">
        <v>317</v>
      </c>
      <c r="W715" s="382">
        <v>0</v>
      </c>
      <c r="X715" s="381">
        <v>0.13208333333333333</v>
      </c>
      <c r="Y715" s="381">
        <v>0</v>
      </c>
      <c r="Z715" s="381">
        <v>0</v>
      </c>
      <c r="AA715" s="381">
        <v>0</v>
      </c>
      <c r="AB715" s="381">
        <v>0</v>
      </c>
      <c r="AC715" s="382">
        <v>0.13208333333333333</v>
      </c>
      <c r="AD715" s="382">
        <v>0</v>
      </c>
      <c r="AE715" s="381" t="s">
        <v>168</v>
      </c>
    </row>
    <row r="716" spans="1:31" ht="15" customHeight="1" x14ac:dyDescent="0.25">
      <c r="A716" s="20" t="s">
        <v>156</v>
      </c>
      <c r="B716" s="20" t="s">
        <v>939</v>
      </c>
      <c r="C716" s="20" t="s">
        <v>940</v>
      </c>
      <c r="D716" s="378" t="s">
        <v>1164</v>
      </c>
      <c r="E716" s="379">
        <v>44620</v>
      </c>
      <c r="F716" s="379">
        <v>46446</v>
      </c>
      <c r="G716" s="378" t="s">
        <v>173</v>
      </c>
      <c r="H716" s="20" t="s">
        <v>393</v>
      </c>
      <c r="I716" s="20"/>
      <c r="J716" s="20" t="s">
        <v>163</v>
      </c>
      <c r="K716" s="378" t="s">
        <v>394</v>
      </c>
      <c r="L716" s="20" t="s">
        <v>165</v>
      </c>
      <c r="M716" s="380">
        <v>2400</v>
      </c>
      <c r="N716" s="380"/>
      <c r="O716" s="380"/>
      <c r="P716" s="380"/>
      <c r="Q716" s="381">
        <v>318</v>
      </c>
      <c r="R716" s="381"/>
      <c r="S716" s="381"/>
      <c r="T716" s="381"/>
      <c r="U716" s="381"/>
      <c r="V716" s="382">
        <v>318</v>
      </c>
      <c r="W716" s="382">
        <v>0</v>
      </c>
      <c r="X716" s="381">
        <v>0.13250000000000001</v>
      </c>
      <c r="Y716" s="381">
        <v>0</v>
      </c>
      <c r="Z716" s="381">
        <v>0</v>
      </c>
      <c r="AA716" s="381">
        <v>0</v>
      </c>
      <c r="AB716" s="381">
        <v>0</v>
      </c>
      <c r="AC716" s="382">
        <v>0.13250000000000001</v>
      </c>
      <c r="AD716" s="382">
        <v>0</v>
      </c>
      <c r="AE716" s="381" t="s">
        <v>168</v>
      </c>
    </row>
    <row r="717" spans="1:31" ht="15" customHeight="1" x14ac:dyDescent="0.25">
      <c r="A717" s="20" t="s">
        <v>156</v>
      </c>
      <c r="B717" s="20" t="s">
        <v>939</v>
      </c>
      <c r="C717" s="20" t="s">
        <v>940</v>
      </c>
      <c r="D717" s="378" t="s">
        <v>1165</v>
      </c>
      <c r="E717" s="379">
        <v>44620</v>
      </c>
      <c r="F717" s="379">
        <v>46446</v>
      </c>
      <c r="G717" s="378" t="s">
        <v>396</v>
      </c>
      <c r="H717" s="20" t="s">
        <v>393</v>
      </c>
      <c r="I717" s="20"/>
      <c r="J717" s="20" t="s">
        <v>163</v>
      </c>
      <c r="K717" s="378" t="s">
        <v>397</v>
      </c>
      <c r="L717" s="20" t="s">
        <v>165</v>
      </c>
      <c r="M717" s="380">
        <v>2400</v>
      </c>
      <c r="N717" s="380"/>
      <c r="O717" s="380"/>
      <c r="P717" s="380"/>
      <c r="Q717" s="381">
        <v>187</v>
      </c>
      <c r="R717" s="381"/>
      <c r="S717" s="381"/>
      <c r="T717" s="381"/>
      <c r="U717" s="381"/>
      <c r="V717" s="382">
        <v>187</v>
      </c>
      <c r="W717" s="382">
        <v>0</v>
      </c>
      <c r="X717" s="381">
        <v>7.7916666666666662E-2</v>
      </c>
      <c r="Y717" s="381">
        <v>0</v>
      </c>
      <c r="Z717" s="381">
        <v>0</v>
      </c>
      <c r="AA717" s="381">
        <v>0</v>
      </c>
      <c r="AB717" s="381">
        <v>0</v>
      </c>
      <c r="AC717" s="382">
        <v>7.7916666666666662E-2</v>
      </c>
      <c r="AD717" s="382">
        <v>0</v>
      </c>
      <c r="AE717" s="381" t="s">
        <v>168</v>
      </c>
    </row>
    <row r="718" spans="1:31" ht="15" customHeight="1" x14ac:dyDescent="0.25">
      <c r="A718" s="20" t="s">
        <v>156</v>
      </c>
      <c r="B718" s="20" t="s">
        <v>939</v>
      </c>
      <c r="C718" s="20" t="s">
        <v>940</v>
      </c>
      <c r="D718" s="378" t="s">
        <v>1166</v>
      </c>
      <c r="E718" s="379">
        <v>44620</v>
      </c>
      <c r="F718" s="379">
        <v>46446</v>
      </c>
      <c r="G718" s="378" t="s">
        <v>396</v>
      </c>
      <c r="H718" s="20" t="s">
        <v>393</v>
      </c>
      <c r="I718" s="20"/>
      <c r="J718" s="20" t="s">
        <v>163</v>
      </c>
      <c r="K718" s="378" t="s">
        <v>397</v>
      </c>
      <c r="L718" s="20" t="s">
        <v>165</v>
      </c>
      <c r="M718" s="380">
        <v>2400</v>
      </c>
      <c r="N718" s="380"/>
      <c r="O718" s="380"/>
      <c r="P718" s="380"/>
      <c r="Q718" s="381">
        <v>215</v>
      </c>
      <c r="R718" s="381"/>
      <c r="S718" s="381"/>
      <c r="T718" s="381"/>
      <c r="U718" s="381"/>
      <c r="V718" s="382">
        <v>215</v>
      </c>
      <c r="W718" s="382">
        <v>0</v>
      </c>
      <c r="X718" s="381">
        <v>8.9583333333333334E-2</v>
      </c>
      <c r="Y718" s="381">
        <v>0</v>
      </c>
      <c r="Z718" s="381">
        <v>0</v>
      </c>
      <c r="AA718" s="381">
        <v>0</v>
      </c>
      <c r="AB718" s="381">
        <v>0</v>
      </c>
      <c r="AC718" s="382">
        <v>8.9583333333333334E-2</v>
      </c>
      <c r="AD718" s="382">
        <v>0</v>
      </c>
      <c r="AE718" s="381" t="s">
        <v>168</v>
      </c>
    </row>
    <row r="719" spans="1:31" ht="15" customHeight="1" x14ac:dyDescent="0.25">
      <c r="A719" s="20" t="s">
        <v>156</v>
      </c>
      <c r="B719" s="20" t="s">
        <v>939</v>
      </c>
      <c r="C719" s="20" t="s">
        <v>940</v>
      </c>
      <c r="D719" s="378" t="s">
        <v>1167</v>
      </c>
      <c r="E719" s="379">
        <v>44620</v>
      </c>
      <c r="F719" s="379">
        <v>46446</v>
      </c>
      <c r="G719" s="378" t="s">
        <v>396</v>
      </c>
      <c r="H719" s="20" t="s">
        <v>393</v>
      </c>
      <c r="I719" s="20"/>
      <c r="J719" s="20" t="s">
        <v>163</v>
      </c>
      <c r="K719" s="378" t="s">
        <v>397</v>
      </c>
      <c r="L719" s="20" t="s">
        <v>165</v>
      </c>
      <c r="M719" s="380">
        <v>2400</v>
      </c>
      <c r="N719" s="380"/>
      <c r="O719" s="380"/>
      <c r="P719" s="380"/>
      <c r="Q719" s="381">
        <v>274</v>
      </c>
      <c r="R719" s="381"/>
      <c r="S719" s="381"/>
      <c r="T719" s="381"/>
      <c r="U719" s="381"/>
      <c r="V719" s="382">
        <v>274</v>
      </c>
      <c r="W719" s="382">
        <v>0</v>
      </c>
      <c r="X719" s="381">
        <v>0.11416666666666667</v>
      </c>
      <c r="Y719" s="381">
        <v>0</v>
      </c>
      <c r="Z719" s="381">
        <v>0</v>
      </c>
      <c r="AA719" s="381">
        <v>0</v>
      </c>
      <c r="AB719" s="381">
        <v>0</v>
      </c>
      <c r="AC719" s="382">
        <v>0.11416666666666667</v>
      </c>
      <c r="AD719" s="382">
        <v>0</v>
      </c>
      <c r="AE719" s="381" t="s">
        <v>168</v>
      </c>
    </row>
    <row r="720" spans="1:31" ht="15" customHeight="1" x14ac:dyDescent="0.25">
      <c r="A720" s="20" t="s">
        <v>156</v>
      </c>
      <c r="B720" s="20" t="s">
        <v>939</v>
      </c>
      <c r="C720" s="20" t="s">
        <v>940</v>
      </c>
      <c r="D720" s="378" t="s">
        <v>1168</v>
      </c>
      <c r="E720" s="379">
        <v>44620</v>
      </c>
      <c r="F720" s="379">
        <v>46446</v>
      </c>
      <c r="G720" s="378" t="s">
        <v>396</v>
      </c>
      <c r="H720" s="20" t="s">
        <v>393</v>
      </c>
      <c r="I720" s="20"/>
      <c r="J720" s="20" t="s">
        <v>163</v>
      </c>
      <c r="K720" s="378" t="s">
        <v>397</v>
      </c>
      <c r="L720" s="20" t="s">
        <v>165</v>
      </c>
      <c r="M720" s="380">
        <v>2400</v>
      </c>
      <c r="N720" s="380"/>
      <c r="O720" s="380"/>
      <c r="P720" s="380"/>
      <c r="Q720" s="381">
        <v>224</v>
      </c>
      <c r="R720" s="381"/>
      <c r="S720" s="381"/>
      <c r="T720" s="381"/>
      <c r="U720" s="381"/>
      <c r="V720" s="382">
        <v>224</v>
      </c>
      <c r="W720" s="382">
        <v>0</v>
      </c>
      <c r="X720" s="381">
        <v>9.3333333333333338E-2</v>
      </c>
      <c r="Y720" s="381">
        <v>0</v>
      </c>
      <c r="Z720" s="381">
        <v>0</v>
      </c>
      <c r="AA720" s="381">
        <v>0</v>
      </c>
      <c r="AB720" s="381">
        <v>0</v>
      </c>
      <c r="AC720" s="382">
        <v>9.3333333333333338E-2</v>
      </c>
      <c r="AD720" s="382">
        <v>0</v>
      </c>
      <c r="AE720" s="381" t="s">
        <v>168</v>
      </c>
    </row>
    <row r="721" spans="1:31" ht="15" customHeight="1" x14ac:dyDescent="0.25">
      <c r="A721" s="20" t="s">
        <v>156</v>
      </c>
      <c r="B721" s="20" t="s">
        <v>939</v>
      </c>
      <c r="C721" s="20" t="s">
        <v>940</v>
      </c>
      <c r="D721" s="378" t="s">
        <v>1169</v>
      </c>
      <c r="E721" s="379">
        <v>44620</v>
      </c>
      <c r="F721" s="379">
        <v>46446</v>
      </c>
      <c r="G721" s="378" t="s">
        <v>396</v>
      </c>
      <c r="H721" s="20" t="s">
        <v>393</v>
      </c>
      <c r="I721" s="20"/>
      <c r="J721" s="20" t="s">
        <v>163</v>
      </c>
      <c r="K721" s="378" t="s">
        <v>397</v>
      </c>
      <c r="L721" s="20" t="s">
        <v>165</v>
      </c>
      <c r="M721" s="380">
        <v>2400</v>
      </c>
      <c r="N721" s="380"/>
      <c r="O721" s="380"/>
      <c r="P721" s="380"/>
      <c r="Q721" s="381">
        <v>239</v>
      </c>
      <c r="R721" s="381"/>
      <c r="S721" s="381"/>
      <c r="T721" s="381"/>
      <c r="U721" s="381"/>
      <c r="V721" s="382">
        <v>239</v>
      </c>
      <c r="W721" s="382">
        <v>0</v>
      </c>
      <c r="X721" s="381">
        <v>9.9583333333333329E-2</v>
      </c>
      <c r="Y721" s="381">
        <v>0</v>
      </c>
      <c r="Z721" s="381">
        <v>0</v>
      </c>
      <c r="AA721" s="381">
        <v>0</v>
      </c>
      <c r="AB721" s="381">
        <v>0</v>
      </c>
      <c r="AC721" s="382">
        <v>9.9583333333333329E-2</v>
      </c>
      <c r="AD721" s="382">
        <v>0</v>
      </c>
      <c r="AE721" s="381" t="s">
        <v>168</v>
      </c>
    </row>
    <row r="722" spans="1:31" ht="15" customHeight="1" x14ac:dyDescent="0.25">
      <c r="A722" s="20" t="s">
        <v>156</v>
      </c>
      <c r="B722" s="20" t="s">
        <v>939</v>
      </c>
      <c r="C722" s="20" t="s">
        <v>940</v>
      </c>
      <c r="D722" s="378" t="s">
        <v>1170</v>
      </c>
      <c r="E722" s="379">
        <v>44620</v>
      </c>
      <c r="F722" s="379">
        <v>46446</v>
      </c>
      <c r="G722" s="378" t="s">
        <v>396</v>
      </c>
      <c r="H722" s="20" t="s">
        <v>393</v>
      </c>
      <c r="I722" s="20"/>
      <c r="J722" s="20" t="s">
        <v>163</v>
      </c>
      <c r="K722" s="378" t="s">
        <v>397</v>
      </c>
      <c r="L722" s="20" t="s">
        <v>165</v>
      </c>
      <c r="M722" s="380">
        <v>2400</v>
      </c>
      <c r="N722" s="380"/>
      <c r="O722" s="380"/>
      <c r="P722" s="380"/>
      <c r="Q722" s="381">
        <v>297</v>
      </c>
      <c r="R722" s="381"/>
      <c r="S722" s="381"/>
      <c r="T722" s="381"/>
      <c r="U722" s="381"/>
      <c r="V722" s="382">
        <v>297</v>
      </c>
      <c r="W722" s="382">
        <v>0</v>
      </c>
      <c r="X722" s="381">
        <v>0.12375</v>
      </c>
      <c r="Y722" s="381">
        <v>0</v>
      </c>
      <c r="Z722" s="381">
        <v>0</v>
      </c>
      <c r="AA722" s="381">
        <v>0</v>
      </c>
      <c r="AB722" s="381">
        <v>0</v>
      </c>
      <c r="AC722" s="382">
        <v>0.12375</v>
      </c>
      <c r="AD722" s="382">
        <v>0</v>
      </c>
      <c r="AE722" s="381" t="s">
        <v>168</v>
      </c>
    </row>
    <row r="723" spans="1:31" ht="15" customHeight="1" x14ac:dyDescent="0.25">
      <c r="A723" s="20" t="s">
        <v>156</v>
      </c>
      <c r="B723" s="20" t="s">
        <v>939</v>
      </c>
      <c r="C723" s="20" t="s">
        <v>940</v>
      </c>
      <c r="D723" s="378" t="s">
        <v>1171</v>
      </c>
      <c r="E723" s="379">
        <v>44620</v>
      </c>
      <c r="F723" s="379">
        <v>46446</v>
      </c>
      <c r="G723" s="378" t="s">
        <v>396</v>
      </c>
      <c r="H723" s="20" t="s">
        <v>393</v>
      </c>
      <c r="I723" s="20"/>
      <c r="J723" s="20" t="s">
        <v>163</v>
      </c>
      <c r="K723" s="378" t="s">
        <v>397</v>
      </c>
      <c r="L723" s="20" t="s">
        <v>165</v>
      </c>
      <c r="M723" s="380">
        <v>2400</v>
      </c>
      <c r="N723" s="380"/>
      <c r="O723" s="380"/>
      <c r="P723" s="380"/>
      <c r="Q723" s="381">
        <v>180</v>
      </c>
      <c r="R723" s="381"/>
      <c r="S723" s="381"/>
      <c r="T723" s="381"/>
      <c r="U723" s="381"/>
      <c r="V723" s="382">
        <v>180</v>
      </c>
      <c r="W723" s="382">
        <v>0</v>
      </c>
      <c r="X723" s="381">
        <v>7.4999999999999997E-2</v>
      </c>
      <c r="Y723" s="381">
        <v>0</v>
      </c>
      <c r="Z723" s="381">
        <v>0</v>
      </c>
      <c r="AA723" s="381">
        <v>0</v>
      </c>
      <c r="AB723" s="381">
        <v>0</v>
      </c>
      <c r="AC723" s="382">
        <v>7.4999999999999997E-2</v>
      </c>
      <c r="AD723" s="382">
        <v>0</v>
      </c>
      <c r="AE723" s="381" t="s">
        <v>168</v>
      </c>
    </row>
    <row r="724" spans="1:31" ht="15" customHeight="1" x14ac:dyDescent="0.25">
      <c r="A724" s="20" t="s">
        <v>156</v>
      </c>
      <c r="B724" s="20" t="s">
        <v>939</v>
      </c>
      <c r="C724" s="20" t="s">
        <v>940</v>
      </c>
      <c r="D724" s="378" t="s">
        <v>1172</v>
      </c>
      <c r="E724" s="379">
        <v>44620</v>
      </c>
      <c r="F724" s="379">
        <v>46446</v>
      </c>
      <c r="G724" s="378" t="s">
        <v>396</v>
      </c>
      <c r="H724" s="20" t="s">
        <v>393</v>
      </c>
      <c r="I724" s="20"/>
      <c r="J724" s="20" t="s">
        <v>163</v>
      </c>
      <c r="K724" s="378" t="s">
        <v>397</v>
      </c>
      <c r="L724" s="20" t="s">
        <v>165</v>
      </c>
      <c r="M724" s="380">
        <v>2400</v>
      </c>
      <c r="N724" s="380"/>
      <c r="O724" s="380"/>
      <c r="P724" s="380"/>
      <c r="Q724" s="381">
        <v>204</v>
      </c>
      <c r="R724" s="381"/>
      <c r="S724" s="381"/>
      <c r="T724" s="381"/>
      <c r="U724" s="381"/>
      <c r="V724" s="382">
        <v>204</v>
      </c>
      <c r="W724" s="382">
        <v>0</v>
      </c>
      <c r="X724" s="381">
        <v>8.5000000000000006E-2</v>
      </c>
      <c r="Y724" s="381">
        <v>0</v>
      </c>
      <c r="Z724" s="381">
        <v>0</v>
      </c>
      <c r="AA724" s="381">
        <v>0</v>
      </c>
      <c r="AB724" s="381">
        <v>0</v>
      </c>
      <c r="AC724" s="382">
        <v>8.5000000000000006E-2</v>
      </c>
      <c r="AD724" s="382">
        <v>0</v>
      </c>
      <c r="AE724" s="381" t="s">
        <v>168</v>
      </c>
    </row>
    <row r="725" spans="1:31" ht="15" customHeight="1" x14ac:dyDescent="0.25">
      <c r="A725" s="20" t="s">
        <v>156</v>
      </c>
      <c r="B725" s="20" t="s">
        <v>939</v>
      </c>
      <c r="C725" s="20" t="s">
        <v>940</v>
      </c>
      <c r="D725" s="378" t="s">
        <v>1173</v>
      </c>
      <c r="E725" s="379">
        <v>44620</v>
      </c>
      <c r="F725" s="379">
        <v>46446</v>
      </c>
      <c r="G725" s="378" t="s">
        <v>396</v>
      </c>
      <c r="H725" s="20" t="s">
        <v>393</v>
      </c>
      <c r="I725" s="20"/>
      <c r="J725" s="20" t="s">
        <v>163</v>
      </c>
      <c r="K725" s="378" t="s">
        <v>397</v>
      </c>
      <c r="L725" s="20" t="s">
        <v>165</v>
      </c>
      <c r="M725" s="380">
        <v>2400</v>
      </c>
      <c r="N725" s="380"/>
      <c r="O725" s="380"/>
      <c r="P725" s="380"/>
      <c r="Q725" s="381">
        <v>223</v>
      </c>
      <c r="R725" s="381"/>
      <c r="S725" s="381"/>
      <c r="T725" s="381"/>
      <c r="U725" s="381"/>
      <c r="V725" s="382">
        <v>223</v>
      </c>
      <c r="W725" s="382">
        <v>0</v>
      </c>
      <c r="X725" s="381">
        <v>9.2916666666666661E-2</v>
      </c>
      <c r="Y725" s="381">
        <v>0</v>
      </c>
      <c r="Z725" s="381">
        <v>0</v>
      </c>
      <c r="AA725" s="381">
        <v>0</v>
      </c>
      <c r="AB725" s="381">
        <v>0</v>
      </c>
      <c r="AC725" s="382">
        <v>9.2916666666666661E-2</v>
      </c>
      <c r="AD725" s="382">
        <v>0</v>
      </c>
      <c r="AE725" s="381" t="s">
        <v>168</v>
      </c>
    </row>
    <row r="726" spans="1:31" ht="15" customHeight="1" x14ac:dyDescent="0.25">
      <c r="A726" s="20" t="s">
        <v>156</v>
      </c>
      <c r="B726" s="20" t="s">
        <v>939</v>
      </c>
      <c r="C726" s="20" t="s">
        <v>940</v>
      </c>
      <c r="D726" s="378" t="s">
        <v>1174</v>
      </c>
      <c r="E726" s="379">
        <v>44620</v>
      </c>
      <c r="F726" s="379">
        <v>46446</v>
      </c>
      <c r="G726" s="378" t="s">
        <v>396</v>
      </c>
      <c r="H726" s="20" t="s">
        <v>393</v>
      </c>
      <c r="I726" s="20"/>
      <c r="J726" s="20" t="s">
        <v>163</v>
      </c>
      <c r="K726" s="378" t="s">
        <v>397</v>
      </c>
      <c r="L726" s="20" t="s">
        <v>165</v>
      </c>
      <c r="M726" s="380">
        <v>2400</v>
      </c>
      <c r="N726" s="380"/>
      <c r="O726" s="380"/>
      <c r="P726" s="380"/>
      <c r="Q726" s="381">
        <v>266</v>
      </c>
      <c r="R726" s="381"/>
      <c r="S726" s="381"/>
      <c r="T726" s="381"/>
      <c r="U726" s="381"/>
      <c r="V726" s="382">
        <v>266</v>
      </c>
      <c r="W726" s="382">
        <v>0</v>
      </c>
      <c r="X726" s="381">
        <v>0.11083333333333334</v>
      </c>
      <c r="Y726" s="381">
        <v>0</v>
      </c>
      <c r="Z726" s="381">
        <v>0</v>
      </c>
      <c r="AA726" s="381">
        <v>0</v>
      </c>
      <c r="AB726" s="381">
        <v>0</v>
      </c>
      <c r="AC726" s="382">
        <v>0.11083333333333334</v>
      </c>
      <c r="AD726" s="382">
        <v>0</v>
      </c>
      <c r="AE726" s="381" t="s">
        <v>168</v>
      </c>
    </row>
    <row r="727" spans="1:31" ht="15" customHeight="1" x14ac:dyDescent="0.25">
      <c r="A727" s="20" t="s">
        <v>156</v>
      </c>
      <c r="B727" s="20" t="s">
        <v>939</v>
      </c>
      <c r="C727" s="20" t="s">
        <v>940</v>
      </c>
      <c r="D727" s="378" t="s">
        <v>1175</v>
      </c>
      <c r="E727" s="379">
        <v>44620</v>
      </c>
      <c r="F727" s="379">
        <v>46446</v>
      </c>
      <c r="G727" s="378" t="s">
        <v>407</v>
      </c>
      <c r="H727" s="20" t="s">
        <v>393</v>
      </c>
      <c r="I727" s="20"/>
      <c r="J727" s="20" t="s">
        <v>163</v>
      </c>
      <c r="K727" s="378" t="s">
        <v>397</v>
      </c>
      <c r="L727" s="20" t="s">
        <v>165</v>
      </c>
      <c r="M727" s="380">
        <v>2400</v>
      </c>
      <c r="N727" s="380"/>
      <c r="O727" s="380"/>
      <c r="P727" s="380"/>
      <c r="Q727" s="381">
        <v>270</v>
      </c>
      <c r="R727" s="381"/>
      <c r="S727" s="381"/>
      <c r="T727" s="381"/>
      <c r="U727" s="381"/>
      <c r="V727" s="382">
        <v>270</v>
      </c>
      <c r="W727" s="382">
        <v>0</v>
      </c>
      <c r="X727" s="381">
        <v>0.1125</v>
      </c>
      <c r="Y727" s="381">
        <v>0</v>
      </c>
      <c r="Z727" s="381">
        <v>0</v>
      </c>
      <c r="AA727" s="381">
        <v>0</v>
      </c>
      <c r="AB727" s="381">
        <v>0</v>
      </c>
      <c r="AC727" s="382">
        <v>0.1125</v>
      </c>
      <c r="AD727" s="382">
        <v>0</v>
      </c>
      <c r="AE727" s="381" t="s">
        <v>168</v>
      </c>
    </row>
    <row r="728" spans="1:31" ht="15" customHeight="1" x14ac:dyDescent="0.25">
      <c r="A728" s="20" t="s">
        <v>156</v>
      </c>
      <c r="B728" s="20" t="s">
        <v>939</v>
      </c>
      <c r="C728" s="20" t="s">
        <v>940</v>
      </c>
      <c r="D728" s="378" t="s">
        <v>1176</v>
      </c>
      <c r="E728" s="379">
        <v>44620</v>
      </c>
      <c r="F728" s="379">
        <v>46446</v>
      </c>
      <c r="G728" s="378" t="s">
        <v>407</v>
      </c>
      <c r="H728" s="20" t="s">
        <v>393</v>
      </c>
      <c r="I728" s="20"/>
      <c r="J728" s="20" t="s">
        <v>163</v>
      </c>
      <c r="K728" s="378" t="s">
        <v>397</v>
      </c>
      <c r="L728" s="20" t="s">
        <v>165</v>
      </c>
      <c r="M728" s="380">
        <v>2400</v>
      </c>
      <c r="N728" s="380"/>
      <c r="O728" s="380"/>
      <c r="P728" s="380"/>
      <c r="Q728" s="381">
        <v>302</v>
      </c>
      <c r="R728" s="381"/>
      <c r="S728" s="381"/>
      <c r="T728" s="381"/>
      <c r="U728" s="381"/>
      <c r="V728" s="382">
        <v>302</v>
      </c>
      <c r="W728" s="382">
        <v>0</v>
      </c>
      <c r="X728" s="381">
        <v>0.12583333333333332</v>
      </c>
      <c r="Y728" s="381">
        <v>0</v>
      </c>
      <c r="Z728" s="381">
        <v>0</v>
      </c>
      <c r="AA728" s="381">
        <v>0</v>
      </c>
      <c r="AB728" s="381">
        <v>0</v>
      </c>
      <c r="AC728" s="382">
        <v>0.12583333333333332</v>
      </c>
      <c r="AD728" s="382">
        <v>0</v>
      </c>
      <c r="AE728" s="381" t="s">
        <v>168</v>
      </c>
    </row>
    <row r="729" spans="1:31" ht="15" customHeight="1" x14ac:dyDescent="0.25">
      <c r="A729" s="20" t="s">
        <v>156</v>
      </c>
      <c r="B729" s="20" t="s">
        <v>939</v>
      </c>
      <c r="C729" s="20" t="s">
        <v>940</v>
      </c>
      <c r="D729" s="378" t="s">
        <v>1177</v>
      </c>
      <c r="E729" s="379">
        <v>44620</v>
      </c>
      <c r="F729" s="379">
        <v>46446</v>
      </c>
      <c r="G729" s="378" t="s">
        <v>407</v>
      </c>
      <c r="H729" s="20" t="s">
        <v>393</v>
      </c>
      <c r="I729" s="20"/>
      <c r="J729" s="20" t="s">
        <v>163</v>
      </c>
      <c r="K729" s="378" t="s">
        <v>397</v>
      </c>
      <c r="L729" s="20" t="s">
        <v>165</v>
      </c>
      <c r="M729" s="380">
        <v>2400</v>
      </c>
      <c r="N729" s="380"/>
      <c r="O729" s="380"/>
      <c r="P729" s="380"/>
      <c r="Q729" s="381">
        <v>281</v>
      </c>
      <c r="R729" s="381"/>
      <c r="S729" s="381"/>
      <c r="T729" s="381"/>
      <c r="U729" s="381"/>
      <c r="V729" s="382">
        <v>281</v>
      </c>
      <c r="W729" s="382">
        <v>0</v>
      </c>
      <c r="X729" s="381">
        <v>0.11708333333333333</v>
      </c>
      <c r="Y729" s="381">
        <v>0</v>
      </c>
      <c r="Z729" s="381">
        <v>0</v>
      </c>
      <c r="AA729" s="381">
        <v>0</v>
      </c>
      <c r="AB729" s="381">
        <v>0</v>
      </c>
      <c r="AC729" s="382">
        <v>0.11708333333333333</v>
      </c>
      <c r="AD729" s="382">
        <v>0</v>
      </c>
      <c r="AE729" s="381" t="s">
        <v>168</v>
      </c>
    </row>
    <row r="730" spans="1:31" ht="15" customHeight="1" x14ac:dyDescent="0.25">
      <c r="A730" s="20" t="s">
        <v>156</v>
      </c>
      <c r="B730" s="20" t="s">
        <v>939</v>
      </c>
      <c r="C730" s="20" t="s">
        <v>940</v>
      </c>
      <c r="D730" s="378" t="s">
        <v>1178</v>
      </c>
      <c r="E730" s="379">
        <v>44620</v>
      </c>
      <c r="F730" s="379">
        <v>46446</v>
      </c>
      <c r="G730" s="378" t="s">
        <v>320</v>
      </c>
      <c r="H730" s="20" t="s">
        <v>393</v>
      </c>
      <c r="I730" s="20"/>
      <c r="J730" s="20" t="s">
        <v>163</v>
      </c>
      <c r="K730" s="378" t="s">
        <v>397</v>
      </c>
      <c r="L730" s="20" t="s">
        <v>165</v>
      </c>
      <c r="M730" s="380">
        <v>2400</v>
      </c>
      <c r="N730" s="380"/>
      <c r="O730" s="380"/>
      <c r="P730" s="380"/>
      <c r="Q730" s="381">
        <v>268</v>
      </c>
      <c r="R730" s="381"/>
      <c r="S730" s="381"/>
      <c r="T730" s="381"/>
      <c r="U730" s="381"/>
      <c r="V730" s="382">
        <v>268</v>
      </c>
      <c r="W730" s="382">
        <v>0</v>
      </c>
      <c r="X730" s="381">
        <v>0.11166666666666666</v>
      </c>
      <c r="Y730" s="381">
        <v>0</v>
      </c>
      <c r="Z730" s="381">
        <v>0</v>
      </c>
      <c r="AA730" s="381">
        <v>0</v>
      </c>
      <c r="AB730" s="381">
        <v>0</v>
      </c>
      <c r="AC730" s="382">
        <v>0.11166666666666666</v>
      </c>
      <c r="AD730" s="382">
        <v>0</v>
      </c>
      <c r="AE730" s="381" t="s">
        <v>168</v>
      </c>
    </row>
    <row r="731" spans="1:31" ht="15" customHeight="1" x14ac:dyDescent="0.25">
      <c r="A731" s="20" t="s">
        <v>156</v>
      </c>
      <c r="B731" s="20" t="s">
        <v>939</v>
      </c>
      <c r="C731" s="20" t="s">
        <v>940</v>
      </c>
      <c r="D731" s="378" t="s">
        <v>1179</v>
      </c>
      <c r="E731" s="379">
        <v>44620</v>
      </c>
      <c r="F731" s="379">
        <v>46446</v>
      </c>
      <c r="G731" s="378" t="s">
        <v>320</v>
      </c>
      <c r="H731" s="20" t="s">
        <v>393</v>
      </c>
      <c r="I731" s="20"/>
      <c r="J731" s="20" t="s">
        <v>163</v>
      </c>
      <c r="K731" s="378" t="s">
        <v>397</v>
      </c>
      <c r="L731" s="20" t="s">
        <v>165</v>
      </c>
      <c r="M731" s="380">
        <v>2400</v>
      </c>
      <c r="N731" s="380"/>
      <c r="O731" s="380"/>
      <c r="P731" s="380"/>
      <c r="Q731" s="381">
        <v>323</v>
      </c>
      <c r="R731" s="381"/>
      <c r="S731" s="381"/>
      <c r="T731" s="381"/>
      <c r="U731" s="381"/>
      <c r="V731" s="382">
        <v>323</v>
      </c>
      <c r="W731" s="382">
        <v>0</v>
      </c>
      <c r="X731" s="381">
        <v>0.13458333333333333</v>
      </c>
      <c r="Y731" s="381">
        <v>0</v>
      </c>
      <c r="Z731" s="381">
        <v>0</v>
      </c>
      <c r="AA731" s="381">
        <v>0</v>
      </c>
      <c r="AB731" s="381">
        <v>0</v>
      </c>
      <c r="AC731" s="382">
        <v>0.13458333333333333</v>
      </c>
      <c r="AD731" s="382">
        <v>0</v>
      </c>
      <c r="AE731" s="381" t="s">
        <v>168</v>
      </c>
    </row>
    <row r="732" spans="1:31" ht="15" customHeight="1" x14ac:dyDescent="0.25">
      <c r="A732" s="20" t="s">
        <v>156</v>
      </c>
      <c r="B732" s="20" t="s">
        <v>939</v>
      </c>
      <c r="C732" s="20" t="s">
        <v>940</v>
      </c>
      <c r="D732" s="378" t="s">
        <v>1180</v>
      </c>
      <c r="E732" s="379">
        <v>44620</v>
      </c>
      <c r="F732" s="379">
        <v>46446</v>
      </c>
      <c r="G732" s="378" t="s">
        <v>320</v>
      </c>
      <c r="H732" s="20" t="s">
        <v>393</v>
      </c>
      <c r="I732" s="20"/>
      <c r="J732" s="20" t="s">
        <v>163</v>
      </c>
      <c r="K732" s="378" t="s">
        <v>397</v>
      </c>
      <c r="L732" s="20" t="s">
        <v>165</v>
      </c>
      <c r="M732" s="380">
        <v>2400</v>
      </c>
      <c r="N732" s="380"/>
      <c r="O732" s="380"/>
      <c r="P732" s="380"/>
      <c r="Q732" s="381">
        <v>271</v>
      </c>
      <c r="R732" s="381"/>
      <c r="S732" s="381"/>
      <c r="T732" s="381"/>
      <c r="U732" s="381"/>
      <c r="V732" s="382">
        <v>271</v>
      </c>
      <c r="W732" s="382">
        <v>0</v>
      </c>
      <c r="X732" s="381">
        <v>0.11291666666666667</v>
      </c>
      <c r="Y732" s="381">
        <v>0</v>
      </c>
      <c r="Z732" s="381">
        <v>0</v>
      </c>
      <c r="AA732" s="381">
        <v>0</v>
      </c>
      <c r="AB732" s="381">
        <v>0</v>
      </c>
      <c r="AC732" s="382">
        <v>0.11291666666666667</v>
      </c>
      <c r="AD732" s="382">
        <v>0</v>
      </c>
      <c r="AE732" s="381" t="s">
        <v>168</v>
      </c>
    </row>
    <row r="733" spans="1:31" ht="15" customHeight="1" x14ac:dyDescent="0.25">
      <c r="A733" s="20" t="s">
        <v>156</v>
      </c>
      <c r="B733" s="20" t="s">
        <v>939</v>
      </c>
      <c r="C733" s="20" t="s">
        <v>940</v>
      </c>
      <c r="D733" s="378" t="s">
        <v>1181</v>
      </c>
      <c r="E733" s="379">
        <v>45016</v>
      </c>
      <c r="F733" s="379">
        <v>46843</v>
      </c>
      <c r="G733" s="378" t="s">
        <v>281</v>
      </c>
      <c r="H733" s="20" t="s">
        <v>282</v>
      </c>
      <c r="I733" s="20" t="s">
        <v>162</v>
      </c>
      <c r="J733" s="20" t="s">
        <v>163</v>
      </c>
      <c r="K733" s="378" t="s">
        <v>283</v>
      </c>
      <c r="L733" s="20" t="s">
        <v>165</v>
      </c>
      <c r="M733" s="380">
        <v>2400</v>
      </c>
      <c r="N733" s="380"/>
      <c r="O733" s="380"/>
      <c r="P733" s="380"/>
      <c r="Q733" s="381">
        <v>302.67</v>
      </c>
      <c r="R733" s="381">
        <v>302.66000000000003</v>
      </c>
      <c r="S733" s="381">
        <v>5.4299999999999999E-3</v>
      </c>
      <c r="T733" s="381"/>
      <c r="U733" s="381"/>
      <c r="V733" s="382">
        <v>302.66543000000001</v>
      </c>
      <c r="W733" s="382">
        <v>0</v>
      </c>
      <c r="X733" s="381">
        <v>0.12611250000000002</v>
      </c>
      <c r="Y733" s="381">
        <v>0.12610833333333335</v>
      </c>
      <c r="Z733" s="381">
        <v>2.2624999999999999E-6</v>
      </c>
      <c r="AA733" s="381">
        <v>0</v>
      </c>
      <c r="AB733" s="381">
        <v>0</v>
      </c>
      <c r="AC733" s="382">
        <v>0.12611059583333334</v>
      </c>
      <c r="AD733" s="382">
        <v>0</v>
      </c>
      <c r="AE733" s="381" t="s">
        <v>168</v>
      </c>
    </row>
    <row r="734" spans="1:31" ht="15" customHeight="1" x14ac:dyDescent="0.25">
      <c r="A734" s="20" t="s">
        <v>156</v>
      </c>
      <c r="B734" s="20" t="s">
        <v>939</v>
      </c>
      <c r="C734" s="20" t="s">
        <v>940</v>
      </c>
      <c r="D734" s="378" t="s">
        <v>1182</v>
      </c>
      <c r="E734" s="379">
        <v>45016</v>
      </c>
      <c r="F734" s="379">
        <v>46843</v>
      </c>
      <c r="G734" s="378" t="s">
        <v>281</v>
      </c>
      <c r="H734" s="20" t="s">
        <v>282</v>
      </c>
      <c r="I734" s="20" t="s">
        <v>162</v>
      </c>
      <c r="J734" s="20" t="s">
        <v>163</v>
      </c>
      <c r="K734" s="378" t="s">
        <v>283</v>
      </c>
      <c r="L734" s="20" t="s">
        <v>165</v>
      </c>
      <c r="M734" s="380">
        <v>2400</v>
      </c>
      <c r="N734" s="380"/>
      <c r="O734" s="380"/>
      <c r="P734" s="380"/>
      <c r="Q734" s="381">
        <v>243.59</v>
      </c>
      <c r="R734" s="381">
        <v>243.56</v>
      </c>
      <c r="S734" s="381">
        <v>2.2700000000000001E-2</v>
      </c>
      <c r="T734" s="381"/>
      <c r="U734" s="381"/>
      <c r="V734" s="382">
        <v>243.58269999999999</v>
      </c>
      <c r="W734" s="382">
        <v>0</v>
      </c>
      <c r="X734" s="381">
        <v>0.10149583333333334</v>
      </c>
      <c r="Y734" s="381">
        <v>0.10148333333333333</v>
      </c>
      <c r="Z734" s="381">
        <v>9.458333333333334E-6</v>
      </c>
      <c r="AA734" s="381">
        <v>0</v>
      </c>
      <c r="AB734" s="381">
        <v>0</v>
      </c>
      <c r="AC734" s="382">
        <v>0.10149279166666667</v>
      </c>
      <c r="AD734" s="382">
        <v>0</v>
      </c>
      <c r="AE734" s="381" t="s">
        <v>168</v>
      </c>
    </row>
    <row r="735" spans="1:31" ht="15" customHeight="1" x14ac:dyDescent="0.25">
      <c r="A735" s="20" t="s">
        <v>156</v>
      </c>
      <c r="B735" s="20" t="s">
        <v>939</v>
      </c>
      <c r="C735" s="20" t="s">
        <v>940</v>
      </c>
      <c r="D735" s="378" t="s">
        <v>1183</v>
      </c>
      <c r="E735" s="379">
        <v>45016</v>
      </c>
      <c r="F735" s="379">
        <v>46843</v>
      </c>
      <c r="G735" s="378" t="s">
        <v>160</v>
      </c>
      <c r="H735" s="20" t="s">
        <v>416</v>
      </c>
      <c r="I735" s="20" t="s">
        <v>162</v>
      </c>
      <c r="J735" s="20" t="s">
        <v>163</v>
      </c>
      <c r="K735" s="378" t="s">
        <v>417</v>
      </c>
      <c r="L735" s="20" t="s">
        <v>165</v>
      </c>
      <c r="M735" s="380">
        <v>2400</v>
      </c>
      <c r="N735" s="380"/>
      <c r="O735" s="380"/>
      <c r="P735" s="380"/>
      <c r="Q735" s="381">
        <v>252.02</v>
      </c>
      <c r="R735" s="381">
        <v>251.97</v>
      </c>
      <c r="S735" s="381">
        <v>0.04</v>
      </c>
      <c r="T735" s="381"/>
      <c r="U735" s="381"/>
      <c r="V735" s="382">
        <v>252.01</v>
      </c>
      <c r="W735" s="382">
        <v>0</v>
      </c>
      <c r="X735" s="381">
        <v>0.10500833333333334</v>
      </c>
      <c r="Y735" s="381">
        <v>0.1049875</v>
      </c>
      <c r="Z735" s="381">
        <v>1.6666666666666667E-5</v>
      </c>
      <c r="AA735" s="381">
        <v>0</v>
      </c>
      <c r="AB735" s="381">
        <v>0</v>
      </c>
      <c r="AC735" s="382">
        <v>0.10500416666666666</v>
      </c>
      <c r="AD735" s="382">
        <v>0</v>
      </c>
      <c r="AE735" s="381" t="s">
        <v>168</v>
      </c>
    </row>
    <row r="736" spans="1:31" ht="15" customHeight="1" x14ac:dyDescent="0.25">
      <c r="A736" s="20" t="s">
        <v>156</v>
      </c>
      <c r="B736" s="20" t="s">
        <v>939</v>
      </c>
      <c r="C736" s="20" t="s">
        <v>940</v>
      </c>
      <c r="D736" s="378" t="s">
        <v>1184</v>
      </c>
      <c r="E736" s="379">
        <v>45016</v>
      </c>
      <c r="F736" s="379">
        <v>46843</v>
      </c>
      <c r="G736" s="378" t="s">
        <v>160</v>
      </c>
      <c r="H736" s="20" t="s">
        <v>416</v>
      </c>
      <c r="I736" s="20" t="s">
        <v>162</v>
      </c>
      <c r="J736" s="20" t="s">
        <v>163</v>
      </c>
      <c r="K736" s="378" t="s">
        <v>417</v>
      </c>
      <c r="L736" s="20" t="s">
        <v>165</v>
      </c>
      <c r="M736" s="380">
        <v>2400</v>
      </c>
      <c r="N736" s="380"/>
      <c r="O736" s="380"/>
      <c r="P736" s="380"/>
      <c r="Q736" s="381">
        <v>240.2</v>
      </c>
      <c r="R736" s="381">
        <v>240.16</v>
      </c>
      <c r="S736" s="381">
        <v>0.03</v>
      </c>
      <c r="T736" s="381"/>
      <c r="U736" s="381"/>
      <c r="V736" s="382">
        <v>240.19</v>
      </c>
      <c r="W736" s="382">
        <v>0</v>
      </c>
      <c r="X736" s="381">
        <v>0.10008333333333333</v>
      </c>
      <c r="Y736" s="381">
        <v>0.10006666666666666</v>
      </c>
      <c r="Z736" s="381">
        <v>1.2499999999999999E-5</v>
      </c>
      <c r="AA736" s="381">
        <v>0</v>
      </c>
      <c r="AB736" s="381">
        <v>0</v>
      </c>
      <c r="AC736" s="382">
        <v>0.10007916666666666</v>
      </c>
      <c r="AD736" s="382">
        <v>0</v>
      </c>
      <c r="AE736" s="381" t="s">
        <v>168</v>
      </c>
    </row>
    <row r="737" spans="1:31" ht="15" customHeight="1" x14ac:dyDescent="0.25">
      <c r="A737" s="20" t="s">
        <v>156</v>
      </c>
      <c r="B737" s="20" t="s">
        <v>939</v>
      </c>
      <c r="C737" s="20" t="s">
        <v>940</v>
      </c>
      <c r="D737" s="378" t="s">
        <v>1185</v>
      </c>
      <c r="E737" s="379">
        <v>45016</v>
      </c>
      <c r="F737" s="379">
        <v>46843</v>
      </c>
      <c r="G737" s="378" t="s">
        <v>160</v>
      </c>
      <c r="H737" s="20" t="s">
        <v>416</v>
      </c>
      <c r="I737" s="20" t="s">
        <v>162</v>
      </c>
      <c r="J737" s="20" t="s">
        <v>163</v>
      </c>
      <c r="K737" s="378" t="s">
        <v>417</v>
      </c>
      <c r="L737" s="20" t="s">
        <v>165</v>
      </c>
      <c r="M737" s="380">
        <v>2400</v>
      </c>
      <c r="N737" s="380"/>
      <c r="O737" s="380"/>
      <c r="P737" s="380"/>
      <c r="Q737" s="381">
        <v>194.07</v>
      </c>
      <c r="R737" s="381">
        <v>194.02</v>
      </c>
      <c r="S737" s="381">
        <v>0.04</v>
      </c>
      <c r="T737" s="381"/>
      <c r="U737" s="381"/>
      <c r="V737" s="382">
        <v>194.06</v>
      </c>
      <c r="W737" s="382">
        <v>0</v>
      </c>
      <c r="X737" s="381">
        <v>8.0862500000000004E-2</v>
      </c>
      <c r="Y737" s="381">
        <v>8.0841666666666673E-2</v>
      </c>
      <c r="Z737" s="381">
        <v>1.6666666666666667E-5</v>
      </c>
      <c r="AA737" s="381">
        <v>0</v>
      </c>
      <c r="AB737" s="381">
        <v>0</v>
      </c>
      <c r="AC737" s="382">
        <v>8.0858333333333338E-2</v>
      </c>
      <c r="AD737" s="382">
        <v>0</v>
      </c>
      <c r="AE737" s="381" t="s">
        <v>168</v>
      </c>
    </row>
    <row r="738" spans="1:31" ht="15" customHeight="1" x14ac:dyDescent="0.25">
      <c r="A738" s="20" t="s">
        <v>156</v>
      </c>
      <c r="B738" s="20" t="s">
        <v>939</v>
      </c>
      <c r="C738" s="20" t="s">
        <v>940</v>
      </c>
      <c r="D738" s="378" t="s">
        <v>1186</v>
      </c>
      <c r="E738" s="379">
        <v>45016</v>
      </c>
      <c r="F738" s="379">
        <v>46843</v>
      </c>
      <c r="G738" s="378" t="s">
        <v>160</v>
      </c>
      <c r="H738" s="20" t="s">
        <v>416</v>
      </c>
      <c r="I738" s="20" t="s">
        <v>162</v>
      </c>
      <c r="J738" s="20" t="s">
        <v>163</v>
      </c>
      <c r="K738" s="378" t="s">
        <v>417</v>
      </c>
      <c r="L738" s="20" t="s">
        <v>165</v>
      </c>
      <c r="M738" s="380">
        <v>2400</v>
      </c>
      <c r="N738" s="380"/>
      <c r="O738" s="380"/>
      <c r="P738" s="380"/>
      <c r="Q738" s="381">
        <v>188.39</v>
      </c>
      <c r="R738" s="381">
        <v>188.35</v>
      </c>
      <c r="S738" s="381">
        <v>0.03</v>
      </c>
      <c r="T738" s="381"/>
      <c r="U738" s="381"/>
      <c r="V738" s="382">
        <v>188.38</v>
      </c>
      <c r="W738" s="382">
        <v>0</v>
      </c>
      <c r="X738" s="381">
        <v>7.8495833333333334E-2</v>
      </c>
      <c r="Y738" s="381">
        <v>7.8479166666666669E-2</v>
      </c>
      <c r="Z738" s="381">
        <v>1.2499999999999999E-5</v>
      </c>
      <c r="AA738" s="381">
        <v>0</v>
      </c>
      <c r="AB738" s="381">
        <v>0</v>
      </c>
      <c r="AC738" s="382">
        <v>7.8491666666666668E-2</v>
      </c>
      <c r="AD738" s="382">
        <v>0</v>
      </c>
      <c r="AE738" s="381" t="s">
        <v>168</v>
      </c>
    </row>
    <row r="739" spans="1:31" ht="15" customHeight="1" x14ac:dyDescent="0.25">
      <c r="A739" s="20" t="s">
        <v>156</v>
      </c>
      <c r="B739" s="20" t="s">
        <v>939</v>
      </c>
      <c r="C739" s="20" t="s">
        <v>940</v>
      </c>
      <c r="D739" s="378" t="s">
        <v>1187</v>
      </c>
      <c r="E739" s="379">
        <v>45016</v>
      </c>
      <c r="F739" s="379">
        <v>46843</v>
      </c>
      <c r="G739" s="378" t="s">
        <v>160</v>
      </c>
      <c r="H739" s="20" t="s">
        <v>416</v>
      </c>
      <c r="I739" s="20" t="s">
        <v>162</v>
      </c>
      <c r="J739" s="20" t="s">
        <v>163</v>
      </c>
      <c r="K739" s="378" t="s">
        <v>417</v>
      </c>
      <c r="L739" s="20" t="s">
        <v>165</v>
      </c>
      <c r="M739" s="380">
        <v>2400</v>
      </c>
      <c r="N739" s="380"/>
      <c r="O739" s="380"/>
      <c r="P739" s="380"/>
      <c r="Q739" s="381">
        <v>188.17</v>
      </c>
      <c r="R739" s="381">
        <v>188.13</v>
      </c>
      <c r="S739" s="381">
        <v>0.03</v>
      </c>
      <c r="T739" s="381"/>
      <c r="U739" s="381"/>
      <c r="V739" s="382">
        <v>188.16</v>
      </c>
      <c r="W739" s="382">
        <v>0</v>
      </c>
      <c r="X739" s="381">
        <v>7.8404166666666664E-2</v>
      </c>
      <c r="Y739" s="381">
        <v>7.8387499999999999E-2</v>
      </c>
      <c r="Z739" s="381">
        <v>1.2499999999999999E-5</v>
      </c>
      <c r="AA739" s="381">
        <v>0</v>
      </c>
      <c r="AB739" s="381">
        <v>0</v>
      </c>
      <c r="AC739" s="382">
        <v>7.8399999999999997E-2</v>
      </c>
      <c r="AD739" s="382">
        <v>0</v>
      </c>
      <c r="AE739" s="381" t="s">
        <v>168</v>
      </c>
    </row>
    <row r="740" spans="1:31" ht="15" customHeight="1" x14ac:dyDescent="0.25">
      <c r="A740" s="20" t="s">
        <v>156</v>
      </c>
      <c r="B740" s="20" t="s">
        <v>939</v>
      </c>
      <c r="C740" s="20" t="s">
        <v>940</v>
      </c>
      <c r="D740" s="378" t="s">
        <v>1188</v>
      </c>
      <c r="E740" s="379">
        <v>44910</v>
      </c>
      <c r="F740" s="379">
        <v>46736</v>
      </c>
      <c r="G740" s="378" t="s">
        <v>173</v>
      </c>
      <c r="H740" s="20" t="s">
        <v>174</v>
      </c>
      <c r="I740" s="20" t="s">
        <v>162</v>
      </c>
      <c r="J740" s="20" t="s">
        <v>163</v>
      </c>
      <c r="K740" s="378" t="s">
        <v>175</v>
      </c>
      <c r="L740" s="20" t="s">
        <v>165</v>
      </c>
      <c r="M740" s="380">
        <v>2400</v>
      </c>
      <c r="N740" s="380"/>
      <c r="O740" s="380"/>
      <c r="P740" s="380"/>
      <c r="Q740" s="381">
        <v>253</v>
      </c>
      <c r="R740" s="381">
        <v>250</v>
      </c>
      <c r="S740" s="381">
        <v>2.83</v>
      </c>
      <c r="T740" s="381"/>
      <c r="U740" s="381"/>
      <c r="V740" s="382">
        <v>252.83</v>
      </c>
      <c r="W740" s="382">
        <v>0</v>
      </c>
      <c r="X740" s="381">
        <v>0.10541666666666667</v>
      </c>
      <c r="Y740" s="381">
        <v>0.10416666666666667</v>
      </c>
      <c r="Z740" s="381">
        <v>1.1791666666666667E-3</v>
      </c>
      <c r="AA740" s="381">
        <v>0</v>
      </c>
      <c r="AB740" s="381">
        <v>0</v>
      </c>
      <c r="AC740" s="382">
        <v>0.10534583333333333</v>
      </c>
      <c r="AD740" s="382">
        <v>0</v>
      </c>
      <c r="AE740" s="381" t="s">
        <v>168</v>
      </c>
    </row>
    <row r="741" spans="1:31" ht="15" customHeight="1" x14ac:dyDescent="0.25">
      <c r="A741" s="20" t="s">
        <v>156</v>
      </c>
      <c r="B741" s="20" t="s">
        <v>939</v>
      </c>
      <c r="C741" s="20" t="s">
        <v>940</v>
      </c>
      <c r="D741" s="378" t="s">
        <v>1189</v>
      </c>
      <c r="E741" s="379">
        <v>44910</v>
      </c>
      <c r="F741" s="379">
        <v>46736</v>
      </c>
      <c r="G741" s="378" t="s">
        <v>173</v>
      </c>
      <c r="H741" s="20" t="s">
        <v>174</v>
      </c>
      <c r="I741" s="20" t="s">
        <v>162</v>
      </c>
      <c r="J741" s="20" t="s">
        <v>163</v>
      </c>
      <c r="K741" s="378" t="s">
        <v>175</v>
      </c>
      <c r="L741" s="20" t="s">
        <v>165</v>
      </c>
      <c r="M741" s="380">
        <v>2400</v>
      </c>
      <c r="N741" s="380"/>
      <c r="O741" s="380"/>
      <c r="P741" s="380"/>
      <c r="Q741" s="381">
        <v>374</v>
      </c>
      <c r="R741" s="381">
        <v>369</v>
      </c>
      <c r="S741" s="381">
        <v>4.6900000000000004</v>
      </c>
      <c r="T741" s="381"/>
      <c r="U741" s="381"/>
      <c r="V741" s="382">
        <v>373.69</v>
      </c>
      <c r="W741" s="382">
        <v>0</v>
      </c>
      <c r="X741" s="381">
        <v>0.15583333333333332</v>
      </c>
      <c r="Y741" s="381">
        <v>0.15375</v>
      </c>
      <c r="Z741" s="381">
        <v>1.954166666666667E-3</v>
      </c>
      <c r="AA741" s="381">
        <v>0</v>
      </c>
      <c r="AB741" s="381">
        <v>0</v>
      </c>
      <c r="AC741" s="382">
        <v>0.15570416666666667</v>
      </c>
      <c r="AD741" s="382">
        <v>0</v>
      </c>
      <c r="AE741" s="381" t="s">
        <v>168</v>
      </c>
    </row>
    <row r="742" spans="1:31" ht="15" customHeight="1" x14ac:dyDescent="0.25">
      <c r="A742" s="20" t="s">
        <v>156</v>
      </c>
      <c r="B742" s="20" t="s">
        <v>939</v>
      </c>
      <c r="C742" s="20" t="s">
        <v>940</v>
      </c>
      <c r="D742" s="378" t="s">
        <v>1190</v>
      </c>
      <c r="E742" s="379">
        <v>44910</v>
      </c>
      <c r="F742" s="379">
        <v>46736</v>
      </c>
      <c r="G742" s="378" t="s">
        <v>173</v>
      </c>
      <c r="H742" s="20" t="s">
        <v>174</v>
      </c>
      <c r="I742" s="20" t="s">
        <v>162</v>
      </c>
      <c r="J742" s="20" t="s">
        <v>163</v>
      </c>
      <c r="K742" s="378" t="s">
        <v>175</v>
      </c>
      <c r="L742" s="20" t="s">
        <v>165</v>
      </c>
      <c r="M742" s="380">
        <v>2400</v>
      </c>
      <c r="N742" s="380"/>
      <c r="O742" s="380"/>
      <c r="P742" s="380"/>
      <c r="Q742" s="381">
        <v>369</v>
      </c>
      <c r="R742" s="381">
        <v>364</v>
      </c>
      <c r="S742" s="381">
        <v>4.6100000000000003</v>
      </c>
      <c r="T742" s="381"/>
      <c r="U742" s="381"/>
      <c r="V742" s="382">
        <v>368.61</v>
      </c>
      <c r="W742" s="382">
        <v>0</v>
      </c>
      <c r="X742" s="381">
        <v>0.15375</v>
      </c>
      <c r="Y742" s="381">
        <v>0.15166666666666667</v>
      </c>
      <c r="Z742" s="381">
        <v>1.9208333333333334E-3</v>
      </c>
      <c r="AA742" s="381">
        <v>0</v>
      </c>
      <c r="AB742" s="381">
        <v>0</v>
      </c>
      <c r="AC742" s="382">
        <v>0.15358750000000002</v>
      </c>
      <c r="AD742" s="382">
        <v>0</v>
      </c>
      <c r="AE742" s="381" t="s">
        <v>168</v>
      </c>
    </row>
    <row r="743" spans="1:31" ht="15" customHeight="1" x14ac:dyDescent="0.25">
      <c r="A743" s="20" t="s">
        <v>156</v>
      </c>
      <c r="B743" s="20" t="s">
        <v>939</v>
      </c>
      <c r="C743" s="20" t="s">
        <v>940</v>
      </c>
      <c r="D743" s="378" t="s">
        <v>1191</v>
      </c>
      <c r="E743" s="379">
        <v>44581</v>
      </c>
      <c r="F743" s="379">
        <v>46407</v>
      </c>
      <c r="G743" s="378" t="s">
        <v>237</v>
      </c>
      <c r="H743" s="20" t="s">
        <v>238</v>
      </c>
      <c r="I743" s="20" t="s">
        <v>162</v>
      </c>
      <c r="J743" s="20" t="s">
        <v>163</v>
      </c>
      <c r="K743" s="378" t="s">
        <v>239</v>
      </c>
      <c r="L743" s="20" t="s">
        <v>165</v>
      </c>
      <c r="M743" s="380">
        <v>2400</v>
      </c>
      <c r="N743" s="380"/>
      <c r="O743" s="380"/>
      <c r="P743" s="380"/>
      <c r="Q743" s="381" t="s">
        <v>1192</v>
      </c>
      <c r="R743" s="381" t="s">
        <v>1193</v>
      </c>
      <c r="S743" s="381" t="s">
        <v>1194</v>
      </c>
      <c r="T743" s="381"/>
      <c r="U743" s="381"/>
      <c r="V743" s="382">
        <v>273.64999999999998</v>
      </c>
      <c r="W743" s="382">
        <v>0</v>
      </c>
      <c r="X743" s="381">
        <v>0.11416666666666667</v>
      </c>
      <c r="Y743" s="381">
        <v>0.11375</v>
      </c>
      <c r="Z743" s="381">
        <v>2.7083333333333332E-4</v>
      </c>
      <c r="AA743" s="381">
        <v>0</v>
      </c>
      <c r="AB743" s="381">
        <v>0</v>
      </c>
      <c r="AC743" s="382">
        <v>0.11402083333333334</v>
      </c>
      <c r="AD743" s="382">
        <v>0</v>
      </c>
      <c r="AE743" s="381" t="s">
        <v>168</v>
      </c>
    </row>
    <row r="744" spans="1:31" ht="15" customHeight="1" x14ac:dyDescent="0.25">
      <c r="A744" s="20" t="s">
        <v>156</v>
      </c>
      <c r="B744" s="20" t="s">
        <v>939</v>
      </c>
      <c r="C744" s="20" t="s">
        <v>940</v>
      </c>
      <c r="D744" s="378" t="s">
        <v>1195</v>
      </c>
      <c r="E744" s="379">
        <v>45038</v>
      </c>
      <c r="F744" s="379">
        <v>46865</v>
      </c>
      <c r="G744" s="383" t="s">
        <v>193</v>
      </c>
      <c r="H744" s="20" t="s">
        <v>229</v>
      </c>
      <c r="I744" s="20" t="s">
        <v>162</v>
      </c>
      <c r="J744" s="20" t="s">
        <v>163</v>
      </c>
      <c r="K744" s="378" t="s">
        <v>230</v>
      </c>
      <c r="L744" s="20" t="s">
        <v>165</v>
      </c>
      <c r="M744" s="380">
        <v>2400</v>
      </c>
      <c r="N744" s="380"/>
      <c r="O744" s="380"/>
      <c r="P744" s="380"/>
      <c r="Q744" s="381" t="s">
        <v>1038</v>
      </c>
      <c r="R744" s="381" t="s">
        <v>1001</v>
      </c>
      <c r="S744" s="381" t="s">
        <v>1196</v>
      </c>
      <c r="T744" s="381"/>
      <c r="U744" s="381"/>
      <c r="V744" s="382">
        <v>258.64</v>
      </c>
      <c r="W744" s="382">
        <v>0</v>
      </c>
      <c r="X744" s="381">
        <v>0.10791666666666666</v>
      </c>
      <c r="Y744" s="381">
        <v>0.1075</v>
      </c>
      <c r="Z744" s="381">
        <v>2.6666666666666668E-4</v>
      </c>
      <c r="AA744" s="381">
        <v>0</v>
      </c>
      <c r="AB744" s="381">
        <v>0</v>
      </c>
      <c r="AC744" s="382">
        <v>0.10776666666666666</v>
      </c>
      <c r="AD744" s="382">
        <v>0</v>
      </c>
      <c r="AE744" s="381" t="s">
        <v>168</v>
      </c>
    </row>
    <row r="745" spans="1:31" ht="15" customHeight="1" x14ac:dyDescent="0.25">
      <c r="A745" s="20" t="s">
        <v>156</v>
      </c>
      <c r="B745" s="20" t="s">
        <v>939</v>
      </c>
      <c r="C745" s="20" t="s">
        <v>940</v>
      </c>
      <c r="D745" s="378" t="s">
        <v>1197</v>
      </c>
      <c r="E745" s="379">
        <v>44910</v>
      </c>
      <c r="F745" s="379">
        <v>46736</v>
      </c>
      <c r="G745" s="378" t="s">
        <v>173</v>
      </c>
      <c r="H745" s="20" t="s">
        <v>174</v>
      </c>
      <c r="I745" s="20" t="s">
        <v>162</v>
      </c>
      <c r="J745" s="20" t="s">
        <v>163</v>
      </c>
      <c r="K745" s="378" t="s">
        <v>175</v>
      </c>
      <c r="L745" s="20" t="s">
        <v>165</v>
      </c>
      <c r="M745" s="380">
        <v>2400</v>
      </c>
      <c r="N745" s="380"/>
      <c r="O745" s="380"/>
      <c r="P745" s="380"/>
      <c r="Q745" s="381">
        <v>181</v>
      </c>
      <c r="R745" s="381">
        <v>179</v>
      </c>
      <c r="S745" s="381">
        <v>1.72</v>
      </c>
      <c r="T745" s="381"/>
      <c r="U745" s="381"/>
      <c r="V745" s="382">
        <v>180.72</v>
      </c>
      <c r="W745" s="382">
        <v>0</v>
      </c>
      <c r="X745" s="381">
        <v>7.5416666666666674E-2</v>
      </c>
      <c r="Y745" s="381">
        <v>7.4583333333333335E-2</v>
      </c>
      <c r="Z745" s="381">
        <v>7.1666666666666667E-4</v>
      </c>
      <c r="AA745" s="381">
        <v>0</v>
      </c>
      <c r="AB745" s="381">
        <v>0</v>
      </c>
      <c r="AC745" s="382">
        <v>7.5300000000000006E-2</v>
      </c>
      <c r="AD745" s="382">
        <v>0</v>
      </c>
      <c r="AE745" s="381" t="s">
        <v>168</v>
      </c>
    </row>
    <row r="746" spans="1:31" ht="15" customHeight="1" x14ac:dyDescent="0.25">
      <c r="A746" s="20" t="s">
        <v>156</v>
      </c>
      <c r="B746" s="20" t="s">
        <v>939</v>
      </c>
      <c r="C746" s="20" t="s">
        <v>940</v>
      </c>
      <c r="D746" s="378" t="s">
        <v>1198</v>
      </c>
      <c r="E746" s="379">
        <v>44573</v>
      </c>
      <c r="F746" s="379">
        <v>46656</v>
      </c>
      <c r="G746" s="378" t="s">
        <v>179</v>
      </c>
      <c r="H746" s="20" t="s">
        <v>180</v>
      </c>
      <c r="I746" s="20" t="s">
        <v>162</v>
      </c>
      <c r="J746" s="20" t="s">
        <v>163</v>
      </c>
      <c r="K746" s="378" t="s">
        <v>181</v>
      </c>
      <c r="L746" s="20" t="s">
        <v>165</v>
      </c>
      <c r="M746" s="380">
        <v>2400</v>
      </c>
      <c r="N746" s="380"/>
      <c r="O746" s="380"/>
      <c r="P746" s="380"/>
      <c r="Q746" s="381" t="s">
        <v>1199</v>
      </c>
      <c r="R746" s="381" t="s">
        <v>1200</v>
      </c>
      <c r="S746" s="381" t="s">
        <v>1201</v>
      </c>
      <c r="T746" s="381"/>
      <c r="U746" s="381"/>
      <c r="V746" s="382">
        <v>264.45</v>
      </c>
      <c r="W746" s="382">
        <v>0</v>
      </c>
      <c r="X746" s="381">
        <v>0.11041666666666666</v>
      </c>
      <c r="Y746" s="381">
        <v>0.11</v>
      </c>
      <c r="Z746" s="381">
        <v>1.875E-4</v>
      </c>
      <c r="AA746" s="381">
        <v>0</v>
      </c>
      <c r="AB746" s="381">
        <v>0</v>
      </c>
      <c r="AC746" s="382">
        <v>0.11018749999999999</v>
      </c>
      <c r="AD746" s="382">
        <v>0</v>
      </c>
      <c r="AE746" s="381" t="s">
        <v>168</v>
      </c>
    </row>
    <row r="747" spans="1:31" ht="15" customHeight="1" x14ac:dyDescent="0.25">
      <c r="A747" s="20" t="s">
        <v>156</v>
      </c>
      <c r="B747" s="20" t="s">
        <v>939</v>
      </c>
      <c r="C747" s="20" t="s">
        <v>940</v>
      </c>
      <c r="D747" s="378" t="s">
        <v>1202</v>
      </c>
      <c r="E747" s="379">
        <v>45016</v>
      </c>
      <c r="F747" s="379">
        <v>46843</v>
      </c>
      <c r="G747" s="378" t="s">
        <v>193</v>
      </c>
      <c r="H747" s="20" t="s">
        <v>194</v>
      </c>
      <c r="I747" s="20" t="s">
        <v>162</v>
      </c>
      <c r="J747" s="20" t="s">
        <v>163</v>
      </c>
      <c r="K747" s="378" t="s">
        <v>195</v>
      </c>
      <c r="L747" s="20" t="s">
        <v>165</v>
      </c>
      <c r="M747" s="380">
        <v>2400</v>
      </c>
      <c r="N747" s="380"/>
      <c r="O747" s="380"/>
      <c r="P747" s="380"/>
      <c r="Q747" s="381">
        <v>271</v>
      </c>
      <c r="R747" s="381">
        <v>270</v>
      </c>
      <c r="S747" s="381">
        <v>0.27700000000000002</v>
      </c>
      <c r="T747" s="381"/>
      <c r="U747" s="381"/>
      <c r="V747" s="382">
        <v>270.27699999999999</v>
      </c>
      <c r="W747" s="382">
        <v>0</v>
      </c>
      <c r="X747" s="381">
        <v>0.11291666666666667</v>
      </c>
      <c r="Y747" s="381">
        <v>0.1125</v>
      </c>
      <c r="Z747" s="381">
        <v>1.1541666666666668E-4</v>
      </c>
      <c r="AA747" s="381">
        <v>0</v>
      </c>
      <c r="AB747" s="381">
        <v>0</v>
      </c>
      <c r="AC747" s="382">
        <v>0.11261541666666668</v>
      </c>
      <c r="AD747" s="382">
        <v>0</v>
      </c>
      <c r="AE747" s="381" t="s">
        <v>168</v>
      </c>
    </row>
    <row r="748" spans="1:31" ht="15" customHeight="1" x14ac:dyDescent="0.25">
      <c r="A748" s="20" t="s">
        <v>156</v>
      </c>
      <c r="B748" s="20" t="s">
        <v>939</v>
      </c>
      <c r="C748" s="20" t="s">
        <v>940</v>
      </c>
      <c r="D748" s="378" t="s">
        <v>1203</v>
      </c>
      <c r="E748" s="379">
        <v>44588</v>
      </c>
      <c r="F748" s="379">
        <v>46414</v>
      </c>
      <c r="G748" s="378" t="s">
        <v>160</v>
      </c>
      <c r="H748" s="20" t="s">
        <v>161</v>
      </c>
      <c r="I748" s="20" t="s">
        <v>162</v>
      </c>
      <c r="J748" s="20" t="s">
        <v>163</v>
      </c>
      <c r="K748" s="378" t="s">
        <v>164</v>
      </c>
      <c r="L748" s="20" t="s">
        <v>165</v>
      </c>
      <c r="M748" s="380">
        <v>2400</v>
      </c>
      <c r="N748" s="380"/>
      <c r="O748" s="380"/>
      <c r="P748" s="380"/>
      <c r="Q748" s="381" t="s">
        <v>1042</v>
      </c>
      <c r="R748" s="381">
        <v>244</v>
      </c>
      <c r="S748" s="381" t="s">
        <v>948</v>
      </c>
      <c r="T748" s="381"/>
      <c r="U748" s="381"/>
      <c r="V748" s="382">
        <v>244.34</v>
      </c>
      <c r="W748" s="382">
        <v>0</v>
      </c>
      <c r="X748" s="381">
        <v>0.10208333333333333</v>
      </c>
      <c r="Y748" s="381">
        <v>0.10166666666666667</v>
      </c>
      <c r="Z748" s="381">
        <v>1.4166666666666668E-4</v>
      </c>
      <c r="AA748" s="381">
        <v>0</v>
      </c>
      <c r="AB748" s="381">
        <v>0</v>
      </c>
      <c r="AC748" s="382">
        <v>0.10180833333333333</v>
      </c>
      <c r="AD748" s="382">
        <v>0</v>
      </c>
      <c r="AE748" s="381" t="s">
        <v>168</v>
      </c>
    </row>
    <row r="749" spans="1:31" ht="15" customHeight="1" x14ac:dyDescent="0.25">
      <c r="A749" s="20" t="s">
        <v>156</v>
      </c>
      <c r="B749" s="20" t="s">
        <v>939</v>
      </c>
      <c r="C749" s="20" t="s">
        <v>940</v>
      </c>
      <c r="D749" s="378" t="s">
        <v>1204</v>
      </c>
      <c r="E749" s="379">
        <v>44588</v>
      </c>
      <c r="F749" s="379">
        <v>46414</v>
      </c>
      <c r="G749" s="378" t="s">
        <v>160</v>
      </c>
      <c r="H749" s="20" t="s">
        <v>161</v>
      </c>
      <c r="I749" s="20" t="s">
        <v>162</v>
      </c>
      <c r="J749" s="20" t="s">
        <v>163</v>
      </c>
      <c r="K749" s="378" t="s">
        <v>164</v>
      </c>
      <c r="L749" s="20" t="s">
        <v>165</v>
      </c>
      <c r="M749" s="380">
        <v>2400</v>
      </c>
      <c r="N749" s="380"/>
      <c r="O749" s="380"/>
      <c r="P749" s="380"/>
      <c r="Q749" s="381" t="s">
        <v>950</v>
      </c>
      <c r="R749" s="381">
        <v>238</v>
      </c>
      <c r="S749" s="381" t="s">
        <v>755</v>
      </c>
      <c r="T749" s="381"/>
      <c r="U749" s="381"/>
      <c r="V749" s="382">
        <v>238.33</v>
      </c>
      <c r="W749" s="382">
        <v>0</v>
      </c>
      <c r="X749" s="381">
        <v>9.9583333333333329E-2</v>
      </c>
      <c r="Y749" s="381">
        <v>9.9166666666666667E-2</v>
      </c>
      <c r="Z749" s="381">
        <v>1.3750000000000001E-4</v>
      </c>
      <c r="AA749" s="381">
        <v>0</v>
      </c>
      <c r="AB749" s="381">
        <v>0</v>
      </c>
      <c r="AC749" s="382">
        <v>9.9304166666666666E-2</v>
      </c>
      <c r="AD749" s="382">
        <v>0</v>
      </c>
      <c r="AE749" s="381" t="s">
        <v>168</v>
      </c>
    </row>
    <row r="750" spans="1:31" ht="15" customHeight="1" x14ac:dyDescent="0.25">
      <c r="A750" s="20" t="s">
        <v>156</v>
      </c>
      <c r="B750" s="20" t="s">
        <v>939</v>
      </c>
      <c r="C750" s="20" t="s">
        <v>940</v>
      </c>
      <c r="D750" s="378" t="s">
        <v>941</v>
      </c>
      <c r="E750" s="379">
        <v>44573</v>
      </c>
      <c r="F750" s="379">
        <v>46656</v>
      </c>
      <c r="G750" s="378" t="s">
        <v>179</v>
      </c>
      <c r="H750" s="20" t="s">
        <v>180</v>
      </c>
      <c r="I750" s="20" t="s">
        <v>162</v>
      </c>
      <c r="J750" s="20" t="s">
        <v>163</v>
      </c>
      <c r="K750" s="378" t="s">
        <v>181</v>
      </c>
      <c r="L750" s="20" t="s">
        <v>165</v>
      </c>
      <c r="M750" s="380">
        <v>2400</v>
      </c>
      <c r="N750" s="380"/>
      <c r="O750" s="380"/>
      <c r="P750" s="380"/>
      <c r="Q750" s="381" t="s">
        <v>979</v>
      </c>
      <c r="R750" s="381" t="s">
        <v>950</v>
      </c>
      <c r="S750" s="381" t="s">
        <v>960</v>
      </c>
      <c r="T750" s="381"/>
      <c r="U750" s="381"/>
      <c r="V750" s="382">
        <v>239.28</v>
      </c>
      <c r="W750" s="382">
        <v>0</v>
      </c>
      <c r="X750" s="381">
        <v>0.1</v>
      </c>
      <c r="Y750" s="381">
        <v>9.9583333333333329E-2</v>
      </c>
      <c r="Z750" s="381">
        <v>1.1666666666666668E-4</v>
      </c>
      <c r="AA750" s="381">
        <v>0</v>
      </c>
      <c r="AB750" s="381">
        <v>0</v>
      </c>
      <c r="AC750" s="382">
        <v>9.9699999999999997E-2</v>
      </c>
      <c r="AD750" s="382">
        <v>0</v>
      </c>
      <c r="AE750" s="381" t="s">
        <v>168</v>
      </c>
    </row>
    <row r="751" spans="1:31" ht="15" customHeight="1" x14ac:dyDescent="0.25">
      <c r="A751" s="20" t="s">
        <v>156</v>
      </c>
      <c r="B751" s="20" t="s">
        <v>939</v>
      </c>
      <c r="C751" s="20" t="s">
        <v>940</v>
      </c>
      <c r="D751" s="378" t="s">
        <v>1205</v>
      </c>
      <c r="E751" s="379">
        <v>44581</v>
      </c>
      <c r="F751" s="379">
        <v>46407</v>
      </c>
      <c r="G751" s="378" t="s">
        <v>237</v>
      </c>
      <c r="H751" s="20" t="s">
        <v>238</v>
      </c>
      <c r="I751" s="20" t="s">
        <v>162</v>
      </c>
      <c r="J751" s="20" t="s">
        <v>163</v>
      </c>
      <c r="K751" s="378" t="s">
        <v>239</v>
      </c>
      <c r="L751" s="20" t="s">
        <v>165</v>
      </c>
      <c r="M751" s="380">
        <v>2400</v>
      </c>
      <c r="N751" s="380"/>
      <c r="O751" s="380"/>
      <c r="P751" s="380"/>
      <c r="Q751" s="381" t="s">
        <v>1206</v>
      </c>
      <c r="R751" s="381" t="s">
        <v>1040</v>
      </c>
      <c r="S751" s="381" t="s">
        <v>189</v>
      </c>
      <c r="T751" s="381"/>
      <c r="U751" s="381"/>
      <c r="V751" s="382">
        <v>261.16000000000003</v>
      </c>
      <c r="W751" s="382">
        <v>0</v>
      </c>
      <c r="X751" s="381">
        <v>0.10916666666666666</v>
      </c>
      <c r="Y751" s="381">
        <v>0.10875</v>
      </c>
      <c r="Z751" s="381">
        <v>6.666666666666667E-5</v>
      </c>
      <c r="AA751" s="381">
        <v>0</v>
      </c>
      <c r="AB751" s="381">
        <v>0</v>
      </c>
      <c r="AC751" s="382">
        <v>0.10881666666666667</v>
      </c>
      <c r="AD751" s="382">
        <v>0</v>
      </c>
      <c r="AE751" s="381" t="s">
        <v>168</v>
      </c>
    </row>
    <row r="752" spans="1:31" ht="15" customHeight="1" x14ac:dyDescent="0.25">
      <c r="A752" s="20" t="s">
        <v>156</v>
      </c>
      <c r="B752" s="20" t="s">
        <v>939</v>
      </c>
      <c r="C752" s="20" t="s">
        <v>940</v>
      </c>
      <c r="D752" s="378" t="s">
        <v>1207</v>
      </c>
      <c r="E752" s="379">
        <v>44573</v>
      </c>
      <c r="F752" s="379">
        <v>46656</v>
      </c>
      <c r="G752" s="378" t="s">
        <v>179</v>
      </c>
      <c r="H752" s="20" t="s">
        <v>180</v>
      </c>
      <c r="I752" s="20" t="s">
        <v>162</v>
      </c>
      <c r="J752" s="20" t="s">
        <v>163</v>
      </c>
      <c r="K752" s="378" t="s">
        <v>181</v>
      </c>
      <c r="L752" s="20" t="s">
        <v>165</v>
      </c>
      <c r="M752" s="380">
        <v>2400</v>
      </c>
      <c r="N752" s="380"/>
      <c r="O752" s="380"/>
      <c r="P752" s="380"/>
      <c r="Q752" s="381" t="s">
        <v>581</v>
      </c>
      <c r="R752" s="381" t="s">
        <v>543</v>
      </c>
      <c r="S752" s="381" t="s">
        <v>545</v>
      </c>
      <c r="T752" s="381"/>
      <c r="U752" s="381"/>
      <c r="V752" s="382">
        <v>221.27</v>
      </c>
      <c r="W752" s="382">
        <v>0</v>
      </c>
      <c r="X752" s="381">
        <v>9.2499999999999999E-2</v>
      </c>
      <c r="Y752" s="381">
        <v>9.2083333333333336E-2</v>
      </c>
      <c r="Z752" s="381">
        <v>1.1250000000000001E-4</v>
      </c>
      <c r="AA752" s="381">
        <v>0</v>
      </c>
      <c r="AB752" s="381">
        <v>0</v>
      </c>
      <c r="AC752" s="382">
        <v>9.2195833333333338E-2</v>
      </c>
      <c r="AD752" s="382">
        <v>0</v>
      </c>
      <c r="AE752" s="381" t="s">
        <v>168</v>
      </c>
    </row>
    <row r="753" spans="1:31" ht="15" customHeight="1" x14ac:dyDescent="0.25">
      <c r="A753" s="20" t="s">
        <v>156</v>
      </c>
      <c r="B753" s="20" t="s">
        <v>939</v>
      </c>
      <c r="C753" s="20" t="s">
        <v>940</v>
      </c>
      <c r="D753" s="378" t="s">
        <v>1208</v>
      </c>
      <c r="E753" s="379">
        <v>44525</v>
      </c>
      <c r="F753" s="379">
        <v>46351</v>
      </c>
      <c r="G753" s="378" t="s">
        <v>262</v>
      </c>
      <c r="H753" s="20" t="s">
        <v>263</v>
      </c>
      <c r="I753" s="20" t="s">
        <v>162</v>
      </c>
      <c r="J753" s="20" t="s">
        <v>163</v>
      </c>
      <c r="K753" s="378" t="s">
        <v>264</v>
      </c>
      <c r="L753" s="20" t="s">
        <v>165</v>
      </c>
      <c r="M753" s="380">
        <v>2400</v>
      </c>
      <c r="N753" s="380"/>
      <c r="O753" s="380"/>
      <c r="P753" s="380"/>
      <c r="Q753" s="381" t="s">
        <v>1209</v>
      </c>
      <c r="R753" s="381" t="s">
        <v>1210</v>
      </c>
      <c r="S753" s="381" t="s">
        <v>266</v>
      </c>
      <c r="T753" s="381"/>
      <c r="U753" s="381"/>
      <c r="V753" s="382">
        <v>253.13</v>
      </c>
      <c r="W753" s="382">
        <v>0</v>
      </c>
      <c r="X753" s="381">
        <v>0.10583333333333333</v>
      </c>
      <c r="Y753" s="381">
        <v>0.10541666666666667</v>
      </c>
      <c r="Z753" s="381">
        <v>5.4166666666666671E-5</v>
      </c>
      <c r="AA753" s="381">
        <v>0</v>
      </c>
      <c r="AB753" s="381">
        <v>0</v>
      </c>
      <c r="AC753" s="382">
        <v>0.10547083333333333</v>
      </c>
      <c r="AD753" s="382">
        <v>0</v>
      </c>
      <c r="AE753" s="381" t="s">
        <v>168</v>
      </c>
    </row>
    <row r="754" spans="1:31" ht="15" customHeight="1" x14ac:dyDescent="0.25">
      <c r="A754" s="20" t="s">
        <v>156</v>
      </c>
      <c r="B754" s="20" t="s">
        <v>939</v>
      </c>
      <c r="C754" s="20" t="s">
        <v>940</v>
      </c>
      <c r="D754" s="378" t="s">
        <v>1211</v>
      </c>
      <c r="E754" s="379">
        <v>44581</v>
      </c>
      <c r="F754" s="379">
        <v>46407</v>
      </c>
      <c r="G754" s="378" t="s">
        <v>237</v>
      </c>
      <c r="H754" s="20" t="s">
        <v>238</v>
      </c>
      <c r="I754" s="20" t="s">
        <v>162</v>
      </c>
      <c r="J754" s="20" t="s">
        <v>163</v>
      </c>
      <c r="K754" s="378" t="s">
        <v>239</v>
      </c>
      <c r="L754" s="20" t="s">
        <v>165</v>
      </c>
      <c r="M754" s="380">
        <v>2400</v>
      </c>
      <c r="N754" s="380"/>
      <c r="O754" s="380"/>
      <c r="P754" s="380"/>
      <c r="Q754" s="381" t="s">
        <v>747</v>
      </c>
      <c r="R754" s="381" t="s">
        <v>1031</v>
      </c>
      <c r="S754" s="381" t="s">
        <v>200</v>
      </c>
      <c r="T754" s="381"/>
      <c r="U754" s="381"/>
      <c r="V754" s="382">
        <v>235.15</v>
      </c>
      <c r="W754" s="382">
        <v>0</v>
      </c>
      <c r="X754" s="381">
        <v>9.8333333333333328E-2</v>
      </c>
      <c r="Y754" s="381">
        <v>9.7916666666666666E-2</v>
      </c>
      <c r="Z754" s="381">
        <v>6.2500000000000001E-5</v>
      </c>
      <c r="AA754" s="381">
        <v>0</v>
      </c>
      <c r="AB754" s="381">
        <v>0</v>
      </c>
      <c r="AC754" s="382">
        <v>9.7979166666666659E-2</v>
      </c>
      <c r="AD754" s="382">
        <v>0</v>
      </c>
      <c r="AE754" s="381" t="s">
        <v>168</v>
      </c>
    </row>
    <row r="755" spans="1:31" ht="15" customHeight="1" x14ac:dyDescent="0.25">
      <c r="A755" s="20" t="s">
        <v>156</v>
      </c>
      <c r="B755" s="20" t="s">
        <v>939</v>
      </c>
      <c r="C755" s="20" t="s">
        <v>940</v>
      </c>
      <c r="D755" s="378" t="s">
        <v>1212</v>
      </c>
      <c r="E755" s="379">
        <v>44525</v>
      </c>
      <c r="F755" s="379">
        <v>46351</v>
      </c>
      <c r="G755" s="378" t="s">
        <v>262</v>
      </c>
      <c r="H755" s="20" t="s">
        <v>263</v>
      </c>
      <c r="I755" s="20" t="s">
        <v>162</v>
      </c>
      <c r="J755" s="20" t="s">
        <v>163</v>
      </c>
      <c r="K755" s="378" t="s">
        <v>264</v>
      </c>
      <c r="L755" s="20" t="s">
        <v>165</v>
      </c>
      <c r="M755" s="380">
        <v>2400</v>
      </c>
      <c r="N755" s="380"/>
      <c r="O755" s="380"/>
      <c r="P755" s="380"/>
      <c r="Q755" s="381" t="s">
        <v>1213</v>
      </c>
      <c r="R755" s="381" t="s">
        <v>981</v>
      </c>
      <c r="S755" s="381" t="s">
        <v>223</v>
      </c>
      <c r="T755" s="381"/>
      <c r="U755" s="381"/>
      <c r="V755" s="382">
        <v>242.11</v>
      </c>
      <c r="W755" s="382">
        <v>0</v>
      </c>
      <c r="X755" s="381">
        <v>0.10125000000000001</v>
      </c>
      <c r="Y755" s="381">
        <v>0.10083333333333333</v>
      </c>
      <c r="Z755" s="381">
        <v>4.5833333333333334E-5</v>
      </c>
      <c r="AA755" s="381">
        <v>0</v>
      </c>
      <c r="AB755" s="381">
        <v>0</v>
      </c>
      <c r="AC755" s="382">
        <v>0.10087916666666666</v>
      </c>
      <c r="AD755" s="382">
        <v>0</v>
      </c>
      <c r="AE755" s="381" t="s">
        <v>168</v>
      </c>
    </row>
    <row r="756" spans="1:31" ht="15" customHeight="1" x14ac:dyDescent="0.25">
      <c r="A756" s="20" t="s">
        <v>156</v>
      </c>
      <c r="B756" s="20" t="s">
        <v>939</v>
      </c>
      <c r="C756" s="20" t="s">
        <v>940</v>
      </c>
      <c r="D756" s="378" t="s">
        <v>1214</v>
      </c>
      <c r="E756" s="379">
        <v>45016</v>
      </c>
      <c r="F756" s="379">
        <v>46843</v>
      </c>
      <c r="G756" s="378" t="s">
        <v>193</v>
      </c>
      <c r="H756" s="20" t="s">
        <v>194</v>
      </c>
      <c r="I756" s="20" t="s">
        <v>162</v>
      </c>
      <c r="J756" s="20" t="s">
        <v>163</v>
      </c>
      <c r="K756" s="378" t="s">
        <v>195</v>
      </c>
      <c r="L756" s="20" t="s">
        <v>165</v>
      </c>
      <c r="M756" s="380">
        <v>2400</v>
      </c>
      <c r="N756" s="380"/>
      <c r="O756" s="380"/>
      <c r="P756" s="380"/>
      <c r="Q756" s="381">
        <v>226</v>
      </c>
      <c r="R756" s="381">
        <v>225</v>
      </c>
      <c r="S756" s="381">
        <v>0.16400000000000001</v>
      </c>
      <c r="T756" s="381"/>
      <c r="U756" s="381"/>
      <c r="V756" s="382">
        <v>225.16399999999999</v>
      </c>
      <c r="W756" s="382">
        <v>0</v>
      </c>
      <c r="X756" s="381">
        <v>9.4166666666666662E-2</v>
      </c>
      <c r="Y756" s="381">
        <v>9.375E-2</v>
      </c>
      <c r="Z756" s="381">
        <v>6.8333333333333332E-5</v>
      </c>
      <c r="AA756" s="381">
        <v>0</v>
      </c>
      <c r="AB756" s="381">
        <v>0</v>
      </c>
      <c r="AC756" s="382">
        <v>9.3818333333333337E-2</v>
      </c>
      <c r="AD756" s="382">
        <v>0</v>
      </c>
      <c r="AE756" s="381" t="s">
        <v>168</v>
      </c>
    </row>
    <row r="757" spans="1:31" ht="15" customHeight="1" x14ac:dyDescent="0.25">
      <c r="A757" s="20" t="s">
        <v>156</v>
      </c>
      <c r="B757" s="20" t="s">
        <v>939</v>
      </c>
      <c r="C757" s="20" t="s">
        <v>940</v>
      </c>
      <c r="D757" s="378" t="s">
        <v>1215</v>
      </c>
      <c r="E757" s="379">
        <v>44525</v>
      </c>
      <c r="F757" s="379">
        <v>46351</v>
      </c>
      <c r="G757" s="378" t="s">
        <v>262</v>
      </c>
      <c r="H757" s="20" t="s">
        <v>263</v>
      </c>
      <c r="I757" s="20" t="s">
        <v>162</v>
      </c>
      <c r="J757" s="20" t="s">
        <v>163</v>
      </c>
      <c r="K757" s="378" t="s">
        <v>264</v>
      </c>
      <c r="L757" s="20" t="s">
        <v>165</v>
      </c>
      <c r="M757" s="380">
        <v>2400</v>
      </c>
      <c r="N757" s="380"/>
      <c r="O757" s="380"/>
      <c r="P757" s="380"/>
      <c r="Q757" s="381" t="s">
        <v>549</v>
      </c>
      <c r="R757" s="381" t="s">
        <v>749</v>
      </c>
      <c r="S757" s="381" t="s">
        <v>200</v>
      </c>
      <c r="T757" s="381"/>
      <c r="U757" s="381"/>
      <c r="V757" s="382">
        <v>228.15</v>
      </c>
      <c r="W757" s="382">
        <v>0</v>
      </c>
      <c r="X757" s="381">
        <v>9.5416666666666664E-2</v>
      </c>
      <c r="Y757" s="381">
        <v>9.5000000000000001E-2</v>
      </c>
      <c r="Z757" s="381">
        <v>6.2500000000000001E-5</v>
      </c>
      <c r="AA757" s="381">
        <v>0</v>
      </c>
      <c r="AB757" s="381">
        <v>0</v>
      </c>
      <c r="AC757" s="382">
        <v>9.5062499999999994E-2</v>
      </c>
      <c r="AD757" s="382">
        <v>0</v>
      </c>
      <c r="AE757" s="381" t="s">
        <v>168</v>
      </c>
    </row>
    <row r="758" spans="1:31" ht="15" customHeight="1" x14ac:dyDescent="0.25">
      <c r="A758" s="20" t="s">
        <v>156</v>
      </c>
      <c r="B758" s="20" t="s">
        <v>939</v>
      </c>
      <c r="C758" s="20" t="s">
        <v>940</v>
      </c>
      <c r="D758" s="378" t="s">
        <v>1216</v>
      </c>
      <c r="E758" s="379">
        <v>44525</v>
      </c>
      <c r="F758" s="379">
        <v>46351</v>
      </c>
      <c r="G758" s="378" t="s">
        <v>262</v>
      </c>
      <c r="H758" s="20" t="s">
        <v>263</v>
      </c>
      <c r="I758" s="20" t="s">
        <v>162</v>
      </c>
      <c r="J758" s="20" t="s">
        <v>163</v>
      </c>
      <c r="K758" s="378" t="s">
        <v>264</v>
      </c>
      <c r="L758" s="20" t="s">
        <v>165</v>
      </c>
      <c r="M758" s="380">
        <v>2400</v>
      </c>
      <c r="N758" s="380"/>
      <c r="O758" s="380"/>
      <c r="P758" s="380"/>
      <c r="Q758" s="381" t="s">
        <v>549</v>
      </c>
      <c r="R758" s="381" t="s">
        <v>749</v>
      </c>
      <c r="S758" s="381" t="s">
        <v>200</v>
      </c>
      <c r="T758" s="381"/>
      <c r="U758" s="381"/>
      <c r="V758" s="382">
        <v>228.15</v>
      </c>
      <c r="W758" s="382">
        <v>0</v>
      </c>
      <c r="X758" s="381">
        <v>9.5416666666666664E-2</v>
      </c>
      <c r="Y758" s="381">
        <v>9.5000000000000001E-2</v>
      </c>
      <c r="Z758" s="381">
        <v>6.2500000000000001E-5</v>
      </c>
      <c r="AA758" s="381">
        <v>0</v>
      </c>
      <c r="AB758" s="381">
        <v>0</v>
      </c>
      <c r="AC758" s="382">
        <v>9.5062499999999994E-2</v>
      </c>
      <c r="AD758" s="382">
        <v>0</v>
      </c>
      <c r="AE758" s="381" t="s">
        <v>168</v>
      </c>
    </row>
    <row r="759" spans="1:31" ht="15" customHeight="1" x14ac:dyDescent="0.25">
      <c r="A759" s="20" t="s">
        <v>156</v>
      </c>
      <c r="B759" s="20" t="s">
        <v>939</v>
      </c>
      <c r="C759" s="20" t="s">
        <v>940</v>
      </c>
      <c r="D759" s="378" t="s">
        <v>1217</v>
      </c>
      <c r="E759" s="379">
        <v>44816</v>
      </c>
      <c r="F759" s="379">
        <v>46642</v>
      </c>
      <c r="G759" s="383" t="s">
        <v>185</v>
      </c>
      <c r="H759" s="20" t="s">
        <v>186</v>
      </c>
      <c r="I759" s="20" t="s">
        <v>162</v>
      </c>
      <c r="J759" s="20" t="s">
        <v>163</v>
      </c>
      <c r="K759" s="378" t="s">
        <v>187</v>
      </c>
      <c r="L759" s="20" t="s">
        <v>165</v>
      </c>
      <c r="M759" s="380">
        <v>2400</v>
      </c>
      <c r="N759" s="380"/>
      <c r="O759" s="380"/>
      <c r="P759" s="380"/>
      <c r="Q759" s="381" t="s">
        <v>270</v>
      </c>
      <c r="R759" s="381" t="s">
        <v>265</v>
      </c>
      <c r="S759" s="381" t="s">
        <v>967</v>
      </c>
      <c r="T759" s="381"/>
      <c r="U759" s="381"/>
      <c r="V759" s="382">
        <v>196.22</v>
      </c>
      <c r="W759" s="382">
        <v>0</v>
      </c>
      <c r="X759" s="381">
        <v>8.2083333333333328E-2</v>
      </c>
      <c r="Y759" s="381">
        <v>8.1666666666666665E-2</v>
      </c>
      <c r="Z759" s="381">
        <v>9.1666666666666668E-5</v>
      </c>
      <c r="AA759" s="381">
        <v>0</v>
      </c>
      <c r="AB759" s="381">
        <v>0</v>
      </c>
      <c r="AC759" s="382">
        <v>8.1758333333333336E-2</v>
      </c>
      <c r="AD759" s="382">
        <v>0</v>
      </c>
      <c r="AE759" s="381" t="s">
        <v>168</v>
      </c>
    </row>
    <row r="760" spans="1:31" ht="15" customHeight="1" x14ac:dyDescent="0.25">
      <c r="A760" s="20" t="s">
        <v>156</v>
      </c>
      <c r="B760" s="20" t="s">
        <v>939</v>
      </c>
      <c r="C760" s="20" t="s">
        <v>940</v>
      </c>
      <c r="D760" s="378" t="s">
        <v>1218</v>
      </c>
      <c r="E760" s="379">
        <v>44816</v>
      </c>
      <c r="F760" s="379">
        <v>46642</v>
      </c>
      <c r="G760" s="383" t="s">
        <v>185</v>
      </c>
      <c r="H760" s="20" t="s">
        <v>186</v>
      </c>
      <c r="I760" s="20" t="s">
        <v>162</v>
      </c>
      <c r="J760" s="20" t="s">
        <v>163</v>
      </c>
      <c r="K760" s="378" t="s">
        <v>187</v>
      </c>
      <c r="L760" s="20" t="s">
        <v>165</v>
      </c>
      <c r="M760" s="380">
        <v>2400</v>
      </c>
      <c r="N760" s="380"/>
      <c r="O760" s="380"/>
      <c r="P760" s="380"/>
      <c r="Q760" s="381" t="s">
        <v>273</v>
      </c>
      <c r="R760" s="381" t="s">
        <v>233</v>
      </c>
      <c r="S760" s="381" t="s">
        <v>566</v>
      </c>
      <c r="T760" s="381"/>
      <c r="U760" s="381"/>
      <c r="V760" s="382">
        <v>187.2</v>
      </c>
      <c r="W760" s="382">
        <v>0</v>
      </c>
      <c r="X760" s="381">
        <v>7.8333333333333338E-2</v>
      </c>
      <c r="Y760" s="381">
        <v>7.7916666666666662E-2</v>
      </c>
      <c r="Z760" s="381">
        <v>8.3333333333333344E-5</v>
      </c>
      <c r="AA760" s="381">
        <v>0</v>
      </c>
      <c r="AB760" s="381">
        <v>0</v>
      </c>
      <c r="AC760" s="382">
        <v>7.8E-2</v>
      </c>
      <c r="AD760" s="382">
        <v>0</v>
      </c>
      <c r="AE760" s="381" t="s">
        <v>168</v>
      </c>
    </row>
    <row r="761" spans="1:31" ht="15" customHeight="1" x14ac:dyDescent="0.25">
      <c r="A761" s="20" t="s">
        <v>156</v>
      </c>
      <c r="B761" s="20" t="s">
        <v>939</v>
      </c>
      <c r="C761" s="20" t="s">
        <v>940</v>
      </c>
      <c r="D761" s="378" t="s">
        <v>1219</v>
      </c>
      <c r="E761" s="379">
        <v>45038</v>
      </c>
      <c r="F761" s="379">
        <v>46865</v>
      </c>
      <c r="G761" s="383" t="s">
        <v>193</v>
      </c>
      <c r="H761" s="20" t="s">
        <v>229</v>
      </c>
      <c r="I761" s="20" t="s">
        <v>162</v>
      </c>
      <c r="J761" s="20" t="s">
        <v>163</v>
      </c>
      <c r="K761" s="378" t="s">
        <v>230</v>
      </c>
      <c r="L761" s="20" t="s">
        <v>165</v>
      </c>
      <c r="M761" s="380">
        <v>2400</v>
      </c>
      <c r="N761" s="380"/>
      <c r="O761" s="380"/>
      <c r="P761" s="380"/>
      <c r="Q761" s="381" t="s">
        <v>764</v>
      </c>
      <c r="R761" s="381" t="s">
        <v>213</v>
      </c>
      <c r="S761" s="381" t="s">
        <v>200</v>
      </c>
      <c r="T761" s="381"/>
      <c r="U761" s="381"/>
      <c r="V761" s="382">
        <v>198.15</v>
      </c>
      <c r="W761" s="382">
        <v>0</v>
      </c>
      <c r="X761" s="381">
        <v>8.2916666666666666E-2</v>
      </c>
      <c r="Y761" s="381">
        <v>8.2500000000000004E-2</v>
      </c>
      <c r="Z761" s="381">
        <v>6.2500000000000001E-5</v>
      </c>
      <c r="AA761" s="381">
        <v>0</v>
      </c>
      <c r="AB761" s="381">
        <v>0</v>
      </c>
      <c r="AC761" s="382">
        <v>8.2562499999999997E-2</v>
      </c>
      <c r="AD761" s="382">
        <v>0</v>
      </c>
      <c r="AE761" s="381" t="s">
        <v>168</v>
      </c>
    </row>
    <row r="762" spans="1:31" ht="15" customHeight="1" x14ac:dyDescent="0.25">
      <c r="A762" s="20" t="s">
        <v>156</v>
      </c>
      <c r="B762" s="20" t="s">
        <v>939</v>
      </c>
      <c r="C762" s="20" t="s">
        <v>940</v>
      </c>
      <c r="D762" s="378" t="s">
        <v>1220</v>
      </c>
      <c r="E762" s="384" t="s">
        <v>437</v>
      </c>
      <c r="F762" s="384" t="s">
        <v>438</v>
      </c>
      <c r="G762" s="378" t="s">
        <v>439</v>
      </c>
      <c r="H762" s="20" t="s">
        <v>1221</v>
      </c>
      <c r="I762" s="378" t="s">
        <v>441</v>
      </c>
      <c r="J762" s="20" t="s">
        <v>163</v>
      </c>
      <c r="K762" s="378" t="s">
        <v>1222</v>
      </c>
      <c r="L762" s="378" t="s">
        <v>165</v>
      </c>
      <c r="M762" s="380">
        <v>2384</v>
      </c>
      <c r="N762" s="380" t="s">
        <v>443</v>
      </c>
      <c r="O762" s="380" t="s">
        <v>443</v>
      </c>
      <c r="P762" s="380" t="s">
        <v>443</v>
      </c>
      <c r="Q762" s="381">
        <v>175</v>
      </c>
      <c r="R762" s="381">
        <v>175</v>
      </c>
      <c r="S762" s="381">
        <v>0.252</v>
      </c>
      <c r="T762" s="381">
        <v>0.27800000000000002</v>
      </c>
      <c r="U762" s="381">
        <v>0</v>
      </c>
      <c r="V762" s="382">
        <v>175.53</v>
      </c>
      <c r="W762" s="382">
        <v>0</v>
      </c>
      <c r="X762" s="381">
        <v>7.3406040268456374E-2</v>
      </c>
      <c r="Y762" s="381">
        <v>7.3406040268456374E-2</v>
      </c>
      <c r="Z762" s="381">
        <v>1.0570469798657718E-4</v>
      </c>
      <c r="AA762" s="381">
        <v>1.1661073825503357E-4</v>
      </c>
      <c r="AB762" s="381">
        <v>0</v>
      </c>
      <c r="AC762" s="382">
        <v>7.3628355704697987E-2</v>
      </c>
      <c r="AD762" s="382">
        <v>0</v>
      </c>
      <c r="AE762" s="381" t="s">
        <v>444</v>
      </c>
    </row>
    <row r="763" spans="1:31" ht="15" customHeight="1" x14ac:dyDescent="0.25">
      <c r="A763" s="20" t="s">
        <v>156</v>
      </c>
      <c r="B763" s="20" t="s">
        <v>939</v>
      </c>
      <c r="C763" s="20" t="s">
        <v>940</v>
      </c>
      <c r="D763" s="378" t="s">
        <v>1223</v>
      </c>
      <c r="E763" s="384" t="s">
        <v>437</v>
      </c>
      <c r="F763" s="384" t="s">
        <v>438</v>
      </c>
      <c r="G763" s="378" t="s">
        <v>439</v>
      </c>
      <c r="H763" s="20" t="s">
        <v>1224</v>
      </c>
      <c r="I763" s="378" t="s">
        <v>441</v>
      </c>
      <c r="J763" s="20" t="s">
        <v>163</v>
      </c>
      <c r="K763" s="378" t="s">
        <v>1225</v>
      </c>
      <c r="L763" s="378" t="s">
        <v>165</v>
      </c>
      <c r="M763" s="380">
        <v>2384</v>
      </c>
      <c r="N763" s="380" t="s">
        <v>443</v>
      </c>
      <c r="O763" s="380" t="s">
        <v>443</v>
      </c>
      <c r="P763" s="380" t="s">
        <v>443</v>
      </c>
      <c r="Q763" s="381">
        <v>196</v>
      </c>
      <c r="R763" s="381">
        <v>196</v>
      </c>
      <c r="S763" s="381">
        <v>0.23699999999999999</v>
      </c>
      <c r="T763" s="381">
        <v>0.27900000000000003</v>
      </c>
      <c r="U763" s="381">
        <v>0</v>
      </c>
      <c r="V763" s="382">
        <v>196.51599999999999</v>
      </c>
      <c r="W763" s="382">
        <v>0</v>
      </c>
      <c r="X763" s="381">
        <v>8.2214765100671147E-2</v>
      </c>
      <c r="Y763" s="381">
        <v>8.2214765100671147E-2</v>
      </c>
      <c r="Z763" s="381">
        <v>9.9412751677852343E-5</v>
      </c>
      <c r="AA763" s="381">
        <v>1.1703020134228189E-4</v>
      </c>
      <c r="AB763" s="381">
        <v>0</v>
      </c>
      <c r="AC763" s="382">
        <v>8.2431208053691279E-2</v>
      </c>
      <c r="AD763" s="382">
        <v>0</v>
      </c>
      <c r="AE763" s="381" t="s">
        <v>444</v>
      </c>
    </row>
    <row r="764" spans="1:31" ht="15" customHeight="1" x14ac:dyDescent="0.25">
      <c r="A764" s="20" t="s">
        <v>156</v>
      </c>
      <c r="B764" s="20" t="s">
        <v>939</v>
      </c>
      <c r="C764" s="20" t="s">
        <v>940</v>
      </c>
      <c r="D764" s="378" t="s">
        <v>1226</v>
      </c>
      <c r="E764" s="384" t="s">
        <v>437</v>
      </c>
      <c r="F764" s="384" t="s">
        <v>438</v>
      </c>
      <c r="G764" s="378" t="s">
        <v>439</v>
      </c>
      <c r="H764" s="20" t="s">
        <v>1227</v>
      </c>
      <c r="I764" s="378" t="s">
        <v>441</v>
      </c>
      <c r="J764" s="20" t="s">
        <v>163</v>
      </c>
      <c r="K764" s="378" t="s">
        <v>1228</v>
      </c>
      <c r="L764" s="378" t="s">
        <v>165</v>
      </c>
      <c r="M764" s="380">
        <v>2384</v>
      </c>
      <c r="N764" s="380" t="s">
        <v>443</v>
      </c>
      <c r="O764" s="380" t="s">
        <v>443</v>
      </c>
      <c r="P764" s="380" t="s">
        <v>443</v>
      </c>
      <c r="Q764" s="381">
        <v>263</v>
      </c>
      <c r="R764" s="381">
        <v>262</v>
      </c>
      <c r="S764" s="381">
        <v>0.26300000000000001</v>
      </c>
      <c r="T764" s="381">
        <v>0.28399999999999997</v>
      </c>
      <c r="U764" s="381">
        <v>0</v>
      </c>
      <c r="V764" s="382">
        <v>262.54699999999997</v>
      </c>
      <c r="W764" s="382">
        <v>0</v>
      </c>
      <c r="X764" s="381">
        <v>0.11031879194630873</v>
      </c>
      <c r="Y764" s="381">
        <v>0.1098993288590604</v>
      </c>
      <c r="Z764" s="381">
        <v>1.1031879194630873E-4</v>
      </c>
      <c r="AA764" s="381">
        <v>1.1912751677852348E-4</v>
      </c>
      <c r="AB764" s="381">
        <v>0</v>
      </c>
      <c r="AC764" s="382">
        <v>0.11012877516778523</v>
      </c>
      <c r="AD764" s="382">
        <v>0</v>
      </c>
      <c r="AE764" s="381" t="s">
        <v>444</v>
      </c>
    </row>
    <row r="765" spans="1:31" ht="15" customHeight="1" x14ac:dyDescent="0.25">
      <c r="A765" s="20" t="s">
        <v>156</v>
      </c>
      <c r="B765" s="20" t="s">
        <v>939</v>
      </c>
      <c r="C765" s="20" t="s">
        <v>940</v>
      </c>
      <c r="D765" s="378" t="s">
        <v>1229</v>
      </c>
      <c r="E765" s="384" t="s">
        <v>437</v>
      </c>
      <c r="F765" s="384" t="s">
        <v>438</v>
      </c>
      <c r="G765" s="378" t="s">
        <v>439</v>
      </c>
      <c r="H765" s="20" t="s">
        <v>1230</v>
      </c>
      <c r="I765" s="378" t="s">
        <v>441</v>
      </c>
      <c r="J765" s="20" t="s">
        <v>163</v>
      </c>
      <c r="K765" s="378" t="s">
        <v>1231</v>
      </c>
      <c r="L765" s="378" t="s">
        <v>165</v>
      </c>
      <c r="M765" s="380">
        <v>2384</v>
      </c>
      <c r="N765" s="380" t="s">
        <v>443</v>
      </c>
      <c r="O765" s="380" t="s">
        <v>443</v>
      </c>
      <c r="P765" s="380" t="s">
        <v>443</v>
      </c>
      <c r="Q765" s="381">
        <v>233</v>
      </c>
      <c r="R765" s="381">
        <v>232</v>
      </c>
      <c r="S765" s="381">
        <v>0.23699999999999999</v>
      </c>
      <c r="T765" s="381">
        <v>0.28499999999999998</v>
      </c>
      <c r="U765" s="381">
        <v>0</v>
      </c>
      <c r="V765" s="382">
        <v>232.52199999999999</v>
      </c>
      <c r="W765" s="382">
        <v>0</v>
      </c>
      <c r="X765" s="381">
        <v>9.7734899328859065E-2</v>
      </c>
      <c r="Y765" s="381">
        <v>9.7315436241610737E-2</v>
      </c>
      <c r="Z765" s="381">
        <v>9.9412751677852343E-5</v>
      </c>
      <c r="AA765" s="381">
        <v>1.195469798657718E-4</v>
      </c>
      <c r="AB765" s="381">
        <v>0</v>
      </c>
      <c r="AC765" s="382">
        <v>9.7534395973154359E-2</v>
      </c>
      <c r="AD765" s="382">
        <v>0</v>
      </c>
      <c r="AE765" s="381" t="s">
        <v>444</v>
      </c>
    </row>
    <row r="766" spans="1:31" ht="15" customHeight="1" x14ac:dyDescent="0.25">
      <c r="A766" s="20" t="s">
        <v>156</v>
      </c>
      <c r="B766" s="20" t="s">
        <v>939</v>
      </c>
      <c r="C766" s="20" t="s">
        <v>940</v>
      </c>
      <c r="D766" s="378" t="s">
        <v>1232</v>
      </c>
      <c r="E766" s="384" t="s">
        <v>437</v>
      </c>
      <c r="F766" s="384" t="s">
        <v>438</v>
      </c>
      <c r="G766" s="378" t="s">
        <v>439</v>
      </c>
      <c r="H766" s="20" t="s">
        <v>1233</v>
      </c>
      <c r="I766" s="378" t="s">
        <v>441</v>
      </c>
      <c r="J766" s="20" t="s">
        <v>163</v>
      </c>
      <c r="K766" s="378" t="s">
        <v>1234</v>
      </c>
      <c r="L766" s="378" t="s">
        <v>165</v>
      </c>
      <c r="M766" s="380">
        <v>2384</v>
      </c>
      <c r="N766" s="380" t="s">
        <v>443</v>
      </c>
      <c r="O766" s="380" t="s">
        <v>443</v>
      </c>
      <c r="P766" s="380" t="s">
        <v>443</v>
      </c>
      <c r="Q766" s="381">
        <v>251</v>
      </c>
      <c r="R766" s="381">
        <v>250</v>
      </c>
      <c r="S766" s="381">
        <v>0.23300000000000001</v>
      </c>
      <c r="T766" s="381">
        <v>0.28499999999999998</v>
      </c>
      <c r="U766" s="381">
        <v>0</v>
      </c>
      <c r="V766" s="382">
        <v>250.518</v>
      </c>
      <c r="W766" s="382">
        <v>0</v>
      </c>
      <c r="X766" s="381">
        <v>0.10528523489932885</v>
      </c>
      <c r="Y766" s="381">
        <v>0.10486577181208054</v>
      </c>
      <c r="Z766" s="381">
        <v>9.773489932885906E-5</v>
      </c>
      <c r="AA766" s="381">
        <v>1.195469798657718E-4</v>
      </c>
      <c r="AB766" s="381">
        <v>0</v>
      </c>
      <c r="AC766" s="382">
        <v>0.10508305369127517</v>
      </c>
      <c r="AD766" s="382">
        <v>0</v>
      </c>
      <c r="AE766" s="381" t="s">
        <v>444</v>
      </c>
    </row>
    <row r="767" spans="1:31" ht="15" customHeight="1" x14ac:dyDescent="0.25">
      <c r="A767" s="20" t="s">
        <v>156</v>
      </c>
      <c r="B767" s="20" t="s">
        <v>939</v>
      </c>
      <c r="C767" s="20" t="s">
        <v>940</v>
      </c>
      <c r="D767" s="378" t="s">
        <v>1235</v>
      </c>
      <c r="E767" s="384" t="s">
        <v>437</v>
      </c>
      <c r="F767" s="384" t="s">
        <v>438</v>
      </c>
      <c r="G767" s="378" t="s">
        <v>439</v>
      </c>
      <c r="H767" s="20" t="s">
        <v>1236</v>
      </c>
      <c r="I767" s="378" t="s">
        <v>441</v>
      </c>
      <c r="J767" s="20" t="s">
        <v>163</v>
      </c>
      <c r="K767" s="378" t="s">
        <v>1237</v>
      </c>
      <c r="L767" s="378" t="s">
        <v>165</v>
      </c>
      <c r="M767" s="380">
        <v>2384</v>
      </c>
      <c r="N767" s="380" t="s">
        <v>443</v>
      </c>
      <c r="O767" s="380" t="s">
        <v>443</v>
      </c>
      <c r="P767" s="380" t="s">
        <v>443</v>
      </c>
      <c r="Q767" s="381">
        <v>192</v>
      </c>
      <c r="R767" s="381">
        <v>192</v>
      </c>
      <c r="S767" s="381">
        <v>0.253</v>
      </c>
      <c r="T767" s="381">
        <v>0.27200000000000002</v>
      </c>
      <c r="U767" s="381">
        <v>0</v>
      </c>
      <c r="V767" s="382">
        <v>192.52499999999998</v>
      </c>
      <c r="W767" s="382">
        <v>0</v>
      </c>
      <c r="X767" s="381">
        <v>8.0536912751677847E-2</v>
      </c>
      <c r="Y767" s="381">
        <v>8.0536912751677847E-2</v>
      </c>
      <c r="Z767" s="381">
        <v>1.061241610738255E-4</v>
      </c>
      <c r="AA767" s="381">
        <v>1.1409395973154363E-4</v>
      </c>
      <c r="AB767" s="381">
        <v>0</v>
      </c>
      <c r="AC767" s="382">
        <v>8.0757130872483207E-2</v>
      </c>
      <c r="AD767" s="382">
        <v>0</v>
      </c>
      <c r="AE767" s="381" t="s">
        <v>444</v>
      </c>
    </row>
    <row r="768" spans="1:31" ht="15" customHeight="1" x14ac:dyDescent="0.25">
      <c r="A768" s="20" t="s">
        <v>156</v>
      </c>
      <c r="B768" s="20" t="s">
        <v>939</v>
      </c>
      <c r="C768" s="20" t="s">
        <v>940</v>
      </c>
      <c r="D768" s="378" t="s">
        <v>1238</v>
      </c>
      <c r="E768" s="384" t="s">
        <v>437</v>
      </c>
      <c r="F768" s="384" t="s">
        <v>438</v>
      </c>
      <c r="G768" s="378" t="s">
        <v>439</v>
      </c>
      <c r="H768" s="20" t="s">
        <v>1239</v>
      </c>
      <c r="I768" s="378" t="s">
        <v>441</v>
      </c>
      <c r="J768" s="20" t="s">
        <v>163</v>
      </c>
      <c r="K768" s="378" t="s">
        <v>1240</v>
      </c>
      <c r="L768" s="378" t="s">
        <v>165</v>
      </c>
      <c r="M768" s="380">
        <v>2384</v>
      </c>
      <c r="N768" s="380" t="s">
        <v>443</v>
      </c>
      <c r="O768" s="380" t="s">
        <v>443</v>
      </c>
      <c r="P768" s="380" t="s">
        <v>443</v>
      </c>
      <c r="Q768" s="381">
        <v>186</v>
      </c>
      <c r="R768" s="381">
        <v>185</v>
      </c>
      <c r="S768" s="381">
        <v>0.22500000000000001</v>
      </c>
      <c r="T768" s="381">
        <v>0.254</v>
      </c>
      <c r="U768" s="381">
        <v>0</v>
      </c>
      <c r="V768" s="382">
        <v>185.47899999999998</v>
      </c>
      <c r="W768" s="382">
        <v>0</v>
      </c>
      <c r="X768" s="381">
        <v>7.8020134228187918E-2</v>
      </c>
      <c r="Y768" s="381">
        <v>7.7600671140939603E-2</v>
      </c>
      <c r="Z768" s="381">
        <v>9.437919463087248E-5</v>
      </c>
      <c r="AA768" s="381">
        <v>1.0654362416107383E-4</v>
      </c>
      <c r="AB768" s="381">
        <v>0</v>
      </c>
      <c r="AC768" s="382">
        <v>7.7801593959731546E-2</v>
      </c>
      <c r="AD768" s="382">
        <v>0</v>
      </c>
      <c r="AE768" s="381" t="s">
        <v>444</v>
      </c>
    </row>
    <row r="769" spans="1:31" ht="15" customHeight="1" x14ac:dyDescent="0.25">
      <c r="A769" s="20" t="s">
        <v>156</v>
      </c>
      <c r="B769" s="20" t="s">
        <v>939</v>
      </c>
      <c r="C769" s="20" t="s">
        <v>940</v>
      </c>
      <c r="D769" s="378" t="s">
        <v>1241</v>
      </c>
      <c r="E769" s="384" t="s">
        <v>437</v>
      </c>
      <c r="F769" s="384" t="s">
        <v>438</v>
      </c>
      <c r="G769" s="378" t="s">
        <v>439</v>
      </c>
      <c r="H769" s="20" t="s">
        <v>1242</v>
      </c>
      <c r="I769" s="378" t="s">
        <v>441</v>
      </c>
      <c r="J769" s="20" t="s">
        <v>163</v>
      </c>
      <c r="K769" s="378" t="s">
        <v>1243</v>
      </c>
      <c r="L769" s="378" t="s">
        <v>165</v>
      </c>
      <c r="M769" s="380">
        <v>2384</v>
      </c>
      <c r="N769" s="380" t="s">
        <v>443</v>
      </c>
      <c r="O769" s="380" t="s">
        <v>443</v>
      </c>
      <c r="P769" s="380" t="s">
        <v>443</v>
      </c>
      <c r="Q769" s="381">
        <v>207</v>
      </c>
      <c r="R769" s="381">
        <v>206</v>
      </c>
      <c r="S769" s="381">
        <v>0.23699999999999999</v>
      </c>
      <c r="T769" s="381">
        <v>0.253</v>
      </c>
      <c r="U769" s="381">
        <v>0</v>
      </c>
      <c r="V769" s="382">
        <v>206.48999999999998</v>
      </c>
      <c r="W769" s="382">
        <v>0</v>
      </c>
      <c r="X769" s="381">
        <v>8.6828859060402691E-2</v>
      </c>
      <c r="Y769" s="381">
        <v>8.6409395973154363E-2</v>
      </c>
      <c r="Z769" s="381">
        <v>9.9412751677852343E-5</v>
      </c>
      <c r="AA769" s="381">
        <v>1.061241610738255E-4</v>
      </c>
      <c r="AB769" s="381">
        <v>0</v>
      </c>
      <c r="AC769" s="382">
        <v>8.6614932885906035E-2</v>
      </c>
      <c r="AD769" s="382">
        <v>0</v>
      </c>
      <c r="AE769" s="381" t="s">
        <v>444</v>
      </c>
    </row>
    <row r="770" spans="1:31" ht="15" customHeight="1" x14ac:dyDescent="0.25">
      <c r="A770" s="20" t="s">
        <v>156</v>
      </c>
      <c r="B770" s="20" t="s">
        <v>939</v>
      </c>
      <c r="C770" s="20" t="s">
        <v>940</v>
      </c>
      <c r="D770" s="378" t="s">
        <v>1244</v>
      </c>
      <c r="E770" s="384" t="s">
        <v>437</v>
      </c>
      <c r="F770" s="384" t="s">
        <v>438</v>
      </c>
      <c r="G770" s="378" t="s">
        <v>439</v>
      </c>
      <c r="H770" s="20" t="s">
        <v>1245</v>
      </c>
      <c r="I770" s="378" t="s">
        <v>441</v>
      </c>
      <c r="J770" s="20" t="s">
        <v>163</v>
      </c>
      <c r="K770" s="378" t="s">
        <v>1246</v>
      </c>
      <c r="L770" s="378" t="s">
        <v>165</v>
      </c>
      <c r="M770" s="380">
        <v>2384</v>
      </c>
      <c r="N770" s="380" t="s">
        <v>443</v>
      </c>
      <c r="O770" s="380" t="s">
        <v>443</v>
      </c>
      <c r="P770" s="380" t="s">
        <v>443</v>
      </c>
      <c r="Q770" s="381">
        <v>181</v>
      </c>
      <c r="R770" s="381">
        <v>180</v>
      </c>
      <c r="S770" s="381">
        <v>0.252</v>
      </c>
      <c r="T770" s="381">
        <v>0.27200000000000002</v>
      </c>
      <c r="U770" s="381">
        <v>0</v>
      </c>
      <c r="V770" s="382">
        <v>180.524</v>
      </c>
      <c r="W770" s="382">
        <v>0</v>
      </c>
      <c r="X770" s="381">
        <v>7.5922818791946303E-2</v>
      </c>
      <c r="Y770" s="381">
        <v>7.5503355704697989E-2</v>
      </c>
      <c r="Z770" s="381">
        <v>1.0570469798657718E-4</v>
      </c>
      <c r="AA770" s="381">
        <v>1.1409395973154363E-4</v>
      </c>
      <c r="AB770" s="381">
        <v>0</v>
      </c>
      <c r="AC770" s="382">
        <v>7.5723154362416112E-2</v>
      </c>
      <c r="AD770" s="382">
        <v>0</v>
      </c>
      <c r="AE770" s="381" t="s">
        <v>444</v>
      </c>
    </row>
    <row r="771" spans="1:31" ht="15" customHeight="1" x14ac:dyDescent="0.25">
      <c r="A771" s="20" t="s">
        <v>156</v>
      </c>
      <c r="B771" s="20" t="s">
        <v>939</v>
      </c>
      <c r="C771" s="20" t="s">
        <v>940</v>
      </c>
      <c r="D771" s="378" t="s">
        <v>1247</v>
      </c>
      <c r="E771" s="384" t="s">
        <v>437</v>
      </c>
      <c r="F771" s="384" t="s">
        <v>438</v>
      </c>
      <c r="G771" s="378" t="s">
        <v>439</v>
      </c>
      <c r="H771" s="20" t="s">
        <v>1248</v>
      </c>
      <c r="I771" s="378" t="s">
        <v>441</v>
      </c>
      <c r="J771" s="20" t="s">
        <v>163</v>
      </c>
      <c r="K771" s="378" t="s">
        <v>1249</v>
      </c>
      <c r="L771" s="378" t="s">
        <v>165</v>
      </c>
      <c r="M771" s="380">
        <v>2384</v>
      </c>
      <c r="N771" s="380" t="s">
        <v>443</v>
      </c>
      <c r="O771" s="380" t="s">
        <v>443</v>
      </c>
      <c r="P771" s="380" t="s">
        <v>443</v>
      </c>
      <c r="Q771" s="381">
        <v>174</v>
      </c>
      <c r="R771" s="381">
        <v>174</v>
      </c>
      <c r="S771" s="381">
        <v>0.224</v>
      </c>
      <c r="T771" s="381">
        <v>0.254</v>
      </c>
      <c r="U771" s="381">
        <v>0</v>
      </c>
      <c r="V771" s="382">
        <v>174.47799999999998</v>
      </c>
      <c r="W771" s="382">
        <v>0</v>
      </c>
      <c r="X771" s="381">
        <v>7.2986577181208059E-2</v>
      </c>
      <c r="Y771" s="381">
        <v>7.2986577181208059E-2</v>
      </c>
      <c r="Z771" s="381">
        <v>9.3959731543624166E-5</v>
      </c>
      <c r="AA771" s="381">
        <v>1.0654362416107383E-4</v>
      </c>
      <c r="AB771" s="381">
        <v>0</v>
      </c>
      <c r="AC771" s="382">
        <v>7.3187080536912752E-2</v>
      </c>
      <c r="AD771" s="382">
        <v>0</v>
      </c>
      <c r="AE771" s="381" t="s">
        <v>444</v>
      </c>
    </row>
    <row r="772" spans="1:31" ht="15" customHeight="1" x14ac:dyDescent="0.25">
      <c r="A772" s="20" t="s">
        <v>156</v>
      </c>
      <c r="B772" s="20" t="s">
        <v>939</v>
      </c>
      <c r="C772" s="20" t="s">
        <v>940</v>
      </c>
      <c r="D772" s="378" t="s">
        <v>1250</v>
      </c>
      <c r="E772" s="384" t="s">
        <v>437</v>
      </c>
      <c r="F772" s="384" t="s">
        <v>438</v>
      </c>
      <c r="G772" s="378" t="s">
        <v>439</v>
      </c>
      <c r="H772" s="20" t="s">
        <v>1251</v>
      </c>
      <c r="I772" s="378" t="s">
        <v>441</v>
      </c>
      <c r="J772" s="20" t="s">
        <v>163</v>
      </c>
      <c r="K772" s="378" t="s">
        <v>1252</v>
      </c>
      <c r="L772" s="378" t="s">
        <v>165</v>
      </c>
      <c r="M772" s="380">
        <v>2384</v>
      </c>
      <c r="N772" s="380" t="s">
        <v>443</v>
      </c>
      <c r="O772" s="380" t="s">
        <v>443</v>
      </c>
      <c r="P772" s="380" t="s">
        <v>443</v>
      </c>
      <c r="Q772" s="381">
        <v>193</v>
      </c>
      <c r="R772" s="381">
        <v>193</v>
      </c>
      <c r="S772" s="381">
        <v>0.23599999999999999</v>
      </c>
      <c r="T772" s="381">
        <v>0.253</v>
      </c>
      <c r="U772" s="381">
        <v>0</v>
      </c>
      <c r="V772" s="382">
        <v>193.48899999999998</v>
      </c>
      <c r="W772" s="382">
        <v>0</v>
      </c>
      <c r="X772" s="381">
        <v>8.0956375838926176E-2</v>
      </c>
      <c r="Y772" s="381">
        <v>8.0956375838926176E-2</v>
      </c>
      <c r="Z772" s="381">
        <v>9.8993288590604016E-5</v>
      </c>
      <c r="AA772" s="381">
        <v>1.061241610738255E-4</v>
      </c>
      <c r="AB772" s="381">
        <v>0</v>
      </c>
      <c r="AC772" s="382">
        <v>8.1161493288590597E-2</v>
      </c>
      <c r="AD772" s="382">
        <v>0</v>
      </c>
      <c r="AE772" s="381" t="s">
        <v>444</v>
      </c>
    </row>
    <row r="773" spans="1:31" ht="15" customHeight="1" x14ac:dyDescent="0.25">
      <c r="A773" s="20" t="s">
        <v>156</v>
      </c>
      <c r="B773" s="20" t="s">
        <v>939</v>
      </c>
      <c r="C773" s="20" t="s">
        <v>940</v>
      </c>
      <c r="D773" s="378" t="s">
        <v>1253</v>
      </c>
      <c r="E773" s="384">
        <v>44613</v>
      </c>
      <c r="F773" s="384">
        <v>46439</v>
      </c>
      <c r="G773" s="378" t="s">
        <v>439</v>
      </c>
      <c r="H773" s="20" t="s">
        <v>455</v>
      </c>
      <c r="I773" s="378" t="s">
        <v>168</v>
      </c>
      <c r="J773" s="20" t="s">
        <v>163</v>
      </c>
      <c r="K773" s="378" t="s">
        <v>456</v>
      </c>
      <c r="L773" s="378" t="s">
        <v>165</v>
      </c>
      <c r="M773" s="380">
        <v>2400</v>
      </c>
      <c r="N773" s="380" t="s">
        <v>443</v>
      </c>
      <c r="O773" s="380" t="s">
        <v>443</v>
      </c>
      <c r="P773" s="380" t="s">
        <v>443</v>
      </c>
      <c r="Q773" s="381">
        <v>205</v>
      </c>
      <c r="R773" s="381">
        <v>0</v>
      </c>
      <c r="S773" s="381">
        <v>0</v>
      </c>
      <c r="T773" s="381">
        <v>0</v>
      </c>
      <c r="U773" s="381">
        <v>0</v>
      </c>
      <c r="V773" s="382">
        <v>205</v>
      </c>
      <c r="W773" s="382">
        <v>0</v>
      </c>
      <c r="X773" s="381">
        <v>8.5416666666666669E-2</v>
      </c>
      <c r="Y773" s="381">
        <v>0</v>
      </c>
      <c r="Z773" s="381">
        <v>0</v>
      </c>
      <c r="AA773" s="381">
        <v>0</v>
      </c>
      <c r="AB773" s="381">
        <v>0</v>
      </c>
      <c r="AC773" s="382">
        <v>8.5416666666666669E-2</v>
      </c>
      <c r="AD773" s="382">
        <v>0</v>
      </c>
      <c r="AE773" s="381" t="s">
        <v>444</v>
      </c>
    </row>
    <row r="774" spans="1:31" ht="15" customHeight="1" x14ac:dyDescent="0.25">
      <c r="A774" s="20" t="s">
        <v>156</v>
      </c>
      <c r="B774" s="20" t="s">
        <v>939</v>
      </c>
      <c r="C774" s="20" t="s">
        <v>940</v>
      </c>
      <c r="D774" s="378" t="s">
        <v>1254</v>
      </c>
      <c r="E774" s="384">
        <v>44613</v>
      </c>
      <c r="F774" s="384">
        <v>46439</v>
      </c>
      <c r="G774" s="378" t="s">
        <v>439</v>
      </c>
      <c r="H774" s="20" t="s">
        <v>455</v>
      </c>
      <c r="I774" s="378" t="s">
        <v>168</v>
      </c>
      <c r="J774" s="20" t="s">
        <v>163</v>
      </c>
      <c r="K774" s="378" t="s">
        <v>456</v>
      </c>
      <c r="L774" s="378" t="s">
        <v>165</v>
      </c>
      <c r="M774" s="380">
        <v>2400</v>
      </c>
      <c r="N774" s="380" t="s">
        <v>443</v>
      </c>
      <c r="O774" s="380" t="s">
        <v>443</v>
      </c>
      <c r="P774" s="380" t="s">
        <v>443</v>
      </c>
      <c r="Q774" s="381">
        <v>232</v>
      </c>
      <c r="R774" s="381">
        <v>0</v>
      </c>
      <c r="S774" s="381">
        <v>0</v>
      </c>
      <c r="T774" s="381">
        <v>0</v>
      </c>
      <c r="U774" s="381">
        <v>0</v>
      </c>
      <c r="V774" s="382">
        <v>232</v>
      </c>
      <c r="W774" s="382">
        <v>0</v>
      </c>
      <c r="X774" s="381">
        <v>9.6666666666666665E-2</v>
      </c>
      <c r="Y774" s="381">
        <v>0</v>
      </c>
      <c r="Z774" s="381">
        <v>0</v>
      </c>
      <c r="AA774" s="381">
        <v>0</v>
      </c>
      <c r="AB774" s="381">
        <v>0</v>
      </c>
      <c r="AC774" s="382">
        <v>9.6666666666666665E-2</v>
      </c>
      <c r="AD774" s="382">
        <v>0</v>
      </c>
      <c r="AE774" s="381" t="s">
        <v>444</v>
      </c>
    </row>
    <row r="775" spans="1:31" ht="15" customHeight="1" x14ac:dyDescent="0.25">
      <c r="A775" s="20" t="s">
        <v>156</v>
      </c>
      <c r="B775" s="20" t="s">
        <v>939</v>
      </c>
      <c r="C775" s="20" t="s">
        <v>940</v>
      </c>
      <c r="D775" s="378" t="s">
        <v>1255</v>
      </c>
      <c r="E775" s="384">
        <v>44613</v>
      </c>
      <c r="F775" s="384">
        <v>46439</v>
      </c>
      <c r="G775" s="378" t="s">
        <v>439</v>
      </c>
      <c r="H775" s="20" t="s">
        <v>455</v>
      </c>
      <c r="I775" s="378" t="s">
        <v>168</v>
      </c>
      <c r="J775" s="20" t="s">
        <v>163</v>
      </c>
      <c r="K775" s="378" t="s">
        <v>456</v>
      </c>
      <c r="L775" s="378" t="s">
        <v>165</v>
      </c>
      <c r="M775" s="380">
        <v>2400</v>
      </c>
      <c r="N775" s="380" t="s">
        <v>443</v>
      </c>
      <c r="O775" s="380" t="s">
        <v>443</v>
      </c>
      <c r="P775" s="380" t="s">
        <v>443</v>
      </c>
      <c r="Q775" s="381">
        <v>240</v>
      </c>
      <c r="R775" s="381">
        <v>0</v>
      </c>
      <c r="S775" s="381">
        <v>0</v>
      </c>
      <c r="T775" s="381">
        <v>0</v>
      </c>
      <c r="U775" s="381">
        <v>0</v>
      </c>
      <c r="V775" s="382">
        <v>240</v>
      </c>
      <c r="W775" s="382">
        <v>0</v>
      </c>
      <c r="X775" s="381">
        <v>0.1</v>
      </c>
      <c r="Y775" s="381">
        <v>0</v>
      </c>
      <c r="Z775" s="381">
        <v>0</v>
      </c>
      <c r="AA775" s="381">
        <v>0</v>
      </c>
      <c r="AB775" s="381">
        <v>0</v>
      </c>
      <c r="AC775" s="382">
        <v>0.1</v>
      </c>
      <c r="AD775" s="382">
        <v>0</v>
      </c>
      <c r="AE775" s="381" t="s">
        <v>444</v>
      </c>
    </row>
    <row r="776" spans="1:31" ht="15" customHeight="1" x14ac:dyDescent="0.25">
      <c r="A776" s="20" t="s">
        <v>156</v>
      </c>
      <c r="B776" s="20" t="s">
        <v>939</v>
      </c>
      <c r="C776" s="20" t="s">
        <v>940</v>
      </c>
      <c r="D776" s="378" t="s">
        <v>1256</v>
      </c>
      <c r="E776" s="384">
        <v>44613</v>
      </c>
      <c r="F776" s="384">
        <v>46439</v>
      </c>
      <c r="G776" s="378" t="s">
        <v>439</v>
      </c>
      <c r="H776" s="20" t="s">
        <v>455</v>
      </c>
      <c r="I776" s="378" t="s">
        <v>168</v>
      </c>
      <c r="J776" s="20" t="s">
        <v>163</v>
      </c>
      <c r="K776" s="378" t="s">
        <v>456</v>
      </c>
      <c r="L776" s="378" t="s">
        <v>165</v>
      </c>
      <c r="M776" s="380">
        <v>2400</v>
      </c>
      <c r="N776" s="380" t="s">
        <v>443</v>
      </c>
      <c r="O776" s="380" t="s">
        <v>443</v>
      </c>
      <c r="P776" s="380" t="s">
        <v>443</v>
      </c>
      <c r="Q776" s="381">
        <v>270</v>
      </c>
      <c r="R776" s="381">
        <v>0</v>
      </c>
      <c r="S776" s="381">
        <v>0</v>
      </c>
      <c r="T776" s="381">
        <v>0</v>
      </c>
      <c r="U776" s="381">
        <v>0</v>
      </c>
      <c r="V776" s="382">
        <v>270</v>
      </c>
      <c r="W776" s="382">
        <v>0</v>
      </c>
      <c r="X776" s="381">
        <v>0.1125</v>
      </c>
      <c r="Y776" s="381">
        <v>0</v>
      </c>
      <c r="Z776" s="381">
        <v>0</v>
      </c>
      <c r="AA776" s="381">
        <v>0</v>
      </c>
      <c r="AB776" s="381">
        <v>0</v>
      </c>
      <c r="AC776" s="382">
        <v>0.1125</v>
      </c>
      <c r="AD776" s="382">
        <v>0</v>
      </c>
      <c r="AE776" s="381" t="s">
        <v>444</v>
      </c>
    </row>
    <row r="777" spans="1:31" ht="15" customHeight="1" x14ac:dyDescent="0.25">
      <c r="A777" s="20" t="s">
        <v>156</v>
      </c>
      <c r="B777" s="20" t="s">
        <v>939</v>
      </c>
      <c r="C777" s="20" t="s">
        <v>940</v>
      </c>
      <c r="D777" s="378" t="s">
        <v>1257</v>
      </c>
      <c r="E777" s="384">
        <v>44613</v>
      </c>
      <c r="F777" s="384">
        <v>46439</v>
      </c>
      <c r="G777" s="378" t="s">
        <v>439</v>
      </c>
      <c r="H777" s="20" t="s">
        <v>455</v>
      </c>
      <c r="I777" s="378" t="s">
        <v>168</v>
      </c>
      <c r="J777" s="20" t="s">
        <v>163</v>
      </c>
      <c r="K777" s="378" t="s">
        <v>456</v>
      </c>
      <c r="L777" s="378" t="s">
        <v>165</v>
      </c>
      <c r="M777" s="380">
        <v>2400</v>
      </c>
      <c r="N777" s="380" t="s">
        <v>443</v>
      </c>
      <c r="O777" s="380" t="s">
        <v>443</v>
      </c>
      <c r="P777" s="380" t="s">
        <v>443</v>
      </c>
      <c r="Q777" s="381">
        <v>307</v>
      </c>
      <c r="R777" s="381">
        <v>0</v>
      </c>
      <c r="S777" s="381">
        <v>0</v>
      </c>
      <c r="T777" s="381">
        <v>0</v>
      </c>
      <c r="U777" s="381">
        <v>0</v>
      </c>
      <c r="V777" s="382">
        <v>307</v>
      </c>
      <c r="W777" s="382">
        <v>0</v>
      </c>
      <c r="X777" s="381">
        <v>0.12791666666666668</v>
      </c>
      <c r="Y777" s="381">
        <v>0</v>
      </c>
      <c r="Z777" s="381">
        <v>0</v>
      </c>
      <c r="AA777" s="381">
        <v>0</v>
      </c>
      <c r="AB777" s="381">
        <v>0</v>
      </c>
      <c r="AC777" s="382">
        <v>0.12791666666666668</v>
      </c>
      <c r="AD777" s="382">
        <v>0</v>
      </c>
      <c r="AE777" s="381" t="s">
        <v>444</v>
      </c>
    </row>
    <row r="778" spans="1:31" ht="15" customHeight="1" x14ac:dyDescent="0.25">
      <c r="A778" s="20" t="s">
        <v>156</v>
      </c>
      <c r="B778" s="20" t="s">
        <v>939</v>
      </c>
      <c r="C778" s="20" t="s">
        <v>940</v>
      </c>
      <c r="D778" s="378" t="s">
        <v>1258</v>
      </c>
      <c r="E778" s="384">
        <v>44613</v>
      </c>
      <c r="F778" s="384">
        <v>46439</v>
      </c>
      <c r="G778" s="378" t="s">
        <v>439</v>
      </c>
      <c r="H778" s="20" t="s">
        <v>455</v>
      </c>
      <c r="I778" s="378" t="s">
        <v>168</v>
      </c>
      <c r="J778" s="20" t="s">
        <v>163</v>
      </c>
      <c r="K778" s="378" t="s">
        <v>456</v>
      </c>
      <c r="L778" s="378" t="s">
        <v>165</v>
      </c>
      <c r="M778" s="380">
        <v>2400</v>
      </c>
      <c r="N778" s="380" t="s">
        <v>443</v>
      </c>
      <c r="O778" s="380" t="s">
        <v>443</v>
      </c>
      <c r="P778" s="380" t="s">
        <v>443</v>
      </c>
      <c r="Q778" s="381">
        <v>326</v>
      </c>
      <c r="R778" s="381">
        <v>0</v>
      </c>
      <c r="S778" s="381">
        <v>0</v>
      </c>
      <c r="T778" s="381">
        <v>0</v>
      </c>
      <c r="U778" s="381">
        <v>0</v>
      </c>
      <c r="V778" s="382">
        <v>326</v>
      </c>
      <c r="W778" s="382">
        <v>0</v>
      </c>
      <c r="X778" s="381">
        <v>0.13583333333333333</v>
      </c>
      <c r="Y778" s="381">
        <v>0</v>
      </c>
      <c r="Z778" s="381">
        <v>0</v>
      </c>
      <c r="AA778" s="381">
        <v>0</v>
      </c>
      <c r="AB778" s="381">
        <v>0</v>
      </c>
      <c r="AC778" s="382">
        <v>0.13583333333333333</v>
      </c>
      <c r="AD778" s="382">
        <v>0</v>
      </c>
      <c r="AE778" s="381" t="s">
        <v>444</v>
      </c>
    </row>
    <row r="779" spans="1:31" ht="15" customHeight="1" x14ac:dyDescent="0.25">
      <c r="A779" s="20" t="s">
        <v>156</v>
      </c>
      <c r="B779" s="20" t="s">
        <v>939</v>
      </c>
      <c r="C779" s="20" t="s">
        <v>940</v>
      </c>
      <c r="D779" s="378" t="s">
        <v>1259</v>
      </c>
      <c r="E779" s="384">
        <v>44613</v>
      </c>
      <c r="F779" s="384">
        <v>46439</v>
      </c>
      <c r="G779" s="378" t="s">
        <v>439</v>
      </c>
      <c r="H779" s="20" t="s">
        <v>455</v>
      </c>
      <c r="I779" s="378" t="s">
        <v>168</v>
      </c>
      <c r="J779" s="20" t="s">
        <v>163</v>
      </c>
      <c r="K779" s="378" t="s">
        <v>456</v>
      </c>
      <c r="L779" s="378" t="s">
        <v>165</v>
      </c>
      <c r="M779" s="380">
        <v>2400</v>
      </c>
      <c r="N779" s="380" t="s">
        <v>443</v>
      </c>
      <c r="O779" s="380" t="s">
        <v>443</v>
      </c>
      <c r="P779" s="380" t="s">
        <v>443</v>
      </c>
      <c r="Q779" s="381">
        <v>298</v>
      </c>
      <c r="R779" s="381">
        <v>0</v>
      </c>
      <c r="S779" s="381">
        <v>0</v>
      </c>
      <c r="T779" s="381">
        <v>0</v>
      </c>
      <c r="U779" s="381">
        <v>0</v>
      </c>
      <c r="V779" s="382">
        <v>298</v>
      </c>
      <c r="W779" s="382">
        <v>0</v>
      </c>
      <c r="X779" s="381">
        <v>0.12416666666666666</v>
      </c>
      <c r="Y779" s="381">
        <v>0</v>
      </c>
      <c r="Z779" s="381">
        <v>0</v>
      </c>
      <c r="AA779" s="381">
        <v>0</v>
      </c>
      <c r="AB779" s="381">
        <v>0</v>
      </c>
      <c r="AC779" s="382">
        <v>0.12416666666666666</v>
      </c>
      <c r="AD779" s="382">
        <v>0</v>
      </c>
      <c r="AE779" s="381" t="s">
        <v>444</v>
      </c>
    </row>
    <row r="780" spans="1:31" ht="15" customHeight="1" x14ac:dyDescent="0.25">
      <c r="A780" s="20" t="s">
        <v>156</v>
      </c>
      <c r="B780" s="20" t="s">
        <v>939</v>
      </c>
      <c r="C780" s="20" t="s">
        <v>940</v>
      </c>
      <c r="D780" s="378" t="s">
        <v>1260</v>
      </c>
      <c r="E780" s="384">
        <v>44613</v>
      </c>
      <c r="F780" s="384">
        <v>46439</v>
      </c>
      <c r="G780" s="378" t="s">
        <v>439</v>
      </c>
      <c r="H780" s="20" t="s">
        <v>455</v>
      </c>
      <c r="I780" s="378" t="s">
        <v>168</v>
      </c>
      <c r="J780" s="20" t="s">
        <v>163</v>
      </c>
      <c r="K780" s="378" t="s">
        <v>456</v>
      </c>
      <c r="L780" s="378" t="s">
        <v>165</v>
      </c>
      <c r="M780" s="380">
        <v>2400</v>
      </c>
      <c r="N780" s="380" t="s">
        <v>443</v>
      </c>
      <c r="O780" s="380" t="s">
        <v>443</v>
      </c>
      <c r="P780" s="380" t="s">
        <v>443</v>
      </c>
      <c r="Q780" s="381">
        <v>290</v>
      </c>
      <c r="R780" s="381">
        <v>0</v>
      </c>
      <c r="S780" s="381">
        <v>0</v>
      </c>
      <c r="T780" s="381">
        <v>0</v>
      </c>
      <c r="U780" s="381">
        <v>0</v>
      </c>
      <c r="V780" s="382">
        <v>290</v>
      </c>
      <c r="W780" s="382">
        <v>0</v>
      </c>
      <c r="X780" s="381">
        <v>0.12083333333333333</v>
      </c>
      <c r="Y780" s="381">
        <v>0</v>
      </c>
      <c r="Z780" s="381">
        <v>0</v>
      </c>
      <c r="AA780" s="381">
        <v>0</v>
      </c>
      <c r="AB780" s="381">
        <v>0</v>
      </c>
      <c r="AC780" s="382">
        <v>0.12083333333333333</v>
      </c>
      <c r="AD780" s="382">
        <v>0</v>
      </c>
      <c r="AE780" s="381" t="s">
        <v>444</v>
      </c>
    </row>
    <row r="781" spans="1:31" ht="15" customHeight="1" x14ac:dyDescent="0.25">
      <c r="A781" s="20" t="s">
        <v>156</v>
      </c>
      <c r="B781" s="20" t="s">
        <v>939</v>
      </c>
      <c r="C781" s="20" t="s">
        <v>940</v>
      </c>
      <c r="D781" s="378" t="s">
        <v>1261</v>
      </c>
      <c r="E781" s="384">
        <v>45596</v>
      </c>
      <c r="F781" s="384">
        <v>46235</v>
      </c>
      <c r="G781" s="378" t="s">
        <v>439</v>
      </c>
      <c r="H781" s="20" t="s">
        <v>465</v>
      </c>
      <c r="I781" s="378" t="s">
        <v>441</v>
      </c>
      <c r="J781" s="20" t="s">
        <v>163</v>
      </c>
      <c r="K781" s="378" t="s">
        <v>466</v>
      </c>
      <c r="L781" s="378" t="s">
        <v>165</v>
      </c>
      <c r="M781" s="380">
        <v>2400</v>
      </c>
      <c r="N781" s="380" t="s">
        <v>443</v>
      </c>
      <c r="O781" s="380" t="s">
        <v>443</v>
      </c>
      <c r="P781" s="380" t="s">
        <v>443</v>
      </c>
      <c r="Q781" s="381">
        <v>205</v>
      </c>
      <c r="R781" s="381">
        <v>0</v>
      </c>
      <c r="S781" s="381">
        <v>0</v>
      </c>
      <c r="T781" s="381">
        <v>0</v>
      </c>
      <c r="U781" s="381">
        <v>0</v>
      </c>
      <c r="V781" s="382">
        <v>205</v>
      </c>
      <c r="W781" s="382">
        <v>0</v>
      </c>
      <c r="X781" s="381">
        <v>8.5416666666666669E-2</v>
      </c>
      <c r="Y781" s="381">
        <v>0</v>
      </c>
      <c r="Z781" s="381">
        <v>0</v>
      </c>
      <c r="AA781" s="381">
        <v>0</v>
      </c>
      <c r="AB781" s="381">
        <v>0</v>
      </c>
      <c r="AC781" s="382">
        <v>8.5416666666666669E-2</v>
      </c>
      <c r="AD781" s="382">
        <v>0</v>
      </c>
      <c r="AE781" s="381" t="s">
        <v>444</v>
      </c>
    </row>
    <row r="782" spans="1:31" ht="15" customHeight="1" x14ac:dyDescent="0.25">
      <c r="A782" s="20" t="s">
        <v>156</v>
      </c>
      <c r="B782" s="20" t="s">
        <v>939</v>
      </c>
      <c r="C782" s="20" t="s">
        <v>940</v>
      </c>
      <c r="D782" s="378" t="s">
        <v>1262</v>
      </c>
      <c r="E782" s="384">
        <v>45596</v>
      </c>
      <c r="F782" s="384">
        <v>46235</v>
      </c>
      <c r="G782" s="378" t="s">
        <v>439</v>
      </c>
      <c r="H782" s="20" t="s">
        <v>465</v>
      </c>
      <c r="I782" s="378" t="s">
        <v>441</v>
      </c>
      <c r="J782" s="20" t="s">
        <v>163</v>
      </c>
      <c r="K782" s="378" t="s">
        <v>466</v>
      </c>
      <c r="L782" s="378" t="s">
        <v>165</v>
      </c>
      <c r="M782" s="380">
        <v>2400</v>
      </c>
      <c r="N782" s="380" t="s">
        <v>443</v>
      </c>
      <c r="O782" s="380" t="s">
        <v>443</v>
      </c>
      <c r="P782" s="380" t="s">
        <v>443</v>
      </c>
      <c r="Q782" s="381">
        <v>212</v>
      </c>
      <c r="R782" s="381">
        <v>0</v>
      </c>
      <c r="S782" s="381">
        <v>0</v>
      </c>
      <c r="T782" s="381">
        <v>0</v>
      </c>
      <c r="U782" s="381">
        <v>0</v>
      </c>
      <c r="V782" s="382">
        <v>212</v>
      </c>
      <c r="W782" s="382">
        <v>0</v>
      </c>
      <c r="X782" s="381">
        <v>8.8333333333333333E-2</v>
      </c>
      <c r="Y782" s="381">
        <v>0</v>
      </c>
      <c r="Z782" s="381">
        <v>0</v>
      </c>
      <c r="AA782" s="381">
        <v>0</v>
      </c>
      <c r="AB782" s="381">
        <v>0</v>
      </c>
      <c r="AC782" s="382">
        <v>8.8333333333333333E-2</v>
      </c>
      <c r="AD782" s="382">
        <v>0</v>
      </c>
      <c r="AE782" s="381" t="s">
        <v>444</v>
      </c>
    </row>
    <row r="783" spans="1:31" ht="15" customHeight="1" x14ac:dyDescent="0.25">
      <c r="A783" s="20" t="s">
        <v>156</v>
      </c>
      <c r="B783" s="20" t="s">
        <v>939</v>
      </c>
      <c r="C783" s="20" t="s">
        <v>940</v>
      </c>
      <c r="D783" s="378" t="s">
        <v>1263</v>
      </c>
      <c r="E783" s="384">
        <v>45596</v>
      </c>
      <c r="F783" s="384">
        <v>46235</v>
      </c>
      <c r="G783" s="378" t="s">
        <v>439</v>
      </c>
      <c r="H783" s="20" t="s">
        <v>465</v>
      </c>
      <c r="I783" s="378" t="s">
        <v>441</v>
      </c>
      <c r="J783" s="20" t="s">
        <v>163</v>
      </c>
      <c r="K783" s="378" t="s">
        <v>466</v>
      </c>
      <c r="L783" s="378" t="s">
        <v>165</v>
      </c>
      <c r="M783" s="380">
        <v>2400</v>
      </c>
      <c r="N783" s="380" t="s">
        <v>443</v>
      </c>
      <c r="O783" s="380" t="s">
        <v>443</v>
      </c>
      <c r="P783" s="380" t="s">
        <v>443</v>
      </c>
      <c r="Q783" s="381">
        <v>220</v>
      </c>
      <c r="R783" s="381">
        <v>0</v>
      </c>
      <c r="S783" s="381">
        <v>0</v>
      </c>
      <c r="T783" s="381">
        <v>0</v>
      </c>
      <c r="U783" s="381">
        <v>0</v>
      </c>
      <c r="V783" s="382">
        <v>220</v>
      </c>
      <c r="W783" s="382">
        <v>0</v>
      </c>
      <c r="X783" s="381">
        <v>9.166666666666666E-2</v>
      </c>
      <c r="Y783" s="381">
        <v>0</v>
      </c>
      <c r="Z783" s="381">
        <v>0</v>
      </c>
      <c r="AA783" s="381">
        <v>0</v>
      </c>
      <c r="AB783" s="381">
        <v>0</v>
      </c>
      <c r="AC783" s="382">
        <v>9.166666666666666E-2</v>
      </c>
      <c r="AD783" s="382">
        <v>0</v>
      </c>
      <c r="AE783" s="381" t="s">
        <v>444</v>
      </c>
    </row>
    <row r="784" spans="1:31" ht="15" customHeight="1" x14ac:dyDescent="0.25">
      <c r="A784" s="20" t="s">
        <v>156</v>
      </c>
      <c r="B784" s="20" t="s">
        <v>939</v>
      </c>
      <c r="C784" s="20" t="s">
        <v>940</v>
      </c>
      <c r="D784" s="378" t="s">
        <v>1264</v>
      </c>
      <c r="E784" s="384">
        <v>45596</v>
      </c>
      <c r="F784" s="384">
        <v>46235</v>
      </c>
      <c r="G784" s="378" t="s">
        <v>439</v>
      </c>
      <c r="H784" s="20" t="s">
        <v>465</v>
      </c>
      <c r="I784" s="378" t="s">
        <v>441</v>
      </c>
      <c r="J784" s="20" t="s">
        <v>163</v>
      </c>
      <c r="K784" s="378" t="s">
        <v>466</v>
      </c>
      <c r="L784" s="378" t="s">
        <v>165</v>
      </c>
      <c r="M784" s="380">
        <v>2400</v>
      </c>
      <c r="N784" s="380" t="s">
        <v>443</v>
      </c>
      <c r="O784" s="380" t="s">
        <v>443</v>
      </c>
      <c r="P784" s="380" t="s">
        <v>443</v>
      </c>
      <c r="Q784" s="381">
        <v>220</v>
      </c>
      <c r="R784" s="381">
        <v>0</v>
      </c>
      <c r="S784" s="381">
        <v>0</v>
      </c>
      <c r="T784" s="381">
        <v>0</v>
      </c>
      <c r="U784" s="381">
        <v>0</v>
      </c>
      <c r="V784" s="382">
        <v>220</v>
      </c>
      <c r="W784" s="382">
        <v>0</v>
      </c>
      <c r="X784" s="381">
        <v>9.166666666666666E-2</v>
      </c>
      <c r="Y784" s="381">
        <v>0</v>
      </c>
      <c r="Z784" s="381">
        <v>0</v>
      </c>
      <c r="AA784" s="381">
        <v>0</v>
      </c>
      <c r="AB784" s="381">
        <v>0</v>
      </c>
      <c r="AC784" s="382">
        <v>9.166666666666666E-2</v>
      </c>
      <c r="AD784" s="382">
        <v>0</v>
      </c>
      <c r="AE784" s="381" t="s">
        <v>444</v>
      </c>
    </row>
    <row r="785" spans="1:31" ht="15" customHeight="1" x14ac:dyDescent="0.25">
      <c r="A785" s="20" t="s">
        <v>156</v>
      </c>
      <c r="B785" s="20" t="s">
        <v>939</v>
      </c>
      <c r="C785" s="20" t="s">
        <v>940</v>
      </c>
      <c r="D785" s="378" t="s">
        <v>1265</v>
      </c>
      <c r="E785" s="384">
        <v>45596</v>
      </c>
      <c r="F785" s="384">
        <v>46235</v>
      </c>
      <c r="G785" s="378" t="s">
        <v>439</v>
      </c>
      <c r="H785" s="20" t="s">
        <v>465</v>
      </c>
      <c r="I785" s="378" t="s">
        <v>441</v>
      </c>
      <c r="J785" s="20" t="s">
        <v>163</v>
      </c>
      <c r="K785" s="378" t="s">
        <v>466</v>
      </c>
      <c r="L785" s="378" t="s">
        <v>165</v>
      </c>
      <c r="M785" s="380">
        <v>2400</v>
      </c>
      <c r="N785" s="380" t="s">
        <v>443</v>
      </c>
      <c r="O785" s="380" t="s">
        <v>443</v>
      </c>
      <c r="P785" s="380" t="s">
        <v>443</v>
      </c>
      <c r="Q785" s="381">
        <v>295</v>
      </c>
      <c r="R785" s="381">
        <v>0</v>
      </c>
      <c r="S785" s="381">
        <v>0</v>
      </c>
      <c r="T785" s="381">
        <v>0</v>
      </c>
      <c r="U785" s="381">
        <v>0</v>
      </c>
      <c r="V785" s="382">
        <v>295</v>
      </c>
      <c r="W785" s="382">
        <v>0</v>
      </c>
      <c r="X785" s="381">
        <v>0.12291666666666666</v>
      </c>
      <c r="Y785" s="381">
        <v>0</v>
      </c>
      <c r="Z785" s="381">
        <v>0</v>
      </c>
      <c r="AA785" s="381">
        <v>0</v>
      </c>
      <c r="AB785" s="381">
        <v>0</v>
      </c>
      <c r="AC785" s="382">
        <v>0.12291666666666666</v>
      </c>
      <c r="AD785" s="382">
        <v>0</v>
      </c>
      <c r="AE785" s="381" t="s">
        <v>444</v>
      </c>
    </row>
    <row r="786" spans="1:31" ht="15" customHeight="1" x14ac:dyDescent="0.25">
      <c r="A786" s="20" t="s">
        <v>156</v>
      </c>
      <c r="B786" s="20" t="s">
        <v>939</v>
      </c>
      <c r="C786" s="20" t="s">
        <v>940</v>
      </c>
      <c r="D786" s="378" t="s">
        <v>1266</v>
      </c>
      <c r="E786" s="384">
        <v>45596</v>
      </c>
      <c r="F786" s="384">
        <v>46235</v>
      </c>
      <c r="G786" s="378" t="s">
        <v>439</v>
      </c>
      <c r="H786" s="20" t="s">
        <v>465</v>
      </c>
      <c r="I786" s="378" t="s">
        <v>441</v>
      </c>
      <c r="J786" s="20" t="s">
        <v>163</v>
      </c>
      <c r="K786" s="378" t="s">
        <v>466</v>
      </c>
      <c r="L786" s="378" t="s">
        <v>165</v>
      </c>
      <c r="M786" s="380">
        <v>2400</v>
      </c>
      <c r="N786" s="380" t="s">
        <v>443</v>
      </c>
      <c r="O786" s="380" t="s">
        <v>443</v>
      </c>
      <c r="P786" s="380" t="s">
        <v>443</v>
      </c>
      <c r="Q786" s="381">
        <v>235</v>
      </c>
      <c r="R786" s="381">
        <v>0</v>
      </c>
      <c r="S786" s="381">
        <v>0</v>
      </c>
      <c r="T786" s="381">
        <v>0</v>
      </c>
      <c r="U786" s="381">
        <v>0</v>
      </c>
      <c r="V786" s="382">
        <v>235</v>
      </c>
      <c r="W786" s="382">
        <v>0</v>
      </c>
      <c r="X786" s="381">
        <v>9.7916666666666666E-2</v>
      </c>
      <c r="Y786" s="381">
        <v>0</v>
      </c>
      <c r="Z786" s="381">
        <v>0</v>
      </c>
      <c r="AA786" s="381">
        <v>0</v>
      </c>
      <c r="AB786" s="381">
        <v>0</v>
      </c>
      <c r="AC786" s="382">
        <v>9.7916666666666666E-2</v>
      </c>
      <c r="AD786" s="382">
        <v>0</v>
      </c>
      <c r="AE786" s="381" t="s">
        <v>444</v>
      </c>
    </row>
    <row r="787" spans="1:31" ht="15" customHeight="1" x14ac:dyDescent="0.25">
      <c r="A787" s="20" t="s">
        <v>156</v>
      </c>
      <c r="B787" s="20" t="s">
        <v>939</v>
      </c>
      <c r="C787" s="20" t="s">
        <v>940</v>
      </c>
      <c r="D787" s="378" t="s">
        <v>1267</v>
      </c>
      <c r="E787" s="384">
        <v>45321</v>
      </c>
      <c r="F787" s="384">
        <v>46351</v>
      </c>
      <c r="G787" s="378" t="s">
        <v>439</v>
      </c>
      <c r="H787" s="20" t="s">
        <v>802</v>
      </c>
      <c r="I787" s="378" t="s">
        <v>353</v>
      </c>
      <c r="J787" s="20" t="s">
        <v>163</v>
      </c>
      <c r="K787" s="378" t="s">
        <v>803</v>
      </c>
      <c r="L787" s="378" t="s">
        <v>165</v>
      </c>
      <c r="M787" s="380">
        <v>2400</v>
      </c>
      <c r="N787" s="380" t="s">
        <v>443</v>
      </c>
      <c r="O787" s="380" t="s">
        <v>443</v>
      </c>
      <c r="P787" s="380" t="s">
        <v>443</v>
      </c>
      <c r="Q787" s="381">
        <v>217</v>
      </c>
      <c r="R787" s="381">
        <v>0</v>
      </c>
      <c r="S787" s="381">
        <v>0</v>
      </c>
      <c r="T787" s="381">
        <v>0</v>
      </c>
      <c r="U787" s="381">
        <v>0</v>
      </c>
      <c r="V787" s="382">
        <v>217</v>
      </c>
      <c r="W787" s="382">
        <v>0</v>
      </c>
      <c r="X787" s="381">
        <v>9.0416666666666673E-2</v>
      </c>
      <c r="Y787" s="381">
        <v>0</v>
      </c>
      <c r="Z787" s="381">
        <v>0</v>
      </c>
      <c r="AA787" s="381">
        <v>0</v>
      </c>
      <c r="AB787" s="381">
        <v>0</v>
      </c>
      <c r="AC787" s="382">
        <v>9.0416666666666673E-2</v>
      </c>
      <c r="AD787" s="382">
        <v>0</v>
      </c>
      <c r="AE787" s="381" t="s">
        <v>444</v>
      </c>
    </row>
    <row r="788" spans="1:31" ht="15" customHeight="1" x14ac:dyDescent="0.25">
      <c r="A788" s="20" t="s">
        <v>156</v>
      </c>
      <c r="B788" s="20" t="s">
        <v>939</v>
      </c>
      <c r="C788" s="20" t="s">
        <v>940</v>
      </c>
      <c r="D788" s="378" t="s">
        <v>1268</v>
      </c>
      <c r="E788" s="384">
        <v>45321</v>
      </c>
      <c r="F788" s="384">
        <v>46351</v>
      </c>
      <c r="G788" s="378" t="s">
        <v>439</v>
      </c>
      <c r="H788" s="20" t="s">
        <v>802</v>
      </c>
      <c r="I788" s="378" t="s">
        <v>353</v>
      </c>
      <c r="J788" s="20" t="s">
        <v>163</v>
      </c>
      <c r="K788" s="378" t="s">
        <v>803</v>
      </c>
      <c r="L788" s="378" t="s">
        <v>165</v>
      </c>
      <c r="M788" s="380">
        <v>2400</v>
      </c>
      <c r="N788" s="380" t="s">
        <v>443</v>
      </c>
      <c r="O788" s="380" t="s">
        <v>443</v>
      </c>
      <c r="P788" s="380" t="s">
        <v>443</v>
      </c>
      <c r="Q788" s="381">
        <v>215</v>
      </c>
      <c r="R788" s="381">
        <v>0</v>
      </c>
      <c r="S788" s="381">
        <v>0</v>
      </c>
      <c r="T788" s="381">
        <v>0</v>
      </c>
      <c r="U788" s="381">
        <v>0</v>
      </c>
      <c r="V788" s="382">
        <v>215</v>
      </c>
      <c r="W788" s="382">
        <v>0</v>
      </c>
      <c r="X788" s="381">
        <v>8.9583333333333334E-2</v>
      </c>
      <c r="Y788" s="381">
        <v>0</v>
      </c>
      <c r="Z788" s="381">
        <v>0</v>
      </c>
      <c r="AA788" s="381">
        <v>0</v>
      </c>
      <c r="AB788" s="381">
        <v>0</v>
      </c>
      <c r="AC788" s="382">
        <v>8.9583333333333334E-2</v>
      </c>
      <c r="AD788" s="382">
        <v>0</v>
      </c>
      <c r="AE788" s="381" t="s">
        <v>444</v>
      </c>
    </row>
    <row r="789" spans="1:31" ht="15" customHeight="1" x14ac:dyDescent="0.25">
      <c r="A789" s="20" t="s">
        <v>156</v>
      </c>
      <c r="B789" s="20" t="s">
        <v>939</v>
      </c>
      <c r="C789" s="20" t="s">
        <v>940</v>
      </c>
      <c r="D789" s="378" t="s">
        <v>1269</v>
      </c>
      <c r="E789" s="384">
        <v>45321</v>
      </c>
      <c r="F789" s="384">
        <v>46351</v>
      </c>
      <c r="G789" s="378" t="s">
        <v>439</v>
      </c>
      <c r="H789" s="20" t="s">
        <v>802</v>
      </c>
      <c r="I789" s="378" t="s">
        <v>353</v>
      </c>
      <c r="J789" s="20" t="s">
        <v>163</v>
      </c>
      <c r="K789" s="378" t="s">
        <v>803</v>
      </c>
      <c r="L789" s="378" t="s">
        <v>165</v>
      </c>
      <c r="M789" s="380">
        <v>2400</v>
      </c>
      <c r="N789" s="380" t="s">
        <v>443</v>
      </c>
      <c r="O789" s="380" t="s">
        <v>443</v>
      </c>
      <c r="P789" s="380" t="s">
        <v>443</v>
      </c>
      <c r="Q789" s="381">
        <v>228</v>
      </c>
      <c r="R789" s="381">
        <v>0</v>
      </c>
      <c r="S789" s="381">
        <v>0</v>
      </c>
      <c r="T789" s="381">
        <v>0</v>
      </c>
      <c r="U789" s="381">
        <v>0</v>
      </c>
      <c r="V789" s="382">
        <v>228</v>
      </c>
      <c r="W789" s="382">
        <v>0</v>
      </c>
      <c r="X789" s="381">
        <v>9.5000000000000001E-2</v>
      </c>
      <c r="Y789" s="381">
        <v>0</v>
      </c>
      <c r="Z789" s="381">
        <v>0</v>
      </c>
      <c r="AA789" s="381">
        <v>0</v>
      </c>
      <c r="AB789" s="381">
        <v>0</v>
      </c>
      <c r="AC789" s="382">
        <v>9.5000000000000001E-2</v>
      </c>
      <c r="AD789" s="382">
        <v>0</v>
      </c>
      <c r="AE789" s="381" t="s">
        <v>444</v>
      </c>
    </row>
    <row r="790" spans="1:31" ht="15" customHeight="1" x14ac:dyDescent="0.25">
      <c r="A790" s="20" t="s">
        <v>156</v>
      </c>
      <c r="B790" s="20" t="s">
        <v>939</v>
      </c>
      <c r="C790" s="20" t="s">
        <v>940</v>
      </c>
      <c r="D790" s="378" t="s">
        <v>1270</v>
      </c>
      <c r="E790" s="384">
        <v>45321</v>
      </c>
      <c r="F790" s="384">
        <v>46351</v>
      </c>
      <c r="G790" s="378" t="s">
        <v>439</v>
      </c>
      <c r="H790" s="20" t="s">
        <v>802</v>
      </c>
      <c r="I790" s="378" t="s">
        <v>353</v>
      </c>
      <c r="J790" s="20" t="s">
        <v>163</v>
      </c>
      <c r="K790" s="378" t="s">
        <v>803</v>
      </c>
      <c r="L790" s="378" t="s">
        <v>165</v>
      </c>
      <c r="M790" s="380">
        <v>2400</v>
      </c>
      <c r="N790" s="380" t="s">
        <v>443</v>
      </c>
      <c r="O790" s="380" t="s">
        <v>443</v>
      </c>
      <c r="P790" s="380" t="s">
        <v>443</v>
      </c>
      <c r="Q790" s="381">
        <v>267</v>
      </c>
      <c r="R790" s="381">
        <v>0</v>
      </c>
      <c r="S790" s="381">
        <v>0</v>
      </c>
      <c r="T790" s="381">
        <v>0</v>
      </c>
      <c r="U790" s="381">
        <v>0</v>
      </c>
      <c r="V790" s="382">
        <v>267</v>
      </c>
      <c r="W790" s="382">
        <v>0</v>
      </c>
      <c r="X790" s="381">
        <v>0.11125</v>
      </c>
      <c r="Y790" s="381">
        <v>0</v>
      </c>
      <c r="Z790" s="381">
        <v>0</v>
      </c>
      <c r="AA790" s="381">
        <v>0</v>
      </c>
      <c r="AB790" s="381">
        <v>0</v>
      </c>
      <c r="AC790" s="382">
        <v>0.11125</v>
      </c>
      <c r="AD790" s="382">
        <v>0</v>
      </c>
      <c r="AE790" s="381" t="s">
        <v>444</v>
      </c>
    </row>
    <row r="791" spans="1:31" ht="15" customHeight="1" x14ac:dyDescent="0.25">
      <c r="A791" s="20" t="s">
        <v>156</v>
      </c>
      <c r="B791" s="20" t="s">
        <v>939</v>
      </c>
      <c r="C791" s="20" t="s">
        <v>940</v>
      </c>
      <c r="D791" s="378" t="s">
        <v>1271</v>
      </c>
      <c r="E791" s="384">
        <v>45321</v>
      </c>
      <c r="F791" s="384">
        <v>46351</v>
      </c>
      <c r="G791" s="378" t="s">
        <v>439</v>
      </c>
      <c r="H791" s="20" t="s">
        <v>802</v>
      </c>
      <c r="I791" s="378" t="s">
        <v>353</v>
      </c>
      <c r="J791" s="20" t="s">
        <v>163</v>
      </c>
      <c r="K791" s="378" t="s">
        <v>803</v>
      </c>
      <c r="L791" s="378" t="s">
        <v>165</v>
      </c>
      <c r="M791" s="380">
        <v>2400</v>
      </c>
      <c r="N791" s="380" t="s">
        <v>443</v>
      </c>
      <c r="O791" s="380" t="s">
        <v>443</v>
      </c>
      <c r="P791" s="380" t="s">
        <v>443</v>
      </c>
      <c r="Q791" s="381">
        <v>346</v>
      </c>
      <c r="R791" s="381">
        <v>0</v>
      </c>
      <c r="S791" s="381">
        <v>0</v>
      </c>
      <c r="T791" s="381">
        <v>0</v>
      </c>
      <c r="U791" s="381">
        <v>0</v>
      </c>
      <c r="V791" s="382">
        <v>346</v>
      </c>
      <c r="W791" s="382">
        <v>0</v>
      </c>
      <c r="X791" s="381">
        <v>0.14416666666666667</v>
      </c>
      <c r="Y791" s="381">
        <v>0</v>
      </c>
      <c r="Z791" s="381">
        <v>0</v>
      </c>
      <c r="AA791" s="381">
        <v>0</v>
      </c>
      <c r="AB791" s="381">
        <v>0</v>
      </c>
      <c r="AC791" s="382">
        <v>0.14416666666666667</v>
      </c>
      <c r="AD791" s="382">
        <v>0</v>
      </c>
      <c r="AE791" s="381" t="s">
        <v>444</v>
      </c>
    </row>
    <row r="792" spans="1:31" ht="15" customHeight="1" x14ac:dyDescent="0.25">
      <c r="A792" s="20" t="s">
        <v>156</v>
      </c>
      <c r="B792" s="20" t="s">
        <v>939</v>
      </c>
      <c r="C792" s="20" t="s">
        <v>940</v>
      </c>
      <c r="D792" s="378" t="s">
        <v>1272</v>
      </c>
      <c r="E792" s="384">
        <v>44803</v>
      </c>
      <c r="F792" s="384">
        <v>46619</v>
      </c>
      <c r="G792" s="378" t="s">
        <v>439</v>
      </c>
      <c r="H792" s="20" t="s">
        <v>470</v>
      </c>
      <c r="I792" s="378" t="s">
        <v>168</v>
      </c>
      <c r="J792" s="20" t="s">
        <v>163</v>
      </c>
      <c r="K792" s="378" t="s">
        <v>471</v>
      </c>
      <c r="L792" s="378" t="s">
        <v>165</v>
      </c>
      <c r="M792" s="380">
        <v>2400</v>
      </c>
      <c r="N792" s="380" t="s">
        <v>443</v>
      </c>
      <c r="O792" s="380" t="s">
        <v>443</v>
      </c>
      <c r="P792" s="380" t="s">
        <v>443</v>
      </c>
      <c r="Q792" s="381">
        <v>350</v>
      </c>
      <c r="R792" s="381">
        <v>350</v>
      </c>
      <c r="S792" s="381">
        <v>5.0099999999999999E-2</v>
      </c>
      <c r="T792" s="381">
        <v>0</v>
      </c>
      <c r="U792" s="381">
        <v>0</v>
      </c>
      <c r="V792" s="382">
        <v>350.05009999999999</v>
      </c>
      <c r="W792" s="382">
        <v>0</v>
      </c>
      <c r="X792" s="381">
        <v>0.14583333333333334</v>
      </c>
      <c r="Y792" s="381">
        <v>0.14583333333333334</v>
      </c>
      <c r="Z792" s="381">
        <v>2.0874999999999999E-5</v>
      </c>
      <c r="AA792" s="381">
        <v>0</v>
      </c>
      <c r="AB792" s="381">
        <v>0</v>
      </c>
      <c r="AC792" s="382">
        <v>0.14585420833333335</v>
      </c>
      <c r="AD792" s="382">
        <v>0</v>
      </c>
      <c r="AE792" s="381" t="s">
        <v>444</v>
      </c>
    </row>
    <row r="793" spans="1:31" ht="15" customHeight="1" x14ac:dyDescent="0.25">
      <c r="A793" s="20" t="s">
        <v>156</v>
      </c>
      <c r="B793" s="20" t="s">
        <v>939</v>
      </c>
      <c r="C793" s="20" t="s">
        <v>940</v>
      </c>
      <c r="D793" s="378" t="s">
        <v>1273</v>
      </c>
      <c r="E793" s="384">
        <v>44803</v>
      </c>
      <c r="F793" s="384">
        <v>46619</v>
      </c>
      <c r="G793" s="378" t="s">
        <v>439</v>
      </c>
      <c r="H793" s="20" t="s">
        <v>470</v>
      </c>
      <c r="I793" s="378" t="s">
        <v>168</v>
      </c>
      <c r="J793" s="20" t="s">
        <v>163</v>
      </c>
      <c r="K793" s="378" t="s">
        <v>471</v>
      </c>
      <c r="L793" s="378" t="s">
        <v>165</v>
      </c>
      <c r="M793" s="380">
        <v>2400</v>
      </c>
      <c r="N793" s="380" t="s">
        <v>443</v>
      </c>
      <c r="O793" s="380" t="s">
        <v>443</v>
      </c>
      <c r="P793" s="380" t="s">
        <v>443</v>
      </c>
      <c r="Q793" s="381">
        <v>286</v>
      </c>
      <c r="R793" s="381">
        <v>286</v>
      </c>
      <c r="S793" s="381">
        <v>5.6899999999999999E-2</v>
      </c>
      <c r="T793" s="381">
        <v>0</v>
      </c>
      <c r="U793" s="381">
        <v>0</v>
      </c>
      <c r="V793" s="382">
        <v>286.05689999999998</v>
      </c>
      <c r="W793" s="382">
        <v>0</v>
      </c>
      <c r="X793" s="381">
        <v>0.11916666666666667</v>
      </c>
      <c r="Y793" s="381">
        <v>0.11916666666666667</v>
      </c>
      <c r="Z793" s="381">
        <v>2.3708333333333331E-5</v>
      </c>
      <c r="AA793" s="381">
        <v>0</v>
      </c>
      <c r="AB793" s="381">
        <v>0</v>
      </c>
      <c r="AC793" s="382">
        <v>0.119190375</v>
      </c>
      <c r="AD793" s="382">
        <v>0</v>
      </c>
      <c r="AE793" s="381" t="s">
        <v>444</v>
      </c>
    </row>
    <row r="794" spans="1:31" ht="15" customHeight="1" x14ac:dyDescent="0.25">
      <c r="A794" s="20" t="s">
        <v>156</v>
      </c>
      <c r="B794" s="20" t="s">
        <v>939</v>
      </c>
      <c r="C794" s="20" t="s">
        <v>940</v>
      </c>
      <c r="D794" s="378" t="s">
        <v>1274</v>
      </c>
      <c r="E794" s="384">
        <v>44803</v>
      </c>
      <c r="F794" s="384">
        <v>46619</v>
      </c>
      <c r="G794" s="378" t="s">
        <v>439</v>
      </c>
      <c r="H794" s="20" t="s">
        <v>470</v>
      </c>
      <c r="I794" s="378" t="s">
        <v>168</v>
      </c>
      <c r="J794" s="20" t="s">
        <v>163</v>
      </c>
      <c r="K794" s="378" t="s">
        <v>471</v>
      </c>
      <c r="L794" s="378" t="s">
        <v>165</v>
      </c>
      <c r="M794" s="380">
        <v>2400</v>
      </c>
      <c r="N794" s="380" t="s">
        <v>443</v>
      </c>
      <c r="O794" s="380" t="s">
        <v>443</v>
      </c>
      <c r="P794" s="380" t="s">
        <v>443</v>
      </c>
      <c r="Q794" s="381">
        <v>225</v>
      </c>
      <c r="R794" s="381">
        <v>225</v>
      </c>
      <c r="S794" s="381">
        <v>6.7400000000000002E-2</v>
      </c>
      <c r="T794" s="381">
        <v>0</v>
      </c>
      <c r="U794" s="381">
        <v>0</v>
      </c>
      <c r="V794" s="382">
        <v>225.06739999999999</v>
      </c>
      <c r="W794" s="382">
        <v>0</v>
      </c>
      <c r="X794" s="381">
        <v>9.375E-2</v>
      </c>
      <c r="Y794" s="381">
        <v>9.375E-2</v>
      </c>
      <c r="Z794" s="381">
        <v>2.8083333333333333E-5</v>
      </c>
      <c r="AA794" s="381">
        <v>0</v>
      </c>
      <c r="AB794" s="381">
        <v>0</v>
      </c>
      <c r="AC794" s="382">
        <v>9.3778083333333331E-2</v>
      </c>
      <c r="AD794" s="382">
        <v>0</v>
      </c>
      <c r="AE794" s="381" t="s">
        <v>444</v>
      </c>
    </row>
    <row r="795" spans="1:31" ht="15" customHeight="1" x14ac:dyDescent="0.25">
      <c r="A795" s="20" t="s">
        <v>156</v>
      </c>
      <c r="B795" s="20" t="s">
        <v>939</v>
      </c>
      <c r="C795" s="20" t="s">
        <v>940</v>
      </c>
      <c r="D795" s="378" t="s">
        <v>1275</v>
      </c>
      <c r="E795" s="384">
        <v>44803</v>
      </c>
      <c r="F795" s="384">
        <v>46619</v>
      </c>
      <c r="G795" s="378" t="s">
        <v>439</v>
      </c>
      <c r="H795" s="20" t="s">
        <v>470</v>
      </c>
      <c r="I795" s="378" t="s">
        <v>168</v>
      </c>
      <c r="J795" s="20" t="s">
        <v>163</v>
      </c>
      <c r="K795" s="378" t="s">
        <v>471</v>
      </c>
      <c r="L795" s="378" t="s">
        <v>165</v>
      </c>
      <c r="M795" s="380">
        <v>2400</v>
      </c>
      <c r="N795" s="380" t="s">
        <v>443</v>
      </c>
      <c r="O795" s="380" t="s">
        <v>443</v>
      </c>
      <c r="P795" s="380" t="s">
        <v>443</v>
      </c>
      <c r="Q795" s="381">
        <v>242</v>
      </c>
      <c r="R795" s="381">
        <v>242</v>
      </c>
      <c r="S795" s="381">
        <v>7.6999999999999999E-2</v>
      </c>
      <c r="T795" s="381">
        <v>0</v>
      </c>
      <c r="U795" s="381">
        <v>0</v>
      </c>
      <c r="V795" s="382">
        <v>242.077</v>
      </c>
      <c r="W795" s="382">
        <v>0</v>
      </c>
      <c r="X795" s="381">
        <v>0.10083333333333333</v>
      </c>
      <c r="Y795" s="381">
        <v>0.10083333333333333</v>
      </c>
      <c r="Z795" s="381">
        <v>3.2083333333333332E-5</v>
      </c>
      <c r="AA795" s="381">
        <v>0</v>
      </c>
      <c r="AB795" s="381">
        <v>0</v>
      </c>
      <c r="AC795" s="382">
        <v>0.10086541666666667</v>
      </c>
      <c r="AD795" s="382">
        <v>0</v>
      </c>
      <c r="AE795" s="381" t="s">
        <v>444</v>
      </c>
    </row>
    <row r="796" spans="1:31" ht="15" customHeight="1" x14ac:dyDescent="0.25">
      <c r="A796" s="20" t="s">
        <v>156</v>
      </c>
      <c r="B796" s="20" t="s">
        <v>939</v>
      </c>
      <c r="C796" s="20" t="s">
        <v>940</v>
      </c>
      <c r="D796" s="378" t="s">
        <v>1276</v>
      </c>
      <c r="E796" s="384">
        <v>44613</v>
      </c>
      <c r="F796" s="384">
        <v>46439</v>
      </c>
      <c r="G796" s="378" t="s">
        <v>439</v>
      </c>
      <c r="H796" s="20" t="s">
        <v>455</v>
      </c>
      <c r="I796" s="378" t="s">
        <v>162</v>
      </c>
      <c r="J796" s="20" t="s">
        <v>163</v>
      </c>
      <c r="K796" s="378" t="s">
        <v>476</v>
      </c>
      <c r="L796" s="378" t="s">
        <v>165</v>
      </c>
      <c r="M796" s="380">
        <v>2400</v>
      </c>
      <c r="N796" s="380" t="s">
        <v>443</v>
      </c>
      <c r="O796" s="380" t="s">
        <v>443</v>
      </c>
      <c r="P796" s="380" t="s">
        <v>443</v>
      </c>
      <c r="Q796" s="381">
        <v>207</v>
      </c>
      <c r="R796" s="381">
        <v>0</v>
      </c>
      <c r="S796" s="381">
        <v>0</v>
      </c>
      <c r="T796" s="381">
        <v>0</v>
      </c>
      <c r="U796" s="381">
        <v>0</v>
      </c>
      <c r="V796" s="382">
        <v>207</v>
      </c>
      <c r="W796" s="382">
        <v>0</v>
      </c>
      <c r="X796" s="381">
        <v>8.6249999999999993E-2</v>
      </c>
      <c r="Y796" s="381">
        <v>0</v>
      </c>
      <c r="Z796" s="381">
        <v>0</v>
      </c>
      <c r="AA796" s="381">
        <v>0</v>
      </c>
      <c r="AB796" s="381">
        <v>0</v>
      </c>
      <c r="AC796" s="382">
        <v>8.6249999999999993E-2</v>
      </c>
      <c r="AD796" s="382">
        <v>0</v>
      </c>
      <c r="AE796" s="381" t="s">
        <v>444</v>
      </c>
    </row>
    <row r="797" spans="1:31" ht="15" customHeight="1" x14ac:dyDescent="0.25">
      <c r="A797" s="20" t="s">
        <v>156</v>
      </c>
      <c r="B797" s="20" t="s">
        <v>939</v>
      </c>
      <c r="C797" s="20" t="s">
        <v>940</v>
      </c>
      <c r="D797" s="378" t="s">
        <v>1277</v>
      </c>
      <c r="E797" s="384">
        <v>44613</v>
      </c>
      <c r="F797" s="384">
        <v>46439</v>
      </c>
      <c r="G797" s="378" t="s">
        <v>439</v>
      </c>
      <c r="H797" s="20" t="s">
        <v>455</v>
      </c>
      <c r="I797" s="378" t="s">
        <v>162</v>
      </c>
      <c r="J797" s="20" t="s">
        <v>163</v>
      </c>
      <c r="K797" s="378" t="s">
        <v>476</v>
      </c>
      <c r="L797" s="378" t="s">
        <v>165</v>
      </c>
      <c r="M797" s="380">
        <v>2400</v>
      </c>
      <c r="N797" s="380" t="s">
        <v>443</v>
      </c>
      <c r="O797" s="380" t="s">
        <v>443</v>
      </c>
      <c r="P797" s="380" t="s">
        <v>443</v>
      </c>
      <c r="Q797" s="381">
        <v>232</v>
      </c>
      <c r="R797" s="381">
        <v>0</v>
      </c>
      <c r="S797" s="381">
        <v>0</v>
      </c>
      <c r="T797" s="381">
        <v>0</v>
      </c>
      <c r="U797" s="381">
        <v>0</v>
      </c>
      <c r="V797" s="382">
        <v>232</v>
      </c>
      <c r="W797" s="382">
        <v>0</v>
      </c>
      <c r="X797" s="381">
        <v>9.6666666666666665E-2</v>
      </c>
      <c r="Y797" s="381">
        <v>0</v>
      </c>
      <c r="Z797" s="381">
        <v>0</v>
      </c>
      <c r="AA797" s="381">
        <v>0</v>
      </c>
      <c r="AB797" s="381">
        <v>0</v>
      </c>
      <c r="AC797" s="382">
        <v>9.6666666666666665E-2</v>
      </c>
      <c r="AD797" s="382">
        <v>0</v>
      </c>
      <c r="AE797" s="381" t="s">
        <v>444</v>
      </c>
    </row>
    <row r="798" spans="1:31" ht="15" customHeight="1" x14ac:dyDescent="0.25">
      <c r="A798" s="20" t="s">
        <v>156</v>
      </c>
      <c r="B798" s="20" t="s">
        <v>939</v>
      </c>
      <c r="C798" s="20" t="s">
        <v>940</v>
      </c>
      <c r="D798" s="378" t="s">
        <v>1278</v>
      </c>
      <c r="E798" s="384">
        <v>44613</v>
      </c>
      <c r="F798" s="384">
        <v>46439</v>
      </c>
      <c r="G798" s="378" t="s">
        <v>439</v>
      </c>
      <c r="H798" s="20" t="s">
        <v>455</v>
      </c>
      <c r="I798" s="378" t="s">
        <v>162</v>
      </c>
      <c r="J798" s="20" t="s">
        <v>163</v>
      </c>
      <c r="K798" s="378" t="s">
        <v>476</v>
      </c>
      <c r="L798" s="378" t="s">
        <v>165</v>
      </c>
      <c r="M798" s="380">
        <v>2400</v>
      </c>
      <c r="N798" s="380" t="s">
        <v>443</v>
      </c>
      <c r="O798" s="380" t="s">
        <v>443</v>
      </c>
      <c r="P798" s="380" t="s">
        <v>443</v>
      </c>
      <c r="Q798" s="381">
        <v>282</v>
      </c>
      <c r="R798" s="381">
        <v>0</v>
      </c>
      <c r="S798" s="381">
        <v>0</v>
      </c>
      <c r="T798" s="381">
        <v>0</v>
      </c>
      <c r="U798" s="381">
        <v>0</v>
      </c>
      <c r="V798" s="382">
        <v>282</v>
      </c>
      <c r="W798" s="382">
        <v>0</v>
      </c>
      <c r="X798" s="381">
        <v>0.11749999999999999</v>
      </c>
      <c r="Y798" s="381">
        <v>0</v>
      </c>
      <c r="Z798" s="381">
        <v>0</v>
      </c>
      <c r="AA798" s="381">
        <v>0</v>
      </c>
      <c r="AB798" s="381">
        <v>0</v>
      </c>
      <c r="AC798" s="382">
        <v>0.11749999999999999</v>
      </c>
      <c r="AD798" s="382">
        <v>0</v>
      </c>
      <c r="AE798" s="381" t="s">
        <v>444</v>
      </c>
    </row>
    <row r="799" spans="1:31" ht="15" customHeight="1" x14ac:dyDescent="0.25">
      <c r="A799" s="20" t="s">
        <v>156</v>
      </c>
      <c r="B799" s="20" t="s">
        <v>939</v>
      </c>
      <c r="C799" s="20" t="s">
        <v>940</v>
      </c>
      <c r="D799" s="378" t="s">
        <v>1279</v>
      </c>
      <c r="E799" s="384">
        <v>44613</v>
      </c>
      <c r="F799" s="384">
        <v>46439</v>
      </c>
      <c r="G799" s="378" t="s">
        <v>439</v>
      </c>
      <c r="H799" s="20" t="s">
        <v>455</v>
      </c>
      <c r="I799" s="378" t="s">
        <v>162</v>
      </c>
      <c r="J799" s="20" t="s">
        <v>163</v>
      </c>
      <c r="K799" s="378" t="s">
        <v>476</v>
      </c>
      <c r="L799" s="378" t="s">
        <v>165</v>
      </c>
      <c r="M799" s="380">
        <v>2400</v>
      </c>
      <c r="N799" s="380" t="s">
        <v>443</v>
      </c>
      <c r="O799" s="380" t="s">
        <v>443</v>
      </c>
      <c r="P799" s="380" t="s">
        <v>443</v>
      </c>
      <c r="Q799" s="381">
        <v>315</v>
      </c>
      <c r="R799" s="381">
        <v>0</v>
      </c>
      <c r="S799" s="381">
        <v>0</v>
      </c>
      <c r="T799" s="381">
        <v>0</v>
      </c>
      <c r="U799" s="381">
        <v>0</v>
      </c>
      <c r="V799" s="382">
        <v>315</v>
      </c>
      <c r="W799" s="382">
        <v>0</v>
      </c>
      <c r="X799" s="381">
        <v>0.13125000000000001</v>
      </c>
      <c r="Y799" s="381">
        <v>0</v>
      </c>
      <c r="Z799" s="381">
        <v>0</v>
      </c>
      <c r="AA799" s="381">
        <v>0</v>
      </c>
      <c r="AB799" s="381">
        <v>0</v>
      </c>
      <c r="AC799" s="382">
        <v>0.13125000000000001</v>
      </c>
      <c r="AD799" s="382">
        <v>0</v>
      </c>
      <c r="AE799" s="381" t="s">
        <v>444</v>
      </c>
    </row>
    <row r="800" spans="1:31" ht="15" customHeight="1" x14ac:dyDescent="0.25">
      <c r="A800" s="20" t="s">
        <v>156</v>
      </c>
      <c r="B800" s="20" t="s">
        <v>939</v>
      </c>
      <c r="C800" s="20" t="s">
        <v>940</v>
      </c>
      <c r="D800" s="378" t="s">
        <v>1280</v>
      </c>
      <c r="E800" s="384">
        <v>44613</v>
      </c>
      <c r="F800" s="384">
        <v>46439</v>
      </c>
      <c r="G800" s="378" t="s">
        <v>439</v>
      </c>
      <c r="H800" s="20" t="s">
        <v>455</v>
      </c>
      <c r="I800" s="378" t="s">
        <v>162</v>
      </c>
      <c r="J800" s="20" t="s">
        <v>163</v>
      </c>
      <c r="K800" s="378" t="s">
        <v>476</v>
      </c>
      <c r="L800" s="378" t="s">
        <v>165</v>
      </c>
      <c r="M800" s="380">
        <v>2400</v>
      </c>
      <c r="N800" s="380" t="s">
        <v>443</v>
      </c>
      <c r="O800" s="380" t="s">
        <v>443</v>
      </c>
      <c r="P800" s="380" t="s">
        <v>443</v>
      </c>
      <c r="Q800" s="381">
        <v>241</v>
      </c>
      <c r="R800" s="381">
        <v>0</v>
      </c>
      <c r="S800" s="381">
        <v>0</v>
      </c>
      <c r="T800" s="381">
        <v>0</v>
      </c>
      <c r="U800" s="381">
        <v>0</v>
      </c>
      <c r="V800" s="382">
        <v>241</v>
      </c>
      <c r="W800" s="382">
        <v>0</v>
      </c>
      <c r="X800" s="381">
        <v>0.10041666666666667</v>
      </c>
      <c r="Y800" s="381">
        <v>0</v>
      </c>
      <c r="Z800" s="381">
        <v>0</v>
      </c>
      <c r="AA800" s="381">
        <v>0</v>
      </c>
      <c r="AB800" s="381">
        <v>0</v>
      </c>
      <c r="AC800" s="382">
        <v>0.10041666666666667</v>
      </c>
      <c r="AD800" s="382">
        <v>0</v>
      </c>
      <c r="AE800" s="381" t="s">
        <v>444</v>
      </c>
    </row>
    <row r="801" spans="1:31" ht="15" customHeight="1" x14ac:dyDescent="0.25">
      <c r="A801" s="20" t="s">
        <v>156</v>
      </c>
      <c r="B801" s="20" t="s">
        <v>939</v>
      </c>
      <c r="C801" s="20" t="s">
        <v>940</v>
      </c>
      <c r="D801" s="378" t="s">
        <v>1281</v>
      </c>
      <c r="E801" s="384">
        <v>44613</v>
      </c>
      <c r="F801" s="384">
        <v>46439</v>
      </c>
      <c r="G801" s="378" t="s">
        <v>439</v>
      </c>
      <c r="H801" s="20" t="s">
        <v>455</v>
      </c>
      <c r="I801" s="378" t="s">
        <v>162</v>
      </c>
      <c r="J801" s="20" t="s">
        <v>163</v>
      </c>
      <c r="K801" s="378" t="s">
        <v>476</v>
      </c>
      <c r="L801" s="378" t="s">
        <v>165</v>
      </c>
      <c r="M801" s="380">
        <v>2400</v>
      </c>
      <c r="N801" s="380" t="s">
        <v>443</v>
      </c>
      <c r="O801" s="380" t="s">
        <v>443</v>
      </c>
      <c r="P801" s="380" t="s">
        <v>443</v>
      </c>
      <c r="Q801" s="381">
        <v>327</v>
      </c>
      <c r="R801" s="381">
        <v>0</v>
      </c>
      <c r="S801" s="381">
        <v>0</v>
      </c>
      <c r="T801" s="381">
        <v>0</v>
      </c>
      <c r="U801" s="381">
        <v>0</v>
      </c>
      <c r="V801" s="382">
        <v>327</v>
      </c>
      <c r="W801" s="382">
        <v>0</v>
      </c>
      <c r="X801" s="381">
        <v>0.13625000000000001</v>
      </c>
      <c r="Y801" s="381">
        <v>0</v>
      </c>
      <c r="Z801" s="381">
        <v>0</v>
      </c>
      <c r="AA801" s="381">
        <v>0</v>
      </c>
      <c r="AB801" s="381">
        <v>0</v>
      </c>
      <c r="AC801" s="382">
        <v>0.13625000000000001</v>
      </c>
      <c r="AD801" s="382">
        <v>0</v>
      </c>
      <c r="AE801" s="381" t="s">
        <v>444</v>
      </c>
    </row>
    <row r="802" spans="1:31" ht="15" customHeight="1" x14ac:dyDescent="0.25">
      <c r="A802" s="20" t="s">
        <v>156</v>
      </c>
      <c r="B802" s="20" t="s">
        <v>939</v>
      </c>
      <c r="C802" s="20" t="s">
        <v>940</v>
      </c>
      <c r="D802" s="378" t="s">
        <v>1282</v>
      </c>
      <c r="E802" s="384">
        <v>44613</v>
      </c>
      <c r="F802" s="384">
        <v>46439</v>
      </c>
      <c r="G802" s="378" t="s">
        <v>439</v>
      </c>
      <c r="H802" s="20" t="s">
        <v>455</v>
      </c>
      <c r="I802" s="378" t="s">
        <v>162</v>
      </c>
      <c r="J802" s="20" t="s">
        <v>163</v>
      </c>
      <c r="K802" s="378" t="s">
        <v>476</v>
      </c>
      <c r="L802" s="378" t="s">
        <v>165</v>
      </c>
      <c r="M802" s="380">
        <v>2400</v>
      </c>
      <c r="N802" s="380" t="s">
        <v>443</v>
      </c>
      <c r="O802" s="380" t="s">
        <v>443</v>
      </c>
      <c r="P802" s="380" t="s">
        <v>443</v>
      </c>
      <c r="Q802" s="381">
        <v>305</v>
      </c>
      <c r="R802" s="381">
        <v>0</v>
      </c>
      <c r="S802" s="381">
        <v>0</v>
      </c>
      <c r="T802" s="381">
        <v>0</v>
      </c>
      <c r="U802" s="381">
        <v>0</v>
      </c>
      <c r="V802" s="382">
        <v>305</v>
      </c>
      <c r="W802" s="382">
        <v>0</v>
      </c>
      <c r="X802" s="381">
        <v>0.12708333333333333</v>
      </c>
      <c r="Y802" s="381">
        <v>0</v>
      </c>
      <c r="Z802" s="381">
        <v>0</v>
      </c>
      <c r="AA802" s="381">
        <v>0</v>
      </c>
      <c r="AB802" s="381">
        <v>0</v>
      </c>
      <c r="AC802" s="382">
        <v>0.12708333333333333</v>
      </c>
      <c r="AD802" s="382">
        <v>0</v>
      </c>
      <c r="AE802" s="381" t="s">
        <v>444</v>
      </c>
    </row>
    <row r="803" spans="1:31" ht="15" customHeight="1" x14ac:dyDescent="0.25">
      <c r="A803" s="20" t="s">
        <v>156</v>
      </c>
      <c r="B803" s="20" t="s">
        <v>939</v>
      </c>
      <c r="C803" s="20" t="s">
        <v>940</v>
      </c>
      <c r="D803" s="378" t="s">
        <v>1283</v>
      </c>
      <c r="E803" s="384">
        <v>44613</v>
      </c>
      <c r="F803" s="384">
        <v>46439</v>
      </c>
      <c r="G803" s="378" t="s">
        <v>439</v>
      </c>
      <c r="H803" s="20" t="s">
        <v>455</v>
      </c>
      <c r="I803" s="378" t="s">
        <v>162</v>
      </c>
      <c r="J803" s="20" t="s">
        <v>163</v>
      </c>
      <c r="K803" s="378" t="s">
        <v>476</v>
      </c>
      <c r="L803" s="378" t="s">
        <v>165</v>
      </c>
      <c r="M803" s="380">
        <v>2400</v>
      </c>
      <c r="N803" s="380" t="s">
        <v>443</v>
      </c>
      <c r="O803" s="380" t="s">
        <v>443</v>
      </c>
      <c r="P803" s="380" t="s">
        <v>443</v>
      </c>
      <c r="Q803" s="381">
        <v>292</v>
      </c>
      <c r="R803" s="381">
        <v>0</v>
      </c>
      <c r="S803" s="381">
        <v>0</v>
      </c>
      <c r="T803" s="381">
        <v>0</v>
      </c>
      <c r="U803" s="381">
        <v>0</v>
      </c>
      <c r="V803" s="382">
        <v>292</v>
      </c>
      <c r="W803" s="382">
        <v>0</v>
      </c>
      <c r="X803" s="381">
        <v>0.12166666666666667</v>
      </c>
      <c r="Y803" s="381">
        <v>0</v>
      </c>
      <c r="Z803" s="381">
        <v>0</v>
      </c>
      <c r="AA803" s="381">
        <v>0</v>
      </c>
      <c r="AB803" s="381">
        <v>0</v>
      </c>
      <c r="AC803" s="382">
        <v>0.12166666666666667</v>
      </c>
      <c r="AD803" s="382">
        <v>0</v>
      </c>
      <c r="AE803" s="381" t="s">
        <v>444</v>
      </c>
    </row>
    <row r="804" spans="1:31" ht="15" customHeight="1" x14ac:dyDescent="0.25">
      <c r="A804" s="20" t="s">
        <v>156</v>
      </c>
      <c r="B804" s="20" t="s">
        <v>939</v>
      </c>
      <c r="C804" s="20" t="s">
        <v>940</v>
      </c>
      <c r="D804" s="378" t="s">
        <v>1284</v>
      </c>
      <c r="E804" s="384">
        <v>44613</v>
      </c>
      <c r="F804" s="384">
        <v>46439</v>
      </c>
      <c r="G804" s="378" t="s">
        <v>439</v>
      </c>
      <c r="H804" s="20" t="s">
        <v>455</v>
      </c>
      <c r="I804" s="378" t="s">
        <v>162</v>
      </c>
      <c r="J804" s="20" t="s">
        <v>163</v>
      </c>
      <c r="K804" s="378" t="s">
        <v>476</v>
      </c>
      <c r="L804" s="378" t="s">
        <v>165</v>
      </c>
      <c r="M804" s="380">
        <v>2400</v>
      </c>
      <c r="N804" s="380" t="s">
        <v>443</v>
      </c>
      <c r="O804" s="380" t="s">
        <v>443</v>
      </c>
      <c r="P804" s="380" t="s">
        <v>443</v>
      </c>
      <c r="Q804" s="381">
        <v>310</v>
      </c>
      <c r="R804" s="381">
        <v>0</v>
      </c>
      <c r="S804" s="381">
        <v>0</v>
      </c>
      <c r="T804" s="381">
        <v>0</v>
      </c>
      <c r="U804" s="381">
        <v>0</v>
      </c>
      <c r="V804" s="382">
        <v>310</v>
      </c>
      <c r="W804" s="382">
        <v>0</v>
      </c>
      <c r="X804" s="381">
        <v>0.12916666666666668</v>
      </c>
      <c r="Y804" s="381">
        <v>0</v>
      </c>
      <c r="Z804" s="381">
        <v>0</v>
      </c>
      <c r="AA804" s="381">
        <v>0</v>
      </c>
      <c r="AB804" s="381">
        <v>0</v>
      </c>
      <c r="AC804" s="382">
        <v>0.12916666666666668</v>
      </c>
      <c r="AD804" s="382">
        <v>0</v>
      </c>
      <c r="AE804" s="381" t="s">
        <v>444</v>
      </c>
    </row>
    <row r="805" spans="1:31" ht="15" customHeight="1" x14ac:dyDescent="0.25">
      <c r="A805" s="20" t="s">
        <v>156</v>
      </c>
      <c r="B805" s="20" t="s">
        <v>939</v>
      </c>
      <c r="C805" s="20" t="s">
        <v>940</v>
      </c>
      <c r="D805" s="378" t="s">
        <v>1285</v>
      </c>
      <c r="E805" s="384">
        <v>44613</v>
      </c>
      <c r="F805" s="384">
        <v>46439</v>
      </c>
      <c r="G805" s="378" t="s">
        <v>439</v>
      </c>
      <c r="H805" s="20" t="s">
        <v>455</v>
      </c>
      <c r="I805" s="378" t="s">
        <v>162</v>
      </c>
      <c r="J805" s="20" t="s">
        <v>163</v>
      </c>
      <c r="K805" s="378" t="s">
        <v>476</v>
      </c>
      <c r="L805" s="378" t="s">
        <v>165</v>
      </c>
      <c r="M805" s="380">
        <v>2400</v>
      </c>
      <c r="N805" s="380" t="s">
        <v>443</v>
      </c>
      <c r="O805" s="380" t="s">
        <v>443</v>
      </c>
      <c r="P805" s="380" t="s">
        <v>443</v>
      </c>
      <c r="Q805" s="381">
        <v>243</v>
      </c>
      <c r="R805" s="381">
        <v>0</v>
      </c>
      <c r="S805" s="381">
        <v>0</v>
      </c>
      <c r="T805" s="381">
        <v>0</v>
      </c>
      <c r="U805" s="381">
        <v>0</v>
      </c>
      <c r="V805" s="382">
        <v>243</v>
      </c>
      <c r="W805" s="382">
        <v>0</v>
      </c>
      <c r="X805" s="381">
        <v>0.10125000000000001</v>
      </c>
      <c r="Y805" s="381">
        <v>0</v>
      </c>
      <c r="Z805" s="381">
        <v>0</v>
      </c>
      <c r="AA805" s="381">
        <v>0</v>
      </c>
      <c r="AB805" s="381">
        <v>0</v>
      </c>
      <c r="AC805" s="382">
        <v>0.10125000000000001</v>
      </c>
      <c r="AD805" s="382">
        <v>0</v>
      </c>
      <c r="AE805" s="381" t="s">
        <v>444</v>
      </c>
    </row>
    <row r="806" spans="1:31" ht="15" customHeight="1" x14ac:dyDescent="0.25">
      <c r="A806" s="20" t="s">
        <v>156</v>
      </c>
      <c r="B806" s="20" t="s">
        <v>939</v>
      </c>
      <c r="C806" s="20" t="s">
        <v>940</v>
      </c>
      <c r="D806" s="378" t="s">
        <v>1286</v>
      </c>
      <c r="E806" s="384">
        <v>44613</v>
      </c>
      <c r="F806" s="384">
        <v>46439</v>
      </c>
      <c r="G806" s="378" t="s">
        <v>439</v>
      </c>
      <c r="H806" s="20" t="s">
        <v>455</v>
      </c>
      <c r="I806" s="378" t="s">
        <v>162</v>
      </c>
      <c r="J806" s="20" t="s">
        <v>163</v>
      </c>
      <c r="K806" s="378" t="s">
        <v>476</v>
      </c>
      <c r="L806" s="378" t="s">
        <v>165</v>
      </c>
      <c r="M806" s="380">
        <v>2400</v>
      </c>
      <c r="N806" s="380" t="s">
        <v>443</v>
      </c>
      <c r="O806" s="380" t="s">
        <v>443</v>
      </c>
      <c r="P806" s="380" t="s">
        <v>443</v>
      </c>
      <c r="Q806" s="381">
        <v>306</v>
      </c>
      <c r="R806" s="381">
        <v>0</v>
      </c>
      <c r="S806" s="381">
        <v>0</v>
      </c>
      <c r="T806" s="381">
        <v>0</v>
      </c>
      <c r="U806" s="381">
        <v>0</v>
      </c>
      <c r="V806" s="382">
        <v>306</v>
      </c>
      <c r="W806" s="382">
        <v>0</v>
      </c>
      <c r="X806" s="381">
        <v>0.1275</v>
      </c>
      <c r="Y806" s="381">
        <v>0</v>
      </c>
      <c r="Z806" s="381">
        <v>0</v>
      </c>
      <c r="AA806" s="381">
        <v>0</v>
      </c>
      <c r="AB806" s="381">
        <v>0</v>
      </c>
      <c r="AC806" s="382">
        <v>0.1275</v>
      </c>
      <c r="AD806" s="382">
        <v>0</v>
      </c>
      <c r="AE806" s="381" t="s">
        <v>444</v>
      </c>
    </row>
    <row r="807" spans="1:31" ht="15" customHeight="1" x14ac:dyDescent="0.25">
      <c r="A807" s="20" t="s">
        <v>156</v>
      </c>
      <c r="B807" s="20" t="s">
        <v>939</v>
      </c>
      <c r="C807" s="20" t="s">
        <v>940</v>
      </c>
      <c r="D807" s="378" t="s">
        <v>1287</v>
      </c>
      <c r="E807" s="384">
        <v>44613</v>
      </c>
      <c r="F807" s="384">
        <v>46439</v>
      </c>
      <c r="G807" s="378" t="s">
        <v>439</v>
      </c>
      <c r="H807" s="20" t="s">
        <v>455</v>
      </c>
      <c r="I807" s="378" t="s">
        <v>162</v>
      </c>
      <c r="J807" s="20" t="s">
        <v>163</v>
      </c>
      <c r="K807" s="378" t="s">
        <v>476</v>
      </c>
      <c r="L807" s="378" t="s">
        <v>165</v>
      </c>
      <c r="M807" s="380">
        <v>2400</v>
      </c>
      <c r="N807" s="380" t="s">
        <v>443</v>
      </c>
      <c r="O807" s="380" t="s">
        <v>443</v>
      </c>
      <c r="P807" s="380" t="s">
        <v>443</v>
      </c>
      <c r="Q807" s="381">
        <v>418</v>
      </c>
      <c r="R807" s="381">
        <v>0</v>
      </c>
      <c r="S807" s="381">
        <v>0</v>
      </c>
      <c r="T807" s="381">
        <v>0</v>
      </c>
      <c r="U807" s="381">
        <v>0</v>
      </c>
      <c r="V807" s="382">
        <v>418</v>
      </c>
      <c r="W807" s="382">
        <v>0</v>
      </c>
      <c r="X807" s="381">
        <v>0.17416666666666666</v>
      </c>
      <c r="Y807" s="381">
        <v>0</v>
      </c>
      <c r="Z807" s="381">
        <v>0</v>
      </c>
      <c r="AA807" s="381">
        <v>0</v>
      </c>
      <c r="AB807" s="381">
        <v>0</v>
      </c>
      <c r="AC807" s="382">
        <v>0.17416666666666666</v>
      </c>
      <c r="AD807" s="382">
        <v>0</v>
      </c>
      <c r="AE807" s="381" t="s">
        <v>444</v>
      </c>
    </row>
    <row r="808" spans="1:31" ht="15" customHeight="1" x14ac:dyDescent="0.25">
      <c r="A808" s="20" t="s">
        <v>156</v>
      </c>
      <c r="B808" s="20" t="s">
        <v>939</v>
      </c>
      <c r="C808" s="20" t="s">
        <v>940</v>
      </c>
      <c r="D808" s="378" t="s">
        <v>1276</v>
      </c>
      <c r="E808" s="384">
        <v>44613</v>
      </c>
      <c r="F808" s="384">
        <v>46439</v>
      </c>
      <c r="G808" s="378" t="s">
        <v>439</v>
      </c>
      <c r="H808" s="20" t="s">
        <v>455</v>
      </c>
      <c r="I808" s="378" t="s">
        <v>162</v>
      </c>
      <c r="J808" s="20" t="s">
        <v>163</v>
      </c>
      <c r="K808" s="378" t="s">
        <v>476</v>
      </c>
      <c r="L808" s="378" t="s">
        <v>165</v>
      </c>
      <c r="M808" s="380">
        <v>2400</v>
      </c>
      <c r="N808" s="380" t="s">
        <v>443</v>
      </c>
      <c r="O808" s="380" t="s">
        <v>443</v>
      </c>
      <c r="P808" s="380" t="s">
        <v>443</v>
      </c>
      <c r="Q808" s="381">
        <v>207</v>
      </c>
      <c r="R808" s="381">
        <v>0</v>
      </c>
      <c r="S808" s="381">
        <v>0</v>
      </c>
      <c r="T808" s="381">
        <v>0</v>
      </c>
      <c r="U808" s="381">
        <v>0</v>
      </c>
      <c r="V808" s="382">
        <v>207</v>
      </c>
      <c r="W808" s="382">
        <v>0</v>
      </c>
      <c r="X808" s="381">
        <v>8.6249999999999993E-2</v>
      </c>
      <c r="Y808" s="381">
        <v>0</v>
      </c>
      <c r="Z808" s="381">
        <v>0</v>
      </c>
      <c r="AA808" s="381">
        <v>0</v>
      </c>
      <c r="AB808" s="381">
        <v>0</v>
      </c>
      <c r="AC808" s="382">
        <v>8.6249999999999993E-2</v>
      </c>
      <c r="AD808" s="382">
        <v>0</v>
      </c>
      <c r="AE808" s="381" t="s">
        <v>444</v>
      </c>
    </row>
    <row r="809" spans="1:31" ht="15" customHeight="1" x14ac:dyDescent="0.25">
      <c r="A809" s="20" t="s">
        <v>156</v>
      </c>
      <c r="B809" s="20" t="s">
        <v>939</v>
      </c>
      <c r="C809" s="20" t="s">
        <v>940</v>
      </c>
      <c r="D809" s="378" t="s">
        <v>1277</v>
      </c>
      <c r="E809" s="384">
        <v>44613</v>
      </c>
      <c r="F809" s="384">
        <v>46439</v>
      </c>
      <c r="G809" s="378" t="s">
        <v>439</v>
      </c>
      <c r="H809" s="20" t="s">
        <v>455</v>
      </c>
      <c r="I809" s="378" t="s">
        <v>162</v>
      </c>
      <c r="J809" s="20" t="s">
        <v>163</v>
      </c>
      <c r="K809" s="378" t="s">
        <v>476</v>
      </c>
      <c r="L809" s="378" t="s">
        <v>165</v>
      </c>
      <c r="M809" s="380">
        <v>2400</v>
      </c>
      <c r="N809" s="380" t="s">
        <v>443</v>
      </c>
      <c r="O809" s="380" t="s">
        <v>443</v>
      </c>
      <c r="P809" s="380" t="s">
        <v>443</v>
      </c>
      <c r="Q809" s="381">
        <v>232</v>
      </c>
      <c r="R809" s="381">
        <v>0</v>
      </c>
      <c r="S809" s="381">
        <v>0</v>
      </c>
      <c r="T809" s="381">
        <v>0</v>
      </c>
      <c r="U809" s="381">
        <v>0</v>
      </c>
      <c r="V809" s="382">
        <v>232</v>
      </c>
      <c r="W809" s="382">
        <v>0</v>
      </c>
      <c r="X809" s="381">
        <v>9.6666666666666665E-2</v>
      </c>
      <c r="Y809" s="381">
        <v>0</v>
      </c>
      <c r="Z809" s="381">
        <v>0</v>
      </c>
      <c r="AA809" s="381">
        <v>0</v>
      </c>
      <c r="AB809" s="381">
        <v>0</v>
      </c>
      <c r="AC809" s="382">
        <v>9.6666666666666665E-2</v>
      </c>
      <c r="AD809" s="382">
        <v>0</v>
      </c>
      <c r="AE809" s="381" t="s">
        <v>444</v>
      </c>
    </row>
    <row r="810" spans="1:31" ht="15" customHeight="1" x14ac:dyDescent="0.25">
      <c r="A810" s="20" t="s">
        <v>156</v>
      </c>
      <c r="B810" s="20" t="s">
        <v>939</v>
      </c>
      <c r="C810" s="20" t="s">
        <v>940</v>
      </c>
      <c r="D810" s="378" t="s">
        <v>1278</v>
      </c>
      <c r="E810" s="384">
        <v>44613</v>
      </c>
      <c r="F810" s="384">
        <v>46439</v>
      </c>
      <c r="G810" s="378" t="s">
        <v>439</v>
      </c>
      <c r="H810" s="20" t="s">
        <v>455</v>
      </c>
      <c r="I810" s="378" t="s">
        <v>162</v>
      </c>
      <c r="J810" s="20" t="s">
        <v>163</v>
      </c>
      <c r="K810" s="378" t="s">
        <v>476</v>
      </c>
      <c r="L810" s="378" t="s">
        <v>165</v>
      </c>
      <c r="M810" s="380">
        <v>2400</v>
      </c>
      <c r="N810" s="380" t="s">
        <v>443</v>
      </c>
      <c r="O810" s="380" t="s">
        <v>443</v>
      </c>
      <c r="P810" s="380" t="s">
        <v>443</v>
      </c>
      <c r="Q810" s="381">
        <v>282</v>
      </c>
      <c r="R810" s="381">
        <v>0</v>
      </c>
      <c r="S810" s="381">
        <v>0</v>
      </c>
      <c r="T810" s="381">
        <v>0</v>
      </c>
      <c r="U810" s="381">
        <v>0</v>
      </c>
      <c r="V810" s="382">
        <v>282</v>
      </c>
      <c r="W810" s="382">
        <v>0</v>
      </c>
      <c r="X810" s="381">
        <v>0.11749999999999999</v>
      </c>
      <c r="Y810" s="381">
        <v>0</v>
      </c>
      <c r="Z810" s="381">
        <v>0</v>
      </c>
      <c r="AA810" s="381">
        <v>0</v>
      </c>
      <c r="AB810" s="381">
        <v>0</v>
      </c>
      <c r="AC810" s="382">
        <v>0.11749999999999999</v>
      </c>
      <c r="AD810" s="382">
        <v>0</v>
      </c>
      <c r="AE810" s="381" t="s">
        <v>444</v>
      </c>
    </row>
    <row r="811" spans="1:31" ht="15" customHeight="1" x14ac:dyDescent="0.25">
      <c r="A811" s="20" t="s">
        <v>156</v>
      </c>
      <c r="B811" s="20" t="s">
        <v>939</v>
      </c>
      <c r="C811" s="20" t="s">
        <v>940</v>
      </c>
      <c r="D811" s="378" t="s">
        <v>1279</v>
      </c>
      <c r="E811" s="384">
        <v>44613</v>
      </c>
      <c r="F811" s="384">
        <v>46439</v>
      </c>
      <c r="G811" s="378" t="s">
        <v>439</v>
      </c>
      <c r="H811" s="20" t="s">
        <v>455</v>
      </c>
      <c r="I811" s="378" t="s">
        <v>162</v>
      </c>
      <c r="J811" s="20" t="s">
        <v>163</v>
      </c>
      <c r="K811" s="378" t="s">
        <v>476</v>
      </c>
      <c r="L811" s="378" t="s">
        <v>165</v>
      </c>
      <c r="M811" s="380">
        <v>2400</v>
      </c>
      <c r="N811" s="380" t="s">
        <v>443</v>
      </c>
      <c r="O811" s="380" t="s">
        <v>443</v>
      </c>
      <c r="P811" s="380" t="s">
        <v>443</v>
      </c>
      <c r="Q811" s="381">
        <v>315</v>
      </c>
      <c r="R811" s="381">
        <v>0</v>
      </c>
      <c r="S811" s="381">
        <v>0</v>
      </c>
      <c r="T811" s="381">
        <v>0</v>
      </c>
      <c r="U811" s="381">
        <v>0</v>
      </c>
      <c r="V811" s="382">
        <v>315</v>
      </c>
      <c r="W811" s="382">
        <v>0</v>
      </c>
      <c r="X811" s="381">
        <v>0.13125000000000001</v>
      </c>
      <c r="Y811" s="381">
        <v>0</v>
      </c>
      <c r="Z811" s="381">
        <v>0</v>
      </c>
      <c r="AA811" s="381">
        <v>0</v>
      </c>
      <c r="AB811" s="381">
        <v>0</v>
      </c>
      <c r="AC811" s="382">
        <v>0.13125000000000001</v>
      </c>
      <c r="AD811" s="382">
        <v>0</v>
      </c>
      <c r="AE811" s="381" t="s">
        <v>444</v>
      </c>
    </row>
    <row r="812" spans="1:31" ht="15" customHeight="1" x14ac:dyDescent="0.25">
      <c r="A812" s="20" t="s">
        <v>156</v>
      </c>
      <c r="B812" s="20" t="s">
        <v>939</v>
      </c>
      <c r="C812" s="20" t="s">
        <v>940</v>
      </c>
      <c r="D812" s="378" t="s">
        <v>1280</v>
      </c>
      <c r="E812" s="384">
        <v>44613</v>
      </c>
      <c r="F812" s="384">
        <v>46439</v>
      </c>
      <c r="G812" s="378" t="s">
        <v>439</v>
      </c>
      <c r="H812" s="20" t="s">
        <v>455</v>
      </c>
      <c r="I812" s="378" t="s">
        <v>162</v>
      </c>
      <c r="J812" s="20" t="s">
        <v>163</v>
      </c>
      <c r="K812" s="378" t="s">
        <v>476</v>
      </c>
      <c r="L812" s="378" t="s">
        <v>165</v>
      </c>
      <c r="M812" s="380">
        <v>2400</v>
      </c>
      <c r="N812" s="380" t="s">
        <v>443</v>
      </c>
      <c r="O812" s="380" t="s">
        <v>443</v>
      </c>
      <c r="P812" s="380" t="s">
        <v>443</v>
      </c>
      <c r="Q812" s="381">
        <v>241</v>
      </c>
      <c r="R812" s="381">
        <v>0</v>
      </c>
      <c r="S812" s="381">
        <v>0</v>
      </c>
      <c r="T812" s="381">
        <v>0</v>
      </c>
      <c r="U812" s="381">
        <v>0</v>
      </c>
      <c r="V812" s="382">
        <v>241</v>
      </c>
      <c r="W812" s="382">
        <v>0</v>
      </c>
      <c r="X812" s="381">
        <v>0.10041666666666667</v>
      </c>
      <c r="Y812" s="381">
        <v>0</v>
      </c>
      <c r="Z812" s="381">
        <v>0</v>
      </c>
      <c r="AA812" s="381">
        <v>0</v>
      </c>
      <c r="AB812" s="381">
        <v>0</v>
      </c>
      <c r="AC812" s="382">
        <v>0.10041666666666667</v>
      </c>
      <c r="AD812" s="382">
        <v>0</v>
      </c>
      <c r="AE812" s="381" t="s">
        <v>444</v>
      </c>
    </row>
    <row r="813" spans="1:31" ht="15" customHeight="1" x14ac:dyDescent="0.25">
      <c r="A813" s="20" t="s">
        <v>156</v>
      </c>
      <c r="B813" s="20" t="s">
        <v>939</v>
      </c>
      <c r="C813" s="20" t="s">
        <v>940</v>
      </c>
      <c r="D813" s="378" t="s">
        <v>1281</v>
      </c>
      <c r="E813" s="384">
        <v>44613</v>
      </c>
      <c r="F813" s="384">
        <v>46439</v>
      </c>
      <c r="G813" s="378" t="s">
        <v>439</v>
      </c>
      <c r="H813" s="20" t="s">
        <v>455</v>
      </c>
      <c r="I813" s="378" t="s">
        <v>162</v>
      </c>
      <c r="J813" s="20" t="s">
        <v>163</v>
      </c>
      <c r="K813" s="378" t="s">
        <v>476</v>
      </c>
      <c r="L813" s="378" t="s">
        <v>165</v>
      </c>
      <c r="M813" s="380">
        <v>2400</v>
      </c>
      <c r="N813" s="380" t="s">
        <v>443</v>
      </c>
      <c r="O813" s="380" t="s">
        <v>443</v>
      </c>
      <c r="P813" s="380" t="s">
        <v>443</v>
      </c>
      <c r="Q813" s="381">
        <v>327</v>
      </c>
      <c r="R813" s="381">
        <v>0</v>
      </c>
      <c r="S813" s="381">
        <v>0</v>
      </c>
      <c r="T813" s="381">
        <v>0</v>
      </c>
      <c r="U813" s="381">
        <v>0</v>
      </c>
      <c r="V813" s="382">
        <v>327</v>
      </c>
      <c r="W813" s="382">
        <v>0</v>
      </c>
      <c r="X813" s="381">
        <v>0.13625000000000001</v>
      </c>
      <c r="Y813" s="381">
        <v>0</v>
      </c>
      <c r="Z813" s="381">
        <v>0</v>
      </c>
      <c r="AA813" s="381">
        <v>0</v>
      </c>
      <c r="AB813" s="381">
        <v>0</v>
      </c>
      <c r="AC813" s="382">
        <v>0.13625000000000001</v>
      </c>
      <c r="AD813" s="382">
        <v>0</v>
      </c>
      <c r="AE813" s="381" t="s">
        <v>444</v>
      </c>
    </row>
    <row r="814" spans="1:31" ht="15" customHeight="1" x14ac:dyDescent="0.25">
      <c r="A814" s="20" t="s">
        <v>156</v>
      </c>
      <c r="B814" s="20" t="s">
        <v>939</v>
      </c>
      <c r="C814" s="20" t="s">
        <v>940</v>
      </c>
      <c r="D814" s="378" t="s">
        <v>1282</v>
      </c>
      <c r="E814" s="384">
        <v>44613</v>
      </c>
      <c r="F814" s="384">
        <v>46439</v>
      </c>
      <c r="G814" s="378" t="s">
        <v>439</v>
      </c>
      <c r="H814" s="20" t="s">
        <v>455</v>
      </c>
      <c r="I814" s="378" t="s">
        <v>162</v>
      </c>
      <c r="J814" s="20" t="s">
        <v>163</v>
      </c>
      <c r="K814" s="378" t="s">
        <v>476</v>
      </c>
      <c r="L814" s="378" t="s">
        <v>165</v>
      </c>
      <c r="M814" s="380">
        <v>2400</v>
      </c>
      <c r="N814" s="380" t="s">
        <v>443</v>
      </c>
      <c r="O814" s="380" t="s">
        <v>443</v>
      </c>
      <c r="P814" s="380" t="s">
        <v>443</v>
      </c>
      <c r="Q814" s="381">
        <v>305</v>
      </c>
      <c r="R814" s="381">
        <v>0</v>
      </c>
      <c r="S814" s="381">
        <v>0</v>
      </c>
      <c r="T814" s="381">
        <v>0</v>
      </c>
      <c r="U814" s="381">
        <v>0</v>
      </c>
      <c r="V814" s="382">
        <v>305</v>
      </c>
      <c r="W814" s="382">
        <v>0</v>
      </c>
      <c r="X814" s="381">
        <v>0.12708333333333333</v>
      </c>
      <c r="Y814" s="381">
        <v>0</v>
      </c>
      <c r="Z814" s="381">
        <v>0</v>
      </c>
      <c r="AA814" s="381">
        <v>0</v>
      </c>
      <c r="AB814" s="381">
        <v>0</v>
      </c>
      <c r="AC814" s="382">
        <v>0.12708333333333333</v>
      </c>
      <c r="AD814" s="382">
        <v>0</v>
      </c>
      <c r="AE814" s="381" t="s">
        <v>444</v>
      </c>
    </row>
    <row r="815" spans="1:31" ht="15" customHeight="1" x14ac:dyDescent="0.25">
      <c r="A815" s="20" t="s">
        <v>156</v>
      </c>
      <c r="B815" s="20" t="s">
        <v>939</v>
      </c>
      <c r="C815" s="20" t="s">
        <v>940</v>
      </c>
      <c r="D815" s="378" t="s">
        <v>1283</v>
      </c>
      <c r="E815" s="384">
        <v>44613</v>
      </c>
      <c r="F815" s="384">
        <v>46439</v>
      </c>
      <c r="G815" s="378" t="s">
        <v>439</v>
      </c>
      <c r="H815" s="20" t="s">
        <v>455</v>
      </c>
      <c r="I815" s="378" t="s">
        <v>162</v>
      </c>
      <c r="J815" s="20" t="s">
        <v>163</v>
      </c>
      <c r="K815" s="378" t="s">
        <v>476</v>
      </c>
      <c r="L815" s="378" t="s">
        <v>165</v>
      </c>
      <c r="M815" s="380">
        <v>2400</v>
      </c>
      <c r="N815" s="380" t="s">
        <v>443</v>
      </c>
      <c r="O815" s="380" t="s">
        <v>443</v>
      </c>
      <c r="P815" s="380" t="s">
        <v>443</v>
      </c>
      <c r="Q815" s="381">
        <v>292</v>
      </c>
      <c r="R815" s="381">
        <v>0</v>
      </c>
      <c r="S815" s="381">
        <v>0</v>
      </c>
      <c r="T815" s="381">
        <v>0</v>
      </c>
      <c r="U815" s="381">
        <v>0</v>
      </c>
      <c r="V815" s="382">
        <v>292</v>
      </c>
      <c r="W815" s="382">
        <v>0</v>
      </c>
      <c r="X815" s="381">
        <v>0.12166666666666667</v>
      </c>
      <c r="Y815" s="381">
        <v>0</v>
      </c>
      <c r="Z815" s="381">
        <v>0</v>
      </c>
      <c r="AA815" s="381">
        <v>0</v>
      </c>
      <c r="AB815" s="381">
        <v>0</v>
      </c>
      <c r="AC815" s="382">
        <v>0.12166666666666667</v>
      </c>
      <c r="AD815" s="382">
        <v>0</v>
      </c>
      <c r="AE815" s="381" t="s">
        <v>444</v>
      </c>
    </row>
    <row r="816" spans="1:31" ht="15" customHeight="1" x14ac:dyDescent="0.25">
      <c r="A816" s="20" t="s">
        <v>156</v>
      </c>
      <c r="B816" s="20" t="s">
        <v>939</v>
      </c>
      <c r="C816" s="20" t="s">
        <v>940</v>
      </c>
      <c r="D816" s="378" t="s">
        <v>1284</v>
      </c>
      <c r="E816" s="384">
        <v>44613</v>
      </c>
      <c r="F816" s="384">
        <v>46439</v>
      </c>
      <c r="G816" s="378" t="s">
        <v>439</v>
      </c>
      <c r="H816" s="20" t="s">
        <v>455</v>
      </c>
      <c r="I816" s="378" t="s">
        <v>162</v>
      </c>
      <c r="J816" s="20" t="s">
        <v>163</v>
      </c>
      <c r="K816" s="378" t="s">
        <v>476</v>
      </c>
      <c r="L816" s="378" t="s">
        <v>165</v>
      </c>
      <c r="M816" s="380">
        <v>2400</v>
      </c>
      <c r="N816" s="380" t="s">
        <v>443</v>
      </c>
      <c r="O816" s="380" t="s">
        <v>443</v>
      </c>
      <c r="P816" s="380" t="s">
        <v>443</v>
      </c>
      <c r="Q816" s="381">
        <v>310</v>
      </c>
      <c r="R816" s="381">
        <v>0</v>
      </c>
      <c r="S816" s="381">
        <v>0</v>
      </c>
      <c r="T816" s="381">
        <v>0</v>
      </c>
      <c r="U816" s="381">
        <v>0</v>
      </c>
      <c r="V816" s="382">
        <v>310</v>
      </c>
      <c r="W816" s="382">
        <v>0</v>
      </c>
      <c r="X816" s="381">
        <v>0.12916666666666668</v>
      </c>
      <c r="Y816" s="381">
        <v>0</v>
      </c>
      <c r="Z816" s="381">
        <v>0</v>
      </c>
      <c r="AA816" s="381">
        <v>0</v>
      </c>
      <c r="AB816" s="381">
        <v>0</v>
      </c>
      <c r="AC816" s="382">
        <v>0.12916666666666668</v>
      </c>
      <c r="AD816" s="382">
        <v>0</v>
      </c>
      <c r="AE816" s="381" t="s">
        <v>444</v>
      </c>
    </row>
    <row r="817" spans="1:31" ht="15" customHeight="1" x14ac:dyDescent="0.25">
      <c r="A817" s="20" t="s">
        <v>156</v>
      </c>
      <c r="B817" s="20" t="s">
        <v>939</v>
      </c>
      <c r="C817" s="20" t="s">
        <v>940</v>
      </c>
      <c r="D817" s="378" t="s">
        <v>1285</v>
      </c>
      <c r="E817" s="384">
        <v>44613</v>
      </c>
      <c r="F817" s="384">
        <v>46439</v>
      </c>
      <c r="G817" s="378" t="s">
        <v>439</v>
      </c>
      <c r="H817" s="20" t="s">
        <v>455</v>
      </c>
      <c r="I817" s="378" t="s">
        <v>162</v>
      </c>
      <c r="J817" s="20" t="s">
        <v>163</v>
      </c>
      <c r="K817" s="378" t="s">
        <v>476</v>
      </c>
      <c r="L817" s="378" t="s">
        <v>165</v>
      </c>
      <c r="M817" s="380">
        <v>2400</v>
      </c>
      <c r="N817" s="380" t="s">
        <v>443</v>
      </c>
      <c r="O817" s="380" t="s">
        <v>443</v>
      </c>
      <c r="P817" s="380" t="s">
        <v>443</v>
      </c>
      <c r="Q817" s="381">
        <v>243</v>
      </c>
      <c r="R817" s="381">
        <v>0</v>
      </c>
      <c r="S817" s="381">
        <v>0</v>
      </c>
      <c r="T817" s="381">
        <v>0</v>
      </c>
      <c r="U817" s="381">
        <v>0</v>
      </c>
      <c r="V817" s="382">
        <v>243</v>
      </c>
      <c r="W817" s="382">
        <v>0</v>
      </c>
      <c r="X817" s="381">
        <v>0.10125000000000001</v>
      </c>
      <c r="Y817" s="381">
        <v>0</v>
      </c>
      <c r="Z817" s="381">
        <v>0</v>
      </c>
      <c r="AA817" s="381">
        <v>0</v>
      </c>
      <c r="AB817" s="381">
        <v>0</v>
      </c>
      <c r="AC817" s="382">
        <v>0.10125000000000001</v>
      </c>
      <c r="AD817" s="382">
        <v>0</v>
      </c>
      <c r="AE817" s="381" t="s">
        <v>444</v>
      </c>
    </row>
    <row r="818" spans="1:31" ht="15" customHeight="1" x14ac:dyDescent="0.25">
      <c r="A818" s="20" t="s">
        <v>156</v>
      </c>
      <c r="B818" s="20" t="s">
        <v>939</v>
      </c>
      <c r="C818" s="20" t="s">
        <v>940</v>
      </c>
      <c r="D818" s="378" t="s">
        <v>1286</v>
      </c>
      <c r="E818" s="384">
        <v>44613</v>
      </c>
      <c r="F818" s="384">
        <v>46439</v>
      </c>
      <c r="G818" s="378" t="s">
        <v>439</v>
      </c>
      <c r="H818" s="20" t="s">
        <v>455</v>
      </c>
      <c r="I818" s="378" t="s">
        <v>162</v>
      </c>
      <c r="J818" s="20" t="s">
        <v>163</v>
      </c>
      <c r="K818" s="378" t="s">
        <v>476</v>
      </c>
      <c r="L818" s="378" t="s">
        <v>165</v>
      </c>
      <c r="M818" s="380">
        <v>2400</v>
      </c>
      <c r="N818" s="380" t="s">
        <v>443</v>
      </c>
      <c r="O818" s="380" t="s">
        <v>443</v>
      </c>
      <c r="P818" s="380" t="s">
        <v>443</v>
      </c>
      <c r="Q818" s="381">
        <v>306</v>
      </c>
      <c r="R818" s="381">
        <v>0</v>
      </c>
      <c r="S818" s="381">
        <v>0</v>
      </c>
      <c r="T818" s="381">
        <v>0</v>
      </c>
      <c r="U818" s="381">
        <v>0</v>
      </c>
      <c r="V818" s="382">
        <v>306</v>
      </c>
      <c r="W818" s="382">
        <v>0</v>
      </c>
      <c r="X818" s="381">
        <v>0.1275</v>
      </c>
      <c r="Y818" s="381">
        <v>0</v>
      </c>
      <c r="Z818" s="381">
        <v>0</v>
      </c>
      <c r="AA818" s="381">
        <v>0</v>
      </c>
      <c r="AB818" s="381">
        <v>0</v>
      </c>
      <c r="AC818" s="382">
        <v>0.1275</v>
      </c>
      <c r="AD818" s="382">
        <v>0</v>
      </c>
      <c r="AE818" s="381" t="s">
        <v>444</v>
      </c>
    </row>
    <row r="819" spans="1:31" ht="15" customHeight="1" x14ac:dyDescent="0.25">
      <c r="A819" s="20" t="s">
        <v>156</v>
      </c>
      <c r="B819" s="20" t="s">
        <v>939</v>
      </c>
      <c r="C819" s="20" t="s">
        <v>940</v>
      </c>
      <c r="D819" s="378" t="s">
        <v>1287</v>
      </c>
      <c r="E819" s="384">
        <v>44613</v>
      </c>
      <c r="F819" s="384">
        <v>46439</v>
      </c>
      <c r="G819" s="378" t="s">
        <v>439</v>
      </c>
      <c r="H819" s="20" t="s">
        <v>455</v>
      </c>
      <c r="I819" s="378" t="s">
        <v>162</v>
      </c>
      <c r="J819" s="20" t="s">
        <v>163</v>
      </c>
      <c r="K819" s="378" t="s">
        <v>476</v>
      </c>
      <c r="L819" s="378" t="s">
        <v>165</v>
      </c>
      <c r="M819" s="380">
        <v>2400</v>
      </c>
      <c r="N819" s="380" t="s">
        <v>443</v>
      </c>
      <c r="O819" s="380" t="s">
        <v>443</v>
      </c>
      <c r="P819" s="380" t="s">
        <v>443</v>
      </c>
      <c r="Q819" s="381">
        <v>418</v>
      </c>
      <c r="R819" s="381">
        <v>0</v>
      </c>
      <c r="S819" s="381">
        <v>0</v>
      </c>
      <c r="T819" s="381">
        <v>0</v>
      </c>
      <c r="U819" s="381">
        <v>0</v>
      </c>
      <c r="V819" s="382">
        <v>418</v>
      </c>
      <c r="W819" s="382">
        <v>0</v>
      </c>
      <c r="X819" s="381">
        <v>0.17416666666666666</v>
      </c>
      <c r="Y819" s="381">
        <v>0</v>
      </c>
      <c r="Z819" s="381">
        <v>0</v>
      </c>
      <c r="AA819" s="381">
        <v>0</v>
      </c>
      <c r="AB819" s="381">
        <v>0</v>
      </c>
      <c r="AC819" s="382">
        <v>0.17416666666666666</v>
      </c>
      <c r="AD819" s="382">
        <v>0</v>
      </c>
      <c r="AE819" s="381" t="s">
        <v>444</v>
      </c>
    </row>
    <row r="820" spans="1:31" ht="15" customHeight="1" x14ac:dyDescent="0.25">
      <c r="A820" s="20" t="s">
        <v>156</v>
      </c>
      <c r="B820" s="20" t="s">
        <v>939</v>
      </c>
      <c r="C820" s="20" t="s">
        <v>940</v>
      </c>
      <c r="D820" s="378" t="s">
        <v>1276</v>
      </c>
      <c r="E820" s="384">
        <v>44613</v>
      </c>
      <c r="F820" s="384">
        <v>46439</v>
      </c>
      <c r="G820" s="378" t="s">
        <v>439</v>
      </c>
      <c r="H820" s="20" t="s">
        <v>455</v>
      </c>
      <c r="I820" s="378" t="s">
        <v>162</v>
      </c>
      <c r="J820" s="20" t="s">
        <v>163</v>
      </c>
      <c r="K820" s="378" t="s">
        <v>476</v>
      </c>
      <c r="L820" s="378" t="s">
        <v>165</v>
      </c>
      <c r="M820" s="380">
        <v>2400</v>
      </c>
      <c r="N820" s="380" t="s">
        <v>443</v>
      </c>
      <c r="O820" s="380" t="s">
        <v>443</v>
      </c>
      <c r="P820" s="380" t="s">
        <v>443</v>
      </c>
      <c r="Q820" s="381">
        <v>207</v>
      </c>
      <c r="R820" s="381">
        <v>0</v>
      </c>
      <c r="S820" s="381">
        <v>0</v>
      </c>
      <c r="T820" s="381">
        <v>0</v>
      </c>
      <c r="U820" s="381">
        <v>0</v>
      </c>
      <c r="V820" s="382">
        <v>207</v>
      </c>
      <c r="W820" s="382">
        <v>0</v>
      </c>
      <c r="X820" s="381">
        <v>8.6249999999999993E-2</v>
      </c>
      <c r="Y820" s="381">
        <v>0</v>
      </c>
      <c r="Z820" s="381">
        <v>0</v>
      </c>
      <c r="AA820" s="381">
        <v>0</v>
      </c>
      <c r="AB820" s="381">
        <v>0</v>
      </c>
      <c r="AC820" s="382">
        <v>8.6249999999999993E-2</v>
      </c>
      <c r="AD820" s="382">
        <v>0</v>
      </c>
      <c r="AE820" s="381" t="s">
        <v>444</v>
      </c>
    </row>
    <row r="821" spans="1:31" ht="15" customHeight="1" x14ac:dyDescent="0.25">
      <c r="A821" s="20" t="s">
        <v>156</v>
      </c>
      <c r="B821" s="20" t="s">
        <v>939</v>
      </c>
      <c r="C821" s="20" t="s">
        <v>940</v>
      </c>
      <c r="D821" s="378" t="s">
        <v>1277</v>
      </c>
      <c r="E821" s="384">
        <v>44613</v>
      </c>
      <c r="F821" s="384">
        <v>46439</v>
      </c>
      <c r="G821" s="378" t="s">
        <v>439</v>
      </c>
      <c r="H821" s="20" t="s">
        <v>455</v>
      </c>
      <c r="I821" s="378" t="s">
        <v>162</v>
      </c>
      <c r="J821" s="20" t="s">
        <v>163</v>
      </c>
      <c r="K821" s="378" t="s">
        <v>476</v>
      </c>
      <c r="L821" s="378" t="s">
        <v>165</v>
      </c>
      <c r="M821" s="380">
        <v>2400</v>
      </c>
      <c r="N821" s="380" t="s">
        <v>443</v>
      </c>
      <c r="O821" s="380" t="s">
        <v>443</v>
      </c>
      <c r="P821" s="380" t="s">
        <v>443</v>
      </c>
      <c r="Q821" s="381">
        <v>232</v>
      </c>
      <c r="R821" s="381">
        <v>0</v>
      </c>
      <c r="S821" s="381">
        <v>0</v>
      </c>
      <c r="T821" s="381">
        <v>0</v>
      </c>
      <c r="U821" s="381">
        <v>0</v>
      </c>
      <c r="V821" s="382">
        <v>232</v>
      </c>
      <c r="W821" s="382">
        <v>0</v>
      </c>
      <c r="X821" s="381">
        <v>9.6666666666666665E-2</v>
      </c>
      <c r="Y821" s="381">
        <v>0</v>
      </c>
      <c r="Z821" s="381">
        <v>0</v>
      </c>
      <c r="AA821" s="381">
        <v>0</v>
      </c>
      <c r="AB821" s="381">
        <v>0</v>
      </c>
      <c r="AC821" s="382">
        <v>9.6666666666666665E-2</v>
      </c>
      <c r="AD821" s="382">
        <v>0</v>
      </c>
      <c r="AE821" s="381" t="s">
        <v>444</v>
      </c>
    </row>
    <row r="822" spans="1:31" ht="15" customHeight="1" x14ac:dyDescent="0.25">
      <c r="A822" s="20" t="s">
        <v>156</v>
      </c>
      <c r="B822" s="20" t="s">
        <v>939</v>
      </c>
      <c r="C822" s="20" t="s">
        <v>940</v>
      </c>
      <c r="D822" s="378" t="s">
        <v>1278</v>
      </c>
      <c r="E822" s="384">
        <v>44613</v>
      </c>
      <c r="F822" s="384">
        <v>46439</v>
      </c>
      <c r="G822" s="378" t="s">
        <v>439</v>
      </c>
      <c r="H822" s="20" t="s">
        <v>455</v>
      </c>
      <c r="I822" s="378" t="s">
        <v>162</v>
      </c>
      <c r="J822" s="20" t="s">
        <v>163</v>
      </c>
      <c r="K822" s="378" t="s">
        <v>476</v>
      </c>
      <c r="L822" s="378" t="s">
        <v>165</v>
      </c>
      <c r="M822" s="380">
        <v>2400</v>
      </c>
      <c r="N822" s="380" t="s">
        <v>443</v>
      </c>
      <c r="O822" s="380" t="s">
        <v>443</v>
      </c>
      <c r="P822" s="380" t="s">
        <v>443</v>
      </c>
      <c r="Q822" s="381">
        <v>282</v>
      </c>
      <c r="R822" s="381">
        <v>0</v>
      </c>
      <c r="S822" s="381">
        <v>0</v>
      </c>
      <c r="T822" s="381">
        <v>0</v>
      </c>
      <c r="U822" s="381">
        <v>0</v>
      </c>
      <c r="V822" s="382">
        <v>282</v>
      </c>
      <c r="W822" s="382">
        <v>0</v>
      </c>
      <c r="X822" s="381">
        <v>0.11749999999999999</v>
      </c>
      <c r="Y822" s="381">
        <v>0</v>
      </c>
      <c r="Z822" s="381">
        <v>0</v>
      </c>
      <c r="AA822" s="381">
        <v>0</v>
      </c>
      <c r="AB822" s="381">
        <v>0</v>
      </c>
      <c r="AC822" s="382">
        <v>0.11749999999999999</v>
      </c>
      <c r="AD822" s="382">
        <v>0</v>
      </c>
      <c r="AE822" s="381" t="s">
        <v>444</v>
      </c>
    </row>
    <row r="823" spans="1:31" ht="15" customHeight="1" x14ac:dyDescent="0.25">
      <c r="A823" s="20" t="s">
        <v>156</v>
      </c>
      <c r="B823" s="20" t="s">
        <v>939</v>
      </c>
      <c r="C823" s="20" t="s">
        <v>940</v>
      </c>
      <c r="D823" s="378" t="s">
        <v>1279</v>
      </c>
      <c r="E823" s="384">
        <v>44613</v>
      </c>
      <c r="F823" s="384">
        <v>46439</v>
      </c>
      <c r="G823" s="378" t="s">
        <v>439</v>
      </c>
      <c r="H823" s="20" t="s">
        <v>455</v>
      </c>
      <c r="I823" s="378" t="s">
        <v>162</v>
      </c>
      <c r="J823" s="20" t="s">
        <v>163</v>
      </c>
      <c r="K823" s="378" t="s">
        <v>476</v>
      </c>
      <c r="L823" s="378" t="s">
        <v>165</v>
      </c>
      <c r="M823" s="380">
        <v>2400</v>
      </c>
      <c r="N823" s="380" t="s">
        <v>443</v>
      </c>
      <c r="O823" s="380" t="s">
        <v>443</v>
      </c>
      <c r="P823" s="380" t="s">
        <v>443</v>
      </c>
      <c r="Q823" s="381">
        <v>315</v>
      </c>
      <c r="R823" s="381">
        <v>0</v>
      </c>
      <c r="S823" s="381">
        <v>0</v>
      </c>
      <c r="T823" s="381">
        <v>0</v>
      </c>
      <c r="U823" s="381">
        <v>0</v>
      </c>
      <c r="V823" s="382">
        <v>315</v>
      </c>
      <c r="W823" s="382">
        <v>0</v>
      </c>
      <c r="X823" s="381">
        <v>0.13125000000000001</v>
      </c>
      <c r="Y823" s="381">
        <v>0</v>
      </c>
      <c r="Z823" s="381">
        <v>0</v>
      </c>
      <c r="AA823" s="381">
        <v>0</v>
      </c>
      <c r="AB823" s="381">
        <v>0</v>
      </c>
      <c r="AC823" s="382">
        <v>0.13125000000000001</v>
      </c>
      <c r="AD823" s="382">
        <v>0</v>
      </c>
      <c r="AE823" s="381" t="s">
        <v>444</v>
      </c>
    </row>
    <row r="824" spans="1:31" ht="15" customHeight="1" x14ac:dyDescent="0.25">
      <c r="A824" s="20" t="s">
        <v>156</v>
      </c>
      <c r="B824" s="20" t="s">
        <v>939</v>
      </c>
      <c r="C824" s="20" t="s">
        <v>940</v>
      </c>
      <c r="D824" s="378" t="s">
        <v>1280</v>
      </c>
      <c r="E824" s="384">
        <v>44613</v>
      </c>
      <c r="F824" s="384">
        <v>46439</v>
      </c>
      <c r="G824" s="378" t="s">
        <v>439</v>
      </c>
      <c r="H824" s="20" t="s">
        <v>455</v>
      </c>
      <c r="I824" s="378" t="s">
        <v>162</v>
      </c>
      <c r="J824" s="20" t="s">
        <v>163</v>
      </c>
      <c r="K824" s="378" t="s">
        <v>476</v>
      </c>
      <c r="L824" s="378" t="s">
        <v>165</v>
      </c>
      <c r="M824" s="380">
        <v>2400</v>
      </c>
      <c r="N824" s="380" t="s">
        <v>443</v>
      </c>
      <c r="O824" s="380" t="s">
        <v>443</v>
      </c>
      <c r="P824" s="380" t="s">
        <v>443</v>
      </c>
      <c r="Q824" s="381">
        <v>241</v>
      </c>
      <c r="R824" s="381">
        <v>0</v>
      </c>
      <c r="S824" s="381">
        <v>0</v>
      </c>
      <c r="T824" s="381">
        <v>0</v>
      </c>
      <c r="U824" s="381">
        <v>0</v>
      </c>
      <c r="V824" s="382">
        <v>241</v>
      </c>
      <c r="W824" s="382">
        <v>0</v>
      </c>
      <c r="X824" s="381">
        <v>0.10041666666666667</v>
      </c>
      <c r="Y824" s="381">
        <v>0</v>
      </c>
      <c r="Z824" s="381">
        <v>0</v>
      </c>
      <c r="AA824" s="381">
        <v>0</v>
      </c>
      <c r="AB824" s="381">
        <v>0</v>
      </c>
      <c r="AC824" s="382">
        <v>0.10041666666666667</v>
      </c>
      <c r="AD824" s="382">
        <v>0</v>
      </c>
      <c r="AE824" s="381" t="s">
        <v>444</v>
      </c>
    </row>
    <row r="825" spans="1:31" ht="15" customHeight="1" x14ac:dyDescent="0.25">
      <c r="A825" s="20" t="s">
        <v>156</v>
      </c>
      <c r="B825" s="20" t="s">
        <v>939</v>
      </c>
      <c r="C825" s="20" t="s">
        <v>940</v>
      </c>
      <c r="D825" s="378" t="s">
        <v>1281</v>
      </c>
      <c r="E825" s="384">
        <v>44613</v>
      </c>
      <c r="F825" s="384">
        <v>46439</v>
      </c>
      <c r="G825" s="378" t="s">
        <v>439</v>
      </c>
      <c r="H825" s="20" t="s">
        <v>455</v>
      </c>
      <c r="I825" s="378" t="s">
        <v>162</v>
      </c>
      <c r="J825" s="20" t="s">
        <v>163</v>
      </c>
      <c r="K825" s="378" t="s">
        <v>476</v>
      </c>
      <c r="L825" s="378" t="s">
        <v>165</v>
      </c>
      <c r="M825" s="380">
        <v>2400</v>
      </c>
      <c r="N825" s="380" t="s">
        <v>443</v>
      </c>
      <c r="O825" s="380" t="s">
        <v>443</v>
      </c>
      <c r="P825" s="380" t="s">
        <v>443</v>
      </c>
      <c r="Q825" s="381">
        <v>327</v>
      </c>
      <c r="R825" s="381">
        <v>0</v>
      </c>
      <c r="S825" s="381">
        <v>0</v>
      </c>
      <c r="T825" s="381">
        <v>0</v>
      </c>
      <c r="U825" s="381">
        <v>0</v>
      </c>
      <c r="V825" s="382">
        <v>327</v>
      </c>
      <c r="W825" s="382">
        <v>0</v>
      </c>
      <c r="X825" s="381">
        <v>0.13625000000000001</v>
      </c>
      <c r="Y825" s="381">
        <v>0</v>
      </c>
      <c r="Z825" s="381">
        <v>0</v>
      </c>
      <c r="AA825" s="381">
        <v>0</v>
      </c>
      <c r="AB825" s="381">
        <v>0</v>
      </c>
      <c r="AC825" s="382">
        <v>0.13625000000000001</v>
      </c>
      <c r="AD825" s="382">
        <v>0</v>
      </c>
      <c r="AE825" s="381" t="s">
        <v>444</v>
      </c>
    </row>
    <row r="826" spans="1:31" ht="15" customHeight="1" x14ac:dyDescent="0.25">
      <c r="A826" s="20" t="s">
        <v>156</v>
      </c>
      <c r="B826" s="20" t="s">
        <v>939</v>
      </c>
      <c r="C826" s="20" t="s">
        <v>940</v>
      </c>
      <c r="D826" s="378" t="s">
        <v>1282</v>
      </c>
      <c r="E826" s="384">
        <v>44613</v>
      </c>
      <c r="F826" s="384">
        <v>46439</v>
      </c>
      <c r="G826" s="378" t="s">
        <v>439</v>
      </c>
      <c r="H826" s="20" t="s">
        <v>455</v>
      </c>
      <c r="I826" s="378" t="s">
        <v>162</v>
      </c>
      <c r="J826" s="20" t="s">
        <v>163</v>
      </c>
      <c r="K826" s="378" t="s">
        <v>476</v>
      </c>
      <c r="L826" s="378" t="s">
        <v>165</v>
      </c>
      <c r="M826" s="380">
        <v>2400</v>
      </c>
      <c r="N826" s="380" t="s">
        <v>443</v>
      </c>
      <c r="O826" s="380" t="s">
        <v>443</v>
      </c>
      <c r="P826" s="380" t="s">
        <v>443</v>
      </c>
      <c r="Q826" s="381">
        <v>305</v>
      </c>
      <c r="R826" s="381">
        <v>0</v>
      </c>
      <c r="S826" s="381">
        <v>0</v>
      </c>
      <c r="T826" s="381">
        <v>0</v>
      </c>
      <c r="U826" s="381">
        <v>0</v>
      </c>
      <c r="V826" s="382">
        <v>305</v>
      </c>
      <c r="W826" s="382">
        <v>0</v>
      </c>
      <c r="X826" s="381">
        <v>0.12708333333333333</v>
      </c>
      <c r="Y826" s="381">
        <v>0</v>
      </c>
      <c r="Z826" s="381">
        <v>0</v>
      </c>
      <c r="AA826" s="381">
        <v>0</v>
      </c>
      <c r="AB826" s="381">
        <v>0</v>
      </c>
      <c r="AC826" s="382">
        <v>0.12708333333333333</v>
      </c>
      <c r="AD826" s="382">
        <v>0</v>
      </c>
      <c r="AE826" s="381" t="s">
        <v>444</v>
      </c>
    </row>
    <row r="827" spans="1:31" ht="15" customHeight="1" x14ac:dyDescent="0.25">
      <c r="A827" s="20" t="s">
        <v>156</v>
      </c>
      <c r="B827" s="20" t="s">
        <v>939</v>
      </c>
      <c r="C827" s="20" t="s">
        <v>940</v>
      </c>
      <c r="D827" s="378" t="s">
        <v>1283</v>
      </c>
      <c r="E827" s="384">
        <v>44613</v>
      </c>
      <c r="F827" s="384">
        <v>46439</v>
      </c>
      <c r="G827" s="378" t="s">
        <v>439</v>
      </c>
      <c r="H827" s="20" t="s">
        <v>455</v>
      </c>
      <c r="I827" s="378" t="s">
        <v>162</v>
      </c>
      <c r="J827" s="20" t="s">
        <v>163</v>
      </c>
      <c r="K827" s="378" t="s">
        <v>476</v>
      </c>
      <c r="L827" s="378" t="s">
        <v>165</v>
      </c>
      <c r="M827" s="380">
        <v>2400</v>
      </c>
      <c r="N827" s="380" t="s">
        <v>443</v>
      </c>
      <c r="O827" s="380" t="s">
        <v>443</v>
      </c>
      <c r="P827" s="380" t="s">
        <v>443</v>
      </c>
      <c r="Q827" s="381">
        <v>292</v>
      </c>
      <c r="R827" s="381">
        <v>0</v>
      </c>
      <c r="S827" s="381">
        <v>0</v>
      </c>
      <c r="T827" s="381">
        <v>0</v>
      </c>
      <c r="U827" s="381">
        <v>0</v>
      </c>
      <c r="V827" s="382">
        <v>292</v>
      </c>
      <c r="W827" s="382">
        <v>0</v>
      </c>
      <c r="X827" s="381">
        <v>0.12166666666666667</v>
      </c>
      <c r="Y827" s="381">
        <v>0</v>
      </c>
      <c r="Z827" s="381">
        <v>0</v>
      </c>
      <c r="AA827" s="381">
        <v>0</v>
      </c>
      <c r="AB827" s="381">
        <v>0</v>
      </c>
      <c r="AC827" s="382">
        <v>0.12166666666666667</v>
      </c>
      <c r="AD827" s="382">
        <v>0</v>
      </c>
      <c r="AE827" s="381" t="s">
        <v>444</v>
      </c>
    </row>
    <row r="828" spans="1:31" ht="15" customHeight="1" x14ac:dyDescent="0.25">
      <c r="A828" s="20" t="s">
        <v>156</v>
      </c>
      <c r="B828" s="20" t="s">
        <v>939</v>
      </c>
      <c r="C828" s="20" t="s">
        <v>940</v>
      </c>
      <c r="D828" s="378" t="s">
        <v>1284</v>
      </c>
      <c r="E828" s="384">
        <v>44613</v>
      </c>
      <c r="F828" s="384">
        <v>46439</v>
      </c>
      <c r="G828" s="378" t="s">
        <v>439</v>
      </c>
      <c r="H828" s="20" t="s">
        <v>455</v>
      </c>
      <c r="I828" s="378" t="s">
        <v>162</v>
      </c>
      <c r="J828" s="20" t="s">
        <v>163</v>
      </c>
      <c r="K828" s="378" t="s">
        <v>476</v>
      </c>
      <c r="L828" s="378" t="s">
        <v>165</v>
      </c>
      <c r="M828" s="380">
        <v>2400</v>
      </c>
      <c r="N828" s="380" t="s">
        <v>443</v>
      </c>
      <c r="O828" s="380" t="s">
        <v>443</v>
      </c>
      <c r="P828" s="380" t="s">
        <v>443</v>
      </c>
      <c r="Q828" s="381">
        <v>310</v>
      </c>
      <c r="R828" s="381">
        <v>0</v>
      </c>
      <c r="S828" s="381">
        <v>0</v>
      </c>
      <c r="T828" s="381">
        <v>0</v>
      </c>
      <c r="U828" s="381">
        <v>0</v>
      </c>
      <c r="V828" s="382">
        <v>310</v>
      </c>
      <c r="W828" s="382">
        <v>0</v>
      </c>
      <c r="X828" s="381">
        <v>0.12916666666666668</v>
      </c>
      <c r="Y828" s="381">
        <v>0</v>
      </c>
      <c r="Z828" s="381">
        <v>0</v>
      </c>
      <c r="AA828" s="381">
        <v>0</v>
      </c>
      <c r="AB828" s="381">
        <v>0</v>
      </c>
      <c r="AC828" s="382">
        <v>0.12916666666666668</v>
      </c>
      <c r="AD828" s="382">
        <v>0</v>
      </c>
      <c r="AE828" s="381" t="s">
        <v>444</v>
      </c>
    </row>
    <row r="829" spans="1:31" ht="15" customHeight="1" x14ac:dyDescent="0.25">
      <c r="A829" s="20" t="s">
        <v>156</v>
      </c>
      <c r="B829" s="20" t="s">
        <v>939</v>
      </c>
      <c r="C829" s="20" t="s">
        <v>940</v>
      </c>
      <c r="D829" s="378" t="s">
        <v>1285</v>
      </c>
      <c r="E829" s="384">
        <v>44613</v>
      </c>
      <c r="F829" s="384">
        <v>46439</v>
      </c>
      <c r="G829" s="378" t="s">
        <v>439</v>
      </c>
      <c r="H829" s="20" t="s">
        <v>455</v>
      </c>
      <c r="I829" s="378" t="s">
        <v>162</v>
      </c>
      <c r="J829" s="20" t="s">
        <v>163</v>
      </c>
      <c r="K829" s="378" t="s">
        <v>476</v>
      </c>
      <c r="L829" s="378" t="s">
        <v>165</v>
      </c>
      <c r="M829" s="380">
        <v>2400</v>
      </c>
      <c r="N829" s="380" t="s">
        <v>443</v>
      </c>
      <c r="O829" s="380" t="s">
        <v>443</v>
      </c>
      <c r="P829" s="380" t="s">
        <v>443</v>
      </c>
      <c r="Q829" s="381">
        <v>243</v>
      </c>
      <c r="R829" s="381">
        <v>0</v>
      </c>
      <c r="S829" s="381">
        <v>0</v>
      </c>
      <c r="T829" s="381">
        <v>0</v>
      </c>
      <c r="U829" s="381">
        <v>0</v>
      </c>
      <c r="V829" s="382">
        <v>243</v>
      </c>
      <c r="W829" s="382">
        <v>0</v>
      </c>
      <c r="X829" s="381">
        <v>0.10125000000000001</v>
      </c>
      <c r="Y829" s="381">
        <v>0</v>
      </c>
      <c r="Z829" s="381">
        <v>0</v>
      </c>
      <c r="AA829" s="381">
        <v>0</v>
      </c>
      <c r="AB829" s="381">
        <v>0</v>
      </c>
      <c r="AC829" s="382">
        <v>0.10125000000000001</v>
      </c>
      <c r="AD829" s="382">
        <v>0</v>
      </c>
      <c r="AE829" s="381" t="s">
        <v>444</v>
      </c>
    </row>
    <row r="830" spans="1:31" ht="15" customHeight="1" x14ac:dyDescent="0.25">
      <c r="A830" s="20" t="s">
        <v>156</v>
      </c>
      <c r="B830" s="20" t="s">
        <v>939</v>
      </c>
      <c r="C830" s="20" t="s">
        <v>940</v>
      </c>
      <c r="D830" s="378" t="s">
        <v>1286</v>
      </c>
      <c r="E830" s="384">
        <v>44613</v>
      </c>
      <c r="F830" s="384">
        <v>46439</v>
      </c>
      <c r="G830" s="378" t="s">
        <v>439</v>
      </c>
      <c r="H830" s="20" t="s">
        <v>455</v>
      </c>
      <c r="I830" s="378" t="s">
        <v>162</v>
      </c>
      <c r="J830" s="20" t="s">
        <v>163</v>
      </c>
      <c r="K830" s="378" t="s">
        <v>476</v>
      </c>
      <c r="L830" s="378" t="s">
        <v>165</v>
      </c>
      <c r="M830" s="380">
        <v>2400</v>
      </c>
      <c r="N830" s="380" t="s">
        <v>443</v>
      </c>
      <c r="O830" s="380" t="s">
        <v>443</v>
      </c>
      <c r="P830" s="380" t="s">
        <v>443</v>
      </c>
      <c r="Q830" s="381">
        <v>306</v>
      </c>
      <c r="R830" s="381">
        <v>0</v>
      </c>
      <c r="S830" s="381">
        <v>0</v>
      </c>
      <c r="T830" s="381">
        <v>0</v>
      </c>
      <c r="U830" s="381">
        <v>0</v>
      </c>
      <c r="V830" s="382">
        <v>306</v>
      </c>
      <c r="W830" s="382">
        <v>0</v>
      </c>
      <c r="X830" s="381">
        <v>0.1275</v>
      </c>
      <c r="Y830" s="381">
        <v>0</v>
      </c>
      <c r="Z830" s="381">
        <v>0</v>
      </c>
      <c r="AA830" s="381">
        <v>0</v>
      </c>
      <c r="AB830" s="381">
        <v>0</v>
      </c>
      <c r="AC830" s="382">
        <v>0.1275</v>
      </c>
      <c r="AD830" s="382">
        <v>0</v>
      </c>
      <c r="AE830" s="381" t="s">
        <v>444</v>
      </c>
    </row>
    <row r="831" spans="1:31" ht="15" customHeight="1" x14ac:dyDescent="0.25">
      <c r="A831" s="20" t="s">
        <v>156</v>
      </c>
      <c r="B831" s="20" t="s">
        <v>939</v>
      </c>
      <c r="C831" s="20" t="s">
        <v>940</v>
      </c>
      <c r="D831" s="378" t="s">
        <v>1287</v>
      </c>
      <c r="E831" s="384">
        <v>44613</v>
      </c>
      <c r="F831" s="384">
        <v>46439</v>
      </c>
      <c r="G831" s="378" t="s">
        <v>439</v>
      </c>
      <c r="H831" s="20" t="s">
        <v>455</v>
      </c>
      <c r="I831" s="378" t="s">
        <v>162</v>
      </c>
      <c r="J831" s="20" t="s">
        <v>163</v>
      </c>
      <c r="K831" s="378" t="s">
        <v>476</v>
      </c>
      <c r="L831" s="378" t="s">
        <v>165</v>
      </c>
      <c r="M831" s="380">
        <v>2400</v>
      </c>
      <c r="N831" s="380" t="s">
        <v>443</v>
      </c>
      <c r="O831" s="380" t="s">
        <v>443</v>
      </c>
      <c r="P831" s="380" t="s">
        <v>443</v>
      </c>
      <c r="Q831" s="381">
        <v>418</v>
      </c>
      <c r="R831" s="381">
        <v>0</v>
      </c>
      <c r="S831" s="381">
        <v>0</v>
      </c>
      <c r="T831" s="381">
        <v>0</v>
      </c>
      <c r="U831" s="381">
        <v>0</v>
      </c>
      <c r="V831" s="382">
        <v>418</v>
      </c>
      <c r="W831" s="382">
        <v>0</v>
      </c>
      <c r="X831" s="381">
        <v>0.17416666666666666</v>
      </c>
      <c r="Y831" s="381">
        <v>0</v>
      </c>
      <c r="Z831" s="381">
        <v>0</v>
      </c>
      <c r="AA831" s="381">
        <v>0</v>
      </c>
      <c r="AB831" s="381">
        <v>0</v>
      </c>
      <c r="AC831" s="382">
        <v>0.17416666666666666</v>
      </c>
      <c r="AD831" s="382">
        <v>0</v>
      </c>
      <c r="AE831" s="381" t="s">
        <v>444</v>
      </c>
    </row>
    <row r="832" spans="1:31" ht="15" customHeight="1" x14ac:dyDescent="0.25">
      <c r="A832" s="20" t="s">
        <v>156</v>
      </c>
      <c r="B832" s="20" t="s">
        <v>939</v>
      </c>
      <c r="C832" s="20" t="s">
        <v>940</v>
      </c>
      <c r="D832" s="378" t="s">
        <v>1276</v>
      </c>
      <c r="E832" s="384">
        <v>44613</v>
      </c>
      <c r="F832" s="384">
        <v>46439</v>
      </c>
      <c r="G832" s="378" t="s">
        <v>439</v>
      </c>
      <c r="H832" s="20" t="s">
        <v>455</v>
      </c>
      <c r="I832" s="378" t="s">
        <v>162</v>
      </c>
      <c r="J832" s="20" t="s">
        <v>163</v>
      </c>
      <c r="K832" s="378" t="s">
        <v>476</v>
      </c>
      <c r="L832" s="378" t="s">
        <v>165</v>
      </c>
      <c r="M832" s="380">
        <v>2400</v>
      </c>
      <c r="N832" s="380" t="s">
        <v>443</v>
      </c>
      <c r="O832" s="380" t="s">
        <v>443</v>
      </c>
      <c r="P832" s="380" t="s">
        <v>443</v>
      </c>
      <c r="Q832" s="381">
        <v>207</v>
      </c>
      <c r="R832" s="381">
        <v>0</v>
      </c>
      <c r="S832" s="381">
        <v>0</v>
      </c>
      <c r="T832" s="381">
        <v>0</v>
      </c>
      <c r="U832" s="381">
        <v>0</v>
      </c>
      <c r="V832" s="382">
        <v>207</v>
      </c>
      <c r="W832" s="382">
        <v>0</v>
      </c>
      <c r="X832" s="381">
        <v>8.6249999999999993E-2</v>
      </c>
      <c r="Y832" s="381">
        <v>0</v>
      </c>
      <c r="Z832" s="381">
        <v>0</v>
      </c>
      <c r="AA832" s="381">
        <v>0</v>
      </c>
      <c r="AB832" s="381">
        <v>0</v>
      </c>
      <c r="AC832" s="382">
        <v>8.6249999999999993E-2</v>
      </c>
      <c r="AD832" s="382">
        <v>0</v>
      </c>
      <c r="AE832" s="381" t="s">
        <v>444</v>
      </c>
    </row>
    <row r="833" spans="1:31" ht="15" customHeight="1" x14ac:dyDescent="0.25">
      <c r="A833" s="20" t="s">
        <v>156</v>
      </c>
      <c r="B833" s="20" t="s">
        <v>939</v>
      </c>
      <c r="C833" s="20" t="s">
        <v>940</v>
      </c>
      <c r="D833" s="378" t="s">
        <v>1277</v>
      </c>
      <c r="E833" s="384">
        <v>44613</v>
      </c>
      <c r="F833" s="384">
        <v>46439</v>
      </c>
      <c r="G833" s="378" t="s">
        <v>439</v>
      </c>
      <c r="H833" s="20" t="s">
        <v>455</v>
      </c>
      <c r="I833" s="378" t="s">
        <v>162</v>
      </c>
      <c r="J833" s="20" t="s">
        <v>163</v>
      </c>
      <c r="K833" s="378" t="s">
        <v>476</v>
      </c>
      <c r="L833" s="378" t="s">
        <v>165</v>
      </c>
      <c r="M833" s="380">
        <v>2400</v>
      </c>
      <c r="N833" s="380" t="s">
        <v>443</v>
      </c>
      <c r="O833" s="380" t="s">
        <v>443</v>
      </c>
      <c r="P833" s="380" t="s">
        <v>443</v>
      </c>
      <c r="Q833" s="381">
        <v>232</v>
      </c>
      <c r="R833" s="381">
        <v>0</v>
      </c>
      <c r="S833" s="381">
        <v>0</v>
      </c>
      <c r="T833" s="381">
        <v>0</v>
      </c>
      <c r="U833" s="381">
        <v>0</v>
      </c>
      <c r="V833" s="382">
        <v>232</v>
      </c>
      <c r="W833" s="382">
        <v>0</v>
      </c>
      <c r="X833" s="381">
        <v>9.6666666666666665E-2</v>
      </c>
      <c r="Y833" s="381">
        <v>0</v>
      </c>
      <c r="Z833" s="381">
        <v>0</v>
      </c>
      <c r="AA833" s="381">
        <v>0</v>
      </c>
      <c r="AB833" s="381">
        <v>0</v>
      </c>
      <c r="AC833" s="382">
        <v>9.6666666666666665E-2</v>
      </c>
      <c r="AD833" s="382">
        <v>0</v>
      </c>
      <c r="AE833" s="381" t="s">
        <v>444</v>
      </c>
    </row>
    <row r="834" spans="1:31" ht="15" customHeight="1" x14ac:dyDescent="0.25">
      <c r="A834" s="20" t="s">
        <v>156</v>
      </c>
      <c r="B834" s="20" t="s">
        <v>939</v>
      </c>
      <c r="C834" s="20" t="s">
        <v>940</v>
      </c>
      <c r="D834" s="378" t="s">
        <v>1278</v>
      </c>
      <c r="E834" s="384">
        <v>44613</v>
      </c>
      <c r="F834" s="384">
        <v>46439</v>
      </c>
      <c r="G834" s="378" t="s">
        <v>439</v>
      </c>
      <c r="H834" s="20" t="s">
        <v>455</v>
      </c>
      <c r="I834" s="378" t="s">
        <v>162</v>
      </c>
      <c r="J834" s="20" t="s">
        <v>163</v>
      </c>
      <c r="K834" s="378" t="s">
        <v>476</v>
      </c>
      <c r="L834" s="378" t="s">
        <v>165</v>
      </c>
      <c r="M834" s="380">
        <v>2400</v>
      </c>
      <c r="N834" s="380" t="s">
        <v>443</v>
      </c>
      <c r="O834" s="380" t="s">
        <v>443</v>
      </c>
      <c r="P834" s="380" t="s">
        <v>443</v>
      </c>
      <c r="Q834" s="381">
        <v>282</v>
      </c>
      <c r="R834" s="381">
        <v>0</v>
      </c>
      <c r="S834" s="381">
        <v>0</v>
      </c>
      <c r="T834" s="381">
        <v>0</v>
      </c>
      <c r="U834" s="381">
        <v>0</v>
      </c>
      <c r="V834" s="382">
        <v>282</v>
      </c>
      <c r="W834" s="382">
        <v>0</v>
      </c>
      <c r="X834" s="381">
        <v>0.11749999999999999</v>
      </c>
      <c r="Y834" s="381">
        <v>0</v>
      </c>
      <c r="Z834" s="381">
        <v>0</v>
      </c>
      <c r="AA834" s="381">
        <v>0</v>
      </c>
      <c r="AB834" s="381">
        <v>0</v>
      </c>
      <c r="AC834" s="382">
        <v>0.11749999999999999</v>
      </c>
      <c r="AD834" s="382">
        <v>0</v>
      </c>
      <c r="AE834" s="381" t="s">
        <v>444</v>
      </c>
    </row>
    <row r="835" spans="1:31" ht="15" customHeight="1" x14ac:dyDescent="0.25">
      <c r="A835" s="20" t="s">
        <v>156</v>
      </c>
      <c r="B835" s="20" t="s">
        <v>939</v>
      </c>
      <c r="C835" s="20" t="s">
        <v>940</v>
      </c>
      <c r="D835" s="378" t="s">
        <v>1279</v>
      </c>
      <c r="E835" s="384">
        <v>44613</v>
      </c>
      <c r="F835" s="384">
        <v>46439</v>
      </c>
      <c r="G835" s="378" t="s">
        <v>439</v>
      </c>
      <c r="H835" s="20" t="s">
        <v>455</v>
      </c>
      <c r="I835" s="378" t="s">
        <v>162</v>
      </c>
      <c r="J835" s="20" t="s">
        <v>163</v>
      </c>
      <c r="K835" s="378" t="s">
        <v>476</v>
      </c>
      <c r="L835" s="378" t="s">
        <v>165</v>
      </c>
      <c r="M835" s="380">
        <v>2400</v>
      </c>
      <c r="N835" s="380" t="s">
        <v>443</v>
      </c>
      <c r="O835" s="380" t="s">
        <v>443</v>
      </c>
      <c r="P835" s="380" t="s">
        <v>443</v>
      </c>
      <c r="Q835" s="381">
        <v>315</v>
      </c>
      <c r="R835" s="381">
        <v>0</v>
      </c>
      <c r="S835" s="381">
        <v>0</v>
      </c>
      <c r="T835" s="381">
        <v>0</v>
      </c>
      <c r="U835" s="381">
        <v>0</v>
      </c>
      <c r="V835" s="382">
        <v>315</v>
      </c>
      <c r="W835" s="382">
        <v>0</v>
      </c>
      <c r="X835" s="381">
        <v>0.13125000000000001</v>
      </c>
      <c r="Y835" s="381">
        <v>0</v>
      </c>
      <c r="Z835" s="381">
        <v>0</v>
      </c>
      <c r="AA835" s="381">
        <v>0</v>
      </c>
      <c r="AB835" s="381">
        <v>0</v>
      </c>
      <c r="AC835" s="382">
        <v>0.13125000000000001</v>
      </c>
      <c r="AD835" s="382">
        <v>0</v>
      </c>
      <c r="AE835" s="381" t="s">
        <v>444</v>
      </c>
    </row>
    <row r="836" spans="1:31" ht="15" customHeight="1" x14ac:dyDescent="0.25">
      <c r="A836" s="20" t="s">
        <v>156</v>
      </c>
      <c r="B836" s="20" t="s">
        <v>939</v>
      </c>
      <c r="C836" s="20" t="s">
        <v>940</v>
      </c>
      <c r="D836" s="378" t="s">
        <v>1280</v>
      </c>
      <c r="E836" s="384">
        <v>44613</v>
      </c>
      <c r="F836" s="384">
        <v>46439</v>
      </c>
      <c r="G836" s="378" t="s">
        <v>439</v>
      </c>
      <c r="H836" s="20" t="s">
        <v>455</v>
      </c>
      <c r="I836" s="378" t="s">
        <v>162</v>
      </c>
      <c r="J836" s="20" t="s">
        <v>163</v>
      </c>
      <c r="K836" s="378" t="s">
        <v>476</v>
      </c>
      <c r="L836" s="378" t="s">
        <v>165</v>
      </c>
      <c r="M836" s="380">
        <v>2400</v>
      </c>
      <c r="N836" s="380" t="s">
        <v>443</v>
      </c>
      <c r="O836" s="380" t="s">
        <v>443</v>
      </c>
      <c r="P836" s="380" t="s">
        <v>443</v>
      </c>
      <c r="Q836" s="381">
        <v>241</v>
      </c>
      <c r="R836" s="381">
        <v>0</v>
      </c>
      <c r="S836" s="381">
        <v>0</v>
      </c>
      <c r="T836" s="381">
        <v>0</v>
      </c>
      <c r="U836" s="381">
        <v>0</v>
      </c>
      <c r="V836" s="382">
        <v>241</v>
      </c>
      <c r="W836" s="382">
        <v>0</v>
      </c>
      <c r="X836" s="381">
        <v>0.10041666666666667</v>
      </c>
      <c r="Y836" s="381">
        <v>0</v>
      </c>
      <c r="Z836" s="381">
        <v>0</v>
      </c>
      <c r="AA836" s="381">
        <v>0</v>
      </c>
      <c r="AB836" s="381">
        <v>0</v>
      </c>
      <c r="AC836" s="382">
        <v>0.10041666666666667</v>
      </c>
      <c r="AD836" s="382">
        <v>0</v>
      </c>
      <c r="AE836" s="381" t="s">
        <v>444</v>
      </c>
    </row>
    <row r="837" spans="1:31" ht="15" customHeight="1" x14ac:dyDescent="0.25">
      <c r="A837" s="20" t="s">
        <v>156</v>
      </c>
      <c r="B837" s="20" t="s">
        <v>939</v>
      </c>
      <c r="C837" s="20" t="s">
        <v>940</v>
      </c>
      <c r="D837" s="378" t="s">
        <v>1281</v>
      </c>
      <c r="E837" s="384">
        <v>44613</v>
      </c>
      <c r="F837" s="384">
        <v>46439</v>
      </c>
      <c r="G837" s="378" t="s">
        <v>439</v>
      </c>
      <c r="H837" s="20" t="s">
        <v>455</v>
      </c>
      <c r="I837" s="378" t="s">
        <v>162</v>
      </c>
      <c r="J837" s="20" t="s">
        <v>163</v>
      </c>
      <c r="K837" s="378" t="s">
        <v>476</v>
      </c>
      <c r="L837" s="378" t="s">
        <v>165</v>
      </c>
      <c r="M837" s="380">
        <v>2400</v>
      </c>
      <c r="N837" s="380" t="s">
        <v>443</v>
      </c>
      <c r="O837" s="380" t="s">
        <v>443</v>
      </c>
      <c r="P837" s="380" t="s">
        <v>443</v>
      </c>
      <c r="Q837" s="381">
        <v>327</v>
      </c>
      <c r="R837" s="381">
        <v>0</v>
      </c>
      <c r="S837" s="381">
        <v>0</v>
      </c>
      <c r="T837" s="381">
        <v>0</v>
      </c>
      <c r="U837" s="381">
        <v>0</v>
      </c>
      <c r="V837" s="382">
        <v>327</v>
      </c>
      <c r="W837" s="382">
        <v>0</v>
      </c>
      <c r="X837" s="381">
        <v>0.13625000000000001</v>
      </c>
      <c r="Y837" s="381">
        <v>0</v>
      </c>
      <c r="Z837" s="381">
        <v>0</v>
      </c>
      <c r="AA837" s="381">
        <v>0</v>
      </c>
      <c r="AB837" s="381">
        <v>0</v>
      </c>
      <c r="AC837" s="382">
        <v>0.13625000000000001</v>
      </c>
      <c r="AD837" s="382">
        <v>0</v>
      </c>
      <c r="AE837" s="381" t="s">
        <v>444</v>
      </c>
    </row>
    <row r="838" spans="1:31" ht="15" customHeight="1" x14ac:dyDescent="0.25">
      <c r="A838" s="20" t="s">
        <v>156</v>
      </c>
      <c r="B838" s="20" t="s">
        <v>939</v>
      </c>
      <c r="C838" s="20" t="s">
        <v>940</v>
      </c>
      <c r="D838" s="378" t="s">
        <v>1282</v>
      </c>
      <c r="E838" s="384">
        <v>44613</v>
      </c>
      <c r="F838" s="384">
        <v>46439</v>
      </c>
      <c r="G838" s="378" t="s">
        <v>439</v>
      </c>
      <c r="H838" s="20" t="s">
        <v>455</v>
      </c>
      <c r="I838" s="378" t="s">
        <v>162</v>
      </c>
      <c r="J838" s="20" t="s">
        <v>163</v>
      </c>
      <c r="K838" s="378" t="s">
        <v>476</v>
      </c>
      <c r="L838" s="378" t="s">
        <v>165</v>
      </c>
      <c r="M838" s="380">
        <v>2400</v>
      </c>
      <c r="N838" s="380" t="s">
        <v>443</v>
      </c>
      <c r="O838" s="380" t="s">
        <v>443</v>
      </c>
      <c r="P838" s="380" t="s">
        <v>443</v>
      </c>
      <c r="Q838" s="381">
        <v>305</v>
      </c>
      <c r="R838" s="381">
        <v>0</v>
      </c>
      <c r="S838" s="381">
        <v>0</v>
      </c>
      <c r="T838" s="381">
        <v>0</v>
      </c>
      <c r="U838" s="381">
        <v>0</v>
      </c>
      <c r="V838" s="382">
        <v>305</v>
      </c>
      <c r="W838" s="382">
        <v>0</v>
      </c>
      <c r="X838" s="381">
        <v>0.12708333333333333</v>
      </c>
      <c r="Y838" s="381">
        <v>0</v>
      </c>
      <c r="Z838" s="381">
        <v>0</v>
      </c>
      <c r="AA838" s="381">
        <v>0</v>
      </c>
      <c r="AB838" s="381">
        <v>0</v>
      </c>
      <c r="AC838" s="382">
        <v>0.12708333333333333</v>
      </c>
      <c r="AD838" s="382">
        <v>0</v>
      </c>
      <c r="AE838" s="381" t="s">
        <v>444</v>
      </c>
    </row>
    <row r="839" spans="1:31" ht="15" customHeight="1" x14ac:dyDescent="0.25">
      <c r="A839" s="20" t="s">
        <v>156</v>
      </c>
      <c r="B839" s="20" t="s">
        <v>939</v>
      </c>
      <c r="C839" s="20" t="s">
        <v>940</v>
      </c>
      <c r="D839" s="378" t="s">
        <v>1283</v>
      </c>
      <c r="E839" s="384">
        <v>44613</v>
      </c>
      <c r="F839" s="384">
        <v>46439</v>
      </c>
      <c r="G839" s="378" t="s">
        <v>439</v>
      </c>
      <c r="H839" s="20" t="s">
        <v>455</v>
      </c>
      <c r="I839" s="378" t="s">
        <v>162</v>
      </c>
      <c r="J839" s="20" t="s">
        <v>163</v>
      </c>
      <c r="K839" s="378" t="s">
        <v>476</v>
      </c>
      <c r="L839" s="378" t="s">
        <v>165</v>
      </c>
      <c r="M839" s="380">
        <v>2400</v>
      </c>
      <c r="N839" s="380" t="s">
        <v>443</v>
      </c>
      <c r="O839" s="380" t="s">
        <v>443</v>
      </c>
      <c r="P839" s="380" t="s">
        <v>443</v>
      </c>
      <c r="Q839" s="381">
        <v>292</v>
      </c>
      <c r="R839" s="381">
        <v>0</v>
      </c>
      <c r="S839" s="381">
        <v>0</v>
      </c>
      <c r="T839" s="381">
        <v>0</v>
      </c>
      <c r="U839" s="381">
        <v>0</v>
      </c>
      <c r="V839" s="382">
        <v>292</v>
      </c>
      <c r="W839" s="382">
        <v>0</v>
      </c>
      <c r="X839" s="381">
        <v>0.12166666666666667</v>
      </c>
      <c r="Y839" s="381">
        <v>0</v>
      </c>
      <c r="Z839" s="381">
        <v>0</v>
      </c>
      <c r="AA839" s="381">
        <v>0</v>
      </c>
      <c r="AB839" s="381">
        <v>0</v>
      </c>
      <c r="AC839" s="382">
        <v>0.12166666666666667</v>
      </c>
      <c r="AD839" s="382">
        <v>0</v>
      </c>
      <c r="AE839" s="381" t="s">
        <v>444</v>
      </c>
    </row>
    <row r="840" spans="1:31" ht="15" customHeight="1" x14ac:dyDescent="0.25">
      <c r="A840" s="20" t="s">
        <v>156</v>
      </c>
      <c r="B840" s="20" t="s">
        <v>939</v>
      </c>
      <c r="C840" s="20" t="s">
        <v>940</v>
      </c>
      <c r="D840" s="378" t="s">
        <v>1284</v>
      </c>
      <c r="E840" s="384">
        <v>44613</v>
      </c>
      <c r="F840" s="384">
        <v>46439</v>
      </c>
      <c r="G840" s="378" t="s">
        <v>439</v>
      </c>
      <c r="H840" s="20" t="s">
        <v>455</v>
      </c>
      <c r="I840" s="378" t="s">
        <v>162</v>
      </c>
      <c r="J840" s="20" t="s">
        <v>163</v>
      </c>
      <c r="K840" s="378" t="s">
        <v>476</v>
      </c>
      <c r="L840" s="378" t="s">
        <v>165</v>
      </c>
      <c r="M840" s="380">
        <v>2400</v>
      </c>
      <c r="N840" s="380" t="s">
        <v>443</v>
      </c>
      <c r="O840" s="380" t="s">
        <v>443</v>
      </c>
      <c r="P840" s="380" t="s">
        <v>443</v>
      </c>
      <c r="Q840" s="381">
        <v>310</v>
      </c>
      <c r="R840" s="381">
        <v>0</v>
      </c>
      <c r="S840" s="381">
        <v>0</v>
      </c>
      <c r="T840" s="381">
        <v>0</v>
      </c>
      <c r="U840" s="381">
        <v>0</v>
      </c>
      <c r="V840" s="382">
        <v>310</v>
      </c>
      <c r="W840" s="382">
        <v>0</v>
      </c>
      <c r="X840" s="381">
        <v>0.12916666666666668</v>
      </c>
      <c r="Y840" s="381">
        <v>0</v>
      </c>
      <c r="Z840" s="381">
        <v>0</v>
      </c>
      <c r="AA840" s="381">
        <v>0</v>
      </c>
      <c r="AB840" s="381">
        <v>0</v>
      </c>
      <c r="AC840" s="382">
        <v>0.12916666666666668</v>
      </c>
      <c r="AD840" s="382">
        <v>0</v>
      </c>
      <c r="AE840" s="381" t="s">
        <v>444</v>
      </c>
    </row>
    <row r="841" spans="1:31" ht="15" customHeight="1" x14ac:dyDescent="0.25">
      <c r="A841" s="20" t="s">
        <v>156</v>
      </c>
      <c r="B841" s="20" t="s">
        <v>939</v>
      </c>
      <c r="C841" s="20" t="s">
        <v>940</v>
      </c>
      <c r="D841" s="378" t="s">
        <v>1285</v>
      </c>
      <c r="E841" s="384">
        <v>44613</v>
      </c>
      <c r="F841" s="384">
        <v>46439</v>
      </c>
      <c r="G841" s="378" t="s">
        <v>439</v>
      </c>
      <c r="H841" s="20" t="s">
        <v>455</v>
      </c>
      <c r="I841" s="378" t="s">
        <v>162</v>
      </c>
      <c r="J841" s="20" t="s">
        <v>163</v>
      </c>
      <c r="K841" s="378" t="s">
        <v>476</v>
      </c>
      <c r="L841" s="378" t="s">
        <v>165</v>
      </c>
      <c r="M841" s="380">
        <v>2400</v>
      </c>
      <c r="N841" s="380" t="s">
        <v>443</v>
      </c>
      <c r="O841" s="380" t="s">
        <v>443</v>
      </c>
      <c r="P841" s="380" t="s">
        <v>443</v>
      </c>
      <c r="Q841" s="381">
        <v>243</v>
      </c>
      <c r="R841" s="381">
        <v>0</v>
      </c>
      <c r="S841" s="381">
        <v>0</v>
      </c>
      <c r="T841" s="381">
        <v>0</v>
      </c>
      <c r="U841" s="381">
        <v>0</v>
      </c>
      <c r="V841" s="382">
        <v>243</v>
      </c>
      <c r="W841" s="382">
        <v>0</v>
      </c>
      <c r="X841" s="381">
        <v>0.10125000000000001</v>
      </c>
      <c r="Y841" s="381">
        <v>0</v>
      </c>
      <c r="Z841" s="381">
        <v>0</v>
      </c>
      <c r="AA841" s="381">
        <v>0</v>
      </c>
      <c r="AB841" s="381">
        <v>0</v>
      </c>
      <c r="AC841" s="382">
        <v>0.10125000000000001</v>
      </c>
      <c r="AD841" s="382">
        <v>0</v>
      </c>
      <c r="AE841" s="381" t="s">
        <v>444</v>
      </c>
    </row>
    <row r="842" spans="1:31" ht="15" customHeight="1" x14ac:dyDescent="0.25">
      <c r="A842" s="20" t="s">
        <v>156</v>
      </c>
      <c r="B842" s="20" t="s">
        <v>939</v>
      </c>
      <c r="C842" s="20" t="s">
        <v>940</v>
      </c>
      <c r="D842" s="378" t="s">
        <v>1286</v>
      </c>
      <c r="E842" s="384">
        <v>44613</v>
      </c>
      <c r="F842" s="384">
        <v>46439</v>
      </c>
      <c r="G842" s="378" t="s">
        <v>439</v>
      </c>
      <c r="H842" s="20" t="s">
        <v>455</v>
      </c>
      <c r="I842" s="378" t="s">
        <v>162</v>
      </c>
      <c r="J842" s="20" t="s">
        <v>163</v>
      </c>
      <c r="K842" s="378" t="s">
        <v>476</v>
      </c>
      <c r="L842" s="378" t="s">
        <v>165</v>
      </c>
      <c r="M842" s="380">
        <v>2400</v>
      </c>
      <c r="N842" s="380" t="s">
        <v>443</v>
      </c>
      <c r="O842" s="380" t="s">
        <v>443</v>
      </c>
      <c r="P842" s="380" t="s">
        <v>443</v>
      </c>
      <c r="Q842" s="381">
        <v>306</v>
      </c>
      <c r="R842" s="381">
        <v>0</v>
      </c>
      <c r="S842" s="381">
        <v>0</v>
      </c>
      <c r="T842" s="381">
        <v>0</v>
      </c>
      <c r="U842" s="381">
        <v>0</v>
      </c>
      <c r="V842" s="382">
        <v>306</v>
      </c>
      <c r="W842" s="382">
        <v>0</v>
      </c>
      <c r="X842" s="381">
        <v>0.1275</v>
      </c>
      <c r="Y842" s="381">
        <v>0</v>
      </c>
      <c r="Z842" s="381">
        <v>0</v>
      </c>
      <c r="AA842" s="381">
        <v>0</v>
      </c>
      <c r="AB842" s="381">
        <v>0</v>
      </c>
      <c r="AC842" s="382">
        <v>0.1275</v>
      </c>
      <c r="AD842" s="382">
        <v>0</v>
      </c>
      <c r="AE842" s="381" t="s">
        <v>444</v>
      </c>
    </row>
    <row r="843" spans="1:31" ht="15" customHeight="1" x14ac:dyDescent="0.25">
      <c r="A843" s="20" t="s">
        <v>156</v>
      </c>
      <c r="B843" s="20" t="s">
        <v>939</v>
      </c>
      <c r="C843" s="20" t="s">
        <v>940</v>
      </c>
      <c r="D843" s="378" t="s">
        <v>1287</v>
      </c>
      <c r="E843" s="384">
        <v>44613</v>
      </c>
      <c r="F843" s="384">
        <v>46439</v>
      </c>
      <c r="G843" s="378" t="s">
        <v>439</v>
      </c>
      <c r="H843" s="20" t="s">
        <v>455</v>
      </c>
      <c r="I843" s="378" t="s">
        <v>162</v>
      </c>
      <c r="J843" s="20" t="s">
        <v>163</v>
      </c>
      <c r="K843" s="378" t="s">
        <v>476</v>
      </c>
      <c r="L843" s="378" t="s">
        <v>165</v>
      </c>
      <c r="M843" s="380">
        <v>2400</v>
      </c>
      <c r="N843" s="380" t="s">
        <v>443</v>
      </c>
      <c r="O843" s="380" t="s">
        <v>443</v>
      </c>
      <c r="P843" s="380" t="s">
        <v>443</v>
      </c>
      <c r="Q843" s="381">
        <v>418</v>
      </c>
      <c r="R843" s="381">
        <v>0</v>
      </c>
      <c r="S843" s="381">
        <v>0</v>
      </c>
      <c r="T843" s="381">
        <v>0</v>
      </c>
      <c r="U843" s="381">
        <v>0</v>
      </c>
      <c r="V843" s="382">
        <v>418</v>
      </c>
      <c r="W843" s="382">
        <v>0</v>
      </c>
      <c r="X843" s="381">
        <v>0.17416666666666666</v>
      </c>
      <c r="Y843" s="381">
        <v>0</v>
      </c>
      <c r="Z843" s="381">
        <v>0</v>
      </c>
      <c r="AA843" s="381">
        <v>0</v>
      </c>
      <c r="AB843" s="381">
        <v>0</v>
      </c>
      <c r="AC843" s="382">
        <v>0.17416666666666666</v>
      </c>
      <c r="AD843" s="382">
        <v>0</v>
      </c>
      <c r="AE843" s="381" t="s">
        <v>444</v>
      </c>
    </row>
    <row r="844" spans="1:31" ht="15" customHeight="1" x14ac:dyDescent="0.25">
      <c r="A844" s="20" t="s">
        <v>156</v>
      </c>
      <c r="B844" s="20" t="s">
        <v>939</v>
      </c>
      <c r="C844" s="20" t="s">
        <v>940</v>
      </c>
      <c r="D844" s="378" t="s">
        <v>1276</v>
      </c>
      <c r="E844" s="384">
        <v>44613</v>
      </c>
      <c r="F844" s="384">
        <v>46439</v>
      </c>
      <c r="G844" s="378" t="s">
        <v>439</v>
      </c>
      <c r="H844" s="20" t="s">
        <v>455</v>
      </c>
      <c r="I844" s="378" t="s">
        <v>162</v>
      </c>
      <c r="J844" s="20" t="s">
        <v>163</v>
      </c>
      <c r="K844" s="378" t="s">
        <v>476</v>
      </c>
      <c r="L844" s="378" t="s">
        <v>165</v>
      </c>
      <c r="M844" s="380">
        <v>2400</v>
      </c>
      <c r="N844" s="380" t="s">
        <v>443</v>
      </c>
      <c r="O844" s="380" t="s">
        <v>443</v>
      </c>
      <c r="P844" s="380" t="s">
        <v>443</v>
      </c>
      <c r="Q844" s="381">
        <v>207</v>
      </c>
      <c r="R844" s="381">
        <v>0</v>
      </c>
      <c r="S844" s="381">
        <v>0</v>
      </c>
      <c r="T844" s="381">
        <v>0</v>
      </c>
      <c r="U844" s="381">
        <v>0</v>
      </c>
      <c r="V844" s="382">
        <v>207</v>
      </c>
      <c r="W844" s="382">
        <v>0</v>
      </c>
      <c r="X844" s="381">
        <v>8.6249999999999993E-2</v>
      </c>
      <c r="Y844" s="381">
        <v>0</v>
      </c>
      <c r="Z844" s="381">
        <v>0</v>
      </c>
      <c r="AA844" s="381">
        <v>0</v>
      </c>
      <c r="AB844" s="381">
        <v>0</v>
      </c>
      <c r="AC844" s="382">
        <v>8.6249999999999993E-2</v>
      </c>
      <c r="AD844" s="382">
        <v>0</v>
      </c>
      <c r="AE844" s="381" t="s">
        <v>444</v>
      </c>
    </row>
    <row r="845" spans="1:31" ht="15" customHeight="1" x14ac:dyDescent="0.25">
      <c r="A845" s="20" t="s">
        <v>156</v>
      </c>
      <c r="B845" s="20" t="s">
        <v>939</v>
      </c>
      <c r="C845" s="20" t="s">
        <v>940</v>
      </c>
      <c r="D845" s="378" t="s">
        <v>1277</v>
      </c>
      <c r="E845" s="384">
        <v>44613</v>
      </c>
      <c r="F845" s="384">
        <v>46439</v>
      </c>
      <c r="G845" s="378" t="s">
        <v>439</v>
      </c>
      <c r="H845" s="20" t="s">
        <v>455</v>
      </c>
      <c r="I845" s="378" t="s">
        <v>162</v>
      </c>
      <c r="J845" s="20" t="s">
        <v>163</v>
      </c>
      <c r="K845" s="378" t="s">
        <v>476</v>
      </c>
      <c r="L845" s="378" t="s">
        <v>165</v>
      </c>
      <c r="M845" s="380">
        <v>2400</v>
      </c>
      <c r="N845" s="380" t="s">
        <v>443</v>
      </c>
      <c r="O845" s="380" t="s">
        <v>443</v>
      </c>
      <c r="P845" s="380" t="s">
        <v>443</v>
      </c>
      <c r="Q845" s="381">
        <v>232</v>
      </c>
      <c r="R845" s="381">
        <v>0</v>
      </c>
      <c r="S845" s="381">
        <v>0</v>
      </c>
      <c r="T845" s="381">
        <v>0</v>
      </c>
      <c r="U845" s="381">
        <v>0</v>
      </c>
      <c r="V845" s="382">
        <v>232</v>
      </c>
      <c r="W845" s="382">
        <v>0</v>
      </c>
      <c r="X845" s="381">
        <v>9.6666666666666665E-2</v>
      </c>
      <c r="Y845" s="381">
        <v>0</v>
      </c>
      <c r="Z845" s="381">
        <v>0</v>
      </c>
      <c r="AA845" s="381">
        <v>0</v>
      </c>
      <c r="AB845" s="381">
        <v>0</v>
      </c>
      <c r="AC845" s="382">
        <v>9.6666666666666665E-2</v>
      </c>
      <c r="AD845" s="382">
        <v>0</v>
      </c>
      <c r="AE845" s="381" t="s">
        <v>444</v>
      </c>
    </row>
    <row r="846" spans="1:31" ht="15" customHeight="1" x14ac:dyDescent="0.25">
      <c r="A846" s="20" t="s">
        <v>156</v>
      </c>
      <c r="B846" s="20" t="s">
        <v>939</v>
      </c>
      <c r="C846" s="20" t="s">
        <v>940</v>
      </c>
      <c r="D846" s="378" t="s">
        <v>1278</v>
      </c>
      <c r="E846" s="384">
        <v>44613</v>
      </c>
      <c r="F846" s="384">
        <v>46439</v>
      </c>
      <c r="G846" s="378" t="s">
        <v>439</v>
      </c>
      <c r="H846" s="20" t="s">
        <v>455</v>
      </c>
      <c r="I846" s="378" t="s">
        <v>162</v>
      </c>
      <c r="J846" s="20" t="s">
        <v>163</v>
      </c>
      <c r="K846" s="378" t="s">
        <v>476</v>
      </c>
      <c r="L846" s="378" t="s">
        <v>165</v>
      </c>
      <c r="M846" s="380">
        <v>2400</v>
      </c>
      <c r="N846" s="380" t="s">
        <v>443</v>
      </c>
      <c r="O846" s="380" t="s">
        <v>443</v>
      </c>
      <c r="P846" s="380" t="s">
        <v>443</v>
      </c>
      <c r="Q846" s="381">
        <v>282</v>
      </c>
      <c r="R846" s="381">
        <v>0</v>
      </c>
      <c r="S846" s="381">
        <v>0</v>
      </c>
      <c r="T846" s="381">
        <v>0</v>
      </c>
      <c r="U846" s="381">
        <v>0</v>
      </c>
      <c r="V846" s="382">
        <v>282</v>
      </c>
      <c r="W846" s="382">
        <v>0</v>
      </c>
      <c r="X846" s="381">
        <v>0.11749999999999999</v>
      </c>
      <c r="Y846" s="381">
        <v>0</v>
      </c>
      <c r="Z846" s="381">
        <v>0</v>
      </c>
      <c r="AA846" s="381">
        <v>0</v>
      </c>
      <c r="AB846" s="381">
        <v>0</v>
      </c>
      <c r="AC846" s="382">
        <v>0.11749999999999999</v>
      </c>
      <c r="AD846" s="382">
        <v>0</v>
      </c>
      <c r="AE846" s="381" t="s">
        <v>444</v>
      </c>
    </row>
    <row r="847" spans="1:31" ht="15" customHeight="1" x14ac:dyDescent="0.25">
      <c r="A847" s="20" t="s">
        <v>156</v>
      </c>
      <c r="B847" s="20" t="s">
        <v>939</v>
      </c>
      <c r="C847" s="20" t="s">
        <v>940</v>
      </c>
      <c r="D847" s="378" t="s">
        <v>1279</v>
      </c>
      <c r="E847" s="384">
        <v>44613</v>
      </c>
      <c r="F847" s="384">
        <v>46439</v>
      </c>
      <c r="G847" s="378" t="s">
        <v>439</v>
      </c>
      <c r="H847" s="20" t="s">
        <v>455</v>
      </c>
      <c r="I847" s="378" t="s">
        <v>162</v>
      </c>
      <c r="J847" s="20" t="s">
        <v>163</v>
      </c>
      <c r="K847" s="378" t="s">
        <v>476</v>
      </c>
      <c r="L847" s="378" t="s">
        <v>165</v>
      </c>
      <c r="M847" s="380">
        <v>2400</v>
      </c>
      <c r="N847" s="380" t="s">
        <v>443</v>
      </c>
      <c r="O847" s="380" t="s">
        <v>443</v>
      </c>
      <c r="P847" s="380" t="s">
        <v>443</v>
      </c>
      <c r="Q847" s="381">
        <v>315</v>
      </c>
      <c r="R847" s="381">
        <v>0</v>
      </c>
      <c r="S847" s="381">
        <v>0</v>
      </c>
      <c r="T847" s="381">
        <v>0</v>
      </c>
      <c r="U847" s="381">
        <v>0</v>
      </c>
      <c r="V847" s="382">
        <v>315</v>
      </c>
      <c r="W847" s="382">
        <v>0</v>
      </c>
      <c r="X847" s="381">
        <v>0.13125000000000001</v>
      </c>
      <c r="Y847" s="381">
        <v>0</v>
      </c>
      <c r="Z847" s="381">
        <v>0</v>
      </c>
      <c r="AA847" s="381">
        <v>0</v>
      </c>
      <c r="AB847" s="381">
        <v>0</v>
      </c>
      <c r="AC847" s="382">
        <v>0.13125000000000001</v>
      </c>
      <c r="AD847" s="382">
        <v>0</v>
      </c>
      <c r="AE847" s="381" t="s">
        <v>444</v>
      </c>
    </row>
    <row r="848" spans="1:31" ht="15" customHeight="1" x14ac:dyDescent="0.25">
      <c r="A848" s="20" t="s">
        <v>156</v>
      </c>
      <c r="B848" s="20" t="s">
        <v>939</v>
      </c>
      <c r="C848" s="20" t="s">
        <v>940</v>
      </c>
      <c r="D848" s="378" t="s">
        <v>1280</v>
      </c>
      <c r="E848" s="384">
        <v>44613</v>
      </c>
      <c r="F848" s="384">
        <v>46439</v>
      </c>
      <c r="G848" s="378" t="s">
        <v>439</v>
      </c>
      <c r="H848" s="20" t="s">
        <v>455</v>
      </c>
      <c r="I848" s="378" t="s">
        <v>162</v>
      </c>
      <c r="J848" s="20" t="s">
        <v>163</v>
      </c>
      <c r="K848" s="378" t="s">
        <v>476</v>
      </c>
      <c r="L848" s="378" t="s">
        <v>165</v>
      </c>
      <c r="M848" s="380">
        <v>2400</v>
      </c>
      <c r="N848" s="380" t="s">
        <v>443</v>
      </c>
      <c r="O848" s="380" t="s">
        <v>443</v>
      </c>
      <c r="P848" s="380" t="s">
        <v>443</v>
      </c>
      <c r="Q848" s="381">
        <v>241</v>
      </c>
      <c r="R848" s="381">
        <v>0</v>
      </c>
      <c r="S848" s="381">
        <v>0</v>
      </c>
      <c r="T848" s="381">
        <v>0</v>
      </c>
      <c r="U848" s="381">
        <v>0</v>
      </c>
      <c r="V848" s="382">
        <v>241</v>
      </c>
      <c r="W848" s="382">
        <v>0</v>
      </c>
      <c r="X848" s="381">
        <v>0.10041666666666667</v>
      </c>
      <c r="Y848" s="381">
        <v>0</v>
      </c>
      <c r="Z848" s="381">
        <v>0</v>
      </c>
      <c r="AA848" s="381">
        <v>0</v>
      </c>
      <c r="AB848" s="381">
        <v>0</v>
      </c>
      <c r="AC848" s="382">
        <v>0.10041666666666667</v>
      </c>
      <c r="AD848" s="382">
        <v>0</v>
      </c>
      <c r="AE848" s="381" t="s">
        <v>444</v>
      </c>
    </row>
    <row r="849" spans="1:31" ht="15" customHeight="1" x14ac:dyDescent="0.25">
      <c r="A849" s="20" t="s">
        <v>156</v>
      </c>
      <c r="B849" s="20" t="s">
        <v>939</v>
      </c>
      <c r="C849" s="20" t="s">
        <v>940</v>
      </c>
      <c r="D849" s="378" t="s">
        <v>1281</v>
      </c>
      <c r="E849" s="384">
        <v>44613</v>
      </c>
      <c r="F849" s="384">
        <v>46439</v>
      </c>
      <c r="G849" s="378" t="s">
        <v>439</v>
      </c>
      <c r="H849" s="20" t="s">
        <v>455</v>
      </c>
      <c r="I849" s="378" t="s">
        <v>162</v>
      </c>
      <c r="J849" s="20" t="s">
        <v>163</v>
      </c>
      <c r="K849" s="378" t="s">
        <v>476</v>
      </c>
      <c r="L849" s="378" t="s">
        <v>165</v>
      </c>
      <c r="M849" s="380">
        <v>2400</v>
      </c>
      <c r="N849" s="380" t="s">
        <v>443</v>
      </c>
      <c r="O849" s="380" t="s">
        <v>443</v>
      </c>
      <c r="P849" s="380" t="s">
        <v>443</v>
      </c>
      <c r="Q849" s="381">
        <v>327</v>
      </c>
      <c r="R849" s="381">
        <v>0</v>
      </c>
      <c r="S849" s="381">
        <v>0</v>
      </c>
      <c r="T849" s="381">
        <v>0</v>
      </c>
      <c r="U849" s="381">
        <v>0</v>
      </c>
      <c r="V849" s="382">
        <v>327</v>
      </c>
      <c r="W849" s="382">
        <v>0</v>
      </c>
      <c r="X849" s="381">
        <v>0.13625000000000001</v>
      </c>
      <c r="Y849" s="381">
        <v>0</v>
      </c>
      <c r="Z849" s="381">
        <v>0</v>
      </c>
      <c r="AA849" s="381">
        <v>0</v>
      </c>
      <c r="AB849" s="381">
        <v>0</v>
      </c>
      <c r="AC849" s="382">
        <v>0.13625000000000001</v>
      </c>
      <c r="AD849" s="382">
        <v>0</v>
      </c>
      <c r="AE849" s="381" t="s">
        <v>444</v>
      </c>
    </row>
    <row r="850" spans="1:31" ht="15" customHeight="1" x14ac:dyDescent="0.25">
      <c r="A850" s="20" t="s">
        <v>156</v>
      </c>
      <c r="B850" s="20" t="s">
        <v>939</v>
      </c>
      <c r="C850" s="20" t="s">
        <v>940</v>
      </c>
      <c r="D850" s="378" t="s">
        <v>1282</v>
      </c>
      <c r="E850" s="384">
        <v>44613</v>
      </c>
      <c r="F850" s="384">
        <v>46439</v>
      </c>
      <c r="G850" s="378" t="s">
        <v>439</v>
      </c>
      <c r="H850" s="20" t="s">
        <v>455</v>
      </c>
      <c r="I850" s="378" t="s">
        <v>162</v>
      </c>
      <c r="J850" s="20" t="s">
        <v>163</v>
      </c>
      <c r="K850" s="378" t="s">
        <v>476</v>
      </c>
      <c r="L850" s="378" t="s">
        <v>165</v>
      </c>
      <c r="M850" s="380">
        <v>2400</v>
      </c>
      <c r="N850" s="380" t="s">
        <v>443</v>
      </c>
      <c r="O850" s="380" t="s">
        <v>443</v>
      </c>
      <c r="P850" s="380" t="s">
        <v>443</v>
      </c>
      <c r="Q850" s="381">
        <v>305</v>
      </c>
      <c r="R850" s="381">
        <v>0</v>
      </c>
      <c r="S850" s="381">
        <v>0</v>
      </c>
      <c r="T850" s="381">
        <v>0</v>
      </c>
      <c r="U850" s="381">
        <v>0</v>
      </c>
      <c r="V850" s="382">
        <v>305</v>
      </c>
      <c r="W850" s="382">
        <v>0</v>
      </c>
      <c r="X850" s="381">
        <v>0.12708333333333333</v>
      </c>
      <c r="Y850" s="381">
        <v>0</v>
      </c>
      <c r="Z850" s="381">
        <v>0</v>
      </c>
      <c r="AA850" s="381">
        <v>0</v>
      </c>
      <c r="AB850" s="381">
        <v>0</v>
      </c>
      <c r="AC850" s="382">
        <v>0.12708333333333333</v>
      </c>
      <c r="AD850" s="382">
        <v>0</v>
      </c>
      <c r="AE850" s="381" t="s">
        <v>444</v>
      </c>
    </row>
    <row r="851" spans="1:31" ht="15" customHeight="1" x14ac:dyDescent="0.25">
      <c r="A851" s="20" t="s">
        <v>156</v>
      </c>
      <c r="B851" s="20" t="s">
        <v>939</v>
      </c>
      <c r="C851" s="20" t="s">
        <v>940</v>
      </c>
      <c r="D851" s="378" t="s">
        <v>1283</v>
      </c>
      <c r="E851" s="384">
        <v>44613</v>
      </c>
      <c r="F851" s="384">
        <v>46439</v>
      </c>
      <c r="G851" s="378" t="s">
        <v>439</v>
      </c>
      <c r="H851" s="20" t="s">
        <v>455</v>
      </c>
      <c r="I851" s="378" t="s">
        <v>162</v>
      </c>
      <c r="J851" s="20" t="s">
        <v>163</v>
      </c>
      <c r="K851" s="378" t="s">
        <v>476</v>
      </c>
      <c r="L851" s="378" t="s">
        <v>165</v>
      </c>
      <c r="M851" s="380">
        <v>2400</v>
      </c>
      <c r="N851" s="380" t="s">
        <v>443</v>
      </c>
      <c r="O851" s="380" t="s">
        <v>443</v>
      </c>
      <c r="P851" s="380" t="s">
        <v>443</v>
      </c>
      <c r="Q851" s="381">
        <v>292</v>
      </c>
      <c r="R851" s="381">
        <v>0</v>
      </c>
      <c r="S851" s="381">
        <v>0</v>
      </c>
      <c r="T851" s="381">
        <v>0</v>
      </c>
      <c r="U851" s="381">
        <v>0</v>
      </c>
      <c r="V851" s="382">
        <v>292</v>
      </c>
      <c r="W851" s="382">
        <v>0</v>
      </c>
      <c r="X851" s="381">
        <v>0.12166666666666667</v>
      </c>
      <c r="Y851" s="381">
        <v>0</v>
      </c>
      <c r="Z851" s="381">
        <v>0</v>
      </c>
      <c r="AA851" s="381">
        <v>0</v>
      </c>
      <c r="AB851" s="381">
        <v>0</v>
      </c>
      <c r="AC851" s="382">
        <v>0.12166666666666667</v>
      </c>
      <c r="AD851" s="382">
        <v>0</v>
      </c>
      <c r="AE851" s="381" t="s">
        <v>444</v>
      </c>
    </row>
    <row r="852" spans="1:31" ht="15" customHeight="1" x14ac:dyDescent="0.25">
      <c r="A852" s="20" t="s">
        <v>156</v>
      </c>
      <c r="B852" s="20" t="s">
        <v>939</v>
      </c>
      <c r="C852" s="20" t="s">
        <v>940</v>
      </c>
      <c r="D852" s="378" t="s">
        <v>1284</v>
      </c>
      <c r="E852" s="384">
        <v>44613</v>
      </c>
      <c r="F852" s="384">
        <v>46439</v>
      </c>
      <c r="G852" s="378" t="s">
        <v>439</v>
      </c>
      <c r="H852" s="20" t="s">
        <v>455</v>
      </c>
      <c r="I852" s="378" t="s">
        <v>162</v>
      </c>
      <c r="J852" s="20" t="s">
        <v>163</v>
      </c>
      <c r="K852" s="378" t="s">
        <v>476</v>
      </c>
      <c r="L852" s="378" t="s">
        <v>165</v>
      </c>
      <c r="M852" s="380">
        <v>2400</v>
      </c>
      <c r="N852" s="380" t="s">
        <v>443</v>
      </c>
      <c r="O852" s="380" t="s">
        <v>443</v>
      </c>
      <c r="P852" s="380" t="s">
        <v>443</v>
      </c>
      <c r="Q852" s="381">
        <v>310</v>
      </c>
      <c r="R852" s="381">
        <v>0</v>
      </c>
      <c r="S852" s="381">
        <v>0</v>
      </c>
      <c r="T852" s="381">
        <v>0</v>
      </c>
      <c r="U852" s="381">
        <v>0</v>
      </c>
      <c r="V852" s="382">
        <v>310</v>
      </c>
      <c r="W852" s="382">
        <v>0</v>
      </c>
      <c r="X852" s="381">
        <v>0.12916666666666668</v>
      </c>
      <c r="Y852" s="381">
        <v>0</v>
      </c>
      <c r="Z852" s="381">
        <v>0</v>
      </c>
      <c r="AA852" s="381">
        <v>0</v>
      </c>
      <c r="AB852" s="381">
        <v>0</v>
      </c>
      <c r="AC852" s="382">
        <v>0.12916666666666668</v>
      </c>
      <c r="AD852" s="382">
        <v>0</v>
      </c>
      <c r="AE852" s="381" t="s">
        <v>444</v>
      </c>
    </row>
    <row r="853" spans="1:31" ht="15" customHeight="1" x14ac:dyDescent="0.25">
      <c r="A853" s="20" t="s">
        <v>156</v>
      </c>
      <c r="B853" s="20" t="s">
        <v>939</v>
      </c>
      <c r="C853" s="20" t="s">
        <v>940</v>
      </c>
      <c r="D853" s="378" t="s">
        <v>1285</v>
      </c>
      <c r="E853" s="384">
        <v>44613</v>
      </c>
      <c r="F853" s="384">
        <v>46439</v>
      </c>
      <c r="G853" s="378" t="s">
        <v>439</v>
      </c>
      <c r="H853" s="20" t="s">
        <v>455</v>
      </c>
      <c r="I853" s="378" t="s">
        <v>162</v>
      </c>
      <c r="J853" s="20" t="s">
        <v>163</v>
      </c>
      <c r="K853" s="378" t="s">
        <v>476</v>
      </c>
      <c r="L853" s="378" t="s">
        <v>165</v>
      </c>
      <c r="M853" s="380">
        <v>2400</v>
      </c>
      <c r="N853" s="380" t="s">
        <v>443</v>
      </c>
      <c r="O853" s="380" t="s">
        <v>443</v>
      </c>
      <c r="P853" s="380" t="s">
        <v>443</v>
      </c>
      <c r="Q853" s="381">
        <v>243</v>
      </c>
      <c r="R853" s="381">
        <v>0</v>
      </c>
      <c r="S853" s="381">
        <v>0</v>
      </c>
      <c r="T853" s="381">
        <v>0</v>
      </c>
      <c r="U853" s="381">
        <v>0</v>
      </c>
      <c r="V853" s="382">
        <v>243</v>
      </c>
      <c r="W853" s="382">
        <v>0</v>
      </c>
      <c r="X853" s="381">
        <v>0.10125000000000001</v>
      </c>
      <c r="Y853" s="381">
        <v>0</v>
      </c>
      <c r="Z853" s="381">
        <v>0</v>
      </c>
      <c r="AA853" s="381">
        <v>0</v>
      </c>
      <c r="AB853" s="381">
        <v>0</v>
      </c>
      <c r="AC853" s="382">
        <v>0.10125000000000001</v>
      </c>
      <c r="AD853" s="382">
        <v>0</v>
      </c>
      <c r="AE853" s="381" t="s">
        <v>444</v>
      </c>
    </row>
    <row r="854" spans="1:31" ht="15" customHeight="1" x14ac:dyDescent="0.25">
      <c r="A854" s="20" t="s">
        <v>156</v>
      </c>
      <c r="B854" s="20" t="s">
        <v>939</v>
      </c>
      <c r="C854" s="20" t="s">
        <v>940</v>
      </c>
      <c r="D854" s="378" t="s">
        <v>1286</v>
      </c>
      <c r="E854" s="384">
        <v>44613</v>
      </c>
      <c r="F854" s="384">
        <v>46439</v>
      </c>
      <c r="G854" s="378" t="s">
        <v>439</v>
      </c>
      <c r="H854" s="20" t="s">
        <v>455</v>
      </c>
      <c r="I854" s="378" t="s">
        <v>162</v>
      </c>
      <c r="J854" s="20" t="s">
        <v>163</v>
      </c>
      <c r="K854" s="378" t="s">
        <v>476</v>
      </c>
      <c r="L854" s="378" t="s">
        <v>165</v>
      </c>
      <c r="M854" s="380">
        <v>2400</v>
      </c>
      <c r="N854" s="380" t="s">
        <v>443</v>
      </c>
      <c r="O854" s="380" t="s">
        <v>443</v>
      </c>
      <c r="P854" s="380" t="s">
        <v>443</v>
      </c>
      <c r="Q854" s="381">
        <v>306</v>
      </c>
      <c r="R854" s="381">
        <v>0</v>
      </c>
      <c r="S854" s="381">
        <v>0</v>
      </c>
      <c r="T854" s="381">
        <v>0</v>
      </c>
      <c r="U854" s="381">
        <v>0</v>
      </c>
      <c r="V854" s="382">
        <v>306</v>
      </c>
      <c r="W854" s="382">
        <v>0</v>
      </c>
      <c r="X854" s="381">
        <v>0.1275</v>
      </c>
      <c r="Y854" s="381">
        <v>0</v>
      </c>
      <c r="Z854" s="381">
        <v>0</v>
      </c>
      <c r="AA854" s="381">
        <v>0</v>
      </c>
      <c r="AB854" s="381">
        <v>0</v>
      </c>
      <c r="AC854" s="382">
        <v>0.1275</v>
      </c>
      <c r="AD854" s="382">
        <v>0</v>
      </c>
      <c r="AE854" s="381" t="s">
        <v>444</v>
      </c>
    </row>
    <row r="855" spans="1:31" ht="15" customHeight="1" x14ac:dyDescent="0.25">
      <c r="A855" s="20" t="s">
        <v>156</v>
      </c>
      <c r="B855" s="20" t="s">
        <v>939</v>
      </c>
      <c r="C855" s="20" t="s">
        <v>940</v>
      </c>
      <c r="D855" s="378" t="s">
        <v>1287</v>
      </c>
      <c r="E855" s="384">
        <v>44613</v>
      </c>
      <c r="F855" s="384">
        <v>46439</v>
      </c>
      <c r="G855" s="378" t="s">
        <v>439</v>
      </c>
      <c r="H855" s="20" t="s">
        <v>455</v>
      </c>
      <c r="I855" s="378" t="s">
        <v>162</v>
      </c>
      <c r="J855" s="20" t="s">
        <v>163</v>
      </c>
      <c r="K855" s="378" t="s">
        <v>476</v>
      </c>
      <c r="L855" s="378" t="s">
        <v>165</v>
      </c>
      <c r="M855" s="380">
        <v>2400</v>
      </c>
      <c r="N855" s="380" t="s">
        <v>443</v>
      </c>
      <c r="O855" s="380" t="s">
        <v>443</v>
      </c>
      <c r="P855" s="380" t="s">
        <v>443</v>
      </c>
      <c r="Q855" s="381">
        <v>418</v>
      </c>
      <c r="R855" s="381">
        <v>0</v>
      </c>
      <c r="S855" s="381">
        <v>0</v>
      </c>
      <c r="T855" s="381">
        <v>0</v>
      </c>
      <c r="U855" s="381">
        <v>0</v>
      </c>
      <c r="V855" s="382">
        <v>418</v>
      </c>
      <c r="W855" s="382">
        <v>0</v>
      </c>
      <c r="X855" s="381">
        <v>0.17416666666666666</v>
      </c>
      <c r="Y855" s="381">
        <v>0</v>
      </c>
      <c r="Z855" s="381">
        <v>0</v>
      </c>
      <c r="AA855" s="381">
        <v>0</v>
      </c>
      <c r="AB855" s="381">
        <v>0</v>
      </c>
      <c r="AC855" s="382">
        <v>0.17416666666666666</v>
      </c>
      <c r="AD855" s="382">
        <v>0</v>
      </c>
      <c r="AE855" s="381" t="s">
        <v>444</v>
      </c>
    </row>
    <row r="856" spans="1:31" ht="15" customHeight="1" x14ac:dyDescent="0.25">
      <c r="A856" s="20" t="s">
        <v>156</v>
      </c>
      <c r="B856" s="20" t="s">
        <v>939</v>
      </c>
      <c r="C856" s="20" t="s">
        <v>940</v>
      </c>
      <c r="D856" s="378" t="s">
        <v>1276</v>
      </c>
      <c r="E856" s="384">
        <v>44613</v>
      </c>
      <c r="F856" s="384">
        <v>46439</v>
      </c>
      <c r="G856" s="378" t="s">
        <v>439</v>
      </c>
      <c r="H856" s="20" t="s">
        <v>455</v>
      </c>
      <c r="I856" s="378" t="s">
        <v>162</v>
      </c>
      <c r="J856" s="20" t="s">
        <v>163</v>
      </c>
      <c r="K856" s="378" t="s">
        <v>476</v>
      </c>
      <c r="L856" s="378" t="s">
        <v>165</v>
      </c>
      <c r="M856" s="380">
        <v>2400</v>
      </c>
      <c r="N856" s="380" t="s">
        <v>443</v>
      </c>
      <c r="O856" s="380" t="s">
        <v>443</v>
      </c>
      <c r="P856" s="380" t="s">
        <v>443</v>
      </c>
      <c r="Q856" s="381">
        <v>207</v>
      </c>
      <c r="R856" s="381">
        <v>0</v>
      </c>
      <c r="S856" s="381">
        <v>0</v>
      </c>
      <c r="T856" s="381">
        <v>0</v>
      </c>
      <c r="U856" s="381">
        <v>0</v>
      </c>
      <c r="V856" s="382">
        <v>207</v>
      </c>
      <c r="W856" s="382">
        <v>0</v>
      </c>
      <c r="X856" s="381">
        <v>8.6249999999999993E-2</v>
      </c>
      <c r="Y856" s="381">
        <v>0</v>
      </c>
      <c r="Z856" s="381">
        <v>0</v>
      </c>
      <c r="AA856" s="381">
        <v>0</v>
      </c>
      <c r="AB856" s="381">
        <v>0</v>
      </c>
      <c r="AC856" s="382">
        <v>8.6249999999999993E-2</v>
      </c>
      <c r="AD856" s="382">
        <v>0</v>
      </c>
      <c r="AE856" s="381" t="s">
        <v>444</v>
      </c>
    </row>
    <row r="857" spans="1:31" ht="15" customHeight="1" x14ac:dyDescent="0.25">
      <c r="A857" s="20" t="s">
        <v>156</v>
      </c>
      <c r="B857" s="20" t="s">
        <v>939</v>
      </c>
      <c r="C857" s="20" t="s">
        <v>940</v>
      </c>
      <c r="D857" s="378" t="s">
        <v>1277</v>
      </c>
      <c r="E857" s="384">
        <v>44613</v>
      </c>
      <c r="F857" s="384">
        <v>46439</v>
      </c>
      <c r="G857" s="378" t="s">
        <v>439</v>
      </c>
      <c r="H857" s="20" t="s">
        <v>455</v>
      </c>
      <c r="I857" s="378" t="s">
        <v>162</v>
      </c>
      <c r="J857" s="20" t="s">
        <v>163</v>
      </c>
      <c r="K857" s="378" t="s">
        <v>476</v>
      </c>
      <c r="L857" s="378" t="s">
        <v>165</v>
      </c>
      <c r="M857" s="380">
        <v>2400</v>
      </c>
      <c r="N857" s="380" t="s">
        <v>443</v>
      </c>
      <c r="O857" s="380" t="s">
        <v>443</v>
      </c>
      <c r="P857" s="380" t="s">
        <v>443</v>
      </c>
      <c r="Q857" s="381">
        <v>232</v>
      </c>
      <c r="R857" s="381">
        <v>0</v>
      </c>
      <c r="S857" s="381">
        <v>0</v>
      </c>
      <c r="T857" s="381">
        <v>0</v>
      </c>
      <c r="U857" s="381">
        <v>0</v>
      </c>
      <c r="V857" s="382">
        <v>232</v>
      </c>
      <c r="W857" s="382">
        <v>0</v>
      </c>
      <c r="X857" s="381">
        <v>9.6666666666666665E-2</v>
      </c>
      <c r="Y857" s="381">
        <v>0</v>
      </c>
      <c r="Z857" s="381">
        <v>0</v>
      </c>
      <c r="AA857" s="381">
        <v>0</v>
      </c>
      <c r="AB857" s="381">
        <v>0</v>
      </c>
      <c r="AC857" s="382">
        <v>9.6666666666666665E-2</v>
      </c>
      <c r="AD857" s="382">
        <v>0</v>
      </c>
      <c r="AE857" s="381" t="s">
        <v>444</v>
      </c>
    </row>
    <row r="858" spans="1:31" ht="15" customHeight="1" x14ac:dyDescent="0.25">
      <c r="A858" s="20" t="s">
        <v>156</v>
      </c>
      <c r="B858" s="20" t="s">
        <v>939</v>
      </c>
      <c r="C858" s="20" t="s">
        <v>940</v>
      </c>
      <c r="D858" s="378" t="s">
        <v>1278</v>
      </c>
      <c r="E858" s="384">
        <v>44613</v>
      </c>
      <c r="F858" s="384">
        <v>46439</v>
      </c>
      <c r="G858" s="378" t="s">
        <v>439</v>
      </c>
      <c r="H858" s="20" t="s">
        <v>455</v>
      </c>
      <c r="I858" s="378" t="s">
        <v>162</v>
      </c>
      <c r="J858" s="20" t="s">
        <v>163</v>
      </c>
      <c r="K858" s="378" t="s">
        <v>476</v>
      </c>
      <c r="L858" s="378" t="s">
        <v>165</v>
      </c>
      <c r="M858" s="380">
        <v>2400</v>
      </c>
      <c r="N858" s="380" t="s">
        <v>443</v>
      </c>
      <c r="O858" s="380" t="s">
        <v>443</v>
      </c>
      <c r="P858" s="380" t="s">
        <v>443</v>
      </c>
      <c r="Q858" s="381">
        <v>282</v>
      </c>
      <c r="R858" s="381">
        <v>0</v>
      </c>
      <c r="S858" s="381">
        <v>0</v>
      </c>
      <c r="T858" s="381">
        <v>0</v>
      </c>
      <c r="U858" s="381">
        <v>0</v>
      </c>
      <c r="V858" s="382">
        <v>282</v>
      </c>
      <c r="W858" s="382">
        <v>0</v>
      </c>
      <c r="X858" s="381">
        <v>0.11749999999999999</v>
      </c>
      <c r="Y858" s="381">
        <v>0</v>
      </c>
      <c r="Z858" s="381">
        <v>0</v>
      </c>
      <c r="AA858" s="381">
        <v>0</v>
      </c>
      <c r="AB858" s="381">
        <v>0</v>
      </c>
      <c r="AC858" s="382">
        <v>0.11749999999999999</v>
      </c>
      <c r="AD858" s="382">
        <v>0</v>
      </c>
      <c r="AE858" s="381" t="s">
        <v>444</v>
      </c>
    </row>
    <row r="859" spans="1:31" ht="15" customHeight="1" x14ac:dyDescent="0.25">
      <c r="A859" s="20" t="s">
        <v>156</v>
      </c>
      <c r="B859" s="20" t="s">
        <v>939</v>
      </c>
      <c r="C859" s="20" t="s">
        <v>940</v>
      </c>
      <c r="D859" s="378" t="s">
        <v>1279</v>
      </c>
      <c r="E859" s="384">
        <v>44613</v>
      </c>
      <c r="F859" s="384">
        <v>46439</v>
      </c>
      <c r="G859" s="378" t="s">
        <v>439</v>
      </c>
      <c r="H859" s="20" t="s">
        <v>455</v>
      </c>
      <c r="I859" s="378" t="s">
        <v>162</v>
      </c>
      <c r="J859" s="20" t="s">
        <v>163</v>
      </c>
      <c r="K859" s="378" t="s">
        <v>476</v>
      </c>
      <c r="L859" s="378" t="s">
        <v>165</v>
      </c>
      <c r="M859" s="380">
        <v>2400</v>
      </c>
      <c r="N859" s="380" t="s">
        <v>443</v>
      </c>
      <c r="O859" s="380" t="s">
        <v>443</v>
      </c>
      <c r="P859" s="380" t="s">
        <v>443</v>
      </c>
      <c r="Q859" s="381">
        <v>315</v>
      </c>
      <c r="R859" s="381">
        <v>0</v>
      </c>
      <c r="S859" s="381">
        <v>0</v>
      </c>
      <c r="T859" s="381">
        <v>0</v>
      </c>
      <c r="U859" s="381">
        <v>0</v>
      </c>
      <c r="V859" s="382">
        <v>315</v>
      </c>
      <c r="W859" s="382">
        <v>0</v>
      </c>
      <c r="X859" s="381">
        <v>0.13125000000000001</v>
      </c>
      <c r="Y859" s="381">
        <v>0</v>
      </c>
      <c r="Z859" s="381">
        <v>0</v>
      </c>
      <c r="AA859" s="381">
        <v>0</v>
      </c>
      <c r="AB859" s="381">
        <v>0</v>
      </c>
      <c r="AC859" s="382">
        <v>0.13125000000000001</v>
      </c>
      <c r="AD859" s="382">
        <v>0</v>
      </c>
      <c r="AE859" s="381" t="s">
        <v>444</v>
      </c>
    </row>
    <row r="860" spans="1:31" ht="15" customHeight="1" x14ac:dyDescent="0.25">
      <c r="A860" s="20" t="s">
        <v>156</v>
      </c>
      <c r="B860" s="20" t="s">
        <v>939</v>
      </c>
      <c r="C860" s="20" t="s">
        <v>940</v>
      </c>
      <c r="D860" s="378" t="s">
        <v>1280</v>
      </c>
      <c r="E860" s="384">
        <v>44613</v>
      </c>
      <c r="F860" s="384">
        <v>46439</v>
      </c>
      <c r="G860" s="378" t="s">
        <v>439</v>
      </c>
      <c r="H860" s="20" t="s">
        <v>455</v>
      </c>
      <c r="I860" s="378" t="s">
        <v>162</v>
      </c>
      <c r="J860" s="20" t="s">
        <v>163</v>
      </c>
      <c r="K860" s="378" t="s">
        <v>476</v>
      </c>
      <c r="L860" s="378" t="s">
        <v>165</v>
      </c>
      <c r="M860" s="380">
        <v>2400</v>
      </c>
      <c r="N860" s="380" t="s">
        <v>443</v>
      </c>
      <c r="O860" s="380" t="s">
        <v>443</v>
      </c>
      <c r="P860" s="380" t="s">
        <v>443</v>
      </c>
      <c r="Q860" s="381">
        <v>241</v>
      </c>
      <c r="R860" s="381">
        <v>0</v>
      </c>
      <c r="S860" s="381">
        <v>0</v>
      </c>
      <c r="T860" s="381">
        <v>0</v>
      </c>
      <c r="U860" s="381">
        <v>0</v>
      </c>
      <c r="V860" s="382">
        <v>241</v>
      </c>
      <c r="W860" s="382">
        <v>0</v>
      </c>
      <c r="X860" s="381">
        <v>0.10041666666666667</v>
      </c>
      <c r="Y860" s="381">
        <v>0</v>
      </c>
      <c r="Z860" s="381">
        <v>0</v>
      </c>
      <c r="AA860" s="381">
        <v>0</v>
      </c>
      <c r="AB860" s="381">
        <v>0</v>
      </c>
      <c r="AC860" s="382">
        <v>0.10041666666666667</v>
      </c>
      <c r="AD860" s="382">
        <v>0</v>
      </c>
      <c r="AE860" s="381" t="s">
        <v>444</v>
      </c>
    </row>
    <row r="861" spans="1:31" ht="15" customHeight="1" x14ac:dyDescent="0.25">
      <c r="A861" s="20" t="s">
        <v>156</v>
      </c>
      <c r="B861" s="20" t="s">
        <v>939</v>
      </c>
      <c r="C861" s="20" t="s">
        <v>940</v>
      </c>
      <c r="D861" s="378" t="s">
        <v>1281</v>
      </c>
      <c r="E861" s="384">
        <v>44613</v>
      </c>
      <c r="F861" s="384">
        <v>46439</v>
      </c>
      <c r="G861" s="378" t="s">
        <v>439</v>
      </c>
      <c r="H861" s="20" t="s">
        <v>455</v>
      </c>
      <c r="I861" s="378" t="s">
        <v>162</v>
      </c>
      <c r="J861" s="20" t="s">
        <v>163</v>
      </c>
      <c r="K861" s="378" t="s">
        <v>476</v>
      </c>
      <c r="L861" s="378" t="s">
        <v>165</v>
      </c>
      <c r="M861" s="380">
        <v>2400</v>
      </c>
      <c r="N861" s="380" t="s">
        <v>443</v>
      </c>
      <c r="O861" s="380" t="s">
        <v>443</v>
      </c>
      <c r="P861" s="380" t="s">
        <v>443</v>
      </c>
      <c r="Q861" s="381">
        <v>327</v>
      </c>
      <c r="R861" s="381">
        <v>0</v>
      </c>
      <c r="S861" s="381">
        <v>0</v>
      </c>
      <c r="T861" s="381">
        <v>0</v>
      </c>
      <c r="U861" s="381">
        <v>0</v>
      </c>
      <c r="V861" s="382">
        <v>327</v>
      </c>
      <c r="W861" s="382">
        <v>0</v>
      </c>
      <c r="X861" s="381">
        <v>0.13625000000000001</v>
      </c>
      <c r="Y861" s="381">
        <v>0</v>
      </c>
      <c r="Z861" s="381">
        <v>0</v>
      </c>
      <c r="AA861" s="381">
        <v>0</v>
      </c>
      <c r="AB861" s="381">
        <v>0</v>
      </c>
      <c r="AC861" s="382">
        <v>0.13625000000000001</v>
      </c>
      <c r="AD861" s="382">
        <v>0</v>
      </c>
      <c r="AE861" s="381" t="s">
        <v>444</v>
      </c>
    </row>
    <row r="862" spans="1:31" ht="15" customHeight="1" x14ac:dyDescent="0.25">
      <c r="A862" s="20" t="s">
        <v>156</v>
      </c>
      <c r="B862" s="20" t="s">
        <v>939</v>
      </c>
      <c r="C862" s="20" t="s">
        <v>940</v>
      </c>
      <c r="D862" s="378" t="s">
        <v>1282</v>
      </c>
      <c r="E862" s="384">
        <v>44613</v>
      </c>
      <c r="F862" s="384">
        <v>46439</v>
      </c>
      <c r="G862" s="378" t="s">
        <v>439</v>
      </c>
      <c r="H862" s="20" t="s">
        <v>455</v>
      </c>
      <c r="I862" s="378" t="s">
        <v>162</v>
      </c>
      <c r="J862" s="20" t="s">
        <v>163</v>
      </c>
      <c r="K862" s="378" t="s">
        <v>476</v>
      </c>
      <c r="L862" s="378" t="s">
        <v>165</v>
      </c>
      <c r="M862" s="380">
        <v>2400</v>
      </c>
      <c r="N862" s="380" t="s">
        <v>443</v>
      </c>
      <c r="O862" s="380" t="s">
        <v>443</v>
      </c>
      <c r="P862" s="380" t="s">
        <v>443</v>
      </c>
      <c r="Q862" s="381">
        <v>305</v>
      </c>
      <c r="R862" s="381">
        <v>0</v>
      </c>
      <c r="S862" s="381">
        <v>0</v>
      </c>
      <c r="T862" s="381">
        <v>0</v>
      </c>
      <c r="U862" s="381">
        <v>0</v>
      </c>
      <c r="V862" s="382">
        <v>305</v>
      </c>
      <c r="W862" s="382">
        <v>0</v>
      </c>
      <c r="X862" s="381">
        <v>0.12708333333333333</v>
      </c>
      <c r="Y862" s="381">
        <v>0</v>
      </c>
      <c r="Z862" s="381">
        <v>0</v>
      </c>
      <c r="AA862" s="381">
        <v>0</v>
      </c>
      <c r="AB862" s="381">
        <v>0</v>
      </c>
      <c r="AC862" s="382">
        <v>0.12708333333333333</v>
      </c>
      <c r="AD862" s="382">
        <v>0</v>
      </c>
      <c r="AE862" s="381" t="s">
        <v>444</v>
      </c>
    </row>
    <row r="863" spans="1:31" ht="15" customHeight="1" x14ac:dyDescent="0.25">
      <c r="A863" s="20" t="s">
        <v>156</v>
      </c>
      <c r="B863" s="20" t="s">
        <v>939</v>
      </c>
      <c r="C863" s="20" t="s">
        <v>940</v>
      </c>
      <c r="D863" s="378" t="s">
        <v>1283</v>
      </c>
      <c r="E863" s="384">
        <v>44613</v>
      </c>
      <c r="F863" s="384">
        <v>46439</v>
      </c>
      <c r="G863" s="378" t="s">
        <v>439</v>
      </c>
      <c r="H863" s="20" t="s">
        <v>455</v>
      </c>
      <c r="I863" s="378" t="s">
        <v>162</v>
      </c>
      <c r="J863" s="20" t="s">
        <v>163</v>
      </c>
      <c r="K863" s="378" t="s">
        <v>476</v>
      </c>
      <c r="L863" s="378" t="s">
        <v>165</v>
      </c>
      <c r="M863" s="380">
        <v>2400</v>
      </c>
      <c r="N863" s="380" t="s">
        <v>443</v>
      </c>
      <c r="O863" s="380" t="s">
        <v>443</v>
      </c>
      <c r="P863" s="380" t="s">
        <v>443</v>
      </c>
      <c r="Q863" s="381">
        <v>292</v>
      </c>
      <c r="R863" s="381">
        <v>0</v>
      </c>
      <c r="S863" s="381">
        <v>0</v>
      </c>
      <c r="T863" s="381">
        <v>0</v>
      </c>
      <c r="U863" s="381">
        <v>0</v>
      </c>
      <c r="V863" s="382">
        <v>292</v>
      </c>
      <c r="W863" s="382">
        <v>0</v>
      </c>
      <c r="X863" s="381">
        <v>0.12166666666666667</v>
      </c>
      <c r="Y863" s="381">
        <v>0</v>
      </c>
      <c r="Z863" s="381">
        <v>0</v>
      </c>
      <c r="AA863" s="381">
        <v>0</v>
      </c>
      <c r="AB863" s="381">
        <v>0</v>
      </c>
      <c r="AC863" s="382">
        <v>0.12166666666666667</v>
      </c>
      <c r="AD863" s="382">
        <v>0</v>
      </c>
      <c r="AE863" s="381" t="s">
        <v>444</v>
      </c>
    </row>
    <row r="864" spans="1:31" ht="15" customHeight="1" x14ac:dyDescent="0.25">
      <c r="A864" s="20" t="s">
        <v>156</v>
      </c>
      <c r="B864" s="20" t="s">
        <v>939</v>
      </c>
      <c r="C864" s="20" t="s">
        <v>940</v>
      </c>
      <c r="D864" s="378" t="s">
        <v>1284</v>
      </c>
      <c r="E864" s="384">
        <v>44613</v>
      </c>
      <c r="F864" s="384">
        <v>46439</v>
      </c>
      <c r="G864" s="378" t="s">
        <v>439</v>
      </c>
      <c r="H864" s="20" t="s">
        <v>455</v>
      </c>
      <c r="I864" s="378" t="s">
        <v>162</v>
      </c>
      <c r="J864" s="20" t="s">
        <v>163</v>
      </c>
      <c r="K864" s="378" t="s">
        <v>476</v>
      </c>
      <c r="L864" s="378" t="s">
        <v>165</v>
      </c>
      <c r="M864" s="380">
        <v>2400</v>
      </c>
      <c r="N864" s="380" t="s">
        <v>443</v>
      </c>
      <c r="O864" s="380" t="s">
        <v>443</v>
      </c>
      <c r="P864" s="380" t="s">
        <v>443</v>
      </c>
      <c r="Q864" s="381">
        <v>310</v>
      </c>
      <c r="R864" s="381">
        <v>0</v>
      </c>
      <c r="S864" s="381">
        <v>0</v>
      </c>
      <c r="T864" s="381">
        <v>0</v>
      </c>
      <c r="U864" s="381">
        <v>0</v>
      </c>
      <c r="V864" s="382">
        <v>310</v>
      </c>
      <c r="W864" s="382">
        <v>0</v>
      </c>
      <c r="X864" s="381">
        <v>0.12916666666666668</v>
      </c>
      <c r="Y864" s="381">
        <v>0</v>
      </c>
      <c r="Z864" s="381">
        <v>0</v>
      </c>
      <c r="AA864" s="381">
        <v>0</v>
      </c>
      <c r="AB864" s="381">
        <v>0</v>
      </c>
      <c r="AC864" s="382">
        <v>0.12916666666666668</v>
      </c>
      <c r="AD864" s="382">
        <v>0</v>
      </c>
      <c r="AE864" s="381" t="s">
        <v>444</v>
      </c>
    </row>
    <row r="865" spans="1:31" ht="15" customHeight="1" x14ac:dyDescent="0.25">
      <c r="A865" s="20" t="s">
        <v>156</v>
      </c>
      <c r="B865" s="20" t="s">
        <v>939</v>
      </c>
      <c r="C865" s="20" t="s">
        <v>940</v>
      </c>
      <c r="D865" s="378" t="s">
        <v>1285</v>
      </c>
      <c r="E865" s="384">
        <v>44613</v>
      </c>
      <c r="F865" s="384">
        <v>46439</v>
      </c>
      <c r="G865" s="378" t="s">
        <v>439</v>
      </c>
      <c r="H865" s="20" t="s">
        <v>455</v>
      </c>
      <c r="I865" s="378" t="s">
        <v>162</v>
      </c>
      <c r="J865" s="20" t="s">
        <v>163</v>
      </c>
      <c r="K865" s="378" t="s">
        <v>476</v>
      </c>
      <c r="L865" s="378" t="s">
        <v>165</v>
      </c>
      <c r="M865" s="380">
        <v>2400</v>
      </c>
      <c r="N865" s="380" t="s">
        <v>443</v>
      </c>
      <c r="O865" s="380" t="s">
        <v>443</v>
      </c>
      <c r="P865" s="380" t="s">
        <v>443</v>
      </c>
      <c r="Q865" s="381">
        <v>243</v>
      </c>
      <c r="R865" s="381">
        <v>0</v>
      </c>
      <c r="S865" s="381">
        <v>0</v>
      </c>
      <c r="T865" s="381">
        <v>0</v>
      </c>
      <c r="U865" s="381">
        <v>0</v>
      </c>
      <c r="V865" s="382">
        <v>243</v>
      </c>
      <c r="W865" s="382">
        <v>0</v>
      </c>
      <c r="X865" s="381">
        <v>0.10125000000000001</v>
      </c>
      <c r="Y865" s="381">
        <v>0</v>
      </c>
      <c r="Z865" s="381">
        <v>0</v>
      </c>
      <c r="AA865" s="381">
        <v>0</v>
      </c>
      <c r="AB865" s="381">
        <v>0</v>
      </c>
      <c r="AC865" s="382">
        <v>0.10125000000000001</v>
      </c>
      <c r="AD865" s="382">
        <v>0</v>
      </c>
      <c r="AE865" s="381" t="s">
        <v>444</v>
      </c>
    </row>
    <row r="866" spans="1:31" ht="15" customHeight="1" x14ac:dyDescent="0.25">
      <c r="A866" s="20" t="s">
        <v>156</v>
      </c>
      <c r="B866" s="20" t="s">
        <v>939</v>
      </c>
      <c r="C866" s="20" t="s">
        <v>940</v>
      </c>
      <c r="D866" s="378" t="s">
        <v>1286</v>
      </c>
      <c r="E866" s="384">
        <v>44613</v>
      </c>
      <c r="F866" s="384">
        <v>46439</v>
      </c>
      <c r="G866" s="378" t="s">
        <v>439</v>
      </c>
      <c r="H866" s="20" t="s">
        <v>455</v>
      </c>
      <c r="I866" s="378" t="s">
        <v>162</v>
      </c>
      <c r="J866" s="20" t="s">
        <v>163</v>
      </c>
      <c r="K866" s="378" t="s">
        <v>476</v>
      </c>
      <c r="L866" s="378" t="s">
        <v>165</v>
      </c>
      <c r="M866" s="380">
        <v>2400</v>
      </c>
      <c r="N866" s="380" t="s">
        <v>443</v>
      </c>
      <c r="O866" s="380" t="s">
        <v>443</v>
      </c>
      <c r="P866" s="380" t="s">
        <v>443</v>
      </c>
      <c r="Q866" s="381">
        <v>306</v>
      </c>
      <c r="R866" s="381">
        <v>0</v>
      </c>
      <c r="S866" s="381">
        <v>0</v>
      </c>
      <c r="T866" s="381">
        <v>0</v>
      </c>
      <c r="U866" s="381">
        <v>0</v>
      </c>
      <c r="V866" s="382">
        <v>306</v>
      </c>
      <c r="W866" s="382">
        <v>0</v>
      </c>
      <c r="X866" s="381">
        <v>0.1275</v>
      </c>
      <c r="Y866" s="381">
        <v>0</v>
      </c>
      <c r="Z866" s="381">
        <v>0</v>
      </c>
      <c r="AA866" s="381">
        <v>0</v>
      </c>
      <c r="AB866" s="381">
        <v>0</v>
      </c>
      <c r="AC866" s="382">
        <v>0.1275</v>
      </c>
      <c r="AD866" s="382">
        <v>0</v>
      </c>
      <c r="AE866" s="381" t="s">
        <v>444</v>
      </c>
    </row>
    <row r="867" spans="1:31" ht="15" customHeight="1" x14ac:dyDescent="0.25">
      <c r="A867" s="20" t="s">
        <v>156</v>
      </c>
      <c r="B867" s="20" t="s">
        <v>939</v>
      </c>
      <c r="C867" s="20" t="s">
        <v>940</v>
      </c>
      <c r="D867" s="378" t="s">
        <v>1287</v>
      </c>
      <c r="E867" s="384">
        <v>44613</v>
      </c>
      <c r="F867" s="384">
        <v>46439</v>
      </c>
      <c r="G867" s="378" t="s">
        <v>439</v>
      </c>
      <c r="H867" s="20" t="s">
        <v>455</v>
      </c>
      <c r="I867" s="378" t="s">
        <v>162</v>
      </c>
      <c r="J867" s="20" t="s">
        <v>163</v>
      </c>
      <c r="K867" s="378" t="s">
        <v>476</v>
      </c>
      <c r="L867" s="378" t="s">
        <v>165</v>
      </c>
      <c r="M867" s="380">
        <v>2400</v>
      </c>
      <c r="N867" s="380" t="s">
        <v>443</v>
      </c>
      <c r="O867" s="380" t="s">
        <v>443</v>
      </c>
      <c r="P867" s="380" t="s">
        <v>443</v>
      </c>
      <c r="Q867" s="381">
        <v>418</v>
      </c>
      <c r="R867" s="381">
        <v>0</v>
      </c>
      <c r="S867" s="381">
        <v>0</v>
      </c>
      <c r="T867" s="381">
        <v>0</v>
      </c>
      <c r="U867" s="381">
        <v>0</v>
      </c>
      <c r="V867" s="382">
        <v>418</v>
      </c>
      <c r="W867" s="382">
        <v>0</v>
      </c>
      <c r="X867" s="381">
        <v>0.17416666666666666</v>
      </c>
      <c r="Y867" s="381">
        <v>0</v>
      </c>
      <c r="Z867" s="381">
        <v>0</v>
      </c>
      <c r="AA867" s="381">
        <v>0</v>
      </c>
      <c r="AB867" s="381">
        <v>0</v>
      </c>
      <c r="AC867" s="382">
        <v>0.17416666666666666</v>
      </c>
      <c r="AD867" s="382">
        <v>0</v>
      </c>
      <c r="AE867" s="381" t="s">
        <v>444</v>
      </c>
    </row>
    <row r="868" spans="1:31" ht="15" customHeight="1" x14ac:dyDescent="0.25">
      <c r="A868" s="20" t="s">
        <v>156</v>
      </c>
      <c r="B868" s="20" t="s">
        <v>939</v>
      </c>
      <c r="C868" s="20" t="s">
        <v>940</v>
      </c>
      <c r="D868" s="378" t="s">
        <v>1276</v>
      </c>
      <c r="E868" s="384">
        <v>44613</v>
      </c>
      <c r="F868" s="384">
        <v>46439</v>
      </c>
      <c r="G868" s="378" t="s">
        <v>439</v>
      </c>
      <c r="H868" s="20" t="s">
        <v>455</v>
      </c>
      <c r="I868" s="378" t="s">
        <v>162</v>
      </c>
      <c r="J868" s="20" t="s">
        <v>163</v>
      </c>
      <c r="K868" s="378" t="s">
        <v>476</v>
      </c>
      <c r="L868" s="378" t="s">
        <v>165</v>
      </c>
      <c r="M868" s="380">
        <v>2400</v>
      </c>
      <c r="N868" s="380" t="s">
        <v>443</v>
      </c>
      <c r="O868" s="380" t="s">
        <v>443</v>
      </c>
      <c r="P868" s="380" t="s">
        <v>443</v>
      </c>
      <c r="Q868" s="381">
        <v>207</v>
      </c>
      <c r="R868" s="381">
        <v>0</v>
      </c>
      <c r="S868" s="381">
        <v>0</v>
      </c>
      <c r="T868" s="381">
        <v>0</v>
      </c>
      <c r="U868" s="381">
        <v>0</v>
      </c>
      <c r="V868" s="382">
        <v>207</v>
      </c>
      <c r="W868" s="382">
        <v>0</v>
      </c>
      <c r="X868" s="381">
        <v>8.6249999999999993E-2</v>
      </c>
      <c r="Y868" s="381">
        <v>0</v>
      </c>
      <c r="Z868" s="381">
        <v>0</v>
      </c>
      <c r="AA868" s="381">
        <v>0</v>
      </c>
      <c r="AB868" s="381">
        <v>0</v>
      </c>
      <c r="AC868" s="382">
        <v>8.6249999999999993E-2</v>
      </c>
      <c r="AD868" s="382">
        <v>0</v>
      </c>
      <c r="AE868" s="381" t="s">
        <v>444</v>
      </c>
    </row>
    <row r="869" spans="1:31" ht="15" customHeight="1" x14ac:dyDescent="0.25">
      <c r="A869" s="20" t="s">
        <v>156</v>
      </c>
      <c r="B869" s="20" t="s">
        <v>939</v>
      </c>
      <c r="C869" s="20" t="s">
        <v>940</v>
      </c>
      <c r="D869" s="378" t="s">
        <v>1277</v>
      </c>
      <c r="E869" s="384">
        <v>44613</v>
      </c>
      <c r="F869" s="384">
        <v>46439</v>
      </c>
      <c r="G869" s="378" t="s">
        <v>439</v>
      </c>
      <c r="H869" s="20" t="s">
        <v>455</v>
      </c>
      <c r="I869" s="378" t="s">
        <v>162</v>
      </c>
      <c r="J869" s="20" t="s">
        <v>163</v>
      </c>
      <c r="K869" s="378" t="s">
        <v>476</v>
      </c>
      <c r="L869" s="378" t="s">
        <v>165</v>
      </c>
      <c r="M869" s="380">
        <v>2400</v>
      </c>
      <c r="N869" s="380" t="s">
        <v>443</v>
      </c>
      <c r="O869" s="380" t="s">
        <v>443</v>
      </c>
      <c r="P869" s="380" t="s">
        <v>443</v>
      </c>
      <c r="Q869" s="381">
        <v>232</v>
      </c>
      <c r="R869" s="381">
        <v>0</v>
      </c>
      <c r="S869" s="381">
        <v>0</v>
      </c>
      <c r="T869" s="381">
        <v>0</v>
      </c>
      <c r="U869" s="381">
        <v>0</v>
      </c>
      <c r="V869" s="382">
        <v>232</v>
      </c>
      <c r="W869" s="382">
        <v>0</v>
      </c>
      <c r="X869" s="381">
        <v>9.6666666666666665E-2</v>
      </c>
      <c r="Y869" s="381">
        <v>0</v>
      </c>
      <c r="Z869" s="381">
        <v>0</v>
      </c>
      <c r="AA869" s="381">
        <v>0</v>
      </c>
      <c r="AB869" s="381">
        <v>0</v>
      </c>
      <c r="AC869" s="382">
        <v>9.6666666666666665E-2</v>
      </c>
      <c r="AD869" s="382">
        <v>0</v>
      </c>
      <c r="AE869" s="381" t="s">
        <v>444</v>
      </c>
    </row>
    <row r="870" spans="1:31" ht="15" customHeight="1" x14ac:dyDescent="0.25">
      <c r="A870" s="20" t="s">
        <v>156</v>
      </c>
      <c r="B870" s="20" t="s">
        <v>939</v>
      </c>
      <c r="C870" s="20" t="s">
        <v>940</v>
      </c>
      <c r="D870" s="378" t="s">
        <v>1278</v>
      </c>
      <c r="E870" s="384">
        <v>44613</v>
      </c>
      <c r="F870" s="384">
        <v>46439</v>
      </c>
      <c r="G870" s="378" t="s">
        <v>439</v>
      </c>
      <c r="H870" s="20" t="s">
        <v>455</v>
      </c>
      <c r="I870" s="378" t="s">
        <v>162</v>
      </c>
      <c r="J870" s="20" t="s">
        <v>163</v>
      </c>
      <c r="K870" s="378" t="s">
        <v>476</v>
      </c>
      <c r="L870" s="378" t="s">
        <v>165</v>
      </c>
      <c r="M870" s="380">
        <v>2400</v>
      </c>
      <c r="N870" s="380" t="s">
        <v>443</v>
      </c>
      <c r="O870" s="380" t="s">
        <v>443</v>
      </c>
      <c r="P870" s="380" t="s">
        <v>443</v>
      </c>
      <c r="Q870" s="381">
        <v>282</v>
      </c>
      <c r="R870" s="381">
        <v>0</v>
      </c>
      <c r="S870" s="381">
        <v>0</v>
      </c>
      <c r="T870" s="381">
        <v>0</v>
      </c>
      <c r="U870" s="381">
        <v>0</v>
      </c>
      <c r="V870" s="382">
        <v>282</v>
      </c>
      <c r="W870" s="382">
        <v>0</v>
      </c>
      <c r="X870" s="381">
        <v>0.11749999999999999</v>
      </c>
      <c r="Y870" s="381">
        <v>0</v>
      </c>
      <c r="Z870" s="381">
        <v>0</v>
      </c>
      <c r="AA870" s="381">
        <v>0</v>
      </c>
      <c r="AB870" s="381">
        <v>0</v>
      </c>
      <c r="AC870" s="382">
        <v>0.11749999999999999</v>
      </c>
      <c r="AD870" s="382">
        <v>0</v>
      </c>
      <c r="AE870" s="381" t="s">
        <v>444</v>
      </c>
    </row>
    <row r="871" spans="1:31" ht="15" customHeight="1" x14ac:dyDescent="0.25">
      <c r="A871" s="20" t="s">
        <v>156</v>
      </c>
      <c r="B871" s="20" t="s">
        <v>939</v>
      </c>
      <c r="C871" s="20" t="s">
        <v>940</v>
      </c>
      <c r="D871" s="378" t="s">
        <v>1279</v>
      </c>
      <c r="E871" s="384">
        <v>44613</v>
      </c>
      <c r="F871" s="384">
        <v>46439</v>
      </c>
      <c r="G871" s="378" t="s">
        <v>439</v>
      </c>
      <c r="H871" s="20" t="s">
        <v>455</v>
      </c>
      <c r="I871" s="378" t="s">
        <v>162</v>
      </c>
      <c r="J871" s="20" t="s">
        <v>163</v>
      </c>
      <c r="K871" s="378" t="s">
        <v>476</v>
      </c>
      <c r="L871" s="378" t="s">
        <v>165</v>
      </c>
      <c r="M871" s="380">
        <v>2400</v>
      </c>
      <c r="N871" s="380" t="s">
        <v>443</v>
      </c>
      <c r="O871" s="380" t="s">
        <v>443</v>
      </c>
      <c r="P871" s="380" t="s">
        <v>443</v>
      </c>
      <c r="Q871" s="381">
        <v>315</v>
      </c>
      <c r="R871" s="381">
        <v>0</v>
      </c>
      <c r="S871" s="381">
        <v>0</v>
      </c>
      <c r="T871" s="381">
        <v>0</v>
      </c>
      <c r="U871" s="381">
        <v>0</v>
      </c>
      <c r="V871" s="382">
        <v>315</v>
      </c>
      <c r="W871" s="382">
        <v>0</v>
      </c>
      <c r="X871" s="381">
        <v>0.13125000000000001</v>
      </c>
      <c r="Y871" s="381">
        <v>0</v>
      </c>
      <c r="Z871" s="381">
        <v>0</v>
      </c>
      <c r="AA871" s="381">
        <v>0</v>
      </c>
      <c r="AB871" s="381">
        <v>0</v>
      </c>
      <c r="AC871" s="382">
        <v>0.13125000000000001</v>
      </c>
      <c r="AD871" s="382">
        <v>0</v>
      </c>
      <c r="AE871" s="381" t="s">
        <v>444</v>
      </c>
    </row>
    <row r="872" spans="1:31" ht="15" customHeight="1" x14ac:dyDescent="0.25">
      <c r="A872" s="20" t="s">
        <v>156</v>
      </c>
      <c r="B872" s="20" t="s">
        <v>939</v>
      </c>
      <c r="C872" s="20" t="s">
        <v>940</v>
      </c>
      <c r="D872" s="378" t="s">
        <v>1280</v>
      </c>
      <c r="E872" s="384">
        <v>44613</v>
      </c>
      <c r="F872" s="384">
        <v>46439</v>
      </c>
      <c r="G872" s="378" t="s">
        <v>439</v>
      </c>
      <c r="H872" s="20" t="s">
        <v>455</v>
      </c>
      <c r="I872" s="378" t="s">
        <v>162</v>
      </c>
      <c r="J872" s="20" t="s">
        <v>163</v>
      </c>
      <c r="K872" s="378" t="s">
        <v>476</v>
      </c>
      <c r="L872" s="378" t="s">
        <v>165</v>
      </c>
      <c r="M872" s="380">
        <v>2400</v>
      </c>
      <c r="N872" s="380" t="s">
        <v>443</v>
      </c>
      <c r="O872" s="380" t="s">
        <v>443</v>
      </c>
      <c r="P872" s="380" t="s">
        <v>443</v>
      </c>
      <c r="Q872" s="381">
        <v>241</v>
      </c>
      <c r="R872" s="381">
        <v>0</v>
      </c>
      <c r="S872" s="381">
        <v>0</v>
      </c>
      <c r="T872" s="381">
        <v>0</v>
      </c>
      <c r="U872" s="381">
        <v>0</v>
      </c>
      <c r="V872" s="382">
        <v>241</v>
      </c>
      <c r="W872" s="382">
        <v>0</v>
      </c>
      <c r="X872" s="381">
        <v>0.10041666666666667</v>
      </c>
      <c r="Y872" s="381">
        <v>0</v>
      </c>
      <c r="Z872" s="381">
        <v>0</v>
      </c>
      <c r="AA872" s="381">
        <v>0</v>
      </c>
      <c r="AB872" s="381">
        <v>0</v>
      </c>
      <c r="AC872" s="382">
        <v>0.10041666666666667</v>
      </c>
      <c r="AD872" s="382">
        <v>0</v>
      </c>
      <c r="AE872" s="381" t="s">
        <v>444</v>
      </c>
    </row>
    <row r="873" spans="1:31" ht="15" customHeight="1" x14ac:dyDescent="0.25">
      <c r="A873" s="20" t="s">
        <v>156</v>
      </c>
      <c r="B873" s="20" t="s">
        <v>939</v>
      </c>
      <c r="C873" s="20" t="s">
        <v>940</v>
      </c>
      <c r="D873" s="378" t="s">
        <v>1281</v>
      </c>
      <c r="E873" s="384">
        <v>44613</v>
      </c>
      <c r="F873" s="384">
        <v>46439</v>
      </c>
      <c r="G873" s="378" t="s">
        <v>439</v>
      </c>
      <c r="H873" s="20" t="s">
        <v>455</v>
      </c>
      <c r="I873" s="378" t="s">
        <v>162</v>
      </c>
      <c r="J873" s="20" t="s">
        <v>163</v>
      </c>
      <c r="K873" s="378" t="s">
        <v>476</v>
      </c>
      <c r="L873" s="378" t="s">
        <v>165</v>
      </c>
      <c r="M873" s="380">
        <v>2400</v>
      </c>
      <c r="N873" s="380" t="s">
        <v>443</v>
      </c>
      <c r="O873" s="380" t="s">
        <v>443</v>
      </c>
      <c r="P873" s="380" t="s">
        <v>443</v>
      </c>
      <c r="Q873" s="381">
        <v>327</v>
      </c>
      <c r="R873" s="381">
        <v>0</v>
      </c>
      <c r="S873" s="381">
        <v>0</v>
      </c>
      <c r="T873" s="381">
        <v>0</v>
      </c>
      <c r="U873" s="381">
        <v>0</v>
      </c>
      <c r="V873" s="382">
        <v>327</v>
      </c>
      <c r="W873" s="382">
        <v>0</v>
      </c>
      <c r="X873" s="381">
        <v>0.13625000000000001</v>
      </c>
      <c r="Y873" s="381">
        <v>0</v>
      </c>
      <c r="Z873" s="381">
        <v>0</v>
      </c>
      <c r="AA873" s="381">
        <v>0</v>
      </c>
      <c r="AB873" s="381">
        <v>0</v>
      </c>
      <c r="AC873" s="382">
        <v>0.13625000000000001</v>
      </c>
      <c r="AD873" s="382">
        <v>0</v>
      </c>
      <c r="AE873" s="381" t="s">
        <v>444</v>
      </c>
    </row>
    <row r="874" spans="1:31" ht="15" customHeight="1" x14ac:dyDescent="0.25">
      <c r="A874" s="20" t="s">
        <v>156</v>
      </c>
      <c r="B874" s="20" t="s">
        <v>939</v>
      </c>
      <c r="C874" s="20" t="s">
        <v>940</v>
      </c>
      <c r="D874" s="378" t="s">
        <v>1282</v>
      </c>
      <c r="E874" s="384">
        <v>44613</v>
      </c>
      <c r="F874" s="384">
        <v>46439</v>
      </c>
      <c r="G874" s="378" t="s">
        <v>439</v>
      </c>
      <c r="H874" s="20" t="s">
        <v>455</v>
      </c>
      <c r="I874" s="378" t="s">
        <v>162</v>
      </c>
      <c r="J874" s="20" t="s">
        <v>163</v>
      </c>
      <c r="K874" s="378" t="s">
        <v>476</v>
      </c>
      <c r="L874" s="378" t="s">
        <v>165</v>
      </c>
      <c r="M874" s="380">
        <v>2400</v>
      </c>
      <c r="N874" s="380" t="s">
        <v>443</v>
      </c>
      <c r="O874" s="380" t="s">
        <v>443</v>
      </c>
      <c r="P874" s="380" t="s">
        <v>443</v>
      </c>
      <c r="Q874" s="381">
        <v>305</v>
      </c>
      <c r="R874" s="381">
        <v>0</v>
      </c>
      <c r="S874" s="381">
        <v>0</v>
      </c>
      <c r="T874" s="381">
        <v>0</v>
      </c>
      <c r="U874" s="381">
        <v>0</v>
      </c>
      <c r="V874" s="382">
        <v>305</v>
      </c>
      <c r="W874" s="382">
        <v>0</v>
      </c>
      <c r="X874" s="381">
        <v>0.12708333333333333</v>
      </c>
      <c r="Y874" s="381">
        <v>0</v>
      </c>
      <c r="Z874" s="381">
        <v>0</v>
      </c>
      <c r="AA874" s="381">
        <v>0</v>
      </c>
      <c r="AB874" s="381">
        <v>0</v>
      </c>
      <c r="AC874" s="382">
        <v>0.12708333333333333</v>
      </c>
      <c r="AD874" s="382">
        <v>0</v>
      </c>
      <c r="AE874" s="381" t="s">
        <v>444</v>
      </c>
    </row>
    <row r="875" spans="1:31" ht="15" customHeight="1" x14ac:dyDescent="0.25">
      <c r="A875" s="20" t="s">
        <v>156</v>
      </c>
      <c r="B875" s="20" t="s">
        <v>939</v>
      </c>
      <c r="C875" s="20" t="s">
        <v>940</v>
      </c>
      <c r="D875" s="378" t="s">
        <v>1283</v>
      </c>
      <c r="E875" s="384">
        <v>44613</v>
      </c>
      <c r="F875" s="384">
        <v>46439</v>
      </c>
      <c r="G875" s="378" t="s">
        <v>439</v>
      </c>
      <c r="H875" s="20" t="s">
        <v>455</v>
      </c>
      <c r="I875" s="378" t="s">
        <v>162</v>
      </c>
      <c r="J875" s="20" t="s">
        <v>163</v>
      </c>
      <c r="K875" s="378" t="s">
        <v>476</v>
      </c>
      <c r="L875" s="378" t="s">
        <v>165</v>
      </c>
      <c r="M875" s="380">
        <v>2400</v>
      </c>
      <c r="N875" s="380" t="s">
        <v>443</v>
      </c>
      <c r="O875" s="380" t="s">
        <v>443</v>
      </c>
      <c r="P875" s="380" t="s">
        <v>443</v>
      </c>
      <c r="Q875" s="381">
        <v>292</v>
      </c>
      <c r="R875" s="381">
        <v>0</v>
      </c>
      <c r="S875" s="381">
        <v>0</v>
      </c>
      <c r="T875" s="381">
        <v>0</v>
      </c>
      <c r="U875" s="381">
        <v>0</v>
      </c>
      <c r="V875" s="382">
        <v>292</v>
      </c>
      <c r="W875" s="382">
        <v>0</v>
      </c>
      <c r="X875" s="381">
        <v>0.12166666666666667</v>
      </c>
      <c r="Y875" s="381">
        <v>0</v>
      </c>
      <c r="Z875" s="381">
        <v>0</v>
      </c>
      <c r="AA875" s="381">
        <v>0</v>
      </c>
      <c r="AB875" s="381">
        <v>0</v>
      </c>
      <c r="AC875" s="382">
        <v>0.12166666666666667</v>
      </c>
      <c r="AD875" s="382">
        <v>0</v>
      </c>
      <c r="AE875" s="381" t="s">
        <v>444</v>
      </c>
    </row>
    <row r="876" spans="1:31" ht="15" customHeight="1" x14ac:dyDescent="0.25">
      <c r="A876" s="20" t="s">
        <v>156</v>
      </c>
      <c r="B876" s="20" t="s">
        <v>939</v>
      </c>
      <c r="C876" s="20" t="s">
        <v>940</v>
      </c>
      <c r="D876" s="378" t="s">
        <v>1284</v>
      </c>
      <c r="E876" s="384">
        <v>44613</v>
      </c>
      <c r="F876" s="384">
        <v>46439</v>
      </c>
      <c r="G876" s="378" t="s">
        <v>439</v>
      </c>
      <c r="H876" s="20" t="s">
        <v>455</v>
      </c>
      <c r="I876" s="378" t="s">
        <v>162</v>
      </c>
      <c r="J876" s="20" t="s">
        <v>163</v>
      </c>
      <c r="K876" s="378" t="s">
        <v>476</v>
      </c>
      <c r="L876" s="378" t="s">
        <v>165</v>
      </c>
      <c r="M876" s="380">
        <v>2400</v>
      </c>
      <c r="N876" s="380" t="s">
        <v>443</v>
      </c>
      <c r="O876" s="380" t="s">
        <v>443</v>
      </c>
      <c r="P876" s="380" t="s">
        <v>443</v>
      </c>
      <c r="Q876" s="381">
        <v>310</v>
      </c>
      <c r="R876" s="381">
        <v>0</v>
      </c>
      <c r="S876" s="381">
        <v>0</v>
      </c>
      <c r="T876" s="381">
        <v>0</v>
      </c>
      <c r="U876" s="381">
        <v>0</v>
      </c>
      <c r="V876" s="382">
        <v>310</v>
      </c>
      <c r="W876" s="382">
        <v>0</v>
      </c>
      <c r="X876" s="381">
        <v>0.12916666666666668</v>
      </c>
      <c r="Y876" s="381">
        <v>0</v>
      </c>
      <c r="Z876" s="381">
        <v>0</v>
      </c>
      <c r="AA876" s="381">
        <v>0</v>
      </c>
      <c r="AB876" s="381">
        <v>0</v>
      </c>
      <c r="AC876" s="382">
        <v>0.12916666666666668</v>
      </c>
      <c r="AD876" s="382">
        <v>0</v>
      </c>
      <c r="AE876" s="381" t="s">
        <v>444</v>
      </c>
    </row>
    <row r="877" spans="1:31" ht="15" customHeight="1" x14ac:dyDescent="0.25">
      <c r="A877" s="20" t="s">
        <v>156</v>
      </c>
      <c r="B877" s="20" t="s">
        <v>939</v>
      </c>
      <c r="C877" s="20" t="s">
        <v>940</v>
      </c>
      <c r="D877" s="378" t="s">
        <v>1285</v>
      </c>
      <c r="E877" s="384">
        <v>44613</v>
      </c>
      <c r="F877" s="384">
        <v>46439</v>
      </c>
      <c r="G877" s="378" t="s">
        <v>439</v>
      </c>
      <c r="H877" s="20" t="s">
        <v>455</v>
      </c>
      <c r="I877" s="378" t="s">
        <v>162</v>
      </c>
      <c r="J877" s="20" t="s">
        <v>163</v>
      </c>
      <c r="K877" s="378" t="s">
        <v>476</v>
      </c>
      <c r="L877" s="378" t="s">
        <v>165</v>
      </c>
      <c r="M877" s="380">
        <v>2400</v>
      </c>
      <c r="N877" s="380" t="s">
        <v>443</v>
      </c>
      <c r="O877" s="380" t="s">
        <v>443</v>
      </c>
      <c r="P877" s="380" t="s">
        <v>443</v>
      </c>
      <c r="Q877" s="381">
        <v>243</v>
      </c>
      <c r="R877" s="381">
        <v>0</v>
      </c>
      <c r="S877" s="381">
        <v>0</v>
      </c>
      <c r="T877" s="381">
        <v>0</v>
      </c>
      <c r="U877" s="381">
        <v>0</v>
      </c>
      <c r="V877" s="382">
        <v>243</v>
      </c>
      <c r="W877" s="382">
        <v>0</v>
      </c>
      <c r="X877" s="381">
        <v>0.10125000000000001</v>
      </c>
      <c r="Y877" s="381">
        <v>0</v>
      </c>
      <c r="Z877" s="381">
        <v>0</v>
      </c>
      <c r="AA877" s="381">
        <v>0</v>
      </c>
      <c r="AB877" s="381">
        <v>0</v>
      </c>
      <c r="AC877" s="382">
        <v>0.10125000000000001</v>
      </c>
      <c r="AD877" s="382">
        <v>0</v>
      </c>
      <c r="AE877" s="381" t="s">
        <v>444</v>
      </c>
    </row>
    <row r="878" spans="1:31" ht="15" customHeight="1" x14ac:dyDescent="0.25">
      <c r="A878" s="20" t="s">
        <v>156</v>
      </c>
      <c r="B878" s="20" t="s">
        <v>939</v>
      </c>
      <c r="C878" s="20" t="s">
        <v>940</v>
      </c>
      <c r="D878" s="378" t="s">
        <v>1286</v>
      </c>
      <c r="E878" s="384">
        <v>44613</v>
      </c>
      <c r="F878" s="384">
        <v>46439</v>
      </c>
      <c r="G878" s="378" t="s">
        <v>439</v>
      </c>
      <c r="H878" s="20" t="s">
        <v>455</v>
      </c>
      <c r="I878" s="378" t="s">
        <v>162</v>
      </c>
      <c r="J878" s="20" t="s">
        <v>163</v>
      </c>
      <c r="K878" s="378" t="s">
        <v>476</v>
      </c>
      <c r="L878" s="378" t="s">
        <v>165</v>
      </c>
      <c r="M878" s="380">
        <v>2400</v>
      </c>
      <c r="N878" s="380" t="s">
        <v>443</v>
      </c>
      <c r="O878" s="380" t="s">
        <v>443</v>
      </c>
      <c r="P878" s="380" t="s">
        <v>443</v>
      </c>
      <c r="Q878" s="381">
        <v>306</v>
      </c>
      <c r="R878" s="381">
        <v>0</v>
      </c>
      <c r="S878" s="381">
        <v>0</v>
      </c>
      <c r="T878" s="381">
        <v>0</v>
      </c>
      <c r="U878" s="381">
        <v>0</v>
      </c>
      <c r="V878" s="382">
        <v>306</v>
      </c>
      <c r="W878" s="382">
        <v>0</v>
      </c>
      <c r="X878" s="381">
        <v>0.1275</v>
      </c>
      <c r="Y878" s="381">
        <v>0</v>
      </c>
      <c r="Z878" s="381">
        <v>0</v>
      </c>
      <c r="AA878" s="381">
        <v>0</v>
      </c>
      <c r="AB878" s="381">
        <v>0</v>
      </c>
      <c r="AC878" s="382">
        <v>0.1275</v>
      </c>
      <c r="AD878" s="382">
        <v>0</v>
      </c>
      <c r="AE878" s="381" t="s">
        <v>444</v>
      </c>
    </row>
    <row r="879" spans="1:31" ht="15" customHeight="1" x14ac:dyDescent="0.25">
      <c r="A879" s="20" t="s">
        <v>156</v>
      </c>
      <c r="B879" s="20" t="s">
        <v>939</v>
      </c>
      <c r="C879" s="20" t="s">
        <v>940</v>
      </c>
      <c r="D879" s="378" t="s">
        <v>1287</v>
      </c>
      <c r="E879" s="384">
        <v>44613</v>
      </c>
      <c r="F879" s="384">
        <v>46439</v>
      </c>
      <c r="G879" s="378" t="s">
        <v>439</v>
      </c>
      <c r="H879" s="20" t="s">
        <v>455</v>
      </c>
      <c r="I879" s="378" t="s">
        <v>162</v>
      </c>
      <c r="J879" s="20" t="s">
        <v>163</v>
      </c>
      <c r="K879" s="378" t="s">
        <v>476</v>
      </c>
      <c r="L879" s="378" t="s">
        <v>165</v>
      </c>
      <c r="M879" s="380">
        <v>2400</v>
      </c>
      <c r="N879" s="380" t="s">
        <v>443</v>
      </c>
      <c r="O879" s="380" t="s">
        <v>443</v>
      </c>
      <c r="P879" s="380" t="s">
        <v>443</v>
      </c>
      <c r="Q879" s="381">
        <v>418</v>
      </c>
      <c r="R879" s="381">
        <v>0</v>
      </c>
      <c r="S879" s="381">
        <v>0</v>
      </c>
      <c r="T879" s="381">
        <v>0</v>
      </c>
      <c r="U879" s="381">
        <v>0</v>
      </c>
      <c r="V879" s="382">
        <v>418</v>
      </c>
      <c r="W879" s="382">
        <v>0</v>
      </c>
      <c r="X879" s="381">
        <v>0.17416666666666666</v>
      </c>
      <c r="Y879" s="381">
        <v>0</v>
      </c>
      <c r="Z879" s="381">
        <v>0</v>
      </c>
      <c r="AA879" s="381">
        <v>0</v>
      </c>
      <c r="AB879" s="381">
        <v>0</v>
      </c>
      <c r="AC879" s="382">
        <v>0.17416666666666666</v>
      </c>
      <c r="AD879" s="382">
        <v>0</v>
      </c>
      <c r="AE879" s="381" t="s">
        <v>444</v>
      </c>
    </row>
    <row r="880" spans="1:31" ht="15" customHeight="1" x14ac:dyDescent="0.25">
      <c r="A880" s="20" t="s">
        <v>156</v>
      </c>
      <c r="B880" s="20" t="s">
        <v>939</v>
      </c>
      <c r="C880" s="20" t="s">
        <v>940</v>
      </c>
      <c r="D880" s="378" t="s">
        <v>1288</v>
      </c>
      <c r="E880" s="384">
        <v>45292</v>
      </c>
      <c r="F880" s="384">
        <v>47119</v>
      </c>
      <c r="G880" s="378" t="s">
        <v>439</v>
      </c>
      <c r="H880" s="20" t="s">
        <v>1289</v>
      </c>
      <c r="I880" s="378" t="s">
        <v>441</v>
      </c>
      <c r="J880" s="20" t="s">
        <v>163</v>
      </c>
      <c r="K880" s="378" t="s">
        <v>1290</v>
      </c>
      <c r="L880" s="378" t="s">
        <v>165</v>
      </c>
      <c r="M880" s="380" t="s">
        <v>488</v>
      </c>
      <c r="N880" s="380" t="s">
        <v>443</v>
      </c>
      <c r="O880" s="380" t="s">
        <v>443</v>
      </c>
      <c r="P880" s="380" t="s">
        <v>443</v>
      </c>
      <c r="Q880" s="381">
        <v>323.24507</v>
      </c>
      <c r="R880" s="381">
        <v>317.84893</v>
      </c>
      <c r="S880" s="381">
        <v>5.3961139999999999</v>
      </c>
      <c r="T880" s="381">
        <v>2.3084253E-5</v>
      </c>
      <c r="U880" s="381">
        <v>0</v>
      </c>
      <c r="V880" s="382">
        <v>323.24506708425298</v>
      </c>
      <c r="W880" s="382">
        <v>0</v>
      </c>
      <c r="X880" s="381">
        <v>0.13468544583333333</v>
      </c>
      <c r="Y880" s="381">
        <v>0.13243705416666665</v>
      </c>
      <c r="Z880" s="381">
        <v>2.2483808333333332E-3</v>
      </c>
      <c r="AA880" s="381">
        <v>9.6184387500000006E-9</v>
      </c>
      <c r="AB880" s="381">
        <v>0</v>
      </c>
      <c r="AC880" s="382">
        <v>0.13468544461843873</v>
      </c>
      <c r="AD880" s="382">
        <v>0</v>
      </c>
      <c r="AE880" s="381" t="s">
        <v>444</v>
      </c>
    </row>
    <row r="881" spans="1:31" ht="15" customHeight="1" x14ac:dyDescent="0.25">
      <c r="A881" s="20" t="s">
        <v>156</v>
      </c>
      <c r="B881" s="20" t="s">
        <v>939</v>
      </c>
      <c r="C881" s="20" t="s">
        <v>940</v>
      </c>
      <c r="D881" s="378" t="s">
        <v>1291</v>
      </c>
      <c r="E881" s="384">
        <v>45292</v>
      </c>
      <c r="F881" s="384">
        <v>47119</v>
      </c>
      <c r="G881" s="378" t="s">
        <v>439</v>
      </c>
      <c r="H881" s="20" t="s">
        <v>1292</v>
      </c>
      <c r="I881" s="378" t="s">
        <v>441</v>
      </c>
      <c r="J881" s="20" t="s">
        <v>163</v>
      </c>
      <c r="K881" s="378" t="s">
        <v>1293</v>
      </c>
      <c r="L881" s="378" t="s">
        <v>165</v>
      </c>
      <c r="M881" s="380" t="s">
        <v>488</v>
      </c>
      <c r="N881" s="380" t="s">
        <v>443</v>
      </c>
      <c r="O881" s="380" t="s">
        <v>443</v>
      </c>
      <c r="P881" s="380" t="s">
        <v>443</v>
      </c>
      <c r="Q881" s="381">
        <v>324.98719999999997</v>
      </c>
      <c r="R881" s="381">
        <v>319.63409000000001</v>
      </c>
      <c r="S881" s="381">
        <v>5.2750646999999997</v>
      </c>
      <c r="T881" s="381">
        <v>7.8048568999999998E-2</v>
      </c>
      <c r="U881" s="381">
        <v>0</v>
      </c>
      <c r="V881" s="382">
        <v>324.98720326899996</v>
      </c>
      <c r="W881" s="382">
        <v>0</v>
      </c>
      <c r="X881" s="381">
        <v>0.13541133333333333</v>
      </c>
      <c r="Y881" s="381">
        <v>0.13318087083333333</v>
      </c>
      <c r="Z881" s="381">
        <v>2.1979436250000001E-3</v>
      </c>
      <c r="AA881" s="381">
        <v>3.2520237083333333E-5</v>
      </c>
      <c r="AB881" s="381">
        <v>0</v>
      </c>
      <c r="AC881" s="382">
        <v>0.13541133469541666</v>
      </c>
      <c r="AD881" s="382">
        <v>0</v>
      </c>
      <c r="AE881" s="381" t="s">
        <v>444</v>
      </c>
    </row>
    <row r="882" spans="1:31" ht="15" customHeight="1" x14ac:dyDescent="0.25">
      <c r="A882" s="20" t="s">
        <v>156</v>
      </c>
      <c r="B882" s="20" t="s">
        <v>939</v>
      </c>
      <c r="C882" s="20" t="s">
        <v>940</v>
      </c>
      <c r="D882" s="378" t="s">
        <v>1294</v>
      </c>
      <c r="E882" s="384">
        <v>45292</v>
      </c>
      <c r="F882" s="384">
        <v>47119</v>
      </c>
      <c r="G882" s="378" t="s">
        <v>439</v>
      </c>
      <c r="H882" s="20" t="s">
        <v>1295</v>
      </c>
      <c r="I882" s="378" t="s">
        <v>441</v>
      </c>
      <c r="J882" s="20" t="s">
        <v>163</v>
      </c>
      <c r="K882" s="378" t="s">
        <v>1296</v>
      </c>
      <c r="L882" s="378" t="s">
        <v>165</v>
      </c>
      <c r="M882" s="380" t="s">
        <v>488</v>
      </c>
      <c r="N882" s="380" t="s">
        <v>443</v>
      </c>
      <c r="O882" s="380" t="s">
        <v>443</v>
      </c>
      <c r="P882" s="380" t="s">
        <v>443</v>
      </c>
      <c r="Q882" s="381">
        <v>300.56961000000001</v>
      </c>
      <c r="R882" s="381">
        <v>300.27514000000002</v>
      </c>
      <c r="S882" s="381">
        <v>0.29343393000000001</v>
      </c>
      <c r="T882" s="381">
        <v>1.0327724000000001E-3</v>
      </c>
      <c r="U882" s="381">
        <v>0</v>
      </c>
      <c r="V882" s="382">
        <v>300.56960670239999</v>
      </c>
      <c r="W882" s="382">
        <v>0</v>
      </c>
      <c r="X882" s="381">
        <v>0.12523733750000002</v>
      </c>
      <c r="Y882" s="381">
        <v>0.12511464166666666</v>
      </c>
      <c r="Z882" s="381">
        <v>1.2226413750000001E-4</v>
      </c>
      <c r="AA882" s="381">
        <v>4.3032183333333339E-7</v>
      </c>
      <c r="AB882" s="381">
        <v>0</v>
      </c>
      <c r="AC882" s="382">
        <v>0.12523733612599999</v>
      </c>
      <c r="AD882" s="382">
        <v>0</v>
      </c>
      <c r="AE882" s="381" t="s">
        <v>444</v>
      </c>
    </row>
    <row r="883" spans="1:31" ht="15" customHeight="1" x14ac:dyDescent="0.25">
      <c r="A883" s="20" t="s">
        <v>156</v>
      </c>
      <c r="B883" s="20" t="s">
        <v>939</v>
      </c>
      <c r="C883" s="20" t="s">
        <v>940</v>
      </c>
      <c r="D883" s="378" t="s">
        <v>1297</v>
      </c>
      <c r="E883" s="384">
        <v>45292</v>
      </c>
      <c r="F883" s="384">
        <v>47119</v>
      </c>
      <c r="G883" s="378" t="s">
        <v>439</v>
      </c>
      <c r="H883" s="20" t="s">
        <v>1298</v>
      </c>
      <c r="I883" s="378" t="s">
        <v>441</v>
      </c>
      <c r="J883" s="20" t="s">
        <v>163</v>
      </c>
      <c r="K883" s="378" t="s">
        <v>1299</v>
      </c>
      <c r="L883" s="378" t="s">
        <v>165</v>
      </c>
      <c r="M883" s="380" t="s">
        <v>488</v>
      </c>
      <c r="N883" s="380" t="s">
        <v>443</v>
      </c>
      <c r="O883" s="380" t="s">
        <v>443</v>
      </c>
      <c r="P883" s="380" t="s">
        <v>443</v>
      </c>
      <c r="Q883" s="381">
        <v>292.55211000000003</v>
      </c>
      <c r="R883" s="381">
        <v>292.26031</v>
      </c>
      <c r="S883" s="381">
        <v>0.29077496000000003</v>
      </c>
      <c r="T883" s="381">
        <v>1.0323152000000001E-3</v>
      </c>
      <c r="U883" s="381">
        <v>0</v>
      </c>
      <c r="V883" s="382">
        <v>292.55211727520003</v>
      </c>
      <c r="W883" s="382">
        <v>0</v>
      </c>
      <c r="X883" s="381">
        <v>0.12189671250000002</v>
      </c>
      <c r="Y883" s="381">
        <v>0.12177512916666666</v>
      </c>
      <c r="Z883" s="381">
        <v>1.2115623333333334E-4</v>
      </c>
      <c r="AA883" s="381">
        <v>4.3013133333333337E-7</v>
      </c>
      <c r="AB883" s="381">
        <v>0</v>
      </c>
      <c r="AC883" s="382">
        <v>0.12189671553133333</v>
      </c>
      <c r="AD883" s="382">
        <v>0</v>
      </c>
      <c r="AE883" s="381" t="s">
        <v>444</v>
      </c>
    </row>
    <row r="884" spans="1:31" ht="15" customHeight="1" x14ac:dyDescent="0.25">
      <c r="A884" s="20" t="s">
        <v>156</v>
      </c>
      <c r="B884" s="20" t="s">
        <v>939</v>
      </c>
      <c r="C884" s="20" t="s">
        <v>940</v>
      </c>
      <c r="D884" s="378" t="s">
        <v>1300</v>
      </c>
      <c r="E884" s="384">
        <v>45292</v>
      </c>
      <c r="F884" s="384">
        <v>47119</v>
      </c>
      <c r="G884" s="378" t="s">
        <v>439</v>
      </c>
      <c r="H884" s="20" t="s">
        <v>1301</v>
      </c>
      <c r="I884" s="378" t="s">
        <v>441</v>
      </c>
      <c r="J884" s="20" t="s">
        <v>163</v>
      </c>
      <c r="K884" s="378" t="s">
        <v>1302</v>
      </c>
      <c r="L884" s="378" t="s">
        <v>165</v>
      </c>
      <c r="M884" s="380" t="s">
        <v>488</v>
      </c>
      <c r="N884" s="380" t="s">
        <v>443</v>
      </c>
      <c r="O884" s="380" t="s">
        <v>443</v>
      </c>
      <c r="P884" s="380" t="s">
        <v>443</v>
      </c>
      <c r="Q884" s="381">
        <v>248.94432</v>
      </c>
      <c r="R884" s="381">
        <v>248.68059</v>
      </c>
      <c r="S884" s="381">
        <v>0.26262001000000001</v>
      </c>
      <c r="T884" s="381">
        <v>1.1121676E-3</v>
      </c>
      <c r="U884" s="381">
        <v>0</v>
      </c>
      <c r="V884" s="382">
        <v>248.94432217760001</v>
      </c>
      <c r="W884" s="382">
        <v>0</v>
      </c>
      <c r="X884" s="381">
        <v>0.10372680000000001</v>
      </c>
      <c r="Y884" s="381">
        <v>0.10361691249999999</v>
      </c>
      <c r="Z884" s="381">
        <v>1.0942500416666668E-4</v>
      </c>
      <c r="AA884" s="381">
        <v>4.6340316666666668E-7</v>
      </c>
      <c r="AB884" s="381">
        <v>0</v>
      </c>
      <c r="AC884" s="382">
        <v>0.10372680090733333</v>
      </c>
      <c r="AD884" s="382">
        <v>0</v>
      </c>
      <c r="AE884" s="381" t="s">
        <v>444</v>
      </c>
    </row>
    <row r="885" spans="1:31" ht="15" customHeight="1" x14ac:dyDescent="0.25">
      <c r="A885" s="20" t="s">
        <v>156</v>
      </c>
      <c r="B885" s="20" t="s">
        <v>939</v>
      </c>
      <c r="C885" s="20" t="s">
        <v>940</v>
      </c>
      <c r="D885" s="378" t="s">
        <v>1303</v>
      </c>
      <c r="E885" s="384">
        <v>45292</v>
      </c>
      <c r="F885" s="384">
        <v>47119</v>
      </c>
      <c r="G885" s="378" t="s">
        <v>439</v>
      </c>
      <c r="H885" s="20" t="s">
        <v>1304</v>
      </c>
      <c r="I885" s="378" t="s">
        <v>441</v>
      </c>
      <c r="J885" s="20" t="s">
        <v>163</v>
      </c>
      <c r="K885" s="378" t="s">
        <v>1305</v>
      </c>
      <c r="L885" s="378" t="s">
        <v>165</v>
      </c>
      <c r="M885" s="380" t="s">
        <v>488</v>
      </c>
      <c r="N885" s="380" t="s">
        <v>443</v>
      </c>
      <c r="O885" s="380" t="s">
        <v>443</v>
      </c>
      <c r="P885" s="380" t="s">
        <v>443</v>
      </c>
      <c r="Q885" s="381">
        <v>244.36760000000001</v>
      </c>
      <c r="R885" s="381">
        <v>244.10615999999999</v>
      </c>
      <c r="S885" s="381">
        <v>0.26032575000000002</v>
      </c>
      <c r="T885" s="381">
        <v>1.11367E-3</v>
      </c>
      <c r="U885" s="381">
        <v>0</v>
      </c>
      <c r="V885" s="382">
        <v>244.36759941999998</v>
      </c>
      <c r="W885" s="382">
        <v>0</v>
      </c>
      <c r="X885" s="381">
        <v>0.10181983333333333</v>
      </c>
      <c r="Y885" s="381">
        <v>0.10171089999999999</v>
      </c>
      <c r="Z885" s="381">
        <v>1.0846906250000002E-4</v>
      </c>
      <c r="AA885" s="381">
        <v>4.6402916666666665E-7</v>
      </c>
      <c r="AB885" s="381">
        <v>0</v>
      </c>
      <c r="AC885" s="382">
        <v>0.10181983309166666</v>
      </c>
      <c r="AD885" s="382">
        <v>0</v>
      </c>
      <c r="AE885" s="381" t="s">
        <v>444</v>
      </c>
    </row>
    <row r="886" spans="1:31" ht="15" customHeight="1" x14ac:dyDescent="0.25">
      <c r="A886" s="20" t="s">
        <v>156</v>
      </c>
      <c r="B886" s="20" t="s">
        <v>939</v>
      </c>
      <c r="C886" s="20" t="s">
        <v>940</v>
      </c>
      <c r="D886" s="378" t="s">
        <v>1306</v>
      </c>
      <c r="E886" s="384">
        <v>45292</v>
      </c>
      <c r="F886" s="384">
        <v>47119</v>
      </c>
      <c r="G886" s="378" t="s">
        <v>439</v>
      </c>
      <c r="H886" s="20" t="s">
        <v>1307</v>
      </c>
      <c r="I886" s="378" t="s">
        <v>441</v>
      </c>
      <c r="J886" s="20" t="s">
        <v>163</v>
      </c>
      <c r="K886" s="378" t="s">
        <v>1308</v>
      </c>
      <c r="L886" s="378" t="s">
        <v>165</v>
      </c>
      <c r="M886" s="380" t="s">
        <v>488</v>
      </c>
      <c r="N886" s="380" t="s">
        <v>443</v>
      </c>
      <c r="O886" s="380" t="s">
        <v>443</v>
      </c>
      <c r="P886" s="380" t="s">
        <v>443</v>
      </c>
      <c r="Q886" s="381">
        <v>227.18259</v>
      </c>
      <c r="R886" s="381">
        <v>226.93527</v>
      </c>
      <c r="S886" s="381">
        <v>0.24641099</v>
      </c>
      <c r="T886" s="381">
        <v>9.0208081999999996E-4</v>
      </c>
      <c r="U886" s="381">
        <v>0</v>
      </c>
      <c r="V886" s="382">
        <v>227.18258307081999</v>
      </c>
      <c r="W886" s="382">
        <v>0</v>
      </c>
      <c r="X886" s="381">
        <v>9.4659412499999998E-2</v>
      </c>
      <c r="Y886" s="381">
        <v>9.4556362500000005E-2</v>
      </c>
      <c r="Z886" s="381">
        <v>1.0267124583333334E-4</v>
      </c>
      <c r="AA886" s="381">
        <v>3.7586700833333334E-7</v>
      </c>
      <c r="AB886" s="381">
        <v>0</v>
      </c>
      <c r="AC886" s="382">
        <v>9.465940961284168E-2</v>
      </c>
      <c r="AD886" s="382">
        <v>0</v>
      </c>
      <c r="AE886" s="381" t="s">
        <v>444</v>
      </c>
    </row>
    <row r="887" spans="1:31" ht="15" customHeight="1" x14ac:dyDescent="0.25">
      <c r="A887" s="20" t="s">
        <v>156</v>
      </c>
      <c r="B887" s="20" t="s">
        <v>939</v>
      </c>
      <c r="C887" s="20" t="s">
        <v>940</v>
      </c>
      <c r="D887" s="378" t="s">
        <v>1309</v>
      </c>
      <c r="E887" s="384">
        <v>45292</v>
      </c>
      <c r="F887" s="384">
        <v>47119</v>
      </c>
      <c r="G887" s="378" t="s">
        <v>439</v>
      </c>
      <c r="H887" s="20" t="s">
        <v>1310</v>
      </c>
      <c r="I887" s="378" t="s">
        <v>441</v>
      </c>
      <c r="J887" s="20" t="s">
        <v>163</v>
      </c>
      <c r="K887" s="378" t="s">
        <v>1311</v>
      </c>
      <c r="L887" s="378" t="s">
        <v>165</v>
      </c>
      <c r="M887" s="380" t="s">
        <v>488</v>
      </c>
      <c r="N887" s="380" t="s">
        <v>443</v>
      </c>
      <c r="O887" s="380" t="s">
        <v>443</v>
      </c>
      <c r="P887" s="380" t="s">
        <v>443</v>
      </c>
      <c r="Q887" s="381">
        <v>210.6396</v>
      </c>
      <c r="R887" s="381">
        <v>210.40732</v>
      </c>
      <c r="S887" s="381">
        <v>0.23142112000000001</v>
      </c>
      <c r="T887" s="381">
        <v>8.5526378000000001E-4</v>
      </c>
      <c r="U887" s="381">
        <v>0</v>
      </c>
      <c r="V887" s="382">
        <v>210.63959638378</v>
      </c>
      <c r="W887" s="382">
        <v>0</v>
      </c>
      <c r="X887" s="381">
        <v>8.7766499999999997E-2</v>
      </c>
      <c r="Y887" s="381">
        <v>8.7669716666666661E-2</v>
      </c>
      <c r="Z887" s="381">
        <v>9.6425466666666667E-5</v>
      </c>
      <c r="AA887" s="381">
        <v>3.5635990833333333E-7</v>
      </c>
      <c r="AB887" s="381">
        <v>0</v>
      </c>
      <c r="AC887" s="382">
        <v>8.7766498493241654E-2</v>
      </c>
      <c r="AD887" s="382">
        <v>0</v>
      </c>
      <c r="AE887" s="381" t="s">
        <v>444</v>
      </c>
    </row>
    <row r="888" spans="1:31" ht="15" customHeight="1" x14ac:dyDescent="0.25">
      <c r="A888" s="20" t="s">
        <v>156</v>
      </c>
      <c r="B888" s="20" t="s">
        <v>939</v>
      </c>
      <c r="C888" s="20" t="s">
        <v>940</v>
      </c>
      <c r="D888" s="378" t="s">
        <v>1312</v>
      </c>
      <c r="E888" s="384">
        <v>45292</v>
      </c>
      <c r="F888" s="384">
        <v>47119</v>
      </c>
      <c r="G888" s="378" t="s">
        <v>439</v>
      </c>
      <c r="H888" s="20" t="s">
        <v>1313</v>
      </c>
      <c r="I888" s="378" t="s">
        <v>441</v>
      </c>
      <c r="J888" s="20" t="s">
        <v>163</v>
      </c>
      <c r="K888" s="378" t="s">
        <v>1314</v>
      </c>
      <c r="L888" s="378" t="s">
        <v>165</v>
      </c>
      <c r="M888" s="380" t="s">
        <v>488</v>
      </c>
      <c r="N888" s="380" t="s">
        <v>443</v>
      </c>
      <c r="O888" s="380" t="s">
        <v>443</v>
      </c>
      <c r="P888" s="380" t="s">
        <v>443</v>
      </c>
      <c r="Q888" s="381">
        <v>181.38264000000001</v>
      </c>
      <c r="R888" s="381">
        <v>181.16578000000001</v>
      </c>
      <c r="S888" s="381">
        <v>0.21573122</v>
      </c>
      <c r="T888" s="381">
        <v>1.1245700999999999E-3</v>
      </c>
      <c r="U888" s="381">
        <v>0</v>
      </c>
      <c r="V888" s="382">
        <v>181.38263579010001</v>
      </c>
      <c r="W888" s="382">
        <v>0</v>
      </c>
      <c r="X888" s="381">
        <v>7.5576100000000007E-2</v>
      </c>
      <c r="Y888" s="381">
        <v>7.5485741666666675E-2</v>
      </c>
      <c r="Z888" s="381">
        <v>8.9888008333333336E-5</v>
      </c>
      <c r="AA888" s="381">
        <v>4.6857087499999996E-7</v>
      </c>
      <c r="AB888" s="381">
        <v>0</v>
      </c>
      <c r="AC888" s="382">
        <v>7.5576098245875009E-2</v>
      </c>
      <c r="AD888" s="382">
        <v>0</v>
      </c>
      <c r="AE888" s="381" t="s">
        <v>444</v>
      </c>
    </row>
    <row r="889" spans="1:31" ht="15" customHeight="1" x14ac:dyDescent="0.25">
      <c r="A889" s="20" t="s">
        <v>156</v>
      </c>
      <c r="B889" s="20" t="s">
        <v>939</v>
      </c>
      <c r="C889" s="20" t="s">
        <v>940</v>
      </c>
      <c r="D889" s="378" t="s">
        <v>1315</v>
      </c>
      <c r="E889" s="384">
        <v>45292</v>
      </c>
      <c r="F889" s="384">
        <v>47119</v>
      </c>
      <c r="G889" s="378" t="s">
        <v>439</v>
      </c>
      <c r="H889" s="20" t="s">
        <v>1316</v>
      </c>
      <c r="I889" s="378" t="s">
        <v>441</v>
      </c>
      <c r="J889" s="20" t="s">
        <v>163</v>
      </c>
      <c r="K889" s="378" t="s">
        <v>1317</v>
      </c>
      <c r="L889" s="378" t="s">
        <v>165</v>
      </c>
      <c r="M889" s="380" t="s">
        <v>488</v>
      </c>
      <c r="N889" s="380" t="s">
        <v>443</v>
      </c>
      <c r="O889" s="380" t="s">
        <v>443</v>
      </c>
      <c r="P889" s="380" t="s">
        <v>443</v>
      </c>
      <c r="Q889" s="381">
        <v>192.04031000000001</v>
      </c>
      <c r="R889" s="381">
        <v>191.82420999999999</v>
      </c>
      <c r="S889" s="381">
        <v>0.21505756000000001</v>
      </c>
      <c r="T889" s="381">
        <v>1.0456197E-3</v>
      </c>
      <c r="U889" s="381">
        <v>0</v>
      </c>
      <c r="V889" s="382">
        <v>192.04031317969998</v>
      </c>
      <c r="W889" s="382">
        <v>0</v>
      </c>
      <c r="X889" s="381">
        <v>8.0016795833333335E-2</v>
      </c>
      <c r="Y889" s="381">
        <v>7.9926754166666669E-2</v>
      </c>
      <c r="Z889" s="381">
        <v>8.9607316666666668E-5</v>
      </c>
      <c r="AA889" s="381">
        <v>4.3567487500000004E-7</v>
      </c>
      <c r="AB889" s="381">
        <v>0</v>
      </c>
      <c r="AC889" s="382">
        <v>8.0016797158208336E-2</v>
      </c>
      <c r="AD889" s="382">
        <v>0</v>
      </c>
      <c r="AE889" s="381" t="s">
        <v>444</v>
      </c>
    </row>
    <row r="890" spans="1:31" ht="15" customHeight="1" x14ac:dyDescent="0.25">
      <c r="A890" s="20" t="s">
        <v>156</v>
      </c>
      <c r="B890" s="20" t="s">
        <v>939</v>
      </c>
      <c r="C890" s="20" t="s">
        <v>940</v>
      </c>
      <c r="D890" s="378" t="s">
        <v>1318</v>
      </c>
      <c r="E890" s="384">
        <v>45292</v>
      </c>
      <c r="F890" s="384">
        <v>47119</v>
      </c>
      <c r="G890" s="378" t="s">
        <v>439</v>
      </c>
      <c r="H890" s="20" t="s">
        <v>1319</v>
      </c>
      <c r="I890" s="378" t="s">
        <v>441</v>
      </c>
      <c r="J890" s="20" t="s">
        <v>163</v>
      </c>
      <c r="K890" s="378" t="s">
        <v>1320</v>
      </c>
      <c r="L890" s="378" t="s">
        <v>165</v>
      </c>
      <c r="M890" s="380" t="s">
        <v>488</v>
      </c>
      <c r="N890" s="380" t="s">
        <v>443</v>
      </c>
      <c r="O890" s="380" t="s">
        <v>443</v>
      </c>
      <c r="P890" s="380" t="s">
        <v>443</v>
      </c>
      <c r="Q890" s="381">
        <v>175.98079000000001</v>
      </c>
      <c r="R890" s="381">
        <v>175.76695000000001</v>
      </c>
      <c r="S890" s="381">
        <v>0.21272052</v>
      </c>
      <c r="T890" s="381">
        <v>1.1259311E-3</v>
      </c>
      <c r="U890" s="381">
        <v>0</v>
      </c>
      <c r="V890" s="382">
        <v>175.98079645110002</v>
      </c>
      <c r="W890" s="382">
        <v>0</v>
      </c>
      <c r="X890" s="381">
        <v>7.3325329166666675E-2</v>
      </c>
      <c r="Y890" s="381">
        <v>7.3236229166666666E-2</v>
      </c>
      <c r="Z890" s="381">
        <v>8.8633550000000001E-5</v>
      </c>
      <c r="AA890" s="381">
        <v>4.6913795833333333E-7</v>
      </c>
      <c r="AB890" s="381">
        <v>0</v>
      </c>
      <c r="AC890" s="382">
        <v>7.3325331854624989E-2</v>
      </c>
      <c r="AD890" s="382">
        <v>0</v>
      </c>
      <c r="AE890" s="381" t="s">
        <v>444</v>
      </c>
    </row>
    <row r="891" spans="1:31" ht="15" customHeight="1" x14ac:dyDescent="0.25">
      <c r="A891" s="20" t="s">
        <v>156</v>
      </c>
      <c r="B891" s="20" t="s">
        <v>939</v>
      </c>
      <c r="C891" s="20" t="s">
        <v>940</v>
      </c>
      <c r="D891" s="378" t="s">
        <v>1321</v>
      </c>
      <c r="E891" s="384">
        <v>45292</v>
      </c>
      <c r="F891" s="384">
        <v>47119</v>
      </c>
      <c r="G891" s="378" t="s">
        <v>439</v>
      </c>
      <c r="H891" s="20" t="s">
        <v>1322</v>
      </c>
      <c r="I891" s="378" t="s">
        <v>441</v>
      </c>
      <c r="J891" s="20" t="s">
        <v>163</v>
      </c>
      <c r="K891" s="378" t="s">
        <v>1323</v>
      </c>
      <c r="L891" s="378" t="s">
        <v>165</v>
      </c>
      <c r="M891" s="380" t="s">
        <v>488</v>
      </c>
      <c r="N891" s="380" t="s">
        <v>443</v>
      </c>
      <c r="O891" s="380" t="s">
        <v>443</v>
      </c>
      <c r="P891" s="380" t="s">
        <v>443</v>
      </c>
      <c r="Q891" s="381">
        <v>182.85812000000001</v>
      </c>
      <c r="R891" s="381">
        <v>182.64563000000001</v>
      </c>
      <c r="S891" s="381">
        <v>0.21144859999999999</v>
      </c>
      <c r="T891" s="381">
        <v>1.0443697000000001E-3</v>
      </c>
      <c r="U891" s="381">
        <v>0</v>
      </c>
      <c r="V891" s="382">
        <v>182.85812296970002</v>
      </c>
      <c r="W891" s="382">
        <v>0</v>
      </c>
      <c r="X891" s="381">
        <v>7.6190883333333334E-2</v>
      </c>
      <c r="Y891" s="381">
        <v>7.6102345833333335E-2</v>
      </c>
      <c r="Z891" s="381">
        <v>8.8103583333333331E-5</v>
      </c>
      <c r="AA891" s="381">
        <v>4.3515404166666673E-7</v>
      </c>
      <c r="AB891" s="381">
        <v>0</v>
      </c>
      <c r="AC891" s="382">
        <v>7.6190884570708328E-2</v>
      </c>
      <c r="AD891" s="382">
        <v>0</v>
      </c>
      <c r="AE891" s="381" t="s">
        <v>444</v>
      </c>
    </row>
    <row r="892" spans="1:31" ht="15" customHeight="1" x14ac:dyDescent="0.25">
      <c r="A892" s="20" t="s">
        <v>156</v>
      </c>
      <c r="B892" s="20" t="s">
        <v>939</v>
      </c>
      <c r="C892" s="20" t="s">
        <v>940</v>
      </c>
      <c r="D892" s="378" t="s">
        <v>1324</v>
      </c>
      <c r="E892" s="384">
        <v>45292</v>
      </c>
      <c r="F892" s="384">
        <v>47119</v>
      </c>
      <c r="G892" s="378" t="s">
        <v>439</v>
      </c>
      <c r="H892" s="20" t="s">
        <v>1325</v>
      </c>
      <c r="I892" s="378" t="s">
        <v>441</v>
      </c>
      <c r="J892" s="20" t="s">
        <v>163</v>
      </c>
      <c r="K892" s="378" t="s">
        <v>1326</v>
      </c>
      <c r="L892" s="378" t="s">
        <v>165</v>
      </c>
      <c r="M892" s="380" t="s">
        <v>488</v>
      </c>
      <c r="N892" s="380" t="s">
        <v>443</v>
      </c>
      <c r="O892" s="380" t="s">
        <v>443</v>
      </c>
      <c r="P892" s="380" t="s">
        <v>443</v>
      </c>
      <c r="Q892" s="381">
        <v>290.30333000000002</v>
      </c>
      <c r="R892" s="381">
        <v>290.09460000000001</v>
      </c>
      <c r="S892" s="381">
        <v>0.19960915000000001</v>
      </c>
      <c r="T892" s="381">
        <v>9.1153303999999997E-3</v>
      </c>
      <c r="U892" s="381">
        <v>0</v>
      </c>
      <c r="V892" s="382">
        <v>290.30332448040002</v>
      </c>
      <c r="W892" s="382">
        <v>0</v>
      </c>
      <c r="X892" s="381">
        <v>0.12095972083333334</v>
      </c>
      <c r="Y892" s="381">
        <v>0.12087275</v>
      </c>
      <c r="Z892" s="381">
        <v>8.3170479166666677E-5</v>
      </c>
      <c r="AA892" s="381">
        <v>3.7980543333333332E-6</v>
      </c>
      <c r="AB892" s="381">
        <v>0</v>
      </c>
      <c r="AC892" s="382">
        <v>0.1209597185335</v>
      </c>
      <c r="AD892" s="382">
        <v>0</v>
      </c>
      <c r="AE892" s="381" t="s">
        <v>444</v>
      </c>
    </row>
    <row r="893" spans="1:31" ht="15" customHeight="1" x14ac:dyDescent="0.25">
      <c r="A893" s="20" t="s">
        <v>156</v>
      </c>
      <c r="B893" s="20" t="s">
        <v>939</v>
      </c>
      <c r="C893" s="20" t="s">
        <v>940</v>
      </c>
      <c r="D893" s="378" t="s">
        <v>1327</v>
      </c>
      <c r="E893" s="384">
        <v>45292</v>
      </c>
      <c r="F893" s="384">
        <v>47119</v>
      </c>
      <c r="G893" s="378" t="s">
        <v>439</v>
      </c>
      <c r="H893" s="20" t="s">
        <v>1328</v>
      </c>
      <c r="I893" s="378" t="s">
        <v>441</v>
      </c>
      <c r="J893" s="20" t="s">
        <v>163</v>
      </c>
      <c r="K893" s="378" t="s">
        <v>1329</v>
      </c>
      <c r="L893" s="378" t="s">
        <v>165</v>
      </c>
      <c r="M893" s="380" t="s">
        <v>488</v>
      </c>
      <c r="N893" s="380" t="s">
        <v>443</v>
      </c>
      <c r="O893" s="380" t="s">
        <v>443</v>
      </c>
      <c r="P893" s="380" t="s">
        <v>443</v>
      </c>
      <c r="Q893" s="381">
        <v>217.40496999999999</v>
      </c>
      <c r="R893" s="381">
        <v>217.19721999999999</v>
      </c>
      <c r="S893" s="381">
        <v>0.20682132</v>
      </c>
      <c r="T893" s="381">
        <v>9.3440087000000005E-4</v>
      </c>
      <c r="U893" s="381">
        <v>0</v>
      </c>
      <c r="V893" s="382">
        <v>217.40497572086997</v>
      </c>
      <c r="W893" s="382">
        <v>0</v>
      </c>
      <c r="X893" s="381">
        <v>9.0585404166666661E-2</v>
      </c>
      <c r="Y893" s="381">
        <v>9.0498841666666663E-2</v>
      </c>
      <c r="Z893" s="381">
        <v>8.6175550000000005E-5</v>
      </c>
      <c r="AA893" s="381">
        <v>3.8933369583333337E-7</v>
      </c>
      <c r="AB893" s="381">
        <v>0</v>
      </c>
      <c r="AC893" s="382">
        <v>9.0585406550362499E-2</v>
      </c>
      <c r="AD893" s="382">
        <v>0</v>
      </c>
      <c r="AE893" s="381" t="s">
        <v>444</v>
      </c>
    </row>
    <row r="894" spans="1:31" ht="15" customHeight="1" x14ac:dyDescent="0.25">
      <c r="A894" s="20" t="s">
        <v>156</v>
      </c>
      <c r="B894" s="20" t="s">
        <v>939</v>
      </c>
      <c r="C894" s="20" t="s">
        <v>940</v>
      </c>
      <c r="D894" s="378" t="s">
        <v>1330</v>
      </c>
      <c r="E894" s="384">
        <v>45292</v>
      </c>
      <c r="F894" s="384">
        <v>47119</v>
      </c>
      <c r="G894" s="378" t="s">
        <v>439</v>
      </c>
      <c r="H894" s="20" t="s">
        <v>1331</v>
      </c>
      <c r="I894" s="378" t="s">
        <v>441</v>
      </c>
      <c r="J894" s="20" t="s">
        <v>163</v>
      </c>
      <c r="K894" s="378" t="s">
        <v>1332</v>
      </c>
      <c r="L894" s="378" t="s">
        <v>165</v>
      </c>
      <c r="M894" s="380" t="s">
        <v>488</v>
      </c>
      <c r="N894" s="380" t="s">
        <v>443</v>
      </c>
      <c r="O894" s="380" t="s">
        <v>443</v>
      </c>
      <c r="P894" s="380" t="s">
        <v>443</v>
      </c>
      <c r="Q894" s="381">
        <v>212.11421000000001</v>
      </c>
      <c r="R894" s="381">
        <v>211.90931</v>
      </c>
      <c r="S894" s="381">
        <v>0.20396302999999999</v>
      </c>
      <c r="T894" s="381">
        <v>9.3502188000000003E-4</v>
      </c>
      <c r="U894" s="381">
        <v>0</v>
      </c>
      <c r="V894" s="382">
        <v>212.11420805188001</v>
      </c>
      <c r="W894" s="382">
        <v>0</v>
      </c>
      <c r="X894" s="381">
        <v>8.8380920833333335E-2</v>
      </c>
      <c r="Y894" s="381">
        <v>8.8295545833333336E-2</v>
      </c>
      <c r="Z894" s="381">
        <v>8.4984595833333327E-5</v>
      </c>
      <c r="AA894" s="381">
        <v>3.8959245000000003E-7</v>
      </c>
      <c r="AB894" s="381">
        <v>0</v>
      </c>
      <c r="AC894" s="382">
        <v>8.8380920021616668E-2</v>
      </c>
      <c r="AD894" s="382">
        <v>0</v>
      </c>
      <c r="AE894" s="381" t="s">
        <v>444</v>
      </c>
    </row>
    <row r="895" spans="1:31" ht="15" customHeight="1" x14ac:dyDescent="0.25">
      <c r="A895" s="20" t="s">
        <v>156</v>
      </c>
      <c r="B895" s="20" t="s">
        <v>939</v>
      </c>
      <c r="C895" s="20" t="s">
        <v>940</v>
      </c>
      <c r="D895" s="378" t="s">
        <v>1333</v>
      </c>
      <c r="E895" s="384">
        <v>45292</v>
      </c>
      <c r="F895" s="384">
        <v>47119</v>
      </c>
      <c r="G895" s="378" t="s">
        <v>439</v>
      </c>
      <c r="H895" s="20" t="s">
        <v>1334</v>
      </c>
      <c r="I895" s="378" t="s">
        <v>441</v>
      </c>
      <c r="J895" s="20" t="s">
        <v>163</v>
      </c>
      <c r="K895" s="378" t="s">
        <v>1335</v>
      </c>
      <c r="L895" s="378" t="s">
        <v>165</v>
      </c>
      <c r="M895" s="380" t="s">
        <v>488</v>
      </c>
      <c r="N895" s="380" t="s">
        <v>443</v>
      </c>
      <c r="O895" s="380" t="s">
        <v>443</v>
      </c>
      <c r="P895" s="380" t="s">
        <v>443</v>
      </c>
      <c r="Q895" s="381">
        <v>180.80248</v>
      </c>
      <c r="R895" s="381">
        <v>180.59938</v>
      </c>
      <c r="S895" s="381">
        <v>0.20214599</v>
      </c>
      <c r="T895" s="381">
        <v>9.4995724999999995E-4</v>
      </c>
      <c r="U895" s="381">
        <v>0</v>
      </c>
      <c r="V895" s="382">
        <v>180.80247594724997</v>
      </c>
      <c r="W895" s="382">
        <v>0</v>
      </c>
      <c r="X895" s="381">
        <v>7.5334366666666666E-2</v>
      </c>
      <c r="Y895" s="381">
        <v>7.5249741666666661E-2</v>
      </c>
      <c r="Z895" s="381">
        <v>8.4227495833333327E-5</v>
      </c>
      <c r="AA895" s="381">
        <v>3.9581552083333331E-7</v>
      </c>
      <c r="AB895" s="381">
        <v>0</v>
      </c>
      <c r="AC895" s="382">
        <v>7.5334364978020832E-2</v>
      </c>
      <c r="AD895" s="382">
        <v>0</v>
      </c>
      <c r="AE895" s="381" t="s">
        <v>444</v>
      </c>
    </row>
    <row r="896" spans="1:31" ht="15" customHeight="1" x14ac:dyDescent="0.25">
      <c r="A896" s="20" t="s">
        <v>156</v>
      </c>
      <c r="B896" s="20" t="s">
        <v>939</v>
      </c>
      <c r="C896" s="20" t="s">
        <v>940</v>
      </c>
      <c r="D896" s="378" t="s">
        <v>1336</v>
      </c>
      <c r="E896" s="384">
        <v>45292</v>
      </c>
      <c r="F896" s="384">
        <v>47119</v>
      </c>
      <c r="G896" s="378" t="s">
        <v>439</v>
      </c>
      <c r="H896" s="20" t="s">
        <v>1337</v>
      </c>
      <c r="I896" s="378" t="s">
        <v>441</v>
      </c>
      <c r="J896" s="20" t="s">
        <v>163</v>
      </c>
      <c r="K896" s="378" t="s">
        <v>1338</v>
      </c>
      <c r="L896" s="378" t="s">
        <v>165</v>
      </c>
      <c r="M896" s="380" t="s">
        <v>488</v>
      </c>
      <c r="N896" s="380" t="s">
        <v>443</v>
      </c>
      <c r="O896" s="380" t="s">
        <v>443</v>
      </c>
      <c r="P896" s="380" t="s">
        <v>443</v>
      </c>
      <c r="Q896" s="381">
        <v>182.44417999999999</v>
      </c>
      <c r="R896" s="381">
        <v>182.24311</v>
      </c>
      <c r="S896" s="381">
        <v>0.20011435999999999</v>
      </c>
      <c r="T896" s="381">
        <v>9.5112791000000001E-4</v>
      </c>
      <c r="U896" s="381">
        <v>0</v>
      </c>
      <c r="V896" s="382">
        <v>182.44417548791</v>
      </c>
      <c r="W896" s="382">
        <v>0</v>
      </c>
      <c r="X896" s="381">
        <v>7.6018408333333329E-2</v>
      </c>
      <c r="Y896" s="381">
        <v>7.593462916666667E-2</v>
      </c>
      <c r="Z896" s="381">
        <v>8.338098333333333E-5</v>
      </c>
      <c r="AA896" s="381">
        <v>3.9630329583333336E-7</v>
      </c>
      <c r="AB896" s="381">
        <v>0</v>
      </c>
      <c r="AC896" s="382">
        <v>7.6018406453295842E-2</v>
      </c>
      <c r="AD896" s="382">
        <v>0</v>
      </c>
      <c r="AE896" s="381" t="s">
        <v>444</v>
      </c>
    </row>
    <row r="897" spans="1:31" ht="15" customHeight="1" x14ac:dyDescent="0.25">
      <c r="A897" s="20" t="s">
        <v>156</v>
      </c>
      <c r="B897" s="20" t="s">
        <v>939</v>
      </c>
      <c r="C897" s="20" t="s">
        <v>940</v>
      </c>
      <c r="D897" s="378" t="s">
        <v>1339</v>
      </c>
      <c r="E897" s="384">
        <v>45292</v>
      </c>
      <c r="F897" s="384">
        <v>47119</v>
      </c>
      <c r="G897" s="378" t="s">
        <v>439</v>
      </c>
      <c r="H897" s="20" t="s">
        <v>1340</v>
      </c>
      <c r="I897" s="378" t="s">
        <v>441</v>
      </c>
      <c r="J897" s="20" t="s">
        <v>163</v>
      </c>
      <c r="K897" s="378" t="s">
        <v>1341</v>
      </c>
      <c r="L897" s="378" t="s">
        <v>165</v>
      </c>
      <c r="M897" s="380" t="s">
        <v>488</v>
      </c>
      <c r="N897" s="380" t="s">
        <v>443</v>
      </c>
      <c r="O897" s="380" t="s">
        <v>443</v>
      </c>
      <c r="P897" s="380" t="s">
        <v>443</v>
      </c>
      <c r="Q897" s="381">
        <v>175.39946</v>
      </c>
      <c r="R897" s="381">
        <v>175.19943000000001</v>
      </c>
      <c r="S897" s="381">
        <v>0.1990854</v>
      </c>
      <c r="T897" s="381">
        <v>9.5067663999999995E-4</v>
      </c>
      <c r="U897" s="381">
        <v>0</v>
      </c>
      <c r="V897" s="382">
        <v>175.39946607664001</v>
      </c>
      <c r="W897" s="382">
        <v>0</v>
      </c>
      <c r="X897" s="381">
        <v>7.3083108333333341E-2</v>
      </c>
      <c r="Y897" s="381">
        <v>7.2999762500000009E-2</v>
      </c>
      <c r="Z897" s="381">
        <v>8.2952249999999992E-5</v>
      </c>
      <c r="AA897" s="381">
        <v>3.9611526666666666E-7</v>
      </c>
      <c r="AB897" s="381">
        <v>0</v>
      </c>
      <c r="AC897" s="382">
        <v>7.3083110865266684E-2</v>
      </c>
      <c r="AD897" s="382">
        <v>0</v>
      </c>
      <c r="AE897" s="381" t="s">
        <v>444</v>
      </c>
    </row>
    <row r="898" spans="1:31" ht="15" customHeight="1" x14ac:dyDescent="0.25">
      <c r="A898" s="20" t="s">
        <v>156</v>
      </c>
      <c r="B898" s="20" t="s">
        <v>939</v>
      </c>
      <c r="C898" s="20" t="s">
        <v>940</v>
      </c>
      <c r="D898" s="378" t="s">
        <v>1342</v>
      </c>
      <c r="E898" s="384">
        <v>45292</v>
      </c>
      <c r="F898" s="384">
        <v>47119</v>
      </c>
      <c r="G898" s="378" t="s">
        <v>439</v>
      </c>
      <c r="H898" s="20" t="s">
        <v>1343</v>
      </c>
      <c r="I898" s="378" t="s">
        <v>441</v>
      </c>
      <c r="J898" s="20" t="s">
        <v>163</v>
      </c>
      <c r="K898" s="378" t="s">
        <v>1344</v>
      </c>
      <c r="L898" s="378" t="s">
        <v>165</v>
      </c>
      <c r="M898" s="380" t="s">
        <v>488</v>
      </c>
      <c r="N898" s="380" t="s">
        <v>443</v>
      </c>
      <c r="O898" s="380" t="s">
        <v>443</v>
      </c>
      <c r="P898" s="380" t="s">
        <v>443</v>
      </c>
      <c r="Q898" s="381">
        <v>173.70384000000001</v>
      </c>
      <c r="R898" s="381">
        <v>173.50604999999999</v>
      </c>
      <c r="S898" s="381">
        <v>0.19684017000000001</v>
      </c>
      <c r="T898" s="381">
        <v>9.5027659000000003E-4</v>
      </c>
      <c r="U898" s="381">
        <v>0</v>
      </c>
      <c r="V898" s="382">
        <v>173.70384044658999</v>
      </c>
      <c r="W898" s="382">
        <v>0</v>
      </c>
      <c r="X898" s="381">
        <v>7.2376599999999999E-2</v>
      </c>
      <c r="Y898" s="381">
        <v>7.2294187499999996E-2</v>
      </c>
      <c r="Z898" s="381">
        <v>8.2016737500000003E-5</v>
      </c>
      <c r="AA898" s="381">
        <v>3.9594857916666668E-7</v>
      </c>
      <c r="AB898" s="381">
        <v>0</v>
      </c>
      <c r="AC898" s="382">
        <v>7.2376600186079151E-2</v>
      </c>
      <c r="AD898" s="382">
        <v>0</v>
      </c>
      <c r="AE898" s="381" t="s">
        <v>444</v>
      </c>
    </row>
    <row r="899" spans="1:31" ht="15" customHeight="1" x14ac:dyDescent="0.25">
      <c r="A899" s="20" t="s">
        <v>156</v>
      </c>
      <c r="B899" s="20" t="s">
        <v>939</v>
      </c>
      <c r="C899" s="20" t="s">
        <v>940</v>
      </c>
      <c r="D899" s="378" t="s">
        <v>1345</v>
      </c>
      <c r="E899" s="384">
        <v>45292</v>
      </c>
      <c r="F899" s="384">
        <v>47119</v>
      </c>
      <c r="G899" s="378" t="s">
        <v>439</v>
      </c>
      <c r="H899" s="20" t="s">
        <v>1346</v>
      </c>
      <c r="I899" s="378" t="s">
        <v>441</v>
      </c>
      <c r="J899" s="20" t="s">
        <v>163</v>
      </c>
      <c r="K899" s="378" t="s">
        <v>1347</v>
      </c>
      <c r="L899" s="378" t="s">
        <v>165</v>
      </c>
      <c r="M899" s="380" t="s">
        <v>488</v>
      </c>
      <c r="N899" s="380" t="s">
        <v>443</v>
      </c>
      <c r="O899" s="380" t="s">
        <v>443</v>
      </c>
      <c r="P899" s="380" t="s">
        <v>443</v>
      </c>
      <c r="Q899" s="381">
        <v>265.1361</v>
      </c>
      <c r="R899" s="381">
        <v>264.94085999999999</v>
      </c>
      <c r="S899" s="381">
        <v>0.18657441</v>
      </c>
      <c r="T899" s="381">
        <v>8.6629798999999993E-3</v>
      </c>
      <c r="U899" s="381">
        <v>0</v>
      </c>
      <c r="V899" s="382">
        <v>265.13609738989999</v>
      </c>
      <c r="W899" s="382">
        <v>0</v>
      </c>
      <c r="X899" s="381">
        <v>0.110473375</v>
      </c>
      <c r="Y899" s="381">
        <v>0.11039202499999999</v>
      </c>
      <c r="Z899" s="381">
        <v>7.7739337500000002E-5</v>
      </c>
      <c r="AA899" s="381">
        <v>3.609574958333333E-6</v>
      </c>
      <c r="AB899" s="381">
        <v>0</v>
      </c>
      <c r="AC899" s="382">
        <v>0.11047337391245832</v>
      </c>
      <c r="AD899" s="382">
        <v>0</v>
      </c>
      <c r="AE899" s="381" t="s">
        <v>444</v>
      </c>
    </row>
    <row r="900" spans="1:31" ht="15" customHeight="1" x14ac:dyDescent="0.25">
      <c r="A900" s="20" t="s">
        <v>156</v>
      </c>
      <c r="B900" s="20" t="s">
        <v>939</v>
      </c>
      <c r="C900" s="20" t="s">
        <v>940</v>
      </c>
      <c r="D900" s="378" t="s">
        <v>1348</v>
      </c>
      <c r="E900" s="384">
        <v>45292</v>
      </c>
      <c r="F900" s="384">
        <v>47119</v>
      </c>
      <c r="G900" s="378" t="s">
        <v>439</v>
      </c>
      <c r="H900" s="20" t="s">
        <v>1349</v>
      </c>
      <c r="I900" s="378" t="s">
        <v>441</v>
      </c>
      <c r="J900" s="20" t="s">
        <v>163</v>
      </c>
      <c r="K900" s="378" t="s">
        <v>1350</v>
      </c>
      <c r="L900" s="378" t="s">
        <v>165</v>
      </c>
      <c r="M900" s="380" t="s">
        <v>488</v>
      </c>
      <c r="N900" s="380" t="s">
        <v>443</v>
      </c>
      <c r="O900" s="380" t="s">
        <v>443</v>
      </c>
      <c r="P900" s="380" t="s">
        <v>443</v>
      </c>
      <c r="Q900" s="381">
        <v>196.65844000000001</v>
      </c>
      <c r="R900" s="381">
        <v>196.49293</v>
      </c>
      <c r="S900" s="381">
        <v>0.16517924</v>
      </c>
      <c r="T900" s="381">
        <v>3.3450765000000001E-4</v>
      </c>
      <c r="U900" s="381">
        <v>0</v>
      </c>
      <c r="V900" s="382">
        <v>196.65844374764998</v>
      </c>
      <c r="W900" s="382">
        <v>0</v>
      </c>
      <c r="X900" s="381">
        <v>8.1941016666666672E-2</v>
      </c>
      <c r="Y900" s="381">
        <v>8.1872054166666666E-2</v>
      </c>
      <c r="Z900" s="381">
        <v>6.8824683333333335E-5</v>
      </c>
      <c r="AA900" s="381">
        <v>1.3937818750000001E-7</v>
      </c>
      <c r="AB900" s="381">
        <v>0</v>
      </c>
      <c r="AC900" s="382">
        <v>8.1941018228187501E-2</v>
      </c>
      <c r="AD900" s="382">
        <v>0</v>
      </c>
      <c r="AE900" s="381" t="s">
        <v>444</v>
      </c>
    </row>
    <row r="901" spans="1:31" ht="15" customHeight="1" x14ac:dyDescent="0.25">
      <c r="A901" s="20" t="s">
        <v>156</v>
      </c>
      <c r="B901" s="20" t="s">
        <v>939</v>
      </c>
      <c r="C901" s="20" t="s">
        <v>940</v>
      </c>
      <c r="D901" s="378" t="s">
        <v>1351</v>
      </c>
      <c r="E901" s="384">
        <v>45292</v>
      </c>
      <c r="F901" s="384">
        <v>47119</v>
      </c>
      <c r="G901" s="378" t="s">
        <v>439</v>
      </c>
      <c r="H901" s="20" t="s">
        <v>1352</v>
      </c>
      <c r="I901" s="378" t="s">
        <v>441</v>
      </c>
      <c r="J901" s="20" t="s">
        <v>163</v>
      </c>
      <c r="K901" s="378" t="s">
        <v>1353</v>
      </c>
      <c r="L901" s="378" t="s">
        <v>165</v>
      </c>
      <c r="M901" s="380" t="s">
        <v>488</v>
      </c>
      <c r="N901" s="380" t="s">
        <v>443</v>
      </c>
      <c r="O901" s="380" t="s">
        <v>443</v>
      </c>
      <c r="P901" s="380" t="s">
        <v>443</v>
      </c>
      <c r="Q901" s="381">
        <v>188.20502999999999</v>
      </c>
      <c r="R901" s="381">
        <v>188.0429</v>
      </c>
      <c r="S901" s="381">
        <v>0.16179109999999999</v>
      </c>
      <c r="T901" s="381">
        <v>3.3149980999999998E-4</v>
      </c>
      <c r="U901" s="381">
        <v>0</v>
      </c>
      <c r="V901" s="382">
        <v>188.20502259980998</v>
      </c>
      <c r="W901" s="382">
        <v>0</v>
      </c>
      <c r="X901" s="381">
        <v>7.8418762500000003E-2</v>
      </c>
      <c r="Y901" s="381">
        <v>7.8351208333333339E-2</v>
      </c>
      <c r="Z901" s="381">
        <v>6.7412958333333328E-5</v>
      </c>
      <c r="AA901" s="381">
        <v>1.3812492083333333E-7</v>
      </c>
      <c r="AB901" s="381">
        <v>0</v>
      </c>
      <c r="AC901" s="382">
        <v>7.8418759416587505E-2</v>
      </c>
      <c r="AD901" s="382">
        <v>0</v>
      </c>
      <c r="AE901" s="381" t="s">
        <v>444</v>
      </c>
    </row>
    <row r="902" spans="1:31" ht="15" customHeight="1" x14ac:dyDescent="0.25">
      <c r="A902" s="20" t="s">
        <v>156</v>
      </c>
      <c r="B902" s="20" t="s">
        <v>939</v>
      </c>
      <c r="C902" s="20" t="s">
        <v>940</v>
      </c>
      <c r="D902" s="378" t="s">
        <v>1354</v>
      </c>
      <c r="E902" s="384">
        <v>45292</v>
      </c>
      <c r="F902" s="384">
        <v>47119</v>
      </c>
      <c r="G902" s="378" t="s">
        <v>439</v>
      </c>
      <c r="H902" s="20" t="s">
        <v>1355</v>
      </c>
      <c r="I902" s="378" t="s">
        <v>441</v>
      </c>
      <c r="J902" s="20" t="s">
        <v>163</v>
      </c>
      <c r="K902" s="378" t="s">
        <v>1356</v>
      </c>
      <c r="L902" s="378" t="s">
        <v>165</v>
      </c>
      <c r="M902" s="380" t="s">
        <v>488</v>
      </c>
      <c r="N902" s="380" t="s">
        <v>443</v>
      </c>
      <c r="O902" s="380" t="s">
        <v>443</v>
      </c>
      <c r="P902" s="380" t="s">
        <v>443</v>
      </c>
      <c r="Q902" s="381">
        <v>188.92608000000001</v>
      </c>
      <c r="R902" s="381">
        <v>188.76965000000001</v>
      </c>
      <c r="S902" s="381">
        <v>0.15540412000000001</v>
      </c>
      <c r="T902" s="381">
        <v>1.01925E-3</v>
      </c>
      <c r="U902" s="381">
        <v>0</v>
      </c>
      <c r="V902" s="382">
        <v>188.92607337000001</v>
      </c>
      <c r="W902" s="382">
        <v>0</v>
      </c>
      <c r="X902" s="381">
        <v>7.8719200000000003E-2</v>
      </c>
      <c r="Y902" s="381">
        <v>7.8654020833333338E-2</v>
      </c>
      <c r="Z902" s="381">
        <v>6.4751716666666676E-5</v>
      </c>
      <c r="AA902" s="381">
        <v>4.2468750000000001E-7</v>
      </c>
      <c r="AB902" s="381">
        <v>0</v>
      </c>
      <c r="AC902" s="382">
        <v>7.871919723750001E-2</v>
      </c>
      <c r="AD902" s="382">
        <v>0</v>
      </c>
      <c r="AE902" s="381" t="s">
        <v>444</v>
      </c>
    </row>
    <row r="903" spans="1:31" ht="15" customHeight="1" x14ac:dyDescent="0.25">
      <c r="A903" s="20" t="s">
        <v>156</v>
      </c>
      <c r="B903" s="20" t="s">
        <v>939</v>
      </c>
      <c r="C903" s="20" t="s">
        <v>940</v>
      </c>
      <c r="D903" s="378" t="s">
        <v>1357</v>
      </c>
      <c r="E903" s="384">
        <v>45292</v>
      </c>
      <c r="F903" s="384">
        <v>47119</v>
      </c>
      <c r="G903" s="378" t="s">
        <v>439</v>
      </c>
      <c r="H903" s="20" t="s">
        <v>1358</v>
      </c>
      <c r="I903" s="378" t="s">
        <v>441</v>
      </c>
      <c r="J903" s="20" t="s">
        <v>163</v>
      </c>
      <c r="K903" s="378" t="s">
        <v>1359</v>
      </c>
      <c r="L903" s="378" t="s">
        <v>165</v>
      </c>
      <c r="M903" s="380" t="s">
        <v>488</v>
      </c>
      <c r="N903" s="380" t="s">
        <v>443</v>
      </c>
      <c r="O903" s="380" t="s">
        <v>443</v>
      </c>
      <c r="P903" s="380" t="s">
        <v>443</v>
      </c>
      <c r="Q903" s="381">
        <v>180.18574000000001</v>
      </c>
      <c r="R903" s="381">
        <v>180.03259</v>
      </c>
      <c r="S903" s="381">
        <v>0.15212993</v>
      </c>
      <c r="T903" s="381">
        <v>1.0183987E-3</v>
      </c>
      <c r="U903" s="381">
        <v>0</v>
      </c>
      <c r="V903" s="382">
        <v>180.18573832870001</v>
      </c>
      <c r="W903" s="382">
        <v>0</v>
      </c>
      <c r="X903" s="381">
        <v>7.5077391666666674E-2</v>
      </c>
      <c r="Y903" s="381">
        <v>7.5013579166666663E-2</v>
      </c>
      <c r="Z903" s="381">
        <v>6.3387470833333335E-5</v>
      </c>
      <c r="AA903" s="381">
        <v>4.2433279166666665E-7</v>
      </c>
      <c r="AB903" s="381">
        <v>0</v>
      </c>
      <c r="AC903" s="382">
        <v>7.507739097029166E-2</v>
      </c>
      <c r="AD903" s="382">
        <v>0</v>
      </c>
      <c r="AE903" s="381" t="s">
        <v>444</v>
      </c>
    </row>
    <row r="904" spans="1:31" ht="15" customHeight="1" x14ac:dyDescent="0.25">
      <c r="A904" s="20" t="s">
        <v>156</v>
      </c>
      <c r="B904" s="20" t="s">
        <v>939</v>
      </c>
      <c r="C904" s="20" t="s">
        <v>940</v>
      </c>
      <c r="D904" s="378" t="s">
        <v>1360</v>
      </c>
      <c r="E904" s="384">
        <v>45292</v>
      </c>
      <c r="F904" s="384">
        <v>47119</v>
      </c>
      <c r="G904" s="378" t="s">
        <v>439</v>
      </c>
      <c r="H904" s="20" t="s">
        <v>1361</v>
      </c>
      <c r="I904" s="378" t="s">
        <v>441</v>
      </c>
      <c r="J904" s="20" t="s">
        <v>163</v>
      </c>
      <c r="K904" s="378" t="s">
        <v>1362</v>
      </c>
      <c r="L904" s="378" t="s">
        <v>165</v>
      </c>
      <c r="M904" s="380" t="s">
        <v>488</v>
      </c>
      <c r="N904" s="380" t="s">
        <v>443</v>
      </c>
      <c r="O904" s="380" t="s">
        <v>443</v>
      </c>
      <c r="P904" s="380" t="s">
        <v>443</v>
      </c>
      <c r="Q904" s="381">
        <v>266.06711000000001</v>
      </c>
      <c r="R904" s="381">
        <v>265.91755999999998</v>
      </c>
      <c r="S904" s="381">
        <v>6.9698284999999999E-2</v>
      </c>
      <c r="T904" s="381">
        <v>7.9849668999999998E-2</v>
      </c>
      <c r="U904" s="381">
        <v>0</v>
      </c>
      <c r="V904" s="382">
        <v>266.06710795399999</v>
      </c>
      <c r="W904" s="382">
        <v>0</v>
      </c>
      <c r="X904" s="381">
        <v>0.11086129583333335</v>
      </c>
      <c r="Y904" s="381">
        <v>0.11079898333333332</v>
      </c>
      <c r="Z904" s="381">
        <v>2.9040952083333331E-5</v>
      </c>
      <c r="AA904" s="381">
        <v>3.3270695416666667E-5</v>
      </c>
      <c r="AB904" s="381">
        <v>0</v>
      </c>
      <c r="AC904" s="382">
        <v>0.11086129498083333</v>
      </c>
      <c r="AD904" s="382">
        <v>0</v>
      </c>
      <c r="AE904" s="381" t="s">
        <v>444</v>
      </c>
    </row>
    <row r="905" spans="1:31" ht="15" customHeight="1" x14ac:dyDescent="0.25">
      <c r="A905" s="20" t="s">
        <v>156</v>
      </c>
      <c r="B905" s="20" t="s">
        <v>939</v>
      </c>
      <c r="C905" s="20" t="s">
        <v>940</v>
      </c>
      <c r="D905" s="378" t="s">
        <v>1363</v>
      </c>
      <c r="E905" s="384">
        <v>45292</v>
      </c>
      <c r="F905" s="384">
        <v>47119</v>
      </c>
      <c r="G905" s="378" t="s">
        <v>439</v>
      </c>
      <c r="H905" s="20" t="s">
        <v>1364</v>
      </c>
      <c r="I905" s="378" t="s">
        <v>441</v>
      </c>
      <c r="J905" s="20" t="s">
        <v>163</v>
      </c>
      <c r="K905" s="378" t="s">
        <v>1365</v>
      </c>
      <c r="L905" s="378" t="s">
        <v>165</v>
      </c>
      <c r="M905" s="380" t="s">
        <v>488</v>
      </c>
      <c r="N905" s="380" t="s">
        <v>443</v>
      </c>
      <c r="O905" s="380" t="s">
        <v>443</v>
      </c>
      <c r="P905" s="380" t="s">
        <v>443</v>
      </c>
      <c r="Q905" s="381">
        <v>249.08430000000001</v>
      </c>
      <c r="R905" s="381">
        <v>248.94771</v>
      </c>
      <c r="S905" s="381">
        <v>0.11019337</v>
      </c>
      <c r="T905" s="381">
        <v>2.6395696999999999E-2</v>
      </c>
      <c r="U905" s="381">
        <v>0</v>
      </c>
      <c r="V905" s="382">
        <v>249.08429906699999</v>
      </c>
      <c r="W905" s="382">
        <v>0</v>
      </c>
      <c r="X905" s="381">
        <v>0.10378512500000001</v>
      </c>
      <c r="Y905" s="381">
        <v>0.1037282125</v>
      </c>
      <c r="Z905" s="381">
        <v>4.5913904166666667E-5</v>
      </c>
      <c r="AA905" s="381">
        <v>1.0998207083333332E-5</v>
      </c>
      <c r="AB905" s="381">
        <v>0</v>
      </c>
      <c r="AC905" s="382">
        <v>0.10378512461125</v>
      </c>
      <c r="AD905" s="382">
        <v>0</v>
      </c>
      <c r="AE905" s="381" t="s">
        <v>444</v>
      </c>
    </row>
    <row r="906" spans="1:31" ht="15" customHeight="1" x14ac:dyDescent="0.25">
      <c r="A906" s="20" t="s">
        <v>156</v>
      </c>
      <c r="B906" s="20" t="s">
        <v>939</v>
      </c>
      <c r="C906" s="20" t="s">
        <v>940</v>
      </c>
      <c r="D906" s="378" t="s">
        <v>1366</v>
      </c>
      <c r="E906" s="384">
        <v>45292</v>
      </c>
      <c r="F906" s="384">
        <v>47119</v>
      </c>
      <c r="G906" s="378" t="s">
        <v>439</v>
      </c>
      <c r="H906" s="20" t="s">
        <v>1367</v>
      </c>
      <c r="I906" s="378" t="s">
        <v>441</v>
      </c>
      <c r="J906" s="20" t="s">
        <v>163</v>
      </c>
      <c r="K906" s="378" t="s">
        <v>1368</v>
      </c>
      <c r="L906" s="378" t="s">
        <v>165</v>
      </c>
      <c r="M906" s="380" t="s">
        <v>488</v>
      </c>
      <c r="N906" s="380" t="s">
        <v>443</v>
      </c>
      <c r="O906" s="380" t="s">
        <v>443</v>
      </c>
      <c r="P906" s="380" t="s">
        <v>443</v>
      </c>
      <c r="Q906" s="381">
        <v>246.24972</v>
      </c>
      <c r="R906" s="381">
        <v>246.11391</v>
      </c>
      <c r="S906" s="381">
        <v>0.11019168</v>
      </c>
      <c r="T906" s="381">
        <v>2.5612599E-2</v>
      </c>
      <c r="U906" s="381">
        <v>0</v>
      </c>
      <c r="V906" s="382">
        <v>246.24971427900002</v>
      </c>
      <c r="W906" s="382">
        <v>0</v>
      </c>
      <c r="X906" s="381">
        <v>0.10260405</v>
      </c>
      <c r="Y906" s="381">
        <v>0.10254746250000001</v>
      </c>
      <c r="Z906" s="381">
        <v>4.5913199999999999E-5</v>
      </c>
      <c r="AA906" s="381">
        <v>1.067191625E-5</v>
      </c>
      <c r="AB906" s="381">
        <v>0</v>
      </c>
      <c r="AC906" s="382">
        <v>0.10260404761625</v>
      </c>
      <c r="AD906" s="382">
        <v>0</v>
      </c>
      <c r="AE906" s="381" t="s">
        <v>444</v>
      </c>
    </row>
    <row r="907" spans="1:31" ht="15" customHeight="1" x14ac:dyDescent="0.25">
      <c r="A907" s="20" t="s">
        <v>156</v>
      </c>
      <c r="B907" s="20" t="s">
        <v>939</v>
      </c>
      <c r="C907" s="20" t="s">
        <v>940</v>
      </c>
      <c r="D907" s="378" t="s">
        <v>1369</v>
      </c>
      <c r="E907" s="384">
        <v>45292</v>
      </c>
      <c r="F907" s="384">
        <v>47119</v>
      </c>
      <c r="G907" s="378" t="s">
        <v>439</v>
      </c>
      <c r="H907" s="20" t="s">
        <v>1370</v>
      </c>
      <c r="I907" s="378" t="s">
        <v>441</v>
      </c>
      <c r="J907" s="20" t="s">
        <v>163</v>
      </c>
      <c r="K907" s="378" t="s">
        <v>1371</v>
      </c>
      <c r="L907" s="378" t="s">
        <v>165</v>
      </c>
      <c r="M907" s="380" t="s">
        <v>488</v>
      </c>
      <c r="N907" s="380" t="s">
        <v>443</v>
      </c>
      <c r="O907" s="380" t="s">
        <v>443</v>
      </c>
      <c r="P907" s="380" t="s">
        <v>443</v>
      </c>
      <c r="Q907" s="381">
        <v>273.02827000000002</v>
      </c>
      <c r="R907" s="381">
        <v>272.89494999999999</v>
      </c>
      <c r="S907" s="381">
        <v>0.10415003</v>
      </c>
      <c r="T907" s="381">
        <v>2.9165354000000001E-2</v>
      </c>
      <c r="U907" s="381">
        <v>0</v>
      </c>
      <c r="V907" s="382">
        <v>273.02826538400001</v>
      </c>
      <c r="W907" s="382">
        <v>0</v>
      </c>
      <c r="X907" s="381">
        <v>0.11376177916666667</v>
      </c>
      <c r="Y907" s="381">
        <v>0.11370622916666666</v>
      </c>
      <c r="Z907" s="381">
        <v>4.3395845833333333E-5</v>
      </c>
      <c r="AA907" s="381">
        <v>1.2152230833333334E-5</v>
      </c>
      <c r="AB907" s="381">
        <v>0</v>
      </c>
      <c r="AC907" s="382">
        <v>0.11376177724333333</v>
      </c>
      <c r="AD907" s="382">
        <v>0</v>
      </c>
      <c r="AE907" s="381" t="s">
        <v>444</v>
      </c>
    </row>
    <row r="908" spans="1:31" ht="15" customHeight="1" x14ac:dyDescent="0.25">
      <c r="A908" s="20" t="s">
        <v>156</v>
      </c>
      <c r="B908" s="20" t="s">
        <v>939</v>
      </c>
      <c r="C908" s="20" t="s">
        <v>940</v>
      </c>
      <c r="D908" s="378" t="s">
        <v>1372</v>
      </c>
      <c r="E908" s="384">
        <v>45292</v>
      </c>
      <c r="F908" s="384">
        <v>47119</v>
      </c>
      <c r="G908" s="378" t="s">
        <v>439</v>
      </c>
      <c r="H908" s="20" t="s">
        <v>1373</v>
      </c>
      <c r="I908" s="378" t="s">
        <v>441</v>
      </c>
      <c r="J908" s="20" t="s">
        <v>163</v>
      </c>
      <c r="K908" s="378" t="s">
        <v>1374</v>
      </c>
      <c r="L908" s="378" t="s">
        <v>165</v>
      </c>
      <c r="M908" s="380" t="s">
        <v>488</v>
      </c>
      <c r="N908" s="380" t="s">
        <v>443</v>
      </c>
      <c r="O908" s="380" t="s">
        <v>443</v>
      </c>
      <c r="P908" s="380" t="s">
        <v>443</v>
      </c>
      <c r="Q908" s="381">
        <v>246.83833999999999</v>
      </c>
      <c r="R908" s="381">
        <v>246.71144000000001</v>
      </c>
      <c r="S908" s="381">
        <v>0.10152673</v>
      </c>
      <c r="T908" s="381">
        <v>2.5373387000000001E-2</v>
      </c>
      <c r="U908" s="381">
        <v>0</v>
      </c>
      <c r="V908" s="382">
        <v>246.838340117</v>
      </c>
      <c r="W908" s="382">
        <v>0</v>
      </c>
      <c r="X908" s="381">
        <v>0.10284930833333333</v>
      </c>
      <c r="Y908" s="381">
        <v>0.10279643333333334</v>
      </c>
      <c r="Z908" s="381">
        <v>4.2302804166666663E-5</v>
      </c>
      <c r="AA908" s="381">
        <v>1.0572244583333334E-5</v>
      </c>
      <c r="AB908" s="381">
        <v>0</v>
      </c>
      <c r="AC908" s="382">
        <v>0.10284930838208335</v>
      </c>
      <c r="AD908" s="382">
        <v>0</v>
      </c>
      <c r="AE908" s="381" t="s">
        <v>444</v>
      </c>
    </row>
    <row r="909" spans="1:31" ht="15" customHeight="1" x14ac:dyDescent="0.25">
      <c r="A909" s="20" t="s">
        <v>156</v>
      </c>
      <c r="B909" s="20" t="s">
        <v>939</v>
      </c>
      <c r="C909" s="20" t="s">
        <v>940</v>
      </c>
      <c r="D909" s="378" t="s">
        <v>1375</v>
      </c>
      <c r="E909" s="384">
        <v>45292</v>
      </c>
      <c r="F909" s="384">
        <v>47119</v>
      </c>
      <c r="G909" s="378" t="s">
        <v>439</v>
      </c>
      <c r="H909" s="20" t="s">
        <v>1376</v>
      </c>
      <c r="I909" s="378" t="s">
        <v>441</v>
      </c>
      <c r="J909" s="20" t="s">
        <v>163</v>
      </c>
      <c r="K909" s="378" t="s">
        <v>1377</v>
      </c>
      <c r="L909" s="378" t="s">
        <v>165</v>
      </c>
      <c r="M909" s="380" t="s">
        <v>488</v>
      </c>
      <c r="N909" s="380" t="s">
        <v>443</v>
      </c>
      <c r="O909" s="380" t="s">
        <v>443</v>
      </c>
      <c r="P909" s="380" t="s">
        <v>443</v>
      </c>
      <c r="Q909" s="381">
        <v>266.57859000000002</v>
      </c>
      <c r="R909" s="381">
        <v>266.45359000000002</v>
      </c>
      <c r="S909" s="381">
        <v>0.12498447</v>
      </c>
      <c r="T909" s="381">
        <v>1.5898367999999999E-5</v>
      </c>
      <c r="U909" s="381">
        <v>0</v>
      </c>
      <c r="V909" s="382">
        <v>266.57859036836805</v>
      </c>
      <c r="W909" s="382">
        <v>0</v>
      </c>
      <c r="X909" s="381">
        <v>0.11107441250000001</v>
      </c>
      <c r="Y909" s="381">
        <v>0.11102232916666667</v>
      </c>
      <c r="Z909" s="381">
        <v>5.2076862499999997E-5</v>
      </c>
      <c r="AA909" s="381">
        <v>6.6243199999999997E-9</v>
      </c>
      <c r="AB909" s="381">
        <v>0</v>
      </c>
      <c r="AC909" s="382">
        <v>0.11107441265348666</v>
      </c>
      <c r="AD909" s="382">
        <v>0</v>
      </c>
      <c r="AE909" s="381" t="s">
        <v>444</v>
      </c>
    </row>
    <row r="910" spans="1:31" ht="15" customHeight="1" x14ac:dyDescent="0.25">
      <c r="A910" s="20" t="s">
        <v>156</v>
      </c>
      <c r="B910" s="20" t="s">
        <v>939</v>
      </c>
      <c r="C910" s="20" t="s">
        <v>940</v>
      </c>
      <c r="D910" s="378" t="s">
        <v>1378</v>
      </c>
      <c r="E910" s="384">
        <v>45292</v>
      </c>
      <c r="F910" s="384">
        <v>47119</v>
      </c>
      <c r="G910" s="378" t="s">
        <v>439</v>
      </c>
      <c r="H910" s="20" t="s">
        <v>1379</v>
      </c>
      <c r="I910" s="378" t="s">
        <v>441</v>
      </c>
      <c r="J910" s="20" t="s">
        <v>163</v>
      </c>
      <c r="K910" s="378" t="s">
        <v>1380</v>
      </c>
      <c r="L910" s="378" t="s">
        <v>165</v>
      </c>
      <c r="M910" s="380" t="s">
        <v>488</v>
      </c>
      <c r="N910" s="380" t="s">
        <v>443</v>
      </c>
      <c r="O910" s="380" t="s">
        <v>443</v>
      </c>
      <c r="P910" s="380" t="s">
        <v>443</v>
      </c>
      <c r="Q910" s="381">
        <v>237.27418</v>
      </c>
      <c r="R910" s="381">
        <v>237.14931000000001</v>
      </c>
      <c r="S910" s="381">
        <v>0.10089852000000001</v>
      </c>
      <c r="T910" s="381">
        <v>2.3970389000000002E-2</v>
      </c>
      <c r="U910" s="381">
        <v>0</v>
      </c>
      <c r="V910" s="382">
        <v>237.274178909</v>
      </c>
      <c r="W910" s="382">
        <v>0</v>
      </c>
      <c r="X910" s="381">
        <v>9.8864241666666672E-2</v>
      </c>
      <c r="Y910" s="381">
        <v>9.881221250000001E-2</v>
      </c>
      <c r="Z910" s="381">
        <v>4.2041050000000003E-5</v>
      </c>
      <c r="AA910" s="381">
        <v>9.9876620833333345E-6</v>
      </c>
      <c r="AB910" s="381">
        <v>0</v>
      </c>
      <c r="AC910" s="382">
        <v>9.8864241212083342E-2</v>
      </c>
      <c r="AD910" s="382">
        <v>0</v>
      </c>
      <c r="AE910" s="381" t="s">
        <v>444</v>
      </c>
    </row>
    <row r="911" spans="1:31" ht="15" customHeight="1" x14ac:dyDescent="0.25">
      <c r="A911" s="20" t="s">
        <v>156</v>
      </c>
      <c r="B911" s="20" t="s">
        <v>939</v>
      </c>
      <c r="C911" s="20" t="s">
        <v>940</v>
      </c>
      <c r="D911" s="378" t="s">
        <v>1381</v>
      </c>
      <c r="E911" s="384">
        <v>45292</v>
      </c>
      <c r="F911" s="384">
        <v>47119</v>
      </c>
      <c r="G911" s="378" t="s">
        <v>439</v>
      </c>
      <c r="H911" s="20" t="s">
        <v>1382</v>
      </c>
      <c r="I911" s="378" t="s">
        <v>441</v>
      </c>
      <c r="J911" s="20" t="s">
        <v>163</v>
      </c>
      <c r="K911" s="378" t="s">
        <v>1383</v>
      </c>
      <c r="L911" s="378" t="s">
        <v>165</v>
      </c>
      <c r="M911" s="380" t="s">
        <v>488</v>
      </c>
      <c r="N911" s="380" t="s">
        <v>443</v>
      </c>
      <c r="O911" s="380" t="s">
        <v>443</v>
      </c>
      <c r="P911" s="380" t="s">
        <v>443</v>
      </c>
      <c r="Q911" s="381">
        <v>223.97939</v>
      </c>
      <c r="R911" s="381">
        <v>223.85481999999999</v>
      </c>
      <c r="S911" s="381">
        <v>0.10254784</v>
      </c>
      <c r="T911" s="381">
        <v>2.2021039999999999E-2</v>
      </c>
      <c r="U911" s="381">
        <v>0</v>
      </c>
      <c r="V911" s="382">
        <v>223.97938887999999</v>
      </c>
      <c r="W911" s="382">
        <v>0</v>
      </c>
      <c r="X911" s="381">
        <v>9.3324745833333334E-2</v>
      </c>
      <c r="Y911" s="381">
        <v>9.3272841666666662E-2</v>
      </c>
      <c r="Z911" s="381">
        <v>4.2728266666666669E-5</v>
      </c>
      <c r="AA911" s="381">
        <v>9.175433333333332E-6</v>
      </c>
      <c r="AB911" s="381">
        <v>0</v>
      </c>
      <c r="AC911" s="382">
        <v>9.3324745366666656E-2</v>
      </c>
      <c r="AD911" s="382">
        <v>0</v>
      </c>
      <c r="AE911" s="381" t="s">
        <v>444</v>
      </c>
    </row>
    <row r="912" spans="1:31" ht="15" customHeight="1" x14ac:dyDescent="0.25">
      <c r="A912" s="20" t="s">
        <v>156</v>
      </c>
      <c r="B912" s="20" t="s">
        <v>939</v>
      </c>
      <c r="C912" s="20" t="s">
        <v>940</v>
      </c>
      <c r="D912" s="378" t="s">
        <v>1384</v>
      </c>
      <c r="E912" s="384">
        <v>45292</v>
      </c>
      <c r="F912" s="384">
        <v>47119</v>
      </c>
      <c r="G912" s="378" t="s">
        <v>439</v>
      </c>
      <c r="H912" s="20" t="s">
        <v>1385</v>
      </c>
      <c r="I912" s="378" t="s">
        <v>441</v>
      </c>
      <c r="J912" s="20" t="s">
        <v>163</v>
      </c>
      <c r="K912" s="378" t="s">
        <v>1386</v>
      </c>
      <c r="L912" s="378" t="s">
        <v>165</v>
      </c>
      <c r="M912" s="380" t="s">
        <v>488</v>
      </c>
      <c r="N912" s="380" t="s">
        <v>443</v>
      </c>
      <c r="O912" s="380" t="s">
        <v>443</v>
      </c>
      <c r="P912" s="380" t="s">
        <v>443</v>
      </c>
      <c r="Q912" s="381">
        <v>205.21288999999999</v>
      </c>
      <c r="R912" s="381">
        <v>205.08885000000001</v>
      </c>
      <c r="S912" s="381">
        <v>7.0360295000000003E-2</v>
      </c>
      <c r="T912" s="381">
        <v>5.3678025999999997E-2</v>
      </c>
      <c r="U912" s="381">
        <v>0</v>
      </c>
      <c r="V912" s="382">
        <v>205.21288832100001</v>
      </c>
      <c r="W912" s="382">
        <v>0</v>
      </c>
      <c r="X912" s="381">
        <v>8.550537083333333E-2</v>
      </c>
      <c r="Y912" s="381">
        <v>8.54536875E-2</v>
      </c>
      <c r="Z912" s="381">
        <v>2.9316789583333336E-5</v>
      </c>
      <c r="AA912" s="381">
        <v>2.2365844166666664E-5</v>
      </c>
      <c r="AB912" s="381">
        <v>0</v>
      </c>
      <c r="AC912" s="382">
        <v>8.5505370133749994E-2</v>
      </c>
      <c r="AD912" s="382">
        <v>0</v>
      </c>
      <c r="AE912" s="381" t="s">
        <v>444</v>
      </c>
    </row>
    <row r="913" spans="1:31" ht="15" customHeight="1" x14ac:dyDescent="0.25">
      <c r="A913" s="20" t="s">
        <v>156</v>
      </c>
      <c r="B913" s="20" t="s">
        <v>939</v>
      </c>
      <c r="C913" s="20" t="s">
        <v>940</v>
      </c>
      <c r="D913" s="378" t="s">
        <v>1387</v>
      </c>
      <c r="E913" s="384">
        <v>45292</v>
      </c>
      <c r="F913" s="384">
        <v>47119</v>
      </c>
      <c r="G913" s="378" t="s">
        <v>439</v>
      </c>
      <c r="H913" s="20" t="s">
        <v>1388</v>
      </c>
      <c r="I913" s="378" t="s">
        <v>441</v>
      </c>
      <c r="J913" s="20" t="s">
        <v>163</v>
      </c>
      <c r="K913" s="378" t="s">
        <v>1389</v>
      </c>
      <c r="L913" s="378" t="s">
        <v>165</v>
      </c>
      <c r="M913" s="380" t="s">
        <v>488</v>
      </c>
      <c r="N913" s="380" t="s">
        <v>443</v>
      </c>
      <c r="O913" s="380" t="s">
        <v>443</v>
      </c>
      <c r="P913" s="380" t="s">
        <v>443</v>
      </c>
      <c r="Q913" s="381">
        <v>199.21890999999999</v>
      </c>
      <c r="R913" s="381">
        <v>199.09753000000001</v>
      </c>
      <c r="S913" s="381">
        <v>0.10169726</v>
      </c>
      <c r="T913" s="381">
        <v>1.9680700999999998E-2</v>
      </c>
      <c r="U913" s="381">
        <v>0</v>
      </c>
      <c r="V913" s="382">
        <v>199.21890796100001</v>
      </c>
      <c r="W913" s="382">
        <v>0</v>
      </c>
      <c r="X913" s="381">
        <v>8.3007879166666659E-2</v>
      </c>
      <c r="Y913" s="381">
        <v>8.2957304166666676E-2</v>
      </c>
      <c r="Z913" s="381">
        <v>4.2373858333333333E-5</v>
      </c>
      <c r="AA913" s="381">
        <v>8.2002920833333323E-6</v>
      </c>
      <c r="AB913" s="381">
        <v>0</v>
      </c>
      <c r="AC913" s="382">
        <v>8.3007878317083339E-2</v>
      </c>
      <c r="AD913" s="382">
        <v>0</v>
      </c>
      <c r="AE913" s="381" t="s">
        <v>444</v>
      </c>
    </row>
    <row r="914" spans="1:31" ht="15" customHeight="1" x14ac:dyDescent="0.25">
      <c r="A914" s="20" t="s">
        <v>156</v>
      </c>
      <c r="B914" s="20" t="s">
        <v>939</v>
      </c>
      <c r="C914" s="20" t="s">
        <v>940</v>
      </c>
      <c r="D914" s="378" t="s">
        <v>1390</v>
      </c>
      <c r="E914" s="384">
        <v>45292</v>
      </c>
      <c r="F914" s="384">
        <v>47119</v>
      </c>
      <c r="G914" s="378" t="s">
        <v>439</v>
      </c>
      <c r="H914" s="20" t="s">
        <v>1391</v>
      </c>
      <c r="I914" s="378" t="s">
        <v>441</v>
      </c>
      <c r="J914" s="20" t="s">
        <v>163</v>
      </c>
      <c r="K914" s="378" t="s">
        <v>1392</v>
      </c>
      <c r="L914" s="378" t="s">
        <v>165</v>
      </c>
      <c r="M914" s="380" t="s">
        <v>488</v>
      </c>
      <c r="N914" s="380" t="s">
        <v>443</v>
      </c>
      <c r="O914" s="380" t="s">
        <v>443</v>
      </c>
      <c r="P914" s="380" t="s">
        <v>443</v>
      </c>
      <c r="Q914" s="381">
        <v>320.62972000000002</v>
      </c>
      <c r="R914" s="381">
        <v>320.50923999999998</v>
      </c>
      <c r="S914" s="381">
        <v>8.5425055E-2</v>
      </c>
      <c r="T914" s="381">
        <v>3.5047930999999997E-2</v>
      </c>
      <c r="U914" s="381">
        <v>0</v>
      </c>
      <c r="V914" s="382">
        <v>320.62971298599996</v>
      </c>
      <c r="W914" s="382">
        <v>0</v>
      </c>
      <c r="X914" s="381">
        <v>0.13359571666666667</v>
      </c>
      <c r="Y914" s="381">
        <v>0.13354551666666667</v>
      </c>
      <c r="Z914" s="381">
        <v>3.5593772916666667E-5</v>
      </c>
      <c r="AA914" s="381">
        <v>1.4603304583333333E-5</v>
      </c>
      <c r="AB914" s="381">
        <v>0</v>
      </c>
      <c r="AC914" s="382">
        <v>0.13359571374416668</v>
      </c>
      <c r="AD914" s="382">
        <v>0</v>
      </c>
      <c r="AE914" s="381" t="s">
        <v>444</v>
      </c>
    </row>
    <row r="915" spans="1:31" ht="15" customHeight="1" x14ac:dyDescent="0.25">
      <c r="A915" s="20" t="s">
        <v>156</v>
      </c>
      <c r="B915" s="20" t="s">
        <v>939</v>
      </c>
      <c r="C915" s="20" t="s">
        <v>940</v>
      </c>
      <c r="D915" s="378" t="s">
        <v>1393</v>
      </c>
      <c r="E915" s="384">
        <v>45292</v>
      </c>
      <c r="F915" s="384">
        <v>47119</v>
      </c>
      <c r="G915" s="378" t="s">
        <v>439</v>
      </c>
      <c r="H915" s="20" t="s">
        <v>1394</v>
      </c>
      <c r="I915" s="378" t="s">
        <v>441</v>
      </c>
      <c r="J915" s="20" t="s">
        <v>163</v>
      </c>
      <c r="K915" s="378" t="s">
        <v>1395</v>
      </c>
      <c r="L915" s="378" t="s">
        <v>165</v>
      </c>
      <c r="M915" s="380" t="s">
        <v>488</v>
      </c>
      <c r="N915" s="380" t="s">
        <v>443</v>
      </c>
      <c r="O915" s="380" t="s">
        <v>443</v>
      </c>
      <c r="P915" s="380" t="s">
        <v>443</v>
      </c>
      <c r="Q915" s="381">
        <v>320.62972000000002</v>
      </c>
      <c r="R915" s="381">
        <v>320.50923999999998</v>
      </c>
      <c r="S915" s="381">
        <v>8.5425055E-2</v>
      </c>
      <c r="T915" s="381">
        <v>3.5047930999999997E-2</v>
      </c>
      <c r="U915" s="381">
        <v>0</v>
      </c>
      <c r="V915" s="382">
        <v>320.62971298599996</v>
      </c>
      <c r="W915" s="382">
        <v>0</v>
      </c>
      <c r="X915" s="381">
        <v>0.13359571666666667</v>
      </c>
      <c r="Y915" s="381">
        <v>0.13354551666666667</v>
      </c>
      <c r="Z915" s="381">
        <v>3.5593772916666667E-5</v>
      </c>
      <c r="AA915" s="381">
        <v>1.4603304583333333E-5</v>
      </c>
      <c r="AB915" s="381">
        <v>0</v>
      </c>
      <c r="AC915" s="382">
        <v>0.13359571374416668</v>
      </c>
      <c r="AD915" s="382">
        <v>0</v>
      </c>
      <c r="AE915" s="381" t="s">
        <v>444</v>
      </c>
    </row>
    <row r="916" spans="1:31" ht="15" customHeight="1" x14ac:dyDescent="0.25">
      <c r="A916" s="20" t="s">
        <v>156</v>
      </c>
      <c r="B916" s="20" t="s">
        <v>939</v>
      </c>
      <c r="C916" s="20" t="s">
        <v>940</v>
      </c>
      <c r="D916" s="378" t="s">
        <v>1396</v>
      </c>
      <c r="E916" s="384">
        <v>45292</v>
      </c>
      <c r="F916" s="384">
        <v>47119</v>
      </c>
      <c r="G916" s="378" t="s">
        <v>439</v>
      </c>
      <c r="H916" s="20" t="s">
        <v>1397</v>
      </c>
      <c r="I916" s="378" t="s">
        <v>441</v>
      </c>
      <c r="J916" s="20" t="s">
        <v>163</v>
      </c>
      <c r="K916" s="378" t="s">
        <v>1398</v>
      </c>
      <c r="L916" s="378" t="s">
        <v>165</v>
      </c>
      <c r="M916" s="380" t="s">
        <v>488</v>
      </c>
      <c r="N916" s="380" t="s">
        <v>443</v>
      </c>
      <c r="O916" s="380" t="s">
        <v>443</v>
      </c>
      <c r="P916" s="380" t="s">
        <v>443</v>
      </c>
      <c r="Q916" s="381">
        <v>295.77433000000002</v>
      </c>
      <c r="R916" s="381">
        <v>295.66174000000001</v>
      </c>
      <c r="S916" s="381">
        <v>8.0533557000000006E-2</v>
      </c>
      <c r="T916" s="381">
        <v>3.2058387000000001E-2</v>
      </c>
      <c r="U916" s="381">
        <v>0</v>
      </c>
      <c r="V916" s="382">
        <v>295.77433194400004</v>
      </c>
      <c r="W916" s="382">
        <v>0</v>
      </c>
      <c r="X916" s="381">
        <v>0.12323930416666667</v>
      </c>
      <c r="Y916" s="381">
        <v>0.12319239166666666</v>
      </c>
      <c r="Z916" s="381">
        <v>3.3555648750000003E-5</v>
      </c>
      <c r="AA916" s="381">
        <v>1.335766125E-5</v>
      </c>
      <c r="AB916" s="381">
        <v>0</v>
      </c>
      <c r="AC916" s="382">
        <v>0.12323930497666667</v>
      </c>
      <c r="AD916" s="382">
        <v>0</v>
      </c>
      <c r="AE916" s="381" t="s">
        <v>444</v>
      </c>
    </row>
    <row r="917" spans="1:31" ht="15" customHeight="1" x14ac:dyDescent="0.25">
      <c r="A917" s="20" t="s">
        <v>156</v>
      </c>
      <c r="B917" s="20" t="s">
        <v>939</v>
      </c>
      <c r="C917" s="20" t="s">
        <v>940</v>
      </c>
      <c r="D917" s="378" t="s">
        <v>1399</v>
      </c>
      <c r="E917" s="384">
        <v>45292</v>
      </c>
      <c r="F917" s="384">
        <v>47119</v>
      </c>
      <c r="G917" s="378" t="s">
        <v>439</v>
      </c>
      <c r="H917" s="20" t="s">
        <v>1400</v>
      </c>
      <c r="I917" s="378" t="s">
        <v>441</v>
      </c>
      <c r="J917" s="20" t="s">
        <v>163</v>
      </c>
      <c r="K917" s="378" t="s">
        <v>1401</v>
      </c>
      <c r="L917" s="378" t="s">
        <v>165</v>
      </c>
      <c r="M917" s="380" t="s">
        <v>488</v>
      </c>
      <c r="N917" s="380" t="s">
        <v>443</v>
      </c>
      <c r="O917" s="380" t="s">
        <v>443</v>
      </c>
      <c r="P917" s="380" t="s">
        <v>443</v>
      </c>
      <c r="Q917" s="381">
        <v>200.11931999999999</v>
      </c>
      <c r="R917" s="381">
        <v>200.02099000000001</v>
      </c>
      <c r="S917" s="381">
        <v>9.6836777999999998E-2</v>
      </c>
      <c r="T917" s="381">
        <v>1.4932602E-3</v>
      </c>
      <c r="U917" s="381">
        <v>0</v>
      </c>
      <c r="V917" s="382">
        <v>200.11932003820002</v>
      </c>
      <c r="W917" s="382">
        <v>0</v>
      </c>
      <c r="X917" s="381">
        <v>8.338305E-2</v>
      </c>
      <c r="Y917" s="381">
        <v>8.3342079166666666E-2</v>
      </c>
      <c r="Z917" s="381">
        <v>4.0348657500000003E-5</v>
      </c>
      <c r="AA917" s="381">
        <v>6.2219174999999998E-7</v>
      </c>
      <c r="AB917" s="381">
        <v>0</v>
      </c>
      <c r="AC917" s="382">
        <v>8.3383050015916657E-2</v>
      </c>
      <c r="AD917" s="382">
        <v>0</v>
      </c>
      <c r="AE917" s="381" t="s">
        <v>444</v>
      </c>
    </row>
    <row r="918" spans="1:31" ht="15" customHeight="1" x14ac:dyDescent="0.25">
      <c r="A918" s="20" t="s">
        <v>156</v>
      </c>
      <c r="B918" s="20" t="s">
        <v>939</v>
      </c>
      <c r="C918" s="20" t="s">
        <v>940</v>
      </c>
      <c r="D918" s="378" t="s">
        <v>1402</v>
      </c>
      <c r="E918" s="384">
        <v>45292</v>
      </c>
      <c r="F918" s="384">
        <v>47119</v>
      </c>
      <c r="G918" s="378" t="s">
        <v>439</v>
      </c>
      <c r="H918" s="20" t="s">
        <v>1403</v>
      </c>
      <c r="I918" s="378" t="s">
        <v>441</v>
      </c>
      <c r="J918" s="20" t="s">
        <v>163</v>
      </c>
      <c r="K918" s="378" t="s">
        <v>1404</v>
      </c>
      <c r="L918" s="378" t="s">
        <v>165</v>
      </c>
      <c r="M918" s="380" t="s">
        <v>488</v>
      </c>
      <c r="N918" s="380" t="s">
        <v>443</v>
      </c>
      <c r="O918" s="380" t="s">
        <v>443</v>
      </c>
      <c r="P918" s="380" t="s">
        <v>443</v>
      </c>
      <c r="Q918" s="381">
        <v>236.23137</v>
      </c>
      <c r="R918" s="381">
        <v>236.14197999999999</v>
      </c>
      <c r="S918" s="381">
        <v>8.8095380000000001E-2</v>
      </c>
      <c r="T918" s="381">
        <v>1.3026704E-3</v>
      </c>
      <c r="U918" s="381">
        <v>0</v>
      </c>
      <c r="V918" s="382">
        <v>236.2313780504</v>
      </c>
      <c r="W918" s="382">
        <v>0</v>
      </c>
      <c r="X918" s="381">
        <v>9.8429737500000003E-2</v>
      </c>
      <c r="Y918" s="381">
        <v>9.8392491666666665E-2</v>
      </c>
      <c r="Z918" s="381">
        <v>3.6706408333333337E-5</v>
      </c>
      <c r="AA918" s="381">
        <v>5.4277933333333331E-7</v>
      </c>
      <c r="AB918" s="381">
        <v>0</v>
      </c>
      <c r="AC918" s="382">
        <v>9.8429740854333342E-2</v>
      </c>
      <c r="AD918" s="382">
        <v>0</v>
      </c>
      <c r="AE918" s="381" t="s">
        <v>444</v>
      </c>
    </row>
    <row r="919" spans="1:31" ht="15" customHeight="1" x14ac:dyDescent="0.25">
      <c r="A919" s="20" t="s">
        <v>156</v>
      </c>
      <c r="B919" s="20" t="s">
        <v>939</v>
      </c>
      <c r="C919" s="20" t="s">
        <v>940</v>
      </c>
      <c r="D919" s="378" t="s">
        <v>1405</v>
      </c>
      <c r="E919" s="384">
        <v>45292</v>
      </c>
      <c r="F919" s="384">
        <v>47119</v>
      </c>
      <c r="G919" s="378" t="s">
        <v>439</v>
      </c>
      <c r="H919" s="20" t="s">
        <v>1406</v>
      </c>
      <c r="I919" s="378" t="s">
        <v>441</v>
      </c>
      <c r="J919" s="20" t="s">
        <v>163</v>
      </c>
      <c r="K919" s="378" t="s">
        <v>1407</v>
      </c>
      <c r="L919" s="378" t="s">
        <v>165</v>
      </c>
      <c r="M919" s="380" t="s">
        <v>488</v>
      </c>
      <c r="N919" s="380" t="s">
        <v>443</v>
      </c>
      <c r="O919" s="380" t="s">
        <v>443</v>
      </c>
      <c r="P919" s="380" t="s">
        <v>443</v>
      </c>
      <c r="Q919" s="381">
        <v>208.31291999999999</v>
      </c>
      <c r="R919" s="381">
        <v>208.22378</v>
      </c>
      <c r="S919" s="381">
        <v>8.7697213999999996E-2</v>
      </c>
      <c r="T919" s="381">
        <v>1.4372306E-3</v>
      </c>
      <c r="U919" s="381">
        <v>0</v>
      </c>
      <c r="V919" s="382">
        <v>208.31291444460001</v>
      </c>
      <c r="W919" s="382">
        <v>0</v>
      </c>
      <c r="X919" s="381">
        <v>8.6797050000000001E-2</v>
      </c>
      <c r="Y919" s="381">
        <v>8.675990833333333E-2</v>
      </c>
      <c r="Z919" s="381">
        <v>3.6540505833333328E-5</v>
      </c>
      <c r="AA919" s="381">
        <v>5.9884608333333338E-7</v>
      </c>
      <c r="AB919" s="381">
        <v>0</v>
      </c>
      <c r="AC919" s="382">
        <v>8.6797047685249998E-2</v>
      </c>
      <c r="AD919" s="382">
        <v>0</v>
      </c>
      <c r="AE919" s="381" t="s">
        <v>444</v>
      </c>
    </row>
    <row r="920" spans="1:31" ht="15" customHeight="1" x14ac:dyDescent="0.25">
      <c r="A920" s="20" t="s">
        <v>156</v>
      </c>
      <c r="B920" s="20" t="s">
        <v>939</v>
      </c>
      <c r="C920" s="20" t="s">
        <v>940</v>
      </c>
      <c r="D920" s="378" t="s">
        <v>1408</v>
      </c>
      <c r="E920" s="384">
        <v>45292</v>
      </c>
      <c r="F920" s="384">
        <v>47119</v>
      </c>
      <c r="G920" s="378" t="s">
        <v>439</v>
      </c>
      <c r="H920" s="20" t="s">
        <v>1409</v>
      </c>
      <c r="I920" s="378" t="s">
        <v>441</v>
      </c>
      <c r="J920" s="20" t="s">
        <v>163</v>
      </c>
      <c r="K920" s="378" t="s">
        <v>1410</v>
      </c>
      <c r="L920" s="378" t="s">
        <v>165</v>
      </c>
      <c r="M920" s="380" t="s">
        <v>488</v>
      </c>
      <c r="N920" s="380" t="s">
        <v>443</v>
      </c>
      <c r="O920" s="380" t="s">
        <v>443</v>
      </c>
      <c r="P920" s="380" t="s">
        <v>443</v>
      </c>
      <c r="Q920" s="381">
        <v>204.44927999999999</v>
      </c>
      <c r="R920" s="381">
        <v>204.36297999999999</v>
      </c>
      <c r="S920" s="381">
        <v>8.6276991999999997E-2</v>
      </c>
      <c r="T920" s="381">
        <v>1.8333036000000001E-5</v>
      </c>
      <c r="U920" s="381">
        <v>0</v>
      </c>
      <c r="V920" s="382">
        <v>204.44927532503598</v>
      </c>
      <c r="W920" s="382">
        <v>0</v>
      </c>
      <c r="X920" s="381">
        <v>8.5187199999999991E-2</v>
      </c>
      <c r="Y920" s="381">
        <v>8.5151241666666669E-2</v>
      </c>
      <c r="Z920" s="381">
        <v>3.5948746666666662E-5</v>
      </c>
      <c r="AA920" s="381">
        <v>7.638765000000001E-9</v>
      </c>
      <c r="AB920" s="381">
        <v>0</v>
      </c>
      <c r="AC920" s="382">
        <v>8.5187198052098331E-2</v>
      </c>
      <c r="AD920" s="382">
        <v>0</v>
      </c>
      <c r="AE920" s="381" t="s">
        <v>444</v>
      </c>
    </row>
    <row r="921" spans="1:31" ht="15" customHeight="1" x14ac:dyDescent="0.25">
      <c r="A921" s="20" t="s">
        <v>156</v>
      </c>
      <c r="B921" s="20" t="s">
        <v>939</v>
      </c>
      <c r="C921" s="20" t="s">
        <v>940</v>
      </c>
      <c r="D921" s="378" t="s">
        <v>1411</v>
      </c>
      <c r="E921" s="384">
        <v>45292</v>
      </c>
      <c r="F921" s="384">
        <v>47119</v>
      </c>
      <c r="G921" s="378" t="s">
        <v>439</v>
      </c>
      <c r="H921" s="20" t="s">
        <v>1412</v>
      </c>
      <c r="I921" s="378" t="s">
        <v>441</v>
      </c>
      <c r="J921" s="20" t="s">
        <v>163</v>
      </c>
      <c r="K921" s="378" t="s">
        <v>1413</v>
      </c>
      <c r="L921" s="378" t="s">
        <v>165</v>
      </c>
      <c r="M921" s="380" t="s">
        <v>488</v>
      </c>
      <c r="N921" s="380" t="s">
        <v>443</v>
      </c>
      <c r="O921" s="380" t="s">
        <v>443</v>
      </c>
      <c r="P921" s="380" t="s">
        <v>443</v>
      </c>
      <c r="Q921" s="381">
        <v>199.53958</v>
      </c>
      <c r="R921" s="381">
        <v>199.45504</v>
      </c>
      <c r="S921" s="381">
        <v>8.3223298000000001E-2</v>
      </c>
      <c r="T921" s="381">
        <v>1.3182837E-3</v>
      </c>
      <c r="U921" s="381">
        <v>0</v>
      </c>
      <c r="V921" s="382">
        <v>199.53958158169999</v>
      </c>
      <c r="W921" s="382">
        <v>0</v>
      </c>
      <c r="X921" s="381">
        <v>8.3141491666666664E-2</v>
      </c>
      <c r="Y921" s="381">
        <v>8.3106266666666664E-2</v>
      </c>
      <c r="Z921" s="381">
        <v>3.4676374166666669E-5</v>
      </c>
      <c r="AA921" s="381">
        <v>5.4928487499999996E-7</v>
      </c>
      <c r="AB921" s="381">
        <v>0</v>
      </c>
      <c r="AC921" s="382">
        <v>8.3141492325708333E-2</v>
      </c>
      <c r="AD921" s="382">
        <v>0</v>
      </c>
      <c r="AE921" s="381" t="s">
        <v>444</v>
      </c>
    </row>
    <row r="922" spans="1:31" ht="15" customHeight="1" x14ac:dyDescent="0.25">
      <c r="A922" s="20" t="s">
        <v>156</v>
      </c>
      <c r="B922" s="20" t="s">
        <v>939</v>
      </c>
      <c r="C922" s="20" t="s">
        <v>940</v>
      </c>
      <c r="D922" s="378" t="s">
        <v>1414</v>
      </c>
      <c r="E922" s="384">
        <v>45292</v>
      </c>
      <c r="F922" s="384">
        <v>47119</v>
      </c>
      <c r="G922" s="378" t="s">
        <v>439</v>
      </c>
      <c r="H922" s="20" t="s">
        <v>1415</v>
      </c>
      <c r="I922" s="378" t="s">
        <v>441</v>
      </c>
      <c r="J922" s="20" t="s">
        <v>163</v>
      </c>
      <c r="K922" s="378" t="s">
        <v>1416</v>
      </c>
      <c r="L922" s="378" t="s">
        <v>165</v>
      </c>
      <c r="M922" s="380" t="s">
        <v>488</v>
      </c>
      <c r="N922" s="380" t="s">
        <v>443</v>
      </c>
      <c r="O922" s="380" t="s">
        <v>443</v>
      </c>
      <c r="P922" s="380" t="s">
        <v>443</v>
      </c>
      <c r="Q922" s="381">
        <v>197.35641000000001</v>
      </c>
      <c r="R922" s="381">
        <v>197.27413999999999</v>
      </c>
      <c r="S922" s="381">
        <v>8.0951340999999996E-2</v>
      </c>
      <c r="T922" s="381">
        <v>1.3176527999999999E-3</v>
      </c>
      <c r="U922" s="381">
        <v>0</v>
      </c>
      <c r="V922" s="382">
        <v>197.35640899379999</v>
      </c>
      <c r="W922" s="382">
        <v>0</v>
      </c>
      <c r="X922" s="381">
        <v>8.2231837500000002E-2</v>
      </c>
      <c r="Y922" s="381">
        <v>8.2197558333333323E-2</v>
      </c>
      <c r="Z922" s="381">
        <v>3.3729725416666666E-5</v>
      </c>
      <c r="AA922" s="381">
        <v>5.4902199999999992E-7</v>
      </c>
      <c r="AB922" s="381">
        <v>0</v>
      </c>
      <c r="AC922" s="382">
        <v>8.2231837080749992E-2</v>
      </c>
      <c r="AD922" s="382">
        <v>0</v>
      </c>
      <c r="AE922" s="381" t="s">
        <v>444</v>
      </c>
    </row>
    <row r="923" spans="1:31" ht="15" customHeight="1" x14ac:dyDescent="0.25">
      <c r="A923" s="20" t="s">
        <v>156</v>
      </c>
      <c r="B923" s="20" t="s">
        <v>939</v>
      </c>
      <c r="C923" s="20" t="s">
        <v>940</v>
      </c>
      <c r="D923" s="378" t="s">
        <v>1417</v>
      </c>
      <c r="E923" s="384">
        <v>45292</v>
      </c>
      <c r="F923" s="384">
        <v>47119</v>
      </c>
      <c r="G923" s="378" t="s">
        <v>439</v>
      </c>
      <c r="H923" s="20" t="s">
        <v>1418</v>
      </c>
      <c r="I923" s="378" t="s">
        <v>441</v>
      </c>
      <c r="J923" s="20" t="s">
        <v>163</v>
      </c>
      <c r="K923" s="378" t="s">
        <v>1419</v>
      </c>
      <c r="L923" s="378" t="s">
        <v>165</v>
      </c>
      <c r="M923" s="380" t="s">
        <v>488</v>
      </c>
      <c r="N923" s="380" t="s">
        <v>443</v>
      </c>
      <c r="O923" s="380" t="s">
        <v>443</v>
      </c>
      <c r="P923" s="380" t="s">
        <v>443</v>
      </c>
      <c r="Q923" s="381">
        <v>243.05352999999999</v>
      </c>
      <c r="R923" s="381">
        <v>242.97146000000001</v>
      </c>
      <c r="S923" s="381">
        <v>8.0727496999999995E-2</v>
      </c>
      <c r="T923" s="381">
        <v>1.3409149E-3</v>
      </c>
      <c r="U923" s="381">
        <v>0</v>
      </c>
      <c r="V923" s="382">
        <v>243.0535284119</v>
      </c>
      <c r="W923" s="382">
        <v>0</v>
      </c>
      <c r="X923" s="381">
        <v>0.10127230416666666</v>
      </c>
      <c r="Y923" s="381">
        <v>0.10123810833333334</v>
      </c>
      <c r="Z923" s="381">
        <v>3.3636457083333329E-5</v>
      </c>
      <c r="AA923" s="381">
        <v>5.5871454166666666E-7</v>
      </c>
      <c r="AB923" s="381">
        <v>0</v>
      </c>
      <c r="AC923" s="382">
        <v>0.10127230350495835</v>
      </c>
      <c r="AD923" s="382">
        <v>0</v>
      </c>
      <c r="AE923" s="381" t="s">
        <v>444</v>
      </c>
    </row>
    <row r="924" spans="1:31" ht="15" customHeight="1" x14ac:dyDescent="0.25">
      <c r="A924" s="20" t="s">
        <v>156</v>
      </c>
      <c r="B924" s="20" t="s">
        <v>939</v>
      </c>
      <c r="C924" s="20" t="s">
        <v>940</v>
      </c>
      <c r="D924" s="378" t="s">
        <v>1420</v>
      </c>
      <c r="E924" s="384">
        <v>45292</v>
      </c>
      <c r="F924" s="384">
        <v>47119</v>
      </c>
      <c r="G924" s="378" t="s">
        <v>439</v>
      </c>
      <c r="H924" s="20" t="s">
        <v>1421</v>
      </c>
      <c r="I924" s="378" t="s">
        <v>441</v>
      </c>
      <c r="J924" s="20" t="s">
        <v>163</v>
      </c>
      <c r="K924" s="378" t="s">
        <v>1422</v>
      </c>
      <c r="L924" s="378" t="s">
        <v>165</v>
      </c>
      <c r="M924" s="380" t="s">
        <v>488</v>
      </c>
      <c r="N924" s="380" t="s">
        <v>443</v>
      </c>
      <c r="O924" s="380" t="s">
        <v>443</v>
      </c>
      <c r="P924" s="380" t="s">
        <v>443</v>
      </c>
      <c r="Q924" s="381">
        <v>298.53750000000002</v>
      </c>
      <c r="R924" s="381">
        <v>298.45994999999999</v>
      </c>
      <c r="S924" s="381">
        <v>3.7736526999999999E-2</v>
      </c>
      <c r="T924" s="381">
        <v>3.9808704E-2</v>
      </c>
      <c r="U924" s="381">
        <v>0</v>
      </c>
      <c r="V924" s="382">
        <v>298.53749523099998</v>
      </c>
      <c r="W924" s="382">
        <v>0</v>
      </c>
      <c r="X924" s="381">
        <v>0.124390625</v>
      </c>
      <c r="Y924" s="381">
        <v>0.1243583125</v>
      </c>
      <c r="Z924" s="381">
        <v>1.5723552916666667E-5</v>
      </c>
      <c r="AA924" s="381">
        <v>1.6586959999999999E-5</v>
      </c>
      <c r="AB924" s="381">
        <v>0</v>
      </c>
      <c r="AC924" s="382">
        <v>0.12439062301291666</v>
      </c>
      <c r="AD924" s="382">
        <v>0</v>
      </c>
      <c r="AE924" s="381" t="s">
        <v>444</v>
      </c>
    </row>
    <row r="925" spans="1:31" ht="15" customHeight="1" x14ac:dyDescent="0.25">
      <c r="A925" s="20" t="s">
        <v>156</v>
      </c>
      <c r="B925" s="20" t="s">
        <v>939</v>
      </c>
      <c r="C925" s="20" t="s">
        <v>940</v>
      </c>
      <c r="D925" s="378" t="s">
        <v>1423</v>
      </c>
      <c r="E925" s="384">
        <v>45292</v>
      </c>
      <c r="F925" s="384">
        <v>47119</v>
      </c>
      <c r="G925" s="378" t="s">
        <v>439</v>
      </c>
      <c r="H925" s="20" t="s">
        <v>1424</v>
      </c>
      <c r="I925" s="378" t="s">
        <v>441</v>
      </c>
      <c r="J925" s="20" t="s">
        <v>163</v>
      </c>
      <c r="K925" s="378" t="s">
        <v>1425</v>
      </c>
      <c r="L925" s="378" t="s">
        <v>165</v>
      </c>
      <c r="M925" s="380" t="s">
        <v>488</v>
      </c>
      <c r="N925" s="380" t="s">
        <v>443</v>
      </c>
      <c r="O925" s="380" t="s">
        <v>443</v>
      </c>
      <c r="P925" s="380" t="s">
        <v>443</v>
      </c>
      <c r="Q925" s="381">
        <v>286.56814000000003</v>
      </c>
      <c r="R925" s="381">
        <v>286.49252999999999</v>
      </c>
      <c r="S925" s="381">
        <v>7.3889574999999999E-2</v>
      </c>
      <c r="T925" s="381">
        <v>1.7274135999999999E-3</v>
      </c>
      <c r="U925" s="381">
        <v>0</v>
      </c>
      <c r="V925" s="382">
        <v>286.56814698860001</v>
      </c>
      <c r="W925" s="382">
        <v>0</v>
      </c>
      <c r="X925" s="381">
        <v>0.11940339166666668</v>
      </c>
      <c r="Y925" s="381">
        <v>0.1193718875</v>
      </c>
      <c r="Z925" s="381">
        <v>3.0787322916666668E-5</v>
      </c>
      <c r="AA925" s="381">
        <v>7.1975566666666658E-7</v>
      </c>
      <c r="AB925" s="381">
        <v>0</v>
      </c>
      <c r="AC925" s="382">
        <v>0.11940339457858333</v>
      </c>
      <c r="AD925" s="382">
        <v>0</v>
      </c>
      <c r="AE925" s="381" t="s">
        <v>444</v>
      </c>
    </row>
    <row r="926" spans="1:31" ht="15" customHeight="1" x14ac:dyDescent="0.25">
      <c r="A926" s="20" t="s">
        <v>156</v>
      </c>
      <c r="B926" s="20" t="s">
        <v>939</v>
      </c>
      <c r="C926" s="20" t="s">
        <v>940</v>
      </c>
      <c r="D926" s="378" t="s">
        <v>1426</v>
      </c>
      <c r="E926" s="384">
        <v>45292</v>
      </c>
      <c r="F926" s="384">
        <v>47119</v>
      </c>
      <c r="G926" s="378" t="s">
        <v>439</v>
      </c>
      <c r="H926" s="20" t="s">
        <v>1427</v>
      </c>
      <c r="I926" s="378" t="s">
        <v>441</v>
      </c>
      <c r="J926" s="20" t="s">
        <v>163</v>
      </c>
      <c r="K926" s="378" t="s">
        <v>1428</v>
      </c>
      <c r="L926" s="378" t="s">
        <v>165</v>
      </c>
      <c r="M926" s="380" t="s">
        <v>488</v>
      </c>
      <c r="N926" s="380" t="s">
        <v>443</v>
      </c>
      <c r="O926" s="380" t="s">
        <v>443</v>
      </c>
      <c r="P926" s="380" t="s">
        <v>443</v>
      </c>
      <c r="Q926" s="381">
        <v>345.22138999999999</v>
      </c>
      <c r="R926" s="381">
        <v>345.16235999999998</v>
      </c>
      <c r="S926" s="381">
        <v>5.7232100000000001E-2</v>
      </c>
      <c r="T926" s="381">
        <v>1.7998223000000001E-3</v>
      </c>
      <c r="U926" s="381">
        <v>0</v>
      </c>
      <c r="V926" s="382">
        <v>345.22139192229997</v>
      </c>
      <c r="W926" s="382">
        <v>0</v>
      </c>
      <c r="X926" s="381">
        <v>0.14384224583333333</v>
      </c>
      <c r="Y926" s="381">
        <v>0.14381764999999999</v>
      </c>
      <c r="Z926" s="381">
        <v>2.3846708333333335E-5</v>
      </c>
      <c r="AA926" s="381">
        <v>7.4992595833333335E-7</v>
      </c>
      <c r="AB926" s="381">
        <v>0</v>
      </c>
      <c r="AC926" s="382">
        <v>0.14384224663429165</v>
      </c>
      <c r="AD926" s="382">
        <v>0</v>
      </c>
      <c r="AE926" s="381" t="s">
        <v>444</v>
      </c>
    </row>
    <row r="927" spans="1:31" ht="15" customHeight="1" x14ac:dyDescent="0.25">
      <c r="A927" s="20" t="s">
        <v>156</v>
      </c>
      <c r="B927" s="20" t="s">
        <v>939</v>
      </c>
      <c r="C927" s="20" t="s">
        <v>940</v>
      </c>
      <c r="D927" s="378" t="s">
        <v>1429</v>
      </c>
      <c r="E927" s="384">
        <v>45292</v>
      </c>
      <c r="F927" s="384">
        <v>47119</v>
      </c>
      <c r="G927" s="378" t="s">
        <v>439</v>
      </c>
      <c r="H927" s="20" t="s">
        <v>1430</v>
      </c>
      <c r="I927" s="378" t="s">
        <v>441</v>
      </c>
      <c r="J927" s="20" t="s">
        <v>163</v>
      </c>
      <c r="K927" s="378" t="s">
        <v>1431</v>
      </c>
      <c r="L927" s="378" t="s">
        <v>165</v>
      </c>
      <c r="M927" s="380" t="s">
        <v>488</v>
      </c>
      <c r="N927" s="380" t="s">
        <v>443</v>
      </c>
      <c r="O927" s="380" t="s">
        <v>443</v>
      </c>
      <c r="P927" s="380" t="s">
        <v>443</v>
      </c>
      <c r="Q927" s="381">
        <v>203.83831000000001</v>
      </c>
      <c r="R927" s="381">
        <v>203.80068</v>
      </c>
      <c r="S927" s="381">
        <v>3.6241097999999999E-2</v>
      </c>
      <c r="T927" s="381">
        <v>1.3857749000000001E-3</v>
      </c>
      <c r="U927" s="381">
        <v>0</v>
      </c>
      <c r="V927" s="382">
        <v>203.83830687290001</v>
      </c>
      <c r="W927" s="382">
        <v>0</v>
      </c>
      <c r="X927" s="381">
        <v>8.4932629166666676E-2</v>
      </c>
      <c r="Y927" s="381">
        <v>8.4916950000000005E-2</v>
      </c>
      <c r="Z927" s="381">
        <v>1.5100457499999999E-5</v>
      </c>
      <c r="AA927" s="381">
        <v>5.7740620833333334E-7</v>
      </c>
      <c r="AB927" s="381">
        <v>0</v>
      </c>
      <c r="AC927" s="382">
        <v>8.4932627863708338E-2</v>
      </c>
      <c r="AD927" s="382">
        <v>0</v>
      </c>
      <c r="AE927" s="381" t="s">
        <v>444</v>
      </c>
    </row>
    <row r="928" spans="1:31" ht="15" customHeight="1" x14ac:dyDescent="0.25">
      <c r="A928" s="20" t="s">
        <v>156</v>
      </c>
      <c r="B928" s="20" t="s">
        <v>939</v>
      </c>
      <c r="C928" s="20" t="s">
        <v>940</v>
      </c>
      <c r="D928" s="378" t="s">
        <v>1432</v>
      </c>
      <c r="E928" s="384">
        <v>45292</v>
      </c>
      <c r="F928" s="384">
        <v>47119</v>
      </c>
      <c r="G928" s="378" t="s">
        <v>439</v>
      </c>
      <c r="H928" s="20" t="s">
        <v>1433</v>
      </c>
      <c r="I928" s="378" t="s">
        <v>441</v>
      </c>
      <c r="J928" s="20" t="s">
        <v>163</v>
      </c>
      <c r="K928" s="378" t="s">
        <v>1434</v>
      </c>
      <c r="L928" s="378" t="s">
        <v>165</v>
      </c>
      <c r="M928" s="380" t="s">
        <v>488</v>
      </c>
      <c r="N928" s="380" t="s">
        <v>443</v>
      </c>
      <c r="O928" s="380" t="s">
        <v>443</v>
      </c>
      <c r="P928" s="380" t="s">
        <v>443</v>
      </c>
      <c r="Q928" s="381">
        <v>215.51596000000001</v>
      </c>
      <c r="R928" s="381">
        <v>215.48492999999999</v>
      </c>
      <c r="S928" s="381">
        <v>3.0281922999999999E-2</v>
      </c>
      <c r="T928" s="381">
        <v>7.5114642000000001E-4</v>
      </c>
      <c r="U928" s="381">
        <v>0</v>
      </c>
      <c r="V928" s="382">
        <v>215.51596306941997</v>
      </c>
      <c r="W928" s="382">
        <v>0</v>
      </c>
      <c r="X928" s="381">
        <v>8.9798316666666669E-2</v>
      </c>
      <c r="Y928" s="381">
        <v>8.9785387499999994E-2</v>
      </c>
      <c r="Z928" s="381">
        <v>1.2617467916666666E-5</v>
      </c>
      <c r="AA928" s="381">
        <v>3.1297767500000002E-7</v>
      </c>
      <c r="AB928" s="381">
        <v>0</v>
      </c>
      <c r="AC928" s="382">
        <v>8.9798317945591663E-2</v>
      </c>
      <c r="AD928" s="382">
        <v>0</v>
      </c>
      <c r="AE928" s="381" t="s">
        <v>444</v>
      </c>
    </row>
    <row r="929" spans="1:31" ht="15" customHeight="1" x14ac:dyDescent="0.25">
      <c r="A929" s="20" t="s">
        <v>156</v>
      </c>
      <c r="B929" s="20" t="s">
        <v>939</v>
      </c>
      <c r="C929" s="20" t="s">
        <v>940</v>
      </c>
      <c r="D929" s="378" t="s">
        <v>1435</v>
      </c>
      <c r="E929" s="384">
        <v>45292</v>
      </c>
      <c r="F929" s="384">
        <v>47119</v>
      </c>
      <c r="G929" s="378" t="s">
        <v>439</v>
      </c>
      <c r="H929" s="20" t="s">
        <v>1436</v>
      </c>
      <c r="I929" s="378" t="s">
        <v>441</v>
      </c>
      <c r="J929" s="20" t="s">
        <v>163</v>
      </c>
      <c r="K929" s="378" t="s">
        <v>1437</v>
      </c>
      <c r="L929" s="378" t="s">
        <v>165</v>
      </c>
      <c r="M929" s="380" t="s">
        <v>488</v>
      </c>
      <c r="N929" s="380" t="s">
        <v>443</v>
      </c>
      <c r="O929" s="380" t="s">
        <v>443</v>
      </c>
      <c r="P929" s="380" t="s">
        <v>443</v>
      </c>
      <c r="Q929" s="381">
        <v>346.93232</v>
      </c>
      <c r="R929" s="381">
        <v>346.93277</v>
      </c>
      <c r="S929" s="381">
        <v>-2.0773468E-2</v>
      </c>
      <c r="T929" s="381">
        <v>2.0322705E-2</v>
      </c>
      <c r="U929" s="381">
        <v>0</v>
      </c>
      <c r="V929" s="382">
        <v>346.95309270500002</v>
      </c>
      <c r="W929" s="382">
        <v>0</v>
      </c>
      <c r="X929" s="381">
        <v>0.14455513333333334</v>
      </c>
      <c r="Y929" s="381">
        <v>0.14455532083333333</v>
      </c>
      <c r="Z929" s="381">
        <v>-8.655611666666667E-6</v>
      </c>
      <c r="AA929" s="381">
        <v>8.46779375E-6</v>
      </c>
      <c r="AB929" s="381">
        <v>0</v>
      </c>
      <c r="AC929" s="382">
        <v>0.14456378862708333</v>
      </c>
      <c r="AD929" s="382">
        <v>0</v>
      </c>
      <c r="AE929" s="381" t="s">
        <v>444</v>
      </c>
    </row>
    <row r="930" spans="1:31" ht="15" customHeight="1" x14ac:dyDescent="0.25">
      <c r="A930" s="20" t="s">
        <v>156</v>
      </c>
      <c r="B930" s="20" t="s">
        <v>939</v>
      </c>
      <c r="C930" s="20" t="s">
        <v>940</v>
      </c>
      <c r="D930" s="378" t="s">
        <v>1438</v>
      </c>
      <c r="E930" s="384">
        <v>45292</v>
      </c>
      <c r="F930" s="384">
        <v>47119</v>
      </c>
      <c r="G930" s="378" t="s">
        <v>439</v>
      </c>
      <c r="H930" s="20" t="s">
        <v>1439</v>
      </c>
      <c r="I930" s="378" t="s">
        <v>441</v>
      </c>
      <c r="J930" s="20" t="s">
        <v>163</v>
      </c>
      <c r="K930" s="378" t="s">
        <v>1440</v>
      </c>
      <c r="L930" s="378" t="s">
        <v>165</v>
      </c>
      <c r="M930" s="380" t="s">
        <v>488</v>
      </c>
      <c r="N930" s="380" t="s">
        <v>443</v>
      </c>
      <c r="O930" s="380" t="s">
        <v>443</v>
      </c>
      <c r="P930" s="380" t="s">
        <v>443</v>
      </c>
      <c r="Q930" s="381">
        <v>312.23171000000002</v>
      </c>
      <c r="R930" s="381">
        <v>312.24565999999999</v>
      </c>
      <c r="S930" s="381">
        <v>-2.3295452000000001E-2</v>
      </c>
      <c r="T930" s="381">
        <v>9.3414174999999992E-3</v>
      </c>
      <c r="U930" s="381">
        <v>0</v>
      </c>
      <c r="V930" s="382">
        <v>312.25500141750001</v>
      </c>
      <c r="W930" s="382">
        <v>0</v>
      </c>
      <c r="X930" s="381">
        <v>0.13009654583333335</v>
      </c>
      <c r="Y930" s="381">
        <v>0.13010235833333333</v>
      </c>
      <c r="Z930" s="381">
        <v>-9.7064383333333345E-6</v>
      </c>
      <c r="AA930" s="381">
        <v>3.8922572916666659E-6</v>
      </c>
      <c r="AB930" s="381">
        <v>0</v>
      </c>
      <c r="AC930" s="382">
        <v>0.130106250590625</v>
      </c>
      <c r="AD930" s="382">
        <v>0</v>
      </c>
      <c r="AE930" s="381" t="s">
        <v>444</v>
      </c>
    </row>
    <row r="931" spans="1:31" ht="15" customHeight="1" x14ac:dyDescent="0.25">
      <c r="A931" s="20" t="s">
        <v>156</v>
      </c>
      <c r="B931" s="20" t="s">
        <v>939</v>
      </c>
      <c r="C931" s="20" t="s">
        <v>940</v>
      </c>
      <c r="D931" s="378" t="s">
        <v>1441</v>
      </c>
      <c r="E931" s="384">
        <v>45292</v>
      </c>
      <c r="F931" s="384">
        <v>47119</v>
      </c>
      <c r="G931" s="378" t="s">
        <v>439</v>
      </c>
      <c r="H931" s="20" t="s">
        <v>1442</v>
      </c>
      <c r="I931" s="378" t="s">
        <v>441</v>
      </c>
      <c r="J931" s="20" t="s">
        <v>163</v>
      </c>
      <c r="K931" s="378" t="s">
        <v>1443</v>
      </c>
      <c r="L931" s="378" t="s">
        <v>165</v>
      </c>
      <c r="M931" s="380" t="s">
        <v>488</v>
      </c>
      <c r="N931" s="380" t="s">
        <v>443</v>
      </c>
      <c r="O931" s="380" t="s">
        <v>443</v>
      </c>
      <c r="P931" s="380" t="s">
        <v>443</v>
      </c>
      <c r="Q931" s="381">
        <v>326.61977999999999</v>
      </c>
      <c r="R931" s="381">
        <v>326.63806</v>
      </c>
      <c r="S931" s="381">
        <v>-7.5935306999999994E-2</v>
      </c>
      <c r="T931" s="381">
        <v>5.7651441999999997E-2</v>
      </c>
      <c r="U931" s="381">
        <v>0</v>
      </c>
      <c r="V931" s="382">
        <v>326.695711442</v>
      </c>
      <c r="W931" s="382">
        <v>0</v>
      </c>
      <c r="X931" s="381">
        <v>0.13609157499999999</v>
      </c>
      <c r="Y931" s="381">
        <v>0.13609919166666667</v>
      </c>
      <c r="Z931" s="381">
        <v>-3.1639711249999997E-5</v>
      </c>
      <c r="AA931" s="381">
        <v>2.4021434166666665E-5</v>
      </c>
      <c r="AB931" s="381">
        <v>0</v>
      </c>
      <c r="AC931" s="382">
        <v>0.13612321310083333</v>
      </c>
      <c r="AD931" s="382">
        <v>0</v>
      </c>
      <c r="AE931" s="381" t="s">
        <v>444</v>
      </c>
    </row>
    <row r="932" spans="1:31" ht="15" customHeight="1" x14ac:dyDescent="0.25">
      <c r="A932" s="20" t="s">
        <v>156</v>
      </c>
      <c r="B932" s="20" t="s">
        <v>939</v>
      </c>
      <c r="C932" s="20" t="s">
        <v>940</v>
      </c>
      <c r="D932" s="378" t="s">
        <v>1444</v>
      </c>
      <c r="E932" s="384">
        <v>45292</v>
      </c>
      <c r="F932" s="384">
        <v>47119</v>
      </c>
      <c r="G932" s="378" t="s">
        <v>439</v>
      </c>
      <c r="H932" s="20" t="s">
        <v>1445</v>
      </c>
      <c r="I932" s="378" t="s">
        <v>441</v>
      </c>
      <c r="J932" s="20" t="s">
        <v>163</v>
      </c>
      <c r="K932" s="378" t="s">
        <v>1446</v>
      </c>
      <c r="L932" s="378" t="s">
        <v>165</v>
      </c>
      <c r="M932" s="380" t="s">
        <v>488</v>
      </c>
      <c r="N932" s="380" t="s">
        <v>443</v>
      </c>
      <c r="O932" s="380" t="s">
        <v>443</v>
      </c>
      <c r="P932" s="380" t="s">
        <v>443</v>
      </c>
      <c r="Q932" s="381">
        <v>371.90665999999999</v>
      </c>
      <c r="R932" s="381">
        <v>371.92721</v>
      </c>
      <c r="S932" s="381">
        <v>-2.1973039999999999E-2</v>
      </c>
      <c r="T932" s="381">
        <v>1.4236495999999999E-3</v>
      </c>
      <c r="U932" s="381">
        <v>0</v>
      </c>
      <c r="V932" s="382">
        <v>371.92863364959999</v>
      </c>
      <c r="W932" s="382">
        <v>0</v>
      </c>
      <c r="X932" s="381">
        <v>0.15496110833333332</v>
      </c>
      <c r="Y932" s="381">
        <v>0.15496967083333332</v>
      </c>
      <c r="Z932" s="381">
        <v>-9.1554333333333322E-6</v>
      </c>
      <c r="AA932" s="381">
        <v>5.9318733333333329E-7</v>
      </c>
      <c r="AB932" s="381">
        <v>0</v>
      </c>
      <c r="AC932" s="382">
        <v>0.15497026402066666</v>
      </c>
      <c r="AD932" s="382">
        <v>0</v>
      </c>
      <c r="AE932" s="381" t="s">
        <v>444</v>
      </c>
    </row>
    <row r="933" spans="1:31" ht="15" customHeight="1" x14ac:dyDescent="0.25">
      <c r="A933" s="20" t="s">
        <v>156</v>
      </c>
      <c r="B933" s="20" t="s">
        <v>939</v>
      </c>
      <c r="C933" s="20" t="s">
        <v>940</v>
      </c>
      <c r="D933" s="378" t="s">
        <v>1447</v>
      </c>
      <c r="E933" s="384">
        <v>45292</v>
      </c>
      <c r="F933" s="384">
        <v>47119</v>
      </c>
      <c r="G933" s="378" t="s">
        <v>439</v>
      </c>
      <c r="H933" s="20" t="s">
        <v>1448</v>
      </c>
      <c r="I933" s="378" t="s">
        <v>441</v>
      </c>
      <c r="J933" s="20" t="s">
        <v>163</v>
      </c>
      <c r="K933" s="378" t="s">
        <v>1449</v>
      </c>
      <c r="L933" s="378" t="s">
        <v>165</v>
      </c>
      <c r="M933" s="380" t="s">
        <v>488</v>
      </c>
      <c r="N933" s="380" t="s">
        <v>443</v>
      </c>
      <c r="O933" s="380" t="s">
        <v>443</v>
      </c>
      <c r="P933" s="380" t="s">
        <v>443</v>
      </c>
      <c r="Q933" s="381">
        <v>365.03464000000002</v>
      </c>
      <c r="R933" s="381">
        <v>365.09978999999998</v>
      </c>
      <c r="S933" s="381">
        <v>-6.6008537000000006E-2</v>
      </c>
      <c r="T933" s="381">
        <v>8.635839E-4</v>
      </c>
      <c r="U933" s="381">
        <v>0</v>
      </c>
      <c r="V933" s="382">
        <v>365.1006535839</v>
      </c>
      <c r="W933" s="382">
        <v>0</v>
      </c>
      <c r="X933" s="381">
        <v>0.15209776666666669</v>
      </c>
      <c r="Y933" s="381">
        <v>0.15212491249999999</v>
      </c>
      <c r="Z933" s="381">
        <v>-2.7503557083333335E-5</v>
      </c>
      <c r="AA933" s="381">
        <v>3.59826625E-7</v>
      </c>
      <c r="AB933" s="381">
        <v>0</v>
      </c>
      <c r="AC933" s="382">
        <v>0.15212527232662498</v>
      </c>
      <c r="AD933" s="382">
        <v>0</v>
      </c>
      <c r="AE933" s="381" t="s">
        <v>444</v>
      </c>
    </row>
    <row r="934" spans="1:31" ht="15" customHeight="1" x14ac:dyDescent="0.25">
      <c r="A934" s="20" t="s">
        <v>156</v>
      </c>
      <c r="B934" s="20" t="s">
        <v>1450</v>
      </c>
      <c r="C934" s="20" t="s">
        <v>1451</v>
      </c>
      <c r="D934" s="378" t="s">
        <v>1452</v>
      </c>
      <c r="E934" s="379">
        <v>44581</v>
      </c>
      <c r="F934" s="379">
        <v>46407</v>
      </c>
      <c r="G934" s="378" t="s">
        <v>237</v>
      </c>
      <c r="H934" s="20" t="s">
        <v>238</v>
      </c>
      <c r="I934" s="20" t="s">
        <v>162</v>
      </c>
      <c r="J934" s="20" t="s">
        <v>163</v>
      </c>
      <c r="K934" s="378" t="s">
        <v>239</v>
      </c>
      <c r="L934" s="20" t="s">
        <v>165</v>
      </c>
      <c r="M934" s="380">
        <v>2400</v>
      </c>
      <c r="N934" s="380"/>
      <c r="O934" s="380"/>
      <c r="P934" s="380"/>
      <c r="Q934" s="381" t="s">
        <v>1453</v>
      </c>
      <c r="R934" s="381" t="s">
        <v>1453</v>
      </c>
      <c r="S934" s="381" t="s">
        <v>1454</v>
      </c>
      <c r="T934" s="381"/>
      <c r="U934" s="381"/>
      <c r="V934" s="382">
        <v>322.69</v>
      </c>
      <c r="W934" s="382">
        <v>0</v>
      </c>
      <c r="X934" s="381">
        <v>0.13416666666666666</v>
      </c>
      <c r="Y934" s="381">
        <v>0.13416666666666666</v>
      </c>
      <c r="Z934" s="381">
        <v>2.875E-4</v>
      </c>
      <c r="AA934" s="381">
        <v>0</v>
      </c>
      <c r="AB934" s="381">
        <v>0</v>
      </c>
      <c r="AC934" s="382">
        <v>0.13445416666666665</v>
      </c>
      <c r="AD934" s="382">
        <v>0</v>
      </c>
      <c r="AE934" s="381" t="s">
        <v>168</v>
      </c>
    </row>
    <row r="935" spans="1:31" ht="15" customHeight="1" x14ac:dyDescent="0.25">
      <c r="A935" s="20" t="s">
        <v>156</v>
      </c>
      <c r="B935" s="20" t="s">
        <v>1450</v>
      </c>
      <c r="C935" s="20" t="s">
        <v>1451</v>
      </c>
      <c r="D935" s="378" t="s">
        <v>1455</v>
      </c>
      <c r="E935" s="379">
        <v>44573</v>
      </c>
      <c r="F935" s="379">
        <v>46656</v>
      </c>
      <c r="G935" s="378" t="s">
        <v>179</v>
      </c>
      <c r="H935" s="20" t="s">
        <v>180</v>
      </c>
      <c r="I935" s="20" t="s">
        <v>162</v>
      </c>
      <c r="J935" s="20" t="s">
        <v>163</v>
      </c>
      <c r="K935" s="378" t="s">
        <v>181</v>
      </c>
      <c r="L935" s="20" t="s">
        <v>165</v>
      </c>
      <c r="M935" s="380">
        <v>2400</v>
      </c>
      <c r="N935" s="380"/>
      <c r="O935" s="380"/>
      <c r="P935" s="380"/>
      <c r="Q935" s="381" t="s">
        <v>1456</v>
      </c>
      <c r="R935" s="381" t="s">
        <v>1456</v>
      </c>
      <c r="S935" s="381" t="s">
        <v>1457</v>
      </c>
      <c r="T935" s="381"/>
      <c r="U935" s="381"/>
      <c r="V935" s="382">
        <v>315.62</v>
      </c>
      <c r="W935" s="382">
        <v>0</v>
      </c>
      <c r="X935" s="381">
        <v>0.13125000000000001</v>
      </c>
      <c r="Y935" s="381">
        <v>0.13125000000000001</v>
      </c>
      <c r="Z935" s="381">
        <v>2.5833333333333334E-4</v>
      </c>
      <c r="AA935" s="381">
        <v>0</v>
      </c>
      <c r="AB935" s="381">
        <v>0</v>
      </c>
      <c r="AC935" s="382">
        <v>0.13150833333333334</v>
      </c>
      <c r="AD935" s="382">
        <v>0</v>
      </c>
      <c r="AE935" s="381" t="s">
        <v>168</v>
      </c>
    </row>
    <row r="936" spans="1:31" ht="15" customHeight="1" x14ac:dyDescent="0.25">
      <c r="A936" s="20" t="s">
        <v>156</v>
      </c>
      <c r="B936" s="20" t="s">
        <v>1450</v>
      </c>
      <c r="C936" s="20" t="s">
        <v>1451</v>
      </c>
      <c r="D936" s="378" t="s">
        <v>1458</v>
      </c>
      <c r="E936" s="379">
        <v>44573</v>
      </c>
      <c r="F936" s="379">
        <v>46656</v>
      </c>
      <c r="G936" s="378" t="s">
        <v>179</v>
      </c>
      <c r="H936" s="20" t="s">
        <v>180</v>
      </c>
      <c r="I936" s="20" t="s">
        <v>162</v>
      </c>
      <c r="J936" s="20" t="s">
        <v>163</v>
      </c>
      <c r="K936" s="378" t="s">
        <v>181</v>
      </c>
      <c r="L936" s="20" t="s">
        <v>165</v>
      </c>
      <c r="M936" s="380">
        <v>2400</v>
      </c>
      <c r="N936" s="380"/>
      <c r="O936" s="380"/>
      <c r="P936" s="380"/>
      <c r="Q936" s="381" t="s">
        <v>746</v>
      </c>
      <c r="R936" s="381" t="s">
        <v>746</v>
      </c>
      <c r="S936" s="381" t="s">
        <v>1459</v>
      </c>
      <c r="T936" s="381"/>
      <c r="U936" s="381"/>
      <c r="V936" s="382">
        <v>237.37</v>
      </c>
      <c r="W936" s="382">
        <v>0</v>
      </c>
      <c r="X936" s="381">
        <v>9.8750000000000004E-2</v>
      </c>
      <c r="Y936" s="381">
        <v>9.8750000000000004E-2</v>
      </c>
      <c r="Z936" s="381">
        <v>1.5416666666666666E-4</v>
      </c>
      <c r="AA936" s="381">
        <v>0</v>
      </c>
      <c r="AB936" s="381">
        <v>0</v>
      </c>
      <c r="AC936" s="382">
        <v>9.8904166666666668E-2</v>
      </c>
      <c r="AD936" s="382">
        <v>0</v>
      </c>
      <c r="AE936" s="381" t="s">
        <v>168</v>
      </c>
    </row>
    <row r="937" spans="1:31" ht="15" customHeight="1" x14ac:dyDescent="0.25">
      <c r="A937" s="20" t="s">
        <v>156</v>
      </c>
      <c r="B937" s="20" t="s">
        <v>1450</v>
      </c>
      <c r="C937" s="20" t="s">
        <v>1451</v>
      </c>
      <c r="D937" s="378" t="s">
        <v>1460</v>
      </c>
      <c r="E937" s="379">
        <v>44588</v>
      </c>
      <c r="F937" s="379">
        <v>46414</v>
      </c>
      <c r="G937" s="378" t="s">
        <v>160</v>
      </c>
      <c r="H937" s="20" t="s">
        <v>161</v>
      </c>
      <c r="I937" s="20" t="s">
        <v>162</v>
      </c>
      <c r="J937" s="20" t="s">
        <v>163</v>
      </c>
      <c r="K937" s="378" t="s">
        <v>164</v>
      </c>
      <c r="L937" s="20" t="s">
        <v>165</v>
      </c>
      <c r="M937" s="380">
        <v>2400</v>
      </c>
      <c r="N937" s="380"/>
      <c r="O937" s="380"/>
      <c r="P937" s="380"/>
      <c r="Q937" s="381" t="s">
        <v>1461</v>
      </c>
      <c r="R937" s="381">
        <v>268</v>
      </c>
      <c r="S937" s="381" t="s">
        <v>1459</v>
      </c>
      <c r="T937" s="381"/>
      <c r="U937" s="381"/>
      <c r="V937" s="382">
        <v>268.37</v>
      </c>
      <c r="W937" s="382">
        <v>0</v>
      </c>
      <c r="X937" s="381">
        <v>0.11166666666666666</v>
      </c>
      <c r="Y937" s="381">
        <v>0.11166666666666666</v>
      </c>
      <c r="Z937" s="381">
        <v>1.5416666666666666E-4</v>
      </c>
      <c r="AA937" s="381">
        <v>0</v>
      </c>
      <c r="AB937" s="381">
        <v>0</v>
      </c>
      <c r="AC937" s="382">
        <v>0.11182083333333333</v>
      </c>
      <c r="AD937" s="382">
        <v>0</v>
      </c>
      <c r="AE937" s="381" t="s">
        <v>168</v>
      </c>
    </row>
    <row r="938" spans="1:31" ht="15" customHeight="1" x14ac:dyDescent="0.25">
      <c r="A938" s="20" t="s">
        <v>156</v>
      </c>
      <c r="B938" s="20" t="s">
        <v>1450</v>
      </c>
      <c r="C938" s="20" t="s">
        <v>1451</v>
      </c>
      <c r="D938" s="378" t="s">
        <v>1462</v>
      </c>
      <c r="E938" s="379">
        <v>44588</v>
      </c>
      <c r="F938" s="379">
        <v>46414</v>
      </c>
      <c r="G938" s="378" t="s">
        <v>160</v>
      </c>
      <c r="H938" s="20" t="s">
        <v>161</v>
      </c>
      <c r="I938" s="20" t="s">
        <v>162</v>
      </c>
      <c r="J938" s="20" t="s">
        <v>163</v>
      </c>
      <c r="K938" s="378" t="s">
        <v>164</v>
      </c>
      <c r="L938" s="20" t="s">
        <v>165</v>
      </c>
      <c r="M938" s="380">
        <v>2400</v>
      </c>
      <c r="N938" s="380"/>
      <c r="O938" s="380"/>
      <c r="P938" s="380"/>
      <c r="Q938" s="381" t="s">
        <v>1192</v>
      </c>
      <c r="R938" s="381">
        <v>274</v>
      </c>
      <c r="S938" s="381" t="s">
        <v>1463</v>
      </c>
      <c r="T938" s="381"/>
      <c r="U938" s="381"/>
      <c r="V938" s="382">
        <v>274.35000000000002</v>
      </c>
      <c r="W938" s="382">
        <v>0</v>
      </c>
      <c r="X938" s="381">
        <v>0.11416666666666667</v>
      </c>
      <c r="Y938" s="381">
        <v>0.11416666666666667</v>
      </c>
      <c r="Z938" s="381">
        <v>1.4583333333333332E-4</v>
      </c>
      <c r="AA938" s="381">
        <v>0</v>
      </c>
      <c r="AB938" s="381">
        <v>0</v>
      </c>
      <c r="AC938" s="382">
        <v>0.1143125</v>
      </c>
      <c r="AD938" s="382">
        <v>0</v>
      </c>
      <c r="AE938" s="381" t="s">
        <v>168</v>
      </c>
    </row>
    <row r="939" spans="1:31" ht="15" customHeight="1" x14ac:dyDescent="0.25">
      <c r="A939" s="20" t="s">
        <v>156</v>
      </c>
      <c r="B939" s="20" t="s">
        <v>1450</v>
      </c>
      <c r="C939" s="20" t="s">
        <v>1451</v>
      </c>
      <c r="D939" s="378" t="s">
        <v>1464</v>
      </c>
      <c r="E939" s="379">
        <v>44588</v>
      </c>
      <c r="F939" s="379">
        <v>46414</v>
      </c>
      <c r="G939" s="378" t="s">
        <v>160</v>
      </c>
      <c r="H939" s="20" t="s">
        <v>161</v>
      </c>
      <c r="I939" s="20" t="s">
        <v>162</v>
      </c>
      <c r="J939" s="20" t="s">
        <v>163</v>
      </c>
      <c r="K939" s="378" t="s">
        <v>164</v>
      </c>
      <c r="L939" s="20" t="s">
        <v>165</v>
      </c>
      <c r="M939" s="380">
        <v>2400</v>
      </c>
      <c r="N939" s="380"/>
      <c r="O939" s="380"/>
      <c r="P939" s="380"/>
      <c r="Q939" s="381" t="s">
        <v>1465</v>
      </c>
      <c r="R939" s="381">
        <v>291</v>
      </c>
      <c r="S939" s="381" t="s">
        <v>1459</v>
      </c>
      <c r="T939" s="381"/>
      <c r="U939" s="381"/>
      <c r="V939" s="382">
        <v>291.37</v>
      </c>
      <c r="W939" s="382">
        <v>0</v>
      </c>
      <c r="X939" s="381">
        <v>0.12125</v>
      </c>
      <c r="Y939" s="381">
        <v>0.12125</v>
      </c>
      <c r="Z939" s="381">
        <v>1.5416666666666666E-4</v>
      </c>
      <c r="AA939" s="381">
        <v>0</v>
      </c>
      <c r="AB939" s="381">
        <v>0</v>
      </c>
      <c r="AC939" s="382">
        <v>0.12140416666666666</v>
      </c>
      <c r="AD939" s="382">
        <v>0</v>
      </c>
      <c r="AE939" s="381" t="s">
        <v>168</v>
      </c>
    </row>
    <row r="940" spans="1:31" ht="15" customHeight="1" x14ac:dyDescent="0.25">
      <c r="A940" s="20" t="s">
        <v>156</v>
      </c>
      <c r="B940" s="20" t="s">
        <v>1450</v>
      </c>
      <c r="C940" s="20" t="s">
        <v>1451</v>
      </c>
      <c r="D940" s="378" t="s">
        <v>1466</v>
      </c>
      <c r="E940" s="379">
        <v>44588</v>
      </c>
      <c r="F940" s="379">
        <v>46414</v>
      </c>
      <c r="G940" s="378" t="s">
        <v>160</v>
      </c>
      <c r="H940" s="20" t="s">
        <v>161</v>
      </c>
      <c r="I940" s="20" t="s">
        <v>162</v>
      </c>
      <c r="J940" s="20" t="s">
        <v>163</v>
      </c>
      <c r="K940" s="378" t="s">
        <v>164</v>
      </c>
      <c r="L940" s="20" t="s">
        <v>165</v>
      </c>
      <c r="M940" s="380">
        <v>2400</v>
      </c>
      <c r="N940" s="380"/>
      <c r="O940" s="380"/>
      <c r="P940" s="380"/>
      <c r="Q940" s="381" t="s">
        <v>1467</v>
      </c>
      <c r="R940" s="381">
        <v>276</v>
      </c>
      <c r="S940" s="381" t="s">
        <v>1463</v>
      </c>
      <c r="T940" s="381"/>
      <c r="U940" s="381"/>
      <c r="V940" s="382">
        <v>276.35000000000002</v>
      </c>
      <c r="W940" s="382">
        <v>0</v>
      </c>
      <c r="X940" s="381">
        <v>0.115</v>
      </c>
      <c r="Y940" s="381">
        <v>0.115</v>
      </c>
      <c r="Z940" s="381">
        <v>1.4583333333333332E-4</v>
      </c>
      <c r="AA940" s="381">
        <v>0</v>
      </c>
      <c r="AB940" s="381">
        <v>0</v>
      </c>
      <c r="AC940" s="382">
        <v>0.11514583333333334</v>
      </c>
      <c r="AD940" s="382">
        <v>0</v>
      </c>
      <c r="AE940" s="381" t="s">
        <v>168</v>
      </c>
    </row>
    <row r="941" spans="1:31" ht="15" customHeight="1" x14ac:dyDescent="0.25">
      <c r="A941" s="20" t="s">
        <v>156</v>
      </c>
      <c r="B941" s="20" t="s">
        <v>1450</v>
      </c>
      <c r="C941" s="20" t="s">
        <v>1451</v>
      </c>
      <c r="D941" s="378" t="s">
        <v>1468</v>
      </c>
      <c r="E941" s="379">
        <v>44573</v>
      </c>
      <c r="F941" s="379">
        <v>46656</v>
      </c>
      <c r="G941" s="378" t="s">
        <v>179</v>
      </c>
      <c r="H941" s="20" t="s">
        <v>180</v>
      </c>
      <c r="I941" s="20" t="s">
        <v>162</v>
      </c>
      <c r="J941" s="20" t="s">
        <v>163</v>
      </c>
      <c r="K941" s="378" t="s">
        <v>181</v>
      </c>
      <c r="L941" s="20" t="s">
        <v>165</v>
      </c>
      <c r="M941" s="380">
        <v>2400</v>
      </c>
      <c r="N941" s="380"/>
      <c r="O941" s="380"/>
      <c r="P941" s="380"/>
      <c r="Q941" s="381" t="s">
        <v>1469</v>
      </c>
      <c r="R941" s="381" t="s">
        <v>1469</v>
      </c>
      <c r="S941" s="381" t="s">
        <v>755</v>
      </c>
      <c r="T941" s="381"/>
      <c r="U941" s="381"/>
      <c r="V941" s="382">
        <v>279.33</v>
      </c>
      <c r="W941" s="382">
        <v>0</v>
      </c>
      <c r="X941" s="381">
        <v>0.11625000000000001</v>
      </c>
      <c r="Y941" s="381">
        <v>0.11625000000000001</v>
      </c>
      <c r="Z941" s="381">
        <v>1.3750000000000001E-4</v>
      </c>
      <c r="AA941" s="381">
        <v>0</v>
      </c>
      <c r="AB941" s="381">
        <v>0</v>
      </c>
      <c r="AC941" s="382">
        <v>0.1163875</v>
      </c>
      <c r="AD941" s="382">
        <v>0</v>
      </c>
      <c r="AE941" s="381" t="s">
        <v>168</v>
      </c>
    </row>
    <row r="942" spans="1:31" ht="15" customHeight="1" x14ac:dyDescent="0.25">
      <c r="A942" s="20" t="s">
        <v>156</v>
      </c>
      <c r="B942" s="20" t="s">
        <v>1450</v>
      </c>
      <c r="C942" s="20" t="s">
        <v>1451</v>
      </c>
      <c r="D942" s="378" t="s">
        <v>1470</v>
      </c>
      <c r="E942" s="379">
        <v>44588</v>
      </c>
      <c r="F942" s="379">
        <v>46414</v>
      </c>
      <c r="G942" s="378" t="s">
        <v>160</v>
      </c>
      <c r="H942" s="20" t="s">
        <v>161</v>
      </c>
      <c r="I942" s="20" t="s">
        <v>162</v>
      </c>
      <c r="J942" s="20" t="s">
        <v>163</v>
      </c>
      <c r="K942" s="378" t="s">
        <v>164</v>
      </c>
      <c r="L942" s="20" t="s">
        <v>165</v>
      </c>
      <c r="M942" s="380">
        <v>2400</v>
      </c>
      <c r="N942" s="380"/>
      <c r="O942" s="380"/>
      <c r="P942" s="380"/>
      <c r="Q942" s="381" t="s">
        <v>1471</v>
      </c>
      <c r="R942" s="381">
        <v>263</v>
      </c>
      <c r="S942" s="381" t="s">
        <v>171</v>
      </c>
      <c r="T942" s="381"/>
      <c r="U942" s="381"/>
      <c r="V942" s="382">
        <v>263.31</v>
      </c>
      <c r="W942" s="382">
        <v>0</v>
      </c>
      <c r="X942" s="381">
        <v>0.10958333333333334</v>
      </c>
      <c r="Y942" s="381">
        <v>0.10958333333333334</v>
      </c>
      <c r="Z942" s="381">
        <v>1.2916666666666667E-4</v>
      </c>
      <c r="AA942" s="381">
        <v>0</v>
      </c>
      <c r="AB942" s="381">
        <v>0</v>
      </c>
      <c r="AC942" s="382">
        <v>0.1097125</v>
      </c>
      <c r="AD942" s="382">
        <v>0</v>
      </c>
      <c r="AE942" s="381" t="s">
        <v>168</v>
      </c>
    </row>
    <row r="943" spans="1:31" ht="15" customHeight="1" x14ac:dyDescent="0.25">
      <c r="A943" s="20" t="s">
        <v>156</v>
      </c>
      <c r="B943" s="20" t="s">
        <v>1450</v>
      </c>
      <c r="C943" s="20" t="s">
        <v>1451</v>
      </c>
      <c r="D943" s="378" t="s">
        <v>1472</v>
      </c>
      <c r="E943" s="379">
        <v>44588</v>
      </c>
      <c r="F943" s="379">
        <v>46414</v>
      </c>
      <c r="G943" s="378" t="s">
        <v>160</v>
      </c>
      <c r="H943" s="20" t="s">
        <v>161</v>
      </c>
      <c r="I943" s="20" t="s">
        <v>162</v>
      </c>
      <c r="J943" s="20" t="s">
        <v>163</v>
      </c>
      <c r="K943" s="378" t="s">
        <v>164</v>
      </c>
      <c r="L943" s="20" t="s">
        <v>165</v>
      </c>
      <c r="M943" s="380">
        <v>2400</v>
      </c>
      <c r="N943" s="380"/>
      <c r="O943" s="380"/>
      <c r="P943" s="380"/>
      <c r="Q943" s="381" t="s">
        <v>1200</v>
      </c>
      <c r="R943" s="381">
        <v>264</v>
      </c>
      <c r="S943" s="381" t="s">
        <v>171</v>
      </c>
      <c r="T943" s="381"/>
      <c r="U943" s="381"/>
      <c r="V943" s="382">
        <v>264.31</v>
      </c>
      <c r="W943" s="382">
        <v>0</v>
      </c>
      <c r="X943" s="381">
        <v>0.11</v>
      </c>
      <c r="Y943" s="381">
        <v>0.11</v>
      </c>
      <c r="Z943" s="381">
        <v>1.2916666666666667E-4</v>
      </c>
      <c r="AA943" s="381">
        <v>0</v>
      </c>
      <c r="AB943" s="381">
        <v>0</v>
      </c>
      <c r="AC943" s="382">
        <v>0.11012916666666667</v>
      </c>
      <c r="AD943" s="382">
        <v>0</v>
      </c>
      <c r="AE943" s="381" t="s">
        <v>168</v>
      </c>
    </row>
    <row r="944" spans="1:31" ht="15" customHeight="1" x14ac:dyDescent="0.25">
      <c r="A944" s="20" t="s">
        <v>156</v>
      </c>
      <c r="B944" s="20" t="s">
        <v>1450</v>
      </c>
      <c r="C944" s="20" t="s">
        <v>1451</v>
      </c>
      <c r="D944" s="378" t="s">
        <v>1473</v>
      </c>
      <c r="E944" s="379">
        <v>44573</v>
      </c>
      <c r="F944" s="379">
        <v>46656</v>
      </c>
      <c r="G944" s="378" t="s">
        <v>179</v>
      </c>
      <c r="H944" s="20" t="s">
        <v>180</v>
      </c>
      <c r="I944" s="20" t="s">
        <v>162</v>
      </c>
      <c r="J944" s="20" t="s">
        <v>163</v>
      </c>
      <c r="K944" s="378" t="s">
        <v>181</v>
      </c>
      <c r="L944" s="20" t="s">
        <v>165</v>
      </c>
      <c r="M944" s="380">
        <v>2400</v>
      </c>
      <c r="N944" s="380"/>
      <c r="O944" s="380"/>
      <c r="P944" s="380"/>
      <c r="Q944" s="381" t="s">
        <v>1042</v>
      </c>
      <c r="R944" s="381" t="s">
        <v>1042</v>
      </c>
      <c r="S944" s="381" t="s">
        <v>960</v>
      </c>
      <c r="T944" s="381"/>
      <c r="U944" s="381"/>
      <c r="V944" s="382">
        <v>245.28</v>
      </c>
      <c r="W944" s="382">
        <v>0</v>
      </c>
      <c r="X944" s="381">
        <v>0.10208333333333333</v>
      </c>
      <c r="Y944" s="381">
        <v>0.10208333333333333</v>
      </c>
      <c r="Z944" s="381">
        <v>1.1666666666666668E-4</v>
      </c>
      <c r="AA944" s="381">
        <v>0</v>
      </c>
      <c r="AB944" s="381">
        <v>0</v>
      </c>
      <c r="AC944" s="382">
        <v>0.1022</v>
      </c>
      <c r="AD944" s="382">
        <v>0</v>
      </c>
      <c r="AE944" s="381" t="s">
        <v>168</v>
      </c>
    </row>
    <row r="945" spans="1:31" ht="15" customHeight="1" x14ac:dyDescent="0.25">
      <c r="A945" s="20" t="s">
        <v>156</v>
      </c>
      <c r="B945" s="20" t="s">
        <v>1450</v>
      </c>
      <c r="C945" s="20" t="s">
        <v>1451</v>
      </c>
      <c r="D945" s="378" t="s">
        <v>1474</v>
      </c>
      <c r="E945" s="379">
        <v>44588</v>
      </c>
      <c r="F945" s="379">
        <v>46414</v>
      </c>
      <c r="G945" s="378" t="s">
        <v>160</v>
      </c>
      <c r="H945" s="20" t="s">
        <v>161</v>
      </c>
      <c r="I945" s="20" t="s">
        <v>162</v>
      </c>
      <c r="J945" s="20" t="s">
        <v>163</v>
      </c>
      <c r="K945" s="378" t="s">
        <v>164</v>
      </c>
      <c r="L945" s="20" t="s">
        <v>165</v>
      </c>
      <c r="M945" s="380">
        <v>2400</v>
      </c>
      <c r="N945" s="380"/>
      <c r="O945" s="380"/>
      <c r="P945" s="380"/>
      <c r="Q945" s="381" t="s">
        <v>1475</v>
      </c>
      <c r="R945" s="381">
        <v>272</v>
      </c>
      <c r="S945" s="381" t="s">
        <v>171</v>
      </c>
      <c r="T945" s="381"/>
      <c r="U945" s="381"/>
      <c r="V945" s="382">
        <v>272.31</v>
      </c>
      <c r="W945" s="382">
        <v>0</v>
      </c>
      <c r="X945" s="381">
        <v>0.11333333333333333</v>
      </c>
      <c r="Y945" s="381">
        <v>0.11333333333333333</v>
      </c>
      <c r="Z945" s="381">
        <v>1.2916666666666667E-4</v>
      </c>
      <c r="AA945" s="381">
        <v>0</v>
      </c>
      <c r="AB945" s="381">
        <v>0</v>
      </c>
      <c r="AC945" s="382">
        <v>0.11346249999999999</v>
      </c>
      <c r="AD945" s="382">
        <v>0</v>
      </c>
      <c r="AE945" s="381" t="s">
        <v>168</v>
      </c>
    </row>
    <row r="946" spans="1:31" ht="15" customHeight="1" x14ac:dyDescent="0.25">
      <c r="A946" s="20" t="s">
        <v>156</v>
      </c>
      <c r="B946" s="20" t="s">
        <v>1450</v>
      </c>
      <c r="C946" s="20" t="s">
        <v>1451</v>
      </c>
      <c r="D946" s="378" t="s">
        <v>1476</v>
      </c>
      <c r="E946" s="379">
        <v>44816</v>
      </c>
      <c r="F946" s="379">
        <v>46642</v>
      </c>
      <c r="G946" s="383" t="s">
        <v>185</v>
      </c>
      <c r="H946" s="20" t="s">
        <v>186</v>
      </c>
      <c r="I946" s="20" t="s">
        <v>162</v>
      </c>
      <c r="J946" s="20" t="s">
        <v>163</v>
      </c>
      <c r="K946" s="378" t="s">
        <v>187</v>
      </c>
      <c r="L946" s="20" t="s">
        <v>165</v>
      </c>
      <c r="M946" s="380">
        <v>2400</v>
      </c>
      <c r="N946" s="380"/>
      <c r="O946" s="380"/>
      <c r="P946" s="380"/>
      <c r="Q946" s="381" t="s">
        <v>543</v>
      </c>
      <c r="R946" s="381" t="s">
        <v>543</v>
      </c>
      <c r="S946" s="381" t="s">
        <v>957</v>
      </c>
      <c r="T946" s="381"/>
      <c r="U946" s="381"/>
      <c r="V946" s="382">
        <v>221.25</v>
      </c>
      <c r="W946" s="382">
        <v>0</v>
      </c>
      <c r="X946" s="381">
        <v>9.2083333333333336E-2</v>
      </c>
      <c r="Y946" s="381">
        <v>9.2083333333333336E-2</v>
      </c>
      <c r="Z946" s="381">
        <v>1.0416666666666667E-4</v>
      </c>
      <c r="AA946" s="381">
        <v>0</v>
      </c>
      <c r="AB946" s="381">
        <v>0</v>
      </c>
      <c r="AC946" s="382">
        <v>9.2187500000000006E-2</v>
      </c>
      <c r="AD946" s="382">
        <v>0</v>
      </c>
      <c r="AE946" s="381" t="s">
        <v>168</v>
      </c>
    </row>
    <row r="947" spans="1:31" ht="15" customHeight="1" x14ac:dyDescent="0.25">
      <c r="A947" s="20" t="s">
        <v>156</v>
      </c>
      <c r="B947" s="20" t="s">
        <v>1450</v>
      </c>
      <c r="C947" s="20" t="s">
        <v>1451</v>
      </c>
      <c r="D947" s="378" t="s">
        <v>1477</v>
      </c>
      <c r="E947" s="379">
        <v>44573</v>
      </c>
      <c r="F947" s="379">
        <v>46656</v>
      </c>
      <c r="G947" s="378" t="s">
        <v>179</v>
      </c>
      <c r="H947" s="20" t="s">
        <v>180</v>
      </c>
      <c r="I947" s="20" t="s">
        <v>162</v>
      </c>
      <c r="J947" s="20" t="s">
        <v>163</v>
      </c>
      <c r="K947" s="378" t="s">
        <v>181</v>
      </c>
      <c r="L947" s="20" t="s">
        <v>165</v>
      </c>
      <c r="M947" s="380">
        <v>2400</v>
      </c>
      <c r="N947" s="380"/>
      <c r="O947" s="380"/>
      <c r="P947" s="380"/>
      <c r="Q947" s="381" t="s">
        <v>1206</v>
      </c>
      <c r="R947" s="381" t="s">
        <v>1206</v>
      </c>
      <c r="S947" s="381" t="s">
        <v>971</v>
      </c>
      <c r="T947" s="381"/>
      <c r="U947" s="381"/>
      <c r="V947" s="382">
        <v>262.29000000000002</v>
      </c>
      <c r="W947" s="382">
        <v>0</v>
      </c>
      <c r="X947" s="381">
        <v>0.10916666666666666</v>
      </c>
      <c r="Y947" s="381">
        <v>0.10916666666666666</v>
      </c>
      <c r="Z947" s="381">
        <v>1.2083333333333332E-4</v>
      </c>
      <c r="AA947" s="381">
        <v>0</v>
      </c>
      <c r="AB947" s="381">
        <v>0</v>
      </c>
      <c r="AC947" s="382">
        <v>0.1092875</v>
      </c>
      <c r="AD947" s="382">
        <v>0</v>
      </c>
      <c r="AE947" s="381" t="s">
        <v>168</v>
      </c>
    </row>
    <row r="948" spans="1:31" ht="15" customHeight="1" x14ac:dyDescent="0.25">
      <c r="A948" s="20" t="s">
        <v>156</v>
      </c>
      <c r="B948" s="20" t="s">
        <v>1450</v>
      </c>
      <c r="C948" s="20" t="s">
        <v>1451</v>
      </c>
      <c r="D948" s="378" t="s">
        <v>1478</v>
      </c>
      <c r="E948" s="379">
        <v>44816</v>
      </c>
      <c r="F948" s="379">
        <v>46642</v>
      </c>
      <c r="G948" s="383" t="s">
        <v>185</v>
      </c>
      <c r="H948" s="20" t="s">
        <v>186</v>
      </c>
      <c r="I948" s="20" t="s">
        <v>162</v>
      </c>
      <c r="J948" s="20" t="s">
        <v>163</v>
      </c>
      <c r="K948" s="378" t="s">
        <v>187</v>
      </c>
      <c r="L948" s="20" t="s">
        <v>165</v>
      </c>
      <c r="M948" s="380">
        <v>2400</v>
      </c>
      <c r="N948" s="380"/>
      <c r="O948" s="380"/>
      <c r="P948" s="380"/>
      <c r="Q948" s="381" t="s">
        <v>543</v>
      </c>
      <c r="R948" s="381" t="s">
        <v>543</v>
      </c>
      <c r="S948" s="381" t="s">
        <v>962</v>
      </c>
      <c r="T948" s="381"/>
      <c r="U948" s="381"/>
      <c r="V948" s="382">
        <v>221.24</v>
      </c>
      <c r="W948" s="382">
        <v>0</v>
      </c>
      <c r="X948" s="381">
        <v>9.2083333333333336E-2</v>
      </c>
      <c r="Y948" s="381">
        <v>9.2083333333333336E-2</v>
      </c>
      <c r="Z948" s="381">
        <v>9.9999999999999991E-5</v>
      </c>
      <c r="AA948" s="381">
        <v>0</v>
      </c>
      <c r="AB948" s="381">
        <v>0</v>
      </c>
      <c r="AC948" s="382">
        <v>9.2183333333333339E-2</v>
      </c>
      <c r="AD948" s="382">
        <v>0</v>
      </c>
      <c r="AE948" s="381" t="s">
        <v>168</v>
      </c>
    </row>
    <row r="949" spans="1:31" ht="15" customHeight="1" x14ac:dyDescent="0.25">
      <c r="A949" s="20" t="s">
        <v>156</v>
      </c>
      <c r="B949" s="20" t="s">
        <v>1450</v>
      </c>
      <c r="C949" s="20" t="s">
        <v>1451</v>
      </c>
      <c r="D949" s="378" t="s">
        <v>1479</v>
      </c>
      <c r="E949" s="379">
        <v>44573</v>
      </c>
      <c r="F949" s="379">
        <v>46656</v>
      </c>
      <c r="G949" s="378" t="s">
        <v>179</v>
      </c>
      <c r="H949" s="20" t="s">
        <v>180</v>
      </c>
      <c r="I949" s="20" t="s">
        <v>162</v>
      </c>
      <c r="J949" s="20" t="s">
        <v>163</v>
      </c>
      <c r="K949" s="378" t="s">
        <v>181</v>
      </c>
      <c r="L949" s="20" t="s">
        <v>165</v>
      </c>
      <c r="M949" s="380">
        <v>2400</v>
      </c>
      <c r="N949" s="380"/>
      <c r="O949" s="380"/>
      <c r="P949" s="380"/>
      <c r="Q949" s="381" t="s">
        <v>1480</v>
      </c>
      <c r="R949" s="381" t="s">
        <v>1480</v>
      </c>
      <c r="S949" s="381" t="s">
        <v>952</v>
      </c>
      <c r="T949" s="381"/>
      <c r="U949" s="381"/>
      <c r="V949" s="382">
        <v>283.3</v>
      </c>
      <c r="W949" s="382">
        <v>0</v>
      </c>
      <c r="X949" s="381">
        <v>0.11791666666666667</v>
      </c>
      <c r="Y949" s="381">
        <v>0.11791666666666667</v>
      </c>
      <c r="Z949" s="381">
        <v>1.25E-4</v>
      </c>
      <c r="AA949" s="381">
        <v>0</v>
      </c>
      <c r="AB949" s="381">
        <v>0</v>
      </c>
      <c r="AC949" s="382">
        <v>0.11804166666666667</v>
      </c>
      <c r="AD949" s="382">
        <v>0</v>
      </c>
      <c r="AE949" s="381" t="s">
        <v>168</v>
      </c>
    </row>
    <row r="950" spans="1:31" ht="15" customHeight="1" x14ac:dyDescent="0.25">
      <c r="A950" s="20" t="s">
        <v>156</v>
      </c>
      <c r="B950" s="20" t="s">
        <v>1450</v>
      </c>
      <c r="C950" s="20" t="s">
        <v>1451</v>
      </c>
      <c r="D950" s="378" t="s">
        <v>1481</v>
      </c>
      <c r="E950" s="379">
        <v>45016</v>
      </c>
      <c r="F950" s="379">
        <v>46843</v>
      </c>
      <c r="G950" s="378" t="s">
        <v>193</v>
      </c>
      <c r="H950" s="20" t="s">
        <v>194</v>
      </c>
      <c r="I950" s="20" t="s">
        <v>162</v>
      </c>
      <c r="J950" s="20" t="s">
        <v>163</v>
      </c>
      <c r="K950" s="378" t="s">
        <v>195</v>
      </c>
      <c r="L950" s="20" t="s">
        <v>165</v>
      </c>
      <c r="M950" s="380">
        <v>2400</v>
      </c>
      <c r="N950" s="380"/>
      <c r="O950" s="380"/>
      <c r="P950" s="380"/>
      <c r="Q950" s="381">
        <v>282</v>
      </c>
      <c r="R950" s="381">
        <v>282</v>
      </c>
      <c r="S950" s="381">
        <v>0.29799999999999999</v>
      </c>
      <c r="T950" s="381"/>
      <c r="U950" s="381"/>
      <c r="V950" s="382">
        <v>282.298</v>
      </c>
      <c r="W950" s="382">
        <v>0</v>
      </c>
      <c r="X950" s="381">
        <v>0.11749999999999999</v>
      </c>
      <c r="Y950" s="381">
        <v>0.11749999999999999</v>
      </c>
      <c r="Z950" s="381">
        <v>1.2416666666666666E-4</v>
      </c>
      <c r="AA950" s="381">
        <v>0</v>
      </c>
      <c r="AB950" s="381">
        <v>0</v>
      </c>
      <c r="AC950" s="382">
        <v>0.11762416666666665</v>
      </c>
      <c r="AD950" s="382">
        <v>0</v>
      </c>
      <c r="AE950" s="381" t="s">
        <v>168</v>
      </c>
    </row>
    <row r="951" spans="1:31" ht="15" customHeight="1" x14ac:dyDescent="0.25">
      <c r="A951" s="20" t="s">
        <v>156</v>
      </c>
      <c r="B951" s="20" t="s">
        <v>1450</v>
      </c>
      <c r="C951" s="20" t="s">
        <v>1451</v>
      </c>
      <c r="D951" s="378" t="s">
        <v>1482</v>
      </c>
      <c r="E951" s="379">
        <v>45016</v>
      </c>
      <c r="F951" s="379">
        <v>46843</v>
      </c>
      <c r="G951" s="378" t="s">
        <v>193</v>
      </c>
      <c r="H951" s="20" t="s">
        <v>194</v>
      </c>
      <c r="I951" s="20" t="s">
        <v>162</v>
      </c>
      <c r="J951" s="20" t="s">
        <v>163</v>
      </c>
      <c r="K951" s="378" t="s">
        <v>195</v>
      </c>
      <c r="L951" s="20" t="s">
        <v>165</v>
      </c>
      <c r="M951" s="380">
        <v>2400</v>
      </c>
      <c r="N951" s="380"/>
      <c r="O951" s="380"/>
      <c r="P951" s="380"/>
      <c r="Q951" s="381">
        <v>276</v>
      </c>
      <c r="R951" s="381">
        <v>276</v>
      </c>
      <c r="S951" s="381">
        <v>0.28999999999999998</v>
      </c>
      <c r="T951" s="381"/>
      <c r="U951" s="381"/>
      <c r="V951" s="382">
        <v>276.29000000000002</v>
      </c>
      <c r="W951" s="382">
        <v>0</v>
      </c>
      <c r="X951" s="381">
        <v>0.115</v>
      </c>
      <c r="Y951" s="381">
        <v>0.115</v>
      </c>
      <c r="Z951" s="381">
        <v>1.2083333333333332E-4</v>
      </c>
      <c r="AA951" s="381">
        <v>0</v>
      </c>
      <c r="AB951" s="381">
        <v>0</v>
      </c>
      <c r="AC951" s="382">
        <v>0.11512083333333334</v>
      </c>
      <c r="AD951" s="382">
        <v>0</v>
      </c>
      <c r="AE951" s="381" t="s">
        <v>168</v>
      </c>
    </row>
    <row r="952" spans="1:31" ht="15" customHeight="1" x14ac:dyDescent="0.25">
      <c r="A952" s="20" t="s">
        <v>156</v>
      </c>
      <c r="B952" s="20" t="s">
        <v>1450</v>
      </c>
      <c r="C952" s="20" t="s">
        <v>1451</v>
      </c>
      <c r="D952" s="378" t="s">
        <v>1483</v>
      </c>
      <c r="E952" s="379">
        <v>44573</v>
      </c>
      <c r="F952" s="379">
        <v>46656</v>
      </c>
      <c r="G952" s="378" t="s">
        <v>179</v>
      </c>
      <c r="H952" s="20" t="s">
        <v>180</v>
      </c>
      <c r="I952" s="20" t="s">
        <v>162</v>
      </c>
      <c r="J952" s="20" t="s">
        <v>163</v>
      </c>
      <c r="K952" s="378" t="s">
        <v>181</v>
      </c>
      <c r="L952" s="20" t="s">
        <v>165</v>
      </c>
      <c r="M952" s="380">
        <v>2400</v>
      </c>
      <c r="N952" s="380"/>
      <c r="O952" s="380"/>
      <c r="P952" s="380"/>
      <c r="Q952" s="381" t="s">
        <v>1469</v>
      </c>
      <c r="R952" s="381" t="s">
        <v>1469</v>
      </c>
      <c r="S952" s="381" t="s">
        <v>971</v>
      </c>
      <c r="T952" s="381"/>
      <c r="U952" s="381"/>
      <c r="V952" s="382">
        <v>279.29000000000002</v>
      </c>
      <c r="W952" s="382">
        <v>0</v>
      </c>
      <c r="X952" s="381">
        <v>0.11625000000000001</v>
      </c>
      <c r="Y952" s="381">
        <v>0.11625000000000001</v>
      </c>
      <c r="Z952" s="381">
        <v>1.2083333333333332E-4</v>
      </c>
      <c r="AA952" s="381">
        <v>0</v>
      </c>
      <c r="AB952" s="381">
        <v>0</v>
      </c>
      <c r="AC952" s="382">
        <v>0.11637083333333334</v>
      </c>
      <c r="AD952" s="382">
        <v>0</v>
      </c>
      <c r="AE952" s="381" t="s">
        <v>168</v>
      </c>
    </row>
    <row r="953" spans="1:31" ht="15" customHeight="1" x14ac:dyDescent="0.25">
      <c r="A953" s="20" t="s">
        <v>156</v>
      </c>
      <c r="B953" s="20" t="s">
        <v>1450</v>
      </c>
      <c r="C953" s="20" t="s">
        <v>1451</v>
      </c>
      <c r="D953" s="378" t="s">
        <v>1484</v>
      </c>
      <c r="E953" s="379">
        <v>44581</v>
      </c>
      <c r="F953" s="379">
        <v>46407</v>
      </c>
      <c r="G953" s="378" t="s">
        <v>237</v>
      </c>
      <c r="H953" s="20" t="s">
        <v>238</v>
      </c>
      <c r="I953" s="20" t="s">
        <v>162</v>
      </c>
      <c r="J953" s="20" t="s">
        <v>163</v>
      </c>
      <c r="K953" s="378" t="s">
        <v>239</v>
      </c>
      <c r="L953" s="20" t="s">
        <v>165</v>
      </c>
      <c r="M953" s="380">
        <v>2400</v>
      </c>
      <c r="N953" s="380"/>
      <c r="O953" s="380"/>
      <c r="P953" s="380"/>
      <c r="Q953" s="381" t="s">
        <v>1485</v>
      </c>
      <c r="R953" s="381" t="s">
        <v>1485</v>
      </c>
      <c r="S953" s="381" t="s">
        <v>1463</v>
      </c>
      <c r="T953" s="381"/>
      <c r="U953" s="381"/>
      <c r="V953" s="382">
        <v>341.35</v>
      </c>
      <c r="W953" s="382">
        <v>0</v>
      </c>
      <c r="X953" s="381">
        <v>0.14208333333333334</v>
      </c>
      <c r="Y953" s="381">
        <v>0.14208333333333334</v>
      </c>
      <c r="Z953" s="381">
        <v>1.4583333333333332E-4</v>
      </c>
      <c r="AA953" s="381">
        <v>0</v>
      </c>
      <c r="AB953" s="381">
        <v>0</v>
      </c>
      <c r="AC953" s="382">
        <v>0.14222916666666668</v>
      </c>
      <c r="AD953" s="382">
        <v>0</v>
      </c>
      <c r="AE953" s="381" t="s">
        <v>168</v>
      </c>
    </row>
    <row r="954" spans="1:31" ht="15" customHeight="1" x14ac:dyDescent="0.25">
      <c r="A954" s="20" t="s">
        <v>156</v>
      </c>
      <c r="B954" s="20" t="s">
        <v>1450</v>
      </c>
      <c r="C954" s="20" t="s">
        <v>1451</v>
      </c>
      <c r="D954" s="378" t="s">
        <v>1486</v>
      </c>
      <c r="E954" s="379">
        <v>44573</v>
      </c>
      <c r="F954" s="379">
        <v>46656</v>
      </c>
      <c r="G954" s="378" t="s">
        <v>179</v>
      </c>
      <c r="H954" s="20" t="s">
        <v>180</v>
      </c>
      <c r="I954" s="20" t="s">
        <v>162</v>
      </c>
      <c r="J954" s="20" t="s">
        <v>163</v>
      </c>
      <c r="K954" s="378" t="s">
        <v>181</v>
      </c>
      <c r="L954" s="20" t="s">
        <v>165</v>
      </c>
      <c r="M954" s="380">
        <v>2400</v>
      </c>
      <c r="N954" s="380"/>
      <c r="O954" s="380"/>
      <c r="P954" s="380"/>
      <c r="Q954" s="381" t="s">
        <v>1487</v>
      </c>
      <c r="R954" s="381" t="s">
        <v>1487</v>
      </c>
      <c r="S954" s="381" t="s">
        <v>171</v>
      </c>
      <c r="T954" s="381"/>
      <c r="U954" s="381"/>
      <c r="V954" s="382">
        <v>310.31</v>
      </c>
      <c r="W954" s="382">
        <v>0</v>
      </c>
      <c r="X954" s="381">
        <v>0.12916666666666668</v>
      </c>
      <c r="Y954" s="381">
        <v>0.12916666666666668</v>
      </c>
      <c r="Z954" s="381">
        <v>1.2916666666666667E-4</v>
      </c>
      <c r="AA954" s="381">
        <v>0</v>
      </c>
      <c r="AB954" s="381">
        <v>0</v>
      </c>
      <c r="AC954" s="382">
        <v>0.12929583333333336</v>
      </c>
      <c r="AD954" s="382">
        <v>0</v>
      </c>
      <c r="AE954" s="381" t="s">
        <v>168</v>
      </c>
    </row>
    <row r="955" spans="1:31" ht="15" customHeight="1" x14ac:dyDescent="0.25">
      <c r="A955" s="20" t="s">
        <v>156</v>
      </c>
      <c r="B955" s="20" t="s">
        <v>1450</v>
      </c>
      <c r="C955" s="20" t="s">
        <v>1451</v>
      </c>
      <c r="D955" s="378" t="s">
        <v>1488</v>
      </c>
      <c r="E955" s="379">
        <v>44816</v>
      </c>
      <c r="F955" s="379">
        <v>46642</v>
      </c>
      <c r="G955" s="383" t="s">
        <v>185</v>
      </c>
      <c r="H955" s="20" t="s">
        <v>186</v>
      </c>
      <c r="I955" s="20" t="s">
        <v>162</v>
      </c>
      <c r="J955" s="20" t="s">
        <v>163</v>
      </c>
      <c r="K955" s="378" t="s">
        <v>187</v>
      </c>
      <c r="L955" s="20" t="s">
        <v>165</v>
      </c>
      <c r="M955" s="380">
        <v>2400</v>
      </c>
      <c r="N955" s="380"/>
      <c r="O955" s="380"/>
      <c r="P955" s="380"/>
      <c r="Q955" s="381" t="s">
        <v>1489</v>
      </c>
      <c r="R955" s="381" t="s">
        <v>1489</v>
      </c>
      <c r="S955" s="381" t="s">
        <v>960</v>
      </c>
      <c r="T955" s="381"/>
      <c r="U955" s="381"/>
      <c r="V955" s="382">
        <v>305.27999999999997</v>
      </c>
      <c r="W955" s="382">
        <v>0</v>
      </c>
      <c r="X955" s="381">
        <v>0.12708333333333333</v>
      </c>
      <c r="Y955" s="381">
        <v>0.12708333333333333</v>
      </c>
      <c r="Z955" s="381">
        <v>1.1666666666666668E-4</v>
      </c>
      <c r="AA955" s="381">
        <v>0</v>
      </c>
      <c r="AB955" s="381">
        <v>0</v>
      </c>
      <c r="AC955" s="382">
        <v>0.12719999999999998</v>
      </c>
      <c r="AD955" s="382">
        <v>0</v>
      </c>
      <c r="AE955" s="381" t="s">
        <v>168</v>
      </c>
    </row>
    <row r="956" spans="1:31" ht="15" customHeight="1" x14ac:dyDescent="0.25">
      <c r="A956" s="20" t="s">
        <v>156</v>
      </c>
      <c r="B956" s="20" t="s">
        <v>1450</v>
      </c>
      <c r="C956" s="20" t="s">
        <v>1451</v>
      </c>
      <c r="D956" s="378" t="s">
        <v>1490</v>
      </c>
      <c r="E956" s="379">
        <v>45016</v>
      </c>
      <c r="F956" s="379">
        <v>46843</v>
      </c>
      <c r="G956" s="378" t="s">
        <v>193</v>
      </c>
      <c r="H956" s="20" t="s">
        <v>194</v>
      </c>
      <c r="I956" s="20" t="s">
        <v>162</v>
      </c>
      <c r="J956" s="20" t="s">
        <v>163</v>
      </c>
      <c r="K956" s="378" t="s">
        <v>195</v>
      </c>
      <c r="L956" s="20" t="s">
        <v>165</v>
      </c>
      <c r="M956" s="380">
        <v>2400</v>
      </c>
      <c r="N956" s="380"/>
      <c r="O956" s="380"/>
      <c r="P956" s="380"/>
      <c r="Q956" s="381">
        <v>268</v>
      </c>
      <c r="R956" s="381">
        <v>268</v>
      </c>
      <c r="S956" s="381">
        <v>0.246</v>
      </c>
      <c r="T956" s="381"/>
      <c r="U956" s="381"/>
      <c r="V956" s="382">
        <v>268.24599999999998</v>
      </c>
      <c r="W956" s="382">
        <v>0</v>
      </c>
      <c r="X956" s="381">
        <v>0.11166666666666666</v>
      </c>
      <c r="Y956" s="381">
        <v>0.11166666666666666</v>
      </c>
      <c r="Z956" s="381">
        <v>1.025E-4</v>
      </c>
      <c r="AA956" s="381">
        <v>0</v>
      </c>
      <c r="AB956" s="381">
        <v>0</v>
      </c>
      <c r="AC956" s="382">
        <v>0.11176916666666667</v>
      </c>
      <c r="AD956" s="382">
        <v>0</v>
      </c>
      <c r="AE956" s="381" t="s">
        <v>168</v>
      </c>
    </row>
    <row r="957" spans="1:31" ht="15" customHeight="1" x14ac:dyDescent="0.25">
      <c r="A957" s="20" t="s">
        <v>156</v>
      </c>
      <c r="B957" s="20" t="s">
        <v>1450</v>
      </c>
      <c r="C957" s="20" t="s">
        <v>1451</v>
      </c>
      <c r="D957" s="378" t="s">
        <v>1491</v>
      </c>
      <c r="E957" s="379">
        <v>44816</v>
      </c>
      <c r="F957" s="379">
        <v>46642</v>
      </c>
      <c r="G957" s="383" t="s">
        <v>185</v>
      </c>
      <c r="H957" s="20" t="s">
        <v>186</v>
      </c>
      <c r="I957" s="20" t="s">
        <v>162</v>
      </c>
      <c r="J957" s="20" t="s">
        <v>163</v>
      </c>
      <c r="K957" s="378" t="s">
        <v>187</v>
      </c>
      <c r="L957" s="20" t="s">
        <v>165</v>
      </c>
      <c r="M957" s="380">
        <v>2400</v>
      </c>
      <c r="N957" s="380"/>
      <c r="O957" s="380"/>
      <c r="P957" s="380"/>
      <c r="Q957" s="381" t="s">
        <v>1492</v>
      </c>
      <c r="R957" s="381" t="s">
        <v>1492</v>
      </c>
      <c r="S957" s="381" t="s">
        <v>545</v>
      </c>
      <c r="T957" s="381"/>
      <c r="U957" s="381"/>
      <c r="V957" s="382">
        <v>295.27</v>
      </c>
      <c r="W957" s="382">
        <v>0</v>
      </c>
      <c r="X957" s="381">
        <v>0.12291666666666666</v>
      </c>
      <c r="Y957" s="381">
        <v>0.12291666666666666</v>
      </c>
      <c r="Z957" s="381">
        <v>1.1250000000000001E-4</v>
      </c>
      <c r="AA957" s="381">
        <v>0</v>
      </c>
      <c r="AB957" s="381">
        <v>0</v>
      </c>
      <c r="AC957" s="382">
        <v>0.12302916666666666</v>
      </c>
      <c r="AD957" s="382">
        <v>0</v>
      </c>
      <c r="AE957" s="381" t="s">
        <v>168</v>
      </c>
    </row>
    <row r="958" spans="1:31" ht="15" customHeight="1" x14ac:dyDescent="0.25">
      <c r="A958" s="20" t="s">
        <v>156</v>
      </c>
      <c r="B958" s="20" t="s">
        <v>1450</v>
      </c>
      <c r="C958" s="20" t="s">
        <v>1451</v>
      </c>
      <c r="D958" s="378" t="s">
        <v>1493</v>
      </c>
      <c r="E958" s="379">
        <v>44816</v>
      </c>
      <c r="F958" s="379">
        <v>46642</v>
      </c>
      <c r="G958" s="383" t="s">
        <v>185</v>
      </c>
      <c r="H958" s="20" t="s">
        <v>186</v>
      </c>
      <c r="I958" s="20" t="s">
        <v>162</v>
      </c>
      <c r="J958" s="20" t="s">
        <v>163</v>
      </c>
      <c r="K958" s="378" t="s">
        <v>187</v>
      </c>
      <c r="L958" s="20" t="s">
        <v>165</v>
      </c>
      <c r="M958" s="380">
        <v>2400</v>
      </c>
      <c r="N958" s="380"/>
      <c r="O958" s="380"/>
      <c r="P958" s="380"/>
      <c r="Q958" s="381" t="s">
        <v>1494</v>
      </c>
      <c r="R958" s="381" t="s">
        <v>1494</v>
      </c>
      <c r="S958" s="381" t="s">
        <v>545</v>
      </c>
      <c r="T958" s="381"/>
      <c r="U958" s="381"/>
      <c r="V958" s="382">
        <v>297.27</v>
      </c>
      <c r="W958" s="382">
        <v>0</v>
      </c>
      <c r="X958" s="381">
        <v>0.12375</v>
      </c>
      <c r="Y958" s="381">
        <v>0.12375</v>
      </c>
      <c r="Z958" s="381">
        <v>1.1250000000000001E-4</v>
      </c>
      <c r="AA958" s="381">
        <v>0</v>
      </c>
      <c r="AB958" s="381">
        <v>0</v>
      </c>
      <c r="AC958" s="382">
        <v>0.1238625</v>
      </c>
      <c r="AD958" s="382">
        <v>0</v>
      </c>
      <c r="AE958" s="381" t="s">
        <v>168</v>
      </c>
    </row>
    <row r="959" spans="1:31" ht="15" customHeight="1" x14ac:dyDescent="0.25">
      <c r="A959" s="20" t="s">
        <v>156</v>
      </c>
      <c r="B959" s="20" t="s">
        <v>1450</v>
      </c>
      <c r="C959" s="20" t="s">
        <v>1451</v>
      </c>
      <c r="D959" s="378" t="s">
        <v>1495</v>
      </c>
      <c r="E959" s="379">
        <v>44294</v>
      </c>
      <c r="F959" s="379">
        <v>46120</v>
      </c>
      <c r="G959" s="378" t="s">
        <v>219</v>
      </c>
      <c r="H959" s="20" t="s">
        <v>220</v>
      </c>
      <c r="I959" s="20" t="s">
        <v>162</v>
      </c>
      <c r="J959" s="20" t="s">
        <v>163</v>
      </c>
      <c r="K959" s="378" t="s">
        <v>221</v>
      </c>
      <c r="L959" s="20" t="s">
        <v>165</v>
      </c>
      <c r="M959" s="380">
        <v>2400</v>
      </c>
      <c r="N959" s="380"/>
      <c r="O959" s="380"/>
      <c r="P959" s="380"/>
      <c r="Q959" s="381" t="s">
        <v>1496</v>
      </c>
      <c r="R959" s="380" t="s">
        <v>1496</v>
      </c>
      <c r="S959" s="381" t="s">
        <v>545</v>
      </c>
      <c r="T959" s="381"/>
      <c r="U959" s="381"/>
      <c r="V959" s="382">
        <v>298.27</v>
      </c>
      <c r="W959" s="382">
        <v>0</v>
      </c>
      <c r="X959" s="381">
        <v>0.12416666666666666</v>
      </c>
      <c r="Y959" s="381">
        <v>0.12416666666666666</v>
      </c>
      <c r="Z959" s="381">
        <v>1.1250000000000001E-4</v>
      </c>
      <c r="AA959" s="381">
        <v>0</v>
      </c>
      <c r="AB959" s="381">
        <v>0</v>
      </c>
      <c r="AC959" s="382">
        <v>0.12427916666666666</v>
      </c>
      <c r="AD959" s="382">
        <v>0</v>
      </c>
      <c r="AE959" s="381" t="s">
        <v>168</v>
      </c>
    </row>
    <row r="960" spans="1:31" ht="15" customHeight="1" x14ac:dyDescent="0.25">
      <c r="A960" s="20" t="s">
        <v>156</v>
      </c>
      <c r="B960" s="20" t="s">
        <v>1450</v>
      </c>
      <c r="C960" s="20" t="s">
        <v>1451</v>
      </c>
      <c r="D960" s="378" t="s">
        <v>1497</v>
      </c>
      <c r="E960" s="379">
        <v>44816</v>
      </c>
      <c r="F960" s="379">
        <v>46642</v>
      </c>
      <c r="G960" s="383" t="s">
        <v>185</v>
      </c>
      <c r="H960" s="20" t="s">
        <v>186</v>
      </c>
      <c r="I960" s="20" t="s">
        <v>162</v>
      </c>
      <c r="J960" s="20" t="s">
        <v>163</v>
      </c>
      <c r="K960" s="378" t="s">
        <v>187</v>
      </c>
      <c r="L960" s="20" t="s">
        <v>165</v>
      </c>
      <c r="M960" s="380">
        <v>2400</v>
      </c>
      <c r="N960" s="380"/>
      <c r="O960" s="380"/>
      <c r="P960" s="380"/>
      <c r="Q960" s="381" t="s">
        <v>1498</v>
      </c>
      <c r="R960" s="381" t="s">
        <v>1498</v>
      </c>
      <c r="S960" s="381" t="s">
        <v>183</v>
      </c>
      <c r="T960" s="381"/>
      <c r="U960" s="381"/>
      <c r="V960" s="382">
        <v>287.26</v>
      </c>
      <c r="W960" s="382">
        <v>0</v>
      </c>
      <c r="X960" s="381">
        <v>0.11958333333333333</v>
      </c>
      <c r="Y960" s="381">
        <v>0.11958333333333333</v>
      </c>
      <c r="Z960" s="381">
        <v>1.0833333333333334E-4</v>
      </c>
      <c r="AA960" s="381">
        <v>0</v>
      </c>
      <c r="AB960" s="381">
        <v>0</v>
      </c>
      <c r="AC960" s="382">
        <v>0.11969166666666667</v>
      </c>
      <c r="AD960" s="382">
        <v>0</v>
      </c>
      <c r="AE960" s="381" t="s">
        <v>168</v>
      </c>
    </row>
    <row r="961" spans="1:31" ht="15" customHeight="1" x14ac:dyDescent="0.25">
      <c r="A961" s="20" t="s">
        <v>156</v>
      </c>
      <c r="B961" s="20" t="s">
        <v>1450</v>
      </c>
      <c r="C961" s="20" t="s">
        <v>1451</v>
      </c>
      <c r="D961" s="378" t="s">
        <v>1499</v>
      </c>
      <c r="E961" s="379">
        <v>45016</v>
      </c>
      <c r="F961" s="379">
        <v>46843</v>
      </c>
      <c r="G961" s="378" t="s">
        <v>179</v>
      </c>
      <c r="H961" s="20" t="s">
        <v>202</v>
      </c>
      <c r="I961" s="20" t="s">
        <v>162</v>
      </c>
      <c r="J961" s="20" t="s">
        <v>163</v>
      </c>
      <c r="K961" s="378" t="s">
        <v>203</v>
      </c>
      <c r="L961" s="20" t="s">
        <v>165</v>
      </c>
      <c r="M961" s="380">
        <v>2400</v>
      </c>
      <c r="N961" s="380"/>
      <c r="O961" s="380"/>
      <c r="P961" s="380"/>
      <c r="Q961" s="381">
        <v>257</v>
      </c>
      <c r="R961" s="381">
        <v>257</v>
      </c>
      <c r="S961" s="381">
        <v>0.22</v>
      </c>
      <c r="T961" s="381"/>
      <c r="U961" s="381"/>
      <c r="V961" s="382">
        <v>257.22000000000003</v>
      </c>
      <c r="W961" s="382">
        <v>0</v>
      </c>
      <c r="X961" s="381">
        <v>0.10708333333333334</v>
      </c>
      <c r="Y961" s="381">
        <v>0.10708333333333334</v>
      </c>
      <c r="Z961" s="381">
        <v>9.1666666666666668E-5</v>
      </c>
      <c r="AA961" s="381">
        <v>0</v>
      </c>
      <c r="AB961" s="381">
        <v>0</v>
      </c>
      <c r="AC961" s="382">
        <v>0.10717500000000001</v>
      </c>
      <c r="AD961" s="382">
        <v>0</v>
      </c>
      <c r="AE961" s="381" t="s">
        <v>168</v>
      </c>
    </row>
    <row r="962" spans="1:31" ht="15" customHeight="1" x14ac:dyDescent="0.25">
      <c r="A962" s="20" t="s">
        <v>156</v>
      </c>
      <c r="B962" s="20" t="s">
        <v>1450</v>
      </c>
      <c r="C962" s="20" t="s">
        <v>1451</v>
      </c>
      <c r="D962" s="378" t="s">
        <v>1500</v>
      </c>
      <c r="E962" s="379">
        <v>44294</v>
      </c>
      <c r="F962" s="379">
        <v>46120</v>
      </c>
      <c r="G962" s="378" t="s">
        <v>219</v>
      </c>
      <c r="H962" s="20" t="s">
        <v>220</v>
      </c>
      <c r="I962" s="20" t="s">
        <v>162</v>
      </c>
      <c r="J962" s="20" t="s">
        <v>163</v>
      </c>
      <c r="K962" s="378" t="s">
        <v>221</v>
      </c>
      <c r="L962" s="20" t="s">
        <v>165</v>
      </c>
      <c r="M962" s="380">
        <v>2400</v>
      </c>
      <c r="N962" s="380"/>
      <c r="O962" s="380"/>
      <c r="P962" s="380"/>
      <c r="Q962" s="381" t="s">
        <v>1007</v>
      </c>
      <c r="R962" s="380" t="s">
        <v>1007</v>
      </c>
      <c r="S962" s="381" t="s">
        <v>211</v>
      </c>
      <c r="T962" s="381"/>
      <c r="U962" s="381"/>
      <c r="V962" s="382">
        <v>202.17</v>
      </c>
      <c r="W962" s="382">
        <v>0</v>
      </c>
      <c r="X962" s="381">
        <v>8.4166666666666667E-2</v>
      </c>
      <c r="Y962" s="381">
        <v>8.4166666666666667E-2</v>
      </c>
      <c r="Z962" s="381">
        <v>7.0833333333333338E-5</v>
      </c>
      <c r="AA962" s="381">
        <v>0</v>
      </c>
      <c r="AB962" s="381">
        <v>0</v>
      </c>
      <c r="AC962" s="382">
        <v>8.4237500000000007E-2</v>
      </c>
      <c r="AD962" s="382">
        <v>0</v>
      </c>
      <c r="AE962" s="381" t="s">
        <v>168</v>
      </c>
    </row>
    <row r="963" spans="1:31" ht="15" customHeight="1" x14ac:dyDescent="0.25">
      <c r="A963" s="20" t="s">
        <v>156</v>
      </c>
      <c r="B963" s="20" t="s">
        <v>1450</v>
      </c>
      <c r="C963" s="20" t="s">
        <v>1451</v>
      </c>
      <c r="D963" s="378" t="s">
        <v>1501</v>
      </c>
      <c r="E963" s="379">
        <v>45016</v>
      </c>
      <c r="F963" s="379">
        <v>46843</v>
      </c>
      <c r="G963" s="378" t="s">
        <v>179</v>
      </c>
      <c r="H963" s="20" t="s">
        <v>202</v>
      </c>
      <c r="I963" s="20" t="s">
        <v>162</v>
      </c>
      <c r="J963" s="20" t="s">
        <v>163</v>
      </c>
      <c r="K963" s="378" t="s">
        <v>203</v>
      </c>
      <c r="L963" s="20" t="s">
        <v>165</v>
      </c>
      <c r="M963" s="380">
        <v>2400</v>
      </c>
      <c r="N963" s="380"/>
      <c r="O963" s="380"/>
      <c r="P963" s="380"/>
      <c r="Q963" s="381">
        <v>253</v>
      </c>
      <c r="R963" s="381">
        <v>253</v>
      </c>
      <c r="S963" s="381">
        <v>0.21</v>
      </c>
      <c r="T963" s="381"/>
      <c r="U963" s="381"/>
      <c r="V963" s="382">
        <v>253.21</v>
      </c>
      <c r="W963" s="382">
        <v>0</v>
      </c>
      <c r="X963" s="381">
        <v>0.10541666666666667</v>
      </c>
      <c r="Y963" s="381">
        <v>0.10541666666666667</v>
      </c>
      <c r="Z963" s="381">
        <v>8.7499999999999999E-5</v>
      </c>
      <c r="AA963" s="381">
        <v>0</v>
      </c>
      <c r="AB963" s="381">
        <v>0</v>
      </c>
      <c r="AC963" s="382">
        <v>0.10550416666666668</v>
      </c>
      <c r="AD963" s="382">
        <v>0</v>
      </c>
      <c r="AE963" s="381" t="s">
        <v>168</v>
      </c>
    </row>
    <row r="964" spans="1:31" ht="15" customHeight="1" x14ac:dyDescent="0.25">
      <c r="A964" s="20" t="s">
        <v>156</v>
      </c>
      <c r="B964" s="20" t="s">
        <v>1450</v>
      </c>
      <c r="C964" s="20" t="s">
        <v>1451</v>
      </c>
      <c r="D964" s="378" t="s">
        <v>1502</v>
      </c>
      <c r="E964" s="379">
        <v>45016</v>
      </c>
      <c r="F964" s="379">
        <v>46843</v>
      </c>
      <c r="G964" s="378" t="s">
        <v>215</v>
      </c>
      <c r="H964" s="20" t="s">
        <v>216</v>
      </c>
      <c r="I964" s="20" t="s">
        <v>162</v>
      </c>
      <c r="J964" s="20" t="s">
        <v>163</v>
      </c>
      <c r="K964" s="378" t="s">
        <v>217</v>
      </c>
      <c r="L964" s="20" t="s">
        <v>165</v>
      </c>
      <c r="M964" s="380">
        <v>2400</v>
      </c>
      <c r="N964" s="380"/>
      <c r="O964" s="380"/>
      <c r="P964" s="380"/>
      <c r="Q964" s="381">
        <v>298</v>
      </c>
      <c r="R964" s="381">
        <v>298</v>
      </c>
      <c r="S964" s="381">
        <v>0.246</v>
      </c>
      <c r="T964" s="381"/>
      <c r="U964" s="381"/>
      <c r="V964" s="382">
        <v>298.24599999999998</v>
      </c>
      <c r="W964" s="382">
        <v>0</v>
      </c>
      <c r="X964" s="381">
        <v>0.12416666666666666</v>
      </c>
      <c r="Y964" s="381">
        <v>0.12416666666666666</v>
      </c>
      <c r="Z964" s="381">
        <v>1.025E-4</v>
      </c>
      <c r="AA964" s="381">
        <v>0</v>
      </c>
      <c r="AB964" s="381">
        <v>0</v>
      </c>
      <c r="AC964" s="382">
        <v>0.12426916666666667</v>
      </c>
      <c r="AD964" s="382">
        <v>0</v>
      </c>
      <c r="AE964" s="381" t="s">
        <v>168</v>
      </c>
    </row>
    <row r="965" spans="1:31" ht="15" customHeight="1" x14ac:dyDescent="0.25">
      <c r="A965" s="20" t="s">
        <v>156</v>
      </c>
      <c r="B965" s="20" t="s">
        <v>1450</v>
      </c>
      <c r="C965" s="20" t="s">
        <v>1451</v>
      </c>
      <c r="D965" s="378" t="s">
        <v>1503</v>
      </c>
      <c r="E965" s="379">
        <v>44294</v>
      </c>
      <c r="F965" s="379">
        <v>46120</v>
      </c>
      <c r="G965" s="378" t="s">
        <v>219</v>
      </c>
      <c r="H965" s="20" t="s">
        <v>220</v>
      </c>
      <c r="I965" s="20" t="s">
        <v>162</v>
      </c>
      <c r="J965" s="20" t="s">
        <v>163</v>
      </c>
      <c r="K965" s="378" t="s">
        <v>221</v>
      </c>
      <c r="L965" s="20" t="s">
        <v>165</v>
      </c>
      <c r="M965" s="380">
        <v>2400</v>
      </c>
      <c r="N965" s="380"/>
      <c r="O965" s="380"/>
      <c r="P965" s="380"/>
      <c r="Q965" s="381" t="s">
        <v>1504</v>
      </c>
      <c r="R965" s="380" t="s">
        <v>1504</v>
      </c>
      <c r="S965" s="381" t="s">
        <v>962</v>
      </c>
      <c r="T965" s="381"/>
      <c r="U965" s="381"/>
      <c r="V965" s="382">
        <v>293.24</v>
      </c>
      <c r="W965" s="382">
        <v>0</v>
      </c>
      <c r="X965" s="381">
        <v>0.12208333333333334</v>
      </c>
      <c r="Y965" s="381">
        <v>0.12208333333333334</v>
      </c>
      <c r="Z965" s="381">
        <v>9.9999999999999991E-5</v>
      </c>
      <c r="AA965" s="381">
        <v>0</v>
      </c>
      <c r="AB965" s="381">
        <v>0</v>
      </c>
      <c r="AC965" s="382">
        <v>0.12218333333333334</v>
      </c>
      <c r="AD965" s="382">
        <v>0</v>
      </c>
      <c r="AE965" s="381" t="s">
        <v>168</v>
      </c>
    </row>
    <row r="966" spans="1:31" ht="15" customHeight="1" x14ac:dyDescent="0.25">
      <c r="A966" s="20" t="s">
        <v>156</v>
      </c>
      <c r="B966" s="20" t="s">
        <v>1450</v>
      </c>
      <c r="C966" s="20" t="s">
        <v>1451</v>
      </c>
      <c r="D966" s="378" t="s">
        <v>1505</v>
      </c>
      <c r="E966" s="379">
        <v>45038</v>
      </c>
      <c r="F966" s="379">
        <v>46865</v>
      </c>
      <c r="G966" s="383" t="s">
        <v>193</v>
      </c>
      <c r="H966" s="20" t="s">
        <v>229</v>
      </c>
      <c r="I966" s="20" t="s">
        <v>162</v>
      </c>
      <c r="J966" s="20" t="s">
        <v>163</v>
      </c>
      <c r="K966" s="378" t="s">
        <v>230</v>
      </c>
      <c r="L966" s="20" t="s">
        <v>165</v>
      </c>
      <c r="M966" s="380">
        <v>2400</v>
      </c>
      <c r="N966" s="380"/>
      <c r="O966" s="380"/>
      <c r="P966" s="380"/>
      <c r="Q966" s="381" t="s">
        <v>612</v>
      </c>
      <c r="R966" s="381" t="s">
        <v>612</v>
      </c>
      <c r="S966" s="381" t="s">
        <v>206</v>
      </c>
      <c r="T966" s="381"/>
      <c r="U966" s="381"/>
      <c r="V966" s="382">
        <v>220.18</v>
      </c>
      <c r="W966" s="382">
        <v>0</v>
      </c>
      <c r="X966" s="381">
        <v>9.166666666666666E-2</v>
      </c>
      <c r="Y966" s="381">
        <v>9.166666666666666E-2</v>
      </c>
      <c r="Z966" s="381">
        <v>7.4999999999999993E-5</v>
      </c>
      <c r="AA966" s="381">
        <v>0</v>
      </c>
      <c r="AB966" s="381">
        <v>0</v>
      </c>
      <c r="AC966" s="382">
        <v>9.1741666666666666E-2</v>
      </c>
      <c r="AD966" s="382">
        <v>0</v>
      </c>
      <c r="AE966" s="381" t="s">
        <v>168</v>
      </c>
    </row>
    <row r="967" spans="1:31" ht="15" customHeight="1" x14ac:dyDescent="0.25">
      <c r="A967" s="20" t="s">
        <v>156</v>
      </c>
      <c r="B967" s="20" t="s">
        <v>1450</v>
      </c>
      <c r="C967" s="20" t="s">
        <v>1451</v>
      </c>
      <c r="D967" s="378" t="s">
        <v>1506</v>
      </c>
      <c r="E967" s="379">
        <v>44294</v>
      </c>
      <c r="F967" s="379">
        <v>46120</v>
      </c>
      <c r="G967" s="378" t="s">
        <v>219</v>
      </c>
      <c r="H967" s="20" t="s">
        <v>220</v>
      </c>
      <c r="I967" s="20" t="s">
        <v>162</v>
      </c>
      <c r="J967" s="20" t="s">
        <v>163</v>
      </c>
      <c r="K967" s="378" t="s">
        <v>221</v>
      </c>
      <c r="L967" s="20" t="s">
        <v>165</v>
      </c>
      <c r="M967" s="380">
        <v>2400</v>
      </c>
      <c r="N967" s="380"/>
      <c r="O967" s="380"/>
      <c r="P967" s="380"/>
      <c r="Q967" s="381" t="s">
        <v>764</v>
      </c>
      <c r="R967" s="380" t="s">
        <v>764</v>
      </c>
      <c r="S967" s="381" t="s">
        <v>189</v>
      </c>
      <c r="T967" s="381"/>
      <c r="U967" s="381"/>
      <c r="V967" s="382">
        <v>199.16</v>
      </c>
      <c r="W967" s="382">
        <v>0</v>
      </c>
      <c r="X967" s="381">
        <v>8.2916666666666666E-2</v>
      </c>
      <c r="Y967" s="381">
        <v>8.2916666666666666E-2</v>
      </c>
      <c r="Z967" s="381">
        <v>6.666666666666667E-5</v>
      </c>
      <c r="AA967" s="381">
        <v>0</v>
      </c>
      <c r="AB967" s="381">
        <v>0</v>
      </c>
      <c r="AC967" s="382">
        <v>8.2983333333333339E-2</v>
      </c>
      <c r="AD967" s="382">
        <v>0</v>
      </c>
      <c r="AE967" s="381" t="s">
        <v>168</v>
      </c>
    </row>
    <row r="968" spans="1:31" ht="15" customHeight="1" x14ac:dyDescent="0.25">
      <c r="A968" s="20" t="s">
        <v>156</v>
      </c>
      <c r="B968" s="20" t="s">
        <v>1450</v>
      </c>
      <c r="C968" s="20" t="s">
        <v>1451</v>
      </c>
      <c r="D968" s="378" t="s">
        <v>1507</v>
      </c>
      <c r="E968" s="379">
        <v>44294</v>
      </c>
      <c r="F968" s="379">
        <v>46120</v>
      </c>
      <c r="G968" s="378" t="s">
        <v>219</v>
      </c>
      <c r="H968" s="20" t="s">
        <v>220</v>
      </c>
      <c r="I968" s="20" t="s">
        <v>162</v>
      </c>
      <c r="J968" s="20" t="s">
        <v>163</v>
      </c>
      <c r="K968" s="378" t="s">
        <v>221</v>
      </c>
      <c r="L968" s="20" t="s">
        <v>165</v>
      </c>
      <c r="M968" s="380">
        <v>2400</v>
      </c>
      <c r="N968" s="380"/>
      <c r="O968" s="380"/>
      <c r="P968" s="380"/>
      <c r="Q968" s="381" t="s">
        <v>205</v>
      </c>
      <c r="R968" s="380" t="s">
        <v>205</v>
      </c>
      <c r="S968" s="381" t="s">
        <v>189</v>
      </c>
      <c r="T968" s="381"/>
      <c r="U968" s="381"/>
      <c r="V968" s="382">
        <v>200.16</v>
      </c>
      <c r="W968" s="382">
        <v>0</v>
      </c>
      <c r="X968" s="381">
        <v>8.3333333333333329E-2</v>
      </c>
      <c r="Y968" s="381">
        <v>8.3333333333333329E-2</v>
      </c>
      <c r="Z968" s="381">
        <v>6.666666666666667E-5</v>
      </c>
      <c r="AA968" s="381">
        <v>0</v>
      </c>
      <c r="AB968" s="381">
        <v>0</v>
      </c>
      <c r="AC968" s="382">
        <v>8.3400000000000002E-2</v>
      </c>
      <c r="AD968" s="382">
        <v>0</v>
      </c>
      <c r="AE968" s="381" t="s">
        <v>168</v>
      </c>
    </row>
    <row r="969" spans="1:31" ht="15" customHeight="1" x14ac:dyDescent="0.25">
      <c r="A969" s="20" t="s">
        <v>156</v>
      </c>
      <c r="B969" s="20" t="s">
        <v>1450</v>
      </c>
      <c r="C969" s="20" t="s">
        <v>1451</v>
      </c>
      <c r="D969" s="378" t="s">
        <v>1508</v>
      </c>
      <c r="E969" s="379">
        <v>44294</v>
      </c>
      <c r="F969" s="379">
        <v>46120</v>
      </c>
      <c r="G969" s="378" t="s">
        <v>219</v>
      </c>
      <c r="H969" s="20" t="s">
        <v>220</v>
      </c>
      <c r="I969" s="20" t="s">
        <v>162</v>
      </c>
      <c r="J969" s="20" t="s">
        <v>163</v>
      </c>
      <c r="K969" s="378" t="s">
        <v>221</v>
      </c>
      <c r="L969" s="20" t="s">
        <v>165</v>
      </c>
      <c r="M969" s="380">
        <v>2400</v>
      </c>
      <c r="N969" s="380"/>
      <c r="O969" s="380"/>
      <c r="P969" s="380"/>
      <c r="Q969" s="381" t="s">
        <v>1509</v>
      </c>
      <c r="R969" s="380" t="s">
        <v>1509</v>
      </c>
      <c r="S969" s="381" t="s">
        <v>551</v>
      </c>
      <c r="T969" s="381"/>
      <c r="U969" s="381"/>
      <c r="V969" s="382">
        <v>288.23</v>
      </c>
      <c r="W969" s="382">
        <v>0</v>
      </c>
      <c r="X969" s="381">
        <v>0.12</v>
      </c>
      <c r="Y969" s="381">
        <v>0.12</v>
      </c>
      <c r="Z969" s="381">
        <v>9.5833333333333336E-5</v>
      </c>
      <c r="AA969" s="381">
        <v>0</v>
      </c>
      <c r="AB969" s="381">
        <v>0</v>
      </c>
      <c r="AC969" s="382">
        <v>0.12009583333333333</v>
      </c>
      <c r="AD969" s="382">
        <v>0</v>
      </c>
      <c r="AE969" s="381" t="s">
        <v>168</v>
      </c>
    </row>
    <row r="970" spans="1:31" ht="15" customHeight="1" x14ac:dyDescent="0.25">
      <c r="A970" s="20" t="s">
        <v>156</v>
      </c>
      <c r="B970" s="20" t="s">
        <v>1450</v>
      </c>
      <c r="C970" s="20" t="s">
        <v>1451</v>
      </c>
      <c r="D970" s="378" t="s">
        <v>1510</v>
      </c>
      <c r="E970" s="379">
        <v>45016</v>
      </c>
      <c r="F970" s="379">
        <v>46843</v>
      </c>
      <c r="G970" s="378" t="s">
        <v>179</v>
      </c>
      <c r="H970" s="20" t="s">
        <v>202</v>
      </c>
      <c r="I970" s="20" t="s">
        <v>162</v>
      </c>
      <c r="J970" s="20" t="s">
        <v>163</v>
      </c>
      <c r="K970" s="378" t="s">
        <v>203</v>
      </c>
      <c r="L970" s="20" t="s">
        <v>165</v>
      </c>
      <c r="M970" s="380">
        <v>2400</v>
      </c>
      <c r="N970" s="380"/>
      <c r="O970" s="380"/>
      <c r="P970" s="380"/>
      <c r="Q970" s="381">
        <v>290</v>
      </c>
      <c r="R970" s="381">
        <v>290</v>
      </c>
      <c r="S970" s="381">
        <v>0.23</v>
      </c>
      <c r="T970" s="381"/>
      <c r="U970" s="381"/>
      <c r="V970" s="382">
        <v>290.23</v>
      </c>
      <c r="W970" s="382">
        <v>0</v>
      </c>
      <c r="X970" s="381">
        <v>0.12083333333333333</v>
      </c>
      <c r="Y970" s="381">
        <v>0.12083333333333333</v>
      </c>
      <c r="Z970" s="381">
        <v>9.5833333333333336E-5</v>
      </c>
      <c r="AA970" s="381">
        <v>0</v>
      </c>
      <c r="AB970" s="381">
        <v>0</v>
      </c>
      <c r="AC970" s="382">
        <v>0.12092916666666667</v>
      </c>
      <c r="AD970" s="382">
        <v>0</v>
      </c>
      <c r="AE970" s="381" t="s">
        <v>168</v>
      </c>
    </row>
    <row r="971" spans="1:31" ht="15" customHeight="1" x14ac:dyDescent="0.25">
      <c r="A971" s="20" t="s">
        <v>156</v>
      </c>
      <c r="B971" s="20" t="s">
        <v>1450</v>
      </c>
      <c r="C971" s="20" t="s">
        <v>1451</v>
      </c>
      <c r="D971" s="378" t="s">
        <v>1511</v>
      </c>
      <c r="E971" s="379">
        <v>45016</v>
      </c>
      <c r="F971" s="379">
        <v>46843</v>
      </c>
      <c r="G971" s="378" t="s">
        <v>193</v>
      </c>
      <c r="H971" s="20" t="s">
        <v>194</v>
      </c>
      <c r="I971" s="20" t="s">
        <v>162</v>
      </c>
      <c r="J971" s="20" t="s">
        <v>163</v>
      </c>
      <c r="K971" s="378" t="s">
        <v>195</v>
      </c>
      <c r="L971" s="20" t="s">
        <v>165</v>
      </c>
      <c r="M971" s="380">
        <v>2400</v>
      </c>
      <c r="N971" s="380"/>
      <c r="O971" s="380"/>
      <c r="P971" s="380"/>
      <c r="Q971" s="381">
        <v>324</v>
      </c>
      <c r="R971" s="381">
        <v>324</v>
      </c>
      <c r="S971" s="381">
        <v>0.25600000000000001</v>
      </c>
      <c r="T971" s="381"/>
      <c r="U971" s="381"/>
      <c r="V971" s="382">
        <v>324.25599999999997</v>
      </c>
      <c r="W971" s="382">
        <v>0</v>
      </c>
      <c r="X971" s="381">
        <v>0.13500000000000001</v>
      </c>
      <c r="Y971" s="381">
        <v>0.13500000000000001</v>
      </c>
      <c r="Z971" s="381">
        <v>1.0666666666666667E-4</v>
      </c>
      <c r="AA971" s="381">
        <v>0</v>
      </c>
      <c r="AB971" s="381">
        <v>0</v>
      </c>
      <c r="AC971" s="382">
        <v>0.13510666666666668</v>
      </c>
      <c r="AD971" s="382">
        <v>0</v>
      </c>
      <c r="AE971" s="381" t="s">
        <v>168</v>
      </c>
    </row>
    <row r="972" spans="1:31" ht="15" customHeight="1" x14ac:dyDescent="0.25">
      <c r="A972" s="20" t="s">
        <v>156</v>
      </c>
      <c r="B972" s="20" t="s">
        <v>1450</v>
      </c>
      <c r="C972" s="20" t="s">
        <v>1451</v>
      </c>
      <c r="D972" s="378" t="s">
        <v>1512</v>
      </c>
      <c r="E972" s="379">
        <v>45016</v>
      </c>
      <c r="F972" s="379">
        <v>46843</v>
      </c>
      <c r="G972" s="378" t="s">
        <v>193</v>
      </c>
      <c r="H972" s="20" t="s">
        <v>194</v>
      </c>
      <c r="I972" s="20" t="s">
        <v>162</v>
      </c>
      <c r="J972" s="20" t="s">
        <v>163</v>
      </c>
      <c r="K972" s="378" t="s">
        <v>195</v>
      </c>
      <c r="L972" s="20" t="s">
        <v>165</v>
      </c>
      <c r="M972" s="380">
        <v>2400</v>
      </c>
      <c r="N972" s="380"/>
      <c r="O972" s="380"/>
      <c r="P972" s="380"/>
      <c r="Q972" s="381">
        <v>390</v>
      </c>
      <c r="R972" s="381">
        <v>390</v>
      </c>
      <c r="S972" s="381">
        <v>0.308</v>
      </c>
      <c r="T972" s="381"/>
      <c r="U972" s="381"/>
      <c r="V972" s="382">
        <v>390.30799999999999</v>
      </c>
      <c r="W972" s="382">
        <v>0</v>
      </c>
      <c r="X972" s="381">
        <v>0.16250000000000001</v>
      </c>
      <c r="Y972" s="381">
        <v>0.16250000000000001</v>
      </c>
      <c r="Z972" s="381">
        <v>1.2833333333333333E-4</v>
      </c>
      <c r="AA972" s="381">
        <v>0</v>
      </c>
      <c r="AB972" s="381">
        <v>0</v>
      </c>
      <c r="AC972" s="382">
        <v>0.16262833333333335</v>
      </c>
      <c r="AD972" s="382">
        <v>0</v>
      </c>
      <c r="AE972" s="381" t="s">
        <v>168</v>
      </c>
    </row>
    <row r="973" spans="1:31" ht="15" customHeight="1" x14ac:dyDescent="0.25">
      <c r="A973" s="20" t="s">
        <v>156</v>
      </c>
      <c r="B973" s="20" t="s">
        <v>1450</v>
      </c>
      <c r="C973" s="20" t="s">
        <v>1451</v>
      </c>
      <c r="D973" s="378" t="s">
        <v>1513</v>
      </c>
      <c r="E973" s="379">
        <v>45016</v>
      </c>
      <c r="F973" s="379">
        <v>46843</v>
      </c>
      <c r="G973" s="378" t="s">
        <v>179</v>
      </c>
      <c r="H973" s="20" t="s">
        <v>202</v>
      </c>
      <c r="I973" s="20" t="s">
        <v>162</v>
      </c>
      <c r="J973" s="20" t="s">
        <v>163</v>
      </c>
      <c r="K973" s="378" t="s">
        <v>203</v>
      </c>
      <c r="L973" s="20" t="s">
        <v>165</v>
      </c>
      <c r="M973" s="380">
        <v>2400</v>
      </c>
      <c r="N973" s="380"/>
      <c r="O973" s="380"/>
      <c r="P973" s="380"/>
      <c r="Q973" s="381">
        <v>317</v>
      </c>
      <c r="R973" s="381">
        <v>317</v>
      </c>
      <c r="S973" s="381">
        <v>0.25</v>
      </c>
      <c r="T973" s="381"/>
      <c r="U973" s="381"/>
      <c r="V973" s="382">
        <v>317.25</v>
      </c>
      <c r="W973" s="382">
        <v>0</v>
      </c>
      <c r="X973" s="381">
        <v>0.13208333333333333</v>
      </c>
      <c r="Y973" s="381">
        <v>0.13208333333333333</v>
      </c>
      <c r="Z973" s="381">
        <v>1.0416666666666667E-4</v>
      </c>
      <c r="AA973" s="381">
        <v>0</v>
      </c>
      <c r="AB973" s="381">
        <v>0</v>
      </c>
      <c r="AC973" s="382">
        <v>0.13218749999999999</v>
      </c>
      <c r="AD973" s="382">
        <v>0</v>
      </c>
      <c r="AE973" s="381" t="s">
        <v>168</v>
      </c>
    </row>
    <row r="974" spans="1:31" ht="15" customHeight="1" x14ac:dyDescent="0.25">
      <c r="A974" s="20" t="s">
        <v>156</v>
      </c>
      <c r="B974" s="20" t="s">
        <v>1450</v>
      </c>
      <c r="C974" s="20" t="s">
        <v>1451</v>
      </c>
      <c r="D974" s="378" t="s">
        <v>1514</v>
      </c>
      <c r="E974" s="379">
        <v>45038</v>
      </c>
      <c r="F974" s="379">
        <v>46865</v>
      </c>
      <c r="G974" s="383" t="s">
        <v>193</v>
      </c>
      <c r="H974" s="20" t="s">
        <v>229</v>
      </c>
      <c r="I974" s="20" t="s">
        <v>162</v>
      </c>
      <c r="J974" s="20" t="s">
        <v>163</v>
      </c>
      <c r="K974" s="378" t="s">
        <v>230</v>
      </c>
      <c r="L974" s="20" t="s">
        <v>165</v>
      </c>
      <c r="M974" s="380">
        <v>2400</v>
      </c>
      <c r="N974" s="380"/>
      <c r="O974" s="380"/>
      <c r="P974" s="380"/>
      <c r="Q974" s="381" t="s">
        <v>1515</v>
      </c>
      <c r="R974" s="381" t="s">
        <v>1515</v>
      </c>
      <c r="S974" s="381" t="s">
        <v>563</v>
      </c>
      <c r="T974" s="381"/>
      <c r="U974" s="381"/>
      <c r="V974" s="382">
        <v>241.19</v>
      </c>
      <c r="W974" s="382">
        <v>0</v>
      </c>
      <c r="X974" s="381">
        <v>0.10041666666666667</v>
      </c>
      <c r="Y974" s="381">
        <v>0.10041666666666667</v>
      </c>
      <c r="Z974" s="381">
        <v>7.9166666666666662E-5</v>
      </c>
      <c r="AA974" s="381">
        <v>0</v>
      </c>
      <c r="AB974" s="381">
        <v>0</v>
      </c>
      <c r="AC974" s="382">
        <v>0.10049583333333334</v>
      </c>
      <c r="AD974" s="382">
        <v>0</v>
      </c>
      <c r="AE974" s="381" t="s">
        <v>168</v>
      </c>
    </row>
    <row r="975" spans="1:31" ht="15" customHeight="1" x14ac:dyDescent="0.25">
      <c r="A975" s="20" t="s">
        <v>156</v>
      </c>
      <c r="B975" s="20" t="s">
        <v>1450</v>
      </c>
      <c r="C975" s="20" t="s">
        <v>1451</v>
      </c>
      <c r="D975" s="378" t="s">
        <v>1516</v>
      </c>
      <c r="E975" s="379">
        <v>44294</v>
      </c>
      <c r="F975" s="379">
        <v>46120</v>
      </c>
      <c r="G975" s="378" t="s">
        <v>219</v>
      </c>
      <c r="H975" s="20" t="s">
        <v>220</v>
      </c>
      <c r="I975" s="20" t="s">
        <v>162</v>
      </c>
      <c r="J975" s="20" t="s">
        <v>163</v>
      </c>
      <c r="K975" s="378" t="s">
        <v>221</v>
      </c>
      <c r="L975" s="20" t="s">
        <v>165</v>
      </c>
      <c r="M975" s="380">
        <v>2400</v>
      </c>
      <c r="N975" s="380"/>
      <c r="O975" s="380"/>
      <c r="P975" s="380"/>
      <c r="Q975" s="381" t="s">
        <v>762</v>
      </c>
      <c r="R975" s="380" t="s">
        <v>762</v>
      </c>
      <c r="S975" s="381" t="s">
        <v>211</v>
      </c>
      <c r="T975" s="381"/>
      <c r="U975" s="381"/>
      <c r="V975" s="382">
        <v>216.17</v>
      </c>
      <c r="W975" s="382">
        <v>0</v>
      </c>
      <c r="X975" s="381">
        <v>0.09</v>
      </c>
      <c r="Y975" s="381">
        <v>0.09</v>
      </c>
      <c r="Z975" s="381">
        <v>7.0833333333333338E-5</v>
      </c>
      <c r="AA975" s="381">
        <v>0</v>
      </c>
      <c r="AB975" s="381">
        <v>0</v>
      </c>
      <c r="AC975" s="382">
        <v>9.0070833333333336E-2</v>
      </c>
      <c r="AD975" s="382">
        <v>0</v>
      </c>
      <c r="AE975" s="381" t="s">
        <v>168</v>
      </c>
    </row>
    <row r="976" spans="1:31" ht="15" customHeight="1" x14ac:dyDescent="0.25">
      <c r="A976" s="20" t="s">
        <v>156</v>
      </c>
      <c r="B976" s="20" t="s">
        <v>1450</v>
      </c>
      <c r="C976" s="20" t="s">
        <v>1451</v>
      </c>
      <c r="D976" s="378" t="s">
        <v>1517</v>
      </c>
      <c r="E976" s="379">
        <v>45038</v>
      </c>
      <c r="F976" s="379">
        <v>46865</v>
      </c>
      <c r="G976" s="383" t="s">
        <v>193</v>
      </c>
      <c r="H976" s="20" t="s">
        <v>229</v>
      </c>
      <c r="I976" s="20" t="s">
        <v>162</v>
      </c>
      <c r="J976" s="20" t="s">
        <v>163</v>
      </c>
      <c r="K976" s="378" t="s">
        <v>230</v>
      </c>
      <c r="L976" s="20" t="s">
        <v>165</v>
      </c>
      <c r="M976" s="380">
        <v>2400</v>
      </c>
      <c r="N976" s="380"/>
      <c r="O976" s="380"/>
      <c r="P976" s="380"/>
      <c r="Q976" s="381" t="s">
        <v>1001</v>
      </c>
      <c r="R976" s="381" t="s">
        <v>1001</v>
      </c>
      <c r="S976" s="381" t="s">
        <v>566</v>
      </c>
      <c r="T976" s="381"/>
      <c r="U976" s="381"/>
      <c r="V976" s="382">
        <v>258.2</v>
      </c>
      <c r="W976" s="382">
        <v>0</v>
      </c>
      <c r="X976" s="381">
        <v>0.1075</v>
      </c>
      <c r="Y976" s="381">
        <v>0.1075</v>
      </c>
      <c r="Z976" s="381">
        <v>8.3333333333333344E-5</v>
      </c>
      <c r="AA976" s="381">
        <v>0</v>
      </c>
      <c r="AB976" s="381">
        <v>0</v>
      </c>
      <c r="AC976" s="382">
        <v>0.10758333333333334</v>
      </c>
      <c r="AD976" s="382">
        <v>0</v>
      </c>
      <c r="AE976" s="381" t="s">
        <v>168</v>
      </c>
    </row>
    <row r="977" spans="1:31" ht="15" customHeight="1" x14ac:dyDescent="0.25">
      <c r="A977" s="20" t="s">
        <v>156</v>
      </c>
      <c r="B977" s="20" t="s">
        <v>1450</v>
      </c>
      <c r="C977" s="20" t="s">
        <v>1451</v>
      </c>
      <c r="D977" s="378" t="s">
        <v>1518</v>
      </c>
      <c r="E977" s="379">
        <v>44581</v>
      </c>
      <c r="F977" s="379">
        <v>46407</v>
      </c>
      <c r="G977" s="378" t="s">
        <v>237</v>
      </c>
      <c r="H977" s="20" t="s">
        <v>238</v>
      </c>
      <c r="I977" s="20" t="s">
        <v>162</v>
      </c>
      <c r="J977" s="20" t="s">
        <v>163</v>
      </c>
      <c r="K977" s="378" t="s">
        <v>239</v>
      </c>
      <c r="L977" s="20" t="s">
        <v>165</v>
      </c>
      <c r="M977" s="380">
        <v>2400</v>
      </c>
      <c r="N977" s="380"/>
      <c r="O977" s="380"/>
      <c r="P977" s="380"/>
      <c r="Q977" s="381" t="s">
        <v>955</v>
      </c>
      <c r="R977" s="381" t="s">
        <v>955</v>
      </c>
      <c r="S977" s="381" t="s">
        <v>206</v>
      </c>
      <c r="T977" s="381"/>
      <c r="U977" s="381"/>
      <c r="V977" s="382">
        <v>233.18</v>
      </c>
      <c r="W977" s="382">
        <v>0</v>
      </c>
      <c r="X977" s="381">
        <v>9.7083333333333327E-2</v>
      </c>
      <c r="Y977" s="381">
        <v>9.7083333333333327E-2</v>
      </c>
      <c r="Z977" s="381">
        <v>7.4999999999999993E-5</v>
      </c>
      <c r="AA977" s="381">
        <v>0</v>
      </c>
      <c r="AB977" s="381">
        <v>0</v>
      </c>
      <c r="AC977" s="382">
        <v>9.7158333333333333E-2</v>
      </c>
      <c r="AD977" s="382">
        <v>0</v>
      </c>
      <c r="AE977" s="381" t="s">
        <v>168</v>
      </c>
    </row>
    <row r="978" spans="1:31" ht="15" customHeight="1" x14ac:dyDescent="0.25">
      <c r="A978" s="20" t="s">
        <v>156</v>
      </c>
      <c r="B978" s="20" t="s">
        <v>1450</v>
      </c>
      <c r="C978" s="20" t="s">
        <v>1451</v>
      </c>
      <c r="D978" s="378" t="s">
        <v>1519</v>
      </c>
      <c r="E978" s="379">
        <v>45038</v>
      </c>
      <c r="F978" s="379">
        <v>46865</v>
      </c>
      <c r="G978" s="383" t="s">
        <v>193</v>
      </c>
      <c r="H978" s="20" t="s">
        <v>229</v>
      </c>
      <c r="I978" s="20" t="s">
        <v>162</v>
      </c>
      <c r="J978" s="20" t="s">
        <v>163</v>
      </c>
      <c r="K978" s="378" t="s">
        <v>230</v>
      </c>
      <c r="L978" s="20" t="s">
        <v>165</v>
      </c>
      <c r="M978" s="380">
        <v>2400</v>
      </c>
      <c r="N978" s="380"/>
      <c r="O978" s="380"/>
      <c r="P978" s="380"/>
      <c r="Q978" s="381" t="s">
        <v>1038</v>
      </c>
      <c r="R978" s="381" t="s">
        <v>1038</v>
      </c>
      <c r="S978" s="381" t="s">
        <v>566</v>
      </c>
      <c r="T978" s="381"/>
      <c r="U978" s="381"/>
      <c r="V978" s="382">
        <v>259.2</v>
      </c>
      <c r="W978" s="382">
        <v>0</v>
      </c>
      <c r="X978" s="381">
        <v>0.10791666666666666</v>
      </c>
      <c r="Y978" s="381">
        <v>0.10791666666666666</v>
      </c>
      <c r="Z978" s="381">
        <v>8.3333333333333344E-5</v>
      </c>
      <c r="AA978" s="381">
        <v>0</v>
      </c>
      <c r="AB978" s="381">
        <v>0</v>
      </c>
      <c r="AC978" s="382">
        <v>0.108</v>
      </c>
      <c r="AD978" s="382">
        <v>0</v>
      </c>
      <c r="AE978" s="381" t="s">
        <v>168</v>
      </c>
    </row>
    <row r="979" spans="1:31" ht="15" customHeight="1" x14ac:dyDescent="0.25">
      <c r="A979" s="20" t="s">
        <v>156</v>
      </c>
      <c r="B979" s="20" t="s">
        <v>1450</v>
      </c>
      <c r="C979" s="20" t="s">
        <v>1451</v>
      </c>
      <c r="D979" s="378" t="s">
        <v>1520</v>
      </c>
      <c r="E979" s="379">
        <v>45016</v>
      </c>
      <c r="F979" s="379">
        <v>46843</v>
      </c>
      <c r="G979" s="378" t="s">
        <v>179</v>
      </c>
      <c r="H979" s="20" t="s">
        <v>202</v>
      </c>
      <c r="I979" s="20" t="s">
        <v>162</v>
      </c>
      <c r="J979" s="20" t="s">
        <v>163</v>
      </c>
      <c r="K979" s="378" t="s">
        <v>203</v>
      </c>
      <c r="L979" s="20" t="s">
        <v>165</v>
      </c>
      <c r="M979" s="380">
        <v>2400</v>
      </c>
      <c r="N979" s="380"/>
      <c r="O979" s="380"/>
      <c r="P979" s="380"/>
      <c r="Q979" s="381">
        <v>259</v>
      </c>
      <c r="R979" s="381">
        <v>259</v>
      </c>
      <c r="S979" s="381">
        <v>0.2</v>
      </c>
      <c r="T979" s="381"/>
      <c r="U979" s="381"/>
      <c r="V979" s="382">
        <v>259.2</v>
      </c>
      <c r="W979" s="382">
        <v>0</v>
      </c>
      <c r="X979" s="381">
        <v>0.10791666666666666</v>
      </c>
      <c r="Y979" s="381">
        <v>0.10791666666666666</v>
      </c>
      <c r="Z979" s="381">
        <v>8.3333333333333344E-5</v>
      </c>
      <c r="AA979" s="381">
        <v>0</v>
      </c>
      <c r="AB979" s="381">
        <v>0</v>
      </c>
      <c r="AC979" s="382">
        <v>0.108</v>
      </c>
      <c r="AD979" s="382">
        <v>0</v>
      </c>
      <c r="AE979" s="381" t="s">
        <v>168</v>
      </c>
    </row>
    <row r="980" spans="1:31" ht="15" customHeight="1" x14ac:dyDescent="0.25">
      <c r="A980" s="20" t="s">
        <v>156</v>
      </c>
      <c r="B980" s="20" t="s">
        <v>1450</v>
      </c>
      <c r="C980" s="20" t="s">
        <v>1451</v>
      </c>
      <c r="D980" s="378" t="s">
        <v>1521</v>
      </c>
      <c r="E980" s="379">
        <v>45038</v>
      </c>
      <c r="F980" s="379">
        <v>46865</v>
      </c>
      <c r="G980" s="383" t="s">
        <v>193</v>
      </c>
      <c r="H980" s="20" t="s">
        <v>229</v>
      </c>
      <c r="I980" s="20" t="s">
        <v>162</v>
      </c>
      <c r="J980" s="20" t="s">
        <v>163</v>
      </c>
      <c r="K980" s="378" t="s">
        <v>230</v>
      </c>
      <c r="L980" s="20" t="s">
        <v>165</v>
      </c>
      <c r="M980" s="380">
        <v>2400</v>
      </c>
      <c r="N980" s="380"/>
      <c r="O980" s="380"/>
      <c r="P980" s="380"/>
      <c r="Q980" s="381" t="s">
        <v>1029</v>
      </c>
      <c r="R980" s="381" t="s">
        <v>1029</v>
      </c>
      <c r="S980" s="381" t="s">
        <v>206</v>
      </c>
      <c r="T980" s="381"/>
      <c r="U980" s="381"/>
      <c r="V980" s="382">
        <v>234.18</v>
      </c>
      <c r="W980" s="382">
        <v>0</v>
      </c>
      <c r="X980" s="381">
        <v>9.7500000000000003E-2</v>
      </c>
      <c r="Y980" s="381">
        <v>9.7500000000000003E-2</v>
      </c>
      <c r="Z980" s="381">
        <v>7.4999999999999993E-5</v>
      </c>
      <c r="AA980" s="381">
        <v>0</v>
      </c>
      <c r="AB980" s="381">
        <v>0</v>
      </c>
      <c r="AC980" s="382">
        <v>9.7575000000000009E-2</v>
      </c>
      <c r="AD980" s="382">
        <v>0</v>
      </c>
      <c r="AE980" s="381" t="s">
        <v>168</v>
      </c>
    </row>
    <row r="981" spans="1:31" ht="15" customHeight="1" x14ac:dyDescent="0.25">
      <c r="A981" s="20" t="s">
        <v>156</v>
      </c>
      <c r="B981" s="20" t="s">
        <v>1450</v>
      </c>
      <c r="C981" s="20" t="s">
        <v>1451</v>
      </c>
      <c r="D981" s="378" t="s">
        <v>1522</v>
      </c>
      <c r="E981" s="379">
        <v>44581</v>
      </c>
      <c r="F981" s="379">
        <v>46407</v>
      </c>
      <c r="G981" s="378" t="s">
        <v>237</v>
      </c>
      <c r="H981" s="20" t="s">
        <v>238</v>
      </c>
      <c r="I981" s="20" t="s">
        <v>162</v>
      </c>
      <c r="J981" s="20" t="s">
        <v>163</v>
      </c>
      <c r="K981" s="378" t="s">
        <v>239</v>
      </c>
      <c r="L981" s="20" t="s">
        <v>165</v>
      </c>
      <c r="M981" s="380">
        <v>2400</v>
      </c>
      <c r="N981" s="380"/>
      <c r="O981" s="380"/>
      <c r="P981" s="380"/>
      <c r="Q981" s="381" t="s">
        <v>1029</v>
      </c>
      <c r="R981" s="381" t="s">
        <v>1029</v>
      </c>
      <c r="S981" s="381" t="s">
        <v>206</v>
      </c>
      <c r="T981" s="381"/>
      <c r="U981" s="381"/>
      <c r="V981" s="382">
        <v>234.18</v>
      </c>
      <c r="W981" s="382">
        <v>0</v>
      </c>
      <c r="X981" s="381">
        <v>9.7500000000000003E-2</v>
      </c>
      <c r="Y981" s="381">
        <v>9.7500000000000003E-2</v>
      </c>
      <c r="Z981" s="381">
        <v>7.4999999999999993E-5</v>
      </c>
      <c r="AA981" s="381">
        <v>0</v>
      </c>
      <c r="AB981" s="381">
        <v>0</v>
      </c>
      <c r="AC981" s="382">
        <v>9.7575000000000009E-2</v>
      </c>
      <c r="AD981" s="382">
        <v>0</v>
      </c>
      <c r="AE981" s="381" t="s">
        <v>168</v>
      </c>
    </row>
    <row r="982" spans="1:31" ht="15" customHeight="1" x14ac:dyDescent="0.25">
      <c r="A982" s="20" t="s">
        <v>156</v>
      </c>
      <c r="B982" s="20" t="s">
        <v>1450</v>
      </c>
      <c r="C982" s="20" t="s">
        <v>1451</v>
      </c>
      <c r="D982" s="378" t="s">
        <v>1523</v>
      </c>
      <c r="E982" s="379">
        <v>45038</v>
      </c>
      <c r="F982" s="379">
        <v>46865</v>
      </c>
      <c r="G982" s="383" t="s">
        <v>193</v>
      </c>
      <c r="H982" s="20" t="s">
        <v>229</v>
      </c>
      <c r="I982" s="20" t="s">
        <v>162</v>
      </c>
      <c r="J982" s="20" t="s">
        <v>163</v>
      </c>
      <c r="K982" s="378" t="s">
        <v>230</v>
      </c>
      <c r="L982" s="20" t="s">
        <v>165</v>
      </c>
      <c r="M982" s="380">
        <v>2400</v>
      </c>
      <c r="N982" s="380"/>
      <c r="O982" s="380"/>
      <c r="P982" s="380"/>
      <c r="Q982" s="381" t="s">
        <v>1031</v>
      </c>
      <c r="R982" s="381" t="s">
        <v>1031</v>
      </c>
      <c r="S982" s="381" t="s">
        <v>206</v>
      </c>
      <c r="T982" s="381"/>
      <c r="U982" s="381"/>
      <c r="V982" s="382">
        <v>235.18</v>
      </c>
      <c r="W982" s="382">
        <v>0</v>
      </c>
      <c r="X982" s="381">
        <v>9.7916666666666666E-2</v>
      </c>
      <c r="Y982" s="381">
        <v>9.7916666666666666E-2</v>
      </c>
      <c r="Z982" s="381">
        <v>7.4999999999999993E-5</v>
      </c>
      <c r="AA982" s="381">
        <v>0</v>
      </c>
      <c r="AB982" s="381">
        <v>0</v>
      </c>
      <c r="AC982" s="382">
        <v>9.7991666666666671E-2</v>
      </c>
      <c r="AD982" s="382">
        <v>0</v>
      </c>
      <c r="AE982" s="381" t="s">
        <v>168</v>
      </c>
    </row>
    <row r="983" spans="1:31" ht="15" customHeight="1" x14ac:dyDescent="0.25">
      <c r="A983" s="20" t="s">
        <v>156</v>
      </c>
      <c r="B983" s="20" t="s">
        <v>1450</v>
      </c>
      <c r="C983" s="20" t="s">
        <v>1451</v>
      </c>
      <c r="D983" s="378" t="s">
        <v>1524</v>
      </c>
      <c r="E983" s="379">
        <v>45038</v>
      </c>
      <c r="F983" s="379">
        <v>46865</v>
      </c>
      <c r="G983" s="383" t="s">
        <v>193</v>
      </c>
      <c r="H983" s="20" t="s">
        <v>229</v>
      </c>
      <c r="I983" s="20" t="s">
        <v>162</v>
      </c>
      <c r="J983" s="20" t="s">
        <v>163</v>
      </c>
      <c r="K983" s="378" t="s">
        <v>230</v>
      </c>
      <c r="L983" s="20" t="s">
        <v>165</v>
      </c>
      <c r="M983" s="380">
        <v>2400</v>
      </c>
      <c r="N983" s="380"/>
      <c r="O983" s="380"/>
      <c r="P983" s="380"/>
      <c r="Q983" s="381" t="s">
        <v>959</v>
      </c>
      <c r="R983" s="381" t="s">
        <v>959</v>
      </c>
      <c r="S983" s="381" t="s">
        <v>563</v>
      </c>
      <c r="T983" s="381"/>
      <c r="U983" s="381"/>
      <c r="V983" s="382">
        <v>250.19</v>
      </c>
      <c r="W983" s="382">
        <v>0</v>
      </c>
      <c r="X983" s="381">
        <v>0.10416666666666667</v>
      </c>
      <c r="Y983" s="381">
        <v>0.10416666666666667</v>
      </c>
      <c r="Z983" s="381">
        <v>7.9166666666666662E-5</v>
      </c>
      <c r="AA983" s="381">
        <v>0</v>
      </c>
      <c r="AB983" s="381">
        <v>0</v>
      </c>
      <c r="AC983" s="382">
        <v>0.10424583333333334</v>
      </c>
      <c r="AD983" s="382">
        <v>0</v>
      </c>
      <c r="AE983" s="381" t="s">
        <v>168</v>
      </c>
    </row>
    <row r="984" spans="1:31" ht="15" customHeight="1" x14ac:dyDescent="0.25">
      <c r="A984" s="20" t="s">
        <v>156</v>
      </c>
      <c r="B984" s="20" t="s">
        <v>1450</v>
      </c>
      <c r="C984" s="20" t="s">
        <v>1451</v>
      </c>
      <c r="D984" s="378" t="s">
        <v>1525</v>
      </c>
      <c r="E984" s="379">
        <v>44581</v>
      </c>
      <c r="F984" s="379">
        <v>46407</v>
      </c>
      <c r="G984" s="378" t="s">
        <v>237</v>
      </c>
      <c r="H984" s="20" t="s">
        <v>238</v>
      </c>
      <c r="I984" s="20" t="s">
        <v>162</v>
      </c>
      <c r="J984" s="20" t="s">
        <v>163</v>
      </c>
      <c r="K984" s="378" t="s">
        <v>239</v>
      </c>
      <c r="L984" s="20" t="s">
        <v>165</v>
      </c>
      <c r="M984" s="380">
        <v>2400</v>
      </c>
      <c r="N984" s="380"/>
      <c r="O984" s="380"/>
      <c r="P984" s="380"/>
      <c r="Q984" s="381" t="s">
        <v>1526</v>
      </c>
      <c r="R984" s="381" t="s">
        <v>1526</v>
      </c>
      <c r="S984" s="381" t="s">
        <v>211</v>
      </c>
      <c r="T984" s="381"/>
      <c r="U984" s="381"/>
      <c r="V984" s="382">
        <v>224.17</v>
      </c>
      <c r="W984" s="382">
        <v>0</v>
      </c>
      <c r="X984" s="381">
        <v>9.3333333333333338E-2</v>
      </c>
      <c r="Y984" s="381">
        <v>9.3333333333333338E-2</v>
      </c>
      <c r="Z984" s="381">
        <v>7.0833333333333338E-5</v>
      </c>
      <c r="AA984" s="381">
        <v>0</v>
      </c>
      <c r="AB984" s="381">
        <v>0</v>
      </c>
      <c r="AC984" s="382">
        <v>9.3404166666666677E-2</v>
      </c>
      <c r="AD984" s="382">
        <v>0</v>
      </c>
      <c r="AE984" s="381" t="s">
        <v>168</v>
      </c>
    </row>
    <row r="985" spans="1:31" ht="15" customHeight="1" x14ac:dyDescent="0.25">
      <c r="A985" s="20" t="s">
        <v>156</v>
      </c>
      <c r="B985" s="20" t="s">
        <v>1450</v>
      </c>
      <c r="C985" s="20" t="s">
        <v>1451</v>
      </c>
      <c r="D985" s="378" t="s">
        <v>1527</v>
      </c>
      <c r="E985" s="379">
        <v>45038</v>
      </c>
      <c r="F985" s="379">
        <v>46865</v>
      </c>
      <c r="G985" s="383" t="s">
        <v>193</v>
      </c>
      <c r="H985" s="20" t="s">
        <v>229</v>
      </c>
      <c r="I985" s="20" t="s">
        <v>162</v>
      </c>
      <c r="J985" s="20" t="s">
        <v>163</v>
      </c>
      <c r="K985" s="378" t="s">
        <v>230</v>
      </c>
      <c r="L985" s="20" t="s">
        <v>165</v>
      </c>
      <c r="M985" s="380">
        <v>2400</v>
      </c>
      <c r="N985" s="380"/>
      <c r="O985" s="380"/>
      <c r="P985" s="380"/>
      <c r="Q985" s="381" t="s">
        <v>1489</v>
      </c>
      <c r="R985" s="381" t="s">
        <v>1489</v>
      </c>
      <c r="S985" s="381" t="s">
        <v>551</v>
      </c>
      <c r="T985" s="381"/>
      <c r="U985" s="381"/>
      <c r="V985" s="382">
        <v>305.23</v>
      </c>
      <c r="W985" s="382">
        <v>0</v>
      </c>
      <c r="X985" s="381">
        <v>0.12708333333333333</v>
      </c>
      <c r="Y985" s="381">
        <v>0.12708333333333333</v>
      </c>
      <c r="Z985" s="381">
        <v>9.5833333333333336E-5</v>
      </c>
      <c r="AA985" s="381">
        <v>0</v>
      </c>
      <c r="AB985" s="381">
        <v>0</v>
      </c>
      <c r="AC985" s="382">
        <v>0.12717916666666665</v>
      </c>
      <c r="AD985" s="382">
        <v>0</v>
      </c>
      <c r="AE985" s="381" t="s">
        <v>168</v>
      </c>
    </row>
    <row r="986" spans="1:31" ht="15" customHeight="1" x14ac:dyDescent="0.25">
      <c r="A986" s="20" t="s">
        <v>156</v>
      </c>
      <c r="B986" s="20" t="s">
        <v>1450</v>
      </c>
      <c r="C986" s="20" t="s">
        <v>1451</v>
      </c>
      <c r="D986" s="378" t="s">
        <v>1528</v>
      </c>
      <c r="E986" s="379">
        <v>44581</v>
      </c>
      <c r="F986" s="379">
        <v>46407</v>
      </c>
      <c r="G986" s="378" t="s">
        <v>237</v>
      </c>
      <c r="H986" s="20" t="s">
        <v>238</v>
      </c>
      <c r="I986" s="20" t="s">
        <v>162</v>
      </c>
      <c r="J986" s="20" t="s">
        <v>163</v>
      </c>
      <c r="K986" s="378" t="s">
        <v>239</v>
      </c>
      <c r="L986" s="20" t="s">
        <v>165</v>
      </c>
      <c r="M986" s="380">
        <v>2400</v>
      </c>
      <c r="N986" s="380"/>
      <c r="O986" s="380"/>
      <c r="P986" s="380"/>
      <c r="Q986" s="381" t="s">
        <v>950</v>
      </c>
      <c r="R986" s="381" t="s">
        <v>950</v>
      </c>
      <c r="S986" s="381" t="s">
        <v>206</v>
      </c>
      <c r="T986" s="381"/>
      <c r="U986" s="381"/>
      <c r="V986" s="382">
        <v>239.18</v>
      </c>
      <c r="W986" s="382">
        <v>0</v>
      </c>
      <c r="X986" s="381">
        <v>9.9583333333333329E-2</v>
      </c>
      <c r="Y986" s="381">
        <v>9.9583333333333329E-2</v>
      </c>
      <c r="Z986" s="381">
        <v>7.4999999999999993E-5</v>
      </c>
      <c r="AA986" s="381">
        <v>0</v>
      </c>
      <c r="AB986" s="381">
        <v>0</v>
      </c>
      <c r="AC986" s="382">
        <v>9.9658333333333335E-2</v>
      </c>
      <c r="AD986" s="382">
        <v>0</v>
      </c>
      <c r="AE986" s="381" t="s">
        <v>168</v>
      </c>
    </row>
    <row r="987" spans="1:31" ht="15" customHeight="1" x14ac:dyDescent="0.25">
      <c r="A987" s="20" t="s">
        <v>156</v>
      </c>
      <c r="B987" s="20" t="s">
        <v>1450</v>
      </c>
      <c r="C987" s="20" t="s">
        <v>1451</v>
      </c>
      <c r="D987" s="378" t="s">
        <v>1529</v>
      </c>
      <c r="E987" s="379">
        <v>44581</v>
      </c>
      <c r="F987" s="379">
        <v>46407</v>
      </c>
      <c r="G987" s="378" t="s">
        <v>237</v>
      </c>
      <c r="H987" s="20" t="s">
        <v>238</v>
      </c>
      <c r="I987" s="20" t="s">
        <v>162</v>
      </c>
      <c r="J987" s="20" t="s">
        <v>163</v>
      </c>
      <c r="K987" s="378" t="s">
        <v>239</v>
      </c>
      <c r="L987" s="20" t="s">
        <v>165</v>
      </c>
      <c r="M987" s="380">
        <v>2400</v>
      </c>
      <c r="N987" s="380"/>
      <c r="O987" s="380"/>
      <c r="P987" s="380"/>
      <c r="Q987" s="381" t="s">
        <v>1210</v>
      </c>
      <c r="R987" s="381" t="s">
        <v>1210</v>
      </c>
      <c r="S987" s="381" t="s">
        <v>563</v>
      </c>
      <c r="T987" s="381"/>
      <c r="U987" s="381"/>
      <c r="V987" s="382">
        <v>253.19</v>
      </c>
      <c r="W987" s="382">
        <v>0</v>
      </c>
      <c r="X987" s="381">
        <v>0.10541666666666667</v>
      </c>
      <c r="Y987" s="381">
        <v>0.10541666666666667</v>
      </c>
      <c r="Z987" s="381">
        <v>7.9166666666666662E-5</v>
      </c>
      <c r="AA987" s="381">
        <v>0</v>
      </c>
      <c r="AB987" s="381">
        <v>0</v>
      </c>
      <c r="AC987" s="382">
        <v>0.10549583333333334</v>
      </c>
      <c r="AD987" s="382">
        <v>0</v>
      </c>
      <c r="AE987" s="381" t="s">
        <v>168</v>
      </c>
    </row>
    <row r="988" spans="1:31" ht="15" customHeight="1" x14ac:dyDescent="0.25">
      <c r="A988" s="20" t="s">
        <v>156</v>
      </c>
      <c r="B988" s="20" t="s">
        <v>1450</v>
      </c>
      <c r="C988" s="20" t="s">
        <v>1451</v>
      </c>
      <c r="D988" s="378" t="s">
        <v>1530</v>
      </c>
      <c r="E988" s="379">
        <v>45038</v>
      </c>
      <c r="F988" s="379">
        <v>46865</v>
      </c>
      <c r="G988" s="383" t="s">
        <v>193</v>
      </c>
      <c r="H988" s="20" t="s">
        <v>229</v>
      </c>
      <c r="I988" s="20" t="s">
        <v>162</v>
      </c>
      <c r="J988" s="20" t="s">
        <v>163</v>
      </c>
      <c r="K988" s="378" t="s">
        <v>230</v>
      </c>
      <c r="L988" s="20" t="s">
        <v>165</v>
      </c>
      <c r="M988" s="380">
        <v>2400</v>
      </c>
      <c r="N988" s="380"/>
      <c r="O988" s="380"/>
      <c r="P988" s="380"/>
      <c r="Q988" s="381" t="s">
        <v>979</v>
      </c>
      <c r="R988" s="381" t="s">
        <v>979</v>
      </c>
      <c r="S988" s="381" t="s">
        <v>206</v>
      </c>
      <c r="T988" s="381"/>
      <c r="U988" s="381"/>
      <c r="V988" s="382">
        <v>240.18</v>
      </c>
      <c r="W988" s="382">
        <v>0</v>
      </c>
      <c r="X988" s="381">
        <v>0.1</v>
      </c>
      <c r="Y988" s="381">
        <v>0.1</v>
      </c>
      <c r="Z988" s="381">
        <v>7.4999999999999993E-5</v>
      </c>
      <c r="AA988" s="381">
        <v>0</v>
      </c>
      <c r="AB988" s="381">
        <v>0</v>
      </c>
      <c r="AC988" s="382">
        <v>0.10007500000000001</v>
      </c>
      <c r="AD988" s="382">
        <v>0</v>
      </c>
      <c r="AE988" s="381" t="s">
        <v>168</v>
      </c>
    </row>
    <row r="989" spans="1:31" ht="15" customHeight="1" x14ac:dyDescent="0.25">
      <c r="A989" s="20" t="s">
        <v>156</v>
      </c>
      <c r="B989" s="20" t="s">
        <v>1450</v>
      </c>
      <c r="C989" s="20" t="s">
        <v>1451</v>
      </c>
      <c r="D989" s="378" t="s">
        <v>1531</v>
      </c>
      <c r="E989" s="379">
        <v>45016</v>
      </c>
      <c r="F989" s="379">
        <v>46843</v>
      </c>
      <c r="G989" s="378" t="s">
        <v>193</v>
      </c>
      <c r="H989" s="20" t="s">
        <v>194</v>
      </c>
      <c r="I989" s="20" t="s">
        <v>162</v>
      </c>
      <c r="J989" s="20" t="s">
        <v>163</v>
      </c>
      <c r="K989" s="378" t="s">
        <v>195</v>
      </c>
      <c r="L989" s="20" t="s">
        <v>165</v>
      </c>
      <c r="M989" s="380">
        <v>2400</v>
      </c>
      <c r="N989" s="380"/>
      <c r="O989" s="380"/>
      <c r="P989" s="380"/>
      <c r="Q989" s="381">
        <v>327</v>
      </c>
      <c r="R989" s="381">
        <v>327</v>
      </c>
      <c r="S989" s="381">
        <v>0.245</v>
      </c>
      <c r="T989" s="381"/>
      <c r="U989" s="381"/>
      <c r="V989" s="382">
        <v>327.245</v>
      </c>
      <c r="W989" s="382">
        <v>0</v>
      </c>
      <c r="X989" s="381">
        <v>0.13625000000000001</v>
      </c>
      <c r="Y989" s="381">
        <v>0.13625000000000001</v>
      </c>
      <c r="Z989" s="381">
        <v>1.0208333333333333E-4</v>
      </c>
      <c r="AA989" s="381">
        <v>0</v>
      </c>
      <c r="AB989" s="381">
        <v>0</v>
      </c>
      <c r="AC989" s="382">
        <v>0.13635208333333335</v>
      </c>
      <c r="AD989" s="382">
        <v>0</v>
      </c>
      <c r="AE989" s="381" t="s">
        <v>168</v>
      </c>
    </row>
    <row r="990" spans="1:31" ht="15" customHeight="1" x14ac:dyDescent="0.25">
      <c r="A990" s="20" t="s">
        <v>156</v>
      </c>
      <c r="B990" s="20" t="s">
        <v>1450</v>
      </c>
      <c r="C990" s="20" t="s">
        <v>1451</v>
      </c>
      <c r="D990" s="378" t="s">
        <v>1532</v>
      </c>
      <c r="E990" s="379">
        <v>44581</v>
      </c>
      <c r="F990" s="379">
        <v>46407</v>
      </c>
      <c r="G990" s="378" t="s">
        <v>237</v>
      </c>
      <c r="H990" s="20" t="s">
        <v>238</v>
      </c>
      <c r="I990" s="20" t="s">
        <v>162</v>
      </c>
      <c r="J990" s="20" t="s">
        <v>163</v>
      </c>
      <c r="K990" s="378" t="s">
        <v>239</v>
      </c>
      <c r="L990" s="20" t="s">
        <v>165</v>
      </c>
      <c r="M990" s="380">
        <v>2400</v>
      </c>
      <c r="N990" s="380"/>
      <c r="O990" s="380"/>
      <c r="P990" s="380"/>
      <c r="Q990" s="381" t="s">
        <v>1027</v>
      </c>
      <c r="R990" s="381" t="s">
        <v>1027</v>
      </c>
      <c r="S990" s="381" t="s">
        <v>211</v>
      </c>
      <c r="T990" s="381"/>
      <c r="U990" s="381"/>
      <c r="V990" s="382">
        <v>227.17</v>
      </c>
      <c r="W990" s="382">
        <v>0</v>
      </c>
      <c r="X990" s="381">
        <v>9.4583333333333339E-2</v>
      </c>
      <c r="Y990" s="381">
        <v>9.4583333333333339E-2</v>
      </c>
      <c r="Z990" s="381">
        <v>7.0833333333333338E-5</v>
      </c>
      <c r="AA990" s="381">
        <v>0</v>
      </c>
      <c r="AB990" s="381">
        <v>0</v>
      </c>
      <c r="AC990" s="382">
        <v>9.4654166666666678E-2</v>
      </c>
      <c r="AD990" s="382">
        <v>0</v>
      </c>
      <c r="AE990" s="381" t="s">
        <v>168</v>
      </c>
    </row>
    <row r="991" spans="1:31" ht="15" customHeight="1" x14ac:dyDescent="0.25">
      <c r="A991" s="20" t="s">
        <v>156</v>
      </c>
      <c r="B991" s="20" t="s">
        <v>1450</v>
      </c>
      <c r="C991" s="20" t="s">
        <v>1451</v>
      </c>
      <c r="D991" s="378" t="s">
        <v>1533</v>
      </c>
      <c r="E991" s="379">
        <v>45038</v>
      </c>
      <c r="F991" s="379">
        <v>46865</v>
      </c>
      <c r="G991" s="383" t="s">
        <v>193</v>
      </c>
      <c r="H991" s="20" t="s">
        <v>229</v>
      </c>
      <c r="I991" s="20" t="s">
        <v>162</v>
      </c>
      <c r="J991" s="20" t="s">
        <v>163</v>
      </c>
      <c r="K991" s="378" t="s">
        <v>230</v>
      </c>
      <c r="L991" s="20" t="s">
        <v>165</v>
      </c>
      <c r="M991" s="380">
        <v>2400</v>
      </c>
      <c r="N991" s="380"/>
      <c r="O991" s="380"/>
      <c r="P991" s="380"/>
      <c r="Q991" s="381" t="s">
        <v>749</v>
      </c>
      <c r="R991" s="381" t="s">
        <v>749</v>
      </c>
      <c r="S991" s="381" t="s">
        <v>211</v>
      </c>
      <c r="T991" s="381"/>
      <c r="U991" s="381"/>
      <c r="V991" s="382">
        <v>228.17</v>
      </c>
      <c r="W991" s="382">
        <v>0</v>
      </c>
      <c r="X991" s="381">
        <v>9.5000000000000001E-2</v>
      </c>
      <c r="Y991" s="381">
        <v>9.5000000000000001E-2</v>
      </c>
      <c r="Z991" s="381">
        <v>7.0833333333333338E-5</v>
      </c>
      <c r="AA991" s="381">
        <v>0</v>
      </c>
      <c r="AB991" s="381">
        <v>0</v>
      </c>
      <c r="AC991" s="382">
        <v>9.5070833333333341E-2</v>
      </c>
      <c r="AD991" s="382">
        <v>0</v>
      </c>
      <c r="AE991" s="381" t="s">
        <v>168</v>
      </c>
    </row>
    <row r="992" spans="1:31" ht="15" customHeight="1" x14ac:dyDescent="0.25">
      <c r="A992" s="20" t="s">
        <v>156</v>
      </c>
      <c r="B992" s="20" t="s">
        <v>1450</v>
      </c>
      <c r="C992" s="20" t="s">
        <v>1451</v>
      </c>
      <c r="D992" s="378" t="s">
        <v>1534</v>
      </c>
      <c r="E992" s="379">
        <v>45038</v>
      </c>
      <c r="F992" s="379">
        <v>46865</v>
      </c>
      <c r="G992" s="383" t="s">
        <v>193</v>
      </c>
      <c r="H992" s="20" t="s">
        <v>229</v>
      </c>
      <c r="I992" s="20" t="s">
        <v>162</v>
      </c>
      <c r="J992" s="20" t="s">
        <v>163</v>
      </c>
      <c r="K992" s="378" t="s">
        <v>230</v>
      </c>
      <c r="L992" s="20" t="s">
        <v>165</v>
      </c>
      <c r="M992" s="380">
        <v>2400</v>
      </c>
      <c r="N992" s="380"/>
      <c r="O992" s="380"/>
      <c r="P992" s="380"/>
      <c r="Q992" s="381" t="s">
        <v>981</v>
      </c>
      <c r="R992" s="381" t="s">
        <v>981</v>
      </c>
      <c r="S992" s="381" t="s">
        <v>206</v>
      </c>
      <c r="T992" s="381"/>
      <c r="U992" s="381"/>
      <c r="V992" s="382">
        <v>242.18</v>
      </c>
      <c r="W992" s="382">
        <v>0</v>
      </c>
      <c r="X992" s="381">
        <v>0.10083333333333333</v>
      </c>
      <c r="Y992" s="381">
        <v>0.10083333333333333</v>
      </c>
      <c r="Z992" s="381">
        <v>7.4999999999999993E-5</v>
      </c>
      <c r="AA992" s="381">
        <v>0</v>
      </c>
      <c r="AB992" s="381">
        <v>0</v>
      </c>
      <c r="AC992" s="382">
        <v>0.10090833333333334</v>
      </c>
      <c r="AD992" s="382">
        <v>0</v>
      </c>
      <c r="AE992" s="381" t="s">
        <v>168</v>
      </c>
    </row>
    <row r="993" spans="1:31" ht="15" customHeight="1" x14ac:dyDescent="0.25">
      <c r="A993" s="20" t="s">
        <v>156</v>
      </c>
      <c r="B993" s="20" t="s">
        <v>1450</v>
      </c>
      <c r="C993" s="20" t="s">
        <v>1451</v>
      </c>
      <c r="D993" s="378" t="s">
        <v>1535</v>
      </c>
      <c r="E993" s="379">
        <v>45016</v>
      </c>
      <c r="F993" s="379">
        <v>46843</v>
      </c>
      <c r="G993" s="378" t="s">
        <v>179</v>
      </c>
      <c r="H993" s="20" t="s">
        <v>202</v>
      </c>
      <c r="I993" s="20" t="s">
        <v>162</v>
      </c>
      <c r="J993" s="20" t="s">
        <v>163</v>
      </c>
      <c r="K993" s="378" t="s">
        <v>203</v>
      </c>
      <c r="L993" s="20" t="s">
        <v>165</v>
      </c>
      <c r="M993" s="380">
        <v>2400</v>
      </c>
      <c r="N993" s="380"/>
      <c r="O993" s="380"/>
      <c r="P993" s="380"/>
      <c r="Q993" s="381">
        <v>310</v>
      </c>
      <c r="R993" s="381">
        <v>310</v>
      </c>
      <c r="S993" s="381">
        <v>0.23</v>
      </c>
      <c r="T993" s="381"/>
      <c r="U993" s="381"/>
      <c r="V993" s="382">
        <v>310.23</v>
      </c>
      <c r="W993" s="382">
        <v>0</v>
      </c>
      <c r="X993" s="381">
        <v>0.12916666666666668</v>
      </c>
      <c r="Y993" s="381">
        <v>0.12916666666666668</v>
      </c>
      <c r="Z993" s="381">
        <v>9.5833333333333336E-5</v>
      </c>
      <c r="AA993" s="381">
        <v>0</v>
      </c>
      <c r="AB993" s="381">
        <v>0</v>
      </c>
      <c r="AC993" s="382">
        <v>0.1292625</v>
      </c>
      <c r="AD993" s="382">
        <v>0</v>
      </c>
      <c r="AE993" s="381" t="s">
        <v>168</v>
      </c>
    </row>
    <row r="994" spans="1:31" ht="15" customHeight="1" x14ac:dyDescent="0.25">
      <c r="A994" s="20" t="s">
        <v>156</v>
      </c>
      <c r="B994" s="20" t="s">
        <v>1450</v>
      </c>
      <c r="C994" s="20" t="s">
        <v>1451</v>
      </c>
      <c r="D994" s="378" t="s">
        <v>1536</v>
      </c>
      <c r="E994" s="379">
        <v>44581</v>
      </c>
      <c r="F994" s="379">
        <v>46407</v>
      </c>
      <c r="G994" s="378" t="s">
        <v>237</v>
      </c>
      <c r="H994" s="20" t="s">
        <v>238</v>
      </c>
      <c r="I994" s="20" t="s">
        <v>162</v>
      </c>
      <c r="J994" s="20" t="s">
        <v>163</v>
      </c>
      <c r="K994" s="378" t="s">
        <v>239</v>
      </c>
      <c r="L994" s="20" t="s">
        <v>165</v>
      </c>
      <c r="M994" s="380">
        <v>2400</v>
      </c>
      <c r="N994" s="380"/>
      <c r="O994" s="380"/>
      <c r="P994" s="380"/>
      <c r="Q994" s="381" t="s">
        <v>1001</v>
      </c>
      <c r="R994" s="381" t="s">
        <v>1001</v>
      </c>
      <c r="S994" s="381" t="s">
        <v>563</v>
      </c>
      <c r="T994" s="381"/>
      <c r="U994" s="381"/>
      <c r="V994" s="382">
        <v>258.19</v>
      </c>
      <c r="W994" s="382">
        <v>0</v>
      </c>
      <c r="X994" s="381">
        <v>0.1075</v>
      </c>
      <c r="Y994" s="381">
        <v>0.1075</v>
      </c>
      <c r="Z994" s="381">
        <v>7.9166666666666662E-5</v>
      </c>
      <c r="AA994" s="381">
        <v>0</v>
      </c>
      <c r="AB994" s="381">
        <v>0</v>
      </c>
      <c r="AC994" s="382">
        <v>0.10757916666666667</v>
      </c>
      <c r="AD994" s="382">
        <v>0</v>
      </c>
      <c r="AE994" s="381" t="s">
        <v>168</v>
      </c>
    </row>
    <row r="995" spans="1:31" ht="15" customHeight="1" x14ac:dyDescent="0.25">
      <c r="A995" s="20" t="s">
        <v>156</v>
      </c>
      <c r="B995" s="20" t="s">
        <v>1450</v>
      </c>
      <c r="C995" s="20" t="s">
        <v>1451</v>
      </c>
      <c r="D995" s="378" t="s">
        <v>1537</v>
      </c>
      <c r="E995" s="379">
        <v>44581</v>
      </c>
      <c r="F995" s="379">
        <v>46407</v>
      </c>
      <c r="G995" s="378" t="s">
        <v>237</v>
      </c>
      <c r="H995" s="20" t="s">
        <v>238</v>
      </c>
      <c r="I995" s="20" t="s">
        <v>162</v>
      </c>
      <c r="J995" s="20" t="s">
        <v>163</v>
      </c>
      <c r="K995" s="378" t="s">
        <v>239</v>
      </c>
      <c r="L995" s="20" t="s">
        <v>165</v>
      </c>
      <c r="M995" s="380">
        <v>2400</v>
      </c>
      <c r="N995" s="380"/>
      <c r="O995" s="380"/>
      <c r="P995" s="380"/>
      <c r="Q995" s="381" t="s">
        <v>754</v>
      </c>
      <c r="R995" s="381" t="s">
        <v>754</v>
      </c>
      <c r="S995" s="381" t="s">
        <v>211</v>
      </c>
      <c r="T995" s="381"/>
      <c r="U995" s="381"/>
      <c r="V995" s="382">
        <v>231.17</v>
      </c>
      <c r="W995" s="382">
        <v>0</v>
      </c>
      <c r="X995" s="381">
        <v>9.6250000000000002E-2</v>
      </c>
      <c r="Y995" s="381">
        <v>9.6250000000000002E-2</v>
      </c>
      <c r="Z995" s="381">
        <v>7.0833333333333338E-5</v>
      </c>
      <c r="AA995" s="381">
        <v>0</v>
      </c>
      <c r="AB995" s="381">
        <v>0</v>
      </c>
      <c r="AC995" s="382">
        <v>9.6320833333333342E-2</v>
      </c>
      <c r="AD995" s="382">
        <v>0</v>
      </c>
      <c r="AE995" s="381" t="s">
        <v>168</v>
      </c>
    </row>
    <row r="996" spans="1:31" ht="15" customHeight="1" x14ac:dyDescent="0.25">
      <c r="A996" s="20" t="s">
        <v>156</v>
      </c>
      <c r="B996" s="20" t="s">
        <v>1450</v>
      </c>
      <c r="C996" s="20" t="s">
        <v>1451</v>
      </c>
      <c r="D996" s="378" t="s">
        <v>1538</v>
      </c>
      <c r="E996" s="379">
        <v>44581</v>
      </c>
      <c r="F996" s="379">
        <v>46407</v>
      </c>
      <c r="G996" s="378" t="s">
        <v>237</v>
      </c>
      <c r="H996" s="20" t="s">
        <v>238</v>
      </c>
      <c r="I996" s="20" t="s">
        <v>162</v>
      </c>
      <c r="J996" s="20" t="s">
        <v>163</v>
      </c>
      <c r="K996" s="378" t="s">
        <v>239</v>
      </c>
      <c r="L996" s="20" t="s">
        <v>165</v>
      </c>
      <c r="M996" s="380">
        <v>2400</v>
      </c>
      <c r="N996" s="380"/>
      <c r="O996" s="380"/>
      <c r="P996" s="380"/>
      <c r="Q996" s="381" t="s">
        <v>1539</v>
      </c>
      <c r="R996" s="381" t="s">
        <v>1539</v>
      </c>
      <c r="S996" s="381" t="s">
        <v>189</v>
      </c>
      <c r="T996" s="381"/>
      <c r="U996" s="381"/>
      <c r="V996" s="382">
        <v>219.16</v>
      </c>
      <c r="W996" s="382">
        <v>0</v>
      </c>
      <c r="X996" s="381">
        <v>9.1249999999999998E-2</v>
      </c>
      <c r="Y996" s="381">
        <v>9.1249999999999998E-2</v>
      </c>
      <c r="Z996" s="381">
        <v>6.666666666666667E-5</v>
      </c>
      <c r="AA996" s="381">
        <v>0</v>
      </c>
      <c r="AB996" s="381">
        <v>0</v>
      </c>
      <c r="AC996" s="382">
        <v>9.1316666666666671E-2</v>
      </c>
      <c r="AD996" s="382">
        <v>0</v>
      </c>
      <c r="AE996" s="381" t="s">
        <v>168</v>
      </c>
    </row>
    <row r="997" spans="1:31" ht="15" customHeight="1" x14ac:dyDescent="0.25">
      <c r="A997" s="20" t="s">
        <v>156</v>
      </c>
      <c r="B997" s="20" t="s">
        <v>1450</v>
      </c>
      <c r="C997" s="20" t="s">
        <v>1451</v>
      </c>
      <c r="D997" s="378" t="s">
        <v>1540</v>
      </c>
      <c r="E997" s="379">
        <v>44910</v>
      </c>
      <c r="F997" s="379">
        <v>46736</v>
      </c>
      <c r="G997" s="378" t="s">
        <v>173</v>
      </c>
      <c r="H997" s="20" t="s">
        <v>174</v>
      </c>
      <c r="I997" s="20" t="s">
        <v>162</v>
      </c>
      <c r="J997" s="20" t="s">
        <v>163</v>
      </c>
      <c r="K997" s="378" t="s">
        <v>175</v>
      </c>
      <c r="L997" s="20" t="s">
        <v>165</v>
      </c>
      <c r="M997" s="380">
        <v>2400</v>
      </c>
      <c r="N997" s="380"/>
      <c r="O997" s="380"/>
      <c r="P997" s="380"/>
      <c r="Q997" s="381">
        <v>219</v>
      </c>
      <c r="R997" s="381">
        <v>217</v>
      </c>
      <c r="S997" s="381">
        <v>2.16</v>
      </c>
      <c r="T997" s="381"/>
      <c r="U997" s="381"/>
      <c r="V997" s="382">
        <v>219.16</v>
      </c>
      <c r="W997" s="382">
        <v>0</v>
      </c>
      <c r="X997" s="381">
        <v>9.1249999999999998E-2</v>
      </c>
      <c r="Y997" s="381">
        <v>9.0416666666666673E-2</v>
      </c>
      <c r="Z997" s="381">
        <v>9.0000000000000008E-4</v>
      </c>
      <c r="AA997" s="381">
        <v>0</v>
      </c>
      <c r="AB997" s="381">
        <v>0</v>
      </c>
      <c r="AC997" s="382">
        <v>9.1316666666666671E-2</v>
      </c>
      <c r="AD997" s="382">
        <v>0</v>
      </c>
      <c r="AE997" s="381" t="s">
        <v>168</v>
      </c>
    </row>
    <row r="998" spans="1:31" ht="15" customHeight="1" x14ac:dyDescent="0.25">
      <c r="A998" s="20" t="s">
        <v>156</v>
      </c>
      <c r="B998" s="20" t="s">
        <v>1450</v>
      </c>
      <c r="C998" s="20" t="s">
        <v>1451</v>
      </c>
      <c r="D998" s="378" t="s">
        <v>1541</v>
      </c>
      <c r="E998" s="379">
        <v>45016</v>
      </c>
      <c r="F998" s="379">
        <v>46843</v>
      </c>
      <c r="G998" s="378" t="s">
        <v>179</v>
      </c>
      <c r="H998" s="20" t="s">
        <v>202</v>
      </c>
      <c r="I998" s="20" t="s">
        <v>162</v>
      </c>
      <c r="J998" s="20" t="s">
        <v>163</v>
      </c>
      <c r="K998" s="378" t="s">
        <v>203</v>
      </c>
      <c r="L998" s="20" t="s">
        <v>165</v>
      </c>
      <c r="M998" s="380">
        <v>2400</v>
      </c>
      <c r="N998" s="380"/>
      <c r="O998" s="380"/>
      <c r="P998" s="380"/>
      <c r="Q998" s="381">
        <v>351</v>
      </c>
      <c r="R998" s="381">
        <v>351</v>
      </c>
      <c r="S998" s="381">
        <v>0.25</v>
      </c>
      <c r="T998" s="381"/>
      <c r="U998" s="381"/>
      <c r="V998" s="382">
        <v>351.25</v>
      </c>
      <c r="W998" s="382">
        <v>0</v>
      </c>
      <c r="X998" s="381">
        <v>0.14624999999999999</v>
      </c>
      <c r="Y998" s="381">
        <v>0.14624999999999999</v>
      </c>
      <c r="Z998" s="381">
        <v>1.0416666666666667E-4</v>
      </c>
      <c r="AA998" s="381">
        <v>0</v>
      </c>
      <c r="AB998" s="381">
        <v>0</v>
      </c>
      <c r="AC998" s="382">
        <v>0.14635416666666665</v>
      </c>
      <c r="AD998" s="382">
        <v>0</v>
      </c>
      <c r="AE998" s="381" t="s">
        <v>168</v>
      </c>
    </row>
    <row r="999" spans="1:31" ht="15" customHeight="1" x14ac:dyDescent="0.25">
      <c r="A999" s="20" t="s">
        <v>156</v>
      </c>
      <c r="B999" s="20" t="s">
        <v>1450</v>
      </c>
      <c r="C999" s="20" t="s">
        <v>1451</v>
      </c>
      <c r="D999" s="378" t="s">
        <v>1542</v>
      </c>
      <c r="E999" s="379">
        <v>45038</v>
      </c>
      <c r="F999" s="379">
        <v>46865</v>
      </c>
      <c r="G999" s="383" t="s">
        <v>193</v>
      </c>
      <c r="H999" s="20" t="s">
        <v>229</v>
      </c>
      <c r="I999" s="20" t="s">
        <v>162</v>
      </c>
      <c r="J999" s="20" t="s">
        <v>163</v>
      </c>
      <c r="K999" s="378" t="s">
        <v>230</v>
      </c>
      <c r="L999" s="20" t="s">
        <v>165</v>
      </c>
      <c r="M999" s="380">
        <v>2400</v>
      </c>
      <c r="N999" s="380"/>
      <c r="O999" s="380"/>
      <c r="P999" s="380"/>
      <c r="Q999" s="381" t="s">
        <v>1543</v>
      </c>
      <c r="R999" s="381" t="s">
        <v>1543</v>
      </c>
      <c r="S999" s="381" t="s">
        <v>967</v>
      </c>
      <c r="T999" s="381"/>
      <c r="U999" s="381"/>
      <c r="V999" s="382">
        <v>312.22000000000003</v>
      </c>
      <c r="W999" s="382">
        <v>0</v>
      </c>
      <c r="X999" s="381">
        <v>0.13</v>
      </c>
      <c r="Y999" s="381">
        <v>0.13</v>
      </c>
      <c r="Z999" s="381">
        <v>9.1666666666666668E-5</v>
      </c>
      <c r="AA999" s="381">
        <v>0</v>
      </c>
      <c r="AB999" s="381">
        <v>0</v>
      </c>
      <c r="AC999" s="382">
        <v>0.13009166666666666</v>
      </c>
      <c r="AD999" s="382">
        <v>0</v>
      </c>
      <c r="AE999" s="381" t="s">
        <v>168</v>
      </c>
    </row>
    <row r="1000" spans="1:31" ht="15" customHeight="1" x14ac:dyDescent="0.25">
      <c r="A1000" s="20" t="s">
        <v>156</v>
      </c>
      <c r="B1000" s="20" t="s">
        <v>1450</v>
      </c>
      <c r="C1000" s="20" t="s">
        <v>1451</v>
      </c>
      <c r="D1000" s="378" t="s">
        <v>1544</v>
      </c>
      <c r="E1000" s="379">
        <v>45016</v>
      </c>
      <c r="F1000" s="379">
        <v>46843</v>
      </c>
      <c r="G1000" s="378" t="s">
        <v>179</v>
      </c>
      <c r="H1000" s="20" t="s">
        <v>202</v>
      </c>
      <c r="I1000" s="20" t="s">
        <v>162</v>
      </c>
      <c r="J1000" s="20" t="s">
        <v>163</v>
      </c>
      <c r="K1000" s="378" t="s">
        <v>203</v>
      </c>
      <c r="L1000" s="20" t="s">
        <v>165</v>
      </c>
      <c r="M1000" s="380">
        <v>2400</v>
      </c>
      <c r="N1000" s="380"/>
      <c r="O1000" s="380"/>
      <c r="P1000" s="380"/>
      <c r="Q1000" s="381">
        <v>281</v>
      </c>
      <c r="R1000" s="381">
        <v>281</v>
      </c>
      <c r="S1000" s="381">
        <v>0.19</v>
      </c>
      <c r="T1000" s="381"/>
      <c r="U1000" s="381"/>
      <c r="V1000" s="382">
        <v>281.19</v>
      </c>
      <c r="W1000" s="382">
        <v>0</v>
      </c>
      <c r="X1000" s="381">
        <v>0.11708333333333333</v>
      </c>
      <c r="Y1000" s="381">
        <v>0.11708333333333333</v>
      </c>
      <c r="Z1000" s="381">
        <v>7.9166666666666662E-5</v>
      </c>
      <c r="AA1000" s="381">
        <v>0</v>
      </c>
      <c r="AB1000" s="381">
        <v>0</v>
      </c>
      <c r="AC1000" s="382">
        <v>0.1171625</v>
      </c>
      <c r="AD1000" s="382">
        <v>0</v>
      </c>
      <c r="AE1000" s="381" t="s">
        <v>168</v>
      </c>
    </row>
    <row r="1001" spans="1:31" ht="15" customHeight="1" x14ac:dyDescent="0.25">
      <c r="A1001" s="20" t="s">
        <v>156</v>
      </c>
      <c r="B1001" s="20" t="s">
        <v>1450</v>
      </c>
      <c r="C1001" s="20" t="s">
        <v>1451</v>
      </c>
      <c r="D1001" s="378" t="s">
        <v>1545</v>
      </c>
      <c r="E1001" s="379">
        <v>44525</v>
      </c>
      <c r="F1001" s="379">
        <v>46351</v>
      </c>
      <c r="G1001" s="378" t="s">
        <v>262</v>
      </c>
      <c r="H1001" s="20" t="s">
        <v>263</v>
      </c>
      <c r="I1001" s="20" t="s">
        <v>162</v>
      </c>
      <c r="J1001" s="20" t="s">
        <v>163</v>
      </c>
      <c r="K1001" s="378" t="s">
        <v>264</v>
      </c>
      <c r="L1001" s="20" t="s">
        <v>165</v>
      </c>
      <c r="M1001" s="380">
        <v>2400</v>
      </c>
      <c r="N1001" s="380"/>
      <c r="O1001" s="380"/>
      <c r="P1001" s="380"/>
      <c r="Q1001" s="381" t="s">
        <v>1546</v>
      </c>
      <c r="R1001" s="381" t="s">
        <v>1546</v>
      </c>
      <c r="S1001" s="381" t="s">
        <v>206</v>
      </c>
      <c r="T1001" s="381"/>
      <c r="U1001" s="381"/>
      <c r="V1001" s="382">
        <v>270.18</v>
      </c>
      <c r="W1001" s="382">
        <v>0</v>
      </c>
      <c r="X1001" s="381">
        <v>0.1125</v>
      </c>
      <c r="Y1001" s="381">
        <v>0.1125</v>
      </c>
      <c r="Z1001" s="381">
        <v>7.4999999999999993E-5</v>
      </c>
      <c r="AA1001" s="381">
        <v>0</v>
      </c>
      <c r="AB1001" s="381">
        <v>0</v>
      </c>
      <c r="AC1001" s="382">
        <v>0.11257500000000001</v>
      </c>
      <c r="AD1001" s="382">
        <v>0</v>
      </c>
      <c r="AE1001" s="381" t="s">
        <v>168</v>
      </c>
    </row>
    <row r="1002" spans="1:31" ht="15" customHeight="1" x14ac:dyDescent="0.25">
      <c r="A1002" s="20" t="s">
        <v>156</v>
      </c>
      <c r="B1002" s="20" t="s">
        <v>1450</v>
      </c>
      <c r="C1002" s="20" t="s">
        <v>1451</v>
      </c>
      <c r="D1002" s="378" t="s">
        <v>1547</v>
      </c>
      <c r="E1002" s="379">
        <v>44525</v>
      </c>
      <c r="F1002" s="379">
        <v>46351</v>
      </c>
      <c r="G1002" s="378" t="s">
        <v>262</v>
      </c>
      <c r="H1002" s="20" t="s">
        <v>263</v>
      </c>
      <c r="I1002" s="20" t="s">
        <v>162</v>
      </c>
      <c r="J1002" s="20" t="s">
        <v>163</v>
      </c>
      <c r="K1002" s="378" t="s">
        <v>264</v>
      </c>
      <c r="L1002" s="20" t="s">
        <v>165</v>
      </c>
      <c r="M1002" s="380">
        <v>2400</v>
      </c>
      <c r="N1002" s="380"/>
      <c r="O1002" s="380"/>
      <c r="P1002" s="380"/>
      <c r="Q1002" s="381" t="s">
        <v>1546</v>
      </c>
      <c r="R1002" s="381" t="s">
        <v>1546</v>
      </c>
      <c r="S1002" s="381" t="s">
        <v>206</v>
      </c>
      <c r="T1002" s="381"/>
      <c r="U1002" s="381"/>
      <c r="V1002" s="382">
        <v>270.18</v>
      </c>
      <c r="W1002" s="382">
        <v>0</v>
      </c>
      <c r="X1002" s="381">
        <v>0.1125</v>
      </c>
      <c r="Y1002" s="381">
        <v>0.1125</v>
      </c>
      <c r="Z1002" s="381">
        <v>7.4999999999999993E-5</v>
      </c>
      <c r="AA1002" s="381">
        <v>0</v>
      </c>
      <c r="AB1002" s="381">
        <v>0</v>
      </c>
      <c r="AC1002" s="382">
        <v>0.11257500000000001</v>
      </c>
      <c r="AD1002" s="382">
        <v>0</v>
      </c>
      <c r="AE1002" s="381" t="s">
        <v>168</v>
      </c>
    </row>
    <row r="1003" spans="1:31" ht="15" customHeight="1" x14ac:dyDescent="0.25">
      <c r="A1003" s="20" t="s">
        <v>156</v>
      </c>
      <c r="B1003" s="20" t="s">
        <v>1450</v>
      </c>
      <c r="C1003" s="20" t="s">
        <v>1451</v>
      </c>
      <c r="D1003" s="378" t="s">
        <v>1548</v>
      </c>
      <c r="E1003" s="379">
        <v>44525</v>
      </c>
      <c r="F1003" s="379">
        <v>46351</v>
      </c>
      <c r="G1003" s="378" t="s">
        <v>262</v>
      </c>
      <c r="H1003" s="20" t="s">
        <v>263</v>
      </c>
      <c r="I1003" s="20" t="s">
        <v>162</v>
      </c>
      <c r="J1003" s="20" t="s">
        <v>163</v>
      </c>
      <c r="K1003" s="378" t="s">
        <v>264</v>
      </c>
      <c r="L1003" s="20" t="s">
        <v>165</v>
      </c>
      <c r="M1003" s="380">
        <v>2400</v>
      </c>
      <c r="N1003" s="380"/>
      <c r="O1003" s="380"/>
      <c r="P1003" s="380"/>
      <c r="Q1003" s="381" t="s">
        <v>1549</v>
      </c>
      <c r="R1003" s="381" t="s">
        <v>1549</v>
      </c>
      <c r="S1003" s="381" t="s">
        <v>206</v>
      </c>
      <c r="T1003" s="381"/>
      <c r="U1003" s="381"/>
      <c r="V1003" s="382">
        <v>271.18</v>
      </c>
      <c r="W1003" s="382">
        <v>0</v>
      </c>
      <c r="X1003" s="381">
        <v>0.11291666666666667</v>
      </c>
      <c r="Y1003" s="381">
        <v>0.11291666666666667</v>
      </c>
      <c r="Z1003" s="381">
        <v>7.4999999999999993E-5</v>
      </c>
      <c r="AA1003" s="381">
        <v>0</v>
      </c>
      <c r="AB1003" s="381">
        <v>0</v>
      </c>
      <c r="AC1003" s="382">
        <v>0.11299166666666667</v>
      </c>
      <c r="AD1003" s="382">
        <v>0</v>
      </c>
      <c r="AE1003" s="381" t="s">
        <v>168</v>
      </c>
    </row>
    <row r="1004" spans="1:31" ht="15" customHeight="1" x14ac:dyDescent="0.25">
      <c r="A1004" s="20" t="s">
        <v>156</v>
      </c>
      <c r="B1004" s="20" t="s">
        <v>1450</v>
      </c>
      <c r="C1004" s="20" t="s">
        <v>1451</v>
      </c>
      <c r="D1004" s="378" t="s">
        <v>1550</v>
      </c>
      <c r="E1004" s="379">
        <v>44525</v>
      </c>
      <c r="F1004" s="379">
        <v>46351</v>
      </c>
      <c r="G1004" s="378" t="s">
        <v>262</v>
      </c>
      <c r="H1004" s="20" t="s">
        <v>263</v>
      </c>
      <c r="I1004" s="20" t="s">
        <v>162</v>
      </c>
      <c r="J1004" s="20" t="s">
        <v>163</v>
      </c>
      <c r="K1004" s="378" t="s">
        <v>264</v>
      </c>
      <c r="L1004" s="20" t="s">
        <v>165</v>
      </c>
      <c r="M1004" s="380">
        <v>2400</v>
      </c>
      <c r="N1004" s="380"/>
      <c r="O1004" s="380"/>
      <c r="P1004" s="380"/>
      <c r="Q1004" s="381" t="s">
        <v>1549</v>
      </c>
      <c r="R1004" s="381" t="s">
        <v>1549</v>
      </c>
      <c r="S1004" s="381" t="s">
        <v>206</v>
      </c>
      <c r="T1004" s="381"/>
      <c r="U1004" s="381"/>
      <c r="V1004" s="382">
        <v>271.18</v>
      </c>
      <c r="W1004" s="382">
        <v>0</v>
      </c>
      <c r="X1004" s="381">
        <v>0.11291666666666667</v>
      </c>
      <c r="Y1004" s="381">
        <v>0.11291666666666667</v>
      </c>
      <c r="Z1004" s="381">
        <v>7.4999999999999993E-5</v>
      </c>
      <c r="AA1004" s="381">
        <v>0</v>
      </c>
      <c r="AB1004" s="381">
        <v>0</v>
      </c>
      <c r="AC1004" s="382">
        <v>0.11299166666666667</v>
      </c>
      <c r="AD1004" s="382">
        <v>0</v>
      </c>
      <c r="AE1004" s="381" t="s">
        <v>168</v>
      </c>
    </row>
    <row r="1005" spans="1:31" ht="15" customHeight="1" x14ac:dyDescent="0.25">
      <c r="A1005" s="20" t="s">
        <v>156</v>
      </c>
      <c r="B1005" s="20" t="s">
        <v>1450</v>
      </c>
      <c r="C1005" s="20" t="s">
        <v>1451</v>
      </c>
      <c r="D1005" s="378" t="s">
        <v>1551</v>
      </c>
      <c r="E1005" s="379">
        <v>44525</v>
      </c>
      <c r="F1005" s="379">
        <v>46351</v>
      </c>
      <c r="G1005" s="378" t="s">
        <v>262</v>
      </c>
      <c r="H1005" s="20" t="s">
        <v>263</v>
      </c>
      <c r="I1005" s="20" t="s">
        <v>162</v>
      </c>
      <c r="J1005" s="20" t="s">
        <v>163</v>
      </c>
      <c r="K1005" s="378" t="s">
        <v>264</v>
      </c>
      <c r="L1005" s="20" t="s">
        <v>165</v>
      </c>
      <c r="M1005" s="380">
        <v>2400</v>
      </c>
      <c r="N1005" s="380"/>
      <c r="O1005" s="380"/>
      <c r="P1005" s="380"/>
      <c r="Q1005" s="381" t="s">
        <v>1549</v>
      </c>
      <c r="R1005" s="381" t="s">
        <v>1549</v>
      </c>
      <c r="S1005" s="381" t="s">
        <v>206</v>
      </c>
      <c r="T1005" s="381"/>
      <c r="U1005" s="381"/>
      <c r="V1005" s="382">
        <v>271.18</v>
      </c>
      <c r="W1005" s="382">
        <v>0</v>
      </c>
      <c r="X1005" s="381">
        <v>0.11291666666666667</v>
      </c>
      <c r="Y1005" s="381">
        <v>0.11291666666666667</v>
      </c>
      <c r="Z1005" s="381">
        <v>7.4999999999999993E-5</v>
      </c>
      <c r="AA1005" s="381">
        <v>0</v>
      </c>
      <c r="AB1005" s="381">
        <v>0</v>
      </c>
      <c r="AC1005" s="382">
        <v>0.11299166666666667</v>
      </c>
      <c r="AD1005" s="382">
        <v>0</v>
      </c>
      <c r="AE1005" s="381" t="s">
        <v>168</v>
      </c>
    </row>
    <row r="1006" spans="1:31" ht="15" customHeight="1" x14ac:dyDescent="0.25">
      <c r="A1006" s="20" t="s">
        <v>156</v>
      </c>
      <c r="B1006" s="20" t="s">
        <v>1450</v>
      </c>
      <c r="C1006" s="20" t="s">
        <v>1451</v>
      </c>
      <c r="D1006" s="378" t="s">
        <v>1552</v>
      </c>
      <c r="E1006" s="379">
        <v>44525</v>
      </c>
      <c r="F1006" s="379">
        <v>46351</v>
      </c>
      <c r="G1006" s="378" t="s">
        <v>262</v>
      </c>
      <c r="H1006" s="20" t="s">
        <v>263</v>
      </c>
      <c r="I1006" s="20" t="s">
        <v>162</v>
      </c>
      <c r="J1006" s="20" t="s">
        <v>163</v>
      </c>
      <c r="K1006" s="378" t="s">
        <v>264</v>
      </c>
      <c r="L1006" s="20" t="s">
        <v>165</v>
      </c>
      <c r="M1006" s="380">
        <v>2400</v>
      </c>
      <c r="N1006" s="380"/>
      <c r="O1006" s="380"/>
      <c r="P1006" s="380"/>
      <c r="Q1006" s="381" t="s">
        <v>1549</v>
      </c>
      <c r="R1006" s="381" t="s">
        <v>1549</v>
      </c>
      <c r="S1006" s="381" t="s">
        <v>206</v>
      </c>
      <c r="T1006" s="381"/>
      <c r="U1006" s="381"/>
      <c r="V1006" s="382">
        <v>271.18</v>
      </c>
      <c r="W1006" s="382">
        <v>0</v>
      </c>
      <c r="X1006" s="381">
        <v>0.11291666666666667</v>
      </c>
      <c r="Y1006" s="381">
        <v>0.11291666666666667</v>
      </c>
      <c r="Z1006" s="381">
        <v>7.4999999999999993E-5</v>
      </c>
      <c r="AA1006" s="381">
        <v>0</v>
      </c>
      <c r="AB1006" s="381">
        <v>0</v>
      </c>
      <c r="AC1006" s="382">
        <v>0.11299166666666667</v>
      </c>
      <c r="AD1006" s="382">
        <v>0</v>
      </c>
      <c r="AE1006" s="381" t="s">
        <v>168</v>
      </c>
    </row>
    <row r="1007" spans="1:31" ht="15" customHeight="1" x14ac:dyDescent="0.25">
      <c r="A1007" s="20" t="s">
        <v>156</v>
      </c>
      <c r="B1007" s="20" t="s">
        <v>1450</v>
      </c>
      <c r="C1007" s="20" t="s">
        <v>1451</v>
      </c>
      <c r="D1007" s="378" t="s">
        <v>1553</v>
      </c>
      <c r="E1007" s="379">
        <v>44581</v>
      </c>
      <c r="F1007" s="379">
        <v>46407</v>
      </c>
      <c r="G1007" s="378" t="s">
        <v>237</v>
      </c>
      <c r="H1007" s="20" t="s">
        <v>238</v>
      </c>
      <c r="I1007" s="20" t="s">
        <v>162</v>
      </c>
      <c r="J1007" s="20" t="s">
        <v>163</v>
      </c>
      <c r="K1007" s="378" t="s">
        <v>239</v>
      </c>
      <c r="L1007" s="20" t="s">
        <v>165</v>
      </c>
      <c r="M1007" s="380">
        <v>2400</v>
      </c>
      <c r="N1007" s="380"/>
      <c r="O1007" s="380"/>
      <c r="P1007" s="380"/>
      <c r="Q1007" s="381" t="s">
        <v>1504</v>
      </c>
      <c r="R1007" s="381" t="s">
        <v>1504</v>
      </c>
      <c r="S1007" s="381" t="s">
        <v>563</v>
      </c>
      <c r="T1007" s="381"/>
      <c r="U1007" s="381"/>
      <c r="V1007" s="382">
        <v>293.19</v>
      </c>
      <c r="W1007" s="382">
        <v>0</v>
      </c>
      <c r="X1007" s="381">
        <v>0.12208333333333334</v>
      </c>
      <c r="Y1007" s="381">
        <v>0.12208333333333334</v>
      </c>
      <c r="Z1007" s="381">
        <v>7.9166666666666662E-5</v>
      </c>
      <c r="AA1007" s="381">
        <v>0</v>
      </c>
      <c r="AB1007" s="381">
        <v>0</v>
      </c>
      <c r="AC1007" s="382">
        <v>0.12216250000000001</v>
      </c>
      <c r="AD1007" s="382">
        <v>0</v>
      </c>
      <c r="AE1007" s="381" t="s">
        <v>168</v>
      </c>
    </row>
    <row r="1008" spans="1:31" ht="15" customHeight="1" x14ac:dyDescent="0.25">
      <c r="A1008" s="20" t="s">
        <v>156</v>
      </c>
      <c r="B1008" s="20" t="s">
        <v>1450</v>
      </c>
      <c r="C1008" s="20" t="s">
        <v>1451</v>
      </c>
      <c r="D1008" s="378" t="s">
        <v>1554</v>
      </c>
      <c r="E1008" s="379">
        <v>44581</v>
      </c>
      <c r="F1008" s="379">
        <v>46407</v>
      </c>
      <c r="G1008" s="378" t="s">
        <v>237</v>
      </c>
      <c r="H1008" s="20" t="s">
        <v>238</v>
      </c>
      <c r="I1008" s="20" t="s">
        <v>162</v>
      </c>
      <c r="J1008" s="20" t="s">
        <v>163</v>
      </c>
      <c r="K1008" s="378" t="s">
        <v>239</v>
      </c>
      <c r="L1008" s="20" t="s">
        <v>165</v>
      </c>
      <c r="M1008" s="380">
        <v>2400</v>
      </c>
      <c r="N1008" s="380"/>
      <c r="O1008" s="380"/>
      <c r="P1008" s="380"/>
      <c r="Q1008" s="381" t="s">
        <v>1504</v>
      </c>
      <c r="R1008" s="381" t="s">
        <v>1504</v>
      </c>
      <c r="S1008" s="381" t="s">
        <v>563</v>
      </c>
      <c r="T1008" s="381"/>
      <c r="U1008" s="381"/>
      <c r="V1008" s="382">
        <v>293.19</v>
      </c>
      <c r="W1008" s="382">
        <v>0</v>
      </c>
      <c r="X1008" s="381">
        <v>0.12208333333333334</v>
      </c>
      <c r="Y1008" s="381">
        <v>0.12208333333333334</v>
      </c>
      <c r="Z1008" s="381">
        <v>7.9166666666666662E-5</v>
      </c>
      <c r="AA1008" s="381">
        <v>0</v>
      </c>
      <c r="AB1008" s="381">
        <v>0</v>
      </c>
      <c r="AC1008" s="382">
        <v>0.12216250000000001</v>
      </c>
      <c r="AD1008" s="382">
        <v>0</v>
      </c>
      <c r="AE1008" s="381" t="s">
        <v>168</v>
      </c>
    </row>
    <row r="1009" spans="1:31" ht="15" customHeight="1" x14ac:dyDescent="0.25">
      <c r="A1009" s="20" t="s">
        <v>156</v>
      </c>
      <c r="B1009" s="20" t="s">
        <v>1450</v>
      </c>
      <c r="C1009" s="20" t="s">
        <v>1451</v>
      </c>
      <c r="D1009" s="378" t="s">
        <v>1555</v>
      </c>
      <c r="E1009" s="379">
        <v>44525</v>
      </c>
      <c r="F1009" s="379">
        <v>46351</v>
      </c>
      <c r="G1009" s="378" t="s">
        <v>262</v>
      </c>
      <c r="H1009" s="20" t="s">
        <v>263</v>
      </c>
      <c r="I1009" s="20" t="s">
        <v>162</v>
      </c>
      <c r="J1009" s="20" t="s">
        <v>163</v>
      </c>
      <c r="K1009" s="378" t="s">
        <v>264</v>
      </c>
      <c r="L1009" s="20" t="s">
        <v>165</v>
      </c>
      <c r="M1009" s="380">
        <v>2400</v>
      </c>
      <c r="N1009" s="380"/>
      <c r="O1009" s="380"/>
      <c r="P1009" s="380"/>
      <c r="Q1009" s="381" t="s">
        <v>1471</v>
      </c>
      <c r="R1009" s="381" t="s">
        <v>1471</v>
      </c>
      <c r="S1009" s="381" t="s">
        <v>211</v>
      </c>
      <c r="T1009" s="381"/>
      <c r="U1009" s="381"/>
      <c r="V1009" s="382">
        <v>263.17</v>
      </c>
      <c r="W1009" s="382">
        <v>0</v>
      </c>
      <c r="X1009" s="381">
        <v>0.10958333333333334</v>
      </c>
      <c r="Y1009" s="381">
        <v>0.10958333333333334</v>
      </c>
      <c r="Z1009" s="381">
        <v>7.0833333333333338E-5</v>
      </c>
      <c r="AA1009" s="381">
        <v>0</v>
      </c>
      <c r="AB1009" s="381">
        <v>0</v>
      </c>
      <c r="AC1009" s="382">
        <v>0.10965416666666668</v>
      </c>
      <c r="AD1009" s="382">
        <v>0</v>
      </c>
      <c r="AE1009" s="381" t="s">
        <v>168</v>
      </c>
    </row>
    <row r="1010" spans="1:31" ht="15" customHeight="1" x14ac:dyDescent="0.25">
      <c r="A1010" s="20" t="s">
        <v>156</v>
      </c>
      <c r="B1010" s="20" t="s">
        <v>1450</v>
      </c>
      <c r="C1010" s="20" t="s">
        <v>1451</v>
      </c>
      <c r="D1010" s="378" t="s">
        <v>1556</v>
      </c>
      <c r="E1010" s="379">
        <v>44581</v>
      </c>
      <c r="F1010" s="379">
        <v>46407</v>
      </c>
      <c r="G1010" s="378" t="s">
        <v>237</v>
      </c>
      <c r="H1010" s="20" t="s">
        <v>238</v>
      </c>
      <c r="I1010" s="20" t="s">
        <v>162</v>
      </c>
      <c r="J1010" s="20" t="s">
        <v>163</v>
      </c>
      <c r="K1010" s="378" t="s">
        <v>239</v>
      </c>
      <c r="L1010" s="20" t="s">
        <v>165</v>
      </c>
      <c r="M1010" s="380">
        <v>2400</v>
      </c>
      <c r="N1010" s="380"/>
      <c r="O1010" s="380"/>
      <c r="P1010" s="380"/>
      <c r="Q1010" s="381" t="s">
        <v>1557</v>
      </c>
      <c r="R1010" s="381" t="s">
        <v>1557</v>
      </c>
      <c r="S1010" s="381" t="s">
        <v>563</v>
      </c>
      <c r="T1010" s="381"/>
      <c r="U1010" s="381"/>
      <c r="V1010" s="382">
        <v>294.19</v>
      </c>
      <c r="W1010" s="382">
        <v>0</v>
      </c>
      <c r="X1010" s="381">
        <v>0.1225</v>
      </c>
      <c r="Y1010" s="381">
        <v>0.1225</v>
      </c>
      <c r="Z1010" s="381">
        <v>7.9166666666666662E-5</v>
      </c>
      <c r="AA1010" s="381">
        <v>0</v>
      </c>
      <c r="AB1010" s="381">
        <v>0</v>
      </c>
      <c r="AC1010" s="382">
        <v>0.12257916666666667</v>
      </c>
      <c r="AD1010" s="382">
        <v>0</v>
      </c>
      <c r="AE1010" s="381" t="s">
        <v>168</v>
      </c>
    </row>
    <row r="1011" spans="1:31" ht="15" customHeight="1" x14ac:dyDescent="0.25">
      <c r="A1011" s="20" t="s">
        <v>156</v>
      </c>
      <c r="B1011" s="20" t="s">
        <v>1450</v>
      </c>
      <c r="C1011" s="20" t="s">
        <v>1451</v>
      </c>
      <c r="D1011" s="378" t="s">
        <v>1558</v>
      </c>
      <c r="E1011" s="379">
        <v>44581</v>
      </c>
      <c r="F1011" s="379">
        <v>46407</v>
      </c>
      <c r="G1011" s="378" t="s">
        <v>237</v>
      </c>
      <c r="H1011" s="20" t="s">
        <v>238</v>
      </c>
      <c r="I1011" s="20" t="s">
        <v>162</v>
      </c>
      <c r="J1011" s="20" t="s">
        <v>163</v>
      </c>
      <c r="K1011" s="378" t="s">
        <v>239</v>
      </c>
      <c r="L1011" s="20" t="s">
        <v>165</v>
      </c>
      <c r="M1011" s="380">
        <v>2400</v>
      </c>
      <c r="N1011" s="380"/>
      <c r="O1011" s="380"/>
      <c r="P1011" s="380"/>
      <c r="Q1011" s="381" t="s">
        <v>1487</v>
      </c>
      <c r="R1011" s="381" t="s">
        <v>1487</v>
      </c>
      <c r="S1011" s="381" t="s">
        <v>566</v>
      </c>
      <c r="T1011" s="381"/>
      <c r="U1011" s="381"/>
      <c r="V1011" s="382">
        <v>310.2</v>
      </c>
      <c r="W1011" s="382">
        <v>0</v>
      </c>
      <c r="X1011" s="381">
        <v>0.12916666666666668</v>
      </c>
      <c r="Y1011" s="381">
        <v>0.12916666666666668</v>
      </c>
      <c r="Z1011" s="381">
        <v>8.3333333333333344E-5</v>
      </c>
      <c r="AA1011" s="381">
        <v>0</v>
      </c>
      <c r="AB1011" s="381">
        <v>0</v>
      </c>
      <c r="AC1011" s="382">
        <v>0.12925</v>
      </c>
      <c r="AD1011" s="382">
        <v>0</v>
      </c>
      <c r="AE1011" s="381" t="s">
        <v>168</v>
      </c>
    </row>
    <row r="1012" spans="1:31" ht="15" customHeight="1" x14ac:dyDescent="0.25">
      <c r="A1012" s="20" t="s">
        <v>156</v>
      </c>
      <c r="B1012" s="20" t="s">
        <v>1450</v>
      </c>
      <c r="C1012" s="20" t="s">
        <v>1451</v>
      </c>
      <c r="D1012" s="378" t="s">
        <v>1559</v>
      </c>
      <c r="E1012" s="379">
        <v>44525</v>
      </c>
      <c r="F1012" s="379">
        <v>46351</v>
      </c>
      <c r="G1012" s="378" t="s">
        <v>262</v>
      </c>
      <c r="H1012" s="20" t="s">
        <v>263</v>
      </c>
      <c r="I1012" s="20" t="s">
        <v>162</v>
      </c>
      <c r="J1012" s="20" t="s">
        <v>163</v>
      </c>
      <c r="K1012" s="378" t="s">
        <v>264</v>
      </c>
      <c r="L1012" s="20" t="s">
        <v>165</v>
      </c>
      <c r="M1012" s="380">
        <v>2400</v>
      </c>
      <c r="N1012" s="380"/>
      <c r="O1012" s="380"/>
      <c r="P1012" s="380"/>
      <c r="Q1012" s="381" t="s">
        <v>1200</v>
      </c>
      <c r="R1012" s="381" t="s">
        <v>1200</v>
      </c>
      <c r="S1012" s="381" t="s">
        <v>211</v>
      </c>
      <c r="T1012" s="381"/>
      <c r="U1012" s="381"/>
      <c r="V1012" s="382">
        <v>264.17</v>
      </c>
      <c r="W1012" s="382">
        <v>0</v>
      </c>
      <c r="X1012" s="381">
        <v>0.11</v>
      </c>
      <c r="Y1012" s="381">
        <v>0.11</v>
      </c>
      <c r="Z1012" s="381">
        <v>7.0833333333333338E-5</v>
      </c>
      <c r="AA1012" s="381">
        <v>0</v>
      </c>
      <c r="AB1012" s="381">
        <v>0</v>
      </c>
      <c r="AC1012" s="382">
        <v>0.11007083333333334</v>
      </c>
      <c r="AD1012" s="382">
        <v>0</v>
      </c>
      <c r="AE1012" s="381" t="s">
        <v>168</v>
      </c>
    </row>
    <row r="1013" spans="1:31" ht="15" customHeight="1" x14ac:dyDescent="0.25">
      <c r="A1013" s="20" t="s">
        <v>156</v>
      </c>
      <c r="B1013" s="20" t="s">
        <v>1450</v>
      </c>
      <c r="C1013" s="20" t="s">
        <v>1451</v>
      </c>
      <c r="D1013" s="378" t="s">
        <v>1560</v>
      </c>
      <c r="E1013" s="379">
        <v>44525</v>
      </c>
      <c r="F1013" s="379">
        <v>46351</v>
      </c>
      <c r="G1013" s="378" t="s">
        <v>262</v>
      </c>
      <c r="H1013" s="20" t="s">
        <v>263</v>
      </c>
      <c r="I1013" s="20" t="s">
        <v>162</v>
      </c>
      <c r="J1013" s="20" t="s">
        <v>163</v>
      </c>
      <c r="K1013" s="378" t="s">
        <v>264</v>
      </c>
      <c r="L1013" s="20" t="s">
        <v>165</v>
      </c>
      <c r="M1013" s="380">
        <v>2400</v>
      </c>
      <c r="N1013" s="380"/>
      <c r="O1013" s="380"/>
      <c r="P1013" s="380"/>
      <c r="Q1013" s="381" t="s">
        <v>1200</v>
      </c>
      <c r="R1013" s="381" t="s">
        <v>1200</v>
      </c>
      <c r="S1013" s="381" t="s">
        <v>211</v>
      </c>
      <c r="T1013" s="381"/>
      <c r="U1013" s="381"/>
      <c r="V1013" s="382">
        <v>264.17</v>
      </c>
      <c r="W1013" s="382">
        <v>0</v>
      </c>
      <c r="X1013" s="381">
        <v>0.11</v>
      </c>
      <c r="Y1013" s="381">
        <v>0.11</v>
      </c>
      <c r="Z1013" s="381">
        <v>7.0833333333333338E-5</v>
      </c>
      <c r="AA1013" s="381">
        <v>0</v>
      </c>
      <c r="AB1013" s="381">
        <v>0</v>
      </c>
      <c r="AC1013" s="382">
        <v>0.11007083333333334</v>
      </c>
      <c r="AD1013" s="382">
        <v>0</v>
      </c>
      <c r="AE1013" s="381" t="s">
        <v>168</v>
      </c>
    </row>
    <row r="1014" spans="1:31" ht="15" customHeight="1" x14ac:dyDescent="0.25">
      <c r="A1014" s="20" t="s">
        <v>156</v>
      </c>
      <c r="B1014" s="20" t="s">
        <v>1450</v>
      </c>
      <c r="C1014" s="20" t="s">
        <v>1451</v>
      </c>
      <c r="D1014" s="378" t="s">
        <v>1561</v>
      </c>
      <c r="E1014" s="379">
        <v>45038</v>
      </c>
      <c r="F1014" s="379">
        <v>46865</v>
      </c>
      <c r="G1014" s="383" t="s">
        <v>193</v>
      </c>
      <c r="H1014" s="20" t="s">
        <v>229</v>
      </c>
      <c r="I1014" s="20" t="s">
        <v>162</v>
      </c>
      <c r="J1014" s="20" t="s">
        <v>163</v>
      </c>
      <c r="K1014" s="378" t="s">
        <v>230</v>
      </c>
      <c r="L1014" s="20" t="s">
        <v>165</v>
      </c>
      <c r="M1014" s="380">
        <v>2400</v>
      </c>
      <c r="N1014" s="380"/>
      <c r="O1014" s="380"/>
      <c r="P1014" s="380"/>
      <c r="Q1014" s="381" t="s">
        <v>1562</v>
      </c>
      <c r="R1014" s="381" t="s">
        <v>1562</v>
      </c>
      <c r="S1014" s="381" t="s">
        <v>566</v>
      </c>
      <c r="T1014" s="381"/>
      <c r="U1014" s="381"/>
      <c r="V1014" s="382">
        <v>311.2</v>
      </c>
      <c r="W1014" s="382">
        <v>0</v>
      </c>
      <c r="X1014" s="381">
        <v>0.12958333333333333</v>
      </c>
      <c r="Y1014" s="381">
        <v>0.12958333333333333</v>
      </c>
      <c r="Z1014" s="381">
        <v>8.3333333333333344E-5</v>
      </c>
      <c r="AA1014" s="381">
        <v>0</v>
      </c>
      <c r="AB1014" s="381">
        <v>0</v>
      </c>
      <c r="AC1014" s="382">
        <v>0.12966666666666665</v>
      </c>
      <c r="AD1014" s="382">
        <v>0</v>
      </c>
      <c r="AE1014" s="381" t="s">
        <v>168</v>
      </c>
    </row>
    <row r="1015" spans="1:31" ht="15" customHeight="1" x14ac:dyDescent="0.25">
      <c r="A1015" s="20" t="s">
        <v>156</v>
      </c>
      <c r="B1015" s="20" t="s">
        <v>1450</v>
      </c>
      <c r="C1015" s="20" t="s">
        <v>1451</v>
      </c>
      <c r="D1015" s="378" t="s">
        <v>1563</v>
      </c>
      <c r="E1015" s="379">
        <v>45038</v>
      </c>
      <c r="F1015" s="379">
        <v>46865</v>
      </c>
      <c r="G1015" s="383" t="s">
        <v>193</v>
      </c>
      <c r="H1015" s="20" t="s">
        <v>229</v>
      </c>
      <c r="I1015" s="20" t="s">
        <v>162</v>
      </c>
      <c r="J1015" s="20" t="s">
        <v>163</v>
      </c>
      <c r="K1015" s="378" t="s">
        <v>230</v>
      </c>
      <c r="L1015" s="20" t="s">
        <v>165</v>
      </c>
      <c r="M1015" s="380">
        <v>2400</v>
      </c>
      <c r="N1015" s="380"/>
      <c r="O1015" s="380"/>
      <c r="P1015" s="380"/>
      <c r="Q1015" s="381" t="s">
        <v>1562</v>
      </c>
      <c r="R1015" s="381" t="s">
        <v>1562</v>
      </c>
      <c r="S1015" s="381" t="s">
        <v>566</v>
      </c>
      <c r="T1015" s="381"/>
      <c r="U1015" s="381"/>
      <c r="V1015" s="382">
        <v>311.2</v>
      </c>
      <c r="W1015" s="382">
        <v>0</v>
      </c>
      <c r="X1015" s="381">
        <v>0.12958333333333333</v>
      </c>
      <c r="Y1015" s="381">
        <v>0.12958333333333333</v>
      </c>
      <c r="Z1015" s="381">
        <v>8.3333333333333344E-5</v>
      </c>
      <c r="AA1015" s="381">
        <v>0</v>
      </c>
      <c r="AB1015" s="381">
        <v>0</v>
      </c>
      <c r="AC1015" s="382">
        <v>0.12966666666666665</v>
      </c>
      <c r="AD1015" s="382">
        <v>0</v>
      </c>
      <c r="AE1015" s="381" t="s">
        <v>168</v>
      </c>
    </row>
    <row r="1016" spans="1:31" ht="15" customHeight="1" x14ac:dyDescent="0.25">
      <c r="A1016" s="20" t="s">
        <v>156</v>
      </c>
      <c r="B1016" s="20" t="s">
        <v>1450</v>
      </c>
      <c r="C1016" s="20" t="s">
        <v>1451</v>
      </c>
      <c r="D1016" s="378" t="s">
        <v>1564</v>
      </c>
      <c r="E1016" s="379">
        <v>45038</v>
      </c>
      <c r="F1016" s="379">
        <v>46865</v>
      </c>
      <c r="G1016" s="383" t="s">
        <v>193</v>
      </c>
      <c r="H1016" s="20" t="s">
        <v>229</v>
      </c>
      <c r="I1016" s="20" t="s">
        <v>162</v>
      </c>
      <c r="J1016" s="20" t="s">
        <v>163</v>
      </c>
      <c r="K1016" s="378" t="s">
        <v>230</v>
      </c>
      <c r="L1016" s="20" t="s">
        <v>165</v>
      </c>
      <c r="M1016" s="380">
        <v>2400</v>
      </c>
      <c r="N1016" s="380"/>
      <c r="O1016" s="380"/>
      <c r="P1016" s="380"/>
      <c r="Q1016" s="381" t="s">
        <v>1562</v>
      </c>
      <c r="R1016" s="381" t="s">
        <v>1562</v>
      </c>
      <c r="S1016" s="381" t="s">
        <v>566</v>
      </c>
      <c r="T1016" s="381"/>
      <c r="U1016" s="381"/>
      <c r="V1016" s="382">
        <v>311.2</v>
      </c>
      <c r="W1016" s="382">
        <v>0</v>
      </c>
      <c r="X1016" s="381">
        <v>0.12958333333333333</v>
      </c>
      <c r="Y1016" s="381">
        <v>0.12958333333333333</v>
      </c>
      <c r="Z1016" s="381">
        <v>8.3333333333333344E-5</v>
      </c>
      <c r="AA1016" s="381">
        <v>0</v>
      </c>
      <c r="AB1016" s="381">
        <v>0</v>
      </c>
      <c r="AC1016" s="382">
        <v>0.12966666666666665</v>
      </c>
      <c r="AD1016" s="382">
        <v>0</v>
      </c>
      <c r="AE1016" s="381" t="s">
        <v>168</v>
      </c>
    </row>
    <row r="1017" spans="1:31" ht="15" customHeight="1" x14ac:dyDescent="0.25">
      <c r="A1017" s="20" t="s">
        <v>156</v>
      </c>
      <c r="B1017" s="20" t="s">
        <v>1450</v>
      </c>
      <c r="C1017" s="20" t="s">
        <v>1451</v>
      </c>
      <c r="D1017" s="378" t="s">
        <v>1565</v>
      </c>
      <c r="E1017" s="379">
        <v>45038</v>
      </c>
      <c r="F1017" s="379">
        <v>46865</v>
      </c>
      <c r="G1017" s="383" t="s">
        <v>193</v>
      </c>
      <c r="H1017" s="20" t="s">
        <v>229</v>
      </c>
      <c r="I1017" s="20" t="s">
        <v>162</v>
      </c>
      <c r="J1017" s="20" t="s">
        <v>163</v>
      </c>
      <c r="K1017" s="378" t="s">
        <v>230</v>
      </c>
      <c r="L1017" s="20" t="s">
        <v>165</v>
      </c>
      <c r="M1017" s="380">
        <v>2400</v>
      </c>
      <c r="N1017" s="380"/>
      <c r="O1017" s="380"/>
      <c r="P1017" s="380"/>
      <c r="Q1017" s="381" t="s">
        <v>1562</v>
      </c>
      <c r="R1017" s="381" t="s">
        <v>1562</v>
      </c>
      <c r="S1017" s="381" t="s">
        <v>566</v>
      </c>
      <c r="T1017" s="381"/>
      <c r="U1017" s="381"/>
      <c r="V1017" s="382">
        <v>311.2</v>
      </c>
      <c r="W1017" s="382">
        <v>0</v>
      </c>
      <c r="X1017" s="381">
        <v>0.12958333333333333</v>
      </c>
      <c r="Y1017" s="381">
        <v>0.12958333333333333</v>
      </c>
      <c r="Z1017" s="381">
        <v>8.3333333333333344E-5</v>
      </c>
      <c r="AA1017" s="381">
        <v>0</v>
      </c>
      <c r="AB1017" s="381">
        <v>0</v>
      </c>
      <c r="AC1017" s="382">
        <v>0.12966666666666665</v>
      </c>
      <c r="AD1017" s="382">
        <v>0</v>
      </c>
      <c r="AE1017" s="381" t="s">
        <v>168</v>
      </c>
    </row>
    <row r="1018" spans="1:31" ht="15" customHeight="1" x14ac:dyDescent="0.25">
      <c r="A1018" s="20" t="s">
        <v>156</v>
      </c>
      <c r="B1018" s="20" t="s">
        <v>1450</v>
      </c>
      <c r="C1018" s="20" t="s">
        <v>1451</v>
      </c>
      <c r="D1018" s="378" t="s">
        <v>1566</v>
      </c>
      <c r="E1018" s="379">
        <v>45038</v>
      </c>
      <c r="F1018" s="379">
        <v>46865</v>
      </c>
      <c r="G1018" s="383" t="s">
        <v>193</v>
      </c>
      <c r="H1018" s="20" t="s">
        <v>229</v>
      </c>
      <c r="I1018" s="20" t="s">
        <v>162</v>
      </c>
      <c r="J1018" s="20" t="s">
        <v>163</v>
      </c>
      <c r="K1018" s="378" t="s">
        <v>230</v>
      </c>
      <c r="L1018" s="20" t="s">
        <v>165</v>
      </c>
      <c r="M1018" s="380">
        <v>2400</v>
      </c>
      <c r="N1018" s="380"/>
      <c r="O1018" s="380"/>
      <c r="P1018" s="380"/>
      <c r="Q1018" s="381" t="s">
        <v>1543</v>
      </c>
      <c r="R1018" s="381" t="s">
        <v>1543</v>
      </c>
      <c r="S1018" s="381" t="s">
        <v>566</v>
      </c>
      <c r="T1018" s="381"/>
      <c r="U1018" s="381"/>
      <c r="V1018" s="382">
        <v>312.2</v>
      </c>
      <c r="W1018" s="382">
        <v>0</v>
      </c>
      <c r="X1018" s="381">
        <v>0.13</v>
      </c>
      <c r="Y1018" s="381">
        <v>0.13</v>
      </c>
      <c r="Z1018" s="381">
        <v>8.3333333333333344E-5</v>
      </c>
      <c r="AA1018" s="381">
        <v>0</v>
      </c>
      <c r="AB1018" s="381">
        <v>0</v>
      </c>
      <c r="AC1018" s="382">
        <v>0.13008333333333333</v>
      </c>
      <c r="AD1018" s="382">
        <v>0</v>
      </c>
      <c r="AE1018" s="381" t="s">
        <v>168</v>
      </c>
    </row>
    <row r="1019" spans="1:31" ht="15" customHeight="1" x14ac:dyDescent="0.25">
      <c r="A1019" s="20" t="s">
        <v>156</v>
      </c>
      <c r="B1019" s="20" t="s">
        <v>1450</v>
      </c>
      <c r="C1019" s="20" t="s">
        <v>1451</v>
      </c>
      <c r="D1019" s="378" t="s">
        <v>1567</v>
      </c>
      <c r="E1019" s="379">
        <v>45038</v>
      </c>
      <c r="F1019" s="379">
        <v>46865</v>
      </c>
      <c r="G1019" s="383" t="s">
        <v>193</v>
      </c>
      <c r="H1019" s="20" t="s">
        <v>229</v>
      </c>
      <c r="I1019" s="20" t="s">
        <v>162</v>
      </c>
      <c r="J1019" s="20" t="s">
        <v>163</v>
      </c>
      <c r="K1019" s="378" t="s">
        <v>230</v>
      </c>
      <c r="L1019" s="20" t="s">
        <v>165</v>
      </c>
      <c r="M1019" s="380">
        <v>2400</v>
      </c>
      <c r="N1019" s="380"/>
      <c r="O1019" s="380"/>
      <c r="P1019" s="380"/>
      <c r="Q1019" s="381" t="s">
        <v>1543</v>
      </c>
      <c r="R1019" s="381" t="s">
        <v>1543</v>
      </c>
      <c r="S1019" s="381" t="s">
        <v>566</v>
      </c>
      <c r="T1019" s="381"/>
      <c r="U1019" s="381"/>
      <c r="V1019" s="382">
        <v>312.2</v>
      </c>
      <c r="W1019" s="382">
        <v>0</v>
      </c>
      <c r="X1019" s="381">
        <v>0.13</v>
      </c>
      <c r="Y1019" s="381">
        <v>0.13</v>
      </c>
      <c r="Z1019" s="381">
        <v>8.3333333333333344E-5</v>
      </c>
      <c r="AA1019" s="381">
        <v>0</v>
      </c>
      <c r="AB1019" s="381">
        <v>0</v>
      </c>
      <c r="AC1019" s="382">
        <v>0.13008333333333333</v>
      </c>
      <c r="AD1019" s="382">
        <v>0</v>
      </c>
      <c r="AE1019" s="381" t="s">
        <v>168</v>
      </c>
    </row>
    <row r="1020" spans="1:31" ht="15" customHeight="1" x14ac:dyDescent="0.25">
      <c r="A1020" s="20" t="s">
        <v>156</v>
      </c>
      <c r="B1020" s="20" t="s">
        <v>1450</v>
      </c>
      <c r="C1020" s="20" t="s">
        <v>1451</v>
      </c>
      <c r="D1020" s="378" t="s">
        <v>1568</v>
      </c>
      <c r="E1020" s="379">
        <v>45038</v>
      </c>
      <c r="F1020" s="379">
        <v>46865</v>
      </c>
      <c r="G1020" s="383" t="s">
        <v>193</v>
      </c>
      <c r="H1020" s="20" t="s">
        <v>229</v>
      </c>
      <c r="I1020" s="20" t="s">
        <v>162</v>
      </c>
      <c r="J1020" s="20" t="s">
        <v>163</v>
      </c>
      <c r="K1020" s="378" t="s">
        <v>230</v>
      </c>
      <c r="L1020" s="20" t="s">
        <v>165</v>
      </c>
      <c r="M1020" s="380">
        <v>2400</v>
      </c>
      <c r="N1020" s="380"/>
      <c r="O1020" s="380"/>
      <c r="P1020" s="380"/>
      <c r="Q1020" s="381" t="s">
        <v>1543</v>
      </c>
      <c r="R1020" s="381" t="s">
        <v>1543</v>
      </c>
      <c r="S1020" s="381" t="s">
        <v>566</v>
      </c>
      <c r="T1020" s="381"/>
      <c r="U1020" s="381"/>
      <c r="V1020" s="382">
        <v>312.2</v>
      </c>
      <c r="W1020" s="382">
        <v>0</v>
      </c>
      <c r="X1020" s="381">
        <v>0.13</v>
      </c>
      <c r="Y1020" s="381">
        <v>0.13</v>
      </c>
      <c r="Z1020" s="381">
        <v>8.3333333333333344E-5</v>
      </c>
      <c r="AA1020" s="381">
        <v>0</v>
      </c>
      <c r="AB1020" s="381">
        <v>0</v>
      </c>
      <c r="AC1020" s="382">
        <v>0.13008333333333333</v>
      </c>
      <c r="AD1020" s="382">
        <v>0</v>
      </c>
      <c r="AE1020" s="381" t="s">
        <v>168</v>
      </c>
    </row>
    <row r="1021" spans="1:31" ht="15" customHeight="1" x14ac:dyDescent="0.25">
      <c r="A1021" s="20" t="s">
        <v>156</v>
      </c>
      <c r="B1021" s="20" t="s">
        <v>1450</v>
      </c>
      <c r="C1021" s="20" t="s">
        <v>1451</v>
      </c>
      <c r="D1021" s="378" t="s">
        <v>1569</v>
      </c>
      <c r="E1021" s="379">
        <v>45038</v>
      </c>
      <c r="F1021" s="379">
        <v>46865</v>
      </c>
      <c r="G1021" s="383" t="s">
        <v>193</v>
      </c>
      <c r="H1021" s="20" t="s">
        <v>229</v>
      </c>
      <c r="I1021" s="20" t="s">
        <v>162</v>
      </c>
      <c r="J1021" s="20" t="s">
        <v>163</v>
      </c>
      <c r="K1021" s="378" t="s">
        <v>230</v>
      </c>
      <c r="L1021" s="20" t="s">
        <v>165</v>
      </c>
      <c r="M1021" s="380">
        <v>2400</v>
      </c>
      <c r="N1021" s="380"/>
      <c r="O1021" s="380"/>
      <c r="P1021" s="380"/>
      <c r="Q1021" s="381" t="s">
        <v>1543</v>
      </c>
      <c r="R1021" s="381" t="s">
        <v>1543</v>
      </c>
      <c r="S1021" s="381" t="s">
        <v>566</v>
      </c>
      <c r="T1021" s="381"/>
      <c r="U1021" s="381"/>
      <c r="V1021" s="382">
        <v>312.2</v>
      </c>
      <c r="W1021" s="382">
        <v>0</v>
      </c>
      <c r="X1021" s="381">
        <v>0.13</v>
      </c>
      <c r="Y1021" s="381">
        <v>0.13</v>
      </c>
      <c r="Z1021" s="381">
        <v>8.3333333333333344E-5</v>
      </c>
      <c r="AA1021" s="381">
        <v>0</v>
      </c>
      <c r="AB1021" s="381">
        <v>0</v>
      </c>
      <c r="AC1021" s="382">
        <v>0.13008333333333333</v>
      </c>
      <c r="AD1021" s="382">
        <v>0</v>
      </c>
      <c r="AE1021" s="381" t="s">
        <v>168</v>
      </c>
    </row>
    <row r="1022" spans="1:31" ht="15" customHeight="1" x14ac:dyDescent="0.25">
      <c r="A1022" s="20" t="s">
        <v>156</v>
      </c>
      <c r="B1022" s="20" t="s">
        <v>1450</v>
      </c>
      <c r="C1022" s="20" t="s">
        <v>1451</v>
      </c>
      <c r="D1022" s="378" t="s">
        <v>1570</v>
      </c>
      <c r="E1022" s="379">
        <v>45038</v>
      </c>
      <c r="F1022" s="379">
        <v>46865</v>
      </c>
      <c r="G1022" s="383" t="s">
        <v>193</v>
      </c>
      <c r="H1022" s="20" t="s">
        <v>229</v>
      </c>
      <c r="I1022" s="20" t="s">
        <v>162</v>
      </c>
      <c r="J1022" s="20" t="s">
        <v>163</v>
      </c>
      <c r="K1022" s="378" t="s">
        <v>230</v>
      </c>
      <c r="L1022" s="20" t="s">
        <v>165</v>
      </c>
      <c r="M1022" s="380">
        <v>2400</v>
      </c>
      <c r="N1022" s="380"/>
      <c r="O1022" s="380"/>
      <c r="P1022" s="380"/>
      <c r="Q1022" s="381" t="s">
        <v>1543</v>
      </c>
      <c r="R1022" s="381" t="s">
        <v>1543</v>
      </c>
      <c r="S1022" s="381" t="s">
        <v>566</v>
      </c>
      <c r="T1022" s="381"/>
      <c r="U1022" s="381"/>
      <c r="V1022" s="382">
        <v>312.2</v>
      </c>
      <c r="W1022" s="382">
        <v>0</v>
      </c>
      <c r="X1022" s="381">
        <v>0.13</v>
      </c>
      <c r="Y1022" s="381">
        <v>0.13</v>
      </c>
      <c r="Z1022" s="381">
        <v>8.3333333333333344E-5</v>
      </c>
      <c r="AA1022" s="381">
        <v>0</v>
      </c>
      <c r="AB1022" s="381">
        <v>0</v>
      </c>
      <c r="AC1022" s="382">
        <v>0.13008333333333333</v>
      </c>
      <c r="AD1022" s="382">
        <v>0</v>
      </c>
      <c r="AE1022" s="381" t="s">
        <v>168</v>
      </c>
    </row>
    <row r="1023" spans="1:31" ht="15" customHeight="1" x14ac:dyDescent="0.25">
      <c r="A1023" s="20" t="s">
        <v>156</v>
      </c>
      <c r="B1023" s="20" t="s">
        <v>1450</v>
      </c>
      <c r="C1023" s="20" t="s">
        <v>1451</v>
      </c>
      <c r="D1023" s="378" t="s">
        <v>1571</v>
      </c>
      <c r="E1023" s="379">
        <v>45038</v>
      </c>
      <c r="F1023" s="379">
        <v>46865</v>
      </c>
      <c r="G1023" s="383" t="s">
        <v>193</v>
      </c>
      <c r="H1023" s="20" t="s">
        <v>229</v>
      </c>
      <c r="I1023" s="20" t="s">
        <v>162</v>
      </c>
      <c r="J1023" s="20" t="s">
        <v>163</v>
      </c>
      <c r="K1023" s="378" t="s">
        <v>230</v>
      </c>
      <c r="L1023" s="20" t="s">
        <v>165</v>
      </c>
      <c r="M1023" s="380">
        <v>2400</v>
      </c>
      <c r="N1023" s="380"/>
      <c r="O1023" s="380"/>
      <c r="P1023" s="380"/>
      <c r="Q1023" s="381" t="s">
        <v>1543</v>
      </c>
      <c r="R1023" s="381" t="s">
        <v>1543</v>
      </c>
      <c r="S1023" s="381" t="s">
        <v>566</v>
      </c>
      <c r="T1023" s="381"/>
      <c r="U1023" s="381"/>
      <c r="V1023" s="382">
        <v>312.2</v>
      </c>
      <c r="W1023" s="382">
        <v>0</v>
      </c>
      <c r="X1023" s="381">
        <v>0.13</v>
      </c>
      <c r="Y1023" s="381">
        <v>0.13</v>
      </c>
      <c r="Z1023" s="381">
        <v>8.3333333333333344E-5</v>
      </c>
      <c r="AA1023" s="381">
        <v>0</v>
      </c>
      <c r="AB1023" s="381">
        <v>0</v>
      </c>
      <c r="AC1023" s="382">
        <v>0.13008333333333333</v>
      </c>
      <c r="AD1023" s="382">
        <v>0</v>
      </c>
      <c r="AE1023" s="381" t="s">
        <v>168</v>
      </c>
    </row>
    <row r="1024" spans="1:31" ht="15" customHeight="1" x14ac:dyDescent="0.25">
      <c r="A1024" s="20" t="s">
        <v>156</v>
      </c>
      <c r="B1024" s="20" t="s">
        <v>1450</v>
      </c>
      <c r="C1024" s="20" t="s">
        <v>1451</v>
      </c>
      <c r="D1024" s="378" t="s">
        <v>1572</v>
      </c>
      <c r="E1024" s="379">
        <v>44581</v>
      </c>
      <c r="F1024" s="379">
        <v>46407</v>
      </c>
      <c r="G1024" s="378" t="s">
        <v>237</v>
      </c>
      <c r="H1024" s="20" t="s">
        <v>238</v>
      </c>
      <c r="I1024" s="20" t="s">
        <v>162</v>
      </c>
      <c r="J1024" s="20" t="s">
        <v>163</v>
      </c>
      <c r="K1024" s="378" t="s">
        <v>239</v>
      </c>
      <c r="L1024" s="20" t="s">
        <v>165</v>
      </c>
      <c r="M1024" s="380">
        <v>2400</v>
      </c>
      <c r="N1024" s="380"/>
      <c r="O1024" s="380"/>
      <c r="P1024" s="380"/>
      <c r="Q1024" s="381" t="s">
        <v>1573</v>
      </c>
      <c r="R1024" s="381" t="s">
        <v>1573</v>
      </c>
      <c r="S1024" s="381" t="s">
        <v>563</v>
      </c>
      <c r="T1024" s="381"/>
      <c r="U1024" s="381"/>
      <c r="V1024" s="382">
        <v>301.19</v>
      </c>
      <c r="W1024" s="382">
        <v>0</v>
      </c>
      <c r="X1024" s="381">
        <v>0.12541666666666668</v>
      </c>
      <c r="Y1024" s="381">
        <v>0.12541666666666668</v>
      </c>
      <c r="Z1024" s="381">
        <v>7.9166666666666662E-5</v>
      </c>
      <c r="AA1024" s="381">
        <v>0</v>
      </c>
      <c r="AB1024" s="381">
        <v>0</v>
      </c>
      <c r="AC1024" s="382">
        <v>0.12549583333333333</v>
      </c>
      <c r="AD1024" s="382">
        <v>0</v>
      </c>
      <c r="AE1024" s="381" t="s">
        <v>168</v>
      </c>
    </row>
    <row r="1025" spans="1:31" ht="15" customHeight="1" x14ac:dyDescent="0.25">
      <c r="A1025" s="20" t="s">
        <v>156</v>
      </c>
      <c r="B1025" s="20" t="s">
        <v>1450</v>
      </c>
      <c r="C1025" s="20" t="s">
        <v>1451</v>
      </c>
      <c r="D1025" s="378" t="s">
        <v>1574</v>
      </c>
      <c r="E1025" s="379">
        <v>44294</v>
      </c>
      <c r="F1025" s="379">
        <v>46120</v>
      </c>
      <c r="G1025" s="378" t="s">
        <v>219</v>
      </c>
      <c r="H1025" s="20" t="s">
        <v>220</v>
      </c>
      <c r="I1025" s="20" t="s">
        <v>162</v>
      </c>
      <c r="J1025" s="20" t="s">
        <v>163</v>
      </c>
      <c r="K1025" s="378" t="s">
        <v>221</v>
      </c>
      <c r="L1025" s="20" t="s">
        <v>165</v>
      </c>
      <c r="M1025" s="380">
        <v>2400</v>
      </c>
      <c r="N1025" s="380"/>
      <c r="O1025" s="380"/>
      <c r="P1025" s="380"/>
      <c r="Q1025" s="381" t="s">
        <v>588</v>
      </c>
      <c r="R1025" s="380" t="s">
        <v>588</v>
      </c>
      <c r="S1025" s="381" t="s">
        <v>266</v>
      </c>
      <c r="T1025" s="381"/>
      <c r="U1025" s="381"/>
      <c r="V1025" s="382">
        <v>206.13</v>
      </c>
      <c r="W1025" s="382">
        <v>0</v>
      </c>
      <c r="X1025" s="381">
        <v>8.5833333333333331E-2</v>
      </c>
      <c r="Y1025" s="381">
        <v>8.5833333333333331E-2</v>
      </c>
      <c r="Z1025" s="381">
        <v>5.4166666666666671E-5</v>
      </c>
      <c r="AA1025" s="381">
        <v>0</v>
      </c>
      <c r="AB1025" s="381">
        <v>0</v>
      </c>
      <c r="AC1025" s="382">
        <v>8.5887499999999992E-2</v>
      </c>
      <c r="AD1025" s="382">
        <v>0</v>
      </c>
      <c r="AE1025" s="381" t="s">
        <v>168</v>
      </c>
    </row>
    <row r="1026" spans="1:31" ht="15" customHeight="1" x14ac:dyDescent="0.25">
      <c r="A1026" s="20" t="s">
        <v>156</v>
      </c>
      <c r="B1026" s="20" t="s">
        <v>1450</v>
      </c>
      <c r="C1026" s="20" t="s">
        <v>1451</v>
      </c>
      <c r="D1026" s="378" t="s">
        <v>1575</v>
      </c>
      <c r="E1026" s="379">
        <v>44581</v>
      </c>
      <c r="F1026" s="379">
        <v>46407</v>
      </c>
      <c r="G1026" s="378" t="s">
        <v>237</v>
      </c>
      <c r="H1026" s="20" t="s">
        <v>238</v>
      </c>
      <c r="I1026" s="20" t="s">
        <v>162</v>
      </c>
      <c r="J1026" s="20" t="s">
        <v>163</v>
      </c>
      <c r="K1026" s="378" t="s">
        <v>239</v>
      </c>
      <c r="L1026" s="20" t="s">
        <v>165</v>
      </c>
      <c r="M1026" s="380">
        <v>2400</v>
      </c>
      <c r="N1026" s="380"/>
      <c r="O1026" s="380"/>
      <c r="P1026" s="380"/>
      <c r="Q1026" s="381" t="s">
        <v>1498</v>
      </c>
      <c r="R1026" s="381" t="s">
        <v>1498</v>
      </c>
      <c r="S1026" s="381" t="s">
        <v>206</v>
      </c>
      <c r="T1026" s="381"/>
      <c r="U1026" s="381"/>
      <c r="V1026" s="382">
        <v>287.18</v>
      </c>
      <c r="W1026" s="382">
        <v>0</v>
      </c>
      <c r="X1026" s="381">
        <v>0.11958333333333333</v>
      </c>
      <c r="Y1026" s="381">
        <v>0.11958333333333333</v>
      </c>
      <c r="Z1026" s="381">
        <v>7.4999999999999993E-5</v>
      </c>
      <c r="AA1026" s="381">
        <v>0</v>
      </c>
      <c r="AB1026" s="381">
        <v>0</v>
      </c>
      <c r="AC1026" s="382">
        <v>0.11965833333333334</v>
      </c>
      <c r="AD1026" s="382">
        <v>0</v>
      </c>
      <c r="AE1026" s="381" t="s">
        <v>168</v>
      </c>
    </row>
    <row r="1027" spans="1:31" ht="15" customHeight="1" x14ac:dyDescent="0.25">
      <c r="A1027" s="20" t="s">
        <v>156</v>
      </c>
      <c r="B1027" s="20" t="s">
        <v>1450</v>
      </c>
      <c r="C1027" s="20" t="s">
        <v>1451</v>
      </c>
      <c r="D1027" s="378" t="s">
        <v>1576</v>
      </c>
      <c r="E1027" s="379">
        <v>45016</v>
      </c>
      <c r="F1027" s="379">
        <v>46843</v>
      </c>
      <c r="G1027" s="378" t="s">
        <v>193</v>
      </c>
      <c r="H1027" s="20" t="s">
        <v>194</v>
      </c>
      <c r="I1027" s="20" t="s">
        <v>162</v>
      </c>
      <c r="J1027" s="20" t="s">
        <v>163</v>
      </c>
      <c r="K1027" s="378" t="s">
        <v>195</v>
      </c>
      <c r="L1027" s="20" t="s">
        <v>165</v>
      </c>
      <c r="M1027" s="380">
        <v>2400</v>
      </c>
      <c r="N1027" s="380"/>
      <c r="O1027" s="380"/>
      <c r="P1027" s="380"/>
      <c r="Q1027" s="381">
        <v>336</v>
      </c>
      <c r="R1027" s="381">
        <v>336</v>
      </c>
      <c r="S1027" s="381">
        <v>0.20899999999999999</v>
      </c>
      <c r="T1027" s="381"/>
      <c r="U1027" s="381"/>
      <c r="V1027" s="382">
        <v>336.209</v>
      </c>
      <c r="W1027" s="382">
        <v>0</v>
      </c>
      <c r="X1027" s="381">
        <v>0.14000000000000001</v>
      </c>
      <c r="Y1027" s="381">
        <v>0.14000000000000001</v>
      </c>
      <c r="Z1027" s="381">
        <v>8.7083333333333327E-5</v>
      </c>
      <c r="AA1027" s="381">
        <v>0</v>
      </c>
      <c r="AB1027" s="381">
        <v>0</v>
      </c>
      <c r="AC1027" s="382">
        <v>0.14008708333333333</v>
      </c>
      <c r="AD1027" s="382">
        <v>0</v>
      </c>
      <c r="AE1027" s="381" t="s">
        <v>168</v>
      </c>
    </row>
    <row r="1028" spans="1:31" ht="15" customHeight="1" x14ac:dyDescent="0.25">
      <c r="A1028" s="20" t="s">
        <v>156</v>
      </c>
      <c r="B1028" s="20" t="s">
        <v>1450</v>
      </c>
      <c r="C1028" s="20" t="s">
        <v>1451</v>
      </c>
      <c r="D1028" s="378" t="s">
        <v>1577</v>
      </c>
      <c r="E1028" s="379">
        <v>45016</v>
      </c>
      <c r="F1028" s="379">
        <v>46843</v>
      </c>
      <c r="G1028" s="378" t="s">
        <v>215</v>
      </c>
      <c r="H1028" s="20" t="s">
        <v>216</v>
      </c>
      <c r="I1028" s="20" t="s">
        <v>162</v>
      </c>
      <c r="J1028" s="20" t="s">
        <v>163</v>
      </c>
      <c r="K1028" s="378" t="s">
        <v>217</v>
      </c>
      <c r="L1028" s="20" t="s">
        <v>165</v>
      </c>
      <c r="M1028" s="380">
        <v>2400</v>
      </c>
      <c r="N1028" s="380"/>
      <c r="O1028" s="380"/>
      <c r="P1028" s="380"/>
      <c r="Q1028" s="381">
        <v>448</v>
      </c>
      <c r="R1028" s="381">
        <v>448</v>
      </c>
      <c r="S1028" s="381">
        <v>0.27800000000000002</v>
      </c>
      <c r="T1028" s="381"/>
      <c r="U1028" s="381"/>
      <c r="V1028" s="382">
        <v>448.27800000000002</v>
      </c>
      <c r="W1028" s="382">
        <v>0</v>
      </c>
      <c r="X1028" s="381">
        <v>0.18666666666666668</v>
      </c>
      <c r="Y1028" s="381">
        <v>0.18666666666666668</v>
      </c>
      <c r="Z1028" s="381">
        <v>1.1583333333333335E-4</v>
      </c>
      <c r="AA1028" s="381">
        <v>0</v>
      </c>
      <c r="AB1028" s="381">
        <v>0</v>
      </c>
      <c r="AC1028" s="382">
        <v>0.18678250000000002</v>
      </c>
      <c r="AD1028" s="382">
        <v>0</v>
      </c>
      <c r="AE1028" s="381" t="s">
        <v>168</v>
      </c>
    </row>
    <row r="1029" spans="1:31" ht="15" customHeight="1" x14ac:dyDescent="0.25">
      <c r="A1029" s="20" t="s">
        <v>156</v>
      </c>
      <c r="B1029" s="20" t="s">
        <v>1450</v>
      </c>
      <c r="C1029" s="20" t="s">
        <v>1451</v>
      </c>
      <c r="D1029" s="378" t="s">
        <v>1578</v>
      </c>
      <c r="E1029" s="379">
        <v>45038</v>
      </c>
      <c r="F1029" s="379">
        <v>46865</v>
      </c>
      <c r="G1029" s="383" t="s">
        <v>193</v>
      </c>
      <c r="H1029" s="20" t="s">
        <v>229</v>
      </c>
      <c r="I1029" s="20" t="s">
        <v>162</v>
      </c>
      <c r="J1029" s="20" t="s">
        <v>163</v>
      </c>
      <c r="K1029" s="378" t="s">
        <v>230</v>
      </c>
      <c r="L1029" s="20" t="s">
        <v>165</v>
      </c>
      <c r="M1029" s="380">
        <v>2400</v>
      </c>
      <c r="N1029" s="380"/>
      <c r="O1029" s="380"/>
      <c r="P1029" s="380"/>
      <c r="Q1029" s="381" t="s">
        <v>1579</v>
      </c>
      <c r="R1029" s="381" t="s">
        <v>1579</v>
      </c>
      <c r="S1029" s="381" t="s">
        <v>563</v>
      </c>
      <c r="T1029" s="381"/>
      <c r="U1029" s="381"/>
      <c r="V1029" s="382">
        <v>308.19</v>
      </c>
      <c r="W1029" s="382">
        <v>0</v>
      </c>
      <c r="X1029" s="381">
        <v>0.12833333333333333</v>
      </c>
      <c r="Y1029" s="381">
        <v>0.12833333333333333</v>
      </c>
      <c r="Z1029" s="381">
        <v>7.9166666666666662E-5</v>
      </c>
      <c r="AA1029" s="381">
        <v>0</v>
      </c>
      <c r="AB1029" s="381">
        <v>0</v>
      </c>
      <c r="AC1029" s="382">
        <v>0.12841249999999998</v>
      </c>
      <c r="AD1029" s="382">
        <v>0</v>
      </c>
      <c r="AE1029" s="381" t="s">
        <v>168</v>
      </c>
    </row>
    <row r="1030" spans="1:31" ht="15" customHeight="1" x14ac:dyDescent="0.25">
      <c r="A1030" s="20" t="s">
        <v>156</v>
      </c>
      <c r="B1030" s="20" t="s">
        <v>1450</v>
      </c>
      <c r="C1030" s="20" t="s">
        <v>1451</v>
      </c>
      <c r="D1030" s="378" t="s">
        <v>1580</v>
      </c>
      <c r="E1030" s="379">
        <v>45016</v>
      </c>
      <c r="F1030" s="379">
        <v>46843</v>
      </c>
      <c r="G1030" s="378" t="s">
        <v>179</v>
      </c>
      <c r="H1030" s="20" t="s">
        <v>202</v>
      </c>
      <c r="I1030" s="20" t="s">
        <v>162</v>
      </c>
      <c r="J1030" s="20" t="s">
        <v>163</v>
      </c>
      <c r="K1030" s="378" t="s">
        <v>203</v>
      </c>
      <c r="L1030" s="20" t="s">
        <v>165</v>
      </c>
      <c r="M1030" s="380">
        <v>2400</v>
      </c>
      <c r="N1030" s="380"/>
      <c r="O1030" s="380"/>
      <c r="P1030" s="380"/>
      <c r="Q1030" s="381">
        <v>318</v>
      </c>
      <c r="R1030" s="381">
        <v>318</v>
      </c>
      <c r="S1030" s="381">
        <v>0.19</v>
      </c>
      <c r="T1030" s="381"/>
      <c r="U1030" s="381"/>
      <c r="V1030" s="382">
        <v>318.19</v>
      </c>
      <c r="W1030" s="382">
        <v>0</v>
      </c>
      <c r="X1030" s="381">
        <v>0.13250000000000001</v>
      </c>
      <c r="Y1030" s="381">
        <v>0.13250000000000001</v>
      </c>
      <c r="Z1030" s="381">
        <v>7.9166666666666662E-5</v>
      </c>
      <c r="AA1030" s="381">
        <v>0</v>
      </c>
      <c r="AB1030" s="381">
        <v>0</v>
      </c>
      <c r="AC1030" s="382">
        <v>0.13257916666666666</v>
      </c>
      <c r="AD1030" s="382">
        <v>0</v>
      </c>
      <c r="AE1030" s="381" t="s">
        <v>168</v>
      </c>
    </row>
    <row r="1031" spans="1:31" ht="15" customHeight="1" x14ac:dyDescent="0.25">
      <c r="A1031" s="20" t="s">
        <v>156</v>
      </c>
      <c r="B1031" s="20" t="s">
        <v>1450</v>
      </c>
      <c r="C1031" s="20" t="s">
        <v>1451</v>
      </c>
      <c r="D1031" s="378" t="s">
        <v>1581</v>
      </c>
      <c r="E1031" s="379">
        <v>44581</v>
      </c>
      <c r="F1031" s="379">
        <v>46407</v>
      </c>
      <c r="G1031" s="378" t="s">
        <v>237</v>
      </c>
      <c r="H1031" s="20" t="s">
        <v>238</v>
      </c>
      <c r="I1031" s="20" t="s">
        <v>162</v>
      </c>
      <c r="J1031" s="20" t="s">
        <v>163</v>
      </c>
      <c r="K1031" s="378" t="s">
        <v>239</v>
      </c>
      <c r="L1031" s="20" t="s">
        <v>165</v>
      </c>
      <c r="M1031" s="380">
        <v>2400</v>
      </c>
      <c r="N1031" s="380"/>
      <c r="O1031" s="380"/>
      <c r="P1031" s="380"/>
      <c r="Q1031" s="381" t="s">
        <v>1582</v>
      </c>
      <c r="R1031" s="381" t="s">
        <v>1582</v>
      </c>
      <c r="S1031" s="381" t="s">
        <v>211</v>
      </c>
      <c r="T1031" s="381"/>
      <c r="U1031" s="381"/>
      <c r="V1031" s="382">
        <v>289.17</v>
      </c>
      <c r="W1031" s="382">
        <v>0</v>
      </c>
      <c r="X1031" s="381">
        <v>0.12041666666666667</v>
      </c>
      <c r="Y1031" s="381">
        <v>0.12041666666666667</v>
      </c>
      <c r="Z1031" s="381">
        <v>7.0833333333333338E-5</v>
      </c>
      <c r="AA1031" s="381">
        <v>0</v>
      </c>
      <c r="AB1031" s="381">
        <v>0</v>
      </c>
      <c r="AC1031" s="382">
        <v>0.12048750000000001</v>
      </c>
      <c r="AD1031" s="382">
        <v>0</v>
      </c>
      <c r="AE1031" s="381" t="s">
        <v>168</v>
      </c>
    </row>
    <row r="1032" spans="1:31" ht="15" customHeight="1" x14ac:dyDescent="0.25">
      <c r="A1032" s="20" t="s">
        <v>156</v>
      </c>
      <c r="B1032" s="20" t="s">
        <v>1450</v>
      </c>
      <c r="C1032" s="20" t="s">
        <v>1451</v>
      </c>
      <c r="D1032" s="378" t="s">
        <v>1583</v>
      </c>
      <c r="E1032" s="379">
        <v>44581</v>
      </c>
      <c r="F1032" s="379">
        <v>46407</v>
      </c>
      <c r="G1032" s="378" t="s">
        <v>237</v>
      </c>
      <c r="H1032" s="20" t="s">
        <v>238</v>
      </c>
      <c r="I1032" s="20" t="s">
        <v>162</v>
      </c>
      <c r="J1032" s="20" t="s">
        <v>163</v>
      </c>
      <c r="K1032" s="378" t="s">
        <v>239</v>
      </c>
      <c r="L1032" s="20" t="s">
        <v>165</v>
      </c>
      <c r="M1032" s="380">
        <v>2400</v>
      </c>
      <c r="N1032" s="380"/>
      <c r="O1032" s="380"/>
      <c r="P1032" s="380"/>
      <c r="Q1032" s="381" t="s">
        <v>1582</v>
      </c>
      <c r="R1032" s="381" t="s">
        <v>1582</v>
      </c>
      <c r="S1032" s="381" t="s">
        <v>189</v>
      </c>
      <c r="T1032" s="381"/>
      <c r="U1032" s="381"/>
      <c r="V1032" s="382">
        <v>289.16000000000003</v>
      </c>
      <c r="W1032" s="382">
        <v>0</v>
      </c>
      <c r="X1032" s="381">
        <v>0.12041666666666667</v>
      </c>
      <c r="Y1032" s="381">
        <v>0.12041666666666667</v>
      </c>
      <c r="Z1032" s="381">
        <v>6.666666666666667E-5</v>
      </c>
      <c r="AA1032" s="381">
        <v>0</v>
      </c>
      <c r="AB1032" s="381">
        <v>0</v>
      </c>
      <c r="AC1032" s="382">
        <v>0.12048333333333335</v>
      </c>
      <c r="AD1032" s="382">
        <v>0</v>
      </c>
      <c r="AE1032" s="381" t="s">
        <v>168</v>
      </c>
    </row>
    <row r="1033" spans="1:31" ht="15" customHeight="1" x14ac:dyDescent="0.25">
      <c r="A1033" s="20" t="s">
        <v>156</v>
      </c>
      <c r="B1033" s="20" t="s">
        <v>1450</v>
      </c>
      <c r="C1033" s="20" t="s">
        <v>1451</v>
      </c>
      <c r="D1033" s="378" t="s">
        <v>1584</v>
      </c>
      <c r="E1033" s="379">
        <v>44573</v>
      </c>
      <c r="F1033" s="379">
        <v>46656</v>
      </c>
      <c r="G1033" s="378" t="s">
        <v>179</v>
      </c>
      <c r="H1033" s="20" t="s">
        <v>180</v>
      </c>
      <c r="I1033" s="20" t="s">
        <v>162</v>
      </c>
      <c r="J1033" s="20" t="s">
        <v>163</v>
      </c>
      <c r="K1033" s="378" t="s">
        <v>181</v>
      </c>
      <c r="L1033" s="20" t="s">
        <v>165</v>
      </c>
      <c r="M1033" s="380">
        <v>2400</v>
      </c>
      <c r="N1033" s="380"/>
      <c r="O1033" s="380"/>
      <c r="P1033" s="380"/>
      <c r="Q1033" s="381" t="s">
        <v>1515</v>
      </c>
      <c r="R1033" s="381" t="s">
        <v>1515</v>
      </c>
      <c r="S1033" s="381" t="s">
        <v>266</v>
      </c>
      <c r="T1033" s="381"/>
      <c r="U1033" s="381"/>
      <c r="V1033" s="382">
        <v>241.13</v>
      </c>
      <c r="W1033" s="382">
        <v>0</v>
      </c>
      <c r="X1033" s="381">
        <v>0.10041666666666667</v>
      </c>
      <c r="Y1033" s="381">
        <v>0.10041666666666667</v>
      </c>
      <c r="Z1033" s="381">
        <v>5.4166666666666671E-5</v>
      </c>
      <c r="AA1033" s="381">
        <v>0</v>
      </c>
      <c r="AB1033" s="381">
        <v>0</v>
      </c>
      <c r="AC1033" s="382">
        <v>0.10047083333333333</v>
      </c>
      <c r="AD1033" s="382">
        <v>0</v>
      </c>
      <c r="AE1033" s="381" t="s">
        <v>168</v>
      </c>
    </row>
    <row r="1034" spans="1:31" ht="15" customHeight="1" x14ac:dyDescent="0.25">
      <c r="A1034" s="20" t="s">
        <v>156</v>
      </c>
      <c r="B1034" s="20" t="s">
        <v>1450</v>
      </c>
      <c r="C1034" s="20" t="s">
        <v>1451</v>
      </c>
      <c r="D1034" s="378" t="s">
        <v>1585</v>
      </c>
      <c r="E1034" s="379">
        <v>44573</v>
      </c>
      <c r="F1034" s="379">
        <v>46656</v>
      </c>
      <c r="G1034" s="378" t="s">
        <v>179</v>
      </c>
      <c r="H1034" s="20" t="s">
        <v>180</v>
      </c>
      <c r="I1034" s="20" t="s">
        <v>162</v>
      </c>
      <c r="J1034" s="20" t="s">
        <v>163</v>
      </c>
      <c r="K1034" s="378" t="s">
        <v>181</v>
      </c>
      <c r="L1034" s="20" t="s">
        <v>165</v>
      </c>
      <c r="M1034" s="380">
        <v>2400</v>
      </c>
      <c r="N1034" s="380"/>
      <c r="O1034" s="380"/>
      <c r="P1034" s="380"/>
      <c r="Q1034" s="381" t="s">
        <v>1515</v>
      </c>
      <c r="R1034" s="381" t="s">
        <v>1515</v>
      </c>
      <c r="S1034" s="381" t="s">
        <v>266</v>
      </c>
      <c r="T1034" s="381"/>
      <c r="U1034" s="381"/>
      <c r="V1034" s="382">
        <v>241.13</v>
      </c>
      <c r="W1034" s="382">
        <v>0</v>
      </c>
      <c r="X1034" s="381">
        <v>0.10041666666666667</v>
      </c>
      <c r="Y1034" s="381">
        <v>0.10041666666666667</v>
      </c>
      <c r="Z1034" s="381">
        <v>5.4166666666666671E-5</v>
      </c>
      <c r="AA1034" s="381">
        <v>0</v>
      </c>
      <c r="AB1034" s="381">
        <v>0</v>
      </c>
      <c r="AC1034" s="382">
        <v>0.10047083333333333</v>
      </c>
      <c r="AD1034" s="382">
        <v>0</v>
      </c>
      <c r="AE1034" s="381" t="s">
        <v>168</v>
      </c>
    </row>
    <row r="1035" spans="1:31" ht="15" customHeight="1" x14ac:dyDescent="0.25">
      <c r="A1035" s="20" t="s">
        <v>156</v>
      </c>
      <c r="B1035" s="20" t="s">
        <v>1450</v>
      </c>
      <c r="C1035" s="20" t="s">
        <v>1451</v>
      </c>
      <c r="D1035" s="378" t="s">
        <v>1586</v>
      </c>
      <c r="E1035" s="379">
        <v>45016</v>
      </c>
      <c r="F1035" s="379">
        <v>46843</v>
      </c>
      <c r="G1035" s="378" t="s">
        <v>215</v>
      </c>
      <c r="H1035" s="20" t="s">
        <v>216</v>
      </c>
      <c r="I1035" s="20" t="s">
        <v>162</v>
      </c>
      <c r="J1035" s="20" t="s">
        <v>163</v>
      </c>
      <c r="K1035" s="378" t="s">
        <v>217</v>
      </c>
      <c r="L1035" s="20" t="s">
        <v>165</v>
      </c>
      <c r="M1035" s="380">
        <v>2400</v>
      </c>
      <c r="N1035" s="380"/>
      <c r="O1035" s="380"/>
      <c r="P1035" s="380"/>
      <c r="Q1035" s="381">
        <v>406</v>
      </c>
      <c r="R1035" s="381">
        <v>406</v>
      </c>
      <c r="S1035" s="381">
        <v>0.159</v>
      </c>
      <c r="T1035" s="381"/>
      <c r="U1035" s="381"/>
      <c r="V1035" s="382">
        <v>406.15899999999999</v>
      </c>
      <c r="W1035" s="382">
        <v>0</v>
      </c>
      <c r="X1035" s="381">
        <v>0.16916666666666666</v>
      </c>
      <c r="Y1035" s="381">
        <v>0.16916666666666666</v>
      </c>
      <c r="Z1035" s="381">
        <v>6.6249999999999998E-5</v>
      </c>
      <c r="AA1035" s="381">
        <v>0</v>
      </c>
      <c r="AB1035" s="381">
        <v>0</v>
      </c>
      <c r="AC1035" s="382">
        <v>0.16923291666666665</v>
      </c>
      <c r="AD1035" s="382">
        <v>0</v>
      </c>
      <c r="AE1035" s="381" t="s">
        <v>168</v>
      </c>
    </row>
    <row r="1036" spans="1:31" ht="15" customHeight="1" x14ac:dyDescent="0.25">
      <c r="A1036" s="20" t="s">
        <v>156</v>
      </c>
      <c r="B1036" s="20" t="s">
        <v>1450</v>
      </c>
      <c r="C1036" s="20" t="s">
        <v>1451</v>
      </c>
      <c r="D1036" s="378" t="s">
        <v>1587</v>
      </c>
      <c r="E1036" s="379">
        <v>45016</v>
      </c>
      <c r="F1036" s="379">
        <v>46843</v>
      </c>
      <c r="G1036" s="378" t="s">
        <v>215</v>
      </c>
      <c r="H1036" s="20" t="s">
        <v>216</v>
      </c>
      <c r="I1036" s="20" t="s">
        <v>162</v>
      </c>
      <c r="J1036" s="20" t="s">
        <v>163</v>
      </c>
      <c r="K1036" s="378" t="s">
        <v>217</v>
      </c>
      <c r="L1036" s="20" t="s">
        <v>165</v>
      </c>
      <c r="M1036" s="380">
        <v>2400</v>
      </c>
      <c r="N1036" s="380"/>
      <c r="O1036" s="380"/>
      <c r="P1036" s="380"/>
      <c r="Q1036" s="381">
        <v>545</v>
      </c>
      <c r="R1036" s="381">
        <v>545</v>
      </c>
      <c r="S1036" s="381">
        <v>0.20300000000000001</v>
      </c>
      <c r="T1036" s="381"/>
      <c r="U1036" s="381"/>
      <c r="V1036" s="382">
        <v>545.20299999999997</v>
      </c>
      <c r="W1036" s="382">
        <v>0</v>
      </c>
      <c r="X1036" s="381">
        <v>0.22708333333333333</v>
      </c>
      <c r="Y1036" s="381">
        <v>0.22708333333333333</v>
      </c>
      <c r="Z1036" s="381">
        <v>8.4583333333333334E-5</v>
      </c>
      <c r="AA1036" s="381">
        <v>0</v>
      </c>
      <c r="AB1036" s="381">
        <v>0</v>
      </c>
      <c r="AC1036" s="382">
        <v>0.22716791666666666</v>
      </c>
      <c r="AD1036" s="382">
        <v>0</v>
      </c>
      <c r="AE1036" s="381" t="s">
        <v>168</v>
      </c>
    </row>
    <row r="1037" spans="1:31" ht="15" customHeight="1" x14ac:dyDescent="0.25">
      <c r="A1037" s="20" t="s">
        <v>156</v>
      </c>
      <c r="B1037" s="20" t="s">
        <v>1588</v>
      </c>
      <c r="C1037" s="20" t="s">
        <v>1451</v>
      </c>
      <c r="D1037" s="378" t="s">
        <v>1589</v>
      </c>
      <c r="E1037" s="379">
        <v>45016</v>
      </c>
      <c r="F1037" s="379">
        <v>46843</v>
      </c>
      <c r="G1037" s="378" t="s">
        <v>281</v>
      </c>
      <c r="H1037" s="20" t="s">
        <v>282</v>
      </c>
      <c r="I1037" s="20" t="s">
        <v>162</v>
      </c>
      <c r="J1037" s="20" t="s">
        <v>163</v>
      </c>
      <c r="K1037" s="378" t="s">
        <v>283</v>
      </c>
      <c r="L1037" s="20" t="s">
        <v>165</v>
      </c>
      <c r="M1037" s="380">
        <v>2400</v>
      </c>
      <c r="N1037" s="380"/>
      <c r="O1037" s="380"/>
      <c r="P1037" s="380"/>
      <c r="Q1037" s="381">
        <v>356.58</v>
      </c>
      <c r="R1037" s="381">
        <v>356.61</v>
      </c>
      <c r="S1037" s="381">
        <v>-4.0800000000000003E-2</v>
      </c>
      <c r="T1037" s="381"/>
      <c r="U1037" s="381"/>
      <c r="V1037" s="382">
        <v>356.61</v>
      </c>
      <c r="W1037" s="382">
        <v>0</v>
      </c>
      <c r="X1037" s="381">
        <v>0.14857499999999998</v>
      </c>
      <c r="Y1037" s="381">
        <v>0.14858750000000001</v>
      </c>
      <c r="Z1037" s="381">
        <v>-1.7E-5</v>
      </c>
      <c r="AA1037" s="381">
        <v>0</v>
      </c>
      <c r="AB1037" s="381">
        <v>0</v>
      </c>
      <c r="AC1037" s="382">
        <v>0.14858750000000001</v>
      </c>
      <c r="AD1037" s="382">
        <v>0</v>
      </c>
      <c r="AE1037" s="381" t="s">
        <v>168</v>
      </c>
    </row>
    <row r="1038" spans="1:31" ht="15" customHeight="1" x14ac:dyDescent="0.25">
      <c r="A1038" s="20" t="s">
        <v>156</v>
      </c>
      <c r="B1038" s="20" t="s">
        <v>1588</v>
      </c>
      <c r="C1038" s="20" t="s">
        <v>1451</v>
      </c>
      <c r="D1038" s="378" t="s">
        <v>1590</v>
      </c>
      <c r="E1038" s="379">
        <v>45016</v>
      </c>
      <c r="F1038" s="379">
        <v>46843</v>
      </c>
      <c r="G1038" s="378" t="s">
        <v>281</v>
      </c>
      <c r="H1038" s="20" t="s">
        <v>282</v>
      </c>
      <c r="I1038" s="20" t="s">
        <v>162</v>
      </c>
      <c r="J1038" s="20" t="s">
        <v>163</v>
      </c>
      <c r="K1038" s="378" t="s">
        <v>283</v>
      </c>
      <c r="L1038" s="20" t="s">
        <v>165</v>
      </c>
      <c r="M1038" s="380">
        <v>2400</v>
      </c>
      <c r="N1038" s="380"/>
      <c r="O1038" s="380"/>
      <c r="P1038" s="380"/>
      <c r="Q1038" s="381">
        <v>355.01</v>
      </c>
      <c r="R1038" s="381">
        <v>355.03</v>
      </c>
      <c r="S1038" s="381">
        <v>-4.2099999999999999E-2</v>
      </c>
      <c r="T1038" s="381"/>
      <c r="U1038" s="381"/>
      <c r="V1038" s="382">
        <v>355.03</v>
      </c>
      <c r="W1038" s="382">
        <v>0</v>
      </c>
      <c r="X1038" s="381">
        <v>0.14792083333333333</v>
      </c>
      <c r="Y1038" s="381">
        <v>0.14792916666666667</v>
      </c>
      <c r="Z1038" s="381">
        <v>-1.7541666666666665E-5</v>
      </c>
      <c r="AA1038" s="381">
        <v>0</v>
      </c>
      <c r="AB1038" s="381">
        <v>0</v>
      </c>
      <c r="AC1038" s="382">
        <v>0.14792916666666667</v>
      </c>
      <c r="AD1038" s="382">
        <v>0</v>
      </c>
      <c r="AE1038" s="381" t="s">
        <v>168</v>
      </c>
    </row>
    <row r="1039" spans="1:31" ht="15" customHeight="1" x14ac:dyDescent="0.25">
      <c r="A1039" s="20" t="s">
        <v>156</v>
      </c>
      <c r="B1039" s="20" t="s">
        <v>1450</v>
      </c>
      <c r="C1039" s="20" t="s">
        <v>1451</v>
      </c>
      <c r="D1039" s="378" t="s">
        <v>1591</v>
      </c>
      <c r="E1039" s="379">
        <v>45016</v>
      </c>
      <c r="F1039" s="379">
        <v>46843</v>
      </c>
      <c r="G1039" s="378" t="s">
        <v>160</v>
      </c>
      <c r="H1039" s="20" t="s">
        <v>416</v>
      </c>
      <c r="I1039" s="20" t="s">
        <v>162</v>
      </c>
      <c r="J1039" s="20" t="s">
        <v>163</v>
      </c>
      <c r="K1039" s="378" t="s">
        <v>417</v>
      </c>
      <c r="L1039" s="20" t="s">
        <v>165</v>
      </c>
      <c r="M1039" s="380">
        <v>2400</v>
      </c>
      <c r="N1039" s="380"/>
      <c r="O1039" s="380"/>
      <c r="P1039" s="380"/>
      <c r="Q1039" s="381">
        <v>234.81</v>
      </c>
      <c r="R1039" s="381">
        <v>234.76</v>
      </c>
      <c r="S1039" s="381">
        <v>0.06</v>
      </c>
      <c r="T1039" s="381"/>
      <c r="U1039" s="381"/>
      <c r="V1039" s="382">
        <v>234.82</v>
      </c>
      <c r="W1039" s="382">
        <v>0</v>
      </c>
      <c r="X1039" s="381">
        <v>9.7837500000000008E-2</v>
      </c>
      <c r="Y1039" s="381">
        <v>9.7816666666666663E-2</v>
      </c>
      <c r="Z1039" s="381">
        <v>2.4999999999999998E-5</v>
      </c>
      <c r="AA1039" s="381">
        <v>0</v>
      </c>
      <c r="AB1039" s="381">
        <v>0</v>
      </c>
      <c r="AC1039" s="382">
        <v>9.784166666666666E-2</v>
      </c>
      <c r="AD1039" s="382">
        <v>0</v>
      </c>
      <c r="AE1039" s="381" t="s">
        <v>168</v>
      </c>
    </row>
    <row r="1040" spans="1:31" ht="15" customHeight="1" x14ac:dyDescent="0.25">
      <c r="A1040" s="20" t="s">
        <v>156</v>
      </c>
      <c r="B1040" s="20" t="s">
        <v>1450</v>
      </c>
      <c r="C1040" s="20" t="s">
        <v>1451</v>
      </c>
      <c r="D1040" s="378" t="s">
        <v>1592</v>
      </c>
      <c r="E1040" s="379">
        <v>45016</v>
      </c>
      <c r="F1040" s="379">
        <v>46843</v>
      </c>
      <c r="G1040" s="378" t="s">
        <v>281</v>
      </c>
      <c r="H1040" s="20" t="s">
        <v>282</v>
      </c>
      <c r="I1040" s="20" t="s">
        <v>162</v>
      </c>
      <c r="J1040" s="20" t="s">
        <v>163</v>
      </c>
      <c r="K1040" s="378" t="s">
        <v>283</v>
      </c>
      <c r="L1040" s="20" t="s">
        <v>165</v>
      </c>
      <c r="M1040" s="380">
        <v>2400</v>
      </c>
      <c r="N1040" s="380"/>
      <c r="O1040" s="380"/>
      <c r="P1040" s="380"/>
      <c r="Q1040" s="381">
        <v>398.23</v>
      </c>
      <c r="R1040" s="381">
        <v>398.24</v>
      </c>
      <c r="S1040" s="381">
        <v>-8.7799999999999996E-3</v>
      </c>
      <c r="T1040" s="381"/>
      <c r="U1040" s="381"/>
      <c r="V1040" s="382">
        <v>398.24</v>
      </c>
      <c r="W1040" s="382">
        <v>0</v>
      </c>
      <c r="X1040" s="381">
        <v>0.16592916666666668</v>
      </c>
      <c r="Y1040" s="381">
        <v>0.16593333333333335</v>
      </c>
      <c r="Z1040" s="381">
        <v>-3.6583333333333332E-6</v>
      </c>
      <c r="AA1040" s="381">
        <v>0</v>
      </c>
      <c r="AB1040" s="381">
        <v>0</v>
      </c>
      <c r="AC1040" s="382">
        <v>0.16593333333333335</v>
      </c>
      <c r="AD1040" s="382">
        <v>0</v>
      </c>
      <c r="AE1040" s="381" t="s">
        <v>168</v>
      </c>
    </row>
    <row r="1041" spans="1:31" ht="15" customHeight="1" x14ac:dyDescent="0.25">
      <c r="A1041" s="20" t="s">
        <v>156</v>
      </c>
      <c r="B1041" s="20" t="s">
        <v>1450</v>
      </c>
      <c r="C1041" s="20" t="s">
        <v>1451</v>
      </c>
      <c r="D1041" s="378" t="s">
        <v>1593</v>
      </c>
      <c r="E1041" s="379">
        <v>45016</v>
      </c>
      <c r="F1041" s="379">
        <v>46843</v>
      </c>
      <c r="G1041" s="378" t="s">
        <v>281</v>
      </c>
      <c r="H1041" s="20" t="s">
        <v>282</v>
      </c>
      <c r="I1041" s="20" t="s">
        <v>162</v>
      </c>
      <c r="J1041" s="20" t="s">
        <v>163</v>
      </c>
      <c r="K1041" s="378" t="s">
        <v>283</v>
      </c>
      <c r="L1041" s="20" t="s">
        <v>165</v>
      </c>
      <c r="M1041" s="380">
        <v>2400</v>
      </c>
      <c r="N1041" s="380"/>
      <c r="O1041" s="380"/>
      <c r="P1041" s="380"/>
      <c r="Q1041" s="381">
        <v>401.05</v>
      </c>
      <c r="R1041" s="381">
        <v>401.06</v>
      </c>
      <c r="S1041" s="381">
        <v>-8.9200000000000008E-3</v>
      </c>
      <c r="T1041" s="381"/>
      <c r="U1041" s="381"/>
      <c r="V1041" s="382">
        <v>401.06</v>
      </c>
      <c r="W1041" s="382">
        <v>0</v>
      </c>
      <c r="X1041" s="381">
        <v>0.16710416666666666</v>
      </c>
      <c r="Y1041" s="381">
        <v>0.16710833333333333</v>
      </c>
      <c r="Z1041" s="381">
        <v>-3.7166666666666669E-6</v>
      </c>
      <c r="AA1041" s="381">
        <v>0</v>
      </c>
      <c r="AB1041" s="381">
        <v>0</v>
      </c>
      <c r="AC1041" s="382">
        <v>0.16710833333333333</v>
      </c>
      <c r="AD1041" s="382">
        <v>0</v>
      </c>
      <c r="AE1041" s="381" t="s">
        <v>168</v>
      </c>
    </row>
    <row r="1042" spans="1:31" ht="15" customHeight="1" x14ac:dyDescent="0.25">
      <c r="A1042" s="20" t="s">
        <v>156</v>
      </c>
      <c r="B1042" s="20" t="s">
        <v>1450</v>
      </c>
      <c r="C1042" s="20" t="s">
        <v>1451</v>
      </c>
      <c r="D1042" s="378" t="s">
        <v>1594</v>
      </c>
      <c r="E1042" s="379">
        <v>45016</v>
      </c>
      <c r="F1042" s="379">
        <v>46843</v>
      </c>
      <c r="G1042" s="378" t="s">
        <v>281</v>
      </c>
      <c r="H1042" s="20" t="s">
        <v>282</v>
      </c>
      <c r="I1042" s="20" t="s">
        <v>162</v>
      </c>
      <c r="J1042" s="20" t="s">
        <v>163</v>
      </c>
      <c r="K1042" s="378" t="s">
        <v>283</v>
      </c>
      <c r="L1042" s="20" t="s">
        <v>165</v>
      </c>
      <c r="M1042" s="380">
        <v>2400</v>
      </c>
      <c r="N1042" s="380"/>
      <c r="O1042" s="380"/>
      <c r="P1042" s="380"/>
      <c r="Q1042" s="381">
        <v>401.05</v>
      </c>
      <c r="R1042" s="381">
        <v>401.06</v>
      </c>
      <c r="S1042" s="381">
        <v>-8.9200000000000008E-3</v>
      </c>
      <c r="T1042" s="381"/>
      <c r="U1042" s="381"/>
      <c r="V1042" s="382">
        <v>401.06</v>
      </c>
      <c r="W1042" s="382">
        <v>0</v>
      </c>
      <c r="X1042" s="381">
        <v>0.16710416666666666</v>
      </c>
      <c r="Y1042" s="381">
        <v>0.16710833333333333</v>
      </c>
      <c r="Z1042" s="381">
        <v>-3.7166666666666669E-6</v>
      </c>
      <c r="AA1042" s="381">
        <v>0</v>
      </c>
      <c r="AB1042" s="381">
        <v>0</v>
      </c>
      <c r="AC1042" s="382">
        <v>0.16710833333333333</v>
      </c>
      <c r="AD1042" s="382">
        <v>0</v>
      </c>
      <c r="AE1042" s="381" t="s">
        <v>168</v>
      </c>
    </row>
    <row r="1043" spans="1:31" ht="15" customHeight="1" x14ac:dyDescent="0.25">
      <c r="A1043" s="20" t="s">
        <v>156</v>
      </c>
      <c r="B1043" s="20" t="s">
        <v>1450</v>
      </c>
      <c r="C1043" s="20" t="s">
        <v>1451</v>
      </c>
      <c r="D1043" s="378" t="s">
        <v>1595</v>
      </c>
      <c r="E1043" s="379">
        <v>45016</v>
      </c>
      <c r="F1043" s="379">
        <v>46843</v>
      </c>
      <c r="G1043" s="378" t="s">
        <v>281</v>
      </c>
      <c r="H1043" s="20" t="s">
        <v>282</v>
      </c>
      <c r="I1043" s="20" t="s">
        <v>162</v>
      </c>
      <c r="J1043" s="20" t="s">
        <v>163</v>
      </c>
      <c r="K1043" s="378" t="s">
        <v>283</v>
      </c>
      <c r="L1043" s="20" t="s">
        <v>165</v>
      </c>
      <c r="M1043" s="380">
        <v>2400</v>
      </c>
      <c r="N1043" s="380"/>
      <c r="O1043" s="380"/>
      <c r="P1043" s="380"/>
      <c r="Q1043" s="381">
        <v>405.73</v>
      </c>
      <c r="R1043" s="381">
        <v>405.74</v>
      </c>
      <c r="S1043" s="381">
        <v>-9.1699999999999993E-3</v>
      </c>
      <c r="T1043" s="381"/>
      <c r="U1043" s="381"/>
      <c r="V1043" s="382">
        <v>405.74</v>
      </c>
      <c r="W1043" s="382">
        <v>0</v>
      </c>
      <c r="X1043" s="381">
        <v>0.16905416666666667</v>
      </c>
      <c r="Y1043" s="381">
        <v>0.16905833333333334</v>
      </c>
      <c r="Z1043" s="381">
        <v>-3.8208333333333333E-6</v>
      </c>
      <c r="AA1043" s="381">
        <v>0</v>
      </c>
      <c r="AB1043" s="381">
        <v>0</v>
      </c>
      <c r="AC1043" s="382">
        <v>0.16905833333333334</v>
      </c>
      <c r="AD1043" s="382">
        <v>0</v>
      </c>
      <c r="AE1043" s="381" t="s">
        <v>168</v>
      </c>
    </row>
    <row r="1044" spans="1:31" ht="15" customHeight="1" x14ac:dyDescent="0.25">
      <c r="A1044" s="20" t="s">
        <v>156</v>
      </c>
      <c r="B1044" s="20" t="s">
        <v>1450</v>
      </c>
      <c r="C1044" s="20" t="s">
        <v>1451</v>
      </c>
      <c r="D1044" s="378" t="s">
        <v>1596</v>
      </c>
      <c r="E1044" s="379">
        <v>45016</v>
      </c>
      <c r="F1044" s="379">
        <v>46843</v>
      </c>
      <c r="G1044" s="378" t="s">
        <v>281</v>
      </c>
      <c r="H1044" s="20" t="s">
        <v>282</v>
      </c>
      <c r="I1044" s="20" t="s">
        <v>162</v>
      </c>
      <c r="J1044" s="20" t="s">
        <v>163</v>
      </c>
      <c r="K1044" s="378" t="s">
        <v>283</v>
      </c>
      <c r="L1044" s="20" t="s">
        <v>165</v>
      </c>
      <c r="M1044" s="380">
        <v>2400</v>
      </c>
      <c r="N1044" s="380"/>
      <c r="O1044" s="380"/>
      <c r="P1044" s="380"/>
      <c r="Q1044" s="381">
        <v>410.44</v>
      </c>
      <c r="R1044" s="381">
        <v>410.45</v>
      </c>
      <c r="S1044" s="381">
        <v>-9.4000000000000004E-3</v>
      </c>
      <c r="T1044" s="381"/>
      <c r="U1044" s="381"/>
      <c r="V1044" s="382">
        <v>410.45</v>
      </c>
      <c r="W1044" s="382">
        <v>0</v>
      </c>
      <c r="X1044" s="381">
        <v>0.17101666666666668</v>
      </c>
      <c r="Y1044" s="381">
        <v>0.17102083333333332</v>
      </c>
      <c r="Z1044" s="381">
        <v>-3.9166666666666667E-6</v>
      </c>
      <c r="AA1044" s="381">
        <v>0</v>
      </c>
      <c r="AB1044" s="381">
        <v>0</v>
      </c>
      <c r="AC1044" s="382">
        <v>0.17102083333333332</v>
      </c>
      <c r="AD1044" s="382">
        <v>0</v>
      </c>
      <c r="AE1044" s="381" t="s">
        <v>168</v>
      </c>
    </row>
    <row r="1045" spans="1:31" ht="15" customHeight="1" x14ac:dyDescent="0.25">
      <c r="A1045" s="20" t="s">
        <v>156</v>
      </c>
      <c r="B1045" s="20" t="s">
        <v>1450</v>
      </c>
      <c r="C1045" s="20" t="s">
        <v>1451</v>
      </c>
      <c r="D1045" s="378" t="s">
        <v>1597</v>
      </c>
      <c r="E1045" s="379">
        <v>45016</v>
      </c>
      <c r="F1045" s="379">
        <v>46843</v>
      </c>
      <c r="G1045" s="378" t="s">
        <v>281</v>
      </c>
      <c r="H1045" s="20" t="s">
        <v>282</v>
      </c>
      <c r="I1045" s="20" t="s">
        <v>162</v>
      </c>
      <c r="J1045" s="20" t="s">
        <v>163</v>
      </c>
      <c r="K1045" s="378" t="s">
        <v>283</v>
      </c>
      <c r="L1045" s="20" t="s">
        <v>165</v>
      </c>
      <c r="M1045" s="380">
        <v>2400</v>
      </c>
      <c r="N1045" s="380"/>
      <c r="O1045" s="380"/>
      <c r="P1045" s="380"/>
      <c r="Q1045" s="381">
        <v>424.54</v>
      </c>
      <c r="R1045" s="381">
        <v>424.55</v>
      </c>
      <c r="S1045" s="381">
        <v>-1.01E-2</v>
      </c>
      <c r="T1045" s="381"/>
      <c r="U1045" s="381"/>
      <c r="V1045" s="382">
        <v>424.55</v>
      </c>
      <c r="W1045" s="382">
        <v>0</v>
      </c>
      <c r="X1045" s="381">
        <v>0.17689166666666667</v>
      </c>
      <c r="Y1045" s="381">
        <v>0.17689583333333334</v>
      </c>
      <c r="Z1045" s="381">
        <v>-4.2083333333333334E-6</v>
      </c>
      <c r="AA1045" s="381">
        <v>0</v>
      </c>
      <c r="AB1045" s="381">
        <v>0</v>
      </c>
      <c r="AC1045" s="382">
        <v>0.17689583333333334</v>
      </c>
      <c r="AD1045" s="382">
        <v>0</v>
      </c>
      <c r="AE1045" s="381" t="s">
        <v>168</v>
      </c>
    </row>
    <row r="1046" spans="1:31" ht="15" customHeight="1" x14ac:dyDescent="0.25">
      <c r="A1046" s="20" t="s">
        <v>156</v>
      </c>
      <c r="B1046" s="20" t="s">
        <v>1450</v>
      </c>
      <c r="C1046" s="20" t="s">
        <v>1451</v>
      </c>
      <c r="D1046" s="378" t="s">
        <v>1598</v>
      </c>
      <c r="E1046" s="379">
        <v>45016</v>
      </c>
      <c r="F1046" s="379">
        <v>46843</v>
      </c>
      <c r="G1046" s="378" t="s">
        <v>281</v>
      </c>
      <c r="H1046" s="20" t="s">
        <v>282</v>
      </c>
      <c r="I1046" s="20" t="s">
        <v>162</v>
      </c>
      <c r="J1046" s="20" t="s">
        <v>163</v>
      </c>
      <c r="K1046" s="378" t="s">
        <v>283</v>
      </c>
      <c r="L1046" s="20" t="s">
        <v>165</v>
      </c>
      <c r="M1046" s="380">
        <v>2400</v>
      </c>
      <c r="N1046" s="380"/>
      <c r="O1046" s="380"/>
      <c r="P1046" s="380"/>
      <c r="Q1046" s="381">
        <v>424.54</v>
      </c>
      <c r="R1046" s="381">
        <v>424.55</v>
      </c>
      <c r="S1046" s="381">
        <v>-1.01E-2</v>
      </c>
      <c r="T1046" s="381"/>
      <c r="U1046" s="381"/>
      <c r="V1046" s="382">
        <v>424.55</v>
      </c>
      <c r="W1046" s="382">
        <v>0</v>
      </c>
      <c r="X1046" s="381">
        <v>0.17689166666666667</v>
      </c>
      <c r="Y1046" s="381">
        <v>0.17689583333333334</v>
      </c>
      <c r="Z1046" s="381">
        <v>-4.2083333333333334E-6</v>
      </c>
      <c r="AA1046" s="381">
        <v>0</v>
      </c>
      <c r="AB1046" s="381">
        <v>0</v>
      </c>
      <c r="AC1046" s="382">
        <v>0.17689583333333334</v>
      </c>
      <c r="AD1046" s="382">
        <v>0</v>
      </c>
      <c r="AE1046" s="381" t="s">
        <v>168</v>
      </c>
    </row>
    <row r="1047" spans="1:31" ht="15" customHeight="1" x14ac:dyDescent="0.25">
      <c r="A1047" s="20" t="s">
        <v>156</v>
      </c>
      <c r="B1047" s="20" t="s">
        <v>1450</v>
      </c>
      <c r="C1047" s="20" t="s">
        <v>1451</v>
      </c>
      <c r="D1047" s="378" t="s">
        <v>1599</v>
      </c>
      <c r="E1047" s="379">
        <v>45016</v>
      </c>
      <c r="F1047" s="379">
        <v>46843</v>
      </c>
      <c r="G1047" s="378" t="s">
        <v>281</v>
      </c>
      <c r="H1047" s="20" t="s">
        <v>282</v>
      </c>
      <c r="I1047" s="20" t="s">
        <v>162</v>
      </c>
      <c r="J1047" s="20" t="s">
        <v>163</v>
      </c>
      <c r="K1047" s="378" t="s">
        <v>283</v>
      </c>
      <c r="L1047" s="20" t="s">
        <v>165</v>
      </c>
      <c r="M1047" s="380">
        <v>2400</v>
      </c>
      <c r="N1047" s="380"/>
      <c r="O1047" s="380"/>
      <c r="P1047" s="380"/>
      <c r="Q1047" s="381">
        <v>287.01</v>
      </c>
      <c r="R1047" s="381">
        <v>286.97000000000003</v>
      </c>
      <c r="S1047" s="381">
        <v>4.6300000000000001E-2</v>
      </c>
      <c r="T1047" s="381"/>
      <c r="U1047" s="381"/>
      <c r="V1047" s="382">
        <v>287.0163</v>
      </c>
      <c r="W1047" s="382">
        <v>0</v>
      </c>
      <c r="X1047" s="381">
        <v>0.1195875</v>
      </c>
      <c r="Y1047" s="381">
        <v>0.11957083333333335</v>
      </c>
      <c r="Z1047" s="381">
        <v>1.9291666666666667E-5</v>
      </c>
      <c r="AA1047" s="381">
        <v>0</v>
      </c>
      <c r="AB1047" s="381">
        <v>0</v>
      </c>
      <c r="AC1047" s="382">
        <v>0.11959012500000002</v>
      </c>
      <c r="AD1047" s="382">
        <v>0</v>
      </c>
      <c r="AE1047" s="381" t="s">
        <v>168</v>
      </c>
    </row>
    <row r="1048" spans="1:31" ht="15" customHeight="1" x14ac:dyDescent="0.25">
      <c r="A1048" s="20" t="s">
        <v>156</v>
      </c>
      <c r="B1048" s="20" t="s">
        <v>1450</v>
      </c>
      <c r="C1048" s="20" t="s">
        <v>1451</v>
      </c>
      <c r="D1048" s="378" t="s">
        <v>1600</v>
      </c>
      <c r="E1048" s="379">
        <v>45016</v>
      </c>
      <c r="F1048" s="379">
        <v>46843</v>
      </c>
      <c r="G1048" s="378" t="s">
        <v>281</v>
      </c>
      <c r="H1048" s="20" t="s">
        <v>282</v>
      </c>
      <c r="I1048" s="20" t="s">
        <v>162</v>
      </c>
      <c r="J1048" s="20" t="s">
        <v>163</v>
      </c>
      <c r="K1048" s="378" t="s">
        <v>283</v>
      </c>
      <c r="L1048" s="20" t="s">
        <v>165</v>
      </c>
      <c r="M1048" s="380">
        <v>2400</v>
      </c>
      <c r="N1048" s="380"/>
      <c r="O1048" s="380"/>
      <c r="P1048" s="380"/>
      <c r="Q1048" s="381">
        <v>502.88</v>
      </c>
      <c r="R1048" s="381">
        <v>502.89</v>
      </c>
      <c r="S1048" s="381">
        <v>-1.8100000000000002E-2</v>
      </c>
      <c r="T1048" s="381"/>
      <c r="U1048" s="381"/>
      <c r="V1048" s="382">
        <v>502.89</v>
      </c>
      <c r="W1048" s="382">
        <v>0</v>
      </c>
      <c r="X1048" s="381">
        <v>0.20953333333333332</v>
      </c>
      <c r="Y1048" s="381">
        <v>0.20953749999999999</v>
      </c>
      <c r="Z1048" s="381">
        <v>-7.5416666666666676E-6</v>
      </c>
      <c r="AA1048" s="381">
        <v>0</v>
      </c>
      <c r="AB1048" s="381">
        <v>0</v>
      </c>
      <c r="AC1048" s="382">
        <v>0.20953749999999999</v>
      </c>
      <c r="AD1048" s="382">
        <v>0</v>
      </c>
      <c r="AE1048" s="381" t="s">
        <v>168</v>
      </c>
    </row>
    <row r="1049" spans="1:31" ht="15" customHeight="1" x14ac:dyDescent="0.25">
      <c r="A1049" s="20" t="s">
        <v>156</v>
      </c>
      <c r="B1049" s="20" t="s">
        <v>1450</v>
      </c>
      <c r="C1049" s="20" t="s">
        <v>1451</v>
      </c>
      <c r="D1049" s="378" t="s">
        <v>1601</v>
      </c>
      <c r="E1049" s="379">
        <v>45016</v>
      </c>
      <c r="F1049" s="379">
        <v>46843</v>
      </c>
      <c r="G1049" s="378" t="s">
        <v>281</v>
      </c>
      <c r="H1049" s="20" t="s">
        <v>282</v>
      </c>
      <c r="I1049" s="20" t="s">
        <v>162</v>
      </c>
      <c r="J1049" s="20" t="s">
        <v>163</v>
      </c>
      <c r="K1049" s="378" t="s">
        <v>283</v>
      </c>
      <c r="L1049" s="20" t="s">
        <v>165</v>
      </c>
      <c r="M1049" s="380">
        <v>2400</v>
      </c>
      <c r="N1049" s="380"/>
      <c r="O1049" s="380"/>
      <c r="P1049" s="380"/>
      <c r="Q1049" s="381">
        <v>513.39</v>
      </c>
      <c r="R1049" s="381">
        <v>513.4</v>
      </c>
      <c r="S1049" s="381">
        <v>-1.41E-2</v>
      </c>
      <c r="T1049" s="381"/>
      <c r="U1049" s="381"/>
      <c r="V1049" s="382">
        <v>513.4</v>
      </c>
      <c r="W1049" s="382">
        <v>0</v>
      </c>
      <c r="X1049" s="381">
        <v>0.21391250000000001</v>
      </c>
      <c r="Y1049" s="381">
        <v>0.21391666666666664</v>
      </c>
      <c r="Z1049" s="381">
        <v>-5.8749999999999997E-6</v>
      </c>
      <c r="AA1049" s="381">
        <v>0</v>
      </c>
      <c r="AB1049" s="381">
        <v>0</v>
      </c>
      <c r="AC1049" s="382">
        <v>0.21391666666666664</v>
      </c>
      <c r="AD1049" s="382">
        <v>0</v>
      </c>
      <c r="AE1049" s="381" t="s">
        <v>168</v>
      </c>
    </row>
    <row r="1050" spans="1:31" ht="15" customHeight="1" x14ac:dyDescent="0.25">
      <c r="A1050" s="20" t="s">
        <v>156</v>
      </c>
      <c r="B1050" s="20" t="s">
        <v>1450</v>
      </c>
      <c r="C1050" s="20" t="s">
        <v>1451</v>
      </c>
      <c r="D1050" s="378" t="s">
        <v>1602</v>
      </c>
      <c r="E1050" s="379">
        <v>45016</v>
      </c>
      <c r="F1050" s="379">
        <v>46843</v>
      </c>
      <c r="G1050" s="378" t="s">
        <v>281</v>
      </c>
      <c r="H1050" s="20" t="s">
        <v>282</v>
      </c>
      <c r="I1050" s="20" t="s">
        <v>162</v>
      </c>
      <c r="J1050" s="20" t="s">
        <v>163</v>
      </c>
      <c r="K1050" s="378" t="s">
        <v>283</v>
      </c>
      <c r="L1050" s="20" t="s">
        <v>165</v>
      </c>
      <c r="M1050" s="380">
        <v>2400</v>
      </c>
      <c r="N1050" s="380"/>
      <c r="O1050" s="380"/>
      <c r="P1050" s="380"/>
      <c r="Q1050" s="381">
        <v>283.18</v>
      </c>
      <c r="R1050" s="381">
        <v>283.14</v>
      </c>
      <c r="S1050" s="381">
        <v>4.53E-2</v>
      </c>
      <c r="T1050" s="381"/>
      <c r="U1050" s="381"/>
      <c r="V1050" s="382">
        <v>283.18529999999998</v>
      </c>
      <c r="W1050" s="382">
        <v>0</v>
      </c>
      <c r="X1050" s="381">
        <v>0.11799166666666668</v>
      </c>
      <c r="Y1050" s="381">
        <v>0.117975</v>
      </c>
      <c r="Z1050" s="381">
        <v>1.8875000000000001E-5</v>
      </c>
      <c r="AA1050" s="381">
        <v>0</v>
      </c>
      <c r="AB1050" s="381">
        <v>0</v>
      </c>
      <c r="AC1050" s="382">
        <v>0.117993875</v>
      </c>
      <c r="AD1050" s="382">
        <v>0</v>
      </c>
      <c r="AE1050" s="381" t="s">
        <v>168</v>
      </c>
    </row>
    <row r="1051" spans="1:31" ht="15" customHeight="1" x14ac:dyDescent="0.25">
      <c r="A1051" s="20" t="s">
        <v>156</v>
      </c>
      <c r="B1051" s="20" t="s">
        <v>1450</v>
      </c>
      <c r="C1051" s="20" t="s">
        <v>1451</v>
      </c>
      <c r="D1051" s="378" t="s">
        <v>1603</v>
      </c>
      <c r="E1051" s="379">
        <v>45016</v>
      </c>
      <c r="F1051" s="379">
        <v>46843</v>
      </c>
      <c r="G1051" s="378" t="s">
        <v>281</v>
      </c>
      <c r="H1051" s="20" t="s">
        <v>282</v>
      </c>
      <c r="I1051" s="20" t="s">
        <v>162</v>
      </c>
      <c r="J1051" s="20" t="s">
        <v>163</v>
      </c>
      <c r="K1051" s="378" t="s">
        <v>283</v>
      </c>
      <c r="L1051" s="20" t="s">
        <v>165</v>
      </c>
      <c r="M1051" s="380">
        <v>2400</v>
      </c>
      <c r="N1051" s="380"/>
      <c r="O1051" s="380"/>
      <c r="P1051" s="380"/>
      <c r="Q1051" s="381">
        <v>338.58</v>
      </c>
      <c r="R1051" s="381">
        <v>338.56</v>
      </c>
      <c r="S1051" s="381">
        <v>2.3199999999999998E-2</v>
      </c>
      <c r="T1051" s="381"/>
      <c r="U1051" s="381"/>
      <c r="V1051" s="382">
        <v>338.58319999999998</v>
      </c>
      <c r="W1051" s="382">
        <v>0</v>
      </c>
      <c r="X1051" s="381">
        <v>0.14107500000000001</v>
      </c>
      <c r="Y1051" s="381">
        <v>0.14106666666666667</v>
      </c>
      <c r="Z1051" s="381">
        <v>9.6666666666666667E-6</v>
      </c>
      <c r="AA1051" s="381">
        <v>0</v>
      </c>
      <c r="AB1051" s="381">
        <v>0</v>
      </c>
      <c r="AC1051" s="382">
        <v>0.14107633333333333</v>
      </c>
      <c r="AD1051" s="382">
        <v>0</v>
      </c>
      <c r="AE1051" s="381" t="s">
        <v>168</v>
      </c>
    </row>
    <row r="1052" spans="1:31" ht="15" customHeight="1" x14ac:dyDescent="0.25">
      <c r="A1052" s="20" t="s">
        <v>156</v>
      </c>
      <c r="B1052" s="20" t="s">
        <v>1450</v>
      </c>
      <c r="C1052" s="20" t="s">
        <v>1451</v>
      </c>
      <c r="D1052" s="378" t="s">
        <v>1604</v>
      </c>
      <c r="E1052" s="379">
        <v>45016</v>
      </c>
      <c r="F1052" s="379">
        <v>46843</v>
      </c>
      <c r="G1052" s="378" t="s">
        <v>281</v>
      </c>
      <c r="H1052" s="20" t="s">
        <v>282</v>
      </c>
      <c r="I1052" s="20" t="s">
        <v>162</v>
      </c>
      <c r="J1052" s="20" t="s">
        <v>163</v>
      </c>
      <c r="K1052" s="378" t="s">
        <v>283</v>
      </c>
      <c r="L1052" s="20" t="s">
        <v>165</v>
      </c>
      <c r="M1052" s="380">
        <v>2400</v>
      </c>
      <c r="N1052" s="380"/>
      <c r="O1052" s="380"/>
      <c r="P1052" s="380"/>
      <c r="Q1052" s="381">
        <v>366.72</v>
      </c>
      <c r="R1052" s="381">
        <v>366.72</v>
      </c>
      <c r="S1052" s="381">
        <v>2.16E-3</v>
      </c>
      <c r="T1052" s="381"/>
      <c r="U1052" s="381"/>
      <c r="V1052" s="382">
        <v>366.72216000000003</v>
      </c>
      <c r="W1052" s="382">
        <v>0</v>
      </c>
      <c r="X1052" s="381">
        <v>0.15280000000000002</v>
      </c>
      <c r="Y1052" s="381">
        <v>0.15280000000000002</v>
      </c>
      <c r="Z1052" s="381">
        <v>8.9999999999999996E-7</v>
      </c>
      <c r="AA1052" s="381">
        <v>0</v>
      </c>
      <c r="AB1052" s="381">
        <v>0</v>
      </c>
      <c r="AC1052" s="382">
        <v>0.15280090000000002</v>
      </c>
      <c r="AD1052" s="382">
        <v>0</v>
      </c>
      <c r="AE1052" s="381" t="s">
        <v>168</v>
      </c>
    </row>
    <row r="1053" spans="1:31" ht="15" customHeight="1" x14ac:dyDescent="0.25">
      <c r="A1053" s="20" t="s">
        <v>156</v>
      </c>
      <c r="B1053" s="20" t="s">
        <v>1450</v>
      </c>
      <c r="C1053" s="20" t="s">
        <v>1451</v>
      </c>
      <c r="D1053" s="378" t="s">
        <v>1605</v>
      </c>
      <c r="E1053" s="379">
        <v>43646</v>
      </c>
      <c r="F1053" s="379">
        <v>45473</v>
      </c>
      <c r="G1053" s="383" t="s">
        <v>285</v>
      </c>
      <c r="H1053" s="20" t="s">
        <v>286</v>
      </c>
      <c r="I1053" s="20" t="s">
        <v>162</v>
      </c>
      <c r="J1053" s="20" t="s">
        <v>163</v>
      </c>
      <c r="K1053" s="378" t="s">
        <v>287</v>
      </c>
      <c r="L1053" s="20" t="s">
        <v>165</v>
      </c>
      <c r="M1053" s="380">
        <v>2400</v>
      </c>
      <c r="N1053" s="380"/>
      <c r="O1053" s="380"/>
      <c r="P1053" s="380"/>
      <c r="Q1053" s="381" t="s">
        <v>1606</v>
      </c>
      <c r="R1053" s="381" t="s">
        <v>1606</v>
      </c>
      <c r="S1053" s="381"/>
      <c r="T1053" s="381"/>
      <c r="U1053" s="381"/>
      <c r="V1053" s="382">
        <v>405</v>
      </c>
      <c r="W1053" s="382">
        <v>0</v>
      </c>
      <c r="X1053" s="381">
        <v>0.16875000000000001</v>
      </c>
      <c r="Y1053" s="381">
        <v>0.16875000000000001</v>
      </c>
      <c r="Z1053" s="381">
        <v>0</v>
      </c>
      <c r="AA1053" s="381">
        <v>0</v>
      </c>
      <c r="AB1053" s="381">
        <v>0</v>
      </c>
      <c r="AC1053" s="382">
        <v>0.16875000000000001</v>
      </c>
      <c r="AD1053" s="382">
        <v>0</v>
      </c>
      <c r="AE1053" s="381" t="s">
        <v>168</v>
      </c>
    </row>
    <row r="1054" spans="1:31" ht="15" customHeight="1" x14ac:dyDescent="0.25">
      <c r="A1054" s="20" t="s">
        <v>156</v>
      </c>
      <c r="B1054" s="20" t="s">
        <v>1450</v>
      </c>
      <c r="C1054" s="20" t="s">
        <v>1451</v>
      </c>
      <c r="D1054" s="378" t="s">
        <v>1607</v>
      </c>
      <c r="E1054" s="379">
        <v>43646</v>
      </c>
      <c r="F1054" s="379">
        <v>45473</v>
      </c>
      <c r="G1054" s="383" t="s">
        <v>285</v>
      </c>
      <c r="H1054" s="20" t="s">
        <v>286</v>
      </c>
      <c r="I1054" s="20" t="s">
        <v>162</v>
      </c>
      <c r="J1054" s="20" t="s">
        <v>163</v>
      </c>
      <c r="K1054" s="378" t="s">
        <v>287</v>
      </c>
      <c r="L1054" s="20" t="s">
        <v>165</v>
      </c>
      <c r="M1054" s="380">
        <v>2400</v>
      </c>
      <c r="N1054" s="380"/>
      <c r="O1054" s="380"/>
      <c r="P1054" s="380"/>
      <c r="Q1054" s="381" t="s">
        <v>1078</v>
      </c>
      <c r="R1054" s="381" t="s">
        <v>1078</v>
      </c>
      <c r="S1054" s="381"/>
      <c r="T1054" s="381"/>
      <c r="U1054" s="381"/>
      <c r="V1054" s="382">
        <v>328</v>
      </c>
      <c r="W1054" s="382">
        <v>0</v>
      </c>
      <c r="X1054" s="381">
        <v>0.13666666666666666</v>
      </c>
      <c r="Y1054" s="381">
        <v>0.13666666666666666</v>
      </c>
      <c r="Z1054" s="381">
        <v>0</v>
      </c>
      <c r="AA1054" s="381">
        <v>0</v>
      </c>
      <c r="AB1054" s="381">
        <v>0</v>
      </c>
      <c r="AC1054" s="382">
        <v>0.13666666666666666</v>
      </c>
      <c r="AD1054" s="382">
        <v>0</v>
      </c>
      <c r="AE1054" s="381" t="s">
        <v>168</v>
      </c>
    </row>
    <row r="1055" spans="1:31" ht="15" customHeight="1" x14ac:dyDescent="0.25">
      <c r="A1055" s="20" t="s">
        <v>156</v>
      </c>
      <c r="B1055" s="20" t="s">
        <v>1450</v>
      </c>
      <c r="C1055" s="20" t="s">
        <v>1451</v>
      </c>
      <c r="D1055" s="378" t="s">
        <v>1608</v>
      </c>
      <c r="E1055" s="379">
        <v>43646</v>
      </c>
      <c r="F1055" s="379">
        <v>45473</v>
      </c>
      <c r="G1055" s="383" t="s">
        <v>285</v>
      </c>
      <c r="H1055" s="20" t="s">
        <v>286</v>
      </c>
      <c r="I1055" s="20" t="s">
        <v>162</v>
      </c>
      <c r="J1055" s="20" t="s">
        <v>163</v>
      </c>
      <c r="K1055" s="378" t="s">
        <v>287</v>
      </c>
      <c r="L1055" s="20" t="s">
        <v>165</v>
      </c>
      <c r="M1055" s="380">
        <v>2400</v>
      </c>
      <c r="N1055" s="380"/>
      <c r="O1055" s="380"/>
      <c r="P1055" s="380"/>
      <c r="Q1055" s="381" t="s">
        <v>1609</v>
      </c>
      <c r="R1055" s="381" t="s">
        <v>1609</v>
      </c>
      <c r="S1055" s="381"/>
      <c r="T1055" s="381"/>
      <c r="U1055" s="381"/>
      <c r="V1055" s="382">
        <v>243</v>
      </c>
      <c r="W1055" s="382">
        <v>0</v>
      </c>
      <c r="X1055" s="381">
        <v>0.10125000000000001</v>
      </c>
      <c r="Y1055" s="381">
        <v>0.10125000000000001</v>
      </c>
      <c r="Z1055" s="381">
        <v>0</v>
      </c>
      <c r="AA1055" s="381">
        <v>0</v>
      </c>
      <c r="AB1055" s="381">
        <v>0</v>
      </c>
      <c r="AC1055" s="382">
        <v>0.10125000000000001</v>
      </c>
      <c r="AD1055" s="382">
        <v>0</v>
      </c>
      <c r="AE1055" s="381" t="s">
        <v>168</v>
      </c>
    </row>
    <row r="1056" spans="1:31" ht="15" customHeight="1" x14ac:dyDescent="0.25">
      <c r="A1056" s="20" t="s">
        <v>156</v>
      </c>
      <c r="B1056" s="20" t="s">
        <v>1450</v>
      </c>
      <c r="C1056" s="20" t="s">
        <v>1451</v>
      </c>
      <c r="D1056" s="378" t="s">
        <v>1610</v>
      </c>
      <c r="E1056" s="379">
        <v>43646</v>
      </c>
      <c r="F1056" s="379">
        <v>45473</v>
      </c>
      <c r="G1056" s="383" t="s">
        <v>285</v>
      </c>
      <c r="H1056" s="20" t="s">
        <v>286</v>
      </c>
      <c r="I1056" s="20" t="s">
        <v>162</v>
      </c>
      <c r="J1056" s="20" t="s">
        <v>163</v>
      </c>
      <c r="K1056" s="378" t="s">
        <v>287</v>
      </c>
      <c r="L1056" s="20" t="s">
        <v>165</v>
      </c>
      <c r="M1056" s="380">
        <v>2400</v>
      </c>
      <c r="N1056" s="380"/>
      <c r="O1056" s="380"/>
      <c r="P1056" s="380"/>
      <c r="Q1056" s="381" t="s">
        <v>629</v>
      </c>
      <c r="R1056" s="381" t="s">
        <v>629</v>
      </c>
      <c r="S1056" s="381"/>
      <c r="T1056" s="381"/>
      <c r="U1056" s="381"/>
      <c r="V1056" s="382">
        <v>219</v>
      </c>
      <c r="W1056" s="382">
        <v>0</v>
      </c>
      <c r="X1056" s="381">
        <v>9.1249999999999998E-2</v>
      </c>
      <c r="Y1056" s="381">
        <v>9.1249999999999998E-2</v>
      </c>
      <c r="Z1056" s="381">
        <v>0</v>
      </c>
      <c r="AA1056" s="381">
        <v>0</v>
      </c>
      <c r="AB1056" s="381">
        <v>0</v>
      </c>
      <c r="AC1056" s="382">
        <v>9.1249999999999998E-2</v>
      </c>
      <c r="AD1056" s="382">
        <v>0</v>
      </c>
      <c r="AE1056" s="381" t="s">
        <v>168</v>
      </c>
    </row>
    <row r="1057" spans="1:31" ht="15" customHeight="1" x14ac:dyDescent="0.25">
      <c r="A1057" s="20" t="s">
        <v>156</v>
      </c>
      <c r="B1057" s="20" t="s">
        <v>1450</v>
      </c>
      <c r="C1057" s="20" t="s">
        <v>1451</v>
      </c>
      <c r="D1057" s="378" t="s">
        <v>1611</v>
      </c>
      <c r="E1057" s="379">
        <v>43646</v>
      </c>
      <c r="F1057" s="379">
        <v>45473</v>
      </c>
      <c r="G1057" s="383" t="s">
        <v>193</v>
      </c>
      <c r="H1057" s="20" t="s">
        <v>286</v>
      </c>
      <c r="I1057" s="20" t="s">
        <v>162</v>
      </c>
      <c r="J1057" s="20" t="s">
        <v>163</v>
      </c>
      <c r="K1057" s="378" t="s">
        <v>287</v>
      </c>
      <c r="L1057" s="20" t="s">
        <v>165</v>
      </c>
      <c r="M1057" s="380">
        <v>2400</v>
      </c>
      <c r="N1057" s="380"/>
      <c r="O1057" s="380"/>
      <c r="P1057" s="380"/>
      <c r="Q1057" s="381" t="s">
        <v>1612</v>
      </c>
      <c r="R1057" s="381" t="s">
        <v>1612</v>
      </c>
      <c r="S1057" s="381"/>
      <c r="T1057" s="381"/>
      <c r="U1057" s="381"/>
      <c r="V1057" s="382">
        <v>355</v>
      </c>
      <c r="W1057" s="382">
        <v>0</v>
      </c>
      <c r="X1057" s="381">
        <v>0.14791666666666667</v>
      </c>
      <c r="Y1057" s="381">
        <v>0.14791666666666667</v>
      </c>
      <c r="Z1057" s="381">
        <v>0</v>
      </c>
      <c r="AA1057" s="381">
        <v>0</v>
      </c>
      <c r="AB1057" s="381">
        <v>0</v>
      </c>
      <c r="AC1057" s="382">
        <v>0.14791666666666667</v>
      </c>
      <c r="AD1057" s="382">
        <v>0</v>
      </c>
      <c r="AE1057" s="381" t="s">
        <v>168</v>
      </c>
    </row>
    <row r="1058" spans="1:31" ht="15" customHeight="1" x14ac:dyDescent="0.25">
      <c r="A1058" s="20" t="s">
        <v>156</v>
      </c>
      <c r="B1058" s="20" t="s">
        <v>1450</v>
      </c>
      <c r="C1058" s="20" t="s">
        <v>1451</v>
      </c>
      <c r="D1058" s="378" t="s">
        <v>1613</v>
      </c>
      <c r="E1058" s="379">
        <v>43646</v>
      </c>
      <c r="F1058" s="379">
        <v>45473</v>
      </c>
      <c r="G1058" s="383" t="s">
        <v>193</v>
      </c>
      <c r="H1058" s="20" t="s">
        <v>286</v>
      </c>
      <c r="I1058" s="20" t="s">
        <v>162</v>
      </c>
      <c r="J1058" s="20" t="s">
        <v>163</v>
      </c>
      <c r="K1058" s="378" t="s">
        <v>287</v>
      </c>
      <c r="L1058" s="20" t="s">
        <v>165</v>
      </c>
      <c r="M1058" s="380">
        <v>2400</v>
      </c>
      <c r="N1058" s="380"/>
      <c r="O1058" s="380"/>
      <c r="P1058" s="380"/>
      <c r="Q1058" s="381" t="s">
        <v>621</v>
      </c>
      <c r="R1058" s="381" t="s">
        <v>621</v>
      </c>
      <c r="S1058" s="381"/>
      <c r="T1058" s="381"/>
      <c r="U1058" s="381"/>
      <c r="V1058" s="382">
        <v>297</v>
      </c>
      <c r="W1058" s="382">
        <v>0</v>
      </c>
      <c r="X1058" s="381">
        <v>0.12375</v>
      </c>
      <c r="Y1058" s="381">
        <v>0.12375</v>
      </c>
      <c r="Z1058" s="381">
        <v>0</v>
      </c>
      <c r="AA1058" s="381">
        <v>0</v>
      </c>
      <c r="AB1058" s="381">
        <v>0</v>
      </c>
      <c r="AC1058" s="382">
        <v>0.12375</v>
      </c>
      <c r="AD1058" s="382">
        <v>0</v>
      </c>
      <c r="AE1058" s="381" t="s">
        <v>168</v>
      </c>
    </row>
    <row r="1059" spans="1:31" ht="15" customHeight="1" x14ac:dyDescent="0.25">
      <c r="A1059" s="20" t="s">
        <v>156</v>
      </c>
      <c r="B1059" s="20" t="s">
        <v>1450</v>
      </c>
      <c r="C1059" s="20" t="s">
        <v>1451</v>
      </c>
      <c r="D1059" s="378" t="s">
        <v>1614</v>
      </c>
      <c r="E1059" s="379">
        <v>43646</v>
      </c>
      <c r="F1059" s="379">
        <v>45473</v>
      </c>
      <c r="G1059" s="383" t="s">
        <v>193</v>
      </c>
      <c r="H1059" s="20" t="s">
        <v>286</v>
      </c>
      <c r="I1059" s="20" t="s">
        <v>162</v>
      </c>
      <c r="J1059" s="20" t="s">
        <v>163</v>
      </c>
      <c r="K1059" s="378" t="s">
        <v>287</v>
      </c>
      <c r="L1059" s="20" t="s">
        <v>165</v>
      </c>
      <c r="M1059" s="380">
        <v>2400</v>
      </c>
      <c r="N1059" s="380"/>
      <c r="O1059" s="380"/>
      <c r="P1059" s="380"/>
      <c r="Q1059" s="381" t="s">
        <v>1615</v>
      </c>
      <c r="R1059" s="381" t="s">
        <v>1615</v>
      </c>
      <c r="S1059" s="381"/>
      <c r="T1059" s="381"/>
      <c r="U1059" s="381"/>
      <c r="V1059" s="382">
        <v>218</v>
      </c>
      <c r="W1059" s="382">
        <v>0</v>
      </c>
      <c r="X1059" s="381">
        <v>9.0833333333333335E-2</v>
      </c>
      <c r="Y1059" s="381">
        <v>9.0833333333333335E-2</v>
      </c>
      <c r="Z1059" s="381">
        <v>0</v>
      </c>
      <c r="AA1059" s="381">
        <v>0</v>
      </c>
      <c r="AB1059" s="381">
        <v>0</v>
      </c>
      <c r="AC1059" s="382">
        <v>9.0833333333333335E-2</v>
      </c>
      <c r="AD1059" s="382">
        <v>0</v>
      </c>
      <c r="AE1059" s="381" t="s">
        <v>168</v>
      </c>
    </row>
    <row r="1060" spans="1:31" ht="15" customHeight="1" x14ac:dyDescent="0.25">
      <c r="A1060" s="20" t="s">
        <v>156</v>
      </c>
      <c r="B1060" s="20" t="s">
        <v>1450</v>
      </c>
      <c r="C1060" s="20" t="s">
        <v>1451</v>
      </c>
      <c r="D1060" s="378" t="s">
        <v>1616</v>
      </c>
      <c r="E1060" s="379">
        <v>43646</v>
      </c>
      <c r="F1060" s="379">
        <v>45473</v>
      </c>
      <c r="G1060" s="383" t="s">
        <v>179</v>
      </c>
      <c r="H1060" s="20" t="s">
        <v>286</v>
      </c>
      <c r="I1060" s="20" t="s">
        <v>162</v>
      </c>
      <c r="J1060" s="20" t="s">
        <v>163</v>
      </c>
      <c r="K1060" s="378" t="s">
        <v>287</v>
      </c>
      <c r="L1060" s="20" t="s">
        <v>165</v>
      </c>
      <c r="M1060" s="380">
        <v>2400</v>
      </c>
      <c r="N1060" s="380"/>
      <c r="O1060" s="380"/>
      <c r="P1060" s="380"/>
      <c r="Q1060" s="381" t="s">
        <v>1617</v>
      </c>
      <c r="R1060" s="381" t="s">
        <v>1617</v>
      </c>
      <c r="S1060" s="381"/>
      <c r="T1060" s="381"/>
      <c r="U1060" s="381"/>
      <c r="V1060" s="382">
        <v>386</v>
      </c>
      <c r="W1060" s="382">
        <v>0</v>
      </c>
      <c r="X1060" s="381">
        <v>0.16083333333333333</v>
      </c>
      <c r="Y1060" s="381">
        <v>0.16083333333333333</v>
      </c>
      <c r="Z1060" s="381">
        <v>0</v>
      </c>
      <c r="AA1060" s="381">
        <v>0</v>
      </c>
      <c r="AB1060" s="381">
        <v>0</v>
      </c>
      <c r="AC1060" s="382">
        <v>0.16083333333333333</v>
      </c>
      <c r="AD1060" s="382">
        <v>0</v>
      </c>
      <c r="AE1060" s="381" t="s">
        <v>168</v>
      </c>
    </row>
    <row r="1061" spans="1:31" ht="15" customHeight="1" x14ac:dyDescent="0.25">
      <c r="A1061" s="20" t="s">
        <v>156</v>
      </c>
      <c r="B1061" s="20" t="s">
        <v>1450</v>
      </c>
      <c r="C1061" s="20" t="s">
        <v>1451</v>
      </c>
      <c r="D1061" s="378" t="s">
        <v>1618</v>
      </c>
      <c r="E1061" s="379">
        <v>43646</v>
      </c>
      <c r="F1061" s="379">
        <v>45473</v>
      </c>
      <c r="G1061" s="383" t="s">
        <v>179</v>
      </c>
      <c r="H1061" s="20" t="s">
        <v>286</v>
      </c>
      <c r="I1061" s="20" t="s">
        <v>162</v>
      </c>
      <c r="J1061" s="20" t="s">
        <v>163</v>
      </c>
      <c r="K1061" s="378" t="s">
        <v>287</v>
      </c>
      <c r="L1061" s="20" t="s">
        <v>165</v>
      </c>
      <c r="M1061" s="380">
        <v>2400</v>
      </c>
      <c r="N1061" s="380"/>
      <c r="O1061" s="380"/>
      <c r="P1061" s="380"/>
      <c r="Q1061" s="381" t="s">
        <v>1619</v>
      </c>
      <c r="R1061" s="381" t="s">
        <v>1619</v>
      </c>
      <c r="S1061" s="381"/>
      <c r="T1061" s="381"/>
      <c r="U1061" s="381"/>
      <c r="V1061" s="382">
        <v>302</v>
      </c>
      <c r="W1061" s="382">
        <v>0</v>
      </c>
      <c r="X1061" s="381">
        <v>0.12583333333333332</v>
      </c>
      <c r="Y1061" s="381">
        <v>0.12583333333333332</v>
      </c>
      <c r="Z1061" s="381">
        <v>0</v>
      </c>
      <c r="AA1061" s="381">
        <v>0</v>
      </c>
      <c r="AB1061" s="381">
        <v>0</v>
      </c>
      <c r="AC1061" s="382">
        <v>0.12583333333333332</v>
      </c>
      <c r="AD1061" s="382">
        <v>0</v>
      </c>
      <c r="AE1061" s="381" t="s">
        <v>168</v>
      </c>
    </row>
    <row r="1062" spans="1:31" ht="15" customHeight="1" x14ac:dyDescent="0.25">
      <c r="A1062" s="20" t="s">
        <v>156</v>
      </c>
      <c r="B1062" s="20" t="s">
        <v>1450</v>
      </c>
      <c r="C1062" s="20" t="s">
        <v>1451</v>
      </c>
      <c r="D1062" s="378" t="s">
        <v>1620</v>
      </c>
      <c r="E1062" s="379">
        <v>43646</v>
      </c>
      <c r="F1062" s="379">
        <v>45473</v>
      </c>
      <c r="G1062" s="383" t="s">
        <v>179</v>
      </c>
      <c r="H1062" s="20" t="s">
        <v>286</v>
      </c>
      <c r="I1062" s="20" t="s">
        <v>162</v>
      </c>
      <c r="J1062" s="20" t="s">
        <v>163</v>
      </c>
      <c r="K1062" s="378" t="s">
        <v>287</v>
      </c>
      <c r="L1062" s="20" t="s">
        <v>165</v>
      </c>
      <c r="M1062" s="380">
        <v>2400</v>
      </c>
      <c r="N1062" s="380"/>
      <c r="O1062" s="380"/>
      <c r="P1062" s="380"/>
      <c r="Q1062" s="381" t="s">
        <v>1621</v>
      </c>
      <c r="R1062" s="381" t="s">
        <v>1621</v>
      </c>
      <c r="S1062" s="381"/>
      <c r="T1062" s="381"/>
      <c r="U1062" s="381"/>
      <c r="V1062" s="382">
        <v>272</v>
      </c>
      <c r="W1062" s="382">
        <v>0</v>
      </c>
      <c r="X1062" s="381">
        <v>0.11333333333333333</v>
      </c>
      <c r="Y1062" s="381">
        <v>0.11333333333333333</v>
      </c>
      <c r="Z1062" s="381">
        <v>0</v>
      </c>
      <c r="AA1062" s="381">
        <v>0</v>
      </c>
      <c r="AB1062" s="381">
        <v>0</v>
      </c>
      <c r="AC1062" s="382">
        <v>0.11333333333333333</v>
      </c>
      <c r="AD1062" s="382">
        <v>0</v>
      </c>
      <c r="AE1062" s="381" t="s">
        <v>168</v>
      </c>
    </row>
    <row r="1063" spans="1:31" ht="15" customHeight="1" x14ac:dyDescent="0.25">
      <c r="A1063" s="20" t="s">
        <v>156</v>
      </c>
      <c r="B1063" s="20" t="s">
        <v>1450</v>
      </c>
      <c r="C1063" s="20" t="s">
        <v>1451</v>
      </c>
      <c r="D1063" s="378" t="s">
        <v>1622</v>
      </c>
      <c r="E1063" s="379">
        <v>43646</v>
      </c>
      <c r="F1063" s="379">
        <v>45473</v>
      </c>
      <c r="G1063" s="383" t="s">
        <v>160</v>
      </c>
      <c r="H1063" s="20" t="s">
        <v>286</v>
      </c>
      <c r="I1063" s="20" t="s">
        <v>162</v>
      </c>
      <c r="J1063" s="20" t="s">
        <v>163</v>
      </c>
      <c r="K1063" s="378" t="s">
        <v>287</v>
      </c>
      <c r="L1063" s="20" t="s">
        <v>165</v>
      </c>
      <c r="M1063" s="380">
        <v>2400</v>
      </c>
      <c r="N1063" s="380"/>
      <c r="O1063" s="380"/>
      <c r="P1063" s="380"/>
      <c r="Q1063" s="381" t="s">
        <v>1623</v>
      </c>
      <c r="R1063" s="381" t="s">
        <v>1623</v>
      </c>
      <c r="S1063" s="381"/>
      <c r="T1063" s="381"/>
      <c r="U1063" s="381"/>
      <c r="V1063" s="382">
        <v>413</v>
      </c>
      <c r="W1063" s="382">
        <v>0</v>
      </c>
      <c r="X1063" s="381">
        <v>0.17208333333333334</v>
      </c>
      <c r="Y1063" s="381">
        <v>0.17208333333333334</v>
      </c>
      <c r="Z1063" s="381">
        <v>0</v>
      </c>
      <c r="AA1063" s="381">
        <v>0</v>
      </c>
      <c r="AB1063" s="381">
        <v>0</v>
      </c>
      <c r="AC1063" s="382">
        <v>0.17208333333333334</v>
      </c>
      <c r="AD1063" s="382">
        <v>0</v>
      </c>
      <c r="AE1063" s="381" t="s">
        <v>168</v>
      </c>
    </row>
    <row r="1064" spans="1:31" ht="15" customHeight="1" x14ac:dyDescent="0.25">
      <c r="A1064" s="20" t="s">
        <v>156</v>
      </c>
      <c r="B1064" s="20" t="s">
        <v>1450</v>
      </c>
      <c r="C1064" s="20" t="s">
        <v>1451</v>
      </c>
      <c r="D1064" s="378" t="s">
        <v>311</v>
      </c>
      <c r="E1064" s="379">
        <v>43646</v>
      </c>
      <c r="F1064" s="379">
        <v>45473</v>
      </c>
      <c r="G1064" s="383" t="s">
        <v>160</v>
      </c>
      <c r="H1064" s="20" t="s">
        <v>286</v>
      </c>
      <c r="I1064" s="20" t="s">
        <v>162</v>
      </c>
      <c r="J1064" s="20" t="s">
        <v>163</v>
      </c>
      <c r="K1064" s="378" t="s">
        <v>287</v>
      </c>
      <c r="L1064" s="20" t="s">
        <v>165</v>
      </c>
      <c r="M1064" s="380">
        <v>2400</v>
      </c>
      <c r="N1064" s="380"/>
      <c r="O1064" s="380"/>
      <c r="P1064" s="380"/>
      <c r="Q1064" s="381" t="s">
        <v>1624</v>
      </c>
      <c r="R1064" s="381" t="s">
        <v>1624</v>
      </c>
      <c r="S1064" s="381"/>
      <c r="T1064" s="381"/>
      <c r="U1064" s="381"/>
      <c r="V1064" s="382">
        <v>308</v>
      </c>
      <c r="W1064" s="382">
        <v>0</v>
      </c>
      <c r="X1064" s="381">
        <v>0.12833333333333333</v>
      </c>
      <c r="Y1064" s="381">
        <v>0.12833333333333333</v>
      </c>
      <c r="Z1064" s="381">
        <v>0</v>
      </c>
      <c r="AA1064" s="381">
        <v>0</v>
      </c>
      <c r="AB1064" s="381">
        <v>0</v>
      </c>
      <c r="AC1064" s="382">
        <v>0.12833333333333333</v>
      </c>
      <c r="AD1064" s="382">
        <v>0</v>
      </c>
      <c r="AE1064" s="381" t="s">
        <v>168</v>
      </c>
    </row>
    <row r="1065" spans="1:31" ht="15" customHeight="1" x14ac:dyDescent="0.25">
      <c r="A1065" s="20" t="s">
        <v>156</v>
      </c>
      <c r="B1065" s="20" t="s">
        <v>1450</v>
      </c>
      <c r="C1065" s="20" t="s">
        <v>1451</v>
      </c>
      <c r="D1065" s="378" t="s">
        <v>313</v>
      </c>
      <c r="E1065" s="379">
        <v>43646</v>
      </c>
      <c r="F1065" s="379">
        <v>45473</v>
      </c>
      <c r="G1065" s="383" t="s">
        <v>160</v>
      </c>
      <c r="H1065" s="20" t="s">
        <v>286</v>
      </c>
      <c r="I1065" s="20" t="s">
        <v>162</v>
      </c>
      <c r="J1065" s="20" t="s">
        <v>163</v>
      </c>
      <c r="K1065" s="378" t="s">
        <v>287</v>
      </c>
      <c r="L1065" s="20" t="s">
        <v>165</v>
      </c>
      <c r="M1065" s="380">
        <v>2400</v>
      </c>
      <c r="N1065" s="380"/>
      <c r="O1065" s="380"/>
      <c r="P1065" s="380"/>
      <c r="Q1065" s="381" t="s">
        <v>1625</v>
      </c>
      <c r="R1065" s="381" t="s">
        <v>1625</v>
      </c>
      <c r="S1065" s="381"/>
      <c r="T1065" s="381"/>
      <c r="U1065" s="381"/>
      <c r="V1065" s="382">
        <v>262</v>
      </c>
      <c r="W1065" s="382">
        <v>0</v>
      </c>
      <c r="X1065" s="381">
        <v>0.10916666666666666</v>
      </c>
      <c r="Y1065" s="381">
        <v>0.10916666666666666</v>
      </c>
      <c r="Z1065" s="381">
        <v>0</v>
      </c>
      <c r="AA1065" s="381">
        <v>0</v>
      </c>
      <c r="AB1065" s="381">
        <v>0</v>
      </c>
      <c r="AC1065" s="382">
        <v>0.10916666666666666</v>
      </c>
      <c r="AD1065" s="382">
        <v>0</v>
      </c>
      <c r="AE1065" s="381" t="s">
        <v>168</v>
      </c>
    </row>
    <row r="1066" spans="1:31" ht="15" customHeight="1" x14ac:dyDescent="0.25">
      <c r="A1066" s="20" t="s">
        <v>156</v>
      </c>
      <c r="B1066" s="20" t="s">
        <v>1450</v>
      </c>
      <c r="C1066" s="20" t="s">
        <v>1451</v>
      </c>
      <c r="D1066" s="378" t="s">
        <v>1626</v>
      </c>
      <c r="E1066" s="379">
        <v>43646</v>
      </c>
      <c r="F1066" s="379">
        <v>45473</v>
      </c>
      <c r="G1066" s="383" t="s">
        <v>316</v>
      </c>
      <c r="H1066" s="20" t="s">
        <v>286</v>
      </c>
      <c r="I1066" s="20" t="s">
        <v>162</v>
      </c>
      <c r="J1066" s="20" t="s">
        <v>163</v>
      </c>
      <c r="K1066" s="378" t="s">
        <v>287</v>
      </c>
      <c r="L1066" s="20" t="s">
        <v>165</v>
      </c>
      <c r="M1066" s="380">
        <v>2400</v>
      </c>
      <c r="N1066" s="380"/>
      <c r="O1066" s="380"/>
      <c r="P1066" s="380"/>
      <c r="Q1066" s="381" t="s">
        <v>1627</v>
      </c>
      <c r="R1066" s="381" t="s">
        <v>1627</v>
      </c>
      <c r="S1066" s="381"/>
      <c r="T1066" s="381"/>
      <c r="U1066" s="381"/>
      <c r="V1066" s="382">
        <v>370</v>
      </c>
      <c r="W1066" s="382">
        <v>0</v>
      </c>
      <c r="X1066" s="381">
        <v>0.15416666666666667</v>
      </c>
      <c r="Y1066" s="381">
        <v>0.15416666666666667</v>
      </c>
      <c r="Z1066" s="381">
        <v>0</v>
      </c>
      <c r="AA1066" s="381">
        <v>0</v>
      </c>
      <c r="AB1066" s="381">
        <v>0</v>
      </c>
      <c r="AC1066" s="382">
        <v>0.15416666666666667</v>
      </c>
      <c r="AD1066" s="382">
        <v>0</v>
      </c>
      <c r="AE1066" s="381" t="s">
        <v>168</v>
      </c>
    </row>
    <row r="1067" spans="1:31" ht="15" customHeight="1" x14ac:dyDescent="0.25">
      <c r="A1067" s="20" t="s">
        <v>156</v>
      </c>
      <c r="B1067" s="20" t="s">
        <v>1450</v>
      </c>
      <c r="C1067" s="20" t="s">
        <v>1451</v>
      </c>
      <c r="D1067" s="378" t="s">
        <v>317</v>
      </c>
      <c r="E1067" s="379">
        <v>43646</v>
      </c>
      <c r="F1067" s="379">
        <v>45473</v>
      </c>
      <c r="G1067" s="383" t="s">
        <v>316</v>
      </c>
      <c r="H1067" s="20" t="s">
        <v>286</v>
      </c>
      <c r="I1067" s="20" t="s">
        <v>162</v>
      </c>
      <c r="J1067" s="20" t="s">
        <v>163</v>
      </c>
      <c r="K1067" s="378" t="s">
        <v>287</v>
      </c>
      <c r="L1067" s="20" t="s">
        <v>165</v>
      </c>
      <c r="M1067" s="380">
        <v>2400</v>
      </c>
      <c r="N1067" s="380"/>
      <c r="O1067" s="380"/>
      <c r="P1067" s="380"/>
      <c r="Q1067" s="381" t="s">
        <v>1628</v>
      </c>
      <c r="R1067" s="381" t="s">
        <v>1628</v>
      </c>
      <c r="S1067" s="381"/>
      <c r="T1067" s="381"/>
      <c r="U1067" s="381"/>
      <c r="V1067" s="382">
        <v>267</v>
      </c>
      <c r="W1067" s="382">
        <v>0</v>
      </c>
      <c r="X1067" s="381">
        <v>0.11125</v>
      </c>
      <c r="Y1067" s="381">
        <v>0.11125</v>
      </c>
      <c r="Z1067" s="381">
        <v>0</v>
      </c>
      <c r="AA1067" s="381">
        <v>0</v>
      </c>
      <c r="AB1067" s="381">
        <v>0</v>
      </c>
      <c r="AC1067" s="382">
        <v>0.11125</v>
      </c>
      <c r="AD1067" s="382">
        <v>0</v>
      </c>
      <c r="AE1067" s="381" t="s">
        <v>168</v>
      </c>
    </row>
    <row r="1068" spans="1:31" ht="15" customHeight="1" x14ac:dyDescent="0.25">
      <c r="A1068" s="20" t="s">
        <v>156</v>
      </c>
      <c r="B1068" s="20" t="s">
        <v>1450</v>
      </c>
      <c r="C1068" s="20" t="s">
        <v>1451</v>
      </c>
      <c r="D1068" s="378" t="s">
        <v>1629</v>
      </c>
      <c r="E1068" s="379">
        <v>44490</v>
      </c>
      <c r="F1068" s="379">
        <v>46316</v>
      </c>
      <c r="G1068" s="378" t="s">
        <v>320</v>
      </c>
      <c r="H1068" s="20" t="s">
        <v>321</v>
      </c>
      <c r="I1068" s="20" t="s">
        <v>162</v>
      </c>
      <c r="J1068" s="20" t="s">
        <v>163</v>
      </c>
      <c r="K1068" s="378" t="s">
        <v>322</v>
      </c>
      <c r="L1068" s="20" t="s">
        <v>165</v>
      </c>
      <c r="M1068" s="380">
        <v>2400</v>
      </c>
      <c r="N1068" s="380"/>
      <c r="O1068" s="380"/>
      <c r="P1068" s="380"/>
      <c r="Q1068" s="381" t="s">
        <v>1630</v>
      </c>
      <c r="R1068" s="381"/>
      <c r="S1068" s="381"/>
      <c r="T1068" s="381"/>
      <c r="U1068" s="381"/>
      <c r="V1068" s="382">
        <v>260.60000000000002</v>
      </c>
      <c r="W1068" s="382">
        <v>0</v>
      </c>
      <c r="X1068" s="381">
        <v>0.10858333333333334</v>
      </c>
      <c r="Y1068" s="381">
        <v>0</v>
      </c>
      <c r="Z1068" s="381">
        <v>0</v>
      </c>
      <c r="AA1068" s="381">
        <v>0</v>
      </c>
      <c r="AB1068" s="381">
        <v>0</v>
      </c>
      <c r="AC1068" s="382">
        <v>0.10858333333333334</v>
      </c>
      <c r="AD1068" s="382">
        <v>0</v>
      </c>
      <c r="AE1068" s="381" t="s">
        <v>168</v>
      </c>
    </row>
    <row r="1069" spans="1:31" ht="15" customHeight="1" x14ac:dyDescent="0.25">
      <c r="A1069" s="20" t="s">
        <v>156</v>
      </c>
      <c r="B1069" s="20" t="s">
        <v>1450</v>
      </c>
      <c r="C1069" s="20" t="s">
        <v>1451</v>
      </c>
      <c r="D1069" s="378" t="s">
        <v>1631</v>
      </c>
      <c r="E1069" s="379">
        <v>44490</v>
      </c>
      <c r="F1069" s="379">
        <v>46316</v>
      </c>
      <c r="G1069" s="378" t="s">
        <v>320</v>
      </c>
      <c r="H1069" s="20" t="s">
        <v>321</v>
      </c>
      <c r="I1069" s="20" t="s">
        <v>162</v>
      </c>
      <c r="J1069" s="20" t="s">
        <v>163</v>
      </c>
      <c r="K1069" s="378" t="s">
        <v>322</v>
      </c>
      <c r="L1069" s="20" t="s">
        <v>165</v>
      </c>
      <c r="M1069" s="380">
        <v>2400</v>
      </c>
      <c r="N1069" s="380"/>
      <c r="O1069" s="380"/>
      <c r="P1069" s="380"/>
      <c r="Q1069" s="381" t="s">
        <v>1632</v>
      </c>
      <c r="R1069" s="381"/>
      <c r="S1069" s="381"/>
      <c r="T1069" s="381"/>
      <c r="U1069" s="381"/>
      <c r="V1069" s="382">
        <v>263.05</v>
      </c>
      <c r="W1069" s="382">
        <v>0</v>
      </c>
      <c r="X1069" s="381">
        <v>0.10960416666666667</v>
      </c>
      <c r="Y1069" s="381">
        <v>0</v>
      </c>
      <c r="Z1069" s="381">
        <v>0</v>
      </c>
      <c r="AA1069" s="381">
        <v>0</v>
      </c>
      <c r="AB1069" s="381">
        <v>0</v>
      </c>
      <c r="AC1069" s="382">
        <v>0.10960416666666667</v>
      </c>
      <c r="AD1069" s="382">
        <v>0</v>
      </c>
      <c r="AE1069" s="381" t="s">
        <v>168</v>
      </c>
    </row>
    <row r="1070" spans="1:31" ht="15" customHeight="1" x14ac:dyDescent="0.25">
      <c r="A1070" s="20" t="s">
        <v>156</v>
      </c>
      <c r="B1070" s="20" t="s">
        <v>1450</v>
      </c>
      <c r="C1070" s="20" t="s">
        <v>1451</v>
      </c>
      <c r="D1070" s="378" t="s">
        <v>1633</v>
      </c>
      <c r="E1070" s="379">
        <v>44490</v>
      </c>
      <c r="F1070" s="379">
        <v>46316</v>
      </c>
      <c r="G1070" s="378" t="s">
        <v>320</v>
      </c>
      <c r="H1070" s="20" t="s">
        <v>321</v>
      </c>
      <c r="I1070" s="20" t="s">
        <v>162</v>
      </c>
      <c r="J1070" s="20" t="s">
        <v>163</v>
      </c>
      <c r="K1070" s="378" t="s">
        <v>322</v>
      </c>
      <c r="L1070" s="20" t="s">
        <v>165</v>
      </c>
      <c r="M1070" s="380">
        <v>2400</v>
      </c>
      <c r="N1070" s="380"/>
      <c r="O1070" s="380"/>
      <c r="P1070" s="380"/>
      <c r="Q1070" s="381" t="s">
        <v>1634</v>
      </c>
      <c r="R1070" s="381"/>
      <c r="S1070" s="381"/>
      <c r="T1070" s="381"/>
      <c r="U1070" s="381"/>
      <c r="V1070" s="382">
        <v>260.86</v>
      </c>
      <c r="W1070" s="382">
        <v>0</v>
      </c>
      <c r="X1070" s="381">
        <v>0.10869166666666667</v>
      </c>
      <c r="Y1070" s="381">
        <v>0</v>
      </c>
      <c r="Z1070" s="381">
        <v>0</v>
      </c>
      <c r="AA1070" s="381">
        <v>0</v>
      </c>
      <c r="AB1070" s="381">
        <v>0</v>
      </c>
      <c r="AC1070" s="382">
        <v>0.10869166666666667</v>
      </c>
      <c r="AD1070" s="382">
        <v>0</v>
      </c>
      <c r="AE1070" s="381" t="s">
        <v>168</v>
      </c>
    </row>
    <row r="1071" spans="1:31" ht="15" customHeight="1" x14ac:dyDescent="0.25">
      <c r="A1071" s="20" t="s">
        <v>156</v>
      </c>
      <c r="B1071" s="20" t="s">
        <v>1450</v>
      </c>
      <c r="C1071" s="20" t="s">
        <v>1451</v>
      </c>
      <c r="D1071" s="378" t="s">
        <v>1635</v>
      </c>
      <c r="E1071" s="379">
        <v>44490</v>
      </c>
      <c r="F1071" s="379">
        <v>46316</v>
      </c>
      <c r="G1071" s="378" t="s">
        <v>320</v>
      </c>
      <c r="H1071" s="20" t="s">
        <v>321</v>
      </c>
      <c r="I1071" s="20" t="s">
        <v>162</v>
      </c>
      <c r="J1071" s="20" t="s">
        <v>163</v>
      </c>
      <c r="K1071" s="378" t="s">
        <v>322</v>
      </c>
      <c r="L1071" s="20" t="s">
        <v>165</v>
      </c>
      <c r="M1071" s="380">
        <v>2400</v>
      </c>
      <c r="N1071" s="380"/>
      <c r="O1071" s="380"/>
      <c r="P1071" s="380"/>
      <c r="Q1071" s="381" t="s">
        <v>1636</v>
      </c>
      <c r="R1071" s="381"/>
      <c r="S1071" s="381"/>
      <c r="T1071" s="381"/>
      <c r="U1071" s="381"/>
      <c r="V1071" s="382">
        <v>263.24</v>
      </c>
      <c r="W1071" s="382">
        <v>0</v>
      </c>
      <c r="X1071" s="381">
        <v>0.10968333333333334</v>
      </c>
      <c r="Y1071" s="381">
        <v>0</v>
      </c>
      <c r="Z1071" s="381">
        <v>0</v>
      </c>
      <c r="AA1071" s="381">
        <v>0</v>
      </c>
      <c r="AB1071" s="381">
        <v>0</v>
      </c>
      <c r="AC1071" s="382">
        <v>0.10968333333333334</v>
      </c>
      <c r="AD1071" s="382">
        <v>0</v>
      </c>
      <c r="AE1071" s="381" t="s">
        <v>168</v>
      </c>
    </row>
    <row r="1072" spans="1:31" ht="15" customHeight="1" x14ac:dyDescent="0.25">
      <c r="A1072" s="20" t="s">
        <v>156</v>
      </c>
      <c r="B1072" s="20" t="s">
        <v>1450</v>
      </c>
      <c r="C1072" s="20" t="s">
        <v>1451</v>
      </c>
      <c r="D1072" s="378" t="s">
        <v>1637</v>
      </c>
      <c r="E1072" s="379">
        <v>44412</v>
      </c>
      <c r="F1072" s="379">
        <v>46238</v>
      </c>
      <c r="G1072" s="378" t="s">
        <v>179</v>
      </c>
      <c r="H1072" s="20" t="s">
        <v>332</v>
      </c>
      <c r="I1072" s="20" t="s">
        <v>162</v>
      </c>
      <c r="J1072" s="20" t="s">
        <v>163</v>
      </c>
      <c r="K1072" s="378" t="s">
        <v>333</v>
      </c>
      <c r="L1072" s="20" t="s">
        <v>165</v>
      </c>
      <c r="M1072" s="380">
        <v>2400</v>
      </c>
      <c r="N1072" s="380"/>
      <c r="O1072" s="380"/>
      <c r="P1072" s="380"/>
      <c r="Q1072" s="381" t="s">
        <v>1638</v>
      </c>
      <c r="R1072" s="381"/>
      <c r="S1072" s="381"/>
      <c r="T1072" s="381"/>
      <c r="U1072" s="381"/>
      <c r="V1072" s="382">
        <v>451.63</v>
      </c>
      <c r="W1072" s="382">
        <v>0</v>
      </c>
      <c r="X1072" s="381">
        <v>0.18817916666666668</v>
      </c>
      <c r="Y1072" s="381">
        <v>0</v>
      </c>
      <c r="Z1072" s="381">
        <v>0</v>
      </c>
      <c r="AA1072" s="381">
        <v>0</v>
      </c>
      <c r="AB1072" s="381">
        <v>0</v>
      </c>
      <c r="AC1072" s="382">
        <v>0.18817916666666668</v>
      </c>
      <c r="AD1072" s="382">
        <v>0</v>
      </c>
      <c r="AE1072" s="381" t="s">
        <v>168</v>
      </c>
    </row>
    <row r="1073" spans="1:31" ht="15" customHeight="1" x14ac:dyDescent="0.25">
      <c r="A1073" s="20" t="s">
        <v>156</v>
      </c>
      <c r="B1073" s="20" t="s">
        <v>1450</v>
      </c>
      <c r="C1073" s="20" t="s">
        <v>1451</v>
      </c>
      <c r="D1073" s="378" t="s">
        <v>1639</v>
      </c>
      <c r="E1073" s="379">
        <v>44412</v>
      </c>
      <c r="F1073" s="379">
        <v>46238</v>
      </c>
      <c r="G1073" s="378" t="s">
        <v>179</v>
      </c>
      <c r="H1073" s="20" t="s">
        <v>332</v>
      </c>
      <c r="I1073" s="20" t="s">
        <v>162</v>
      </c>
      <c r="J1073" s="20" t="s">
        <v>163</v>
      </c>
      <c r="K1073" s="378" t="s">
        <v>333</v>
      </c>
      <c r="L1073" s="20" t="s">
        <v>165</v>
      </c>
      <c r="M1073" s="380">
        <v>2400</v>
      </c>
      <c r="N1073" s="380"/>
      <c r="O1073" s="380"/>
      <c r="P1073" s="380"/>
      <c r="Q1073" s="381" t="s">
        <v>1640</v>
      </c>
      <c r="R1073" s="381"/>
      <c r="S1073" s="381"/>
      <c r="T1073" s="381"/>
      <c r="U1073" s="381"/>
      <c r="V1073" s="382">
        <v>302.33</v>
      </c>
      <c r="W1073" s="382">
        <v>0</v>
      </c>
      <c r="X1073" s="381">
        <v>0.12597083333333334</v>
      </c>
      <c r="Y1073" s="381">
        <v>0</v>
      </c>
      <c r="Z1073" s="381">
        <v>0</v>
      </c>
      <c r="AA1073" s="381">
        <v>0</v>
      </c>
      <c r="AB1073" s="381">
        <v>0</v>
      </c>
      <c r="AC1073" s="382">
        <v>0.12597083333333334</v>
      </c>
      <c r="AD1073" s="382">
        <v>0</v>
      </c>
      <c r="AE1073" s="381" t="s">
        <v>168</v>
      </c>
    </row>
    <row r="1074" spans="1:31" ht="15" customHeight="1" x14ac:dyDescent="0.25">
      <c r="A1074" s="20" t="s">
        <v>156</v>
      </c>
      <c r="B1074" s="20" t="s">
        <v>1450</v>
      </c>
      <c r="C1074" s="20" t="s">
        <v>1451</v>
      </c>
      <c r="D1074" s="378" t="s">
        <v>1641</v>
      </c>
      <c r="E1074" s="379">
        <v>44412</v>
      </c>
      <c r="F1074" s="379">
        <v>46238</v>
      </c>
      <c r="G1074" s="378" t="s">
        <v>179</v>
      </c>
      <c r="H1074" s="20" t="s">
        <v>332</v>
      </c>
      <c r="I1074" s="20" t="s">
        <v>162</v>
      </c>
      <c r="J1074" s="20" t="s">
        <v>163</v>
      </c>
      <c r="K1074" s="378" t="s">
        <v>333</v>
      </c>
      <c r="L1074" s="20" t="s">
        <v>165</v>
      </c>
      <c r="M1074" s="380">
        <v>2400</v>
      </c>
      <c r="N1074" s="380"/>
      <c r="O1074" s="380"/>
      <c r="P1074" s="380"/>
      <c r="Q1074" s="381" t="s">
        <v>1642</v>
      </c>
      <c r="R1074" s="380"/>
      <c r="S1074" s="381"/>
      <c r="T1074" s="381"/>
      <c r="U1074" s="381"/>
      <c r="V1074" s="382">
        <v>278.68</v>
      </c>
      <c r="W1074" s="382">
        <v>0</v>
      </c>
      <c r="X1074" s="381">
        <v>0.11611666666666667</v>
      </c>
      <c r="Y1074" s="381">
        <v>0</v>
      </c>
      <c r="Z1074" s="381">
        <v>0</v>
      </c>
      <c r="AA1074" s="381">
        <v>0</v>
      </c>
      <c r="AB1074" s="381">
        <v>0</v>
      </c>
      <c r="AC1074" s="382">
        <v>0.11611666666666667</v>
      </c>
      <c r="AD1074" s="382">
        <v>0</v>
      </c>
      <c r="AE1074" s="381" t="s">
        <v>168</v>
      </c>
    </row>
    <row r="1075" spans="1:31" ht="15" customHeight="1" x14ac:dyDescent="0.25">
      <c r="A1075" s="20" t="s">
        <v>156</v>
      </c>
      <c r="B1075" s="20" t="s">
        <v>1450</v>
      </c>
      <c r="C1075" s="20" t="s">
        <v>1451</v>
      </c>
      <c r="D1075" s="378" t="s">
        <v>1643</v>
      </c>
      <c r="E1075" s="379">
        <v>44412</v>
      </c>
      <c r="F1075" s="379">
        <v>46238</v>
      </c>
      <c r="G1075" s="378" t="s">
        <v>179</v>
      </c>
      <c r="H1075" s="20" t="s">
        <v>332</v>
      </c>
      <c r="I1075" s="20" t="s">
        <v>162</v>
      </c>
      <c r="J1075" s="20" t="s">
        <v>163</v>
      </c>
      <c r="K1075" s="378" t="s">
        <v>333</v>
      </c>
      <c r="L1075" s="20" t="s">
        <v>165</v>
      </c>
      <c r="M1075" s="380">
        <v>2400</v>
      </c>
      <c r="N1075" s="380"/>
      <c r="O1075" s="380"/>
      <c r="P1075" s="380"/>
      <c r="Q1075" s="381" t="s">
        <v>1644</v>
      </c>
      <c r="R1075" s="380"/>
      <c r="S1075" s="381"/>
      <c r="T1075" s="381"/>
      <c r="U1075" s="381"/>
      <c r="V1075" s="382">
        <v>254.7</v>
      </c>
      <c r="W1075" s="382">
        <v>0</v>
      </c>
      <c r="X1075" s="381">
        <v>0.106125</v>
      </c>
      <c r="Y1075" s="381">
        <v>0</v>
      </c>
      <c r="Z1075" s="381">
        <v>0</v>
      </c>
      <c r="AA1075" s="381">
        <v>0</v>
      </c>
      <c r="AB1075" s="381">
        <v>0</v>
      </c>
      <c r="AC1075" s="382">
        <v>0.106125</v>
      </c>
      <c r="AD1075" s="382">
        <v>0</v>
      </c>
      <c r="AE1075" s="381" t="s">
        <v>168</v>
      </c>
    </row>
    <row r="1076" spans="1:31" ht="15" customHeight="1" x14ac:dyDescent="0.25">
      <c r="A1076" s="20" t="s">
        <v>156</v>
      </c>
      <c r="B1076" s="20" t="s">
        <v>1450</v>
      </c>
      <c r="C1076" s="20" t="s">
        <v>1451</v>
      </c>
      <c r="D1076" s="378" t="s">
        <v>1645</v>
      </c>
      <c r="E1076" s="379">
        <v>44412</v>
      </c>
      <c r="F1076" s="379">
        <v>46238</v>
      </c>
      <c r="G1076" s="378" t="s">
        <v>179</v>
      </c>
      <c r="H1076" s="20" t="s">
        <v>332</v>
      </c>
      <c r="I1076" s="20" t="s">
        <v>162</v>
      </c>
      <c r="J1076" s="20" t="s">
        <v>163</v>
      </c>
      <c r="K1076" s="378" t="s">
        <v>333</v>
      </c>
      <c r="L1076" s="20" t="s">
        <v>165</v>
      </c>
      <c r="M1076" s="380">
        <v>2400</v>
      </c>
      <c r="N1076" s="380"/>
      <c r="O1076" s="380"/>
      <c r="P1076" s="380"/>
      <c r="Q1076" s="381" t="s">
        <v>1646</v>
      </c>
      <c r="R1076" s="380"/>
      <c r="S1076" s="381"/>
      <c r="T1076" s="381"/>
      <c r="U1076" s="381"/>
      <c r="V1076" s="382">
        <v>252.32</v>
      </c>
      <c r="W1076" s="382">
        <v>0</v>
      </c>
      <c r="X1076" s="381">
        <v>0.10513333333333333</v>
      </c>
      <c r="Y1076" s="381">
        <v>0</v>
      </c>
      <c r="Z1076" s="381">
        <v>0</v>
      </c>
      <c r="AA1076" s="381">
        <v>0</v>
      </c>
      <c r="AB1076" s="381">
        <v>0</v>
      </c>
      <c r="AC1076" s="382">
        <v>0.10513333333333333</v>
      </c>
      <c r="AD1076" s="382">
        <v>0</v>
      </c>
      <c r="AE1076" s="381" t="s">
        <v>168</v>
      </c>
    </row>
    <row r="1077" spans="1:31" ht="15" customHeight="1" x14ac:dyDescent="0.25">
      <c r="A1077" s="20" t="s">
        <v>156</v>
      </c>
      <c r="B1077" s="20" t="s">
        <v>1450</v>
      </c>
      <c r="C1077" s="20" t="s">
        <v>1451</v>
      </c>
      <c r="D1077" s="378" t="s">
        <v>1647</v>
      </c>
      <c r="E1077" s="379">
        <v>44294</v>
      </c>
      <c r="F1077" s="379">
        <v>46120</v>
      </c>
      <c r="G1077" s="378" t="s">
        <v>1648</v>
      </c>
      <c r="H1077" s="20" t="s">
        <v>220</v>
      </c>
      <c r="I1077" s="20" t="s">
        <v>162</v>
      </c>
      <c r="J1077" s="20" t="s">
        <v>163</v>
      </c>
      <c r="K1077" s="378" t="s">
        <v>1649</v>
      </c>
      <c r="L1077" s="20" t="s">
        <v>165</v>
      </c>
      <c r="M1077" s="380">
        <v>2400</v>
      </c>
      <c r="N1077" s="380"/>
      <c r="O1077" s="380"/>
      <c r="P1077" s="380"/>
      <c r="Q1077" s="380" t="s">
        <v>1650</v>
      </c>
      <c r="R1077" s="380" t="s">
        <v>1650</v>
      </c>
      <c r="S1077" s="381"/>
      <c r="T1077" s="381"/>
      <c r="U1077" s="381"/>
      <c r="V1077" s="382">
        <v>424.99</v>
      </c>
      <c r="W1077" s="382">
        <v>0</v>
      </c>
      <c r="X1077" s="381">
        <v>0.17707916666666668</v>
      </c>
      <c r="Y1077" s="381">
        <v>0.17707916666666668</v>
      </c>
      <c r="Z1077" s="381">
        <v>0</v>
      </c>
      <c r="AA1077" s="381">
        <v>0</v>
      </c>
      <c r="AB1077" s="381">
        <v>0</v>
      </c>
      <c r="AC1077" s="382">
        <v>0.17707916666666668</v>
      </c>
      <c r="AD1077" s="382">
        <v>0</v>
      </c>
      <c r="AE1077" s="381" t="s">
        <v>168</v>
      </c>
    </row>
    <row r="1078" spans="1:31" ht="15" customHeight="1" x14ac:dyDescent="0.25">
      <c r="A1078" s="20" t="s">
        <v>156</v>
      </c>
      <c r="B1078" s="20" t="s">
        <v>1450</v>
      </c>
      <c r="C1078" s="20" t="s">
        <v>1451</v>
      </c>
      <c r="D1078" s="378" t="s">
        <v>1651</v>
      </c>
      <c r="E1078" s="379">
        <v>44294</v>
      </c>
      <c r="F1078" s="379">
        <v>46120</v>
      </c>
      <c r="G1078" s="378" t="s">
        <v>1648</v>
      </c>
      <c r="H1078" s="20" t="s">
        <v>220</v>
      </c>
      <c r="I1078" s="20" t="s">
        <v>162</v>
      </c>
      <c r="J1078" s="20" t="s">
        <v>163</v>
      </c>
      <c r="K1078" s="378" t="s">
        <v>1649</v>
      </c>
      <c r="L1078" s="20" t="s">
        <v>165</v>
      </c>
      <c r="M1078" s="380">
        <v>2400</v>
      </c>
      <c r="N1078" s="380"/>
      <c r="O1078" s="380"/>
      <c r="P1078" s="380"/>
      <c r="Q1078" s="380" t="s">
        <v>1652</v>
      </c>
      <c r="R1078" s="380" t="s">
        <v>1652</v>
      </c>
      <c r="S1078" s="381"/>
      <c r="T1078" s="381"/>
      <c r="U1078" s="381"/>
      <c r="V1078" s="382">
        <v>426.26</v>
      </c>
      <c r="W1078" s="382">
        <v>0</v>
      </c>
      <c r="X1078" s="381">
        <v>0.17760833333333334</v>
      </c>
      <c r="Y1078" s="381">
        <v>0.17760833333333334</v>
      </c>
      <c r="Z1078" s="381">
        <v>0</v>
      </c>
      <c r="AA1078" s="381">
        <v>0</v>
      </c>
      <c r="AB1078" s="381">
        <v>0</v>
      </c>
      <c r="AC1078" s="382">
        <v>0.17760833333333334</v>
      </c>
      <c r="AD1078" s="382">
        <v>0</v>
      </c>
      <c r="AE1078" s="381" t="s">
        <v>168</v>
      </c>
    </row>
    <row r="1079" spans="1:31" ht="15" customHeight="1" x14ac:dyDescent="0.25">
      <c r="A1079" s="20" t="s">
        <v>156</v>
      </c>
      <c r="B1079" s="20" t="s">
        <v>1450</v>
      </c>
      <c r="C1079" s="20" t="s">
        <v>1451</v>
      </c>
      <c r="D1079" s="378" t="s">
        <v>1653</v>
      </c>
      <c r="E1079" s="379">
        <v>44294</v>
      </c>
      <c r="F1079" s="379">
        <v>46120</v>
      </c>
      <c r="G1079" s="378" t="s">
        <v>1648</v>
      </c>
      <c r="H1079" s="20" t="s">
        <v>220</v>
      </c>
      <c r="I1079" s="20" t="s">
        <v>162</v>
      </c>
      <c r="J1079" s="20" t="s">
        <v>163</v>
      </c>
      <c r="K1079" s="378" t="s">
        <v>1649</v>
      </c>
      <c r="L1079" s="20" t="s">
        <v>165</v>
      </c>
      <c r="M1079" s="380">
        <v>2400</v>
      </c>
      <c r="N1079" s="380"/>
      <c r="O1079" s="380"/>
      <c r="P1079" s="380"/>
      <c r="Q1079" s="380" t="s">
        <v>1654</v>
      </c>
      <c r="R1079" s="380" t="s">
        <v>1654</v>
      </c>
      <c r="S1079" s="381"/>
      <c r="T1079" s="381"/>
      <c r="U1079" s="381"/>
      <c r="V1079" s="382">
        <v>407.83</v>
      </c>
      <c r="W1079" s="382">
        <v>0</v>
      </c>
      <c r="X1079" s="381">
        <v>0.16992916666666666</v>
      </c>
      <c r="Y1079" s="381">
        <v>0.16992916666666666</v>
      </c>
      <c r="Z1079" s="381">
        <v>0</v>
      </c>
      <c r="AA1079" s="381">
        <v>0</v>
      </c>
      <c r="AB1079" s="381">
        <v>0</v>
      </c>
      <c r="AC1079" s="382">
        <v>0.16992916666666666</v>
      </c>
      <c r="AD1079" s="382">
        <v>0</v>
      </c>
      <c r="AE1079" s="381" t="s">
        <v>168</v>
      </c>
    </row>
    <row r="1080" spans="1:31" ht="15" customHeight="1" x14ac:dyDescent="0.25">
      <c r="A1080" s="20" t="s">
        <v>156</v>
      </c>
      <c r="B1080" s="20" t="s">
        <v>1450</v>
      </c>
      <c r="C1080" s="20" t="s">
        <v>1451</v>
      </c>
      <c r="D1080" s="378" t="s">
        <v>1655</v>
      </c>
      <c r="E1080" s="379">
        <v>44294</v>
      </c>
      <c r="F1080" s="379">
        <v>46120</v>
      </c>
      <c r="G1080" s="378" t="s">
        <v>1648</v>
      </c>
      <c r="H1080" s="20" t="s">
        <v>220</v>
      </c>
      <c r="I1080" s="20" t="s">
        <v>162</v>
      </c>
      <c r="J1080" s="20" t="s">
        <v>163</v>
      </c>
      <c r="K1080" s="378" t="s">
        <v>1649</v>
      </c>
      <c r="L1080" s="20" t="s">
        <v>165</v>
      </c>
      <c r="M1080" s="380">
        <v>2400</v>
      </c>
      <c r="N1080" s="380"/>
      <c r="O1080" s="380"/>
      <c r="P1080" s="380"/>
      <c r="Q1080" s="380" t="s">
        <v>1656</v>
      </c>
      <c r="R1080" s="380" t="s">
        <v>1656</v>
      </c>
      <c r="S1080" s="381"/>
      <c r="T1080" s="381"/>
      <c r="U1080" s="381"/>
      <c r="V1080" s="382">
        <v>379.5</v>
      </c>
      <c r="W1080" s="382">
        <v>0</v>
      </c>
      <c r="X1080" s="381">
        <v>0.15812499999999999</v>
      </c>
      <c r="Y1080" s="381">
        <v>0.15812499999999999</v>
      </c>
      <c r="Z1080" s="381">
        <v>0</v>
      </c>
      <c r="AA1080" s="381">
        <v>0</v>
      </c>
      <c r="AB1080" s="381">
        <v>0</v>
      </c>
      <c r="AC1080" s="382">
        <v>0.15812499999999999</v>
      </c>
      <c r="AD1080" s="382">
        <v>0</v>
      </c>
      <c r="AE1080" s="381" t="s">
        <v>168</v>
      </c>
    </row>
    <row r="1081" spans="1:31" ht="15" customHeight="1" x14ac:dyDescent="0.25">
      <c r="A1081" s="20" t="s">
        <v>156</v>
      </c>
      <c r="B1081" s="20" t="s">
        <v>1450</v>
      </c>
      <c r="C1081" s="20" t="s">
        <v>1451</v>
      </c>
      <c r="D1081" s="378" t="s">
        <v>1657</v>
      </c>
      <c r="E1081" s="379">
        <v>44539</v>
      </c>
      <c r="F1081" s="379">
        <v>46365</v>
      </c>
      <c r="G1081" s="378" t="s">
        <v>338</v>
      </c>
      <c r="H1081" s="20" t="s">
        <v>339</v>
      </c>
      <c r="I1081" s="20" t="s">
        <v>162</v>
      </c>
      <c r="J1081" s="20" t="s">
        <v>163</v>
      </c>
      <c r="K1081" s="378" t="s">
        <v>340</v>
      </c>
      <c r="L1081" s="20" t="s">
        <v>165</v>
      </c>
      <c r="M1081" s="380">
        <v>2400</v>
      </c>
      <c r="N1081" s="380"/>
      <c r="O1081" s="380"/>
      <c r="P1081" s="380"/>
      <c r="Q1081" s="381" t="s">
        <v>1658</v>
      </c>
      <c r="R1081" s="381" t="s">
        <v>1658</v>
      </c>
      <c r="S1081" s="381"/>
      <c r="T1081" s="381"/>
      <c r="U1081" s="381"/>
      <c r="V1081" s="382">
        <v>286.14</v>
      </c>
      <c r="W1081" s="382">
        <v>0</v>
      </c>
      <c r="X1081" s="381">
        <v>0.119225</v>
      </c>
      <c r="Y1081" s="381">
        <v>0.119225</v>
      </c>
      <c r="Z1081" s="381">
        <v>0</v>
      </c>
      <c r="AA1081" s="381">
        <v>0</v>
      </c>
      <c r="AB1081" s="381">
        <v>0</v>
      </c>
      <c r="AC1081" s="382">
        <v>0.119225</v>
      </c>
      <c r="AD1081" s="382">
        <v>0</v>
      </c>
      <c r="AE1081" s="381" t="s">
        <v>168</v>
      </c>
    </row>
    <row r="1082" spans="1:31" ht="15" customHeight="1" x14ac:dyDescent="0.25">
      <c r="A1082" s="20" t="s">
        <v>156</v>
      </c>
      <c r="B1082" s="20" t="s">
        <v>1450</v>
      </c>
      <c r="C1082" s="20" t="s">
        <v>1451</v>
      </c>
      <c r="D1082" s="378" t="s">
        <v>1659</v>
      </c>
      <c r="E1082" s="379">
        <v>44539</v>
      </c>
      <c r="F1082" s="379">
        <v>46365</v>
      </c>
      <c r="G1082" s="378" t="s">
        <v>338</v>
      </c>
      <c r="H1082" s="20" t="s">
        <v>339</v>
      </c>
      <c r="I1082" s="20" t="s">
        <v>162</v>
      </c>
      <c r="J1082" s="20" t="s">
        <v>163</v>
      </c>
      <c r="K1082" s="378" t="s">
        <v>340</v>
      </c>
      <c r="L1082" s="20" t="s">
        <v>165</v>
      </c>
      <c r="M1082" s="380">
        <v>2400</v>
      </c>
      <c r="N1082" s="380"/>
      <c r="O1082" s="380"/>
      <c r="P1082" s="380"/>
      <c r="Q1082" s="381" t="s">
        <v>1660</v>
      </c>
      <c r="R1082" s="381" t="s">
        <v>1660</v>
      </c>
      <c r="S1082" s="381"/>
      <c r="T1082" s="381"/>
      <c r="U1082" s="381"/>
      <c r="V1082" s="382">
        <v>286.95</v>
      </c>
      <c r="W1082" s="382">
        <v>0</v>
      </c>
      <c r="X1082" s="381">
        <v>0.1195625</v>
      </c>
      <c r="Y1082" s="381">
        <v>0.1195625</v>
      </c>
      <c r="Z1082" s="381">
        <v>0</v>
      </c>
      <c r="AA1082" s="381">
        <v>0</v>
      </c>
      <c r="AB1082" s="381">
        <v>0</v>
      </c>
      <c r="AC1082" s="382">
        <v>0.1195625</v>
      </c>
      <c r="AD1082" s="382">
        <v>0</v>
      </c>
      <c r="AE1082" s="381" t="s">
        <v>168</v>
      </c>
    </row>
    <row r="1083" spans="1:31" ht="15" customHeight="1" x14ac:dyDescent="0.25">
      <c r="A1083" s="20" t="s">
        <v>156</v>
      </c>
      <c r="B1083" s="20" t="s">
        <v>1450</v>
      </c>
      <c r="C1083" s="20" t="s">
        <v>1451</v>
      </c>
      <c r="D1083" s="378" t="s">
        <v>1661</v>
      </c>
      <c r="E1083" s="379">
        <v>44539</v>
      </c>
      <c r="F1083" s="379">
        <v>46365</v>
      </c>
      <c r="G1083" s="378" t="s">
        <v>338</v>
      </c>
      <c r="H1083" s="20" t="s">
        <v>339</v>
      </c>
      <c r="I1083" s="20" t="s">
        <v>162</v>
      </c>
      <c r="J1083" s="20" t="s">
        <v>163</v>
      </c>
      <c r="K1083" s="378" t="s">
        <v>340</v>
      </c>
      <c r="L1083" s="20" t="s">
        <v>165</v>
      </c>
      <c r="M1083" s="380">
        <v>2400</v>
      </c>
      <c r="N1083" s="380"/>
      <c r="O1083" s="380"/>
      <c r="P1083" s="380"/>
      <c r="Q1083" s="381" t="s">
        <v>1662</v>
      </c>
      <c r="R1083" s="381" t="s">
        <v>1662</v>
      </c>
      <c r="S1083" s="381"/>
      <c r="T1083" s="381"/>
      <c r="U1083" s="381"/>
      <c r="V1083" s="382">
        <v>292.06</v>
      </c>
      <c r="W1083" s="382">
        <v>0</v>
      </c>
      <c r="X1083" s="381">
        <v>0.12169166666666667</v>
      </c>
      <c r="Y1083" s="381">
        <v>0.12169166666666667</v>
      </c>
      <c r="Z1083" s="381">
        <v>0</v>
      </c>
      <c r="AA1083" s="381">
        <v>0</v>
      </c>
      <c r="AB1083" s="381">
        <v>0</v>
      </c>
      <c r="AC1083" s="382">
        <v>0.12169166666666667</v>
      </c>
      <c r="AD1083" s="382">
        <v>0</v>
      </c>
      <c r="AE1083" s="381" t="s">
        <v>168</v>
      </c>
    </row>
    <row r="1084" spans="1:31" ht="15" customHeight="1" x14ac:dyDescent="0.25">
      <c r="A1084" s="20" t="s">
        <v>156</v>
      </c>
      <c r="B1084" s="20" t="s">
        <v>1450</v>
      </c>
      <c r="C1084" s="20" t="s">
        <v>1451</v>
      </c>
      <c r="D1084" s="378" t="s">
        <v>1663</v>
      </c>
      <c r="E1084" s="379">
        <v>44539</v>
      </c>
      <c r="F1084" s="379">
        <v>46365</v>
      </c>
      <c r="G1084" s="378" t="s">
        <v>338</v>
      </c>
      <c r="H1084" s="20" t="s">
        <v>339</v>
      </c>
      <c r="I1084" s="20" t="s">
        <v>162</v>
      </c>
      <c r="J1084" s="20" t="s">
        <v>163</v>
      </c>
      <c r="K1084" s="378" t="s">
        <v>340</v>
      </c>
      <c r="L1084" s="20" t="s">
        <v>165</v>
      </c>
      <c r="M1084" s="380">
        <v>2400</v>
      </c>
      <c r="N1084" s="380"/>
      <c r="O1084" s="380"/>
      <c r="P1084" s="380"/>
      <c r="Q1084" s="381" t="s">
        <v>1664</v>
      </c>
      <c r="R1084" s="381" t="s">
        <v>1664</v>
      </c>
      <c r="S1084" s="381"/>
      <c r="T1084" s="381"/>
      <c r="U1084" s="381"/>
      <c r="V1084" s="382">
        <v>292.68</v>
      </c>
      <c r="W1084" s="382">
        <v>0</v>
      </c>
      <c r="X1084" s="381">
        <v>0.12195</v>
      </c>
      <c r="Y1084" s="381">
        <v>0.12195</v>
      </c>
      <c r="Z1084" s="381">
        <v>0</v>
      </c>
      <c r="AA1084" s="381">
        <v>0</v>
      </c>
      <c r="AB1084" s="381">
        <v>0</v>
      </c>
      <c r="AC1084" s="382">
        <v>0.12195</v>
      </c>
      <c r="AD1084" s="382">
        <v>0</v>
      </c>
      <c r="AE1084" s="381" t="s">
        <v>168</v>
      </c>
    </row>
    <row r="1085" spans="1:31" ht="15" customHeight="1" x14ac:dyDescent="0.25">
      <c r="A1085" s="20" t="s">
        <v>156</v>
      </c>
      <c r="B1085" s="20" t="s">
        <v>1450</v>
      </c>
      <c r="C1085" s="20" t="s">
        <v>1451</v>
      </c>
      <c r="D1085" s="378" t="s">
        <v>1665</v>
      </c>
      <c r="E1085" s="379">
        <v>45016</v>
      </c>
      <c r="F1085" s="379">
        <v>46843</v>
      </c>
      <c r="G1085" s="378" t="s">
        <v>160</v>
      </c>
      <c r="H1085" s="20" t="s">
        <v>416</v>
      </c>
      <c r="I1085" s="20" t="s">
        <v>162</v>
      </c>
      <c r="J1085" s="20" t="s">
        <v>163</v>
      </c>
      <c r="K1085" s="378" t="s">
        <v>417</v>
      </c>
      <c r="L1085" s="20" t="s">
        <v>165</v>
      </c>
      <c r="M1085" s="380">
        <v>2400</v>
      </c>
      <c r="N1085" s="380"/>
      <c r="O1085" s="380"/>
      <c r="P1085" s="380"/>
      <c r="Q1085" s="381">
        <v>227.06</v>
      </c>
      <c r="R1085" s="381">
        <v>226.99</v>
      </c>
      <c r="S1085" s="381">
        <v>7.0000000000000007E-2</v>
      </c>
      <c r="T1085" s="381"/>
      <c r="U1085" s="381"/>
      <c r="V1085" s="382">
        <v>227.06</v>
      </c>
      <c r="W1085" s="382">
        <v>0</v>
      </c>
      <c r="X1085" s="381">
        <v>9.4608333333333336E-2</v>
      </c>
      <c r="Y1085" s="381">
        <v>9.4579166666666672E-2</v>
      </c>
      <c r="Z1085" s="381">
        <v>2.916666666666667E-5</v>
      </c>
      <c r="AA1085" s="381">
        <v>0</v>
      </c>
      <c r="AB1085" s="381">
        <v>0</v>
      </c>
      <c r="AC1085" s="382">
        <v>9.4608333333333336E-2</v>
      </c>
      <c r="AD1085" s="382">
        <v>0</v>
      </c>
      <c r="AE1085" s="381" t="s">
        <v>168</v>
      </c>
    </row>
    <row r="1086" spans="1:31" ht="15" customHeight="1" x14ac:dyDescent="0.25">
      <c r="A1086" s="20" t="s">
        <v>156</v>
      </c>
      <c r="B1086" s="20" t="s">
        <v>1450</v>
      </c>
      <c r="C1086" s="20" t="s">
        <v>1451</v>
      </c>
      <c r="D1086" s="378" t="s">
        <v>1666</v>
      </c>
      <c r="E1086" s="379">
        <v>45016</v>
      </c>
      <c r="F1086" s="379">
        <v>46843</v>
      </c>
      <c r="G1086" s="378" t="s">
        <v>160</v>
      </c>
      <c r="H1086" s="20" t="s">
        <v>416</v>
      </c>
      <c r="I1086" s="20" t="s">
        <v>162</v>
      </c>
      <c r="J1086" s="20" t="s">
        <v>163</v>
      </c>
      <c r="K1086" s="378" t="s">
        <v>417</v>
      </c>
      <c r="L1086" s="20" t="s">
        <v>165</v>
      </c>
      <c r="M1086" s="380">
        <v>2400</v>
      </c>
      <c r="N1086" s="380"/>
      <c r="O1086" s="380"/>
      <c r="P1086" s="380"/>
      <c r="Q1086" s="381">
        <v>233.63</v>
      </c>
      <c r="R1086" s="381">
        <v>233.57</v>
      </c>
      <c r="S1086" s="381">
        <v>0.06</v>
      </c>
      <c r="T1086" s="381"/>
      <c r="U1086" s="381"/>
      <c r="V1086" s="382">
        <v>233.63</v>
      </c>
      <c r="W1086" s="382">
        <v>0</v>
      </c>
      <c r="X1086" s="381">
        <v>9.7345833333333326E-2</v>
      </c>
      <c r="Y1086" s="381">
        <v>9.7320833333333329E-2</v>
      </c>
      <c r="Z1086" s="381">
        <v>2.4999999999999998E-5</v>
      </c>
      <c r="AA1086" s="381">
        <v>0</v>
      </c>
      <c r="AB1086" s="381">
        <v>0</v>
      </c>
      <c r="AC1086" s="382">
        <v>9.7345833333333326E-2</v>
      </c>
      <c r="AD1086" s="382">
        <v>0</v>
      </c>
      <c r="AE1086" s="381" t="s">
        <v>168</v>
      </c>
    </row>
    <row r="1087" spans="1:31" ht="15" customHeight="1" x14ac:dyDescent="0.25">
      <c r="A1087" s="20" t="s">
        <v>156</v>
      </c>
      <c r="B1087" s="20" t="s">
        <v>1450</v>
      </c>
      <c r="C1087" s="20" t="s">
        <v>1451</v>
      </c>
      <c r="D1087" s="378" t="s">
        <v>1667</v>
      </c>
      <c r="E1087" s="379">
        <v>45016</v>
      </c>
      <c r="F1087" s="379">
        <v>46843</v>
      </c>
      <c r="G1087" s="378" t="s">
        <v>160</v>
      </c>
      <c r="H1087" s="20" t="s">
        <v>416</v>
      </c>
      <c r="I1087" s="20" t="s">
        <v>162</v>
      </c>
      <c r="J1087" s="20" t="s">
        <v>163</v>
      </c>
      <c r="K1087" s="378" t="s">
        <v>417</v>
      </c>
      <c r="L1087" s="20" t="s">
        <v>165</v>
      </c>
      <c r="M1087" s="380">
        <v>2400</v>
      </c>
      <c r="N1087" s="380"/>
      <c r="O1087" s="380"/>
      <c r="P1087" s="380"/>
      <c r="Q1087" s="381">
        <v>225.98</v>
      </c>
      <c r="R1087" s="381">
        <v>225.92</v>
      </c>
      <c r="S1087" s="381">
        <v>0.06</v>
      </c>
      <c r="T1087" s="381"/>
      <c r="U1087" s="381"/>
      <c r="V1087" s="382">
        <v>225.98</v>
      </c>
      <c r="W1087" s="382">
        <v>0</v>
      </c>
      <c r="X1087" s="381">
        <v>9.415833333333333E-2</v>
      </c>
      <c r="Y1087" s="381">
        <v>9.4133333333333333E-2</v>
      </c>
      <c r="Z1087" s="381">
        <v>2.4999999999999998E-5</v>
      </c>
      <c r="AA1087" s="381">
        <v>0</v>
      </c>
      <c r="AB1087" s="381">
        <v>0</v>
      </c>
      <c r="AC1087" s="382">
        <v>9.415833333333333E-2</v>
      </c>
      <c r="AD1087" s="382">
        <v>0</v>
      </c>
      <c r="AE1087" s="381" t="s">
        <v>168</v>
      </c>
    </row>
    <row r="1088" spans="1:31" ht="15" customHeight="1" x14ac:dyDescent="0.25">
      <c r="A1088" s="20" t="s">
        <v>156</v>
      </c>
      <c r="B1088" s="20" t="s">
        <v>1588</v>
      </c>
      <c r="C1088" s="20" t="s">
        <v>1451</v>
      </c>
      <c r="D1088" s="378" t="s">
        <v>1668</v>
      </c>
      <c r="E1088" s="379">
        <v>45016</v>
      </c>
      <c r="F1088" s="379">
        <v>46843</v>
      </c>
      <c r="G1088" s="378" t="s">
        <v>281</v>
      </c>
      <c r="H1088" s="20" t="s">
        <v>282</v>
      </c>
      <c r="I1088" s="20" t="s">
        <v>162</v>
      </c>
      <c r="J1088" s="20" t="s">
        <v>163</v>
      </c>
      <c r="K1088" s="378" t="s">
        <v>283</v>
      </c>
      <c r="L1088" s="20" t="s">
        <v>165</v>
      </c>
      <c r="M1088" s="380">
        <v>2400</v>
      </c>
      <c r="N1088" s="380"/>
      <c r="O1088" s="380"/>
      <c r="P1088" s="380"/>
      <c r="Q1088" s="381">
        <v>338.84</v>
      </c>
      <c r="R1088" s="381">
        <v>338.84</v>
      </c>
      <c r="S1088" s="381">
        <v>-4.4200000000000003E-3</v>
      </c>
      <c r="T1088" s="381"/>
      <c r="U1088" s="381"/>
      <c r="V1088" s="382">
        <v>338.84</v>
      </c>
      <c r="W1088" s="382">
        <v>0</v>
      </c>
      <c r="X1088" s="381">
        <v>0.14118333333333333</v>
      </c>
      <c r="Y1088" s="381">
        <v>0.14118333333333333</v>
      </c>
      <c r="Z1088" s="381">
        <v>-1.8416666666666669E-6</v>
      </c>
      <c r="AA1088" s="381">
        <v>0</v>
      </c>
      <c r="AB1088" s="381">
        <v>0</v>
      </c>
      <c r="AC1088" s="382">
        <v>0.14118333333333333</v>
      </c>
      <c r="AD1088" s="382">
        <v>0</v>
      </c>
      <c r="AE1088" s="381" t="s">
        <v>168</v>
      </c>
    </row>
    <row r="1089" spans="1:31" ht="15" customHeight="1" x14ac:dyDescent="0.25">
      <c r="A1089" s="20" t="s">
        <v>156</v>
      </c>
      <c r="B1089" s="20" t="s">
        <v>1450</v>
      </c>
      <c r="C1089" s="20" t="s">
        <v>1451</v>
      </c>
      <c r="D1089" s="378" t="s">
        <v>1669</v>
      </c>
      <c r="E1089" s="379">
        <v>45016</v>
      </c>
      <c r="F1089" s="379">
        <v>46843</v>
      </c>
      <c r="G1089" s="378" t="s">
        <v>281</v>
      </c>
      <c r="H1089" s="20" t="s">
        <v>282</v>
      </c>
      <c r="I1089" s="20" t="s">
        <v>162</v>
      </c>
      <c r="J1089" s="20" t="s">
        <v>163</v>
      </c>
      <c r="K1089" s="378" t="s">
        <v>283</v>
      </c>
      <c r="L1089" s="20" t="s">
        <v>165</v>
      </c>
      <c r="M1089" s="380">
        <v>2400</v>
      </c>
      <c r="N1089" s="380"/>
      <c r="O1089" s="380"/>
      <c r="P1089" s="380"/>
      <c r="Q1089" s="381">
        <v>360.88</v>
      </c>
      <c r="R1089" s="381">
        <v>360.88</v>
      </c>
      <c r="S1089" s="381">
        <v>-7.2300000000000003E-3</v>
      </c>
      <c r="T1089" s="381"/>
      <c r="U1089" s="381"/>
      <c r="V1089" s="382">
        <v>360.88</v>
      </c>
      <c r="W1089" s="382">
        <v>0</v>
      </c>
      <c r="X1089" s="381">
        <v>0.15036666666666668</v>
      </c>
      <c r="Y1089" s="381">
        <v>0.15036666666666668</v>
      </c>
      <c r="Z1089" s="381">
        <v>-3.0125E-6</v>
      </c>
      <c r="AA1089" s="381">
        <v>0</v>
      </c>
      <c r="AB1089" s="381">
        <v>0</v>
      </c>
      <c r="AC1089" s="382">
        <v>0.15036666666666668</v>
      </c>
      <c r="AD1089" s="382">
        <v>0</v>
      </c>
      <c r="AE1089" s="381" t="s">
        <v>168</v>
      </c>
    </row>
    <row r="1090" spans="1:31" ht="15" customHeight="1" x14ac:dyDescent="0.25">
      <c r="A1090" s="20" t="s">
        <v>156</v>
      </c>
      <c r="B1090" s="20" t="s">
        <v>1450</v>
      </c>
      <c r="C1090" s="20" t="s">
        <v>1451</v>
      </c>
      <c r="D1090" s="378" t="s">
        <v>1670</v>
      </c>
      <c r="E1090" s="379">
        <v>45016</v>
      </c>
      <c r="F1090" s="379">
        <v>46843</v>
      </c>
      <c r="G1090" s="378" t="s">
        <v>281</v>
      </c>
      <c r="H1090" s="20" t="s">
        <v>282</v>
      </c>
      <c r="I1090" s="20" t="s">
        <v>162</v>
      </c>
      <c r="J1090" s="20" t="s">
        <v>163</v>
      </c>
      <c r="K1090" s="378" t="s">
        <v>283</v>
      </c>
      <c r="L1090" s="20" t="s">
        <v>165</v>
      </c>
      <c r="M1090" s="380">
        <v>2400</v>
      </c>
      <c r="N1090" s="380"/>
      <c r="O1090" s="380"/>
      <c r="P1090" s="380"/>
      <c r="Q1090" s="381">
        <v>415.12</v>
      </c>
      <c r="R1090" s="381">
        <v>415.12</v>
      </c>
      <c r="S1090" s="381">
        <v>-9.6500000000000006E-3</v>
      </c>
      <c r="T1090" s="381"/>
      <c r="U1090" s="381"/>
      <c r="V1090" s="382">
        <v>415.12</v>
      </c>
      <c r="W1090" s="382">
        <v>0</v>
      </c>
      <c r="X1090" s="381">
        <v>0.17296666666666666</v>
      </c>
      <c r="Y1090" s="381">
        <v>0.17296666666666666</v>
      </c>
      <c r="Z1090" s="381">
        <v>-4.0208333333333339E-6</v>
      </c>
      <c r="AA1090" s="381">
        <v>0</v>
      </c>
      <c r="AB1090" s="381">
        <v>0</v>
      </c>
      <c r="AC1090" s="382">
        <v>0.17296666666666666</v>
      </c>
      <c r="AD1090" s="382">
        <v>0</v>
      </c>
      <c r="AE1090" s="381" t="s">
        <v>168</v>
      </c>
    </row>
    <row r="1091" spans="1:31" ht="15" customHeight="1" x14ac:dyDescent="0.25">
      <c r="A1091" s="20" t="s">
        <v>156</v>
      </c>
      <c r="B1091" s="20" t="s">
        <v>1450</v>
      </c>
      <c r="C1091" s="20" t="s">
        <v>1451</v>
      </c>
      <c r="D1091" s="378" t="s">
        <v>1671</v>
      </c>
      <c r="E1091" s="379">
        <v>45016</v>
      </c>
      <c r="F1091" s="379">
        <v>46843</v>
      </c>
      <c r="G1091" s="378" t="s">
        <v>281</v>
      </c>
      <c r="H1091" s="20" t="s">
        <v>282</v>
      </c>
      <c r="I1091" s="20" t="s">
        <v>162</v>
      </c>
      <c r="J1091" s="20" t="s">
        <v>163</v>
      </c>
      <c r="K1091" s="378" t="s">
        <v>283</v>
      </c>
      <c r="L1091" s="20" t="s">
        <v>165</v>
      </c>
      <c r="M1091" s="380">
        <v>2400</v>
      </c>
      <c r="N1091" s="380"/>
      <c r="O1091" s="380"/>
      <c r="P1091" s="380"/>
      <c r="Q1091" s="381">
        <v>415.12</v>
      </c>
      <c r="R1091" s="381">
        <v>415.12</v>
      </c>
      <c r="S1091" s="381">
        <v>-9.6500000000000006E-3</v>
      </c>
      <c r="T1091" s="381"/>
      <c r="U1091" s="381"/>
      <c r="V1091" s="382">
        <v>415.12</v>
      </c>
      <c r="W1091" s="382">
        <v>0</v>
      </c>
      <c r="X1091" s="381">
        <v>0.17296666666666666</v>
      </c>
      <c r="Y1091" s="381">
        <v>0.17296666666666666</v>
      </c>
      <c r="Z1091" s="381">
        <v>-4.0208333333333339E-6</v>
      </c>
      <c r="AA1091" s="381">
        <v>0</v>
      </c>
      <c r="AB1091" s="381">
        <v>0</v>
      </c>
      <c r="AC1091" s="382">
        <v>0.17296666666666666</v>
      </c>
      <c r="AD1091" s="382">
        <v>0</v>
      </c>
      <c r="AE1091" s="381" t="s">
        <v>168</v>
      </c>
    </row>
    <row r="1092" spans="1:31" ht="15" customHeight="1" x14ac:dyDescent="0.25">
      <c r="A1092" s="20" t="s">
        <v>156</v>
      </c>
      <c r="B1092" s="20" t="s">
        <v>1450</v>
      </c>
      <c r="C1092" s="20" t="s">
        <v>1451</v>
      </c>
      <c r="D1092" s="378" t="s">
        <v>1672</v>
      </c>
      <c r="E1092" s="379">
        <v>44788</v>
      </c>
      <c r="F1092" s="379">
        <v>46113</v>
      </c>
      <c r="G1092" s="378" t="s">
        <v>320</v>
      </c>
      <c r="H1092" s="20" t="s">
        <v>352</v>
      </c>
      <c r="I1092" s="20" t="s">
        <v>353</v>
      </c>
      <c r="J1092" s="20" t="s">
        <v>163</v>
      </c>
      <c r="K1092" s="378" t="s">
        <v>354</v>
      </c>
      <c r="L1092" s="20" t="s">
        <v>165</v>
      </c>
      <c r="M1092" s="380">
        <v>2400</v>
      </c>
      <c r="N1092" s="380"/>
      <c r="O1092" s="380"/>
      <c r="P1092" s="380"/>
      <c r="Q1092" s="381">
        <v>358</v>
      </c>
      <c r="R1092" s="381"/>
      <c r="S1092" s="381"/>
      <c r="T1092" s="381"/>
      <c r="U1092" s="381"/>
      <c r="V1092" s="382">
        <v>358</v>
      </c>
      <c r="W1092" s="382">
        <v>0</v>
      </c>
      <c r="X1092" s="381">
        <v>0.14916666666666667</v>
      </c>
      <c r="Y1092" s="381">
        <v>0</v>
      </c>
      <c r="Z1092" s="381">
        <v>0</v>
      </c>
      <c r="AA1092" s="381">
        <v>0</v>
      </c>
      <c r="AB1092" s="381">
        <v>0</v>
      </c>
      <c r="AC1092" s="382">
        <v>0.14916666666666667</v>
      </c>
      <c r="AD1092" s="382">
        <v>0</v>
      </c>
      <c r="AE1092" s="381" t="s">
        <v>168</v>
      </c>
    </row>
    <row r="1093" spans="1:31" ht="15" customHeight="1" x14ac:dyDescent="0.25">
      <c r="A1093" s="20" t="s">
        <v>156</v>
      </c>
      <c r="B1093" s="20" t="s">
        <v>1450</v>
      </c>
      <c r="C1093" s="20" t="s">
        <v>1451</v>
      </c>
      <c r="D1093" s="378" t="s">
        <v>1673</v>
      </c>
      <c r="E1093" s="379">
        <v>44788</v>
      </c>
      <c r="F1093" s="379">
        <v>46113</v>
      </c>
      <c r="G1093" s="378" t="s">
        <v>320</v>
      </c>
      <c r="H1093" s="20" t="s">
        <v>352</v>
      </c>
      <c r="I1093" s="20" t="s">
        <v>353</v>
      </c>
      <c r="J1093" s="20" t="s">
        <v>163</v>
      </c>
      <c r="K1093" s="378" t="s">
        <v>354</v>
      </c>
      <c r="L1093" s="20" t="s">
        <v>165</v>
      </c>
      <c r="M1093" s="380">
        <v>2400</v>
      </c>
      <c r="N1093" s="380"/>
      <c r="O1093" s="380"/>
      <c r="P1093" s="380"/>
      <c r="Q1093" s="381">
        <v>336</v>
      </c>
      <c r="R1093" s="381"/>
      <c r="S1093" s="381"/>
      <c r="T1093" s="381"/>
      <c r="U1093" s="381"/>
      <c r="V1093" s="382">
        <v>336</v>
      </c>
      <c r="W1093" s="382">
        <v>0</v>
      </c>
      <c r="X1093" s="381">
        <v>0.14000000000000001</v>
      </c>
      <c r="Y1093" s="381">
        <v>0</v>
      </c>
      <c r="Z1093" s="381">
        <v>0</v>
      </c>
      <c r="AA1093" s="381">
        <v>0</v>
      </c>
      <c r="AB1093" s="381">
        <v>0</v>
      </c>
      <c r="AC1093" s="382">
        <v>0.14000000000000001</v>
      </c>
      <c r="AD1093" s="382">
        <v>0</v>
      </c>
      <c r="AE1093" s="381" t="s">
        <v>168</v>
      </c>
    </row>
    <row r="1094" spans="1:31" ht="15" customHeight="1" x14ac:dyDescent="0.25">
      <c r="A1094" s="20" t="s">
        <v>156</v>
      </c>
      <c r="B1094" s="20" t="s">
        <v>1450</v>
      </c>
      <c r="C1094" s="20" t="s">
        <v>1451</v>
      </c>
      <c r="D1094" s="378" t="s">
        <v>1674</v>
      </c>
      <c r="E1094" s="379">
        <v>44788</v>
      </c>
      <c r="F1094" s="379">
        <v>46113</v>
      </c>
      <c r="G1094" s="378" t="s">
        <v>320</v>
      </c>
      <c r="H1094" s="20" t="s">
        <v>352</v>
      </c>
      <c r="I1094" s="20" t="s">
        <v>353</v>
      </c>
      <c r="J1094" s="20" t="s">
        <v>163</v>
      </c>
      <c r="K1094" s="378" t="s">
        <v>354</v>
      </c>
      <c r="L1094" s="20" t="s">
        <v>165</v>
      </c>
      <c r="M1094" s="380">
        <v>2400</v>
      </c>
      <c r="N1094" s="380"/>
      <c r="O1094" s="380"/>
      <c r="P1094" s="380"/>
      <c r="Q1094" s="381">
        <v>254</v>
      </c>
      <c r="R1094" s="381"/>
      <c r="S1094" s="381"/>
      <c r="T1094" s="381"/>
      <c r="U1094" s="381"/>
      <c r="V1094" s="382">
        <v>254</v>
      </c>
      <c r="W1094" s="382">
        <v>0</v>
      </c>
      <c r="X1094" s="381">
        <v>0.10583333333333333</v>
      </c>
      <c r="Y1094" s="381">
        <v>0</v>
      </c>
      <c r="Z1094" s="381">
        <v>0</v>
      </c>
      <c r="AA1094" s="381">
        <v>0</v>
      </c>
      <c r="AB1094" s="381">
        <v>0</v>
      </c>
      <c r="AC1094" s="382">
        <v>0.10583333333333333</v>
      </c>
      <c r="AD1094" s="382">
        <v>0</v>
      </c>
      <c r="AE1094" s="381" t="s">
        <v>168</v>
      </c>
    </row>
    <row r="1095" spans="1:31" ht="15" customHeight="1" x14ac:dyDescent="0.25">
      <c r="A1095" s="20" t="s">
        <v>156</v>
      </c>
      <c r="B1095" s="20" t="s">
        <v>1450</v>
      </c>
      <c r="C1095" s="20" t="s">
        <v>1451</v>
      </c>
      <c r="D1095" s="378" t="s">
        <v>1675</v>
      </c>
      <c r="E1095" s="379">
        <v>44788</v>
      </c>
      <c r="F1095" s="379">
        <v>46113</v>
      </c>
      <c r="G1095" s="378" t="s">
        <v>320</v>
      </c>
      <c r="H1095" s="20" t="s">
        <v>352</v>
      </c>
      <c r="I1095" s="20" t="s">
        <v>353</v>
      </c>
      <c r="J1095" s="20" t="s">
        <v>163</v>
      </c>
      <c r="K1095" s="378" t="s">
        <v>354</v>
      </c>
      <c r="L1095" s="20" t="s">
        <v>165</v>
      </c>
      <c r="M1095" s="380">
        <v>2400</v>
      </c>
      <c r="N1095" s="380"/>
      <c r="O1095" s="380"/>
      <c r="P1095" s="380"/>
      <c r="Q1095" s="381">
        <v>316</v>
      </c>
      <c r="R1095" s="381"/>
      <c r="S1095" s="381"/>
      <c r="T1095" s="381"/>
      <c r="U1095" s="381"/>
      <c r="V1095" s="382">
        <v>316</v>
      </c>
      <c r="W1095" s="382">
        <v>0</v>
      </c>
      <c r="X1095" s="381">
        <v>0.13166666666666665</v>
      </c>
      <c r="Y1095" s="381">
        <v>0</v>
      </c>
      <c r="Z1095" s="381">
        <v>0</v>
      </c>
      <c r="AA1095" s="381">
        <v>0</v>
      </c>
      <c r="AB1095" s="381">
        <v>0</v>
      </c>
      <c r="AC1095" s="382">
        <v>0.13166666666666665</v>
      </c>
      <c r="AD1095" s="382">
        <v>0</v>
      </c>
      <c r="AE1095" s="381" t="s">
        <v>168</v>
      </c>
    </row>
    <row r="1096" spans="1:31" ht="15" customHeight="1" x14ac:dyDescent="0.25">
      <c r="A1096" s="20" t="s">
        <v>156</v>
      </c>
      <c r="B1096" s="20" t="s">
        <v>1450</v>
      </c>
      <c r="C1096" s="20" t="s">
        <v>1451</v>
      </c>
      <c r="D1096" s="378" t="s">
        <v>1676</v>
      </c>
      <c r="E1096" s="379">
        <v>44788</v>
      </c>
      <c r="F1096" s="379">
        <v>46113</v>
      </c>
      <c r="G1096" s="378" t="s">
        <v>320</v>
      </c>
      <c r="H1096" s="20" t="s">
        <v>352</v>
      </c>
      <c r="I1096" s="20" t="s">
        <v>353</v>
      </c>
      <c r="J1096" s="20" t="s">
        <v>163</v>
      </c>
      <c r="K1096" s="378" t="s">
        <v>354</v>
      </c>
      <c r="L1096" s="20" t="s">
        <v>165</v>
      </c>
      <c r="M1096" s="380">
        <v>2400</v>
      </c>
      <c r="N1096" s="380"/>
      <c r="O1096" s="380"/>
      <c r="P1096" s="380"/>
      <c r="Q1096" s="381">
        <v>373</v>
      </c>
      <c r="R1096" s="381"/>
      <c r="S1096" s="381"/>
      <c r="T1096" s="381"/>
      <c r="U1096" s="381"/>
      <c r="V1096" s="382">
        <v>373</v>
      </c>
      <c r="W1096" s="382">
        <v>0</v>
      </c>
      <c r="X1096" s="381">
        <v>0.15541666666666668</v>
      </c>
      <c r="Y1096" s="381">
        <v>0</v>
      </c>
      <c r="Z1096" s="381">
        <v>0</v>
      </c>
      <c r="AA1096" s="381">
        <v>0</v>
      </c>
      <c r="AB1096" s="381">
        <v>0</v>
      </c>
      <c r="AC1096" s="382">
        <v>0.15541666666666668</v>
      </c>
      <c r="AD1096" s="382">
        <v>0</v>
      </c>
      <c r="AE1096" s="381" t="s">
        <v>168</v>
      </c>
    </row>
    <row r="1097" spans="1:31" ht="15" customHeight="1" x14ac:dyDescent="0.25">
      <c r="A1097" s="20" t="s">
        <v>156</v>
      </c>
      <c r="B1097" s="20" t="s">
        <v>1450</v>
      </c>
      <c r="C1097" s="20" t="s">
        <v>1451</v>
      </c>
      <c r="D1097" s="378" t="s">
        <v>1677</v>
      </c>
      <c r="E1097" s="379">
        <v>44788</v>
      </c>
      <c r="F1097" s="379">
        <v>46113</v>
      </c>
      <c r="G1097" s="378" t="s">
        <v>320</v>
      </c>
      <c r="H1097" s="20" t="s">
        <v>352</v>
      </c>
      <c r="I1097" s="20" t="s">
        <v>353</v>
      </c>
      <c r="J1097" s="20" t="s">
        <v>163</v>
      </c>
      <c r="K1097" s="378" t="s">
        <v>354</v>
      </c>
      <c r="L1097" s="20" t="s">
        <v>165</v>
      </c>
      <c r="M1097" s="380">
        <v>2400</v>
      </c>
      <c r="N1097" s="380"/>
      <c r="O1097" s="380"/>
      <c r="P1097" s="380"/>
      <c r="Q1097" s="381">
        <v>286</v>
      </c>
      <c r="R1097" s="381"/>
      <c r="S1097" s="381"/>
      <c r="T1097" s="381"/>
      <c r="U1097" s="381"/>
      <c r="V1097" s="382">
        <v>286</v>
      </c>
      <c r="W1097" s="382">
        <v>0</v>
      </c>
      <c r="X1097" s="381">
        <v>0.11916666666666667</v>
      </c>
      <c r="Y1097" s="381">
        <v>0</v>
      </c>
      <c r="Z1097" s="381">
        <v>0</v>
      </c>
      <c r="AA1097" s="381">
        <v>0</v>
      </c>
      <c r="AB1097" s="381">
        <v>0</v>
      </c>
      <c r="AC1097" s="382">
        <v>0.11916666666666667</v>
      </c>
      <c r="AD1097" s="382">
        <v>0</v>
      </c>
      <c r="AE1097" s="381" t="s">
        <v>168</v>
      </c>
    </row>
    <row r="1098" spans="1:31" ht="15" customHeight="1" x14ac:dyDescent="0.25">
      <c r="A1098" s="20" t="s">
        <v>156</v>
      </c>
      <c r="B1098" s="20" t="s">
        <v>1450</v>
      </c>
      <c r="C1098" s="20" t="s">
        <v>1451</v>
      </c>
      <c r="D1098" s="378" t="s">
        <v>1678</v>
      </c>
      <c r="E1098" s="379">
        <v>44788</v>
      </c>
      <c r="F1098" s="379">
        <v>46113</v>
      </c>
      <c r="G1098" s="378" t="s">
        <v>320</v>
      </c>
      <c r="H1098" s="20" t="s">
        <v>352</v>
      </c>
      <c r="I1098" s="20" t="s">
        <v>353</v>
      </c>
      <c r="J1098" s="20" t="s">
        <v>163</v>
      </c>
      <c r="K1098" s="378" t="s">
        <v>354</v>
      </c>
      <c r="L1098" s="20" t="s">
        <v>165</v>
      </c>
      <c r="M1098" s="380">
        <v>2400</v>
      </c>
      <c r="N1098" s="380"/>
      <c r="O1098" s="380"/>
      <c r="P1098" s="380"/>
      <c r="Q1098" s="381">
        <v>271</v>
      </c>
      <c r="R1098" s="381"/>
      <c r="S1098" s="381"/>
      <c r="T1098" s="381"/>
      <c r="U1098" s="381"/>
      <c r="V1098" s="382">
        <v>271</v>
      </c>
      <c r="W1098" s="382">
        <v>0</v>
      </c>
      <c r="X1098" s="381">
        <v>0.11291666666666667</v>
      </c>
      <c r="Y1098" s="381">
        <v>0</v>
      </c>
      <c r="Z1098" s="381">
        <v>0</v>
      </c>
      <c r="AA1098" s="381">
        <v>0</v>
      </c>
      <c r="AB1098" s="381">
        <v>0</v>
      </c>
      <c r="AC1098" s="382">
        <v>0.11291666666666667</v>
      </c>
      <c r="AD1098" s="382">
        <v>0</v>
      </c>
      <c r="AE1098" s="381" t="s">
        <v>168</v>
      </c>
    </row>
    <row r="1099" spans="1:31" ht="15" customHeight="1" x14ac:dyDescent="0.25">
      <c r="A1099" s="20" t="s">
        <v>156</v>
      </c>
      <c r="B1099" s="20" t="s">
        <v>1450</v>
      </c>
      <c r="C1099" s="20" t="s">
        <v>1451</v>
      </c>
      <c r="D1099" s="378" t="s">
        <v>1679</v>
      </c>
      <c r="E1099" s="379">
        <v>44788</v>
      </c>
      <c r="F1099" s="379">
        <v>46113</v>
      </c>
      <c r="G1099" s="378" t="s">
        <v>320</v>
      </c>
      <c r="H1099" s="20" t="s">
        <v>352</v>
      </c>
      <c r="I1099" s="20" t="s">
        <v>353</v>
      </c>
      <c r="J1099" s="20" t="s">
        <v>163</v>
      </c>
      <c r="K1099" s="378" t="s">
        <v>354</v>
      </c>
      <c r="L1099" s="20" t="s">
        <v>165</v>
      </c>
      <c r="M1099" s="380">
        <v>2400</v>
      </c>
      <c r="N1099" s="380"/>
      <c r="O1099" s="380"/>
      <c r="P1099" s="380"/>
      <c r="Q1099" s="381">
        <v>371</v>
      </c>
      <c r="R1099" s="381"/>
      <c r="S1099" s="381"/>
      <c r="T1099" s="381"/>
      <c r="U1099" s="381"/>
      <c r="V1099" s="382">
        <v>371</v>
      </c>
      <c r="W1099" s="382">
        <v>0</v>
      </c>
      <c r="X1099" s="381">
        <v>0.15458333333333332</v>
      </c>
      <c r="Y1099" s="381">
        <v>0</v>
      </c>
      <c r="Z1099" s="381">
        <v>0</v>
      </c>
      <c r="AA1099" s="381">
        <v>0</v>
      </c>
      <c r="AB1099" s="381">
        <v>0</v>
      </c>
      <c r="AC1099" s="382">
        <v>0.15458333333333332</v>
      </c>
      <c r="AD1099" s="382">
        <v>0</v>
      </c>
      <c r="AE1099" s="381" t="s">
        <v>168</v>
      </c>
    </row>
    <row r="1100" spans="1:31" ht="15" customHeight="1" x14ac:dyDescent="0.25">
      <c r="A1100" s="20" t="s">
        <v>156</v>
      </c>
      <c r="B1100" s="20" t="s">
        <v>1450</v>
      </c>
      <c r="C1100" s="20" t="s">
        <v>1451</v>
      </c>
      <c r="D1100" s="378" t="s">
        <v>1680</v>
      </c>
      <c r="E1100" s="379">
        <v>44788</v>
      </c>
      <c r="F1100" s="379">
        <v>46113</v>
      </c>
      <c r="G1100" s="378" t="s">
        <v>320</v>
      </c>
      <c r="H1100" s="20" t="s">
        <v>352</v>
      </c>
      <c r="I1100" s="20" t="s">
        <v>353</v>
      </c>
      <c r="J1100" s="20" t="s">
        <v>163</v>
      </c>
      <c r="K1100" s="378" t="s">
        <v>354</v>
      </c>
      <c r="L1100" s="20" t="s">
        <v>165</v>
      </c>
      <c r="M1100" s="380">
        <v>2400</v>
      </c>
      <c r="N1100" s="380"/>
      <c r="O1100" s="380"/>
      <c r="P1100" s="380"/>
      <c r="Q1100" s="381">
        <v>372</v>
      </c>
      <c r="R1100" s="381"/>
      <c r="S1100" s="381"/>
      <c r="T1100" s="381"/>
      <c r="U1100" s="381"/>
      <c r="V1100" s="382">
        <v>372</v>
      </c>
      <c r="W1100" s="382">
        <v>0</v>
      </c>
      <c r="X1100" s="381">
        <v>0.155</v>
      </c>
      <c r="Y1100" s="381">
        <v>0</v>
      </c>
      <c r="Z1100" s="381">
        <v>0</v>
      </c>
      <c r="AA1100" s="381">
        <v>0</v>
      </c>
      <c r="AB1100" s="381">
        <v>0</v>
      </c>
      <c r="AC1100" s="382">
        <v>0.155</v>
      </c>
      <c r="AD1100" s="382">
        <v>0</v>
      </c>
      <c r="AE1100" s="381" t="s">
        <v>168</v>
      </c>
    </row>
    <row r="1101" spans="1:31" ht="15" customHeight="1" x14ac:dyDescent="0.25">
      <c r="A1101" s="20" t="s">
        <v>156</v>
      </c>
      <c r="B1101" s="20" t="s">
        <v>1450</v>
      </c>
      <c r="C1101" s="20" t="s">
        <v>1451</v>
      </c>
      <c r="D1101" s="378" t="s">
        <v>1681</v>
      </c>
      <c r="E1101" s="379">
        <v>44788</v>
      </c>
      <c r="F1101" s="379">
        <v>46113</v>
      </c>
      <c r="G1101" s="378" t="s">
        <v>320</v>
      </c>
      <c r="H1101" s="20" t="s">
        <v>352</v>
      </c>
      <c r="I1101" s="20" t="s">
        <v>353</v>
      </c>
      <c r="J1101" s="20" t="s">
        <v>163</v>
      </c>
      <c r="K1101" s="378" t="s">
        <v>354</v>
      </c>
      <c r="L1101" s="20" t="s">
        <v>165</v>
      </c>
      <c r="M1101" s="380">
        <v>2400</v>
      </c>
      <c r="N1101" s="380"/>
      <c r="O1101" s="380"/>
      <c r="P1101" s="380"/>
      <c r="Q1101" s="381">
        <v>251</v>
      </c>
      <c r="R1101" s="381"/>
      <c r="S1101" s="381"/>
      <c r="T1101" s="381"/>
      <c r="U1101" s="381"/>
      <c r="V1101" s="382">
        <v>251</v>
      </c>
      <c r="W1101" s="382">
        <v>0</v>
      </c>
      <c r="X1101" s="381">
        <v>0.10458333333333333</v>
      </c>
      <c r="Y1101" s="381">
        <v>0</v>
      </c>
      <c r="Z1101" s="381">
        <v>0</v>
      </c>
      <c r="AA1101" s="381">
        <v>0</v>
      </c>
      <c r="AB1101" s="381">
        <v>0</v>
      </c>
      <c r="AC1101" s="382">
        <v>0.10458333333333333</v>
      </c>
      <c r="AD1101" s="382">
        <v>0</v>
      </c>
      <c r="AE1101" s="381" t="s">
        <v>168</v>
      </c>
    </row>
    <row r="1102" spans="1:31" ht="15" customHeight="1" x14ac:dyDescent="0.25">
      <c r="A1102" s="20" t="s">
        <v>156</v>
      </c>
      <c r="B1102" s="20" t="s">
        <v>1450</v>
      </c>
      <c r="C1102" s="20" t="s">
        <v>1451</v>
      </c>
      <c r="D1102" s="378" t="s">
        <v>1682</v>
      </c>
      <c r="E1102" s="379">
        <v>44788</v>
      </c>
      <c r="F1102" s="379">
        <v>46113</v>
      </c>
      <c r="G1102" s="378" t="s">
        <v>320</v>
      </c>
      <c r="H1102" s="20" t="s">
        <v>352</v>
      </c>
      <c r="I1102" s="20" t="s">
        <v>353</v>
      </c>
      <c r="J1102" s="20" t="s">
        <v>163</v>
      </c>
      <c r="K1102" s="378" t="s">
        <v>354</v>
      </c>
      <c r="L1102" s="20" t="s">
        <v>165</v>
      </c>
      <c r="M1102" s="380">
        <v>2400</v>
      </c>
      <c r="N1102" s="380"/>
      <c r="O1102" s="380"/>
      <c r="P1102" s="380"/>
      <c r="Q1102" s="381">
        <v>314</v>
      </c>
      <c r="R1102" s="381"/>
      <c r="S1102" s="381"/>
      <c r="T1102" s="381"/>
      <c r="U1102" s="381"/>
      <c r="V1102" s="382">
        <v>314</v>
      </c>
      <c r="W1102" s="382">
        <v>0</v>
      </c>
      <c r="X1102" s="381">
        <v>0.13083333333333333</v>
      </c>
      <c r="Y1102" s="381">
        <v>0</v>
      </c>
      <c r="Z1102" s="381">
        <v>0</v>
      </c>
      <c r="AA1102" s="381">
        <v>0</v>
      </c>
      <c r="AB1102" s="381">
        <v>0</v>
      </c>
      <c r="AC1102" s="382">
        <v>0.13083333333333333</v>
      </c>
      <c r="AD1102" s="382">
        <v>0</v>
      </c>
      <c r="AE1102" s="381" t="s">
        <v>168</v>
      </c>
    </row>
    <row r="1103" spans="1:31" ht="15" customHeight="1" x14ac:dyDescent="0.25">
      <c r="A1103" s="20" t="s">
        <v>156</v>
      </c>
      <c r="B1103" s="20" t="s">
        <v>1450</v>
      </c>
      <c r="C1103" s="20" t="s">
        <v>1451</v>
      </c>
      <c r="D1103" s="378" t="s">
        <v>1683</v>
      </c>
      <c r="E1103" s="379">
        <v>44788</v>
      </c>
      <c r="F1103" s="379">
        <v>46113</v>
      </c>
      <c r="G1103" s="378" t="s">
        <v>320</v>
      </c>
      <c r="H1103" s="20" t="s">
        <v>352</v>
      </c>
      <c r="I1103" s="20" t="s">
        <v>353</v>
      </c>
      <c r="J1103" s="20" t="s">
        <v>163</v>
      </c>
      <c r="K1103" s="378" t="s">
        <v>354</v>
      </c>
      <c r="L1103" s="20" t="s">
        <v>165</v>
      </c>
      <c r="M1103" s="380">
        <v>2400</v>
      </c>
      <c r="N1103" s="380"/>
      <c r="O1103" s="380"/>
      <c r="P1103" s="380"/>
      <c r="Q1103" s="381">
        <v>363</v>
      </c>
      <c r="R1103" s="381"/>
      <c r="S1103" s="381"/>
      <c r="T1103" s="381"/>
      <c r="U1103" s="381"/>
      <c r="V1103" s="382">
        <v>363</v>
      </c>
      <c r="W1103" s="382">
        <v>0</v>
      </c>
      <c r="X1103" s="381">
        <v>0.15125</v>
      </c>
      <c r="Y1103" s="381">
        <v>0</v>
      </c>
      <c r="Z1103" s="381">
        <v>0</v>
      </c>
      <c r="AA1103" s="381">
        <v>0</v>
      </c>
      <c r="AB1103" s="381">
        <v>0</v>
      </c>
      <c r="AC1103" s="382">
        <v>0.15125</v>
      </c>
      <c r="AD1103" s="382">
        <v>0</v>
      </c>
      <c r="AE1103" s="381" t="s">
        <v>168</v>
      </c>
    </row>
    <row r="1104" spans="1:31" ht="15" customHeight="1" x14ac:dyDescent="0.25">
      <c r="A1104" s="20" t="s">
        <v>156</v>
      </c>
      <c r="B1104" s="20" t="s">
        <v>1450</v>
      </c>
      <c r="C1104" s="20" t="s">
        <v>1451</v>
      </c>
      <c r="D1104" s="378" t="s">
        <v>1684</v>
      </c>
      <c r="E1104" s="379">
        <v>44788</v>
      </c>
      <c r="F1104" s="379">
        <v>46113</v>
      </c>
      <c r="G1104" s="378" t="s">
        <v>320</v>
      </c>
      <c r="H1104" s="20" t="s">
        <v>352</v>
      </c>
      <c r="I1104" s="20" t="s">
        <v>353</v>
      </c>
      <c r="J1104" s="20" t="s">
        <v>163</v>
      </c>
      <c r="K1104" s="378" t="s">
        <v>354</v>
      </c>
      <c r="L1104" s="20" t="s">
        <v>165</v>
      </c>
      <c r="M1104" s="380">
        <v>2400</v>
      </c>
      <c r="N1104" s="380"/>
      <c r="O1104" s="380"/>
      <c r="P1104" s="380"/>
      <c r="Q1104" s="381">
        <v>320</v>
      </c>
      <c r="R1104" s="381"/>
      <c r="S1104" s="381"/>
      <c r="T1104" s="381"/>
      <c r="U1104" s="381"/>
      <c r="V1104" s="382">
        <v>320</v>
      </c>
      <c r="W1104" s="382">
        <v>0</v>
      </c>
      <c r="X1104" s="381">
        <v>0.13333333333333333</v>
      </c>
      <c r="Y1104" s="381">
        <v>0</v>
      </c>
      <c r="Z1104" s="381">
        <v>0</v>
      </c>
      <c r="AA1104" s="381">
        <v>0</v>
      </c>
      <c r="AB1104" s="381">
        <v>0</v>
      </c>
      <c r="AC1104" s="382">
        <v>0.13333333333333333</v>
      </c>
      <c r="AD1104" s="382">
        <v>0</v>
      </c>
      <c r="AE1104" s="381" t="s">
        <v>168</v>
      </c>
    </row>
    <row r="1105" spans="1:31" ht="15" customHeight="1" x14ac:dyDescent="0.25">
      <c r="A1105" s="20" t="s">
        <v>156</v>
      </c>
      <c r="B1105" s="20" t="s">
        <v>1450</v>
      </c>
      <c r="C1105" s="20" t="s">
        <v>1451</v>
      </c>
      <c r="D1105" s="378" t="s">
        <v>1685</v>
      </c>
      <c r="E1105" s="379">
        <v>44788</v>
      </c>
      <c r="F1105" s="379">
        <v>46113</v>
      </c>
      <c r="G1105" s="378" t="s">
        <v>320</v>
      </c>
      <c r="H1105" s="20" t="s">
        <v>352</v>
      </c>
      <c r="I1105" s="20" t="s">
        <v>353</v>
      </c>
      <c r="J1105" s="20" t="s">
        <v>163</v>
      </c>
      <c r="K1105" s="378" t="s">
        <v>354</v>
      </c>
      <c r="L1105" s="20" t="s">
        <v>165</v>
      </c>
      <c r="M1105" s="380">
        <v>2400</v>
      </c>
      <c r="N1105" s="380"/>
      <c r="O1105" s="380"/>
      <c r="P1105" s="380"/>
      <c r="Q1105" s="381">
        <v>327</v>
      </c>
      <c r="R1105" s="381"/>
      <c r="S1105" s="381"/>
      <c r="T1105" s="381"/>
      <c r="U1105" s="381"/>
      <c r="V1105" s="382">
        <v>327</v>
      </c>
      <c r="W1105" s="382">
        <v>0</v>
      </c>
      <c r="X1105" s="381">
        <v>0.13625000000000001</v>
      </c>
      <c r="Y1105" s="381">
        <v>0</v>
      </c>
      <c r="Z1105" s="381">
        <v>0</v>
      </c>
      <c r="AA1105" s="381">
        <v>0</v>
      </c>
      <c r="AB1105" s="381">
        <v>0</v>
      </c>
      <c r="AC1105" s="382">
        <v>0.13625000000000001</v>
      </c>
      <c r="AD1105" s="382">
        <v>0</v>
      </c>
      <c r="AE1105" s="381" t="s">
        <v>168</v>
      </c>
    </row>
    <row r="1106" spans="1:31" ht="15" customHeight="1" x14ac:dyDescent="0.25">
      <c r="A1106" s="20" t="s">
        <v>156</v>
      </c>
      <c r="B1106" s="20" t="s">
        <v>1450</v>
      </c>
      <c r="C1106" s="20" t="s">
        <v>1451</v>
      </c>
      <c r="D1106" s="378" t="s">
        <v>1686</v>
      </c>
      <c r="E1106" s="379">
        <v>44788</v>
      </c>
      <c r="F1106" s="379">
        <v>46113</v>
      </c>
      <c r="G1106" s="378" t="s">
        <v>320</v>
      </c>
      <c r="H1106" s="20" t="s">
        <v>352</v>
      </c>
      <c r="I1106" s="20" t="s">
        <v>353</v>
      </c>
      <c r="J1106" s="20" t="s">
        <v>163</v>
      </c>
      <c r="K1106" s="378" t="s">
        <v>354</v>
      </c>
      <c r="L1106" s="20" t="s">
        <v>165</v>
      </c>
      <c r="M1106" s="380">
        <v>2400</v>
      </c>
      <c r="N1106" s="380"/>
      <c r="O1106" s="380"/>
      <c r="P1106" s="380"/>
      <c r="Q1106" s="381">
        <v>336</v>
      </c>
      <c r="R1106" s="381"/>
      <c r="S1106" s="381"/>
      <c r="T1106" s="381"/>
      <c r="U1106" s="381"/>
      <c r="V1106" s="382">
        <v>336</v>
      </c>
      <c r="W1106" s="382">
        <v>0</v>
      </c>
      <c r="X1106" s="381">
        <v>0.14000000000000001</v>
      </c>
      <c r="Y1106" s="381">
        <v>0</v>
      </c>
      <c r="Z1106" s="381">
        <v>0</v>
      </c>
      <c r="AA1106" s="381">
        <v>0</v>
      </c>
      <c r="AB1106" s="381">
        <v>0</v>
      </c>
      <c r="AC1106" s="382">
        <v>0.14000000000000001</v>
      </c>
      <c r="AD1106" s="382">
        <v>0</v>
      </c>
      <c r="AE1106" s="381" t="s">
        <v>168</v>
      </c>
    </row>
    <row r="1107" spans="1:31" ht="15" customHeight="1" x14ac:dyDescent="0.25">
      <c r="A1107" s="20" t="s">
        <v>156</v>
      </c>
      <c r="B1107" s="20" t="s">
        <v>1588</v>
      </c>
      <c r="C1107" s="20" t="s">
        <v>1451</v>
      </c>
      <c r="D1107" s="378" t="s">
        <v>1687</v>
      </c>
      <c r="E1107" s="379">
        <v>44788</v>
      </c>
      <c r="F1107" s="379">
        <v>46113</v>
      </c>
      <c r="G1107" s="378" t="s">
        <v>320</v>
      </c>
      <c r="H1107" s="20" t="s">
        <v>352</v>
      </c>
      <c r="I1107" s="20" t="s">
        <v>353</v>
      </c>
      <c r="J1107" s="20" t="s">
        <v>163</v>
      </c>
      <c r="K1107" s="378" t="s">
        <v>354</v>
      </c>
      <c r="L1107" s="20" t="s">
        <v>165</v>
      </c>
      <c r="M1107" s="380">
        <v>2400</v>
      </c>
      <c r="N1107" s="380"/>
      <c r="O1107" s="380"/>
      <c r="P1107" s="380"/>
      <c r="Q1107" s="381">
        <v>294</v>
      </c>
      <c r="R1107" s="381"/>
      <c r="S1107" s="381"/>
      <c r="T1107" s="381"/>
      <c r="U1107" s="381"/>
      <c r="V1107" s="382">
        <v>294</v>
      </c>
      <c r="W1107" s="382">
        <v>0</v>
      </c>
      <c r="X1107" s="381">
        <v>0.1225</v>
      </c>
      <c r="Y1107" s="381">
        <v>0</v>
      </c>
      <c r="Z1107" s="381">
        <v>0</v>
      </c>
      <c r="AA1107" s="381">
        <v>0</v>
      </c>
      <c r="AB1107" s="381">
        <v>0</v>
      </c>
      <c r="AC1107" s="382">
        <v>0.1225</v>
      </c>
      <c r="AD1107" s="382">
        <v>0</v>
      </c>
      <c r="AE1107" s="381" t="s">
        <v>168</v>
      </c>
    </row>
    <row r="1108" spans="1:31" ht="15" customHeight="1" x14ac:dyDescent="0.25">
      <c r="A1108" s="20" t="s">
        <v>156</v>
      </c>
      <c r="B1108" s="20" t="s">
        <v>1450</v>
      </c>
      <c r="C1108" s="20" t="s">
        <v>1451</v>
      </c>
      <c r="D1108" s="378" t="s">
        <v>1688</v>
      </c>
      <c r="E1108" s="379">
        <v>44788</v>
      </c>
      <c r="F1108" s="379">
        <v>46113</v>
      </c>
      <c r="G1108" s="378" t="s">
        <v>362</v>
      </c>
      <c r="H1108" s="20" t="s">
        <v>352</v>
      </c>
      <c r="I1108" s="20" t="s">
        <v>353</v>
      </c>
      <c r="J1108" s="20" t="s">
        <v>163</v>
      </c>
      <c r="K1108" s="378" t="s">
        <v>354</v>
      </c>
      <c r="L1108" s="20" t="s">
        <v>165</v>
      </c>
      <c r="M1108" s="380">
        <v>2400</v>
      </c>
      <c r="N1108" s="380"/>
      <c r="O1108" s="380"/>
      <c r="P1108" s="380"/>
      <c r="Q1108" s="381">
        <v>349</v>
      </c>
      <c r="R1108" s="381"/>
      <c r="S1108" s="381"/>
      <c r="T1108" s="381"/>
      <c r="U1108" s="381"/>
      <c r="V1108" s="382">
        <v>349</v>
      </c>
      <c r="W1108" s="382">
        <v>0</v>
      </c>
      <c r="X1108" s="381">
        <v>0.14541666666666667</v>
      </c>
      <c r="Y1108" s="381">
        <v>0</v>
      </c>
      <c r="Z1108" s="381">
        <v>0</v>
      </c>
      <c r="AA1108" s="381">
        <v>0</v>
      </c>
      <c r="AB1108" s="381">
        <v>0</v>
      </c>
      <c r="AC1108" s="382">
        <v>0.14541666666666667</v>
      </c>
      <c r="AD1108" s="382">
        <v>0</v>
      </c>
      <c r="AE1108" s="381" t="s">
        <v>168</v>
      </c>
    </row>
    <row r="1109" spans="1:31" ht="15" customHeight="1" x14ac:dyDescent="0.25">
      <c r="A1109" s="20" t="s">
        <v>156</v>
      </c>
      <c r="B1109" s="20" t="s">
        <v>1450</v>
      </c>
      <c r="C1109" s="20" t="s">
        <v>1451</v>
      </c>
      <c r="D1109" s="378" t="s">
        <v>1689</v>
      </c>
      <c r="E1109" s="379">
        <v>44788</v>
      </c>
      <c r="F1109" s="379">
        <v>46113</v>
      </c>
      <c r="G1109" s="378" t="s">
        <v>362</v>
      </c>
      <c r="H1109" s="20" t="s">
        <v>352</v>
      </c>
      <c r="I1109" s="20" t="s">
        <v>353</v>
      </c>
      <c r="J1109" s="20" t="s">
        <v>163</v>
      </c>
      <c r="K1109" s="378" t="s">
        <v>354</v>
      </c>
      <c r="L1109" s="20" t="s">
        <v>165</v>
      </c>
      <c r="M1109" s="380">
        <v>2400</v>
      </c>
      <c r="N1109" s="380"/>
      <c r="O1109" s="380"/>
      <c r="P1109" s="380"/>
      <c r="Q1109" s="381">
        <v>324</v>
      </c>
      <c r="R1109" s="381"/>
      <c r="S1109" s="381"/>
      <c r="T1109" s="381"/>
      <c r="U1109" s="381"/>
      <c r="V1109" s="382">
        <v>324</v>
      </c>
      <c r="W1109" s="382">
        <v>0</v>
      </c>
      <c r="X1109" s="381">
        <v>0.13500000000000001</v>
      </c>
      <c r="Y1109" s="381">
        <v>0</v>
      </c>
      <c r="Z1109" s="381">
        <v>0</v>
      </c>
      <c r="AA1109" s="381">
        <v>0</v>
      </c>
      <c r="AB1109" s="381">
        <v>0</v>
      </c>
      <c r="AC1109" s="382">
        <v>0.13500000000000001</v>
      </c>
      <c r="AD1109" s="382">
        <v>0</v>
      </c>
      <c r="AE1109" s="381" t="s">
        <v>168</v>
      </c>
    </row>
    <row r="1110" spans="1:31" ht="15" customHeight="1" x14ac:dyDescent="0.25">
      <c r="A1110" s="20" t="s">
        <v>156</v>
      </c>
      <c r="B1110" s="20" t="s">
        <v>1450</v>
      </c>
      <c r="C1110" s="20" t="s">
        <v>1451</v>
      </c>
      <c r="D1110" s="378" t="s">
        <v>1690</v>
      </c>
      <c r="E1110" s="379">
        <v>44788</v>
      </c>
      <c r="F1110" s="379">
        <v>46113</v>
      </c>
      <c r="G1110" s="378" t="s">
        <v>362</v>
      </c>
      <c r="H1110" s="20" t="s">
        <v>352</v>
      </c>
      <c r="I1110" s="20" t="s">
        <v>353</v>
      </c>
      <c r="J1110" s="20" t="s">
        <v>163</v>
      </c>
      <c r="K1110" s="378" t="s">
        <v>354</v>
      </c>
      <c r="L1110" s="20" t="s">
        <v>165</v>
      </c>
      <c r="M1110" s="380">
        <v>2400</v>
      </c>
      <c r="N1110" s="380"/>
      <c r="O1110" s="380"/>
      <c r="P1110" s="380"/>
      <c r="Q1110" s="381">
        <v>304</v>
      </c>
      <c r="R1110" s="381"/>
      <c r="S1110" s="381"/>
      <c r="T1110" s="381"/>
      <c r="U1110" s="381"/>
      <c r="V1110" s="382">
        <v>304</v>
      </c>
      <c r="W1110" s="382">
        <v>0</v>
      </c>
      <c r="X1110" s="381">
        <v>0.12666666666666668</v>
      </c>
      <c r="Y1110" s="381">
        <v>0</v>
      </c>
      <c r="Z1110" s="381">
        <v>0</v>
      </c>
      <c r="AA1110" s="381">
        <v>0</v>
      </c>
      <c r="AB1110" s="381">
        <v>0</v>
      </c>
      <c r="AC1110" s="382">
        <v>0.12666666666666668</v>
      </c>
      <c r="AD1110" s="382">
        <v>0</v>
      </c>
      <c r="AE1110" s="381" t="s">
        <v>168</v>
      </c>
    </row>
    <row r="1111" spans="1:31" ht="15" customHeight="1" x14ac:dyDescent="0.25">
      <c r="A1111" s="20" t="s">
        <v>156</v>
      </c>
      <c r="B1111" s="20" t="s">
        <v>1450</v>
      </c>
      <c r="C1111" s="20" t="s">
        <v>1451</v>
      </c>
      <c r="D1111" s="378" t="s">
        <v>1691</v>
      </c>
      <c r="E1111" s="379">
        <v>44788</v>
      </c>
      <c r="F1111" s="379">
        <v>46113</v>
      </c>
      <c r="G1111" s="378" t="s">
        <v>362</v>
      </c>
      <c r="H1111" s="20" t="s">
        <v>352</v>
      </c>
      <c r="I1111" s="20" t="s">
        <v>353</v>
      </c>
      <c r="J1111" s="20" t="s">
        <v>163</v>
      </c>
      <c r="K1111" s="378" t="s">
        <v>354</v>
      </c>
      <c r="L1111" s="20" t="s">
        <v>165</v>
      </c>
      <c r="M1111" s="380">
        <v>2400</v>
      </c>
      <c r="N1111" s="380"/>
      <c r="O1111" s="380"/>
      <c r="P1111" s="380"/>
      <c r="Q1111" s="381">
        <v>276</v>
      </c>
      <c r="R1111" s="381"/>
      <c r="S1111" s="381"/>
      <c r="T1111" s="381"/>
      <c r="U1111" s="381"/>
      <c r="V1111" s="382">
        <v>276</v>
      </c>
      <c r="W1111" s="382">
        <v>0</v>
      </c>
      <c r="X1111" s="381">
        <v>0.115</v>
      </c>
      <c r="Y1111" s="381">
        <v>0</v>
      </c>
      <c r="Z1111" s="381">
        <v>0</v>
      </c>
      <c r="AA1111" s="381">
        <v>0</v>
      </c>
      <c r="AB1111" s="381">
        <v>0</v>
      </c>
      <c r="AC1111" s="382">
        <v>0.115</v>
      </c>
      <c r="AD1111" s="382">
        <v>0</v>
      </c>
      <c r="AE1111" s="381" t="s">
        <v>168</v>
      </c>
    </row>
    <row r="1112" spans="1:31" ht="15" customHeight="1" x14ac:dyDescent="0.25">
      <c r="A1112" s="20" t="s">
        <v>156</v>
      </c>
      <c r="B1112" s="20" t="s">
        <v>1450</v>
      </c>
      <c r="C1112" s="20" t="s">
        <v>1451</v>
      </c>
      <c r="D1112" s="378" t="s">
        <v>1692</v>
      </c>
      <c r="E1112" s="379">
        <v>44788</v>
      </c>
      <c r="F1112" s="379">
        <v>46113</v>
      </c>
      <c r="G1112" s="378" t="s">
        <v>362</v>
      </c>
      <c r="H1112" s="20" t="s">
        <v>352</v>
      </c>
      <c r="I1112" s="20" t="s">
        <v>353</v>
      </c>
      <c r="J1112" s="20" t="s">
        <v>163</v>
      </c>
      <c r="K1112" s="378" t="s">
        <v>354</v>
      </c>
      <c r="L1112" s="20" t="s">
        <v>165</v>
      </c>
      <c r="M1112" s="380">
        <v>2400</v>
      </c>
      <c r="N1112" s="380"/>
      <c r="O1112" s="380"/>
      <c r="P1112" s="380"/>
      <c r="Q1112" s="381">
        <v>265</v>
      </c>
      <c r="R1112" s="381"/>
      <c r="S1112" s="381"/>
      <c r="T1112" s="381"/>
      <c r="U1112" s="381"/>
      <c r="V1112" s="382">
        <v>265</v>
      </c>
      <c r="W1112" s="382">
        <v>0</v>
      </c>
      <c r="X1112" s="381">
        <v>0.11041666666666666</v>
      </c>
      <c r="Y1112" s="381">
        <v>0</v>
      </c>
      <c r="Z1112" s="381">
        <v>0</v>
      </c>
      <c r="AA1112" s="381">
        <v>0</v>
      </c>
      <c r="AB1112" s="381">
        <v>0</v>
      </c>
      <c r="AC1112" s="382">
        <v>0.11041666666666666</v>
      </c>
      <c r="AD1112" s="382">
        <v>0</v>
      </c>
      <c r="AE1112" s="381" t="s">
        <v>168</v>
      </c>
    </row>
    <row r="1113" spans="1:31" ht="15" customHeight="1" x14ac:dyDescent="0.25">
      <c r="A1113" s="20" t="s">
        <v>156</v>
      </c>
      <c r="B1113" s="20" t="s">
        <v>1450</v>
      </c>
      <c r="C1113" s="20" t="s">
        <v>1451</v>
      </c>
      <c r="D1113" s="378" t="s">
        <v>1693</v>
      </c>
      <c r="E1113" s="379">
        <v>44788</v>
      </c>
      <c r="F1113" s="379">
        <v>46113</v>
      </c>
      <c r="G1113" s="378" t="s">
        <v>362</v>
      </c>
      <c r="H1113" s="20" t="s">
        <v>352</v>
      </c>
      <c r="I1113" s="20" t="s">
        <v>353</v>
      </c>
      <c r="J1113" s="20" t="s">
        <v>163</v>
      </c>
      <c r="K1113" s="378" t="s">
        <v>354</v>
      </c>
      <c r="L1113" s="20" t="s">
        <v>165</v>
      </c>
      <c r="M1113" s="380">
        <v>2400</v>
      </c>
      <c r="N1113" s="380"/>
      <c r="O1113" s="380"/>
      <c r="P1113" s="380"/>
      <c r="Q1113" s="381">
        <v>249</v>
      </c>
      <c r="R1113" s="381"/>
      <c r="S1113" s="381"/>
      <c r="T1113" s="381"/>
      <c r="U1113" s="381"/>
      <c r="V1113" s="382">
        <v>249</v>
      </c>
      <c r="W1113" s="382">
        <v>0</v>
      </c>
      <c r="X1113" s="381">
        <v>0.10375</v>
      </c>
      <c r="Y1113" s="381">
        <v>0</v>
      </c>
      <c r="Z1113" s="381">
        <v>0</v>
      </c>
      <c r="AA1113" s="381">
        <v>0</v>
      </c>
      <c r="AB1113" s="381">
        <v>0</v>
      </c>
      <c r="AC1113" s="382">
        <v>0.10375</v>
      </c>
      <c r="AD1113" s="382">
        <v>0</v>
      </c>
      <c r="AE1113" s="381" t="s">
        <v>168</v>
      </c>
    </row>
    <row r="1114" spans="1:31" ht="15" customHeight="1" x14ac:dyDescent="0.25">
      <c r="A1114" s="20" t="s">
        <v>156</v>
      </c>
      <c r="B1114" s="20" t="s">
        <v>1450</v>
      </c>
      <c r="C1114" s="20" t="s">
        <v>1451</v>
      </c>
      <c r="D1114" s="378" t="s">
        <v>1694</v>
      </c>
      <c r="E1114" s="379">
        <v>44788</v>
      </c>
      <c r="F1114" s="379">
        <v>46113</v>
      </c>
      <c r="G1114" s="378" t="s">
        <v>362</v>
      </c>
      <c r="H1114" s="20" t="s">
        <v>352</v>
      </c>
      <c r="I1114" s="20" t="s">
        <v>353</v>
      </c>
      <c r="J1114" s="20" t="s">
        <v>163</v>
      </c>
      <c r="K1114" s="378" t="s">
        <v>354</v>
      </c>
      <c r="L1114" s="20" t="s">
        <v>165</v>
      </c>
      <c r="M1114" s="380">
        <v>2400</v>
      </c>
      <c r="N1114" s="380"/>
      <c r="O1114" s="380"/>
      <c r="P1114" s="380"/>
      <c r="Q1114" s="381">
        <v>335</v>
      </c>
      <c r="R1114" s="381"/>
      <c r="S1114" s="381"/>
      <c r="T1114" s="381"/>
      <c r="U1114" s="381"/>
      <c r="V1114" s="382">
        <v>335</v>
      </c>
      <c r="W1114" s="382">
        <v>0</v>
      </c>
      <c r="X1114" s="381">
        <v>0.13958333333333334</v>
      </c>
      <c r="Y1114" s="381">
        <v>0</v>
      </c>
      <c r="Z1114" s="381">
        <v>0</v>
      </c>
      <c r="AA1114" s="381">
        <v>0</v>
      </c>
      <c r="AB1114" s="381">
        <v>0</v>
      </c>
      <c r="AC1114" s="382">
        <v>0.13958333333333334</v>
      </c>
      <c r="AD1114" s="382">
        <v>0</v>
      </c>
      <c r="AE1114" s="381" t="s">
        <v>168</v>
      </c>
    </row>
    <row r="1115" spans="1:31" ht="15" customHeight="1" x14ac:dyDescent="0.25">
      <c r="A1115" s="20" t="s">
        <v>156</v>
      </c>
      <c r="B1115" s="20" t="s">
        <v>1450</v>
      </c>
      <c r="C1115" s="20" t="s">
        <v>1451</v>
      </c>
      <c r="D1115" s="378" t="s">
        <v>1695</v>
      </c>
      <c r="E1115" s="379">
        <v>44788</v>
      </c>
      <c r="F1115" s="379">
        <v>46113</v>
      </c>
      <c r="G1115" s="378" t="s">
        <v>362</v>
      </c>
      <c r="H1115" s="20" t="s">
        <v>352</v>
      </c>
      <c r="I1115" s="20" t="s">
        <v>353</v>
      </c>
      <c r="J1115" s="20" t="s">
        <v>163</v>
      </c>
      <c r="K1115" s="378" t="s">
        <v>354</v>
      </c>
      <c r="L1115" s="20" t="s">
        <v>165</v>
      </c>
      <c r="M1115" s="380">
        <v>2400</v>
      </c>
      <c r="N1115" s="380"/>
      <c r="O1115" s="380"/>
      <c r="P1115" s="380"/>
      <c r="Q1115" s="381">
        <v>323</v>
      </c>
      <c r="R1115" s="381"/>
      <c r="S1115" s="381"/>
      <c r="T1115" s="381"/>
      <c r="U1115" s="381"/>
      <c r="V1115" s="382">
        <v>323</v>
      </c>
      <c r="W1115" s="382">
        <v>0</v>
      </c>
      <c r="X1115" s="381">
        <v>0.13458333333333333</v>
      </c>
      <c r="Y1115" s="381">
        <v>0</v>
      </c>
      <c r="Z1115" s="381">
        <v>0</v>
      </c>
      <c r="AA1115" s="381">
        <v>0</v>
      </c>
      <c r="AB1115" s="381">
        <v>0</v>
      </c>
      <c r="AC1115" s="382">
        <v>0.13458333333333333</v>
      </c>
      <c r="AD1115" s="382">
        <v>0</v>
      </c>
      <c r="AE1115" s="381" t="s">
        <v>168</v>
      </c>
    </row>
    <row r="1116" spans="1:31" ht="15" customHeight="1" x14ac:dyDescent="0.25">
      <c r="A1116" s="20" t="s">
        <v>156</v>
      </c>
      <c r="B1116" s="20" t="s">
        <v>1450</v>
      </c>
      <c r="C1116" s="20" t="s">
        <v>1451</v>
      </c>
      <c r="D1116" s="378" t="s">
        <v>1696</v>
      </c>
      <c r="E1116" s="379">
        <v>44788</v>
      </c>
      <c r="F1116" s="379">
        <v>46113</v>
      </c>
      <c r="G1116" s="378" t="s">
        <v>362</v>
      </c>
      <c r="H1116" s="20" t="s">
        <v>352</v>
      </c>
      <c r="I1116" s="20" t="s">
        <v>353</v>
      </c>
      <c r="J1116" s="20" t="s">
        <v>163</v>
      </c>
      <c r="K1116" s="378" t="s">
        <v>354</v>
      </c>
      <c r="L1116" s="20" t="s">
        <v>165</v>
      </c>
      <c r="M1116" s="380">
        <v>2400</v>
      </c>
      <c r="N1116" s="380"/>
      <c r="O1116" s="380"/>
      <c r="P1116" s="380"/>
      <c r="Q1116" s="381">
        <v>315</v>
      </c>
      <c r="R1116" s="381"/>
      <c r="S1116" s="381"/>
      <c r="T1116" s="381"/>
      <c r="U1116" s="381"/>
      <c r="V1116" s="382">
        <v>315</v>
      </c>
      <c r="W1116" s="382">
        <v>0</v>
      </c>
      <c r="X1116" s="381">
        <v>0.13125000000000001</v>
      </c>
      <c r="Y1116" s="381">
        <v>0</v>
      </c>
      <c r="Z1116" s="381">
        <v>0</v>
      </c>
      <c r="AA1116" s="381">
        <v>0</v>
      </c>
      <c r="AB1116" s="381">
        <v>0</v>
      </c>
      <c r="AC1116" s="382">
        <v>0.13125000000000001</v>
      </c>
      <c r="AD1116" s="382">
        <v>0</v>
      </c>
      <c r="AE1116" s="381" t="s">
        <v>168</v>
      </c>
    </row>
    <row r="1117" spans="1:31" ht="15" customHeight="1" x14ac:dyDescent="0.25">
      <c r="A1117" s="20" t="s">
        <v>156</v>
      </c>
      <c r="B1117" s="20" t="s">
        <v>1450</v>
      </c>
      <c r="C1117" s="20" t="s">
        <v>1451</v>
      </c>
      <c r="D1117" s="378" t="s">
        <v>1697</v>
      </c>
      <c r="E1117" s="379">
        <v>44788</v>
      </c>
      <c r="F1117" s="379">
        <v>46113</v>
      </c>
      <c r="G1117" s="378" t="s">
        <v>362</v>
      </c>
      <c r="H1117" s="20" t="s">
        <v>352</v>
      </c>
      <c r="I1117" s="20" t="s">
        <v>353</v>
      </c>
      <c r="J1117" s="20" t="s">
        <v>163</v>
      </c>
      <c r="K1117" s="378" t="s">
        <v>354</v>
      </c>
      <c r="L1117" s="20" t="s">
        <v>165</v>
      </c>
      <c r="M1117" s="380">
        <v>2400</v>
      </c>
      <c r="N1117" s="380"/>
      <c r="O1117" s="380"/>
      <c r="P1117" s="380"/>
      <c r="Q1117" s="381">
        <v>258</v>
      </c>
      <c r="R1117" s="381"/>
      <c r="S1117" s="381"/>
      <c r="T1117" s="381"/>
      <c r="U1117" s="381"/>
      <c r="V1117" s="382">
        <v>258</v>
      </c>
      <c r="W1117" s="382">
        <v>0</v>
      </c>
      <c r="X1117" s="381">
        <v>0.1075</v>
      </c>
      <c r="Y1117" s="381">
        <v>0</v>
      </c>
      <c r="Z1117" s="381">
        <v>0</v>
      </c>
      <c r="AA1117" s="381">
        <v>0</v>
      </c>
      <c r="AB1117" s="381">
        <v>0</v>
      </c>
      <c r="AC1117" s="382">
        <v>0.1075</v>
      </c>
      <c r="AD1117" s="382">
        <v>0</v>
      </c>
      <c r="AE1117" s="381" t="s">
        <v>168</v>
      </c>
    </row>
    <row r="1118" spans="1:31" ht="15" customHeight="1" x14ac:dyDescent="0.25">
      <c r="A1118" s="20" t="s">
        <v>156</v>
      </c>
      <c r="B1118" s="20" t="s">
        <v>1450</v>
      </c>
      <c r="C1118" s="20" t="s">
        <v>1451</v>
      </c>
      <c r="D1118" s="378" t="s">
        <v>1698</v>
      </c>
      <c r="E1118" s="379">
        <v>44788</v>
      </c>
      <c r="F1118" s="379">
        <v>46113</v>
      </c>
      <c r="G1118" s="378" t="s">
        <v>362</v>
      </c>
      <c r="H1118" s="20" t="s">
        <v>352</v>
      </c>
      <c r="I1118" s="20" t="s">
        <v>353</v>
      </c>
      <c r="J1118" s="20" t="s">
        <v>163</v>
      </c>
      <c r="K1118" s="378" t="s">
        <v>354</v>
      </c>
      <c r="L1118" s="20" t="s">
        <v>165</v>
      </c>
      <c r="M1118" s="380">
        <v>2400</v>
      </c>
      <c r="N1118" s="380"/>
      <c r="O1118" s="380"/>
      <c r="P1118" s="380"/>
      <c r="Q1118" s="381">
        <v>309</v>
      </c>
      <c r="R1118" s="381"/>
      <c r="S1118" s="381"/>
      <c r="T1118" s="381"/>
      <c r="U1118" s="381"/>
      <c r="V1118" s="382">
        <v>309</v>
      </c>
      <c r="W1118" s="382">
        <v>0</v>
      </c>
      <c r="X1118" s="381">
        <v>0.12875</v>
      </c>
      <c r="Y1118" s="381">
        <v>0</v>
      </c>
      <c r="Z1118" s="381">
        <v>0</v>
      </c>
      <c r="AA1118" s="381">
        <v>0</v>
      </c>
      <c r="AB1118" s="381">
        <v>0</v>
      </c>
      <c r="AC1118" s="382">
        <v>0.12875</v>
      </c>
      <c r="AD1118" s="382">
        <v>0</v>
      </c>
      <c r="AE1118" s="381" t="s">
        <v>168</v>
      </c>
    </row>
    <row r="1119" spans="1:31" ht="15" customHeight="1" x14ac:dyDescent="0.25">
      <c r="A1119" s="20" t="s">
        <v>156</v>
      </c>
      <c r="B1119" s="20" t="s">
        <v>1450</v>
      </c>
      <c r="C1119" s="20" t="s">
        <v>1451</v>
      </c>
      <c r="D1119" s="378" t="s">
        <v>1699</v>
      </c>
      <c r="E1119" s="379">
        <v>44788</v>
      </c>
      <c r="F1119" s="379">
        <v>46113</v>
      </c>
      <c r="G1119" s="378" t="s">
        <v>362</v>
      </c>
      <c r="H1119" s="20" t="s">
        <v>352</v>
      </c>
      <c r="I1119" s="20" t="s">
        <v>353</v>
      </c>
      <c r="J1119" s="20" t="s">
        <v>163</v>
      </c>
      <c r="K1119" s="378" t="s">
        <v>354</v>
      </c>
      <c r="L1119" s="20" t="s">
        <v>165</v>
      </c>
      <c r="M1119" s="380">
        <v>2400</v>
      </c>
      <c r="N1119" s="380"/>
      <c r="O1119" s="380"/>
      <c r="P1119" s="380"/>
      <c r="Q1119" s="381">
        <v>247</v>
      </c>
      <c r="R1119" s="381"/>
      <c r="S1119" s="381"/>
      <c r="T1119" s="381"/>
      <c r="U1119" s="381"/>
      <c r="V1119" s="382">
        <v>247</v>
      </c>
      <c r="W1119" s="382">
        <v>0</v>
      </c>
      <c r="X1119" s="381">
        <v>0.10291666666666667</v>
      </c>
      <c r="Y1119" s="381">
        <v>0</v>
      </c>
      <c r="Z1119" s="381">
        <v>0</v>
      </c>
      <c r="AA1119" s="381">
        <v>0</v>
      </c>
      <c r="AB1119" s="381">
        <v>0</v>
      </c>
      <c r="AC1119" s="382">
        <v>0.10291666666666667</v>
      </c>
      <c r="AD1119" s="382">
        <v>0</v>
      </c>
      <c r="AE1119" s="381" t="s">
        <v>168</v>
      </c>
    </row>
    <row r="1120" spans="1:31" ht="15" customHeight="1" x14ac:dyDescent="0.25">
      <c r="A1120" s="20" t="s">
        <v>156</v>
      </c>
      <c r="B1120" s="20" t="s">
        <v>1450</v>
      </c>
      <c r="C1120" s="20" t="s">
        <v>1451</v>
      </c>
      <c r="D1120" s="378" t="s">
        <v>1700</v>
      </c>
      <c r="E1120" s="379">
        <v>44788</v>
      </c>
      <c r="F1120" s="379">
        <v>46113</v>
      </c>
      <c r="G1120" s="378" t="s">
        <v>362</v>
      </c>
      <c r="H1120" s="20" t="s">
        <v>352</v>
      </c>
      <c r="I1120" s="20" t="s">
        <v>353</v>
      </c>
      <c r="J1120" s="20" t="s">
        <v>163</v>
      </c>
      <c r="K1120" s="378" t="s">
        <v>354</v>
      </c>
      <c r="L1120" s="20" t="s">
        <v>165</v>
      </c>
      <c r="M1120" s="380">
        <v>2400</v>
      </c>
      <c r="N1120" s="380"/>
      <c r="O1120" s="380"/>
      <c r="P1120" s="380"/>
      <c r="Q1120" s="381">
        <v>308</v>
      </c>
      <c r="R1120" s="381"/>
      <c r="S1120" s="381"/>
      <c r="T1120" s="381"/>
      <c r="U1120" s="381"/>
      <c r="V1120" s="382">
        <v>308</v>
      </c>
      <c r="W1120" s="382">
        <v>0</v>
      </c>
      <c r="X1120" s="381">
        <v>0.12833333333333333</v>
      </c>
      <c r="Y1120" s="381">
        <v>0</v>
      </c>
      <c r="Z1120" s="381">
        <v>0</v>
      </c>
      <c r="AA1120" s="381">
        <v>0</v>
      </c>
      <c r="AB1120" s="381">
        <v>0</v>
      </c>
      <c r="AC1120" s="382">
        <v>0.12833333333333333</v>
      </c>
      <c r="AD1120" s="382">
        <v>0</v>
      </c>
      <c r="AE1120" s="381" t="s">
        <v>168</v>
      </c>
    </row>
    <row r="1121" spans="1:31" ht="15" customHeight="1" x14ac:dyDescent="0.25">
      <c r="A1121" s="20" t="s">
        <v>156</v>
      </c>
      <c r="B1121" s="20" t="s">
        <v>1450</v>
      </c>
      <c r="C1121" s="20" t="s">
        <v>1451</v>
      </c>
      <c r="D1121" s="378" t="s">
        <v>1701</v>
      </c>
      <c r="E1121" s="379">
        <v>44788</v>
      </c>
      <c r="F1121" s="379">
        <v>46113</v>
      </c>
      <c r="G1121" s="378" t="s">
        <v>362</v>
      </c>
      <c r="H1121" s="20" t="s">
        <v>352</v>
      </c>
      <c r="I1121" s="20" t="s">
        <v>353</v>
      </c>
      <c r="J1121" s="20" t="s">
        <v>163</v>
      </c>
      <c r="K1121" s="378" t="s">
        <v>354</v>
      </c>
      <c r="L1121" s="20" t="s">
        <v>165</v>
      </c>
      <c r="M1121" s="380">
        <v>2400</v>
      </c>
      <c r="N1121" s="380"/>
      <c r="O1121" s="380"/>
      <c r="P1121" s="380"/>
      <c r="Q1121" s="381">
        <v>314</v>
      </c>
      <c r="R1121" s="381"/>
      <c r="S1121" s="381"/>
      <c r="T1121" s="381"/>
      <c r="U1121" s="381"/>
      <c r="V1121" s="382">
        <v>314</v>
      </c>
      <c r="W1121" s="382">
        <v>0</v>
      </c>
      <c r="X1121" s="381">
        <v>0.13083333333333333</v>
      </c>
      <c r="Y1121" s="381">
        <v>0</v>
      </c>
      <c r="Z1121" s="381">
        <v>0</v>
      </c>
      <c r="AA1121" s="381">
        <v>0</v>
      </c>
      <c r="AB1121" s="381">
        <v>0</v>
      </c>
      <c r="AC1121" s="382">
        <v>0.13083333333333333</v>
      </c>
      <c r="AD1121" s="382">
        <v>0</v>
      </c>
      <c r="AE1121" s="381" t="s">
        <v>168</v>
      </c>
    </row>
    <row r="1122" spans="1:31" ht="15" customHeight="1" x14ac:dyDescent="0.25">
      <c r="A1122" s="20" t="s">
        <v>156</v>
      </c>
      <c r="B1122" s="20" t="s">
        <v>1450</v>
      </c>
      <c r="C1122" s="20" t="s">
        <v>1451</v>
      </c>
      <c r="D1122" s="378" t="s">
        <v>1702</v>
      </c>
      <c r="E1122" s="379">
        <v>44788</v>
      </c>
      <c r="F1122" s="379">
        <v>46113</v>
      </c>
      <c r="G1122" s="378" t="s">
        <v>362</v>
      </c>
      <c r="H1122" s="20" t="s">
        <v>352</v>
      </c>
      <c r="I1122" s="20" t="s">
        <v>353</v>
      </c>
      <c r="J1122" s="20" t="s">
        <v>163</v>
      </c>
      <c r="K1122" s="378" t="s">
        <v>354</v>
      </c>
      <c r="L1122" s="20" t="s">
        <v>165</v>
      </c>
      <c r="M1122" s="380">
        <v>2400</v>
      </c>
      <c r="N1122" s="380"/>
      <c r="O1122" s="380"/>
      <c r="P1122" s="380"/>
      <c r="Q1122" s="381">
        <v>322</v>
      </c>
      <c r="R1122" s="381"/>
      <c r="S1122" s="381"/>
      <c r="T1122" s="381"/>
      <c r="U1122" s="381"/>
      <c r="V1122" s="382">
        <v>322</v>
      </c>
      <c r="W1122" s="382">
        <v>0</v>
      </c>
      <c r="X1122" s="381">
        <v>0.13416666666666666</v>
      </c>
      <c r="Y1122" s="381">
        <v>0</v>
      </c>
      <c r="Z1122" s="381">
        <v>0</v>
      </c>
      <c r="AA1122" s="381">
        <v>0</v>
      </c>
      <c r="AB1122" s="381">
        <v>0</v>
      </c>
      <c r="AC1122" s="382">
        <v>0.13416666666666666</v>
      </c>
      <c r="AD1122" s="382">
        <v>0</v>
      </c>
      <c r="AE1122" s="381" t="s">
        <v>168</v>
      </c>
    </row>
    <row r="1123" spans="1:31" ht="15" customHeight="1" x14ac:dyDescent="0.25">
      <c r="A1123" s="20" t="s">
        <v>156</v>
      </c>
      <c r="B1123" s="20" t="s">
        <v>1450</v>
      </c>
      <c r="C1123" s="20" t="s">
        <v>1451</v>
      </c>
      <c r="D1123" s="378" t="s">
        <v>1703</v>
      </c>
      <c r="E1123" s="379">
        <v>44788</v>
      </c>
      <c r="F1123" s="379">
        <v>46113</v>
      </c>
      <c r="G1123" s="378" t="s">
        <v>219</v>
      </c>
      <c r="H1123" s="20" t="s">
        <v>352</v>
      </c>
      <c r="I1123" s="20" t="s">
        <v>353</v>
      </c>
      <c r="J1123" s="20" t="s">
        <v>163</v>
      </c>
      <c r="K1123" s="378" t="s">
        <v>354</v>
      </c>
      <c r="L1123" s="20" t="s">
        <v>165</v>
      </c>
      <c r="M1123" s="380">
        <v>2400</v>
      </c>
      <c r="N1123" s="380"/>
      <c r="O1123" s="380"/>
      <c r="P1123" s="380"/>
      <c r="Q1123" s="381">
        <v>357</v>
      </c>
      <c r="R1123" s="381"/>
      <c r="S1123" s="381"/>
      <c r="T1123" s="381"/>
      <c r="U1123" s="381"/>
      <c r="V1123" s="382">
        <v>357</v>
      </c>
      <c r="W1123" s="382">
        <v>0</v>
      </c>
      <c r="X1123" s="381">
        <v>0.14874999999999999</v>
      </c>
      <c r="Y1123" s="381">
        <v>0</v>
      </c>
      <c r="Z1123" s="381">
        <v>0</v>
      </c>
      <c r="AA1123" s="381">
        <v>0</v>
      </c>
      <c r="AB1123" s="381">
        <v>0</v>
      </c>
      <c r="AC1123" s="382">
        <v>0.14874999999999999</v>
      </c>
      <c r="AD1123" s="382">
        <v>0</v>
      </c>
      <c r="AE1123" s="381" t="s">
        <v>168</v>
      </c>
    </row>
    <row r="1124" spans="1:31" ht="15" customHeight="1" x14ac:dyDescent="0.25">
      <c r="A1124" s="20" t="s">
        <v>156</v>
      </c>
      <c r="B1124" s="20" t="s">
        <v>1450</v>
      </c>
      <c r="C1124" s="20" t="s">
        <v>1451</v>
      </c>
      <c r="D1124" s="378" t="s">
        <v>1704</v>
      </c>
      <c r="E1124" s="379">
        <v>44788</v>
      </c>
      <c r="F1124" s="379">
        <v>46113</v>
      </c>
      <c r="G1124" s="378" t="s">
        <v>219</v>
      </c>
      <c r="H1124" s="20" t="s">
        <v>352</v>
      </c>
      <c r="I1124" s="20" t="s">
        <v>353</v>
      </c>
      <c r="J1124" s="20" t="s">
        <v>163</v>
      </c>
      <c r="K1124" s="378" t="s">
        <v>354</v>
      </c>
      <c r="L1124" s="20" t="s">
        <v>165</v>
      </c>
      <c r="M1124" s="380">
        <v>2400</v>
      </c>
      <c r="N1124" s="380"/>
      <c r="O1124" s="380"/>
      <c r="P1124" s="380"/>
      <c r="Q1124" s="381">
        <v>333</v>
      </c>
      <c r="R1124" s="381"/>
      <c r="S1124" s="381"/>
      <c r="T1124" s="381"/>
      <c r="U1124" s="381"/>
      <c r="V1124" s="382">
        <v>333</v>
      </c>
      <c r="W1124" s="382">
        <v>0</v>
      </c>
      <c r="X1124" s="381">
        <v>0.13875000000000001</v>
      </c>
      <c r="Y1124" s="381">
        <v>0</v>
      </c>
      <c r="Z1124" s="381">
        <v>0</v>
      </c>
      <c r="AA1124" s="381">
        <v>0</v>
      </c>
      <c r="AB1124" s="381">
        <v>0</v>
      </c>
      <c r="AC1124" s="382">
        <v>0.13875000000000001</v>
      </c>
      <c r="AD1124" s="382">
        <v>0</v>
      </c>
      <c r="AE1124" s="381" t="s">
        <v>168</v>
      </c>
    </row>
    <row r="1125" spans="1:31" ht="15" customHeight="1" x14ac:dyDescent="0.25">
      <c r="A1125" s="20" t="s">
        <v>156</v>
      </c>
      <c r="B1125" s="20" t="s">
        <v>1450</v>
      </c>
      <c r="C1125" s="20" t="s">
        <v>1451</v>
      </c>
      <c r="D1125" s="378" t="s">
        <v>1705</v>
      </c>
      <c r="E1125" s="379">
        <v>44788</v>
      </c>
      <c r="F1125" s="379">
        <v>46113</v>
      </c>
      <c r="G1125" s="378" t="s">
        <v>219</v>
      </c>
      <c r="H1125" s="20" t="s">
        <v>352</v>
      </c>
      <c r="I1125" s="20" t="s">
        <v>353</v>
      </c>
      <c r="J1125" s="20" t="s">
        <v>163</v>
      </c>
      <c r="K1125" s="378" t="s">
        <v>354</v>
      </c>
      <c r="L1125" s="20" t="s">
        <v>165</v>
      </c>
      <c r="M1125" s="380">
        <v>2400</v>
      </c>
      <c r="N1125" s="380"/>
      <c r="O1125" s="380"/>
      <c r="P1125" s="380"/>
      <c r="Q1125" s="381">
        <v>250</v>
      </c>
      <c r="R1125" s="381"/>
      <c r="S1125" s="381"/>
      <c r="T1125" s="381"/>
      <c r="U1125" s="381"/>
      <c r="V1125" s="382">
        <v>250</v>
      </c>
      <c r="W1125" s="382">
        <v>0</v>
      </c>
      <c r="X1125" s="381">
        <v>0.10416666666666667</v>
      </c>
      <c r="Y1125" s="381">
        <v>0</v>
      </c>
      <c r="Z1125" s="381">
        <v>0</v>
      </c>
      <c r="AA1125" s="381">
        <v>0</v>
      </c>
      <c r="AB1125" s="381">
        <v>0</v>
      </c>
      <c r="AC1125" s="382">
        <v>0.10416666666666667</v>
      </c>
      <c r="AD1125" s="382">
        <v>0</v>
      </c>
      <c r="AE1125" s="381" t="s">
        <v>168</v>
      </c>
    </row>
    <row r="1126" spans="1:31" ht="15" customHeight="1" x14ac:dyDescent="0.25">
      <c r="A1126" s="20" t="s">
        <v>156</v>
      </c>
      <c r="B1126" s="20" t="s">
        <v>1450</v>
      </c>
      <c r="C1126" s="20" t="s">
        <v>1451</v>
      </c>
      <c r="D1126" s="378" t="s">
        <v>1706</v>
      </c>
      <c r="E1126" s="379">
        <v>44788</v>
      </c>
      <c r="F1126" s="379">
        <v>46113</v>
      </c>
      <c r="G1126" s="378" t="s">
        <v>219</v>
      </c>
      <c r="H1126" s="20" t="s">
        <v>352</v>
      </c>
      <c r="I1126" s="20" t="s">
        <v>353</v>
      </c>
      <c r="J1126" s="20" t="s">
        <v>163</v>
      </c>
      <c r="K1126" s="378" t="s">
        <v>354</v>
      </c>
      <c r="L1126" s="20" t="s">
        <v>165</v>
      </c>
      <c r="M1126" s="380">
        <v>2400</v>
      </c>
      <c r="N1126" s="380"/>
      <c r="O1126" s="380"/>
      <c r="P1126" s="380"/>
      <c r="Q1126" s="381">
        <v>246</v>
      </c>
      <c r="R1126" s="381"/>
      <c r="S1126" s="381"/>
      <c r="T1126" s="381"/>
      <c r="U1126" s="381"/>
      <c r="V1126" s="382">
        <v>246</v>
      </c>
      <c r="W1126" s="382">
        <v>0</v>
      </c>
      <c r="X1126" s="381">
        <v>0.10249999999999999</v>
      </c>
      <c r="Y1126" s="381">
        <v>0</v>
      </c>
      <c r="Z1126" s="381">
        <v>0</v>
      </c>
      <c r="AA1126" s="381">
        <v>0</v>
      </c>
      <c r="AB1126" s="381">
        <v>0</v>
      </c>
      <c r="AC1126" s="382">
        <v>0.10249999999999999</v>
      </c>
      <c r="AD1126" s="382">
        <v>0</v>
      </c>
      <c r="AE1126" s="381" t="s">
        <v>168</v>
      </c>
    </row>
    <row r="1127" spans="1:31" ht="15" customHeight="1" x14ac:dyDescent="0.25">
      <c r="A1127" s="20" t="s">
        <v>156</v>
      </c>
      <c r="B1127" s="20" t="s">
        <v>1450</v>
      </c>
      <c r="C1127" s="20" t="s">
        <v>1451</v>
      </c>
      <c r="D1127" s="378" t="s">
        <v>1707</v>
      </c>
      <c r="E1127" s="379">
        <v>44788</v>
      </c>
      <c r="F1127" s="379">
        <v>46113</v>
      </c>
      <c r="G1127" s="378" t="s">
        <v>219</v>
      </c>
      <c r="H1127" s="20" t="s">
        <v>352</v>
      </c>
      <c r="I1127" s="20" t="s">
        <v>353</v>
      </c>
      <c r="J1127" s="20" t="s">
        <v>163</v>
      </c>
      <c r="K1127" s="378" t="s">
        <v>354</v>
      </c>
      <c r="L1127" s="20" t="s">
        <v>165</v>
      </c>
      <c r="M1127" s="380">
        <v>2400</v>
      </c>
      <c r="N1127" s="380"/>
      <c r="O1127" s="380"/>
      <c r="P1127" s="380"/>
      <c r="Q1127" s="381">
        <v>312</v>
      </c>
      <c r="R1127" s="381"/>
      <c r="S1127" s="381"/>
      <c r="T1127" s="381"/>
      <c r="U1127" s="381"/>
      <c r="V1127" s="382">
        <v>312</v>
      </c>
      <c r="W1127" s="382">
        <v>0</v>
      </c>
      <c r="X1127" s="381">
        <v>0.13</v>
      </c>
      <c r="Y1127" s="381">
        <v>0</v>
      </c>
      <c r="Z1127" s="381">
        <v>0</v>
      </c>
      <c r="AA1127" s="381">
        <v>0</v>
      </c>
      <c r="AB1127" s="381">
        <v>0</v>
      </c>
      <c r="AC1127" s="382">
        <v>0.13</v>
      </c>
      <c r="AD1127" s="382">
        <v>0</v>
      </c>
      <c r="AE1127" s="381" t="s">
        <v>168</v>
      </c>
    </row>
    <row r="1128" spans="1:31" ht="15" customHeight="1" x14ac:dyDescent="0.25">
      <c r="A1128" s="20" t="s">
        <v>156</v>
      </c>
      <c r="B1128" s="20" t="s">
        <v>1450</v>
      </c>
      <c r="C1128" s="20" t="s">
        <v>1451</v>
      </c>
      <c r="D1128" s="378" t="s">
        <v>1708</v>
      </c>
      <c r="E1128" s="379">
        <v>44788</v>
      </c>
      <c r="F1128" s="379">
        <v>46113</v>
      </c>
      <c r="G1128" s="378" t="s">
        <v>219</v>
      </c>
      <c r="H1128" s="20" t="s">
        <v>352</v>
      </c>
      <c r="I1128" s="20" t="s">
        <v>353</v>
      </c>
      <c r="J1128" s="20" t="s">
        <v>163</v>
      </c>
      <c r="K1128" s="378" t="s">
        <v>354</v>
      </c>
      <c r="L1128" s="20" t="s">
        <v>165</v>
      </c>
      <c r="M1128" s="380">
        <v>2400</v>
      </c>
      <c r="N1128" s="380"/>
      <c r="O1128" s="380"/>
      <c r="P1128" s="380"/>
      <c r="Q1128" s="381">
        <v>282</v>
      </c>
      <c r="R1128" s="381"/>
      <c r="S1128" s="381"/>
      <c r="T1128" s="381"/>
      <c r="U1128" s="381"/>
      <c r="V1128" s="382">
        <v>282</v>
      </c>
      <c r="W1128" s="382">
        <v>0</v>
      </c>
      <c r="X1128" s="381">
        <v>0.11749999999999999</v>
      </c>
      <c r="Y1128" s="381">
        <v>0</v>
      </c>
      <c r="Z1128" s="381">
        <v>0</v>
      </c>
      <c r="AA1128" s="381">
        <v>0</v>
      </c>
      <c r="AB1128" s="381">
        <v>0</v>
      </c>
      <c r="AC1128" s="382">
        <v>0.11749999999999999</v>
      </c>
      <c r="AD1128" s="382">
        <v>0</v>
      </c>
      <c r="AE1128" s="381" t="s">
        <v>168</v>
      </c>
    </row>
    <row r="1129" spans="1:31" ht="15" customHeight="1" x14ac:dyDescent="0.25">
      <c r="A1129" s="20" t="s">
        <v>156</v>
      </c>
      <c r="B1129" s="20" t="s">
        <v>1450</v>
      </c>
      <c r="C1129" s="20" t="s">
        <v>1451</v>
      </c>
      <c r="D1129" s="378" t="s">
        <v>1709</v>
      </c>
      <c r="E1129" s="379">
        <v>44788</v>
      </c>
      <c r="F1129" s="379">
        <v>46113</v>
      </c>
      <c r="G1129" s="378" t="s">
        <v>219</v>
      </c>
      <c r="H1129" s="20" t="s">
        <v>352</v>
      </c>
      <c r="I1129" s="20" t="s">
        <v>353</v>
      </c>
      <c r="J1129" s="20" t="s">
        <v>163</v>
      </c>
      <c r="K1129" s="378" t="s">
        <v>354</v>
      </c>
      <c r="L1129" s="20" t="s">
        <v>165</v>
      </c>
      <c r="M1129" s="380">
        <v>2400</v>
      </c>
      <c r="N1129" s="380"/>
      <c r="O1129" s="380"/>
      <c r="P1129" s="380"/>
      <c r="Q1129" s="381">
        <v>272</v>
      </c>
      <c r="R1129" s="381"/>
      <c r="S1129" s="381"/>
      <c r="T1129" s="381"/>
      <c r="U1129" s="381"/>
      <c r="V1129" s="382">
        <v>272</v>
      </c>
      <c r="W1129" s="382">
        <v>0</v>
      </c>
      <c r="X1129" s="381">
        <v>0.11333333333333333</v>
      </c>
      <c r="Y1129" s="381">
        <v>0</v>
      </c>
      <c r="Z1129" s="381">
        <v>0</v>
      </c>
      <c r="AA1129" s="381">
        <v>0</v>
      </c>
      <c r="AB1129" s="381">
        <v>0</v>
      </c>
      <c r="AC1129" s="382">
        <v>0.11333333333333333</v>
      </c>
      <c r="AD1129" s="382">
        <v>0</v>
      </c>
      <c r="AE1129" s="381" t="s">
        <v>168</v>
      </c>
    </row>
    <row r="1130" spans="1:31" ht="15" customHeight="1" x14ac:dyDescent="0.25">
      <c r="A1130" s="20" t="s">
        <v>156</v>
      </c>
      <c r="B1130" s="20" t="s">
        <v>1450</v>
      </c>
      <c r="C1130" s="20" t="s">
        <v>1451</v>
      </c>
      <c r="D1130" s="378" t="s">
        <v>1710</v>
      </c>
      <c r="E1130" s="379">
        <v>44788</v>
      </c>
      <c r="F1130" s="379">
        <v>46113</v>
      </c>
      <c r="G1130" s="378" t="s">
        <v>219</v>
      </c>
      <c r="H1130" s="20" t="s">
        <v>352</v>
      </c>
      <c r="I1130" s="20" t="s">
        <v>353</v>
      </c>
      <c r="J1130" s="20" t="s">
        <v>163</v>
      </c>
      <c r="K1130" s="378" t="s">
        <v>354</v>
      </c>
      <c r="L1130" s="20" t="s">
        <v>165</v>
      </c>
      <c r="M1130" s="380">
        <v>2400</v>
      </c>
      <c r="N1130" s="380"/>
      <c r="O1130" s="380"/>
      <c r="P1130" s="380"/>
      <c r="Q1130" s="381">
        <v>258</v>
      </c>
      <c r="R1130" s="381"/>
      <c r="S1130" s="381"/>
      <c r="T1130" s="381"/>
      <c r="U1130" s="381"/>
      <c r="V1130" s="382">
        <v>258</v>
      </c>
      <c r="W1130" s="382">
        <v>0</v>
      </c>
      <c r="X1130" s="381">
        <v>0.1075</v>
      </c>
      <c r="Y1130" s="381">
        <v>0</v>
      </c>
      <c r="Z1130" s="381">
        <v>0</v>
      </c>
      <c r="AA1130" s="381">
        <v>0</v>
      </c>
      <c r="AB1130" s="381">
        <v>0</v>
      </c>
      <c r="AC1130" s="382">
        <v>0.1075</v>
      </c>
      <c r="AD1130" s="382">
        <v>0</v>
      </c>
      <c r="AE1130" s="381" t="s">
        <v>168</v>
      </c>
    </row>
    <row r="1131" spans="1:31" ht="15" customHeight="1" x14ac:dyDescent="0.25">
      <c r="A1131" s="20" t="s">
        <v>156</v>
      </c>
      <c r="B1131" s="20" t="s">
        <v>1450</v>
      </c>
      <c r="C1131" s="20" t="s">
        <v>1451</v>
      </c>
      <c r="D1131" s="378" t="s">
        <v>1711</v>
      </c>
      <c r="E1131" s="379">
        <v>44788</v>
      </c>
      <c r="F1131" s="379">
        <v>46113</v>
      </c>
      <c r="G1131" s="378" t="s">
        <v>219</v>
      </c>
      <c r="H1131" s="20" t="s">
        <v>352</v>
      </c>
      <c r="I1131" s="20" t="s">
        <v>353</v>
      </c>
      <c r="J1131" s="20" t="s">
        <v>163</v>
      </c>
      <c r="K1131" s="378" t="s">
        <v>354</v>
      </c>
      <c r="L1131" s="20" t="s">
        <v>165</v>
      </c>
      <c r="M1131" s="380">
        <v>2400</v>
      </c>
      <c r="N1131" s="380"/>
      <c r="O1131" s="380"/>
      <c r="P1131" s="380"/>
      <c r="Q1131" s="381">
        <v>249</v>
      </c>
      <c r="R1131" s="381"/>
      <c r="S1131" s="381"/>
      <c r="T1131" s="381"/>
      <c r="U1131" s="381"/>
      <c r="V1131" s="382">
        <v>249</v>
      </c>
      <c r="W1131" s="382">
        <v>0</v>
      </c>
      <c r="X1131" s="381">
        <v>0.10375</v>
      </c>
      <c r="Y1131" s="381">
        <v>0</v>
      </c>
      <c r="Z1131" s="381">
        <v>0</v>
      </c>
      <c r="AA1131" s="381">
        <v>0</v>
      </c>
      <c r="AB1131" s="381">
        <v>0</v>
      </c>
      <c r="AC1131" s="382">
        <v>0.10375</v>
      </c>
      <c r="AD1131" s="382">
        <v>0</v>
      </c>
      <c r="AE1131" s="381" t="s">
        <v>168</v>
      </c>
    </row>
    <row r="1132" spans="1:31" ht="15" customHeight="1" x14ac:dyDescent="0.25">
      <c r="A1132" s="20" t="s">
        <v>156</v>
      </c>
      <c r="B1132" s="20" t="s">
        <v>1450</v>
      </c>
      <c r="C1132" s="20" t="s">
        <v>1451</v>
      </c>
      <c r="D1132" s="378" t="s">
        <v>1712</v>
      </c>
      <c r="E1132" s="379">
        <v>44788</v>
      </c>
      <c r="F1132" s="379">
        <v>46113</v>
      </c>
      <c r="G1132" s="378" t="s">
        <v>219</v>
      </c>
      <c r="H1132" s="20" t="s">
        <v>352</v>
      </c>
      <c r="I1132" s="20" t="s">
        <v>353</v>
      </c>
      <c r="J1132" s="20" t="s">
        <v>163</v>
      </c>
      <c r="K1132" s="378" t="s">
        <v>354</v>
      </c>
      <c r="L1132" s="20" t="s">
        <v>165</v>
      </c>
      <c r="M1132" s="380">
        <v>2400</v>
      </c>
      <c r="N1132" s="380"/>
      <c r="O1132" s="380"/>
      <c r="P1132" s="380"/>
      <c r="Q1132" s="381">
        <v>309</v>
      </c>
      <c r="R1132" s="381"/>
      <c r="S1132" s="381"/>
      <c r="T1132" s="381"/>
      <c r="U1132" s="381"/>
      <c r="V1132" s="382">
        <v>309</v>
      </c>
      <c r="W1132" s="382">
        <v>0</v>
      </c>
      <c r="X1132" s="381">
        <v>0.12875</v>
      </c>
      <c r="Y1132" s="381">
        <v>0</v>
      </c>
      <c r="Z1132" s="381">
        <v>0</v>
      </c>
      <c r="AA1132" s="381">
        <v>0</v>
      </c>
      <c r="AB1132" s="381">
        <v>0</v>
      </c>
      <c r="AC1132" s="382">
        <v>0.12875</v>
      </c>
      <c r="AD1132" s="382">
        <v>0</v>
      </c>
      <c r="AE1132" s="381" t="s">
        <v>168</v>
      </c>
    </row>
    <row r="1133" spans="1:31" ht="15" customHeight="1" x14ac:dyDescent="0.25">
      <c r="A1133" s="20" t="s">
        <v>156</v>
      </c>
      <c r="B1133" s="20" t="s">
        <v>1450</v>
      </c>
      <c r="C1133" s="20" t="s">
        <v>1451</v>
      </c>
      <c r="D1133" s="378" t="s">
        <v>1713</v>
      </c>
      <c r="E1133" s="379">
        <v>44788</v>
      </c>
      <c r="F1133" s="379">
        <v>46113</v>
      </c>
      <c r="G1133" s="378" t="s">
        <v>219</v>
      </c>
      <c r="H1133" s="20" t="s">
        <v>352</v>
      </c>
      <c r="I1133" s="20" t="s">
        <v>353</v>
      </c>
      <c r="J1133" s="20" t="s">
        <v>163</v>
      </c>
      <c r="K1133" s="378" t="s">
        <v>354</v>
      </c>
      <c r="L1133" s="20" t="s">
        <v>165</v>
      </c>
      <c r="M1133" s="380">
        <v>2400</v>
      </c>
      <c r="N1133" s="380"/>
      <c r="O1133" s="380"/>
      <c r="P1133" s="380"/>
      <c r="Q1133" s="381">
        <v>342</v>
      </c>
      <c r="R1133" s="381"/>
      <c r="S1133" s="381"/>
      <c r="T1133" s="381"/>
      <c r="U1133" s="381"/>
      <c r="V1133" s="382">
        <v>342</v>
      </c>
      <c r="W1133" s="382">
        <v>0</v>
      </c>
      <c r="X1133" s="381">
        <v>0.14249999999999999</v>
      </c>
      <c r="Y1133" s="381">
        <v>0</v>
      </c>
      <c r="Z1133" s="381">
        <v>0</v>
      </c>
      <c r="AA1133" s="381">
        <v>0</v>
      </c>
      <c r="AB1133" s="381">
        <v>0</v>
      </c>
      <c r="AC1133" s="382">
        <v>0.14249999999999999</v>
      </c>
      <c r="AD1133" s="382">
        <v>0</v>
      </c>
      <c r="AE1133" s="381" t="s">
        <v>168</v>
      </c>
    </row>
    <row r="1134" spans="1:31" ht="15" customHeight="1" x14ac:dyDescent="0.25">
      <c r="A1134" s="20" t="s">
        <v>156</v>
      </c>
      <c r="B1134" s="20" t="s">
        <v>1450</v>
      </c>
      <c r="C1134" s="20" t="s">
        <v>1451</v>
      </c>
      <c r="D1134" s="378" t="s">
        <v>1714</v>
      </c>
      <c r="E1134" s="379">
        <v>44788</v>
      </c>
      <c r="F1134" s="379">
        <v>46113</v>
      </c>
      <c r="G1134" s="378" t="s">
        <v>219</v>
      </c>
      <c r="H1134" s="20" t="s">
        <v>352</v>
      </c>
      <c r="I1134" s="20" t="s">
        <v>353</v>
      </c>
      <c r="J1134" s="20" t="s">
        <v>163</v>
      </c>
      <c r="K1134" s="378" t="s">
        <v>354</v>
      </c>
      <c r="L1134" s="20" t="s">
        <v>165</v>
      </c>
      <c r="M1134" s="380">
        <v>2400</v>
      </c>
      <c r="N1134" s="380"/>
      <c r="O1134" s="380"/>
      <c r="P1134" s="380"/>
      <c r="Q1134" s="381">
        <v>335</v>
      </c>
      <c r="R1134" s="381"/>
      <c r="S1134" s="381"/>
      <c r="T1134" s="381"/>
      <c r="U1134" s="381"/>
      <c r="V1134" s="382">
        <v>335</v>
      </c>
      <c r="W1134" s="382">
        <v>0</v>
      </c>
      <c r="X1134" s="381">
        <v>0.13958333333333334</v>
      </c>
      <c r="Y1134" s="381">
        <v>0</v>
      </c>
      <c r="Z1134" s="381">
        <v>0</v>
      </c>
      <c r="AA1134" s="381">
        <v>0</v>
      </c>
      <c r="AB1134" s="381">
        <v>0</v>
      </c>
      <c r="AC1134" s="382">
        <v>0.13958333333333334</v>
      </c>
      <c r="AD1134" s="382">
        <v>0</v>
      </c>
      <c r="AE1134" s="381" t="s">
        <v>168</v>
      </c>
    </row>
    <row r="1135" spans="1:31" ht="15" customHeight="1" x14ac:dyDescent="0.25">
      <c r="A1135" s="20" t="s">
        <v>156</v>
      </c>
      <c r="B1135" s="20" t="s">
        <v>1450</v>
      </c>
      <c r="C1135" s="20" t="s">
        <v>1451</v>
      </c>
      <c r="D1135" s="378" t="s">
        <v>1715</v>
      </c>
      <c r="E1135" s="379">
        <v>44788</v>
      </c>
      <c r="F1135" s="379">
        <v>46113</v>
      </c>
      <c r="G1135" s="378" t="s">
        <v>219</v>
      </c>
      <c r="H1135" s="20" t="s">
        <v>352</v>
      </c>
      <c r="I1135" s="20" t="s">
        <v>353</v>
      </c>
      <c r="J1135" s="20" t="s">
        <v>163</v>
      </c>
      <c r="K1135" s="378" t="s">
        <v>354</v>
      </c>
      <c r="L1135" s="20" t="s">
        <v>165</v>
      </c>
      <c r="M1135" s="380">
        <v>2400</v>
      </c>
      <c r="N1135" s="380"/>
      <c r="O1135" s="380"/>
      <c r="P1135" s="380"/>
      <c r="Q1135" s="381">
        <v>325</v>
      </c>
      <c r="R1135" s="381"/>
      <c r="S1135" s="381"/>
      <c r="T1135" s="381"/>
      <c r="U1135" s="381"/>
      <c r="V1135" s="382">
        <v>325</v>
      </c>
      <c r="W1135" s="382">
        <v>0</v>
      </c>
      <c r="X1135" s="381">
        <v>0.13541666666666666</v>
      </c>
      <c r="Y1135" s="381">
        <v>0</v>
      </c>
      <c r="Z1135" s="381">
        <v>0</v>
      </c>
      <c r="AA1135" s="381">
        <v>0</v>
      </c>
      <c r="AB1135" s="381">
        <v>0</v>
      </c>
      <c r="AC1135" s="382">
        <v>0.13541666666666666</v>
      </c>
      <c r="AD1135" s="382">
        <v>0</v>
      </c>
      <c r="AE1135" s="381" t="s">
        <v>168</v>
      </c>
    </row>
    <row r="1136" spans="1:31" ht="15" customHeight="1" x14ac:dyDescent="0.25">
      <c r="A1136" s="20" t="s">
        <v>156</v>
      </c>
      <c r="B1136" s="20" t="s">
        <v>1450</v>
      </c>
      <c r="C1136" s="20" t="s">
        <v>1451</v>
      </c>
      <c r="D1136" s="378" t="s">
        <v>1716</v>
      </c>
      <c r="E1136" s="379">
        <v>44788</v>
      </c>
      <c r="F1136" s="379">
        <v>46113</v>
      </c>
      <c r="G1136" s="378" t="s">
        <v>219</v>
      </c>
      <c r="H1136" s="20" t="s">
        <v>352</v>
      </c>
      <c r="I1136" s="20" t="s">
        <v>353</v>
      </c>
      <c r="J1136" s="20" t="s">
        <v>163</v>
      </c>
      <c r="K1136" s="378" t="s">
        <v>354</v>
      </c>
      <c r="L1136" s="20" t="s">
        <v>165</v>
      </c>
      <c r="M1136" s="380">
        <v>2400</v>
      </c>
      <c r="N1136" s="380"/>
      <c r="O1136" s="380"/>
      <c r="P1136" s="380"/>
      <c r="Q1136" s="381">
        <v>235</v>
      </c>
      <c r="R1136" s="381"/>
      <c r="S1136" s="381"/>
      <c r="T1136" s="381"/>
      <c r="U1136" s="381"/>
      <c r="V1136" s="382">
        <v>235</v>
      </c>
      <c r="W1136" s="382">
        <v>0</v>
      </c>
      <c r="X1136" s="381">
        <v>9.7916666666666666E-2</v>
      </c>
      <c r="Y1136" s="381">
        <v>0</v>
      </c>
      <c r="Z1136" s="381">
        <v>0</v>
      </c>
      <c r="AA1136" s="381">
        <v>0</v>
      </c>
      <c r="AB1136" s="381">
        <v>0</v>
      </c>
      <c r="AC1136" s="382">
        <v>9.7916666666666666E-2</v>
      </c>
      <c r="AD1136" s="382">
        <v>0</v>
      </c>
      <c r="AE1136" s="381" t="s">
        <v>168</v>
      </c>
    </row>
    <row r="1137" spans="1:31" ht="15" customHeight="1" x14ac:dyDescent="0.25">
      <c r="A1137" s="20" t="s">
        <v>156</v>
      </c>
      <c r="B1137" s="20" t="s">
        <v>1588</v>
      </c>
      <c r="C1137" s="20" t="s">
        <v>1451</v>
      </c>
      <c r="D1137" s="378" t="s">
        <v>1717</v>
      </c>
      <c r="E1137" s="379">
        <v>44788</v>
      </c>
      <c r="F1137" s="379">
        <v>46113</v>
      </c>
      <c r="G1137" s="378" t="s">
        <v>219</v>
      </c>
      <c r="H1137" s="20" t="s">
        <v>352</v>
      </c>
      <c r="I1137" s="20" t="s">
        <v>353</v>
      </c>
      <c r="J1137" s="20" t="s">
        <v>163</v>
      </c>
      <c r="K1137" s="378" t="s">
        <v>354</v>
      </c>
      <c r="L1137" s="20" t="s">
        <v>165</v>
      </c>
      <c r="M1137" s="380">
        <v>2400</v>
      </c>
      <c r="N1137" s="380"/>
      <c r="O1137" s="380"/>
      <c r="P1137" s="380"/>
      <c r="Q1137" s="381">
        <v>289</v>
      </c>
      <c r="R1137" s="381"/>
      <c r="S1137" s="381"/>
      <c r="T1137" s="381"/>
      <c r="U1137" s="381"/>
      <c r="V1137" s="382">
        <v>289</v>
      </c>
      <c r="W1137" s="382">
        <v>0</v>
      </c>
      <c r="X1137" s="381">
        <v>0.12041666666666667</v>
      </c>
      <c r="Y1137" s="381">
        <v>0</v>
      </c>
      <c r="Z1137" s="381">
        <v>0</v>
      </c>
      <c r="AA1137" s="381">
        <v>0</v>
      </c>
      <c r="AB1137" s="381">
        <v>0</v>
      </c>
      <c r="AC1137" s="382">
        <v>0.12041666666666667</v>
      </c>
      <c r="AD1137" s="382">
        <v>0</v>
      </c>
      <c r="AE1137" s="381" t="s">
        <v>168</v>
      </c>
    </row>
    <row r="1138" spans="1:31" ht="15" customHeight="1" x14ac:dyDescent="0.25">
      <c r="A1138" s="20" t="s">
        <v>156</v>
      </c>
      <c r="B1138" s="20" t="s">
        <v>1450</v>
      </c>
      <c r="C1138" s="20" t="s">
        <v>1451</v>
      </c>
      <c r="D1138" s="378" t="s">
        <v>1718</v>
      </c>
      <c r="E1138" s="379">
        <v>44788</v>
      </c>
      <c r="F1138" s="379">
        <v>46113</v>
      </c>
      <c r="G1138" s="378" t="s">
        <v>219</v>
      </c>
      <c r="H1138" s="20" t="s">
        <v>352</v>
      </c>
      <c r="I1138" s="20" t="s">
        <v>353</v>
      </c>
      <c r="J1138" s="20" t="s">
        <v>163</v>
      </c>
      <c r="K1138" s="378" t="s">
        <v>354</v>
      </c>
      <c r="L1138" s="20" t="s">
        <v>165</v>
      </c>
      <c r="M1138" s="380">
        <v>2400</v>
      </c>
      <c r="N1138" s="380"/>
      <c r="O1138" s="380"/>
      <c r="P1138" s="380"/>
      <c r="Q1138" s="381">
        <v>313</v>
      </c>
      <c r="R1138" s="381"/>
      <c r="S1138" s="381"/>
      <c r="T1138" s="381"/>
      <c r="U1138" s="381"/>
      <c r="V1138" s="382">
        <v>313</v>
      </c>
      <c r="W1138" s="382">
        <v>0</v>
      </c>
      <c r="X1138" s="381">
        <v>0.13041666666666665</v>
      </c>
      <c r="Y1138" s="381">
        <v>0</v>
      </c>
      <c r="Z1138" s="381">
        <v>0</v>
      </c>
      <c r="AA1138" s="381">
        <v>0</v>
      </c>
      <c r="AB1138" s="381">
        <v>0</v>
      </c>
      <c r="AC1138" s="382">
        <v>0.13041666666666665</v>
      </c>
      <c r="AD1138" s="382">
        <v>0</v>
      </c>
      <c r="AE1138" s="381" t="s">
        <v>168</v>
      </c>
    </row>
    <row r="1139" spans="1:31" ht="15" customHeight="1" x14ac:dyDescent="0.25">
      <c r="A1139" s="20" t="s">
        <v>156</v>
      </c>
      <c r="B1139" s="20" t="s">
        <v>1450</v>
      </c>
      <c r="C1139" s="20" t="s">
        <v>1451</v>
      </c>
      <c r="D1139" s="378" t="s">
        <v>1719</v>
      </c>
      <c r="E1139" s="379">
        <v>44788</v>
      </c>
      <c r="F1139" s="379">
        <v>46113</v>
      </c>
      <c r="G1139" s="378" t="s">
        <v>219</v>
      </c>
      <c r="H1139" s="20" t="s">
        <v>352</v>
      </c>
      <c r="I1139" s="20" t="s">
        <v>353</v>
      </c>
      <c r="J1139" s="20" t="s">
        <v>163</v>
      </c>
      <c r="K1139" s="378" t="s">
        <v>354</v>
      </c>
      <c r="L1139" s="20" t="s">
        <v>165</v>
      </c>
      <c r="M1139" s="380">
        <v>2400</v>
      </c>
      <c r="N1139" s="380"/>
      <c r="O1139" s="380"/>
      <c r="P1139" s="380"/>
      <c r="Q1139" s="381">
        <v>231</v>
      </c>
      <c r="R1139" s="381"/>
      <c r="S1139" s="381"/>
      <c r="T1139" s="381"/>
      <c r="U1139" s="381"/>
      <c r="V1139" s="382">
        <v>231</v>
      </c>
      <c r="W1139" s="382">
        <v>0</v>
      </c>
      <c r="X1139" s="381">
        <v>9.6250000000000002E-2</v>
      </c>
      <c r="Y1139" s="381">
        <v>0</v>
      </c>
      <c r="Z1139" s="381">
        <v>0</v>
      </c>
      <c r="AA1139" s="381">
        <v>0</v>
      </c>
      <c r="AB1139" s="381">
        <v>0</v>
      </c>
      <c r="AC1139" s="382">
        <v>9.6250000000000002E-2</v>
      </c>
      <c r="AD1139" s="382">
        <v>0</v>
      </c>
      <c r="AE1139" s="381" t="s">
        <v>168</v>
      </c>
    </row>
    <row r="1140" spans="1:31" ht="15" customHeight="1" x14ac:dyDescent="0.25">
      <c r="A1140" s="20" t="s">
        <v>156</v>
      </c>
      <c r="B1140" s="20" t="s">
        <v>1450</v>
      </c>
      <c r="C1140" s="20" t="s">
        <v>1451</v>
      </c>
      <c r="D1140" s="378" t="s">
        <v>1720</v>
      </c>
      <c r="E1140" s="379">
        <v>44788</v>
      </c>
      <c r="F1140" s="379">
        <v>46113</v>
      </c>
      <c r="G1140" s="378" t="s">
        <v>378</v>
      </c>
      <c r="H1140" s="20" t="s">
        <v>352</v>
      </c>
      <c r="I1140" s="20" t="s">
        <v>353</v>
      </c>
      <c r="J1140" s="20" t="s">
        <v>163</v>
      </c>
      <c r="K1140" s="378" t="s">
        <v>354</v>
      </c>
      <c r="L1140" s="20" t="s">
        <v>165</v>
      </c>
      <c r="M1140" s="380">
        <v>2400</v>
      </c>
      <c r="N1140" s="380"/>
      <c r="O1140" s="380"/>
      <c r="P1140" s="380"/>
      <c r="Q1140" s="381">
        <v>354</v>
      </c>
      <c r="R1140" s="381"/>
      <c r="S1140" s="381"/>
      <c r="T1140" s="381"/>
      <c r="U1140" s="381"/>
      <c r="V1140" s="382">
        <v>354</v>
      </c>
      <c r="W1140" s="382">
        <v>0</v>
      </c>
      <c r="X1140" s="381">
        <v>0.14749999999999999</v>
      </c>
      <c r="Y1140" s="381">
        <v>0</v>
      </c>
      <c r="Z1140" s="381">
        <v>0</v>
      </c>
      <c r="AA1140" s="381">
        <v>0</v>
      </c>
      <c r="AB1140" s="381">
        <v>0</v>
      </c>
      <c r="AC1140" s="382">
        <v>0.14749999999999999</v>
      </c>
      <c r="AD1140" s="382">
        <v>0</v>
      </c>
      <c r="AE1140" s="381" t="s">
        <v>168</v>
      </c>
    </row>
    <row r="1141" spans="1:31" ht="15" customHeight="1" x14ac:dyDescent="0.25">
      <c r="A1141" s="20" t="s">
        <v>156</v>
      </c>
      <c r="B1141" s="20" t="s">
        <v>1450</v>
      </c>
      <c r="C1141" s="20" t="s">
        <v>1451</v>
      </c>
      <c r="D1141" s="378" t="s">
        <v>1721</v>
      </c>
      <c r="E1141" s="379">
        <v>44788</v>
      </c>
      <c r="F1141" s="379">
        <v>46113</v>
      </c>
      <c r="G1141" s="378" t="s">
        <v>378</v>
      </c>
      <c r="H1141" s="20" t="s">
        <v>352</v>
      </c>
      <c r="I1141" s="20" t="s">
        <v>353</v>
      </c>
      <c r="J1141" s="20" t="s">
        <v>163</v>
      </c>
      <c r="K1141" s="378" t="s">
        <v>354</v>
      </c>
      <c r="L1141" s="20" t="s">
        <v>165</v>
      </c>
      <c r="M1141" s="380">
        <v>2400</v>
      </c>
      <c r="N1141" s="380"/>
      <c r="O1141" s="380"/>
      <c r="P1141" s="380"/>
      <c r="Q1141" s="381">
        <v>330</v>
      </c>
      <c r="R1141" s="381"/>
      <c r="S1141" s="381"/>
      <c r="T1141" s="381"/>
      <c r="U1141" s="381"/>
      <c r="V1141" s="382">
        <v>330</v>
      </c>
      <c r="W1141" s="382">
        <v>0</v>
      </c>
      <c r="X1141" s="381">
        <v>0.13750000000000001</v>
      </c>
      <c r="Y1141" s="381">
        <v>0</v>
      </c>
      <c r="Z1141" s="381">
        <v>0</v>
      </c>
      <c r="AA1141" s="381">
        <v>0</v>
      </c>
      <c r="AB1141" s="381">
        <v>0</v>
      </c>
      <c r="AC1141" s="382">
        <v>0.13750000000000001</v>
      </c>
      <c r="AD1141" s="382">
        <v>0</v>
      </c>
      <c r="AE1141" s="381" t="s">
        <v>168</v>
      </c>
    </row>
    <row r="1142" spans="1:31" ht="15" customHeight="1" x14ac:dyDescent="0.25">
      <c r="A1142" s="20" t="s">
        <v>156</v>
      </c>
      <c r="B1142" s="20" t="s">
        <v>1450</v>
      </c>
      <c r="C1142" s="20" t="s">
        <v>1451</v>
      </c>
      <c r="D1142" s="378" t="s">
        <v>1722</v>
      </c>
      <c r="E1142" s="379">
        <v>44788</v>
      </c>
      <c r="F1142" s="379">
        <v>46113</v>
      </c>
      <c r="G1142" s="378" t="s">
        <v>378</v>
      </c>
      <c r="H1142" s="20" t="s">
        <v>352</v>
      </c>
      <c r="I1142" s="20" t="s">
        <v>353</v>
      </c>
      <c r="J1142" s="20" t="s">
        <v>163</v>
      </c>
      <c r="K1142" s="378" t="s">
        <v>354</v>
      </c>
      <c r="L1142" s="20" t="s">
        <v>165</v>
      </c>
      <c r="M1142" s="380">
        <v>2400</v>
      </c>
      <c r="N1142" s="380"/>
      <c r="O1142" s="380"/>
      <c r="P1142" s="380"/>
      <c r="Q1142" s="381">
        <v>245</v>
      </c>
      <c r="R1142" s="381"/>
      <c r="S1142" s="381"/>
      <c r="T1142" s="381"/>
      <c r="U1142" s="381"/>
      <c r="V1142" s="382">
        <v>245</v>
      </c>
      <c r="W1142" s="382">
        <v>0</v>
      </c>
      <c r="X1142" s="381">
        <v>0.10208333333333333</v>
      </c>
      <c r="Y1142" s="381">
        <v>0</v>
      </c>
      <c r="Z1142" s="381">
        <v>0</v>
      </c>
      <c r="AA1142" s="381">
        <v>0</v>
      </c>
      <c r="AB1142" s="381">
        <v>0</v>
      </c>
      <c r="AC1142" s="382">
        <v>0.10208333333333333</v>
      </c>
      <c r="AD1142" s="382">
        <v>0</v>
      </c>
      <c r="AE1142" s="381" t="s">
        <v>168</v>
      </c>
    </row>
    <row r="1143" spans="1:31" ht="15" customHeight="1" x14ac:dyDescent="0.25">
      <c r="A1143" s="20" t="s">
        <v>156</v>
      </c>
      <c r="B1143" s="20" t="s">
        <v>1450</v>
      </c>
      <c r="C1143" s="20" t="s">
        <v>1451</v>
      </c>
      <c r="D1143" s="378" t="s">
        <v>1723</v>
      </c>
      <c r="E1143" s="379">
        <v>44788</v>
      </c>
      <c r="F1143" s="379">
        <v>46113</v>
      </c>
      <c r="G1143" s="378" t="s">
        <v>378</v>
      </c>
      <c r="H1143" s="20" t="s">
        <v>352</v>
      </c>
      <c r="I1143" s="20" t="s">
        <v>353</v>
      </c>
      <c r="J1143" s="20" t="s">
        <v>163</v>
      </c>
      <c r="K1143" s="378" t="s">
        <v>354</v>
      </c>
      <c r="L1143" s="20" t="s">
        <v>165</v>
      </c>
      <c r="M1143" s="380">
        <v>2400</v>
      </c>
      <c r="N1143" s="380"/>
      <c r="O1143" s="380"/>
      <c r="P1143" s="380"/>
      <c r="Q1143" s="381">
        <v>313</v>
      </c>
      <c r="R1143" s="381"/>
      <c r="S1143" s="381"/>
      <c r="T1143" s="381"/>
      <c r="U1143" s="381"/>
      <c r="V1143" s="382">
        <v>313</v>
      </c>
      <c r="W1143" s="382">
        <v>0</v>
      </c>
      <c r="X1143" s="381">
        <v>0.13041666666666665</v>
      </c>
      <c r="Y1143" s="381">
        <v>0</v>
      </c>
      <c r="Z1143" s="381">
        <v>0</v>
      </c>
      <c r="AA1143" s="381">
        <v>0</v>
      </c>
      <c r="AB1143" s="381">
        <v>0</v>
      </c>
      <c r="AC1143" s="382">
        <v>0.13041666666666665</v>
      </c>
      <c r="AD1143" s="382">
        <v>0</v>
      </c>
      <c r="AE1143" s="381" t="s">
        <v>168</v>
      </c>
    </row>
    <row r="1144" spans="1:31" ht="15" customHeight="1" x14ac:dyDescent="0.25">
      <c r="A1144" s="20" t="s">
        <v>156</v>
      </c>
      <c r="B1144" s="20" t="s">
        <v>1450</v>
      </c>
      <c r="C1144" s="20" t="s">
        <v>1451</v>
      </c>
      <c r="D1144" s="378" t="s">
        <v>1724</v>
      </c>
      <c r="E1144" s="379">
        <v>44788</v>
      </c>
      <c r="F1144" s="379">
        <v>46113</v>
      </c>
      <c r="G1144" s="378" t="s">
        <v>378</v>
      </c>
      <c r="H1144" s="20" t="s">
        <v>352</v>
      </c>
      <c r="I1144" s="20" t="s">
        <v>353</v>
      </c>
      <c r="J1144" s="20" t="s">
        <v>163</v>
      </c>
      <c r="K1144" s="378" t="s">
        <v>354</v>
      </c>
      <c r="L1144" s="20" t="s">
        <v>165</v>
      </c>
      <c r="M1144" s="380">
        <v>2400</v>
      </c>
      <c r="N1144" s="380"/>
      <c r="O1144" s="380"/>
      <c r="P1144" s="380"/>
      <c r="Q1144" s="381">
        <v>256</v>
      </c>
      <c r="R1144" s="381"/>
      <c r="S1144" s="381"/>
      <c r="T1144" s="381"/>
      <c r="U1144" s="381"/>
      <c r="V1144" s="382">
        <v>256</v>
      </c>
      <c r="W1144" s="382">
        <v>0</v>
      </c>
      <c r="X1144" s="381">
        <v>0.10666666666666667</v>
      </c>
      <c r="Y1144" s="381">
        <v>0</v>
      </c>
      <c r="Z1144" s="381">
        <v>0</v>
      </c>
      <c r="AA1144" s="381">
        <v>0</v>
      </c>
      <c r="AB1144" s="381">
        <v>0</v>
      </c>
      <c r="AC1144" s="382">
        <v>0.10666666666666667</v>
      </c>
      <c r="AD1144" s="382">
        <v>0</v>
      </c>
      <c r="AE1144" s="381" t="s">
        <v>168</v>
      </c>
    </row>
    <row r="1145" spans="1:31" ht="15" customHeight="1" x14ac:dyDescent="0.25">
      <c r="A1145" s="20" t="s">
        <v>156</v>
      </c>
      <c r="B1145" s="20" t="s">
        <v>1450</v>
      </c>
      <c r="C1145" s="20" t="s">
        <v>1451</v>
      </c>
      <c r="D1145" s="378" t="s">
        <v>1725</v>
      </c>
      <c r="E1145" s="379">
        <v>44788</v>
      </c>
      <c r="F1145" s="379">
        <v>46113</v>
      </c>
      <c r="G1145" s="378" t="s">
        <v>378</v>
      </c>
      <c r="H1145" s="20" t="s">
        <v>352</v>
      </c>
      <c r="I1145" s="20" t="s">
        <v>353</v>
      </c>
      <c r="J1145" s="20" t="s">
        <v>163</v>
      </c>
      <c r="K1145" s="378" t="s">
        <v>354</v>
      </c>
      <c r="L1145" s="20" t="s">
        <v>165</v>
      </c>
      <c r="M1145" s="380">
        <v>2400</v>
      </c>
      <c r="N1145" s="380"/>
      <c r="O1145" s="380"/>
      <c r="P1145" s="380"/>
      <c r="Q1145" s="381">
        <v>320</v>
      </c>
      <c r="R1145" s="381"/>
      <c r="S1145" s="381"/>
      <c r="T1145" s="381"/>
      <c r="U1145" s="381"/>
      <c r="V1145" s="382">
        <v>320</v>
      </c>
      <c r="W1145" s="382">
        <v>0</v>
      </c>
      <c r="X1145" s="381">
        <v>0.13333333333333333</v>
      </c>
      <c r="Y1145" s="381">
        <v>0</v>
      </c>
      <c r="Z1145" s="381">
        <v>0</v>
      </c>
      <c r="AA1145" s="381">
        <v>0</v>
      </c>
      <c r="AB1145" s="381">
        <v>0</v>
      </c>
      <c r="AC1145" s="382">
        <v>0.13333333333333333</v>
      </c>
      <c r="AD1145" s="382">
        <v>0</v>
      </c>
      <c r="AE1145" s="381" t="s">
        <v>168</v>
      </c>
    </row>
    <row r="1146" spans="1:31" ht="15" customHeight="1" x14ac:dyDescent="0.25">
      <c r="A1146" s="20" t="s">
        <v>156</v>
      </c>
      <c r="B1146" s="20" t="s">
        <v>1450</v>
      </c>
      <c r="C1146" s="20" t="s">
        <v>1451</v>
      </c>
      <c r="D1146" s="378" t="s">
        <v>1726</v>
      </c>
      <c r="E1146" s="379">
        <v>44788</v>
      </c>
      <c r="F1146" s="379">
        <v>46113</v>
      </c>
      <c r="G1146" s="378" t="s">
        <v>378</v>
      </c>
      <c r="H1146" s="20" t="s">
        <v>352</v>
      </c>
      <c r="I1146" s="20" t="s">
        <v>353</v>
      </c>
      <c r="J1146" s="20" t="s">
        <v>163</v>
      </c>
      <c r="K1146" s="378" t="s">
        <v>354</v>
      </c>
      <c r="L1146" s="20" t="s">
        <v>165</v>
      </c>
      <c r="M1146" s="380">
        <v>2400</v>
      </c>
      <c r="N1146" s="380"/>
      <c r="O1146" s="380"/>
      <c r="P1146" s="380"/>
      <c r="Q1146" s="381">
        <v>329</v>
      </c>
      <c r="R1146" s="381"/>
      <c r="S1146" s="381"/>
      <c r="T1146" s="381"/>
      <c r="U1146" s="381"/>
      <c r="V1146" s="382">
        <v>329</v>
      </c>
      <c r="W1146" s="382">
        <v>0</v>
      </c>
      <c r="X1146" s="381">
        <v>0.13708333333333333</v>
      </c>
      <c r="Y1146" s="381">
        <v>0</v>
      </c>
      <c r="Z1146" s="381">
        <v>0</v>
      </c>
      <c r="AA1146" s="381">
        <v>0</v>
      </c>
      <c r="AB1146" s="381">
        <v>0</v>
      </c>
      <c r="AC1146" s="382">
        <v>0.13708333333333333</v>
      </c>
      <c r="AD1146" s="382">
        <v>0</v>
      </c>
      <c r="AE1146" s="381" t="s">
        <v>168</v>
      </c>
    </row>
    <row r="1147" spans="1:31" ht="15" customHeight="1" x14ac:dyDescent="0.25">
      <c r="A1147" s="20" t="s">
        <v>156</v>
      </c>
      <c r="B1147" s="20" t="s">
        <v>1588</v>
      </c>
      <c r="C1147" s="20" t="s">
        <v>1451</v>
      </c>
      <c r="D1147" s="378" t="s">
        <v>1727</v>
      </c>
      <c r="E1147" s="379">
        <v>44788</v>
      </c>
      <c r="F1147" s="379">
        <v>46113</v>
      </c>
      <c r="G1147" s="378" t="s">
        <v>378</v>
      </c>
      <c r="H1147" s="20" t="s">
        <v>352</v>
      </c>
      <c r="I1147" s="20" t="s">
        <v>353</v>
      </c>
      <c r="J1147" s="20" t="s">
        <v>163</v>
      </c>
      <c r="K1147" s="378" t="s">
        <v>354</v>
      </c>
      <c r="L1147" s="20" t="s">
        <v>165</v>
      </c>
      <c r="M1147" s="380">
        <v>2400</v>
      </c>
      <c r="N1147" s="380"/>
      <c r="O1147" s="380"/>
      <c r="P1147" s="380"/>
      <c r="Q1147" s="381">
        <v>287</v>
      </c>
      <c r="R1147" s="381"/>
      <c r="S1147" s="381"/>
      <c r="T1147" s="381"/>
      <c r="U1147" s="381"/>
      <c r="V1147" s="382">
        <v>287</v>
      </c>
      <c r="W1147" s="382">
        <v>0</v>
      </c>
      <c r="X1147" s="381">
        <v>0.11958333333333333</v>
      </c>
      <c r="Y1147" s="381">
        <v>0</v>
      </c>
      <c r="Z1147" s="381">
        <v>0</v>
      </c>
      <c r="AA1147" s="381">
        <v>0</v>
      </c>
      <c r="AB1147" s="381">
        <v>0</v>
      </c>
      <c r="AC1147" s="382">
        <v>0.11958333333333333</v>
      </c>
      <c r="AD1147" s="382">
        <v>0</v>
      </c>
      <c r="AE1147" s="381" t="s">
        <v>168</v>
      </c>
    </row>
    <row r="1148" spans="1:31" ht="15" customHeight="1" x14ac:dyDescent="0.25">
      <c r="A1148" s="20" t="s">
        <v>156</v>
      </c>
      <c r="B1148" s="20" t="s">
        <v>1450</v>
      </c>
      <c r="C1148" s="20" t="s">
        <v>1451</v>
      </c>
      <c r="D1148" s="378" t="s">
        <v>1728</v>
      </c>
      <c r="E1148" s="379">
        <v>44788</v>
      </c>
      <c r="F1148" s="379">
        <v>46113</v>
      </c>
      <c r="G1148" s="378" t="s">
        <v>378</v>
      </c>
      <c r="H1148" s="20" t="s">
        <v>352</v>
      </c>
      <c r="I1148" s="20" t="s">
        <v>353</v>
      </c>
      <c r="J1148" s="20" t="s">
        <v>163</v>
      </c>
      <c r="K1148" s="378" t="s">
        <v>354</v>
      </c>
      <c r="L1148" s="20" t="s">
        <v>165</v>
      </c>
      <c r="M1148" s="380">
        <v>2400</v>
      </c>
      <c r="N1148" s="380"/>
      <c r="O1148" s="380"/>
      <c r="P1148" s="380"/>
      <c r="Q1148" s="381">
        <v>310</v>
      </c>
      <c r="R1148" s="381"/>
      <c r="S1148" s="381"/>
      <c r="T1148" s="381"/>
      <c r="U1148" s="381"/>
      <c r="V1148" s="382">
        <v>310</v>
      </c>
      <c r="W1148" s="382">
        <v>0</v>
      </c>
      <c r="X1148" s="381">
        <v>0.12916666666666668</v>
      </c>
      <c r="Y1148" s="381">
        <v>0</v>
      </c>
      <c r="Z1148" s="381">
        <v>0</v>
      </c>
      <c r="AA1148" s="381">
        <v>0</v>
      </c>
      <c r="AB1148" s="381">
        <v>0</v>
      </c>
      <c r="AC1148" s="382">
        <v>0.12916666666666668</v>
      </c>
      <c r="AD1148" s="382">
        <v>0</v>
      </c>
      <c r="AE1148" s="381" t="s">
        <v>168</v>
      </c>
    </row>
    <row r="1149" spans="1:31" ht="15" customHeight="1" x14ac:dyDescent="0.25">
      <c r="A1149" s="20" t="s">
        <v>156</v>
      </c>
      <c r="B1149" s="20" t="s">
        <v>1450</v>
      </c>
      <c r="C1149" s="20" t="s">
        <v>1451</v>
      </c>
      <c r="D1149" s="378" t="s">
        <v>1729</v>
      </c>
      <c r="E1149" s="379">
        <v>44788</v>
      </c>
      <c r="F1149" s="379">
        <v>46113</v>
      </c>
      <c r="G1149" s="378" t="s">
        <v>378</v>
      </c>
      <c r="H1149" s="20" t="s">
        <v>352</v>
      </c>
      <c r="I1149" s="20" t="s">
        <v>353</v>
      </c>
      <c r="J1149" s="20" t="s">
        <v>163</v>
      </c>
      <c r="K1149" s="378" t="s">
        <v>354</v>
      </c>
      <c r="L1149" s="20" t="s">
        <v>165</v>
      </c>
      <c r="M1149" s="380">
        <v>2400</v>
      </c>
      <c r="N1149" s="380"/>
      <c r="O1149" s="380"/>
      <c r="P1149" s="380"/>
      <c r="Q1149" s="381">
        <v>278</v>
      </c>
      <c r="R1149" s="381"/>
      <c r="S1149" s="381"/>
      <c r="T1149" s="381"/>
      <c r="U1149" s="381"/>
      <c r="V1149" s="382">
        <v>278</v>
      </c>
      <c r="W1149" s="382">
        <v>0</v>
      </c>
      <c r="X1149" s="381">
        <v>0.11583333333333333</v>
      </c>
      <c r="Y1149" s="381">
        <v>0</v>
      </c>
      <c r="Z1149" s="381">
        <v>0</v>
      </c>
      <c r="AA1149" s="381">
        <v>0</v>
      </c>
      <c r="AB1149" s="381">
        <v>0</v>
      </c>
      <c r="AC1149" s="382">
        <v>0.11583333333333333</v>
      </c>
      <c r="AD1149" s="382">
        <v>0</v>
      </c>
      <c r="AE1149" s="381" t="s">
        <v>168</v>
      </c>
    </row>
    <row r="1150" spans="1:31" ht="15" customHeight="1" x14ac:dyDescent="0.25">
      <c r="A1150" s="20" t="s">
        <v>156</v>
      </c>
      <c r="B1150" s="20" t="s">
        <v>1450</v>
      </c>
      <c r="C1150" s="20" t="s">
        <v>1451</v>
      </c>
      <c r="D1150" s="378" t="s">
        <v>1730</v>
      </c>
      <c r="E1150" s="379">
        <v>44788</v>
      </c>
      <c r="F1150" s="379">
        <v>46113</v>
      </c>
      <c r="G1150" s="378" t="s">
        <v>378</v>
      </c>
      <c r="H1150" s="20" t="s">
        <v>352</v>
      </c>
      <c r="I1150" s="20" t="s">
        <v>353</v>
      </c>
      <c r="J1150" s="20" t="s">
        <v>163</v>
      </c>
      <c r="K1150" s="378" t="s">
        <v>354</v>
      </c>
      <c r="L1150" s="20" t="s">
        <v>165</v>
      </c>
      <c r="M1150" s="380">
        <v>2400</v>
      </c>
      <c r="N1150" s="380"/>
      <c r="O1150" s="380"/>
      <c r="P1150" s="380"/>
      <c r="Q1150" s="381">
        <v>268</v>
      </c>
      <c r="R1150" s="381"/>
      <c r="S1150" s="381"/>
      <c r="T1150" s="381"/>
      <c r="U1150" s="381"/>
      <c r="V1150" s="382">
        <v>268</v>
      </c>
      <c r="W1150" s="382">
        <v>0</v>
      </c>
      <c r="X1150" s="381">
        <v>0.11166666666666666</v>
      </c>
      <c r="Y1150" s="381">
        <v>0</v>
      </c>
      <c r="Z1150" s="381">
        <v>0</v>
      </c>
      <c r="AA1150" s="381">
        <v>0</v>
      </c>
      <c r="AB1150" s="381">
        <v>0</v>
      </c>
      <c r="AC1150" s="382">
        <v>0.11166666666666666</v>
      </c>
      <c r="AD1150" s="382">
        <v>0</v>
      </c>
      <c r="AE1150" s="381" t="s">
        <v>168</v>
      </c>
    </row>
    <row r="1151" spans="1:31" ht="15" customHeight="1" x14ac:dyDescent="0.25">
      <c r="A1151" s="20" t="s">
        <v>156</v>
      </c>
      <c r="B1151" s="20" t="s">
        <v>1450</v>
      </c>
      <c r="C1151" s="20" t="s">
        <v>1451</v>
      </c>
      <c r="D1151" s="378" t="s">
        <v>1731</v>
      </c>
      <c r="E1151" s="379">
        <v>44788</v>
      </c>
      <c r="F1151" s="379">
        <v>46113</v>
      </c>
      <c r="G1151" s="378" t="s">
        <v>378</v>
      </c>
      <c r="H1151" s="20" t="s">
        <v>352</v>
      </c>
      <c r="I1151" s="20" t="s">
        <v>353</v>
      </c>
      <c r="J1151" s="20" t="s">
        <v>163</v>
      </c>
      <c r="K1151" s="378" t="s">
        <v>354</v>
      </c>
      <c r="L1151" s="20" t="s">
        <v>165</v>
      </c>
      <c r="M1151" s="380">
        <v>2400</v>
      </c>
      <c r="N1151" s="380"/>
      <c r="O1151" s="380"/>
      <c r="P1151" s="380"/>
      <c r="Q1151" s="381">
        <v>247</v>
      </c>
      <c r="R1151" s="381"/>
      <c r="S1151" s="381"/>
      <c r="T1151" s="381"/>
      <c r="U1151" s="381"/>
      <c r="V1151" s="382">
        <v>247</v>
      </c>
      <c r="W1151" s="382">
        <v>0</v>
      </c>
      <c r="X1151" s="381">
        <v>0.10291666666666667</v>
      </c>
      <c r="Y1151" s="381">
        <v>0</v>
      </c>
      <c r="Z1151" s="381">
        <v>0</v>
      </c>
      <c r="AA1151" s="381">
        <v>0</v>
      </c>
      <c r="AB1151" s="381">
        <v>0</v>
      </c>
      <c r="AC1151" s="382">
        <v>0.10291666666666667</v>
      </c>
      <c r="AD1151" s="382">
        <v>0</v>
      </c>
      <c r="AE1151" s="381" t="s">
        <v>168</v>
      </c>
    </row>
    <row r="1152" spans="1:31" ht="15" customHeight="1" x14ac:dyDescent="0.25">
      <c r="A1152" s="20" t="s">
        <v>156</v>
      </c>
      <c r="B1152" s="20" t="s">
        <v>1450</v>
      </c>
      <c r="C1152" s="20" t="s">
        <v>1451</v>
      </c>
      <c r="D1152" s="378" t="s">
        <v>1732</v>
      </c>
      <c r="E1152" s="379">
        <v>44788</v>
      </c>
      <c r="F1152" s="379">
        <v>46113</v>
      </c>
      <c r="G1152" s="378" t="s">
        <v>378</v>
      </c>
      <c r="H1152" s="20" t="s">
        <v>352</v>
      </c>
      <c r="I1152" s="20" t="s">
        <v>353</v>
      </c>
      <c r="J1152" s="20" t="s">
        <v>163</v>
      </c>
      <c r="K1152" s="378" t="s">
        <v>354</v>
      </c>
      <c r="L1152" s="20" t="s">
        <v>165</v>
      </c>
      <c r="M1152" s="380">
        <v>2400</v>
      </c>
      <c r="N1152" s="380"/>
      <c r="O1152" s="380"/>
      <c r="P1152" s="380"/>
      <c r="Q1152" s="381">
        <v>339</v>
      </c>
      <c r="R1152" s="381"/>
      <c r="S1152" s="381"/>
      <c r="T1152" s="381"/>
      <c r="U1152" s="381"/>
      <c r="V1152" s="382">
        <v>339</v>
      </c>
      <c r="W1152" s="382">
        <v>0</v>
      </c>
      <c r="X1152" s="381">
        <v>0.14124999999999999</v>
      </c>
      <c r="Y1152" s="381">
        <v>0</v>
      </c>
      <c r="Z1152" s="381">
        <v>0</v>
      </c>
      <c r="AA1152" s="381">
        <v>0</v>
      </c>
      <c r="AB1152" s="381">
        <v>0</v>
      </c>
      <c r="AC1152" s="382">
        <v>0.14124999999999999</v>
      </c>
      <c r="AD1152" s="382">
        <v>0</v>
      </c>
      <c r="AE1152" s="381" t="s">
        <v>168</v>
      </c>
    </row>
    <row r="1153" spans="1:31" ht="15" customHeight="1" x14ac:dyDescent="0.25">
      <c r="A1153" s="20" t="s">
        <v>156</v>
      </c>
      <c r="B1153" s="20" t="s">
        <v>1450</v>
      </c>
      <c r="C1153" s="20" t="s">
        <v>1451</v>
      </c>
      <c r="D1153" s="378" t="s">
        <v>1733</v>
      </c>
      <c r="E1153" s="379">
        <v>44788</v>
      </c>
      <c r="F1153" s="379">
        <v>46113</v>
      </c>
      <c r="G1153" s="378" t="s">
        <v>378</v>
      </c>
      <c r="H1153" s="20" t="s">
        <v>352</v>
      </c>
      <c r="I1153" s="20" t="s">
        <v>353</v>
      </c>
      <c r="J1153" s="20" t="s">
        <v>163</v>
      </c>
      <c r="K1153" s="378" t="s">
        <v>354</v>
      </c>
      <c r="L1153" s="20" t="s">
        <v>165</v>
      </c>
      <c r="M1153" s="380">
        <v>2400</v>
      </c>
      <c r="N1153" s="380"/>
      <c r="O1153" s="380"/>
      <c r="P1153" s="380"/>
      <c r="Q1153" s="381">
        <v>330</v>
      </c>
      <c r="R1153" s="381"/>
      <c r="S1153" s="381"/>
      <c r="T1153" s="381"/>
      <c r="U1153" s="381"/>
      <c r="V1153" s="382">
        <v>330</v>
      </c>
      <c r="W1153" s="382">
        <v>0</v>
      </c>
      <c r="X1153" s="381">
        <v>0.13750000000000001</v>
      </c>
      <c r="Y1153" s="381">
        <v>0</v>
      </c>
      <c r="Z1153" s="381">
        <v>0</v>
      </c>
      <c r="AA1153" s="381">
        <v>0</v>
      </c>
      <c r="AB1153" s="381">
        <v>0</v>
      </c>
      <c r="AC1153" s="382">
        <v>0.13750000000000001</v>
      </c>
      <c r="AD1153" s="382">
        <v>0</v>
      </c>
      <c r="AE1153" s="381" t="s">
        <v>168</v>
      </c>
    </row>
    <row r="1154" spans="1:31" ht="15" customHeight="1" x14ac:dyDescent="0.25">
      <c r="A1154" s="20" t="s">
        <v>156</v>
      </c>
      <c r="B1154" s="20" t="s">
        <v>1450</v>
      </c>
      <c r="C1154" s="20" t="s">
        <v>1451</v>
      </c>
      <c r="D1154" s="378" t="s">
        <v>1734</v>
      </c>
      <c r="E1154" s="379">
        <v>44788</v>
      </c>
      <c r="F1154" s="379">
        <v>46113</v>
      </c>
      <c r="G1154" s="378" t="s">
        <v>378</v>
      </c>
      <c r="H1154" s="20" t="s">
        <v>352</v>
      </c>
      <c r="I1154" s="20" t="s">
        <v>353</v>
      </c>
      <c r="J1154" s="20" t="s">
        <v>163</v>
      </c>
      <c r="K1154" s="378" t="s">
        <v>354</v>
      </c>
      <c r="L1154" s="20" t="s">
        <v>165</v>
      </c>
      <c r="M1154" s="380">
        <v>2400</v>
      </c>
      <c r="N1154" s="380"/>
      <c r="O1154" s="380"/>
      <c r="P1154" s="380"/>
      <c r="Q1154" s="381">
        <v>321</v>
      </c>
      <c r="R1154" s="381"/>
      <c r="S1154" s="381"/>
      <c r="T1154" s="381"/>
      <c r="U1154" s="381"/>
      <c r="V1154" s="382">
        <v>321</v>
      </c>
      <c r="W1154" s="382">
        <v>0</v>
      </c>
      <c r="X1154" s="381">
        <v>0.13375000000000001</v>
      </c>
      <c r="Y1154" s="381">
        <v>0</v>
      </c>
      <c r="Z1154" s="381">
        <v>0</v>
      </c>
      <c r="AA1154" s="381">
        <v>0</v>
      </c>
      <c r="AB1154" s="381">
        <v>0</v>
      </c>
      <c r="AC1154" s="382">
        <v>0.13375000000000001</v>
      </c>
      <c r="AD1154" s="382">
        <v>0</v>
      </c>
      <c r="AE1154" s="381" t="s">
        <v>168</v>
      </c>
    </row>
    <row r="1155" spans="1:31" ht="15" customHeight="1" x14ac:dyDescent="0.25">
      <c r="A1155" s="20" t="s">
        <v>156</v>
      </c>
      <c r="B1155" s="20" t="s">
        <v>1450</v>
      </c>
      <c r="C1155" s="20" t="s">
        <v>1451</v>
      </c>
      <c r="D1155" s="378" t="s">
        <v>1735</v>
      </c>
      <c r="E1155" s="379">
        <v>44788</v>
      </c>
      <c r="F1155" s="379">
        <v>46113</v>
      </c>
      <c r="G1155" s="378" t="s">
        <v>378</v>
      </c>
      <c r="H1155" s="20" t="s">
        <v>352</v>
      </c>
      <c r="I1155" s="20" t="s">
        <v>353</v>
      </c>
      <c r="J1155" s="20" t="s">
        <v>163</v>
      </c>
      <c r="K1155" s="378" t="s">
        <v>354</v>
      </c>
      <c r="L1155" s="20" t="s">
        <v>165</v>
      </c>
      <c r="M1155" s="380">
        <v>2400</v>
      </c>
      <c r="N1155" s="380"/>
      <c r="O1155" s="380"/>
      <c r="P1155" s="380"/>
      <c r="Q1155" s="381">
        <v>309</v>
      </c>
      <c r="R1155" s="381"/>
      <c r="S1155" s="381"/>
      <c r="T1155" s="381"/>
      <c r="U1155" s="381"/>
      <c r="V1155" s="382">
        <v>309</v>
      </c>
      <c r="W1155" s="382">
        <v>0</v>
      </c>
      <c r="X1155" s="381">
        <v>0.12875</v>
      </c>
      <c r="Y1155" s="381">
        <v>0</v>
      </c>
      <c r="Z1155" s="381">
        <v>0</v>
      </c>
      <c r="AA1155" s="381">
        <v>0</v>
      </c>
      <c r="AB1155" s="381">
        <v>0</v>
      </c>
      <c r="AC1155" s="382">
        <v>0.12875</v>
      </c>
      <c r="AD1155" s="382">
        <v>0</v>
      </c>
      <c r="AE1155" s="381" t="s">
        <v>168</v>
      </c>
    </row>
    <row r="1156" spans="1:31" ht="15" customHeight="1" x14ac:dyDescent="0.25">
      <c r="A1156" s="20" t="s">
        <v>156</v>
      </c>
      <c r="B1156" s="20" t="s">
        <v>1450</v>
      </c>
      <c r="C1156" s="20" t="s">
        <v>1451</v>
      </c>
      <c r="D1156" s="378" t="s">
        <v>1736</v>
      </c>
      <c r="E1156" s="379">
        <v>44788</v>
      </c>
      <c r="F1156" s="379">
        <v>46113</v>
      </c>
      <c r="G1156" s="378" t="s">
        <v>378</v>
      </c>
      <c r="H1156" s="20" t="s">
        <v>352</v>
      </c>
      <c r="I1156" s="20" t="s">
        <v>353</v>
      </c>
      <c r="J1156" s="20" t="s">
        <v>163</v>
      </c>
      <c r="K1156" s="378" t="s">
        <v>354</v>
      </c>
      <c r="L1156" s="20" t="s">
        <v>165</v>
      </c>
      <c r="M1156" s="380">
        <v>2400</v>
      </c>
      <c r="N1156" s="380"/>
      <c r="O1156" s="380"/>
      <c r="P1156" s="380"/>
      <c r="Q1156" s="381">
        <v>374</v>
      </c>
      <c r="R1156" s="381"/>
      <c r="S1156" s="381"/>
      <c r="T1156" s="381"/>
      <c r="U1156" s="381"/>
      <c r="V1156" s="382">
        <v>374</v>
      </c>
      <c r="W1156" s="382">
        <v>0</v>
      </c>
      <c r="X1156" s="381">
        <v>0.15583333333333332</v>
      </c>
      <c r="Y1156" s="381">
        <v>0</v>
      </c>
      <c r="Z1156" s="381">
        <v>0</v>
      </c>
      <c r="AA1156" s="381">
        <v>0</v>
      </c>
      <c r="AB1156" s="381">
        <v>0</v>
      </c>
      <c r="AC1156" s="382">
        <v>0.15583333333333332</v>
      </c>
      <c r="AD1156" s="382">
        <v>0</v>
      </c>
      <c r="AE1156" s="381" t="s">
        <v>168</v>
      </c>
    </row>
    <row r="1157" spans="1:31" ht="15" customHeight="1" x14ac:dyDescent="0.25">
      <c r="A1157" s="20" t="s">
        <v>156</v>
      </c>
      <c r="B1157" s="20" t="s">
        <v>1450</v>
      </c>
      <c r="C1157" s="20" t="s">
        <v>1451</v>
      </c>
      <c r="D1157" s="378" t="s">
        <v>1737</v>
      </c>
      <c r="E1157" s="379">
        <v>44484</v>
      </c>
      <c r="F1157" s="379">
        <v>46143</v>
      </c>
      <c r="G1157" s="378" t="s">
        <v>387</v>
      </c>
      <c r="H1157" s="20" t="s">
        <v>388</v>
      </c>
      <c r="I1157" s="20">
        <v>0</v>
      </c>
      <c r="J1157" s="20" t="s">
        <v>163</v>
      </c>
      <c r="K1157" s="378" t="s">
        <v>389</v>
      </c>
      <c r="L1157" s="20" t="s">
        <v>165</v>
      </c>
      <c r="M1157" s="380">
        <v>2400</v>
      </c>
      <c r="N1157" s="380"/>
      <c r="O1157" s="380"/>
      <c r="P1157" s="380"/>
      <c r="Q1157" s="381">
        <v>382</v>
      </c>
      <c r="R1157" s="381"/>
      <c r="S1157" s="381"/>
      <c r="T1157" s="381"/>
      <c r="U1157" s="381"/>
      <c r="V1157" s="382">
        <v>382</v>
      </c>
      <c r="W1157" s="382">
        <v>0</v>
      </c>
      <c r="X1157" s="381">
        <v>0.15916666666666668</v>
      </c>
      <c r="Y1157" s="381">
        <v>0</v>
      </c>
      <c r="Z1157" s="381">
        <v>0</v>
      </c>
      <c r="AA1157" s="381">
        <v>0</v>
      </c>
      <c r="AB1157" s="381">
        <v>0</v>
      </c>
      <c r="AC1157" s="382">
        <v>0.15916666666666668</v>
      </c>
      <c r="AD1157" s="382">
        <v>0</v>
      </c>
      <c r="AE1157" s="381" t="s">
        <v>168</v>
      </c>
    </row>
    <row r="1158" spans="1:31" ht="15" customHeight="1" x14ac:dyDescent="0.25">
      <c r="A1158" s="20" t="s">
        <v>156</v>
      </c>
      <c r="B1158" s="20" t="s">
        <v>1450</v>
      </c>
      <c r="C1158" s="20" t="s">
        <v>1451</v>
      </c>
      <c r="D1158" s="378" t="s">
        <v>1738</v>
      </c>
      <c r="E1158" s="379">
        <v>44484</v>
      </c>
      <c r="F1158" s="379">
        <v>46143</v>
      </c>
      <c r="G1158" s="378" t="s">
        <v>387</v>
      </c>
      <c r="H1158" s="20" t="s">
        <v>388</v>
      </c>
      <c r="I1158" s="20">
        <v>0</v>
      </c>
      <c r="J1158" s="20" t="s">
        <v>163</v>
      </c>
      <c r="K1158" s="378" t="s">
        <v>389</v>
      </c>
      <c r="L1158" s="20" t="s">
        <v>165</v>
      </c>
      <c r="M1158" s="380">
        <v>2400</v>
      </c>
      <c r="N1158" s="380"/>
      <c r="O1158" s="380"/>
      <c r="P1158" s="380"/>
      <c r="Q1158" s="381">
        <v>340</v>
      </c>
      <c r="R1158" s="381"/>
      <c r="S1158" s="381"/>
      <c r="T1158" s="381"/>
      <c r="U1158" s="381"/>
      <c r="V1158" s="382">
        <v>340</v>
      </c>
      <c r="W1158" s="382">
        <v>0</v>
      </c>
      <c r="X1158" s="381">
        <v>0.14166666666666666</v>
      </c>
      <c r="Y1158" s="381">
        <v>0</v>
      </c>
      <c r="Z1158" s="381">
        <v>0</v>
      </c>
      <c r="AA1158" s="381">
        <v>0</v>
      </c>
      <c r="AB1158" s="381">
        <v>0</v>
      </c>
      <c r="AC1158" s="382">
        <v>0.14166666666666666</v>
      </c>
      <c r="AD1158" s="382">
        <v>0</v>
      </c>
      <c r="AE1158" s="381" t="s">
        <v>168</v>
      </c>
    </row>
    <row r="1159" spans="1:31" ht="15" customHeight="1" x14ac:dyDescent="0.25">
      <c r="A1159" s="20" t="s">
        <v>156</v>
      </c>
      <c r="B1159" s="20" t="s">
        <v>1450</v>
      </c>
      <c r="C1159" s="20" t="s">
        <v>1451</v>
      </c>
      <c r="D1159" s="378" t="s">
        <v>1739</v>
      </c>
      <c r="E1159" s="379">
        <v>44484</v>
      </c>
      <c r="F1159" s="379">
        <v>46143</v>
      </c>
      <c r="G1159" s="378" t="s">
        <v>391</v>
      </c>
      <c r="H1159" s="20" t="s">
        <v>388</v>
      </c>
      <c r="I1159" s="20">
        <v>0</v>
      </c>
      <c r="J1159" s="20" t="s">
        <v>163</v>
      </c>
      <c r="K1159" s="378" t="s">
        <v>389</v>
      </c>
      <c r="L1159" s="20" t="s">
        <v>165</v>
      </c>
      <c r="M1159" s="380">
        <v>2400</v>
      </c>
      <c r="N1159" s="380"/>
      <c r="O1159" s="380"/>
      <c r="P1159" s="380"/>
      <c r="Q1159" s="381">
        <v>372</v>
      </c>
      <c r="R1159" s="381"/>
      <c r="S1159" s="381"/>
      <c r="T1159" s="381"/>
      <c r="U1159" s="381"/>
      <c r="V1159" s="382">
        <v>372</v>
      </c>
      <c r="W1159" s="382">
        <v>0</v>
      </c>
      <c r="X1159" s="381">
        <v>0.155</v>
      </c>
      <c r="Y1159" s="381">
        <v>0</v>
      </c>
      <c r="Z1159" s="381">
        <v>0</v>
      </c>
      <c r="AA1159" s="381">
        <v>0</v>
      </c>
      <c r="AB1159" s="381">
        <v>0</v>
      </c>
      <c r="AC1159" s="382">
        <v>0.155</v>
      </c>
      <c r="AD1159" s="382">
        <v>0</v>
      </c>
      <c r="AE1159" s="381" t="s">
        <v>168</v>
      </c>
    </row>
    <row r="1160" spans="1:31" ht="15" customHeight="1" x14ac:dyDescent="0.25">
      <c r="A1160" s="20" t="s">
        <v>156</v>
      </c>
      <c r="B1160" s="20" t="s">
        <v>1450</v>
      </c>
      <c r="C1160" s="20" t="s">
        <v>1451</v>
      </c>
      <c r="D1160" s="378" t="s">
        <v>1740</v>
      </c>
      <c r="E1160" s="379">
        <v>44484</v>
      </c>
      <c r="F1160" s="379">
        <v>46143</v>
      </c>
      <c r="G1160" s="378" t="s">
        <v>391</v>
      </c>
      <c r="H1160" s="20" t="s">
        <v>388</v>
      </c>
      <c r="I1160" s="20">
        <v>0</v>
      </c>
      <c r="J1160" s="20" t="s">
        <v>163</v>
      </c>
      <c r="K1160" s="378" t="s">
        <v>389</v>
      </c>
      <c r="L1160" s="20" t="s">
        <v>165</v>
      </c>
      <c r="M1160" s="380">
        <v>2400</v>
      </c>
      <c r="N1160" s="380"/>
      <c r="O1160" s="380"/>
      <c r="P1160" s="380"/>
      <c r="Q1160" s="381">
        <v>330</v>
      </c>
      <c r="R1160" s="381"/>
      <c r="S1160" s="381"/>
      <c r="T1160" s="381"/>
      <c r="U1160" s="381"/>
      <c r="V1160" s="382">
        <v>330</v>
      </c>
      <c r="W1160" s="382">
        <v>0</v>
      </c>
      <c r="X1160" s="381">
        <v>0.13750000000000001</v>
      </c>
      <c r="Y1160" s="381">
        <v>0</v>
      </c>
      <c r="Z1160" s="381">
        <v>0</v>
      </c>
      <c r="AA1160" s="381">
        <v>0</v>
      </c>
      <c r="AB1160" s="381">
        <v>0</v>
      </c>
      <c r="AC1160" s="382">
        <v>0.13750000000000001</v>
      </c>
      <c r="AD1160" s="382">
        <v>0</v>
      </c>
      <c r="AE1160" s="381" t="s">
        <v>168</v>
      </c>
    </row>
    <row r="1161" spans="1:31" ht="15" customHeight="1" x14ac:dyDescent="0.25">
      <c r="A1161" s="20" t="s">
        <v>156</v>
      </c>
      <c r="B1161" s="20" t="s">
        <v>1450</v>
      </c>
      <c r="C1161" s="20" t="s">
        <v>1451</v>
      </c>
      <c r="D1161" s="378" t="s">
        <v>1741</v>
      </c>
      <c r="E1161" s="379">
        <v>44620</v>
      </c>
      <c r="F1161" s="379">
        <v>46446</v>
      </c>
      <c r="G1161" s="378" t="s">
        <v>173</v>
      </c>
      <c r="H1161" s="20" t="s">
        <v>393</v>
      </c>
      <c r="I1161" s="20"/>
      <c r="J1161" s="20" t="s">
        <v>163</v>
      </c>
      <c r="K1161" s="378" t="s">
        <v>394</v>
      </c>
      <c r="L1161" s="20" t="s">
        <v>165</v>
      </c>
      <c r="M1161" s="380">
        <v>2400</v>
      </c>
      <c r="N1161" s="380"/>
      <c r="O1161" s="380"/>
      <c r="P1161" s="380"/>
      <c r="Q1161" s="381">
        <v>434</v>
      </c>
      <c r="R1161" s="381"/>
      <c r="S1161" s="381"/>
      <c r="T1161" s="381"/>
      <c r="U1161" s="381"/>
      <c r="V1161" s="382">
        <v>434</v>
      </c>
      <c r="W1161" s="382">
        <v>0</v>
      </c>
      <c r="X1161" s="381">
        <v>0.18083333333333335</v>
      </c>
      <c r="Y1161" s="381">
        <v>0</v>
      </c>
      <c r="Z1161" s="381">
        <v>0</v>
      </c>
      <c r="AA1161" s="381">
        <v>0</v>
      </c>
      <c r="AB1161" s="381">
        <v>0</v>
      </c>
      <c r="AC1161" s="382">
        <v>0.18083333333333335</v>
      </c>
      <c r="AD1161" s="382">
        <v>0</v>
      </c>
      <c r="AE1161" s="381" t="s">
        <v>168</v>
      </c>
    </row>
    <row r="1162" spans="1:31" ht="15" customHeight="1" x14ac:dyDescent="0.25">
      <c r="A1162" s="20" t="s">
        <v>156</v>
      </c>
      <c r="B1162" s="20" t="s">
        <v>1450</v>
      </c>
      <c r="C1162" s="20" t="s">
        <v>1451</v>
      </c>
      <c r="D1162" s="378" t="s">
        <v>1742</v>
      </c>
      <c r="E1162" s="379">
        <v>44620</v>
      </c>
      <c r="F1162" s="379">
        <v>46446</v>
      </c>
      <c r="G1162" s="378" t="s">
        <v>173</v>
      </c>
      <c r="H1162" s="20" t="s">
        <v>393</v>
      </c>
      <c r="I1162" s="20"/>
      <c r="J1162" s="20" t="s">
        <v>163</v>
      </c>
      <c r="K1162" s="378" t="s">
        <v>394</v>
      </c>
      <c r="L1162" s="20" t="s">
        <v>165</v>
      </c>
      <c r="M1162" s="380">
        <v>2400</v>
      </c>
      <c r="N1162" s="380"/>
      <c r="O1162" s="380"/>
      <c r="P1162" s="380"/>
      <c r="Q1162" s="381">
        <v>239</v>
      </c>
      <c r="R1162" s="381"/>
      <c r="S1162" s="381"/>
      <c r="T1162" s="381"/>
      <c r="U1162" s="381"/>
      <c r="V1162" s="382">
        <v>239</v>
      </c>
      <c r="W1162" s="382">
        <v>0</v>
      </c>
      <c r="X1162" s="381">
        <v>9.9583333333333329E-2</v>
      </c>
      <c r="Y1162" s="381">
        <v>0</v>
      </c>
      <c r="Z1162" s="381">
        <v>0</v>
      </c>
      <c r="AA1162" s="381">
        <v>0</v>
      </c>
      <c r="AB1162" s="381">
        <v>0</v>
      </c>
      <c r="AC1162" s="382">
        <v>9.9583333333333329E-2</v>
      </c>
      <c r="AD1162" s="382">
        <v>0</v>
      </c>
      <c r="AE1162" s="381" t="s">
        <v>168</v>
      </c>
    </row>
    <row r="1163" spans="1:31" ht="15" customHeight="1" x14ac:dyDescent="0.25">
      <c r="A1163" s="20" t="s">
        <v>156</v>
      </c>
      <c r="B1163" s="20" t="s">
        <v>1450</v>
      </c>
      <c r="C1163" s="20" t="s">
        <v>1451</v>
      </c>
      <c r="D1163" s="378" t="s">
        <v>1742</v>
      </c>
      <c r="E1163" s="379">
        <v>44620</v>
      </c>
      <c r="F1163" s="379">
        <v>46446</v>
      </c>
      <c r="G1163" s="378" t="s">
        <v>173</v>
      </c>
      <c r="H1163" s="20" t="s">
        <v>393</v>
      </c>
      <c r="I1163" s="20"/>
      <c r="J1163" s="20" t="s">
        <v>163</v>
      </c>
      <c r="K1163" s="378" t="s">
        <v>394</v>
      </c>
      <c r="L1163" s="20" t="s">
        <v>165</v>
      </c>
      <c r="M1163" s="380">
        <v>2400</v>
      </c>
      <c r="N1163" s="380"/>
      <c r="O1163" s="380"/>
      <c r="P1163" s="380"/>
      <c r="Q1163" s="381">
        <v>262</v>
      </c>
      <c r="R1163" s="381"/>
      <c r="S1163" s="381"/>
      <c r="T1163" s="381"/>
      <c r="U1163" s="381"/>
      <c r="V1163" s="382">
        <v>262</v>
      </c>
      <c r="W1163" s="382">
        <v>0</v>
      </c>
      <c r="X1163" s="381">
        <v>0.10916666666666666</v>
      </c>
      <c r="Y1163" s="381">
        <v>0</v>
      </c>
      <c r="Z1163" s="381">
        <v>0</v>
      </c>
      <c r="AA1163" s="381">
        <v>0</v>
      </c>
      <c r="AB1163" s="381">
        <v>0</v>
      </c>
      <c r="AC1163" s="382">
        <v>0.10916666666666666</v>
      </c>
      <c r="AD1163" s="382">
        <v>0</v>
      </c>
      <c r="AE1163" s="381" t="s">
        <v>168</v>
      </c>
    </row>
    <row r="1164" spans="1:31" ht="15" customHeight="1" x14ac:dyDescent="0.25">
      <c r="A1164" s="20" t="s">
        <v>156</v>
      </c>
      <c r="B1164" s="20" t="s">
        <v>1450</v>
      </c>
      <c r="C1164" s="20" t="s">
        <v>1451</v>
      </c>
      <c r="D1164" s="378" t="s">
        <v>1742</v>
      </c>
      <c r="E1164" s="379">
        <v>44620</v>
      </c>
      <c r="F1164" s="379">
        <v>46446</v>
      </c>
      <c r="G1164" s="378" t="s">
        <v>173</v>
      </c>
      <c r="H1164" s="20" t="s">
        <v>393</v>
      </c>
      <c r="I1164" s="20"/>
      <c r="J1164" s="20" t="s">
        <v>163</v>
      </c>
      <c r="K1164" s="378" t="s">
        <v>394</v>
      </c>
      <c r="L1164" s="20" t="s">
        <v>165</v>
      </c>
      <c r="M1164" s="380">
        <v>2400</v>
      </c>
      <c r="N1164" s="380"/>
      <c r="O1164" s="380"/>
      <c r="P1164" s="380"/>
      <c r="Q1164" s="381">
        <v>409</v>
      </c>
      <c r="R1164" s="381"/>
      <c r="S1164" s="381"/>
      <c r="T1164" s="381"/>
      <c r="U1164" s="381"/>
      <c r="V1164" s="382">
        <v>409</v>
      </c>
      <c r="W1164" s="382">
        <v>0</v>
      </c>
      <c r="X1164" s="381">
        <v>0.17041666666666666</v>
      </c>
      <c r="Y1164" s="381">
        <v>0</v>
      </c>
      <c r="Z1164" s="381">
        <v>0</v>
      </c>
      <c r="AA1164" s="381">
        <v>0</v>
      </c>
      <c r="AB1164" s="381">
        <v>0</v>
      </c>
      <c r="AC1164" s="382">
        <v>0.17041666666666666</v>
      </c>
      <c r="AD1164" s="382">
        <v>0</v>
      </c>
      <c r="AE1164" s="381" t="s">
        <v>168</v>
      </c>
    </row>
    <row r="1165" spans="1:31" ht="15" customHeight="1" x14ac:dyDescent="0.25">
      <c r="A1165" s="20" t="s">
        <v>156</v>
      </c>
      <c r="B1165" s="20" t="s">
        <v>1450</v>
      </c>
      <c r="C1165" s="20" t="s">
        <v>1451</v>
      </c>
      <c r="D1165" s="378" t="s">
        <v>1743</v>
      </c>
      <c r="E1165" s="379">
        <v>44620</v>
      </c>
      <c r="F1165" s="379">
        <v>46446</v>
      </c>
      <c r="G1165" s="378" t="s">
        <v>173</v>
      </c>
      <c r="H1165" s="20" t="s">
        <v>393</v>
      </c>
      <c r="I1165" s="20"/>
      <c r="J1165" s="20" t="s">
        <v>163</v>
      </c>
      <c r="K1165" s="378" t="s">
        <v>394</v>
      </c>
      <c r="L1165" s="20" t="s">
        <v>165</v>
      </c>
      <c r="M1165" s="380">
        <v>2400</v>
      </c>
      <c r="N1165" s="380"/>
      <c r="O1165" s="380"/>
      <c r="P1165" s="380"/>
      <c r="Q1165" s="381">
        <v>215</v>
      </c>
      <c r="R1165" s="381"/>
      <c r="S1165" s="381"/>
      <c r="T1165" s="381"/>
      <c r="U1165" s="381"/>
      <c r="V1165" s="382">
        <v>215</v>
      </c>
      <c r="W1165" s="382">
        <v>0</v>
      </c>
      <c r="X1165" s="381">
        <v>8.9583333333333334E-2</v>
      </c>
      <c r="Y1165" s="381">
        <v>0</v>
      </c>
      <c r="Z1165" s="381">
        <v>0</v>
      </c>
      <c r="AA1165" s="381">
        <v>0</v>
      </c>
      <c r="AB1165" s="381">
        <v>0</v>
      </c>
      <c r="AC1165" s="382">
        <v>8.9583333333333334E-2</v>
      </c>
      <c r="AD1165" s="382">
        <v>0</v>
      </c>
      <c r="AE1165" s="381" t="s">
        <v>168</v>
      </c>
    </row>
    <row r="1166" spans="1:31" ht="15" customHeight="1" x14ac:dyDescent="0.25">
      <c r="A1166" s="20" t="s">
        <v>156</v>
      </c>
      <c r="B1166" s="20" t="s">
        <v>1450</v>
      </c>
      <c r="C1166" s="20" t="s">
        <v>1451</v>
      </c>
      <c r="D1166" s="378" t="s">
        <v>1744</v>
      </c>
      <c r="E1166" s="379">
        <v>44620</v>
      </c>
      <c r="F1166" s="379">
        <v>46446</v>
      </c>
      <c r="G1166" s="378" t="s">
        <v>173</v>
      </c>
      <c r="H1166" s="20" t="s">
        <v>393</v>
      </c>
      <c r="I1166" s="20"/>
      <c r="J1166" s="20" t="s">
        <v>163</v>
      </c>
      <c r="K1166" s="378" t="s">
        <v>394</v>
      </c>
      <c r="L1166" s="20" t="s">
        <v>165</v>
      </c>
      <c r="M1166" s="380">
        <v>2400</v>
      </c>
      <c r="N1166" s="380"/>
      <c r="O1166" s="380"/>
      <c r="P1166" s="380"/>
      <c r="Q1166" s="381">
        <v>237</v>
      </c>
      <c r="R1166" s="381"/>
      <c r="S1166" s="381"/>
      <c r="T1166" s="381"/>
      <c r="U1166" s="381"/>
      <c r="V1166" s="382">
        <v>237</v>
      </c>
      <c r="W1166" s="382">
        <v>0</v>
      </c>
      <c r="X1166" s="381">
        <v>9.8750000000000004E-2</v>
      </c>
      <c r="Y1166" s="381">
        <v>0</v>
      </c>
      <c r="Z1166" s="381">
        <v>0</v>
      </c>
      <c r="AA1166" s="381">
        <v>0</v>
      </c>
      <c r="AB1166" s="381">
        <v>0</v>
      </c>
      <c r="AC1166" s="382">
        <v>9.8750000000000004E-2</v>
      </c>
      <c r="AD1166" s="382">
        <v>0</v>
      </c>
      <c r="AE1166" s="381" t="s">
        <v>168</v>
      </c>
    </row>
    <row r="1167" spans="1:31" ht="15" customHeight="1" x14ac:dyDescent="0.25">
      <c r="A1167" s="20" t="s">
        <v>156</v>
      </c>
      <c r="B1167" s="20" t="s">
        <v>1450</v>
      </c>
      <c r="C1167" s="20" t="s">
        <v>1451</v>
      </c>
      <c r="D1167" s="378" t="s">
        <v>1745</v>
      </c>
      <c r="E1167" s="379">
        <v>44620</v>
      </c>
      <c r="F1167" s="379">
        <v>46446</v>
      </c>
      <c r="G1167" s="378" t="s">
        <v>173</v>
      </c>
      <c r="H1167" s="20" t="s">
        <v>393</v>
      </c>
      <c r="I1167" s="20"/>
      <c r="J1167" s="20" t="s">
        <v>163</v>
      </c>
      <c r="K1167" s="378" t="s">
        <v>394</v>
      </c>
      <c r="L1167" s="20" t="s">
        <v>165</v>
      </c>
      <c r="M1167" s="380">
        <v>2400</v>
      </c>
      <c r="N1167" s="380"/>
      <c r="O1167" s="380"/>
      <c r="P1167" s="380"/>
      <c r="Q1167" s="381">
        <v>238</v>
      </c>
      <c r="R1167" s="381"/>
      <c r="S1167" s="381"/>
      <c r="T1167" s="381"/>
      <c r="U1167" s="381"/>
      <c r="V1167" s="382">
        <v>238</v>
      </c>
      <c r="W1167" s="382">
        <v>0</v>
      </c>
      <c r="X1167" s="381">
        <v>9.9166666666666667E-2</v>
      </c>
      <c r="Y1167" s="381">
        <v>0</v>
      </c>
      <c r="Z1167" s="381">
        <v>0</v>
      </c>
      <c r="AA1167" s="381">
        <v>0</v>
      </c>
      <c r="AB1167" s="381">
        <v>0</v>
      </c>
      <c r="AC1167" s="382">
        <v>9.9166666666666667E-2</v>
      </c>
      <c r="AD1167" s="382">
        <v>0</v>
      </c>
      <c r="AE1167" s="381" t="s">
        <v>168</v>
      </c>
    </row>
    <row r="1168" spans="1:31" ht="15" customHeight="1" x14ac:dyDescent="0.25">
      <c r="A1168" s="20" t="s">
        <v>156</v>
      </c>
      <c r="B1168" s="20" t="s">
        <v>1450</v>
      </c>
      <c r="C1168" s="20" t="s">
        <v>1451</v>
      </c>
      <c r="D1168" s="378" t="s">
        <v>1746</v>
      </c>
      <c r="E1168" s="379">
        <v>44620</v>
      </c>
      <c r="F1168" s="379">
        <v>46446</v>
      </c>
      <c r="G1168" s="378" t="s">
        <v>173</v>
      </c>
      <c r="H1168" s="20" t="s">
        <v>393</v>
      </c>
      <c r="I1168" s="20"/>
      <c r="J1168" s="20" t="s">
        <v>163</v>
      </c>
      <c r="K1168" s="378" t="s">
        <v>394</v>
      </c>
      <c r="L1168" s="20" t="s">
        <v>165</v>
      </c>
      <c r="M1168" s="380">
        <v>2400</v>
      </c>
      <c r="N1168" s="380"/>
      <c r="O1168" s="380"/>
      <c r="P1168" s="380"/>
      <c r="Q1168" s="381">
        <v>215</v>
      </c>
      <c r="R1168" s="381"/>
      <c r="S1168" s="381"/>
      <c r="T1168" s="381"/>
      <c r="U1168" s="381"/>
      <c r="V1168" s="382">
        <v>215</v>
      </c>
      <c r="W1168" s="382">
        <v>0</v>
      </c>
      <c r="X1168" s="381">
        <v>8.9583333333333334E-2</v>
      </c>
      <c r="Y1168" s="381">
        <v>0</v>
      </c>
      <c r="Z1168" s="381">
        <v>0</v>
      </c>
      <c r="AA1168" s="381">
        <v>0</v>
      </c>
      <c r="AB1168" s="381">
        <v>0</v>
      </c>
      <c r="AC1168" s="382">
        <v>8.9583333333333334E-2</v>
      </c>
      <c r="AD1168" s="382">
        <v>0</v>
      </c>
      <c r="AE1168" s="381" t="s">
        <v>168</v>
      </c>
    </row>
    <row r="1169" spans="1:31" ht="15" customHeight="1" x14ac:dyDescent="0.25">
      <c r="A1169" s="20" t="s">
        <v>156</v>
      </c>
      <c r="B1169" s="20" t="s">
        <v>1450</v>
      </c>
      <c r="C1169" s="20" t="s">
        <v>1451</v>
      </c>
      <c r="D1169" s="378" t="s">
        <v>1747</v>
      </c>
      <c r="E1169" s="379">
        <v>44620</v>
      </c>
      <c r="F1169" s="379">
        <v>46446</v>
      </c>
      <c r="G1169" s="378" t="s">
        <v>173</v>
      </c>
      <c r="H1169" s="20" t="s">
        <v>393</v>
      </c>
      <c r="I1169" s="20"/>
      <c r="J1169" s="20" t="s">
        <v>163</v>
      </c>
      <c r="K1169" s="378" t="s">
        <v>394</v>
      </c>
      <c r="L1169" s="20" t="s">
        <v>165</v>
      </c>
      <c r="M1169" s="380">
        <v>2400</v>
      </c>
      <c r="N1169" s="380"/>
      <c r="O1169" s="380"/>
      <c r="P1169" s="380"/>
      <c r="Q1169" s="381">
        <v>483</v>
      </c>
      <c r="R1169" s="381"/>
      <c r="S1169" s="381"/>
      <c r="T1169" s="381"/>
      <c r="U1169" s="381"/>
      <c r="V1169" s="382">
        <v>483</v>
      </c>
      <c r="W1169" s="382">
        <v>0</v>
      </c>
      <c r="X1169" s="381">
        <v>0.20125000000000001</v>
      </c>
      <c r="Y1169" s="381">
        <v>0</v>
      </c>
      <c r="Z1169" s="381">
        <v>0</v>
      </c>
      <c r="AA1169" s="381">
        <v>0</v>
      </c>
      <c r="AB1169" s="381">
        <v>0</v>
      </c>
      <c r="AC1169" s="382">
        <v>0.20125000000000001</v>
      </c>
      <c r="AD1169" s="382">
        <v>0</v>
      </c>
      <c r="AE1169" s="381" t="s">
        <v>168</v>
      </c>
    </row>
    <row r="1170" spans="1:31" ht="15" customHeight="1" x14ac:dyDescent="0.25">
      <c r="A1170" s="20" t="s">
        <v>156</v>
      </c>
      <c r="B1170" s="20" t="s">
        <v>1450</v>
      </c>
      <c r="C1170" s="20" t="s">
        <v>1451</v>
      </c>
      <c r="D1170" s="378" t="s">
        <v>1748</v>
      </c>
      <c r="E1170" s="379">
        <v>44620</v>
      </c>
      <c r="F1170" s="379">
        <v>46446</v>
      </c>
      <c r="G1170" s="378" t="s">
        <v>173</v>
      </c>
      <c r="H1170" s="20" t="s">
        <v>393</v>
      </c>
      <c r="I1170" s="20"/>
      <c r="J1170" s="20" t="s">
        <v>163</v>
      </c>
      <c r="K1170" s="378" t="s">
        <v>394</v>
      </c>
      <c r="L1170" s="20" t="s">
        <v>165</v>
      </c>
      <c r="M1170" s="380">
        <v>2400</v>
      </c>
      <c r="N1170" s="380"/>
      <c r="O1170" s="380"/>
      <c r="P1170" s="380"/>
      <c r="Q1170" s="381">
        <v>240</v>
      </c>
      <c r="R1170" s="381"/>
      <c r="S1170" s="381"/>
      <c r="T1170" s="381"/>
      <c r="U1170" s="381"/>
      <c r="V1170" s="382">
        <v>240</v>
      </c>
      <c r="W1170" s="382">
        <v>0</v>
      </c>
      <c r="X1170" s="381">
        <v>0.1</v>
      </c>
      <c r="Y1170" s="381">
        <v>0</v>
      </c>
      <c r="Z1170" s="381">
        <v>0</v>
      </c>
      <c r="AA1170" s="381">
        <v>0</v>
      </c>
      <c r="AB1170" s="381">
        <v>0</v>
      </c>
      <c r="AC1170" s="382">
        <v>0.1</v>
      </c>
      <c r="AD1170" s="382">
        <v>0</v>
      </c>
      <c r="AE1170" s="381" t="s">
        <v>168</v>
      </c>
    </row>
    <row r="1171" spans="1:31" ht="15" customHeight="1" x14ac:dyDescent="0.25">
      <c r="A1171" s="20" t="s">
        <v>156</v>
      </c>
      <c r="B1171" s="20" t="s">
        <v>1450</v>
      </c>
      <c r="C1171" s="20" t="s">
        <v>1451</v>
      </c>
      <c r="D1171" s="378" t="s">
        <v>1749</v>
      </c>
      <c r="E1171" s="379">
        <v>44620</v>
      </c>
      <c r="F1171" s="379">
        <v>46446</v>
      </c>
      <c r="G1171" s="378" t="s">
        <v>173</v>
      </c>
      <c r="H1171" s="20" t="s">
        <v>393</v>
      </c>
      <c r="I1171" s="20"/>
      <c r="J1171" s="20" t="s">
        <v>163</v>
      </c>
      <c r="K1171" s="378" t="s">
        <v>394</v>
      </c>
      <c r="L1171" s="20" t="s">
        <v>165</v>
      </c>
      <c r="M1171" s="380">
        <v>2400</v>
      </c>
      <c r="N1171" s="380"/>
      <c r="O1171" s="380"/>
      <c r="P1171" s="380"/>
      <c r="Q1171" s="381">
        <v>242</v>
      </c>
      <c r="R1171" s="381"/>
      <c r="S1171" s="381"/>
      <c r="T1171" s="381"/>
      <c r="U1171" s="381"/>
      <c r="V1171" s="382">
        <v>242</v>
      </c>
      <c r="W1171" s="382">
        <v>0</v>
      </c>
      <c r="X1171" s="381">
        <v>0.10083333333333333</v>
      </c>
      <c r="Y1171" s="381">
        <v>0</v>
      </c>
      <c r="Z1171" s="381">
        <v>0</v>
      </c>
      <c r="AA1171" s="381">
        <v>0</v>
      </c>
      <c r="AB1171" s="381">
        <v>0</v>
      </c>
      <c r="AC1171" s="382">
        <v>0.10083333333333333</v>
      </c>
      <c r="AD1171" s="382">
        <v>0</v>
      </c>
      <c r="AE1171" s="381" t="s">
        <v>168</v>
      </c>
    </row>
    <row r="1172" spans="1:31" ht="15" customHeight="1" x14ac:dyDescent="0.25">
      <c r="A1172" s="20" t="s">
        <v>156</v>
      </c>
      <c r="B1172" s="20" t="s">
        <v>1450</v>
      </c>
      <c r="C1172" s="20" t="s">
        <v>1451</v>
      </c>
      <c r="D1172" s="378" t="s">
        <v>1750</v>
      </c>
      <c r="E1172" s="379">
        <v>44620</v>
      </c>
      <c r="F1172" s="379">
        <v>46446</v>
      </c>
      <c r="G1172" s="378" t="s">
        <v>173</v>
      </c>
      <c r="H1172" s="20" t="s">
        <v>393</v>
      </c>
      <c r="I1172" s="20"/>
      <c r="J1172" s="20" t="s">
        <v>163</v>
      </c>
      <c r="K1172" s="378" t="s">
        <v>394</v>
      </c>
      <c r="L1172" s="20" t="s">
        <v>165</v>
      </c>
      <c r="M1172" s="380">
        <v>2400</v>
      </c>
      <c r="N1172" s="380"/>
      <c r="O1172" s="380"/>
      <c r="P1172" s="380"/>
      <c r="Q1172" s="381">
        <v>254</v>
      </c>
      <c r="R1172" s="381"/>
      <c r="S1172" s="381"/>
      <c r="T1172" s="381"/>
      <c r="U1172" s="381"/>
      <c r="V1172" s="382">
        <v>254</v>
      </c>
      <c r="W1172" s="382">
        <v>0</v>
      </c>
      <c r="X1172" s="381">
        <v>0.10583333333333333</v>
      </c>
      <c r="Y1172" s="381">
        <v>0</v>
      </c>
      <c r="Z1172" s="381">
        <v>0</v>
      </c>
      <c r="AA1172" s="381">
        <v>0</v>
      </c>
      <c r="AB1172" s="381">
        <v>0</v>
      </c>
      <c r="AC1172" s="382">
        <v>0.10583333333333333</v>
      </c>
      <c r="AD1172" s="382">
        <v>0</v>
      </c>
      <c r="AE1172" s="381" t="s">
        <v>168</v>
      </c>
    </row>
    <row r="1173" spans="1:31" ht="15" customHeight="1" x14ac:dyDescent="0.25">
      <c r="A1173" s="20" t="s">
        <v>156</v>
      </c>
      <c r="B1173" s="20" t="s">
        <v>1450</v>
      </c>
      <c r="C1173" s="20" t="s">
        <v>1451</v>
      </c>
      <c r="D1173" s="378" t="s">
        <v>1751</v>
      </c>
      <c r="E1173" s="379">
        <v>44620</v>
      </c>
      <c r="F1173" s="379">
        <v>46446</v>
      </c>
      <c r="G1173" s="378" t="s">
        <v>173</v>
      </c>
      <c r="H1173" s="20" t="s">
        <v>393</v>
      </c>
      <c r="I1173" s="20"/>
      <c r="J1173" s="20" t="s">
        <v>163</v>
      </c>
      <c r="K1173" s="378" t="s">
        <v>394</v>
      </c>
      <c r="L1173" s="20" t="s">
        <v>165</v>
      </c>
      <c r="M1173" s="380">
        <v>2400</v>
      </c>
      <c r="N1173" s="380"/>
      <c r="O1173" s="380"/>
      <c r="P1173" s="380"/>
      <c r="Q1173" s="381">
        <v>460</v>
      </c>
      <c r="R1173" s="381"/>
      <c r="S1173" s="381"/>
      <c r="T1173" s="381"/>
      <c r="U1173" s="381"/>
      <c r="V1173" s="382">
        <v>460</v>
      </c>
      <c r="W1173" s="382">
        <v>0</v>
      </c>
      <c r="X1173" s="381">
        <v>0.19166666666666668</v>
      </c>
      <c r="Y1173" s="381">
        <v>0</v>
      </c>
      <c r="Z1173" s="381">
        <v>0</v>
      </c>
      <c r="AA1173" s="381">
        <v>0</v>
      </c>
      <c r="AB1173" s="381">
        <v>0</v>
      </c>
      <c r="AC1173" s="382">
        <v>0.19166666666666668</v>
      </c>
      <c r="AD1173" s="382">
        <v>0</v>
      </c>
      <c r="AE1173" s="381" t="s">
        <v>168</v>
      </c>
    </row>
    <row r="1174" spans="1:31" ht="15" customHeight="1" x14ac:dyDescent="0.25">
      <c r="A1174" s="20" t="s">
        <v>156</v>
      </c>
      <c r="B1174" s="20" t="s">
        <v>1450</v>
      </c>
      <c r="C1174" s="20" t="s">
        <v>1451</v>
      </c>
      <c r="D1174" s="378" t="s">
        <v>1752</v>
      </c>
      <c r="E1174" s="379">
        <v>44620</v>
      </c>
      <c r="F1174" s="379">
        <v>46446</v>
      </c>
      <c r="G1174" s="378" t="s">
        <v>173</v>
      </c>
      <c r="H1174" s="20" t="s">
        <v>393</v>
      </c>
      <c r="I1174" s="20"/>
      <c r="J1174" s="20" t="s">
        <v>163</v>
      </c>
      <c r="K1174" s="378" t="s">
        <v>394</v>
      </c>
      <c r="L1174" s="20" t="s">
        <v>165</v>
      </c>
      <c r="M1174" s="380">
        <v>2400</v>
      </c>
      <c r="N1174" s="380"/>
      <c r="O1174" s="380"/>
      <c r="P1174" s="380"/>
      <c r="Q1174" s="381">
        <v>470</v>
      </c>
      <c r="R1174" s="381"/>
      <c r="S1174" s="381"/>
      <c r="T1174" s="381"/>
      <c r="U1174" s="381"/>
      <c r="V1174" s="382">
        <v>470</v>
      </c>
      <c r="W1174" s="382">
        <v>0</v>
      </c>
      <c r="X1174" s="381">
        <v>0.19583333333333333</v>
      </c>
      <c r="Y1174" s="381">
        <v>0</v>
      </c>
      <c r="Z1174" s="381">
        <v>0</v>
      </c>
      <c r="AA1174" s="381">
        <v>0</v>
      </c>
      <c r="AB1174" s="381">
        <v>0</v>
      </c>
      <c r="AC1174" s="382">
        <v>0.19583333333333333</v>
      </c>
      <c r="AD1174" s="382">
        <v>0</v>
      </c>
      <c r="AE1174" s="381" t="s">
        <v>168</v>
      </c>
    </row>
    <row r="1175" spans="1:31" ht="15" customHeight="1" x14ac:dyDescent="0.25">
      <c r="A1175" s="20" t="s">
        <v>156</v>
      </c>
      <c r="B1175" s="20" t="s">
        <v>1450</v>
      </c>
      <c r="C1175" s="20" t="s">
        <v>1451</v>
      </c>
      <c r="D1175" s="378" t="s">
        <v>1753</v>
      </c>
      <c r="E1175" s="379">
        <v>44620</v>
      </c>
      <c r="F1175" s="379">
        <v>46446</v>
      </c>
      <c r="G1175" s="378" t="s">
        <v>173</v>
      </c>
      <c r="H1175" s="20" t="s">
        <v>393</v>
      </c>
      <c r="I1175" s="20"/>
      <c r="J1175" s="20" t="s">
        <v>163</v>
      </c>
      <c r="K1175" s="378" t="s">
        <v>394</v>
      </c>
      <c r="L1175" s="20" t="s">
        <v>165</v>
      </c>
      <c r="M1175" s="380">
        <v>2400</v>
      </c>
      <c r="N1175" s="380"/>
      <c r="O1175" s="380"/>
      <c r="P1175" s="380"/>
      <c r="Q1175" s="381">
        <v>460</v>
      </c>
      <c r="R1175" s="381"/>
      <c r="S1175" s="381"/>
      <c r="T1175" s="381"/>
      <c r="U1175" s="381"/>
      <c r="V1175" s="382">
        <v>460</v>
      </c>
      <c r="W1175" s="382">
        <v>0</v>
      </c>
      <c r="X1175" s="381">
        <v>0.19166666666666668</v>
      </c>
      <c r="Y1175" s="381">
        <v>0</v>
      </c>
      <c r="Z1175" s="381">
        <v>0</v>
      </c>
      <c r="AA1175" s="381">
        <v>0</v>
      </c>
      <c r="AB1175" s="381">
        <v>0</v>
      </c>
      <c r="AC1175" s="382">
        <v>0.19166666666666668</v>
      </c>
      <c r="AD1175" s="382">
        <v>0</v>
      </c>
      <c r="AE1175" s="381" t="s">
        <v>168</v>
      </c>
    </row>
    <row r="1176" spans="1:31" ht="15" customHeight="1" x14ac:dyDescent="0.25">
      <c r="A1176" s="20" t="s">
        <v>156</v>
      </c>
      <c r="B1176" s="20" t="s">
        <v>1450</v>
      </c>
      <c r="C1176" s="20" t="s">
        <v>1451</v>
      </c>
      <c r="D1176" s="378" t="s">
        <v>1754</v>
      </c>
      <c r="E1176" s="379">
        <v>44620</v>
      </c>
      <c r="F1176" s="379">
        <v>46446</v>
      </c>
      <c r="G1176" s="378" t="s">
        <v>173</v>
      </c>
      <c r="H1176" s="20" t="s">
        <v>393</v>
      </c>
      <c r="I1176" s="20"/>
      <c r="J1176" s="20" t="s">
        <v>163</v>
      </c>
      <c r="K1176" s="378" t="s">
        <v>394</v>
      </c>
      <c r="L1176" s="20" t="s">
        <v>165</v>
      </c>
      <c r="M1176" s="380">
        <v>2400</v>
      </c>
      <c r="N1176" s="380"/>
      <c r="O1176" s="380"/>
      <c r="P1176" s="380"/>
      <c r="Q1176" s="381">
        <v>367</v>
      </c>
      <c r="R1176" s="381"/>
      <c r="S1176" s="381"/>
      <c r="T1176" s="381"/>
      <c r="U1176" s="381"/>
      <c r="V1176" s="382">
        <v>367</v>
      </c>
      <c r="W1176" s="382">
        <v>0</v>
      </c>
      <c r="X1176" s="381">
        <v>0.15291666666666667</v>
      </c>
      <c r="Y1176" s="381">
        <v>0</v>
      </c>
      <c r="Z1176" s="381">
        <v>0</v>
      </c>
      <c r="AA1176" s="381">
        <v>0</v>
      </c>
      <c r="AB1176" s="381">
        <v>0</v>
      </c>
      <c r="AC1176" s="382">
        <v>0.15291666666666667</v>
      </c>
      <c r="AD1176" s="382">
        <v>0</v>
      </c>
      <c r="AE1176" s="381" t="s">
        <v>168</v>
      </c>
    </row>
    <row r="1177" spans="1:31" ht="15" customHeight="1" x14ac:dyDescent="0.25">
      <c r="A1177" s="20" t="s">
        <v>156</v>
      </c>
      <c r="B1177" s="20" t="s">
        <v>1450</v>
      </c>
      <c r="C1177" s="20" t="s">
        <v>1451</v>
      </c>
      <c r="D1177" s="378" t="s">
        <v>1755</v>
      </c>
      <c r="E1177" s="379">
        <v>44620</v>
      </c>
      <c r="F1177" s="379">
        <v>46446</v>
      </c>
      <c r="G1177" s="378" t="s">
        <v>173</v>
      </c>
      <c r="H1177" s="20" t="s">
        <v>393</v>
      </c>
      <c r="I1177" s="20"/>
      <c r="J1177" s="20" t="s">
        <v>163</v>
      </c>
      <c r="K1177" s="378" t="s">
        <v>394</v>
      </c>
      <c r="L1177" s="20" t="s">
        <v>165</v>
      </c>
      <c r="M1177" s="380">
        <v>2400</v>
      </c>
      <c r="N1177" s="380"/>
      <c r="O1177" s="380"/>
      <c r="P1177" s="380"/>
      <c r="Q1177" s="381">
        <v>499</v>
      </c>
      <c r="R1177" s="381"/>
      <c r="S1177" s="381"/>
      <c r="T1177" s="381"/>
      <c r="U1177" s="381"/>
      <c r="V1177" s="382">
        <v>499</v>
      </c>
      <c r="W1177" s="382">
        <v>0</v>
      </c>
      <c r="X1177" s="381">
        <v>0.20791666666666667</v>
      </c>
      <c r="Y1177" s="381">
        <v>0</v>
      </c>
      <c r="Z1177" s="381">
        <v>0</v>
      </c>
      <c r="AA1177" s="381">
        <v>0</v>
      </c>
      <c r="AB1177" s="381">
        <v>0</v>
      </c>
      <c r="AC1177" s="382">
        <v>0.20791666666666667</v>
      </c>
      <c r="AD1177" s="382">
        <v>0</v>
      </c>
      <c r="AE1177" s="381" t="s">
        <v>168</v>
      </c>
    </row>
    <row r="1178" spans="1:31" ht="15" customHeight="1" x14ac:dyDescent="0.25">
      <c r="A1178" s="20" t="s">
        <v>156</v>
      </c>
      <c r="B1178" s="20" t="s">
        <v>1450</v>
      </c>
      <c r="C1178" s="20" t="s">
        <v>1451</v>
      </c>
      <c r="D1178" s="378" t="s">
        <v>1756</v>
      </c>
      <c r="E1178" s="379">
        <v>44620</v>
      </c>
      <c r="F1178" s="379">
        <v>46446</v>
      </c>
      <c r="G1178" s="378" t="s">
        <v>173</v>
      </c>
      <c r="H1178" s="20" t="s">
        <v>393</v>
      </c>
      <c r="I1178" s="20"/>
      <c r="J1178" s="20" t="s">
        <v>163</v>
      </c>
      <c r="K1178" s="378" t="s">
        <v>394</v>
      </c>
      <c r="L1178" s="20" t="s">
        <v>165</v>
      </c>
      <c r="M1178" s="380">
        <v>2400</v>
      </c>
      <c r="N1178" s="380"/>
      <c r="O1178" s="380"/>
      <c r="P1178" s="380"/>
      <c r="Q1178" s="381">
        <v>485</v>
      </c>
      <c r="R1178" s="381"/>
      <c r="S1178" s="381"/>
      <c r="T1178" s="381"/>
      <c r="U1178" s="381"/>
      <c r="V1178" s="382">
        <v>485</v>
      </c>
      <c r="W1178" s="382">
        <v>0</v>
      </c>
      <c r="X1178" s="381">
        <v>0.20208333333333334</v>
      </c>
      <c r="Y1178" s="381">
        <v>0</v>
      </c>
      <c r="Z1178" s="381">
        <v>0</v>
      </c>
      <c r="AA1178" s="381">
        <v>0</v>
      </c>
      <c r="AB1178" s="381">
        <v>0</v>
      </c>
      <c r="AC1178" s="382">
        <v>0.20208333333333334</v>
      </c>
      <c r="AD1178" s="382">
        <v>0</v>
      </c>
      <c r="AE1178" s="381" t="s">
        <v>168</v>
      </c>
    </row>
    <row r="1179" spans="1:31" ht="15" customHeight="1" x14ac:dyDescent="0.25">
      <c r="A1179" s="20" t="s">
        <v>156</v>
      </c>
      <c r="B1179" s="20" t="s">
        <v>1450</v>
      </c>
      <c r="C1179" s="20" t="s">
        <v>1451</v>
      </c>
      <c r="D1179" s="378" t="s">
        <v>1757</v>
      </c>
      <c r="E1179" s="379">
        <v>44620</v>
      </c>
      <c r="F1179" s="379">
        <v>46446</v>
      </c>
      <c r="G1179" s="378" t="s">
        <v>396</v>
      </c>
      <c r="H1179" s="20" t="s">
        <v>393</v>
      </c>
      <c r="I1179" s="20"/>
      <c r="J1179" s="20" t="s">
        <v>163</v>
      </c>
      <c r="K1179" s="378" t="s">
        <v>397</v>
      </c>
      <c r="L1179" s="20" t="s">
        <v>165</v>
      </c>
      <c r="M1179" s="380">
        <v>2400</v>
      </c>
      <c r="N1179" s="380"/>
      <c r="O1179" s="380"/>
      <c r="P1179" s="380"/>
      <c r="Q1179" s="381">
        <v>219</v>
      </c>
      <c r="R1179" s="381"/>
      <c r="S1179" s="381"/>
      <c r="T1179" s="381"/>
      <c r="U1179" s="381"/>
      <c r="V1179" s="382">
        <v>219</v>
      </c>
      <c r="W1179" s="382">
        <v>0</v>
      </c>
      <c r="X1179" s="381">
        <v>9.1249999999999998E-2</v>
      </c>
      <c r="Y1179" s="381">
        <v>0</v>
      </c>
      <c r="Z1179" s="381">
        <v>0</v>
      </c>
      <c r="AA1179" s="381">
        <v>0</v>
      </c>
      <c r="AB1179" s="381">
        <v>0</v>
      </c>
      <c r="AC1179" s="382">
        <v>9.1249999999999998E-2</v>
      </c>
      <c r="AD1179" s="382">
        <v>0</v>
      </c>
      <c r="AE1179" s="381" t="s">
        <v>168</v>
      </c>
    </row>
    <row r="1180" spans="1:31" ht="15" customHeight="1" x14ac:dyDescent="0.25">
      <c r="A1180" s="20" t="s">
        <v>156</v>
      </c>
      <c r="B1180" s="20" t="s">
        <v>1450</v>
      </c>
      <c r="C1180" s="20" t="s">
        <v>1451</v>
      </c>
      <c r="D1180" s="378" t="s">
        <v>1758</v>
      </c>
      <c r="E1180" s="379">
        <v>44620</v>
      </c>
      <c r="F1180" s="379">
        <v>46446</v>
      </c>
      <c r="G1180" s="378" t="s">
        <v>396</v>
      </c>
      <c r="H1180" s="20" t="s">
        <v>393</v>
      </c>
      <c r="I1180" s="20"/>
      <c r="J1180" s="20" t="s">
        <v>163</v>
      </c>
      <c r="K1180" s="378" t="s">
        <v>397</v>
      </c>
      <c r="L1180" s="20" t="s">
        <v>165</v>
      </c>
      <c r="M1180" s="380">
        <v>2400</v>
      </c>
      <c r="N1180" s="380"/>
      <c r="O1180" s="380"/>
      <c r="P1180" s="380"/>
      <c r="Q1180" s="381">
        <v>253</v>
      </c>
      <c r="R1180" s="381"/>
      <c r="S1180" s="381"/>
      <c r="T1180" s="381"/>
      <c r="U1180" s="381"/>
      <c r="V1180" s="382">
        <v>253</v>
      </c>
      <c r="W1180" s="382">
        <v>0</v>
      </c>
      <c r="X1180" s="381">
        <v>0.10541666666666667</v>
      </c>
      <c r="Y1180" s="381">
        <v>0</v>
      </c>
      <c r="Z1180" s="381">
        <v>0</v>
      </c>
      <c r="AA1180" s="381">
        <v>0</v>
      </c>
      <c r="AB1180" s="381">
        <v>0</v>
      </c>
      <c r="AC1180" s="382">
        <v>0.10541666666666667</v>
      </c>
      <c r="AD1180" s="382">
        <v>0</v>
      </c>
      <c r="AE1180" s="381" t="s">
        <v>168</v>
      </c>
    </row>
    <row r="1181" spans="1:31" ht="15" customHeight="1" x14ac:dyDescent="0.25">
      <c r="A1181" s="20" t="s">
        <v>156</v>
      </c>
      <c r="B1181" s="20" t="s">
        <v>1450</v>
      </c>
      <c r="C1181" s="20" t="s">
        <v>1451</v>
      </c>
      <c r="D1181" s="378" t="s">
        <v>1759</v>
      </c>
      <c r="E1181" s="379">
        <v>44620</v>
      </c>
      <c r="F1181" s="379">
        <v>46446</v>
      </c>
      <c r="G1181" s="378" t="s">
        <v>396</v>
      </c>
      <c r="H1181" s="20" t="s">
        <v>393</v>
      </c>
      <c r="I1181" s="20"/>
      <c r="J1181" s="20" t="s">
        <v>163</v>
      </c>
      <c r="K1181" s="378" t="s">
        <v>397</v>
      </c>
      <c r="L1181" s="20" t="s">
        <v>165</v>
      </c>
      <c r="M1181" s="380">
        <v>2400</v>
      </c>
      <c r="N1181" s="380"/>
      <c r="O1181" s="380"/>
      <c r="P1181" s="380"/>
      <c r="Q1181" s="381">
        <v>326</v>
      </c>
      <c r="R1181" s="381"/>
      <c r="S1181" s="381"/>
      <c r="T1181" s="381"/>
      <c r="U1181" s="381"/>
      <c r="V1181" s="382">
        <v>326</v>
      </c>
      <c r="W1181" s="382">
        <v>0</v>
      </c>
      <c r="X1181" s="381">
        <v>0.13583333333333333</v>
      </c>
      <c r="Y1181" s="381">
        <v>0</v>
      </c>
      <c r="Z1181" s="381">
        <v>0</v>
      </c>
      <c r="AA1181" s="381">
        <v>0</v>
      </c>
      <c r="AB1181" s="381">
        <v>0</v>
      </c>
      <c r="AC1181" s="382">
        <v>0.13583333333333333</v>
      </c>
      <c r="AD1181" s="382">
        <v>0</v>
      </c>
      <c r="AE1181" s="381" t="s">
        <v>168</v>
      </c>
    </row>
    <row r="1182" spans="1:31" ht="15" customHeight="1" x14ac:dyDescent="0.25">
      <c r="A1182" s="20" t="s">
        <v>156</v>
      </c>
      <c r="B1182" s="20" t="s">
        <v>1450</v>
      </c>
      <c r="C1182" s="20" t="s">
        <v>1451</v>
      </c>
      <c r="D1182" s="378" t="s">
        <v>1760</v>
      </c>
      <c r="E1182" s="379">
        <v>44620</v>
      </c>
      <c r="F1182" s="379">
        <v>46446</v>
      </c>
      <c r="G1182" s="378" t="s">
        <v>396</v>
      </c>
      <c r="H1182" s="20" t="s">
        <v>393</v>
      </c>
      <c r="I1182" s="20"/>
      <c r="J1182" s="20" t="s">
        <v>163</v>
      </c>
      <c r="K1182" s="378" t="s">
        <v>397</v>
      </c>
      <c r="L1182" s="20" t="s">
        <v>165</v>
      </c>
      <c r="M1182" s="380">
        <v>2400</v>
      </c>
      <c r="N1182" s="380"/>
      <c r="O1182" s="380"/>
      <c r="P1182" s="380"/>
      <c r="Q1182" s="381">
        <v>267</v>
      </c>
      <c r="R1182" s="381"/>
      <c r="S1182" s="381"/>
      <c r="T1182" s="381"/>
      <c r="U1182" s="381"/>
      <c r="V1182" s="382">
        <v>267</v>
      </c>
      <c r="W1182" s="382">
        <v>0</v>
      </c>
      <c r="X1182" s="381">
        <v>0.11125</v>
      </c>
      <c r="Y1182" s="381">
        <v>0</v>
      </c>
      <c r="Z1182" s="381">
        <v>0</v>
      </c>
      <c r="AA1182" s="381">
        <v>0</v>
      </c>
      <c r="AB1182" s="381">
        <v>0</v>
      </c>
      <c r="AC1182" s="382">
        <v>0.11125</v>
      </c>
      <c r="AD1182" s="382">
        <v>0</v>
      </c>
      <c r="AE1182" s="381" t="s">
        <v>168</v>
      </c>
    </row>
    <row r="1183" spans="1:31" ht="15" customHeight="1" x14ac:dyDescent="0.25">
      <c r="A1183" s="20" t="s">
        <v>156</v>
      </c>
      <c r="B1183" s="20" t="s">
        <v>1450</v>
      </c>
      <c r="C1183" s="20" t="s">
        <v>1451</v>
      </c>
      <c r="D1183" s="378" t="s">
        <v>1761</v>
      </c>
      <c r="E1183" s="379">
        <v>44620</v>
      </c>
      <c r="F1183" s="379">
        <v>46446</v>
      </c>
      <c r="G1183" s="378" t="s">
        <v>396</v>
      </c>
      <c r="H1183" s="20" t="s">
        <v>393</v>
      </c>
      <c r="I1183" s="20"/>
      <c r="J1183" s="20" t="s">
        <v>163</v>
      </c>
      <c r="K1183" s="378" t="s">
        <v>397</v>
      </c>
      <c r="L1183" s="20" t="s">
        <v>165</v>
      </c>
      <c r="M1183" s="380">
        <v>2400</v>
      </c>
      <c r="N1183" s="380"/>
      <c r="O1183" s="380"/>
      <c r="P1183" s="380"/>
      <c r="Q1183" s="381">
        <v>280</v>
      </c>
      <c r="R1183" s="381"/>
      <c r="S1183" s="381"/>
      <c r="T1183" s="381"/>
      <c r="U1183" s="381"/>
      <c r="V1183" s="382">
        <v>280</v>
      </c>
      <c r="W1183" s="382">
        <v>0</v>
      </c>
      <c r="X1183" s="381">
        <v>0.11666666666666667</v>
      </c>
      <c r="Y1183" s="381">
        <v>0</v>
      </c>
      <c r="Z1183" s="381">
        <v>0</v>
      </c>
      <c r="AA1183" s="381">
        <v>0</v>
      </c>
      <c r="AB1183" s="381">
        <v>0</v>
      </c>
      <c r="AC1183" s="382">
        <v>0.11666666666666667</v>
      </c>
      <c r="AD1183" s="382">
        <v>0</v>
      </c>
      <c r="AE1183" s="381" t="s">
        <v>168</v>
      </c>
    </row>
    <row r="1184" spans="1:31" ht="15" customHeight="1" x14ac:dyDescent="0.25">
      <c r="A1184" s="20" t="s">
        <v>156</v>
      </c>
      <c r="B1184" s="20" t="s">
        <v>1450</v>
      </c>
      <c r="C1184" s="20" t="s">
        <v>1451</v>
      </c>
      <c r="D1184" s="378" t="s">
        <v>1762</v>
      </c>
      <c r="E1184" s="379">
        <v>44620</v>
      </c>
      <c r="F1184" s="379">
        <v>46446</v>
      </c>
      <c r="G1184" s="378" t="s">
        <v>396</v>
      </c>
      <c r="H1184" s="20" t="s">
        <v>393</v>
      </c>
      <c r="I1184" s="20"/>
      <c r="J1184" s="20" t="s">
        <v>163</v>
      </c>
      <c r="K1184" s="378" t="s">
        <v>397</v>
      </c>
      <c r="L1184" s="20" t="s">
        <v>165</v>
      </c>
      <c r="M1184" s="380">
        <v>2400</v>
      </c>
      <c r="N1184" s="380"/>
      <c r="O1184" s="380"/>
      <c r="P1184" s="380"/>
      <c r="Q1184" s="381">
        <v>341</v>
      </c>
      <c r="R1184" s="381"/>
      <c r="S1184" s="381"/>
      <c r="T1184" s="381"/>
      <c r="U1184" s="381"/>
      <c r="V1184" s="382">
        <v>341</v>
      </c>
      <c r="W1184" s="382">
        <v>0</v>
      </c>
      <c r="X1184" s="381">
        <v>0.14208333333333334</v>
      </c>
      <c r="Y1184" s="381">
        <v>0</v>
      </c>
      <c r="Z1184" s="381">
        <v>0</v>
      </c>
      <c r="AA1184" s="381">
        <v>0</v>
      </c>
      <c r="AB1184" s="381">
        <v>0</v>
      </c>
      <c r="AC1184" s="382">
        <v>0.14208333333333334</v>
      </c>
      <c r="AD1184" s="382">
        <v>0</v>
      </c>
      <c r="AE1184" s="381" t="s">
        <v>168</v>
      </c>
    </row>
    <row r="1185" spans="1:31" ht="15" customHeight="1" x14ac:dyDescent="0.25">
      <c r="A1185" s="20" t="s">
        <v>156</v>
      </c>
      <c r="B1185" s="20" t="s">
        <v>1450</v>
      </c>
      <c r="C1185" s="20" t="s">
        <v>1451</v>
      </c>
      <c r="D1185" s="378" t="s">
        <v>1763</v>
      </c>
      <c r="E1185" s="379">
        <v>44620</v>
      </c>
      <c r="F1185" s="379">
        <v>46446</v>
      </c>
      <c r="G1185" s="378" t="s">
        <v>396</v>
      </c>
      <c r="H1185" s="20" t="s">
        <v>393</v>
      </c>
      <c r="I1185" s="20"/>
      <c r="J1185" s="20" t="s">
        <v>163</v>
      </c>
      <c r="K1185" s="378" t="s">
        <v>397</v>
      </c>
      <c r="L1185" s="20" t="s">
        <v>165</v>
      </c>
      <c r="M1185" s="380">
        <v>2400</v>
      </c>
      <c r="N1185" s="380"/>
      <c r="O1185" s="380"/>
      <c r="P1185" s="380"/>
      <c r="Q1185" s="381">
        <v>325</v>
      </c>
      <c r="R1185" s="381"/>
      <c r="S1185" s="381"/>
      <c r="T1185" s="381"/>
      <c r="U1185" s="381"/>
      <c r="V1185" s="382">
        <v>325</v>
      </c>
      <c r="W1185" s="382">
        <v>0</v>
      </c>
      <c r="X1185" s="381">
        <v>0.13541666666666666</v>
      </c>
      <c r="Y1185" s="381">
        <v>0</v>
      </c>
      <c r="Z1185" s="381">
        <v>0</v>
      </c>
      <c r="AA1185" s="381">
        <v>0</v>
      </c>
      <c r="AB1185" s="381">
        <v>0</v>
      </c>
      <c r="AC1185" s="382">
        <v>0.13541666666666666</v>
      </c>
      <c r="AD1185" s="382">
        <v>0</v>
      </c>
      <c r="AE1185" s="381" t="s">
        <v>168</v>
      </c>
    </row>
    <row r="1186" spans="1:31" ht="15" customHeight="1" x14ac:dyDescent="0.25">
      <c r="A1186" s="20" t="s">
        <v>156</v>
      </c>
      <c r="B1186" s="20" t="s">
        <v>1450</v>
      </c>
      <c r="C1186" s="20" t="s">
        <v>1451</v>
      </c>
      <c r="D1186" s="378" t="s">
        <v>1763</v>
      </c>
      <c r="E1186" s="379">
        <v>44620</v>
      </c>
      <c r="F1186" s="379">
        <v>46446</v>
      </c>
      <c r="G1186" s="378" t="s">
        <v>396</v>
      </c>
      <c r="H1186" s="20" t="s">
        <v>393</v>
      </c>
      <c r="I1186" s="20"/>
      <c r="J1186" s="20" t="s">
        <v>163</v>
      </c>
      <c r="K1186" s="378" t="s">
        <v>397</v>
      </c>
      <c r="L1186" s="20" t="s">
        <v>165</v>
      </c>
      <c r="M1186" s="380">
        <v>2400</v>
      </c>
      <c r="N1186" s="380"/>
      <c r="O1186" s="380"/>
      <c r="P1186" s="380"/>
      <c r="Q1186" s="381">
        <v>314</v>
      </c>
      <c r="R1186" s="381"/>
      <c r="S1186" s="381"/>
      <c r="T1186" s="381"/>
      <c r="U1186" s="381"/>
      <c r="V1186" s="382">
        <v>314</v>
      </c>
      <c r="W1186" s="382">
        <v>0</v>
      </c>
      <c r="X1186" s="381">
        <v>0.13083333333333333</v>
      </c>
      <c r="Y1186" s="381">
        <v>0</v>
      </c>
      <c r="Z1186" s="381">
        <v>0</v>
      </c>
      <c r="AA1186" s="381">
        <v>0</v>
      </c>
      <c r="AB1186" s="381">
        <v>0</v>
      </c>
      <c r="AC1186" s="382">
        <v>0.13083333333333333</v>
      </c>
      <c r="AD1186" s="382">
        <v>0</v>
      </c>
      <c r="AE1186" s="381" t="s">
        <v>168</v>
      </c>
    </row>
    <row r="1187" spans="1:31" ht="15" customHeight="1" x14ac:dyDescent="0.25">
      <c r="A1187" s="20" t="s">
        <v>156</v>
      </c>
      <c r="B1187" s="20" t="s">
        <v>1450</v>
      </c>
      <c r="C1187" s="20" t="s">
        <v>1451</v>
      </c>
      <c r="D1187" s="378" t="s">
        <v>1763</v>
      </c>
      <c r="E1187" s="379">
        <v>44620</v>
      </c>
      <c r="F1187" s="379">
        <v>46446</v>
      </c>
      <c r="G1187" s="378" t="s">
        <v>396</v>
      </c>
      <c r="H1187" s="20" t="s">
        <v>393</v>
      </c>
      <c r="I1187" s="20"/>
      <c r="J1187" s="20" t="s">
        <v>163</v>
      </c>
      <c r="K1187" s="378" t="s">
        <v>397</v>
      </c>
      <c r="L1187" s="20" t="s">
        <v>165</v>
      </c>
      <c r="M1187" s="380">
        <v>2400</v>
      </c>
      <c r="N1187" s="380"/>
      <c r="O1187" s="380"/>
      <c r="P1187" s="380"/>
      <c r="Q1187" s="381">
        <v>297</v>
      </c>
      <c r="R1187" s="381"/>
      <c r="S1187" s="381"/>
      <c r="T1187" s="381"/>
      <c r="U1187" s="381"/>
      <c r="V1187" s="382">
        <v>297</v>
      </c>
      <c r="W1187" s="382">
        <v>0</v>
      </c>
      <c r="X1187" s="381">
        <v>0.12375</v>
      </c>
      <c r="Y1187" s="381">
        <v>0</v>
      </c>
      <c r="Z1187" s="381">
        <v>0</v>
      </c>
      <c r="AA1187" s="381">
        <v>0</v>
      </c>
      <c r="AB1187" s="381">
        <v>0</v>
      </c>
      <c r="AC1187" s="382">
        <v>0.12375</v>
      </c>
      <c r="AD1187" s="382">
        <v>0</v>
      </c>
      <c r="AE1187" s="381" t="s">
        <v>168</v>
      </c>
    </row>
    <row r="1188" spans="1:31" ht="15" customHeight="1" x14ac:dyDescent="0.25">
      <c r="A1188" s="20" t="s">
        <v>156</v>
      </c>
      <c r="B1188" s="20" t="s">
        <v>1450</v>
      </c>
      <c r="C1188" s="20" t="s">
        <v>1451</v>
      </c>
      <c r="D1188" s="378" t="s">
        <v>1764</v>
      </c>
      <c r="E1188" s="379">
        <v>44620</v>
      </c>
      <c r="F1188" s="379">
        <v>46446</v>
      </c>
      <c r="G1188" s="378" t="s">
        <v>396</v>
      </c>
      <c r="H1188" s="20" t="s">
        <v>393</v>
      </c>
      <c r="I1188" s="20"/>
      <c r="J1188" s="20" t="s">
        <v>163</v>
      </c>
      <c r="K1188" s="378" t="s">
        <v>397</v>
      </c>
      <c r="L1188" s="20" t="s">
        <v>165</v>
      </c>
      <c r="M1188" s="380">
        <v>2400</v>
      </c>
      <c r="N1188" s="380"/>
      <c r="O1188" s="380"/>
      <c r="P1188" s="380"/>
      <c r="Q1188" s="381">
        <v>317</v>
      </c>
      <c r="R1188" s="381"/>
      <c r="S1188" s="381"/>
      <c r="T1188" s="381"/>
      <c r="U1188" s="381"/>
      <c r="V1188" s="382">
        <v>317</v>
      </c>
      <c r="W1188" s="382">
        <v>0</v>
      </c>
      <c r="X1188" s="381">
        <v>0.13208333333333333</v>
      </c>
      <c r="Y1188" s="381">
        <v>0</v>
      </c>
      <c r="Z1188" s="381">
        <v>0</v>
      </c>
      <c r="AA1188" s="381">
        <v>0</v>
      </c>
      <c r="AB1188" s="381">
        <v>0</v>
      </c>
      <c r="AC1188" s="382">
        <v>0.13208333333333333</v>
      </c>
      <c r="AD1188" s="382">
        <v>0</v>
      </c>
      <c r="AE1188" s="381" t="s">
        <v>168</v>
      </c>
    </row>
    <row r="1189" spans="1:31" ht="15" customHeight="1" x14ac:dyDescent="0.25">
      <c r="A1189" s="20" t="s">
        <v>156</v>
      </c>
      <c r="B1189" s="20" t="s">
        <v>1450</v>
      </c>
      <c r="C1189" s="20" t="s">
        <v>1451</v>
      </c>
      <c r="D1189" s="378" t="s">
        <v>1765</v>
      </c>
      <c r="E1189" s="379">
        <v>44620</v>
      </c>
      <c r="F1189" s="379">
        <v>46446</v>
      </c>
      <c r="G1189" s="378" t="s">
        <v>396</v>
      </c>
      <c r="H1189" s="20" t="s">
        <v>393</v>
      </c>
      <c r="I1189" s="20"/>
      <c r="J1189" s="20" t="s">
        <v>163</v>
      </c>
      <c r="K1189" s="378" t="s">
        <v>397</v>
      </c>
      <c r="L1189" s="20" t="s">
        <v>165</v>
      </c>
      <c r="M1189" s="380">
        <v>2400</v>
      </c>
      <c r="N1189" s="380"/>
      <c r="O1189" s="380"/>
      <c r="P1189" s="380"/>
      <c r="Q1189" s="381">
        <v>317</v>
      </c>
      <c r="R1189" s="381"/>
      <c r="S1189" s="381"/>
      <c r="T1189" s="381"/>
      <c r="U1189" s="381"/>
      <c r="V1189" s="382">
        <v>317</v>
      </c>
      <c r="W1189" s="382">
        <v>0</v>
      </c>
      <c r="X1189" s="381">
        <v>0.13208333333333333</v>
      </c>
      <c r="Y1189" s="381">
        <v>0</v>
      </c>
      <c r="Z1189" s="381">
        <v>0</v>
      </c>
      <c r="AA1189" s="381">
        <v>0</v>
      </c>
      <c r="AB1189" s="381">
        <v>0</v>
      </c>
      <c r="AC1189" s="382">
        <v>0.13208333333333333</v>
      </c>
      <c r="AD1189" s="382">
        <v>0</v>
      </c>
      <c r="AE1189" s="381" t="s">
        <v>168</v>
      </c>
    </row>
    <row r="1190" spans="1:31" ht="15" customHeight="1" x14ac:dyDescent="0.25">
      <c r="A1190" s="20" t="s">
        <v>156</v>
      </c>
      <c r="B1190" s="20" t="s">
        <v>1450</v>
      </c>
      <c r="C1190" s="20" t="s">
        <v>1451</v>
      </c>
      <c r="D1190" s="378" t="s">
        <v>1766</v>
      </c>
      <c r="E1190" s="379">
        <v>44620</v>
      </c>
      <c r="F1190" s="379">
        <v>46446</v>
      </c>
      <c r="G1190" s="378" t="s">
        <v>396</v>
      </c>
      <c r="H1190" s="20" t="s">
        <v>393</v>
      </c>
      <c r="I1190" s="20"/>
      <c r="J1190" s="20" t="s">
        <v>163</v>
      </c>
      <c r="K1190" s="378" t="s">
        <v>397</v>
      </c>
      <c r="L1190" s="20" t="s">
        <v>165</v>
      </c>
      <c r="M1190" s="380">
        <v>2400</v>
      </c>
      <c r="N1190" s="380"/>
      <c r="O1190" s="380"/>
      <c r="P1190" s="380"/>
      <c r="Q1190" s="381">
        <v>248</v>
      </c>
      <c r="R1190" s="381"/>
      <c r="S1190" s="381"/>
      <c r="T1190" s="381"/>
      <c r="U1190" s="381"/>
      <c r="V1190" s="382">
        <v>248</v>
      </c>
      <c r="W1190" s="382">
        <v>0</v>
      </c>
      <c r="X1190" s="381">
        <v>0.10333333333333333</v>
      </c>
      <c r="Y1190" s="381">
        <v>0</v>
      </c>
      <c r="Z1190" s="381">
        <v>0</v>
      </c>
      <c r="AA1190" s="381">
        <v>0</v>
      </c>
      <c r="AB1190" s="381">
        <v>0</v>
      </c>
      <c r="AC1190" s="382">
        <v>0.10333333333333333</v>
      </c>
      <c r="AD1190" s="382">
        <v>0</v>
      </c>
      <c r="AE1190" s="381" t="s">
        <v>168</v>
      </c>
    </row>
    <row r="1191" spans="1:31" ht="15" customHeight="1" x14ac:dyDescent="0.25">
      <c r="A1191" s="20" t="s">
        <v>156</v>
      </c>
      <c r="B1191" s="20" t="s">
        <v>1450</v>
      </c>
      <c r="C1191" s="20" t="s">
        <v>1451</v>
      </c>
      <c r="D1191" s="378" t="s">
        <v>1767</v>
      </c>
      <c r="E1191" s="379">
        <v>44620</v>
      </c>
      <c r="F1191" s="379">
        <v>46446</v>
      </c>
      <c r="G1191" s="378" t="s">
        <v>396</v>
      </c>
      <c r="H1191" s="20" t="s">
        <v>393</v>
      </c>
      <c r="I1191" s="20"/>
      <c r="J1191" s="20" t="s">
        <v>163</v>
      </c>
      <c r="K1191" s="378" t="s">
        <v>397</v>
      </c>
      <c r="L1191" s="20" t="s">
        <v>165</v>
      </c>
      <c r="M1191" s="380">
        <v>2400</v>
      </c>
      <c r="N1191" s="380"/>
      <c r="O1191" s="380"/>
      <c r="P1191" s="380"/>
      <c r="Q1191" s="381">
        <v>233</v>
      </c>
      <c r="R1191" s="381"/>
      <c r="S1191" s="381"/>
      <c r="T1191" s="381"/>
      <c r="U1191" s="381"/>
      <c r="V1191" s="382">
        <v>233</v>
      </c>
      <c r="W1191" s="382">
        <v>0</v>
      </c>
      <c r="X1191" s="381">
        <v>9.7083333333333327E-2</v>
      </c>
      <c r="Y1191" s="381">
        <v>0</v>
      </c>
      <c r="Z1191" s="381">
        <v>0</v>
      </c>
      <c r="AA1191" s="381">
        <v>0</v>
      </c>
      <c r="AB1191" s="381">
        <v>0</v>
      </c>
      <c r="AC1191" s="382">
        <v>9.7083333333333327E-2</v>
      </c>
      <c r="AD1191" s="382">
        <v>0</v>
      </c>
      <c r="AE1191" s="381" t="s">
        <v>168</v>
      </c>
    </row>
    <row r="1192" spans="1:31" ht="15" customHeight="1" x14ac:dyDescent="0.25">
      <c r="A1192" s="20" t="s">
        <v>156</v>
      </c>
      <c r="B1192" s="20" t="s">
        <v>1450</v>
      </c>
      <c r="C1192" s="20" t="s">
        <v>1451</v>
      </c>
      <c r="D1192" s="378" t="s">
        <v>1768</v>
      </c>
      <c r="E1192" s="379">
        <v>44620</v>
      </c>
      <c r="F1192" s="379">
        <v>46446</v>
      </c>
      <c r="G1192" s="378" t="s">
        <v>396</v>
      </c>
      <c r="H1192" s="20" t="s">
        <v>393</v>
      </c>
      <c r="I1192" s="20"/>
      <c r="J1192" s="20" t="s">
        <v>163</v>
      </c>
      <c r="K1192" s="378" t="s">
        <v>397</v>
      </c>
      <c r="L1192" s="20" t="s">
        <v>165</v>
      </c>
      <c r="M1192" s="380">
        <v>2400</v>
      </c>
      <c r="N1192" s="380"/>
      <c r="O1192" s="380"/>
      <c r="P1192" s="380"/>
      <c r="Q1192" s="381">
        <v>262</v>
      </c>
      <c r="R1192" s="381"/>
      <c r="S1192" s="381"/>
      <c r="T1192" s="381"/>
      <c r="U1192" s="381"/>
      <c r="V1192" s="382">
        <v>262</v>
      </c>
      <c r="W1192" s="382">
        <v>0</v>
      </c>
      <c r="X1192" s="381">
        <v>0.10916666666666666</v>
      </c>
      <c r="Y1192" s="381">
        <v>0</v>
      </c>
      <c r="Z1192" s="381">
        <v>0</v>
      </c>
      <c r="AA1192" s="381">
        <v>0</v>
      </c>
      <c r="AB1192" s="381">
        <v>0</v>
      </c>
      <c r="AC1192" s="382">
        <v>0.10916666666666666</v>
      </c>
      <c r="AD1192" s="382">
        <v>0</v>
      </c>
      <c r="AE1192" s="381" t="s">
        <v>168</v>
      </c>
    </row>
    <row r="1193" spans="1:31" ht="15" customHeight="1" x14ac:dyDescent="0.25">
      <c r="A1193" s="20" t="s">
        <v>156</v>
      </c>
      <c r="B1193" s="20" t="s">
        <v>1450</v>
      </c>
      <c r="C1193" s="20" t="s">
        <v>1451</v>
      </c>
      <c r="D1193" s="378" t="s">
        <v>1769</v>
      </c>
      <c r="E1193" s="379">
        <v>44620</v>
      </c>
      <c r="F1193" s="379">
        <v>46446</v>
      </c>
      <c r="G1193" s="378" t="s">
        <v>396</v>
      </c>
      <c r="H1193" s="20" t="s">
        <v>393</v>
      </c>
      <c r="I1193" s="20"/>
      <c r="J1193" s="20" t="s">
        <v>163</v>
      </c>
      <c r="K1193" s="378" t="s">
        <v>397</v>
      </c>
      <c r="L1193" s="20" t="s">
        <v>165</v>
      </c>
      <c r="M1193" s="380">
        <v>2400</v>
      </c>
      <c r="N1193" s="380"/>
      <c r="O1193" s="380"/>
      <c r="P1193" s="380"/>
      <c r="Q1193" s="381">
        <v>306</v>
      </c>
      <c r="R1193" s="381"/>
      <c r="S1193" s="381"/>
      <c r="T1193" s="381"/>
      <c r="U1193" s="381"/>
      <c r="V1193" s="382">
        <v>306</v>
      </c>
      <c r="W1193" s="382">
        <v>0</v>
      </c>
      <c r="X1193" s="381">
        <v>0.1275</v>
      </c>
      <c r="Y1193" s="381">
        <v>0</v>
      </c>
      <c r="Z1193" s="381">
        <v>0</v>
      </c>
      <c r="AA1193" s="381">
        <v>0</v>
      </c>
      <c r="AB1193" s="381">
        <v>0</v>
      </c>
      <c r="AC1193" s="382">
        <v>0.1275</v>
      </c>
      <c r="AD1193" s="382">
        <v>0</v>
      </c>
      <c r="AE1193" s="381" t="s">
        <v>168</v>
      </c>
    </row>
    <row r="1194" spans="1:31" ht="15" customHeight="1" x14ac:dyDescent="0.25">
      <c r="A1194" s="20" t="s">
        <v>156</v>
      </c>
      <c r="B1194" s="20" t="s">
        <v>1450</v>
      </c>
      <c r="C1194" s="20" t="s">
        <v>1451</v>
      </c>
      <c r="D1194" s="378" t="s">
        <v>1770</v>
      </c>
      <c r="E1194" s="379">
        <v>44620</v>
      </c>
      <c r="F1194" s="379">
        <v>46446</v>
      </c>
      <c r="G1194" s="378" t="s">
        <v>407</v>
      </c>
      <c r="H1194" s="20" t="s">
        <v>393</v>
      </c>
      <c r="I1194" s="20"/>
      <c r="J1194" s="20" t="s">
        <v>163</v>
      </c>
      <c r="K1194" s="378" t="s">
        <v>397</v>
      </c>
      <c r="L1194" s="20" t="s">
        <v>165</v>
      </c>
      <c r="M1194" s="380">
        <v>2400</v>
      </c>
      <c r="N1194" s="380"/>
      <c r="O1194" s="380"/>
      <c r="P1194" s="380"/>
      <c r="Q1194" s="381">
        <v>320</v>
      </c>
      <c r="R1194" s="381"/>
      <c r="S1194" s="381"/>
      <c r="T1194" s="381"/>
      <c r="U1194" s="381"/>
      <c r="V1194" s="382">
        <v>320</v>
      </c>
      <c r="W1194" s="382">
        <v>0</v>
      </c>
      <c r="X1194" s="381">
        <v>0.13333333333333333</v>
      </c>
      <c r="Y1194" s="381">
        <v>0</v>
      </c>
      <c r="Z1194" s="381">
        <v>0</v>
      </c>
      <c r="AA1194" s="381">
        <v>0</v>
      </c>
      <c r="AB1194" s="381">
        <v>0</v>
      </c>
      <c r="AC1194" s="382">
        <v>0.13333333333333333</v>
      </c>
      <c r="AD1194" s="382">
        <v>0</v>
      </c>
      <c r="AE1194" s="381" t="s">
        <v>168</v>
      </c>
    </row>
    <row r="1195" spans="1:31" ht="15" customHeight="1" x14ac:dyDescent="0.25">
      <c r="A1195" s="20" t="s">
        <v>156</v>
      </c>
      <c r="B1195" s="20" t="s">
        <v>1450</v>
      </c>
      <c r="C1195" s="20" t="s">
        <v>1451</v>
      </c>
      <c r="D1195" s="378" t="s">
        <v>1771</v>
      </c>
      <c r="E1195" s="379">
        <v>44620</v>
      </c>
      <c r="F1195" s="379">
        <v>46446</v>
      </c>
      <c r="G1195" s="378" t="s">
        <v>407</v>
      </c>
      <c r="H1195" s="20" t="s">
        <v>393</v>
      </c>
      <c r="I1195" s="20"/>
      <c r="J1195" s="20" t="s">
        <v>163</v>
      </c>
      <c r="K1195" s="378" t="s">
        <v>397</v>
      </c>
      <c r="L1195" s="20" t="s">
        <v>165</v>
      </c>
      <c r="M1195" s="380">
        <v>2400</v>
      </c>
      <c r="N1195" s="380"/>
      <c r="O1195" s="380"/>
      <c r="P1195" s="380"/>
      <c r="Q1195" s="381">
        <v>369</v>
      </c>
      <c r="R1195" s="381"/>
      <c r="S1195" s="381"/>
      <c r="T1195" s="381"/>
      <c r="U1195" s="381"/>
      <c r="V1195" s="382">
        <v>369</v>
      </c>
      <c r="W1195" s="382">
        <v>0</v>
      </c>
      <c r="X1195" s="381">
        <v>0.15375</v>
      </c>
      <c r="Y1195" s="381">
        <v>0</v>
      </c>
      <c r="Z1195" s="381">
        <v>0</v>
      </c>
      <c r="AA1195" s="381">
        <v>0</v>
      </c>
      <c r="AB1195" s="381">
        <v>0</v>
      </c>
      <c r="AC1195" s="382">
        <v>0.15375</v>
      </c>
      <c r="AD1195" s="382">
        <v>0</v>
      </c>
      <c r="AE1195" s="381" t="s">
        <v>168</v>
      </c>
    </row>
    <row r="1196" spans="1:31" ht="15" customHeight="1" x14ac:dyDescent="0.25">
      <c r="A1196" s="20" t="s">
        <v>156</v>
      </c>
      <c r="B1196" s="20" t="s">
        <v>1450</v>
      </c>
      <c r="C1196" s="20" t="s">
        <v>1451</v>
      </c>
      <c r="D1196" s="378" t="s">
        <v>1772</v>
      </c>
      <c r="E1196" s="379">
        <v>44620</v>
      </c>
      <c r="F1196" s="379">
        <v>46446</v>
      </c>
      <c r="G1196" s="378" t="s">
        <v>407</v>
      </c>
      <c r="H1196" s="20" t="s">
        <v>393</v>
      </c>
      <c r="I1196" s="20"/>
      <c r="J1196" s="20" t="s">
        <v>163</v>
      </c>
      <c r="K1196" s="378" t="s">
        <v>397</v>
      </c>
      <c r="L1196" s="20" t="s">
        <v>165</v>
      </c>
      <c r="M1196" s="380">
        <v>2400</v>
      </c>
      <c r="N1196" s="380"/>
      <c r="O1196" s="380"/>
      <c r="P1196" s="380"/>
      <c r="Q1196" s="381">
        <v>371</v>
      </c>
      <c r="R1196" s="381"/>
      <c r="S1196" s="381"/>
      <c r="T1196" s="381"/>
      <c r="U1196" s="381"/>
      <c r="V1196" s="382">
        <v>371</v>
      </c>
      <c r="W1196" s="382">
        <v>0</v>
      </c>
      <c r="X1196" s="381">
        <v>0.15458333333333332</v>
      </c>
      <c r="Y1196" s="381">
        <v>0</v>
      </c>
      <c r="Z1196" s="381">
        <v>0</v>
      </c>
      <c r="AA1196" s="381">
        <v>0</v>
      </c>
      <c r="AB1196" s="381">
        <v>0</v>
      </c>
      <c r="AC1196" s="382">
        <v>0.15458333333333332</v>
      </c>
      <c r="AD1196" s="382">
        <v>0</v>
      </c>
      <c r="AE1196" s="381" t="s">
        <v>168</v>
      </c>
    </row>
    <row r="1197" spans="1:31" ht="15" customHeight="1" x14ac:dyDescent="0.25">
      <c r="A1197" s="20" t="s">
        <v>156</v>
      </c>
      <c r="B1197" s="20" t="s">
        <v>1450</v>
      </c>
      <c r="C1197" s="20" t="s">
        <v>1451</v>
      </c>
      <c r="D1197" s="378" t="s">
        <v>1773</v>
      </c>
      <c r="E1197" s="379">
        <v>44620</v>
      </c>
      <c r="F1197" s="379">
        <v>46446</v>
      </c>
      <c r="G1197" s="378" t="s">
        <v>320</v>
      </c>
      <c r="H1197" s="20" t="s">
        <v>393</v>
      </c>
      <c r="I1197" s="20"/>
      <c r="J1197" s="20" t="s">
        <v>163</v>
      </c>
      <c r="K1197" s="378" t="s">
        <v>397</v>
      </c>
      <c r="L1197" s="20" t="s">
        <v>165</v>
      </c>
      <c r="M1197" s="380">
        <v>2400</v>
      </c>
      <c r="N1197" s="380"/>
      <c r="O1197" s="380"/>
      <c r="P1197" s="380"/>
      <c r="Q1197" s="381">
        <v>330</v>
      </c>
      <c r="R1197" s="381"/>
      <c r="S1197" s="381"/>
      <c r="T1197" s="381"/>
      <c r="U1197" s="381"/>
      <c r="V1197" s="382">
        <v>330</v>
      </c>
      <c r="W1197" s="382">
        <v>0</v>
      </c>
      <c r="X1197" s="381">
        <v>0.13750000000000001</v>
      </c>
      <c r="Y1197" s="381">
        <v>0</v>
      </c>
      <c r="Z1197" s="381">
        <v>0</v>
      </c>
      <c r="AA1197" s="381">
        <v>0</v>
      </c>
      <c r="AB1197" s="381">
        <v>0</v>
      </c>
      <c r="AC1197" s="382">
        <v>0.13750000000000001</v>
      </c>
      <c r="AD1197" s="382">
        <v>0</v>
      </c>
      <c r="AE1197" s="381" t="s">
        <v>168</v>
      </c>
    </row>
    <row r="1198" spans="1:31" ht="15" customHeight="1" x14ac:dyDescent="0.25">
      <c r="A1198" s="20" t="s">
        <v>156</v>
      </c>
      <c r="B1198" s="20" t="s">
        <v>1450</v>
      </c>
      <c r="C1198" s="20" t="s">
        <v>1451</v>
      </c>
      <c r="D1198" s="378" t="s">
        <v>1774</v>
      </c>
      <c r="E1198" s="379">
        <v>44620</v>
      </c>
      <c r="F1198" s="379">
        <v>46446</v>
      </c>
      <c r="G1198" s="378" t="s">
        <v>320</v>
      </c>
      <c r="H1198" s="20" t="s">
        <v>393</v>
      </c>
      <c r="I1198" s="20"/>
      <c r="J1198" s="20" t="s">
        <v>163</v>
      </c>
      <c r="K1198" s="378" t="s">
        <v>397</v>
      </c>
      <c r="L1198" s="20" t="s">
        <v>165</v>
      </c>
      <c r="M1198" s="380">
        <v>2400</v>
      </c>
      <c r="N1198" s="380"/>
      <c r="O1198" s="380"/>
      <c r="P1198" s="380"/>
      <c r="Q1198" s="381">
        <v>367</v>
      </c>
      <c r="R1198" s="381"/>
      <c r="S1198" s="381"/>
      <c r="T1198" s="381"/>
      <c r="U1198" s="381"/>
      <c r="V1198" s="382">
        <v>367</v>
      </c>
      <c r="W1198" s="382">
        <v>0</v>
      </c>
      <c r="X1198" s="381">
        <v>0.15291666666666667</v>
      </c>
      <c r="Y1198" s="381">
        <v>0</v>
      </c>
      <c r="Z1198" s="381">
        <v>0</v>
      </c>
      <c r="AA1198" s="381">
        <v>0</v>
      </c>
      <c r="AB1198" s="381">
        <v>0</v>
      </c>
      <c r="AC1198" s="382">
        <v>0.15291666666666667</v>
      </c>
      <c r="AD1198" s="382">
        <v>0</v>
      </c>
      <c r="AE1198" s="381" t="s">
        <v>168</v>
      </c>
    </row>
    <row r="1199" spans="1:31" ht="15" customHeight="1" x14ac:dyDescent="0.25">
      <c r="A1199" s="20" t="s">
        <v>156</v>
      </c>
      <c r="B1199" s="20" t="s">
        <v>1450</v>
      </c>
      <c r="C1199" s="20" t="s">
        <v>1451</v>
      </c>
      <c r="D1199" s="378" t="s">
        <v>1775</v>
      </c>
      <c r="E1199" s="379">
        <v>44620</v>
      </c>
      <c r="F1199" s="379">
        <v>46446</v>
      </c>
      <c r="G1199" s="378" t="s">
        <v>320</v>
      </c>
      <c r="H1199" s="20" t="s">
        <v>393</v>
      </c>
      <c r="I1199" s="20"/>
      <c r="J1199" s="20" t="s">
        <v>163</v>
      </c>
      <c r="K1199" s="378" t="s">
        <v>397</v>
      </c>
      <c r="L1199" s="20" t="s">
        <v>165</v>
      </c>
      <c r="M1199" s="380">
        <v>2400</v>
      </c>
      <c r="N1199" s="380"/>
      <c r="O1199" s="380"/>
      <c r="P1199" s="380"/>
      <c r="Q1199" s="381">
        <v>313</v>
      </c>
      <c r="R1199" s="381"/>
      <c r="S1199" s="381"/>
      <c r="T1199" s="381"/>
      <c r="U1199" s="381"/>
      <c r="V1199" s="382">
        <v>313</v>
      </c>
      <c r="W1199" s="382">
        <v>0</v>
      </c>
      <c r="X1199" s="381">
        <v>0.13041666666666665</v>
      </c>
      <c r="Y1199" s="381">
        <v>0</v>
      </c>
      <c r="Z1199" s="381">
        <v>0</v>
      </c>
      <c r="AA1199" s="381">
        <v>0</v>
      </c>
      <c r="AB1199" s="381">
        <v>0</v>
      </c>
      <c r="AC1199" s="382">
        <v>0.13041666666666665</v>
      </c>
      <c r="AD1199" s="382">
        <v>0</v>
      </c>
      <c r="AE1199" s="381" t="s">
        <v>168</v>
      </c>
    </row>
    <row r="1200" spans="1:31" ht="15" customHeight="1" x14ac:dyDescent="0.25">
      <c r="A1200" s="20" t="s">
        <v>156</v>
      </c>
      <c r="B1200" s="20" t="s">
        <v>1450</v>
      </c>
      <c r="C1200" s="20" t="s">
        <v>1451</v>
      </c>
      <c r="D1200" s="378" t="s">
        <v>1776</v>
      </c>
      <c r="E1200" s="379">
        <v>44620</v>
      </c>
      <c r="F1200" s="379">
        <v>46446</v>
      </c>
      <c r="G1200" s="378" t="s">
        <v>320</v>
      </c>
      <c r="H1200" s="20" t="s">
        <v>393</v>
      </c>
      <c r="I1200" s="20"/>
      <c r="J1200" s="20" t="s">
        <v>163</v>
      </c>
      <c r="K1200" s="378" t="s">
        <v>397</v>
      </c>
      <c r="L1200" s="20" t="s">
        <v>165</v>
      </c>
      <c r="M1200" s="380">
        <v>2400</v>
      </c>
      <c r="N1200" s="380"/>
      <c r="O1200" s="380"/>
      <c r="P1200" s="380"/>
      <c r="Q1200" s="381">
        <v>363</v>
      </c>
      <c r="R1200" s="381"/>
      <c r="S1200" s="381"/>
      <c r="T1200" s="381"/>
      <c r="U1200" s="381"/>
      <c r="V1200" s="382">
        <v>363</v>
      </c>
      <c r="W1200" s="382">
        <v>0</v>
      </c>
      <c r="X1200" s="381">
        <v>0.15125</v>
      </c>
      <c r="Y1200" s="381">
        <v>0</v>
      </c>
      <c r="Z1200" s="381">
        <v>0</v>
      </c>
      <c r="AA1200" s="381">
        <v>0</v>
      </c>
      <c r="AB1200" s="381">
        <v>0</v>
      </c>
      <c r="AC1200" s="382">
        <v>0.15125</v>
      </c>
      <c r="AD1200" s="382">
        <v>0</v>
      </c>
      <c r="AE1200" s="381" t="s">
        <v>168</v>
      </c>
    </row>
    <row r="1201" spans="1:31" ht="15" customHeight="1" x14ac:dyDescent="0.25">
      <c r="A1201" s="20" t="s">
        <v>156</v>
      </c>
      <c r="B1201" s="20" t="s">
        <v>1450</v>
      </c>
      <c r="C1201" s="20" t="s">
        <v>1451</v>
      </c>
      <c r="D1201" s="378" t="s">
        <v>1777</v>
      </c>
      <c r="E1201" s="379">
        <v>44620</v>
      </c>
      <c r="F1201" s="379">
        <v>46446</v>
      </c>
      <c r="G1201" s="378" t="s">
        <v>320</v>
      </c>
      <c r="H1201" s="20" t="s">
        <v>393</v>
      </c>
      <c r="I1201" s="20"/>
      <c r="J1201" s="20" t="s">
        <v>163</v>
      </c>
      <c r="K1201" s="378" t="s">
        <v>397</v>
      </c>
      <c r="L1201" s="20" t="s">
        <v>165</v>
      </c>
      <c r="M1201" s="380">
        <v>2400</v>
      </c>
      <c r="N1201" s="380"/>
      <c r="O1201" s="380"/>
      <c r="P1201" s="380"/>
      <c r="Q1201" s="381">
        <v>322</v>
      </c>
      <c r="R1201" s="381"/>
      <c r="S1201" s="381"/>
      <c r="T1201" s="381"/>
      <c r="U1201" s="381"/>
      <c r="V1201" s="382">
        <v>322</v>
      </c>
      <c r="W1201" s="382">
        <v>0</v>
      </c>
      <c r="X1201" s="381">
        <v>0.13416666666666666</v>
      </c>
      <c r="Y1201" s="381">
        <v>0</v>
      </c>
      <c r="Z1201" s="381">
        <v>0</v>
      </c>
      <c r="AA1201" s="381">
        <v>0</v>
      </c>
      <c r="AB1201" s="381">
        <v>0</v>
      </c>
      <c r="AC1201" s="382">
        <v>0.13416666666666666</v>
      </c>
      <c r="AD1201" s="382">
        <v>0</v>
      </c>
      <c r="AE1201" s="381" t="s">
        <v>168</v>
      </c>
    </row>
    <row r="1202" spans="1:31" ht="15" customHeight="1" x14ac:dyDescent="0.25">
      <c r="A1202" s="20" t="s">
        <v>156</v>
      </c>
      <c r="B1202" s="20" t="s">
        <v>1450</v>
      </c>
      <c r="C1202" s="20" t="s">
        <v>1451</v>
      </c>
      <c r="D1202" s="378" t="s">
        <v>1778</v>
      </c>
      <c r="E1202" s="379">
        <v>44620</v>
      </c>
      <c r="F1202" s="379">
        <v>46446</v>
      </c>
      <c r="G1202" s="378" t="s">
        <v>320</v>
      </c>
      <c r="H1202" s="20" t="s">
        <v>393</v>
      </c>
      <c r="I1202" s="20"/>
      <c r="J1202" s="20" t="s">
        <v>163</v>
      </c>
      <c r="K1202" s="378" t="s">
        <v>397</v>
      </c>
      <c r="L1202" s="20" t="s">
        <v>165</v>
      </c>
      <c r="M1202" s="380">
        <v>2400</v>
      </c>
      <c r="N1202" s="380"/>
      <c r="O1202" s="380"/>
      <c r="P1202" s="380"/>
      <c r="Q1202" s="381">
        <v>366</v>
      </c>
      <c r="R1202" s="381"/>
      <c r="S1202" s="381"/>
      <c r="T1202" s="381"/>
      <c r="U1202" s="381"/>
      <c r="V1202" s="382">
        <v>366</v>
      </c>
      <c r="W1202" s="382">
        <v>0</v>
      </c>
      <c r="X1202" s="381">
        <v>0.1525</v>
      </c>
      <c r="Y1202" s="381">
        <v>0</v>
      </c>
      <c r="Z1202" s="381">
        <v>0</v>
      </c>
      <c r="AA1202" s="381">
        <v>0</v>
      </c>
      <c r="AB1202" s="381">
        <v>0</v>
      </c>
      <c r="AC1202" s="382">
        <v>0.1525</v>
      </c>
      <c r="AD1202" s="382">
        <v>0</v>
      </c>
      <c r="AE1202" s="381" t="s">
        <v>168</v>
      </c>
    </row>
    <row r="1203" spans="1:31" ht="15" customHeight="1" x14ac:dyDescent="0.25">
      <c r="A1203" s="20" t="s">
        <v>156</v>
      </c>
      <c r="B1203" s="20" t="s">
        <v>1450</v>
      </c>
      <c r="C1203" s="20" t="s">
        <v>1451</v>
      </c>
      <c r="D1203" s="378" t="s">
        <v>1779</v>
      </c>
      <c r="E1203" s="379">
        <v>45016</v>
      </c>
      <c r="F1203" s="379">
        <v>46843</v>
      </c>
      <c r="G1203" s="378" t="s">
        <v>281</v>
      </c>
      <c r="H1203" s="20" t="s">
        <v>282</v>
      </c>
      <c r="I1203" s="20" t="s">
        <v>162</v>
      </c>
      <c r="J1203" s="20" t="s">
        <v>163</v>
      </c>
      <c r="K1203" s="378" t="s">
        <v>283</v>
      </c>
      <c r="L1203" s="20" t="s">
        <v>165</v>
      </c>
      <c r="M1203" s="380">
        <v>2400</v>
      </c>
      <c r="N1203" s="380"/>
      <c r="O1203" s="380"/>
      <c r="P1203" s="380"/>
      <c r="Q1203" s="381">
        <v>324.89</v>
      </c>
      <c r="R1203" s="381">
        <v>324.87</v>
      </c>
      <c r="S1203" s="381">
        <v>1.8599999999999998E-2</v>
      </c>
      <c r="T1203" s="381"/>
      <c r="U1203" s="381"/>
      <c r="V1203" s="382">
        <v>324.8886</v>
      </c>
      <c r="W1203" s="382">
        <v>0</v>
      </c>
      <c r="X1203" s="381">
        <v>0.13537083333333333</v>
      </c>
      <c r="Y1203" s="381">
        <v>0.1353625</v>
      </c>
      <c r="Z1203" s="381">
        <v>7.7499999999999986E-6</v>
      </c>
      <c r="AA1203" s="381">
        <v>0</v>
      </c>
      <c r="AB1203" s="381">
        <v>0</v>
      </c>
      <c r="AC1203" s="382">
        <v>0.13537025</v>
      </c>
      <c r="AD1203" s="382">
        <v>0</v>
      </c>
      <c r="AE1203" s="381" t="s">
        <v>168</v>
      </c>
    </row>
    <row r="1204" spans="1:31" ht="15" customHeight="1" x14ac:dyDescent="0.25">
      <c r="A1204" s="20" t="s">
        <v>156</v>
      </c>
      <c r="B1204" s="20" t="s">
        <v>1450</v>
      </c>
      <c r="C1204" s="20" t="s">
        <v>1451</v>
      </c>
      <c r="D1204" s="378" t="s">
        <v>1780</v>
      </c>
      <c r="E1204" s="379">
        <v>45016</v>
      </c>
      <c r="F1204" s="379">
        <v>46843</v>
      </c>
      <c r="G1204" s="378" t="s">
        <v>281</v>
      </c>
      <c r="H1204" s="20" t="s">
        <v>282</v>
      </c>
      <c r="I1204" s="20" t="s">
        <v>162</v>
      </c>
      <c r="J1204" s="20" t="s">
        <v>163</v>
      </c>
      <c r="K1204" s="378" t="s">
        <v>283</v>
      </c>
      <c r="L1204" s="20" t="s">
        <v>165</v>
      </c>
      <c r="M1204" s="380">
        <v>2400</v>
      </c>
      <c r="N1204" s="380"/>
      <c r="O1204" s="380"/>
      <c r="P1204" s="380"/>
      <c r="Q1204" s="381">
        <v>301.25</v>
      </c>
      <c r="R1204" s="381">
        <v>301.22000000000003</v>
      </c>
      <c r="S1204" s="381">
        <v>2.64E-2</v>
      </c>
      <c r="T1204" s="381"/>
      <c r="U1204" s="381"/>
      <c r="V1204" s="382">
        <v>301.24640000000005</v>
      </c>
      <c r="W1204" s="382">
        <v>0</v>
      </c>
      <c r="X1204" s="381">
        <v>0.12552083333333333</v>
      </c>
      <c r="Y1204" s="381">
        <v>0.12550833333333333</v>
      </c>
      <c r="Z1204" s="381">
        <v>1.1E-5</v>
      </c>
      <c r="AA1204" s="381">
        <v>0</v>
      </c>
      <c r="AB1204" s="381">
        <v>0</v>
      </c>
      <c r="AC1204" s="382">
        <v>0.12551933333333334</v>
      </c>
      <c r="AD1204" s="382">
        <v>0</v>
      </c>
      <c r="AE1204" s="381" t="s">
        <v>168</v>
      </c>
    </row>
    <row r="1205" spans="1:31" ht="15" customHeight="1" x14ac:dyDescent="0.25">
      <c r="A1205" s="20" t="s">
        <v>156</v>
      </c>
      <c r="B1205" s="20" t="s">
        <v>1450</v>
      </c>
      <c r="C1205" s="20" t="s">
        <v>1451</v>
      </c>
      <c r="D1205" s="378" t="s">
        <v>1781</v>
      </c>
      <c r="E1205" s="379">
        <v>45016</v>
      </c>
      <c r="F1205" s="379">
        <v>46843</v>
      </c>
      <c r="G1205" s="378" t="s">
        <v>281</v>
      </c>
      <c r="H1205" s="20" t="s">
        <v>282</v>
      </c>
      <c r="I1205" s="20" t="s">
        <v>162</v>
      </c>
      <c r="J1205" s="20" t="s">
        <v>163</v>
      </c>
      <c r="K1205" s="378" t="s">
        <v>283</v>
      </c>
      <c r="L1205" s="20" t="s">
        <v>165</v>
      </c>
      <c r="M1205" s="380">
        <v>2400</v>
      </c>
      <c r="N1205" s="380"/>
      <c r="O1205" s="380"/>
      <c r="P1205" s="380"/>
      <c r="Q1205" s="381">
        <v>283.52999999999997</v>
      </c>
      <c r="R1205" s="381">
        <v>283.48</v>
      </c>
      <c r="S1205" s="381">
        <v>4.5999999999999999E-2</v>
      </c>
      <c r="T1205" s="381"/>
      <c r="U1205" s="381"/>
      <c r="V1205" s="382">
        <v>283.52600000000001</v>
      </c>
      <c r="W1205" s="382">
        <v>0</v>
      </c>
      <c r="X1205" s="381">
        <v>0.11813749999999999</v>
      </c>
      <c r="Y1205" s="381">
        <v>0.11811666666666668</v>
      </c>
      <c r="Z1205" s="381">
        <v>1.9166666666666667E-5</v>
      </c>
      <c r="AA1205" s="381">
        <v>0</v>
      </c>
      <c r="AB1205" s="381">
        <v>0</v>
      </c>
      <c r="AC1205" s="382">
        <v>0.11813583333333334</v>
      </c>
      <c r="AD1205" s="382">
        <v>0</v>
      </c>
      <c r="AE1205" s="381" t="s">
        <v>168</v>
      </c>
    </row>
    <row r="1206" spans="1:31" ht="15" customHeight="1" x14ac:dyDescent="0.25">
      <c r="A1206" s="20" t="s">
        <v>156</v>
      </c>
      <c r="B1206" s="20" t="s">
        <v>1450</v>
      </c>
      <c r="C1206" s="20" t="s">
        <v>1451</v>
      </c>
      <c r="D1206" s="378" t="s">
        <v>1782</v>
      </c>
      <c r="E1206" s="379">
        <v>45016</v>
      </c>
      <c r="F1206" s="379">
        <v>46843</v>
      </c>
      <c r="G1206" s="378" t="s">
        <v>281</v>
      </c>
      <c r="H1206" s="20" t="s">
        <v>282</v>
      </c>
      <c r="I1206" s="20" t="s">
        <v>162</v>
      </c>
      <c r="J1206" s="20" t="s">
        <v>163</v>
      </c>
      <c r="K1206" s="378" t="s">
        <v>283</v>
      </c>
      <c r="L1206" s="20" t="s">
        <v>165</v>
      </c>
      <c r="M1206" s="380">
        <v>2400</v>
      </c>
      <c r="N1206" s="380"/>
      <c r="O1206" s="380"/>
      <c r="P1206" s="380"/>
      <c r="Q1206" s="381">
        <v>282.87</v>
      </c>
      <c r="R1206" s="381">
        <v>282.83</v>
      </c>
      <c r="S1206" s="381">
        <v>3.5999999999999997E-2</v>
      </c>
      <c r="T1206" s="381"/>
      <c r="U1206" s="381"/>
      <c r="V1206" s="382">
        <v>282.86599999999999</v>
      </c>
      <c r="W1206" s="382">
        <v>0</v>
      </c>
      <c r="X1206" s="381">
        <v>0.1178625</v>
      </c>
      <c r="Y1206" s="381">
        <v>0.11784583333333333</v>
      </c>
      <c r="Z1206" s="381">
        <v>1.4999999999999999E-5</v>
      </c>
      <c r="AA1206" s="381">
        <v>0</v>
      </c>
      <c r="AB1206" s="381">
        <v>0</v>
      </c>
      <c r="AC1206" s="382">
        <v>0.11786083333333333</v>
      </c>
      <c r="AD1206" s="382">
        <v>0</v>
      </c>
      <c r="AE1206" s="381" t="s">
        <v>168</v>
      </c>
    </row>
    <row r="1207" spans="1:31" ht="15" customHeight="1" x14ac:dyDescent="0.25">
      <c r="A1207" s="20" t="s">
        <v>156</v>
      </c>
      <c r="B1207" s="20" t="s">
        <v>1450</v>
      </c>
      <c r="C1207" s="20" t="s">
        <v>1451</v>
      </c>
      <c r="D1207" s="378" t="s">
        <v>1783</v>
      </c>
      <c r="E1207" s="379">
        <v>45016</v>
      </c>
      <c r="F1207" s="379">
        <v>46843</v>
      </c>
      <c r="G1207" s="378" t="s">
        <v>281</v>
      </c>
      <c r="H1207" s="20" t="s">
        <v>282</v>
      </c>
      <c r="I1207" s="20" t="s">
        <v>162</v>
      </c>
      <c r="J1207" s="20" t="s">
        <v>163</v>
      </c>
      <c r="K1207" s="378" t="s">
        <v>283</v>
      </c>
      <c r="L1207" s="20" t="s">
        <v>165</v>
      </c>
      <c r="M1207" s="380">
        <v>2400</v>
      </c>
      <c r="N1207" s="380"/>
      <c r="O1207" s="380"/>
      <c r="P1207" s="380"/>
      <c r="Q1207" s="381">
        <v>280.51</v>
      </c>
      <c r="R1207" s="381">
        <v>280.47000000000003</v>
      </c>
      <c r="S1207" s="381">
        <v>3.56E-2</v>
      </c>
      <c r="T1207" s="381"/>
      <c r="U1207" s="381"/>
      <c r="V1207" s="382">
        <v>280.50560000000002</v>
      </c>
      <c r="W1207" s="382">
        <v>0</v>
      </c>
      <c r="X1207" s="381">
        <v>0.11687916666666666</v>
      </c>
      <c r="Y1207" s="381">
        <v>0.11686250000000001</v>
      </c>
      <c r="Z1207" s="381">
        <v>1.4833333333333332E-5</v>
      </c>
      <c r="AA1207" s="381">
        <v>0</v>
      </c>
      <c r="AB1207" s="381">
        <v>0</v>
      </c>
      <c r="AC1207" s="382">
        <v>0.11687733333333335</v>
      </c>
      <c r="AD1207" s="382">
        <v>0</v>
      </c>
      <c r="AE1207" s="381" t="s">
        <v>168</v>
      </c>
    </row>
    <row r="1208" spans="1:31" ht="15" customHeight="1" x14ac:dyDescent="0.25">
      <c r="A1208" s="20" t="s">
        <v>156</v>
      </c>
      <c r="B1208" s="20" t="s">
        <v>1450</v>
      </c>
      <c r="C1208" s="20" t="s">
        <v>1451</v>
      </c>
      <c r="D1208" s="378" t="s">
        <v>1784</v>
      </c>
      <c r="E1208" s="379">
        <v>45016</v>
      </c>
      <c r="F1208" s="379">
        <v>46843</v>
      </c>
      <c r="G1208" s="378" t="s">
        <v>281</v>
      </c>
      <c r="H1208" s="20" t="s">
        <v>282</v>
      </c>
      <c r="I1208" s="20" t="s">
        <v>162</v>
      </c>
      <c r="J1208" s="20" t="s">
        <v>163</v>
      </c>
      <c r="K1208" s="378" t="s">
        <v>283</v>
      </c>
      <c r="L1208" s="20" t="s">
        <v>165</v>
      </c>
      <c r="M1208" s="380">
        <v>2400</v>
      </c>
      <c r="N1208" s="380"/>
      <c r="O1208" s="380"/>
      <c r="P1208" s="380"/>
      <c r="Q1208" s="381">
        <v>280.47000000000003</v>
      </c>
      <c r="R1208" s="381">
        <v>280.43</v>
      </c>
      <c r="S1208" s="381">
        <v>3.56E-2</v>
      </c>
      <c r="T1208" s="381"/>
      <c r="U1208" s="381"/>
      <c r="V1208" s="382">
        <v>280.46559999999999</v>
      </c>
      <c r="W1208" s="382">
        <v>0</v>
      </c>
      <c r="X1208" s="381">
        <v>0.11686250000000001</v>
      </c>
      <c r="Y1208" s="381">
        <v>0.11684583333333333</v>
      </c>
      <c r="Z1208" s="381">
        <v>1.4833333333333332E-5</v>
      </c>
      <c r="AA1208" s="381">
        <v>0</v>
      </c>
      <c r="AB1208" s="381">
        <v>0</v>
      </c>
      <c r="AC1208" s="382">
        <v>0.11686066666666667</v>
      </c>
      <c r="AD1208" s="382">
        <v>0</v>
      </c>
      <c r="AE1208" s="381" t="s">
        <v>168</v>
      </c>
    </row>
    <row r="1209" spans="1:31" ht="15" customHeight="1" x14ac:dyDescent="0.25">
      <c r="A1209" s="20" t="s">
        <v>156</v>
      </c>
      <c r="B1209" s="20" t="s">
        <v>1450</v>
      </c>
      <c r="C1209" s="20" t="s">
        <v>1451</v>
      </c>
      <c r="D1209" s="378" t="s">
        <v>1785</v>
      </c>
      <c r="E1209" s="379">
        <v>45016</v>
      </c>
      <c r="F1209" s="379">
        <v>46843</v>
      </c>
      <c r="G1209" s="378" t="s">
        <v>281</v>
      </c>
      <c r="H1209" s="20" t="s">
        <v>282</v>
      </c>
      <c r="I1209" s="20" t="s">
        <v>162</v>
      </c>
      <c r="J1209" s="20" t="s">
        <v>163</v>
      </c>
      <c r="K1209" s="378" t="s">
        <v>283</v>
      </c>
      <c r="L1209" s="20" t="s">
        <v>165</v>
      </c>
      <c r="M1209" s="380">
        <v>2400</v>
      </c>
      <c r="N1209" s="380"/>
      <c r="O1209" s="380"/>
      <c r="P1209" s="380"/>
      <c r="Q1209" s="381">
        <v>278.08999999999997</v>
      </c>
      <c r="R1209" s="381">
        <v>278.05</v>
      </c>
      <c r="S1209" s="381">
        <v>3.5299999999999998E-2</v>
      </c>
      <c r="T1209" s="381"/>
      <c r="U1209" s="381"/>
      <c r="V1209" s="382">
        <v>278.08530000000002</v>
      </c>
      <c r="W1209" s="382">
        <v>0</v>
      </c>
      <c r="X1209" s="381">
        <v>0.11587083333333333</v>
      </c>
      <c r="Y1209" s="381">
        <v>0.11585416666666667</v>
      </c>
      <c r="Z1209" s="381">
        <v>1.4708333333333333E-5</v>
      </c>
      <c r="AA1209" s="381">
        <v>0</v>
      </c>
      <c r="AB1209" s="381">
        <v>0</v>
      </c>
      <c r="AC1209" s="382">
        <v>0.11586887500000001</v>
      </c>
      <c r="AD1209" s="382">
        <v>0</v>
      </c>
      <c r="AE1209" s="381" t="s">
        <v>168</v>
      </c>
    </row>
    <row r="1210" spans="1:31" ht="15" customHeight="1" x14ac:dyDescent="0.25">
      <c r="A1210" s="20" t="s">
        <v>156</v>
      </c>
      <c r="B1210" s="20" t="s">
        <v>1450</v>
      </c>
      <c r="C1210" s="20" t="s">
        <v>1451</v>
      </c>
      <c r="D1210" s="378" t="s">
        <v>1786</v>
      </c>
      <c r="E1210" s="379">
        <v>45016</v>
      </c>
      <c r="F1210" s="379">
        <v>46843</v>
      </c>
      <c r="G1210" s="378" t="s">
        <v>281</v>
      </c>
      <c r="H1210" s="20" t="s">
        <v>282</v>
      </c>
      <c r="I1210" s="20" t="s">
        <v>162</v>
      </c>
      <c r="J1210" s="20" t="s">
        <v>163</v>
      </c>
      <c r="K1210" s="378" t="s">
        <v>283</v>
      </c>
      <c r="L1210" s="20" t="s">
        <v>165</v>
      </c>
      <c r="M1210" s="380">
        <v>2400</v>
      </c>
      <c r="N1210" s="380"/>
      <c r="O1210" s="380"/>
      <c r="P1210" s="380"/>
      <c r="Q1210" s="381">
        <v>275.74</v>
      </c>
      <c r="R1210" s="381">
        <v>275.7</v>
      </c>
      <c r="S1210" s="381">
        <v>3.49E-2</v>
      </c>
      <c r="T1210" s="381"/>
      <c r="U1210" s="381"/>
      <c r="V1210" s="382">
        <v>275.73489999999998</v>
      </c>
      <c r="W1210" s="382">
        <v>0</v>
      </c>
      <c r="X1210" s="381">
        <v>0.11489166666666667</v>
      </c>
      <c r="Y1210" s="381">
        <v>0.11487499999999999</v>
      </c>
      <c r="Z1210" s="381">
        <v>1.4541666666666667E-5</v>
      </c>
      <c r="AA1210" s="381">
        <v>0</v>
      </c>
      <c r="AB1210" s="381">
        <v>0</v>
      </c>
      <c r="AC1210" s="382">
        <v>0.11488954166666666</v>
      </c>
      <c r="AD1210" s="382">
        <v>0</v>
      </c>
      <c r="AE1210" s="381" t="s">
        <v>168</v>
      </c>
    </row>
    <row r="1211" spans="1:31" ht="15" customHeight="1" x14ac:dyDescent="0.25">
      <c r="A1211" s="20" t="s">
        <v>156</v>
      </c>
      <c r="B1211" s="20" t="s">
        <v>1450</v>
      </c>
      <c r="C1211" s="20" t="s">
        <v>1451</v>
      </c>
      <c r="D1211" s="378" t="s">
        <v>1787</v>
      </c>
      <c r="E1211" s="379">
        <v>45016</v>
      </c>
      <c r="F1211" s="379">
        <v>46843</v>
      </c>
      <c r="G1211" s="378" t="s">
        <v>160</v>
      </c>
      <c r="H1211" s="20" t="s">
        <v>416</v>
      </c>
      <c r="I1211" s="20" t="s">
        <v>162</v>
      </c>
      <c r="J1211" s="20" t="s">
        <v>163</v>
      </c>
      <c r="K1211" s="378" t="s">
        <v>417</v>
      </c>
      <c r="L1211" s="20" t="s">
        <v>165</v>
      </c>
      <c r="M1211" s="380">
        <v>2400</v>
      </c>
      <c r="N1211" s="380"/>
      <c r="O1211" s="380"/>
      <c r="P1211" s="380"/>
      <c r="Q1211" s="381">
        <v>305.82</v>
      </c>
      <c r="R1211" s="381">
        <v>305.74</v>
      </c>
      <c r="S1211" s="381">
        <v>7.0000000000000007E-2</v>
      </c>
      <c r="T1211" s="381"/>
      <c r="U1211" s="381"/>
      <c r="V1211" s="382">
        <v>305.81</v>
      </c>
      <c r="W1211" s="382">
        <v>0</v>
      </c>
      <c r="X1211" s="381">
        <v>0.12742500000000001</v>
      </c>
      <c r="Y1211" s="381">
        <v>0.12739166666666668</v>
      </c>
      <c r="Z1211" s="381">
        <v>2.916666666666667E-5</v>
      </c>
      <c r="AA1211" s="381">
        <v>0</v>
      </c>
      <c r="AB1211" s="381">
        <v>0</v>
      </c>
      <c r="AC1211" s="382">
        <v>0.12742083333333334</v>
      </c>
      <c r="AD1211" s="382">
        <v>0</v>
      </c>
      <c r="AE1211" s="381" t="s">
        <v>168</v>
      </c>
    </row>
    <row r="1212" spans="1:31" ht="15" customHeight="1" x14ac:dyDescent="0.25">
      <c r="A1212" s="20" t="s">
        <v>156</v>
      </c>
      <c r="B1212" s="20" t="s">
        <v>1450</v>
      </c>
      <c r="C1212" s="20" t="s">
        <v>1451</v>
      </c>
      <c r="D1212" s="378" t="s">
        <v>1788</v>
      </c>
      <c r="E1212" s="379">
        <v>45016</v>
      </c>
      <c r="F1212" s="379">
        <v>46843</v>
      </c>
      <c r="G1212" s="378" t="s">
        <v>160</v>
      </c>
      <c r="H1212" s="20" t="s">
        <v>416</v>
      </c>
      <c r="I1212" s="20" t="s">
        <v>162</v>
      </c>
      <c r="J1212" s="20" t="s">
        <v>163</v>
      </c>
      <c r="K1212" s="378" t="s">
        <v>417</v>
      </c>
      <c r="L1212" s="20" t="s">
        <v>165</v>
      </c>
      <c r="M1212" s="380">
        <v>2400</v>
      </c>
      <c r="N1212" s="380"/>
      <c r="O1212" s="380"/>
      <c r="P1212" s="380"/>
      <c r="Q1212" s="381">
        <v>291</v>
      </c>
      <c r="R1212" s="381">
        <v>290.93</v>
      </c>
      <c r="S1212" s="381">
        <v>0.06</v>
      </c>
      <c r="T1212" s="381"/>
      <c r="U1212" s="381"/>
      <c r="V1212" s="382">
        <v>290.99</v>
      </c>
      <c r="W1212" s="382">
        <v>0</v>
      </c>
      <c r="X1212" s="381">
        <v>0.12125</v>
      </c>
      <c r="Y1212" s="381">
        <v>0.12122083333333333</v>
      </c>
      <c r="Z1212" s="381">
        <v>2.4999999999999998E-5</v>
      </c>
      <c r="AA1212" s="381">
        <v>0</v>
      </c>
      <c r="AB1212" s="381">
        <v>0</v>
      </c>
      <c r="AC1212" s="382">
        <v>0.12124583333333333</v>
      </c>
      <c r="AD1212" s="382">
        <v>0</v>
      </c>
      <c r="AE1212" s="381" t="s">
        <v>168</v>
      </c>
    </row>
    <row r="1213" spans="1:31" ht="15" customHeight="1" x14ac:dyDescent="0.25">
      <c r="A1213" s="20" t="s">
        <v>156</v>
      </c>
      <c r="B1213" s="20" t="s">
        <v>1588</v>
      </c>
      <c r="C1213" s="20" t="s">
        <v>1451</v>
      </c>
      <c r="D1213" s="378" t="s">
        <v>1789</v>
      </c>
      <c r="E1213" s="379">
        <v>45016</v>
      </c>
      <c r="F1213" s="379">
        <v>46843</v>
      </c>
      <c r="G1213" s="378" t="s">
        <v>281</v>
      </c>
      <c r="H1213" s="20" t="s">
        <v>282</v>
      </c>
      <c r="I1213" s="20" t="s">
        <v>162</v>
      </c>
      <c r="J1213" s="20" t="s">
        <v>163</v>
      </c>
      <c r="K1213" s="378" t="s">
        <v>283</v>
      </c>
      <c r="L1213" s="20" t="s">
        <v>165</v>
      </c>
      <c r="M1213" s="380">
        <v>2400</v>
      </c>
      <c r="N1213" s="380"/>
      <c r="O1213" s="380"/>
      <c r="P1213" s="380"/>
      <c r="Q1213" s="381">
        <v>279.33</v>
      </c>
      <c r="R1213" s="381">
        <v>279.29000000000002</v>
      </c>
      <c r="S1213" s="381">
        <v>3.0200000000000001E-2</v>
      </c>
      <c r="T1213" s="381"/>
      <c r="U1213" s="381"/>
      <c r="V1213" s="382">
        <v>279.3202</v>
      </c>
      <c r="W1213" s="382">
        <v>0</v>
      </c>
      <c r="X1213" s="381">
        <v>0.11638749999999999</v>
      </c>
      <c r="Y1213" s="381">
        <v>0.11637083333333334</v>
      </c>
      <c r="Z1213" s="381">
        <v>1.2583333333333334E-5</v>
      </c>
      <c r="AA1213" s="381">
        <v>0</v>
      </c>
      <c r="AB1213" s="381">
        <v>0</v>
      </c>
      <c r="AC1213" s="382">
        <v>0.11638341666666667</v>
      </c>
      <c r="AD1213" s="382">
        <v>0</v>
      </c>
      <c r="AE1213" s="381" t="s">
        <v>168</v>
      </c>
    </row>
    <row r="1214" spans="1:31" ht="15" customHeight="1" x14ac:dyDescent="0.25">
      <c r="A1214" s="20" t="s">
        <v>156</v>
      </c>
      <c r="B1214" s="20" t="s">
        <v>1450</v>
      </c>
      <c r="C1214" s="20" t="s">
        <v>1451</v>
      </c>
      <c r="D1214" s="378" t="s">
        <v>1790</v>
      </c>
      <c r="E1214" s="379">
        <v>44910</v>
      </c>
      <c r="F1214" s="379">
        <v>46736</v>
      </c>
      <c r="G1214" s="378" t="s">
        <v>173</v>
      </c>
      <c r="H1214" s="20" t="s">
        <v>174</v>
      </c>
      <c r="I1214" s="20" t="s">
        <v>162</v>
      </c>
      <c r="J1214" s="20" t="s">
        <v>163</v>
      </c>
      <c r="K1214" s="378" t="s">
        <v>175</v>
      </c>
      <c r="L1214" s="20" t="s">
        <v>165</v>
      </c>
      <c r="M1214" s="380">
        <v>2400</v>
      </c>
      <c r="N1214" s="380"/>
      <c r="O1214" s="380"/>
      <c r="P1214" s="380"/>
      <c r="Q1214" s="381">
        <v>322</v>
      </c>
      <c r="R1214" s="381">
        <v>318</v>
      </c>
      <c r="S1214" s="381">
        <v>3.8</v>
      </c>
      <c r="T1214" s="381"/>
      <c r="U1214" s="381"/>
      <c r="V1214" s="382">
        <v>321.8</v>
      </c>
      <c r="W1214" s="382">
        <v>0</v>
      </c>
      <c r="X1214" s="381">
        <v>0.13416666666666666</v>
      </c>
      <c r="Y1214" s="381">
        <v>0.13250000000000001</v>
      </c>
      <c r="Z1214" s="381">
        <v>1.5833333333333333E-3</v>
      </c>
      <c r="AA1214" s="381">
        <v>0</v>
      </c>
      <c r="AB1214" s="381">
        <v>0</v>
      </c>
      <c r="AC1214" s="382">
        <v>0.13408333333333333</v>
      </c>
      <c r="AD1214" s="382">
        <v>0</v>
      </c>
      <c r="AE1214" s="381" t="s">
        <v>168</v>
      </c>
    </row>
    <row r="1215" spans="1:31" ht="15" customHeight="1" x14ac:dyDescent="0.25">
      <c r="A1215" s="20" t="s">
        <v>156</v>
      </c>
      <c r="B1215" s="20" t="s">
        <v>1450</v>
      </c>
      <c r="C1215" s="20" t="s">
        <v>1451</v>
      </c>
      <c r="D1215" s="378" t="s">
        <v>1791</v>
      </c>
      <c r="E1215" s="379">
        <v>45016</v>
      </c>
      <c r="F1215" s="379">
        <v>46843</v>
      </c>
      <c r="G1215" s="378" t="s">
        <v>160</v>
      </c>
      <c r="H1215" s="20" t="s">
        <v>416</v>
      </c>
      <c r="I1215" s="20" t="s">
        <v>162</v>
      </c>
      <c r="J1215" s="20" t="s">
        <v>163</v>
      </c>
      <c r="K1215" s="378" t="s">
        <v>417</v>
      </c>
      <c r="L1215" s="20" t="s">
        <v>165</v>
      </c>
      <c r="M1215" s="380">
        <v>2400</v>
      </c>
      <c r="N1215" s="380"/>
      <c r="O1215" s="380"/>
      <c r="P1215" s="380"/>
      <c r="Q1215" s="381">
        <v>227.21</v>
      </c>
      <c r="R1215" s="381">
        <v>226.9</v>
      </c>
      <c r="S1215" s="381">
        <v>0.16</v>
      </c>
      <c r="T1215" s="381"/>
      <c r="U1215" s="381"/>
      <c r="V1215" s="382">
        <v>227.06</v>
      </c>
      <c r="W1215" s="382">
        <v>0</v>
      </c>
      <c r="X1215" s="381">
        <v>9.4670833333333343E-2</v>
      </c>
      <c r="Y1215" s="381">
        <v>9.4541666666666663E-2</v>
      </c>
      <c r="Z1215" s="381">
        <v>6.666666666666667E-5</v>
      </c>
      <c r="AA1215" s="381">
        <v>0</v>
      </c>
      <c r="AB1215" s="381">
        <v>0</v>
      </c>
      <c r="AC1215" s="382">
        <v>9.4608333333333336E-2</v>
      </c>
      <c r="AD1215" s="382">
        <v>0</v>
      </c>
      <c r="AE1215" s="381" t="s">
        <v>168</v>
      </c>
    </row>
    <row r="1216" spans="1:31" ht="15" customHeight="1" x14ac:dyDescent="0.25">
      <c r="A1216" s="20" t="s">
        <v>156</v>
      </c>
      <c r="B1216" s="20" t="s">
        <v>1450</v>
      </c>
      <c r="C1216" s="20" t="s">
        <v>1451</v>
      </c>
      <c r="D1216" s="378" t="s">
        <v>1792</v>
      </c>
      <c r="E1216" s="379">
        <v>45038</v>
      </c>
      <c r="F1216" s="379">
        <v>46865</v>
      </c>
      <c r="G1216" s="383" t="s">
        <v>193</v>
      </c>
      <c r="H1216" s="20" t="s">
        <v>229</v>
      </c>
      <c r="I1216" s="20" t="s">
        <v>162</v>
      </c>
      <c r="J1216" s="20" t="s">
        <v>163</v>
      </c>
      <c r="K1216" s="378" t="s">
        <v>230</v>
      </c>
      <c r="L1216" s="20" t="s">
        <v>165</v>
      </c>
      <c r="M1216" s="380">
        <v>2400</v>
      </c>
      <c r="N1216" s="380"/>
      <c r="O1216" s="380"/>
      <c r="P1216" s="380"/>
      <c r="Q1216" s="381" t="s">
        <v>1793</v>
      </c>
      <c r="R1216" s="381" t="s">
        <v>1492</v>
      </c>
      <c r="S1216" s="381" t="s">
        <v>1794</v>
      </c>
      <c r="T1216" s="381"/>
      <c r="U1216" s="381"/>
      <c r="V1216" s="382">
        <v>295.67</v>
      </c>
      <c r="W1216" s="382">
        <v>0</v>
      </c>
      <c r="X1216" s="381">
        <v>0.12333333333333334</v>
      </c>
      <c r="Y1216" s="381">
        <v>0.12291666666666666</v>
      </c>
      <c r="Z1216" s="381">
        <v>2.7916666666666666E-4</v>
      </c>
      <c r="AA1216" s="381">
        <v>0</v>
      </c>
      <c r="AB1216" s="381">
        <v>0</v>
      </c>
      <c r="AC1216" s="382">
        <v>0.12319583333333332</v>
      </c>
      <c r="AD1216" s="382">
        <v>0</v>
      </c>
      <c r="AE1216" s="381" t="s">
        <v>168</v>
      </c>
    </row>
    <row r="1217" spans="1:31" ht="15" customHeight="1" x14ac:dyDescent="0.25">
      <c r="A1217" s="20" t="s">
        <v>156</v>
      </c>
      <c r="B1217" s="20" t="s">
        <v>1450</v>
      </c>
      <c r="C1217" s="20" t="s">
        <v>1451</v>
      </c>
      <c r="D1217" s="378" t="s">
        <v>1795</v>
      </c>
      <c r="E1217" s="379">
        <v>44910</v>
      </c>
      <c r="F1217" s="379">
        <v>46736</v>
      </c>
      <c r="G1217" s="378" t="s">
        <v>173</v>
      </c>
      <c r="H1217" s="20" t="s">
        <v>174</v>
      </c>
      <c r="I1217" s="20" t="s">
        <v>162</v>
      </c>
      <c r="J1217" s="20" t="s">
        <v>163</v>
      </c>
      <c r="K1217" s="378" t="s">
        <v>175</v>
      </c>
      <c r="L1217" s="20" t="s">
        <v>165</v>
      </c>
      <c r="M1217" s="380">
        <v>2400</v>
      </c>
      <c r="N1217" s="380"/>
      <c r="O1217" s="380"/>
      <c r="P1217" s="380"/>
      <c r="Q1217" s="381">
        <v>433</v>
      </c>
      <c r="R1217" s="381">
        <v>427</v>
      </c>
      <c r="S1217" s="381">
        <v>5.5</v>
      </c>
      <c r="T1217" s="381"/>
      <c r="U1217" s="381"/>
      <c r="V1217" s="382">
        <v>432.5</v>
      </c>
      <c r="W1217" s="382">
        <v>0</v>
      </c>
      <c r="X1217" s="381">
        <v>0.18041666666666667</v>
      </c>
      <c r="Y1217" s="381">
        <v>0.17791666666666667</v>
      </c>
      <c r="Z1217" s="381">
        <v>2.2916666666666667E-3</v>
      </c>
      <c r="AA1217" s="381">
        <v>0</v>
      </c>
      <c r="AB1217" s="381">
        <v>0</v>
      </c>
      <c r="AC1217" s="382">
        <v>0.18020833333333333</v>
      </c>
      <c r="AD1217" s="382">
        <v>0</v>
      </c>
      <c r="AE1217" s="381" t="s">
        <v>168</v>
      </c>
    </row>
    <row r="1218" spans="1:31" ht="15" customHeight="1" x14ac:dyDescent="0.25">
      <c r="A1218" s="20" t="s">
        <v>156</v>
      </c>
      <c r="B1218" s="20" t="s">
        <v>1450</v>
      </c>
      <c r="C1218" s="20" t="s">
        <v>1451</v>
      </c>
      <c r="D1218" s="378" t="s">
        <v>1796</v>
      </c>
      <c r="E1218" s="379">
        <v>44525</v>
      </c>
      <c r="F1218" s="379">
        <v>46351</v>
      </c>
      <c r="G1218" s="378" t="s">
        <v>262</v>
      </c>
      <c r="H1218" s="20" t="s">
        <v>263</v>
      </c>
      <c r="I1218" s="20" t="s">
        <v>162</v>
      </c>
      <c r="J1218" s="20" t="s">
        <v>163</v>
      </c>
      <c r="K1218" s="378" t="s">
        <v>264</v>
      </c>
      <c r="L1218" s="20" t="s">
        <v>165</v>
      </c>
      <c r="M1218" s="380">
        <v>2400</v>
      </c>
      <c r="N1218" s="380"/>
      <c r="O1218" s="380"/>
      <c r="P1218" s="380"/>
      <c r="Q1218" s="381" t="s">
        <v>1797</v>
      </c>
      <c r="R1218" s="381" t="s">
        <v>1798</v>
      </c>
      <c r="S1218" s="381" t="s">
        <v>1799</v>
      </c>
      <c r="T1218" s="381"/>
      <c r="U1218" s="381"/>
      <c r="V1218" s="382">
        <v>225.73</v>
      </c>
      <c r="W1218" s="382">
        <v>0</v>
      </c>
      <c r="X1218" s="381">
        <v>9.4166666666666662E-2</v>
      </c>
      <c r="Y1218" s="381">
        <v>9.375E-2</v>
      </c>
      <c r="Z1218" s="381">
        <v>3.0416666666666667E-4</v>
      </c>
      <c r="AA1218" s="381">
        <v>0</v>
      </c>
      <c r="AB1218" s="381">
        <v>0</v>
      </c>
      <c r="AC1218" s="382">
        <v>9.4054166666666661E-2</v>
      </c>
      <c r="AD1218" s="382">
        <v>0</v>
      </c>
      <c r="AE1218" s="381" t="s">
        <v>168</v>
      </c>
    </row>
    <row r="1219" spans="1:31" ht="15" customHeight="1" x14ac:dyDescent="0.25">
      <c r="A1219" s="20" t="s">
        <v>156</v>
      </c>
      <c r="B1219" s="20" t="s">
        <v>1450</v>
      </c>
      <c r="C1219" s="20" t="s">
        <v>1451</v>
      </c>
      <c r="D1219" s="378" t="s">
        <v>1800</v>
      </c>
      <c r="E1219" s="379">
        <v>44910</v>
      </c>
      <c r="F1219" s="379">
        <v>46736</v>
      </c>
      <c r="G1219" s="378" t="s">
        <v>173</v>
      </c>
      <c r="H1219" s="20" t="s">
        <v>174</v>
      </c>
      <c r="I1219" s="20" t="s">
        <v>162</v>
      </c>
      <c r="J1219" s="20" t="s">
        <v>163</v>
      </c>
      <c r="K1219" s="378" t="s">
        <v>175</v>
      </c>
      <c r="L1219" s="20" t="s">
        <v>165</v>
      </c>
      <c r="M1219" s="380">
        <v>2400</v>
      </c>
      <c r="N1219" s="380"/>
      <c r="O1219" s="380"/>
      <c r="P1219" s="380"/>
      <c r="Q1219" s="381">
        <v>244</v>
      </c>
      <c r="R1219" s="381">
        <v>241</v>
      </c>
      <c r="S1219" s="381">
        <v>2.66</v>
      </c>
      <c r="T1219" s="381"/>
      <c r="U1219" s="381"/>
      <c r="V1219" s="382">
        <v>243.66</v>
      </c>
      <c r="W1219" s="382">
        <v>0</v>
      </c>
      <c r="X1219" s="381">
        <v>0.10166666666666667</v>
      </c>
      <c r="Y1219" s="381">
        <v>0.10041666666666667</v>
      </c>
      <c r="Z1219" s="381">
        <v>1.1083333333333333E-3</v>
      </c>
      <c r="AA1219" s="381">
        <v>0</v>
      </c>
      <c r="AB1219" s="381">
        <v>0</v>
      </c>
      <c r="AC1219" s="382">
        <v>0.101525</v>
      </c>
      <c r="AD1219" s="382">
        <v>0</v>
      </c>
      <c r="AE1219" s="381" t="s">
        <v>168</v>
      </c>
    </row>
    <row r="1220" spans="1:31" ht="15" customHeight="1" x14ac:dyDescent="0.25">
      <c r="A1220" s="20" t="s">
        <v>156</v>
      </c>
      <c r="B1220" s="20" t="s">
        <v>1450</v>
      </c>
      <c r="C1220" s="20" t="s">
        <v>1451</v>
      </c>
      <c r="D1220" s="378" t="s">
        <v>1801</v>
      </c>
      <c r="E1220" s="379">
        <v>45016</v>
      </c>
      <c r="F1220" s="379">
        <v>46843</v>
      </c>
      <c r="G1220" s="378" t="s">
        <v>215</v>
      </c>
      <c r="H1220" s="20" t="s">
        <v>216</v>
      </c>
      <c r="I1220" s="20" t="s">
        <v>162</v>
      </c>
      <c r="J1220" s="20" t="s">
        <v>163</v>
      </c>
      <c r="K1220" s="378" t="s">
        <v>217</v>
      </c>
      <c r="L1220" s="20" t="s">
        <v>165</v>
      </c>
      <c r="M1220" s="380">
        <v>2400</v>
      </c>
      <c r="N1220" s="380"/>
      <c r="O1220" s="380"/>
      <c r="P1220" s="380"/>
      <c r="Q1220" s="381">
        <v>404</v>
      </c>
      <c r="R1220" s="381">
        <v>403</v>
      </c>
      <c r="S1220" s="381">
        <v>0.25600000000000001</v>
      </c>
      <c r="T1220" s="381"/>
      <c r="U1220" s="381"/>
      <c r="V1220" s="382">
        <v>403.25599999999997</v>
      </c>
      <c r="W1220" s="382">
        <v>0</v>
      </c>
      <c r="X1220" s="381">
        <v>0.16833333333333333</v>
      </c>
      <c r="Y1220" s="381">
        <v>0.16791666666666666</v>
      </c>
      <c r="Z1220" s="381">
        <v>1.0666666666666667E-4</v>
      </c>
      <c r="AA1220" s="381">
        <v>0</v>
      </c>
      <c r="AB1220" s="381">
        <v>0</v>
      </c>
      <c r="AC1220" s="382">
        <v>0.16802333333333333</v>
      </c>
      <c r="AD1220" s="382">
        <v>0</v>
      </c>
      <c r="AE1220" s="381" t="s">
        <v>168</v>
      </c>
    </row>
    <row r="1221" spans="1:31" ht="15" customHeight="1" x14ac:dyDescent="0.25">
      <c r="A1221" s="20" t="s">
        <v>156</v>
      </c>
      <c r="B1221" s="20" t="s">
        <v>1450</v>
      </c>
      <c r="C1221" s="20" t="s">
        <v>1451</v>
      </c>
      <c r="D1221" s="378" t="s">
        <v>1802</v>
      </c>
      <c r="E1221" s="379">
        <v>44573</v>
      </c>
      <c r="F1221" s="379">
        <v>46656</v>
      </c>
      <c r="G1221" s="378" t="s">
        <v>179</v>
      </c>
      <c r="H1221" s="20" t="s">
        <v>180</v>
      </c>
      <c r="I1221" s="20" t="s">
        <v>162</v>
      </c>
      <c r="J1221" s="20" t="s">
        <v>163</v>
      </c>
      <c r="K1221" s="378" t="s">
        <v>181</v>
      </c>
      <c r="L1221" s="20" t="s">
        <v>165</v>
      </c>
      <c r="M1221" s="380">
        <v>2400</v>
      </c>
      <c r="N1221" s="380"/>
      <c r="O1221" s="380"/>
      <c r="P1221" s="380"/>
      <c r="Q1221" s="381" t="s">
        <v>1498</v>
      </c>
      <c r="R1221" s="381" t="s">
        <v>1803</v>
      </c>
      <c r="S1221" s="381" t="s">
        <v>1804</v>
      </c>
      <c r="T1221" s="381"/>
      <c r="U1221" s="381"/>
      <c r="V1221" s="382">
        <v>286.45999999999998</v>
      </c>
      <c r="W1221" s="382">
        <v>0</v>
      </c>
      <c r="X1221" s="381">
        <v>0.11958333333333333</v>
      </c>
      <c r="Y1221" s="381">
        <v>0.11916666666666667</v>
      </c>
      <c r="Z1221" s="381">
        <v>1.9166666666666667E-4</v>
      </c>
      <c r="AA1221" s="381">
        <v>0</v>
      </c>
      <c r="AB1221" s="381">
        <v>0</v>
      </c>
      <c r="AC1221" s="382">
        <v>0.11935833333333334</v>
      </c>
      <c r="AD1221" s="382">
        <v>0</v>
      </c>
      <c r="AE1221" s="381" t="s">
        <v>168</v>
      </c>
    </row>
    <row r="1222" spans="1:31" ht="15" customHeight="1" x14ac:dyDescent="0.25">
      <c r="A1222" s="20" t="s">
        <v>156</v>
      </c>
      <c r="B1222" s="20" t="s">
        <v>1450</v>
      </c>
      <c r="C1222" s="20" t="s">
        <v>1451</v>
      </c>
      <c r="D1222" s="378" t="s">
        <v>1805</v>
      </c>
      <c r="E1222" s="379">
        <v>44581</v>
      </c>
      <c r="F1222" s="379">
        <v>46407</v>
      </c>
      <c r="G1222" s="378" t="s">
        <v>237</v>
      </c>
      <c r="H1222" s="20" t="s">
        <v>238</v>
      </c>
      <c r="I1222" s="20" t="s">
        <v>162</v>
      </c>
      <c r="J1222" s="20" t="s">
        <v>163</v>
      </c>
      <c r="K1222" s="378" t="s">
        <v>239</v>
      </c>
      <c r="L1222" s="20" t="s">
        <v>165</v>
      </c>
      <c r="M1222" s="380">
        <v>2400</v>
      </c>
      <c r="N1222" s="380"/>
      <c r="O1222" s="380"/>
      <c r="P1222" s="380"/>
      <c r="Q1222" s="381" t="s">
        <v>1806</v>
      </c>
      <c r="R1222" s="381" t="s">
        <v>1807</v>
      </c>
      <c r="S1222" s="381" t="s">
        <v>948</v>
      </c>
      <c r="T1222" s="381"/>
      <c r="U1222" s="381"/>
      <c r="V1222" s="382">
        <v>333.34</v>
      </c>
      <c r="W1222" s="382">
        <v>0</v>
      </c>
      <c r="X1222" s="381">
        <v>0.13916666666666666</v>
      </c>
      <c r="Y1222" s="381">
        <v>0.13875000000000001</v>
      </c>
      <c r="Z1222" s="381">
        <v>1.4166666666666668E-4</v>
      </c>
      <c r="AA1222" s="381">
        <v>0</v>
      </c>
      <c r="AB1222" s="381">
        <v>0</v>
      </c>
      <c r="AC1222" s="382">
        <v>0.13889166666666669</v>
      </c>
      <c r="AD1222" s="382">
        <v>0</v>
      </c>
      <c r="AE1222" s="381" t="s">
        <v>168</v>
      </c>
    </row>
    <row r="1223" spans="1:31" ht="15" customHeight="1" x14ac:dyDescent="0.25">
      <c r="A1223" s="20" t="s">
        <v>156</v>
      </c>
      <c r="B1223" s="20" t="s">
        <v>1450</v>
      </c>
      <c r="C1223" s="20" t="s">
        <v>1451</v>
      </c>
      <c r="D1223" s="378" t="s">
        <v>1808</v>
      </c>
      <c r="E1223" s="379">
        <v>44588</v>
      </c>
      <c r="F1223" s="379">
        <v>46414</v>
      </c>
      <c r="G1223" s="378" t="s">
        <v>160</v>
      </c>
      <c r="H1223" s="20" t="s">
        <v>161</v>
      </c>
      <c r="I1223" s="20" t="s">
        <v>162</v>
      </c>
      <c r="J1223" s="20" t="s">
        <v>163</v>
      </c>
      <c r="K1223" s="378" t="s">
        <v>164</v>
      </c>
      <c r="L1223" s="20" t="s">
        <v>165</v>
      </c>
      <c r="M1223" s="380">
        <v>2400</v>
      </c>
      <c r="N1223" s="380"/>
      <c r="O1223" s="380"/>
      <c r="P1223" s="380"/>
      <c r="Q1223" s="381" t="s">
        <v>1492</v>
      </c>
      <c r="R1223" s="381">
        <v>294</v>
      </c>
      <c r="S1223" s="381" t="s">
        <v>1459</v>
      </c>
      <c r="T1223" s="381"/>
      <c r="U1223" s="381"/>
      <c r="V1223" s="382">
        <v>294.37</v>
      </c>
      <c r="W1223" s="382">
        <v>0</v>
      </c>
      <c r="X1223" s="381">
        <v>0.12291666666666666</v>
      </c>
      <c r="Y1223" s="381">
        <v>0.1225</v>
      </c>
      <c r="Z1223" s="381">
        <v>1.5416666666666666E-4</v>
      </c>
      <c r="AA1223" s="381">
        <v>0</v>
      </c>
      <c r="AB1223" s="381">
        <v>0</v>
      </c>
      <c r="AC1223" s="382">
        <v>0.12265416666666666</v>
      </c>
      <c r="AD1223" s="382">
        <v>0</v>
      </c>
      <c r="AE1223" s="381" t="s">
        <v>168</v>
      </c>
    </row>
    <row r="1224" spans="1:31" ht="15" customHeight="1" x14ac:dyDescent="0.25">
      <c r="A1224" s="20" t="s">
        <v>156</v>
      </c>
      <c r="B1224" s="20" t="s">
        <v>1450</v>
      </c>
      <c r="C1224" s="20" t="s">
        <v>1451</v>
      </c>
      <c r="D1224" s="378" t="s">
        <v>1809</v>
      </c>
      <c r="E1224" s="379">
        <v>44910</v>
      </c>
      <c r="F1224" s="379">
        <v>46736</v>
      </c>
      <c r="G1224" s="378" t="s">
        <v>173</v>
      </c>
      <c r="H1224" s="20" t="s">
        <v>174</v>
      </c>
      <c r="I1224" s="20" t="s">
        <v>162</v>
      </c>
      <c r="J1224" s="20" t="s">
        <v>163</v>
      </c>
      <c r="K1224" s="378" t="s">
        <v>175</v>
      </c>
      <c r="L1224" s="20" t="s">
        <v>165</v>
      </c>
      <c r="M1224" s="380">
        <v>2400</v>
      </c>
      <c r="N1224" s="380"/>
      <c r="O1224" s="380"/>
      <c r="P1224" s="380"/>
      <c r="Q1224" s="381">
        <v>467</v>
      </c>
      <c r="R1224" s="381">
        <v>460</v>
      </c>
      <c r="S1224" s="381">
        <v>5.94</v>
      </c>
      <c r="T1224" s="381"/>
      <c r="U1224" s="381"/>
      <c r="V1224" s="382">
        <v>465.94</v>
      </c>
      <c r="W1224" s="382">
        <v>0</v>
      </c>
      <c r="X1224" s="381">
        <v>0.19458333333333333</v>
      </c>
      <c r="Y1224" s="381">
        <v>0.19166666666666668</v>
      </c>
      <c r="Z1224" s="381">
        <v>2.4750000000000002E-3</v>
      </c>
      <c r="AA1224" s="381">
        <v>0</v>
      </c>
      <c r="AB1224" s="381">
        <v>0</v>
      </c>
      <c r="AC1224" s="382">
        <v>0.19414166666666668</v>
      </c>
      <c r="AD1224" s="382">
        <v>0</v>
      </c>
      <c r="AE1224" s="381" t="s">
        <v>168</v>
      </c>
    </row>
    <row r="1225" spans="1:31" ht="15" customHeight="1" x14ac:dyDescent="0.25">
      <c r="A1225" s="20" t="s">
        <v>156</v>
      </c>
      <c r="B1225" s="20" t="s">
        <v>1450</v>
      </c>
      <c r="C1225" s="20" t="s">
        <v>1451</v>
      </c>
      <c r="D1225" s="378" t="s">
        <v>1810</v>
      </c>
      <c r="E1225" s="379">
        <v>44573</v>
      </c>
      <c r="F1225" s="379">
        <v>46656</v>
      </c>
      <c r="G1225" s="378" t="s">
        <v>179</v>
      </c>
      <c r="H1225" s="20" t="s">
        <v>180</v>
      </c>
      <c r="I1225" s="20" t="s">
        <v>162</v>
      </c>
      <c r="J1225" s="20" t="s">
        <v>163</v>
      </c>
      <c r="K1225" s="378" t="s">
        <v>181</v>
      </c>
      <c r="L1225" s="20" t="s">
        <v>165</v>
      </c>
      <c r="M1225" s="380">
        <v>2400</v>
      </c>
      <c r="N1225" s="380"/>
      <c r="O1225" s="380"/>
      <c r="P1225" s="380"/>
      <c r="Q1225" s="381" t="s">
        <v>1557</v>
      </c>
      <c r="R1225" s="381" t="s">
        <v>1504</v>
      </c>
      <c r="S1225" s="381" t="s">
        <v>538</v>
      </c>
      <c r="T1225" s="381"/>
      <c r="U1225" s="381"/>
      <c r="V1225" s="382">
        <v>293.32</v>
      </c>
      <c r="W1225" s="382">
        <v>0</v>
      </c>
      <c r="X1225" s="381">
        <v>0.1225</v>
      </c>
      <c r="Y1225" s="381">
        <v>0.12208333333333334</v>
      </c>
      <c r="Z1225" s="381">
        <v>1.3333333333333334E-4</v>
      </c>
      <c r="AA1225" s="381">
        <v>0</v>
      </c>
      <c r="AB1225" s="381">
        <v>0</v>
      </c>
      <c r="AC1225" s="382">
        <v>0.12221666666666667</v>
      </c>
      <c r="AD1225" s="382">
        <v>0</v>
      </c>
      <c r="AE1225" s="381" t="s">
        <v>168</v>
      </c>
    </row>
    <row r="1226" spans="1:31" ht="15" customHeight="1" x14ac:dyDescent="0.25">
      <c r="A1226" s="20" t="s">
        <v>156</v>
      </c>
      <c r="B1226" s="20" t="s">
        <v>1450</v>
      </c>
      <c r="C1226" s="20" t="s">
        <v>1451</v>
      </c>
      <c r="D1226" s="378" t="s">
        <v>1811</v>
      </c>
      <c r="E1226" s="379">
        <v>45016</v>
      </c>
      <c r="F1226" s="379">
        <v>46843</v>
      </c>
      <c r="G1226" s="378" t="s">
        <v>193</v>
      </c>
      <c r="H1226" s="20" t="s">
        <v>194</v>
      </c>
      <c r="I1226" s="20" t="s">
        <v>162</v>
      </c>
      <c r="J1226" s="20" t="s">
        <v>163</v>
      </c>
      <c r="K1226" s="378" t="s">
        <v>195</v>
      </c>
      <c r="L1226" s="20" t="s">
        <v>165</v>
      </c>
      <c r="M1226" s="380">
        <v>2400</v>
      </c>
      <c r="N1226" s="380"/>
      <c r="O1226" s="380"/>
      <c r="P1226" s="380"/>
      <c r="Q1226" s="381">
        <v>293</v>
      </c>
      <c r="R1226" s="381">
        <v>292</v>
      </c>
      <c r="S1226" s="381">
        <v>0.318</v>
      </c>
      <c r="T1226" s="381"/>
      <c r="U1226" s="381"/>
      <c r="V1226" s="382">
        <v>292.31799999999998</v>
      </c>
      <c r="W1226" s="382">
        <v>0</v>
      </c>
      <c r="X1226" s="381">
        <v>0.12208333333333334</v>
      </c>
      <c r="Y1226" s="381">
        <v>0.12166666666666667</v>
      </c>
      <c r="Z1226" s="381">
        <v>1.325E-4</v>
      </c>
      <c r="AA1226" s="381">
        <v>0</v>
      </c>
      <c r="AB1226" s="381">
        <v>0</v>
      </c>
      <c r="AC1226" s="382">
        <v>0.12179916666666667</v>
      </c>
      <c r="AD1226" s="382">
        <v>0</v>
      </c>
      <c r="AE1226" s="381" t="s">
        <v>168</v>
      </c>
    </row>
    <row r="1227" spans="1:31" ht="15" customHeight="1" x14ac:dyDescent="0.25">
      <c r="A1227" s="20" t="s">
        <v>156</v>
      </c>
      <c r="B1227" s="20" t="s">
        <v>1450</v>
      </c>
      <c r="C1227" s="20" t="s">
        <v>1451</v>
      </c>
      <c r="D1227" s="378" t="s">
        <v>1812</v>
      </c>
      <c r="E1227" s="379">
        <v>44910</v>
      </c>
      <c r="F1227" s="379">
        <v>46736</v>
      </c>
      <c r="G1227" s="378" t="s">
        <v>173</v>
      </c>
      <c r="H1227" s="20" t="s">
        <v>174</v>
      </c>
      <c r="I1227" s="20" t="s">
        <v>162</v>
      </c>
      <c r="J1227" s="20" t="s">
        <v>163</v>
      </c>
      <c r="K1227" s="378" t="s">
        <v>175</v>
      </c>
      <c r="L1227" s="20" t="s">
        <v>165</v>
      </c>
      <c r="M1227" s="380">
        <v>2400</v>
      </c>
      <c r="N1227" s="380"/>
      <c r="O1227" s="380"/>
      <c r="P1227" s="380"/>
      <c r="Q1227" s="381">
        <v>289</v>
      </c>
      <c r="R1227" s="381">
        <v>285</v>
      </c>
      <c r="S1227" s="381">
        <v>3.28</v>
      </c>
      <c r="T1227" s="381"/>
      <c r="U1227" s="381"/>
      <c r="V1227" s="382">
        <v>288.27999999999997</v>
      </c>
      <c r="W1227" s="382">
        <v>0</v>
      </c>
      <c r="X1227" s="381">
        <v>0.12041666666666667</v>
      </c>
      <c r="Y1227" s="381">
        <v>0.11874999999999999</v>
      </c>
      <c r="Z1227" s="381">
        <v>1.3666666666666666E-3</v>
      </c>
      <c r="AA1227" s="381">
        <v>0</v>
      </c>
      <c r="AB1227" s="381">
        <v>0</v>
      </c>
      <c r="AC1227" s="382">
        <v>0.12011666666666666</v>
      </c>
      <c r="AD1227" s="382">
        <v>0</v>
      </c>
      <c r="AE1227" s="381" t="s">
        <v>168</v>
      </c>
    </row>
    <row r="1228" spans="1:31" ht="15" customHeight="1" x14ac:dyDescent="0.25">
      <c r="A1228" s="20" t="s">
        <v>156</v>
      </c>
      <c r="B1228" s="20" t="s">
        <v>1450</v>
      </c>
      <c r="C1228" s="20" t="s">
        <v>1451</v>
      </c>
      <c r="D1228" s="378" t="s">
        <v>1813</v>
      </c>
      <c r="E1228" s="379">
        <v>44588</v>
      </c>
      <c r="F1228" s="379">
        <v>46414</v>
      </c>
      <c r="G1228" s="378" t="s">
        <v>160</v>
      </c>
      <c r="H1228" s="20" t="s">
        <v>161</v>
      </c>
      <c r="I1228" s="20" t="s">
        <v>162</v>
      </c>
      <c r="J1228" s="20" t="s">
        <v>163</v>
      </c>
      <c r="K1228" s="378" t="s">
        <v>164</v>
      </c>
      <c r="L1228" s="20" t="s">
        <v>165</v>
      </c>
      <c r="M1228" s="380">
        <v>2400</v>
      </c>
      <c r="N1228" s="380"/>
      <c r="O1228" s="380"/>
      <c r="P1228" s="380"/>
      <c r="Q1228" s="381" t="s">
        <v>1475</v>
      </c>
      <c r="R1228" s="381">
        <v>271</v>
      </c>
      <c r="S1228" s="381" t="s">
        <v>171</v>
      </c>
      <c r="T1228" s="381"/>
      <c r="U1228" s="381"/>
      <c r="V1228" s="382">
        <v>271.31</v>
      </c>
      <c r="W1228" s="382">
        <v>0</v>
      </c>
      <c r="X1228" s="381">
        <v>0.11333333333333333</v>
      </c>
      <c r="Y1228" s="381">
        <v>0.11291666666666667</v>
      </c>
      <c r="Z1228" s="381">
        <v>1.2916666666666667E-4</v>
      </c>
      <c r="AA1228" s="381">
        <v>0</v>
      </c>
      <c r="AB1228" s="381">
        <v>0</v>
      </c>
      <c r="AC1228" s="382">
        <v>0.11304583333333333</v>
      </c>
      <c r="AD1228" s="382">
        <v>0</v>
      </c>
      <c r="AE1228" s="381" t="s">
        <v>168</v>
      </c>
    </row>
    <row r="1229" spans="1:31" ht="15" customHeight="1" x14ac:dyDescent="0.25">
      <c r="A1229" s="20" t="s">
        <v>156</v>
      </c>
      <c r="B1229" s="20" t="s">
        <v>1450</v>
      </c>
      <c r="C1229" s="20" t="s">
        <v>1451</v>
      </c>
      <c r="D1229" s="378" t="s">
        <v>1814</v>
      </c>
      <c r="E1229" s="379">
        <v>44588</v>
      </c>
      <c r="F1229" s="379">
        <v>46414</v>
      </c>
      <c r="G1229" s="378" t="s">
        <v>160</v>
      </c>
      <c r="H1229" s="20" t="s">
        <v>161</v>
      </c>
      <c r="I1229" s="20" t="s">
        <v>162</v>
      </c>
      <c r="J1229" s="20" t="s">
        <v>163</v>
      </c>
      <c r="K1229" s="378" t="s">
        <v>164</v>
      </c>
      <c r="L1229" s="20" t="s">
        <v>165</v>
      </c>
      <c r="M1229" s="380">
        <v>2400</v>
      </c>
      <c r="N1229" s="380"/>
      <c r="O1229" s="380"/>
      <c r="P1229" s="380"/>
      <c r="Q1229" s="381" t="s">
        <v>1199</v>
      </c>
      <c r="R1229" s="381">
        <v>264</v>
      </c>
      <c r="S1229" s="381" t="s">
        <v>171</v>
      </c>
      <c r="T1229" s="381"/>
      <c r="U1229" s="381"/>
      <c r="V1229" s="382">
        <v>264.31</v>
      </c>
      <c r="W1229" s="382">
        <v>0</v>
      </c>
      <c r="X1229" s="381">
        <v>0.11041666666666666</v>
      </c>
      <c r="Y1229" s="381">
        <v>0.11</v>
      </c>
      <c r="Z1229" s="381">
        <v>1.2916666666666667E-4</v>
      </c>
      <c r="AA1229" s="381">
        <v>0</v>
      </c>
      <c r="AB1229" s="381">
        <v>0</v>
      </c>
      <c r="AC1229" s="382">
        <v>0.11012916666666667</v>
      </c>
      <c r="AD1229" s="382">
        <v>0</v>
      </c>
      <c r="AE1229" s="381" t="s">
        <v>168</v>
      </c>
    </row>
    <row r="1230" spans="1:31" ht="15" customHeight="1" x14ac:dyDescent="0.25">
      <c r="A1230" s="20" t="s">
        <v>156</v>
      </c>
      <c r="B1230" s="20" t="s">
        <v>1450</v>
      </c>
      <c r="C1230" s="20" t="s">
        <v>1451</v>
      </c>
      <c r="D1230" s="378" t="s">
        <v>1815</v>
      </c>
      <c r="E1230" s="379">
        <v>44581</v>
      </c>
      <c r="F1230" s="379">
        <v>46407</v>
      </c>
      <c r="G1230" s="378" t="s">
        <v>237</v>
      </c>
      <c r="H1230" s="20" t="s">
        <v>238</v>
      </c>
      <c r="I1230" s="20" t="s">
        <v>162</v>
      </c>
      <c r="J1230" s="20" t="s">
        <v>163</v>
      </c>
      <c r="K1230" s="378" t="s">
        <v>239</v>
      </c>
      <c r="L1230" s="20" t="s">
        <v>165</v>
      </c>
      <c r="M1230" s="380">
        <v>2400</v>
      </c>
      <c r="N1230" s="380"/>
      <c r="O1230" s="380"/>
      <c r="P1230" s="380"/>
      <c r="Q1230" s="381" t="s">
        <v>1816</v>
      </c>
      <c r="R1230" s="381" t="s">
        <v>1817</v>
      </c>
      <c r="S1230" s="381" t="s">
        <v>566</v>
      </c>
      <c r="T1230" s="381"/>
      <c r="U1230" s="381"/>
      <c r="V1230" s="382">
        <v>303.2</v>
      </c>
      <c r="W1230" s="382">
        <v>0</v>
      </c>
      <c r="X1230" s="381">
        <v>0.12666666666666668</v>
      </c>
      <c r="Y1230" s="381">
        <v>0.12625</v>
      </c>
      <c r="Z1230" s="381">
        <v>8.3333333333333344E-5</v>
      </c>
      <c r="AA1230" s="381">
        <v>0</v>
      </c>
      <c r="AB1230" s="381">
        <v>0</v>
      </c>
      <c r="AC1230" s="382">
        <v>0.12633333333333333</v>
      </c>
      <c r="AD1230" s="382">
        <v>0</v>
      </c>
      <c r="AE1230" s="381" t="s">
        <v>168</v>
      </c>
    </row>
    <row r="1231" spans="1:31" ht="15" customHeight="1" x14ac:dyDescent="0.25">
      <c r="A1231" s="20" t="s">
        <v>156</v>
      </c>
      <c r="B1231" s="20" t="s">
        <v>1450</v>
      </c>
      <c r="C1231" s="20" t="s">
        <v>1451</v>
      </c>
      <c r="D1231" s="378" t="s">
        <v>1818</v>
      </c>
      <c r="E1231" s="379">
        <v>44581</v>
      </c>
      <c r="F1231" s="379">
        <v>46407</v>
      </c>
      <c r="G1231" s="378" t="s">
        <v>237</v>
      </c>
      <c r="H1231" s="20" t="s">
        <v>238</v>
      </c>
      <c r="I1231" s="20" t="s">
        <v>162</v>
      </c>
      <c r="J1231" s="20" t="s">
        <v>163</v>
      </c>
      <c r="K1231" s="378" t="s">
        <v>239</v>
      </c>
      <c r="L1231" s="20" t="s">
        <v>165</v>
      </c>
      <c r="M1231" s="380">
        <v>2400</v>
      </c>
      <c r="N1231" s="380"/>
      <c r="O1231" s="380"/>
      <c r="P1231" s="380"/>
      <c r="Q1231" s="381" t="s">
        <v>1494</v>
      </c>
      <c r="R1231" s="381" t="s">
        <v>1793</v>
      </c>
      <c r="S1231" s="381" t="s">
        <v>563</v>
      </c>
      <c r="T1231" s="381"/>
      <c r="U1231" s="381"/>
      <c r="V1231" s="382">
        <v>296.19</v>
      </c>
      <c r="W1231" s="382">
        <v>0</v>
      </c>
      <c r="X1231" s="381">
        <v>0.12375</v>
      </c>
      <c r="Y1231" s="381">
        <v>0.12333333333333334</v>
      </c>
      <c r="Z1231" s="381">
        <v>7.9166666666666662E-5</v>
      </c>
      <c r="AA1231" s="381">
        <v>0</v>
      </c>
      <c r="AB1231" s="381">
        <v>0</v>
      </c>
      <c r="AC1231" s="382">
        <v>0.12341250000000001</v>
      </c>
      <c r="AD1231" s="382">
        <v>0</v>
      </c>
      <c r="AE1231" s="381" t="s">
        <v>168</v>
      </c>
    </row>
    <row r="1232" spans="1:31" ht="15" customHeight="1" x14ac:dyDescent="0.25">
      <c r="A1232" s="20" t="s">
        <v>156</v>
      </c>
      <c r="B1232" s="20" t="s">
        <v>1450</v>
      </c>
      <c r="C1232" s="20" t="s">
        <v>1451</v>
      </c>
      <c r="D1232" s="378" t="s">
        <v>1819</v>
      </c>
      <c r="E1232" s="379">
        <v>44581</v>
      </c>
      <c r="F1232" s="379">
        <v>46407</v>
      </c>
      <c r="G1232" s="378" t="s">
        <v>237</v>
      </c>
      <c r="H1232" s="20" t="s">
        <v>238</v>
      </c>
      <c r="I1232" s="20" t="s">
        <v>162</v>
      </c>
      <c r="J1232" s="20" t="s">
        <v>163</v>
      </c>
      <c r="K1232" s="378" t="s">
        <v>239</v>
      </c>
      <c r="L1232" s="20" t="s">
        <v>165</v>
      </c>
      <c r="M1232" s="380">
        <v>2400</v>
      </c>
      <c r="N1232" s="380"/>
      <c r="O1232" s="380"/>
      <c r="P1232" s="380"/>
      <c r="Q1232" s="381" t="s">
        <v>1494</v>
      </c>
      <c r="R1232" s="381" t="s">
        <v>1793</v>
      </c>
      <c r="S1232" s="381" t="s">
        <v>563</v>
      </c>
      <c r="T1232" s="381"/>
      <c r="U1232" s="381"/>
      <c r="V1232" s="382">
        <v>296.19</v>
      </c>
      <c r="W1232" s="382">
        <v>0</v>
      </c>
      <c r="X1232" s="381">
        <v>0.12375</v>
      </c>
      <c r="Y1232" s="381">
        <v>0.12333333333333334</v>
      </c>
      <c r="Z1232" s="381">
        <v>7.9166666666666662E-5</v>
      </c>
      <c r="AA1232" s="381">
        <v>0</v>
      </c>
      <c r="AB1232" s="381">
        <v>0</v>
      </c>
      <c r="AC1232" s="382">
        <v>0.12341250000000001</v>
      </c>
      <c r="AD1232" s="382">
        <v>0</v>
      </c>
      <c r="AE1232" s="381" t="s">
        <v>168</v>
      </c>
    </row>
    <row r="1233" spans="1:31" ht="15" customHeight="1" x14ac:dyDescent="0.25">
      <c r="A1233" s="20" t="s">
        <v>156</v>
      </c>
      <c r="B1233" s="20" t="s">
        <v>1450</v>
      </c>
      <c r="C1233" s="20" t="s">
        <v>1451</v>
      </c>
      <c r="D1233" s="378" t="s">
        <v>1820</v>
      </c>
      <c r="E1233" s="379">
        <v>44581</v>
      </c>
      <c r="F1233" s="379">
        <v>46407</v>
      </c>
      <c r="G1233" s="378" t="s">
        <v>237</v>
      </c>
      <c r="H1233" s="20" t="s">
        <v>238</v>
      </c>
      <c r="I1233" s="20" t="s">
        <v>162</v>
      </c>
      <c r="J1233" s="20" t="s">
        <v>163</v>
      </c>
      <c r="K1233" s="378" t="s">
        <v>239</v>
      </c>
      <c r="L1233" s="20" t="s">
        <v>165</v>
      </c>
      <c r="M1233" s="380">
        <v>2400</v>
      </c>
      <c r="N1233" s="380"/>
      <c r="O1233" s="380"/>
      <c r="P1233" s="380"/>
      <c r="Q1233" s="381" t="s">
        <v>1821</v>
      </c>
      <c r="R1233" s="381" t="s">
        <v>1582</v>
      </c>
      <c r="S1233" s="381" t="s">
        <v>206</v>
      </c>
      <c r="T1233" s="381"/>
      <c r="U1233" s="381"/>
      <c r="V1233" s="382">
        <v>289.18</v>
      </c>
      <c r="W1233" s="382">
        <v>0</v>
      </c>
      <c r="X1233" s="381">
        <v>0.12083333333333333</v>
      </c>
      <c r="Y1233" s="381">
        <v>0.12041666666666667</v>
      </c>
      <c r="Z1233" s="381">
        <v>7.4999999999999993E-5</v>
      </c>
      <c r="AA1233" s="381">
        <v>0</v>
      </c>
      <c r="AB1233" s="381">
        <v>0</v>
      </c>
      <c r="AC1233" s="382">
        <v>0.12049166666666668</v>
      </c>
      <c r="AD1233" s="382">
        <v>0</v>
      </c>
      <c r="AE1233" s="381" t="s">
        <v>168</v>
      </c>
    </row>
    <row r="1234" spans="1:31" ht="15" customHeight="1" x14ac:dyDescent="0.25">
      <c r="A1234" s="20" t="s">
        <v>156</v>
      </c>
      <c r="B1234" s="20" t="s">
        <v>1450</v>
      </c>
      <c r="C1234" s="20" t="s">
        <v>1451</v>
      </c>
      <c r="D1234" s="378" t="s">
        <v>1822</v>
      </c>
      <c r="E1234" s="379">
        <v>44573</v>
      </c>
      <c r="F1234" s="379">
        <v>46656</v>
      </c>
      <c r="G1234" s="378" t="s">
        <v>179</v>
      </c>
      <c r="H1234" s="20" t="s">
        <v>180</v>
      </c>
      <c r="I1234" s="20" t="s">
        <v>162</v>
      </c>
      <c r="J1234" s="20" t="s">
        <v>163</v>
      </c>
      <c r="K1234" s="378" t="s">
        <v>181</v>
      </c>
      <c r="L1234" s="20" t="s">
        <v>165</v>
      </c>
      <c r="M1234" s="380">
        <v>2400</v>
      </c>
      <c r="N1234" s="380"/>
      <c r="O1234" s="380"/>
      <c r="P1234" s="380"/>
      <c r="Q1234" s="381" t="s">
        <v>986</v>
      </c>
      <c r="R1234" s="381" t="s">
        <v>1823</v>
      </c>
      <c r="S1234" s="381" t="s">
        <v>545</v>
      </c>
      <c r="T1234" s="381"/>
      <c r="U1234" s="381"/>
      <c r="V1234" s="382">
        <v>247.27</v>
      </c>
      <c r="W1234" s="382">
        <v>0</v>
      </c>
      <c r="X1234" s="381">
        <v>0.10333333333333333</v>
      </c>
      <c r="Y1234" s="381">
        <v>0.10291666666666667</v>
      </c>
      <c r="Z1234" s="381">
        <v>1.1250000000000001E-4</v>
      </c>
      <c r="AA1234" s="381">
        <v>0</v>
      </c>
      <c r="AB1234" s="381">
        <v>0</v>
      </c>
      <c r="AC1234" s="382">
        <v>0.10302916666666667</v>
      </c>
      <c r="AD1234" s="382">
        <v>0</v>
      </c>
      <c r="AE1234" s="381" t="s">
        <v>168</v>
      </c>
    </row>
    <row r="1235" spans="1:31" ht="15" customHeight="1" x14ac:dyDescent="0.25">
      <c r="A1235" s="20" t="s">
        <v>156</v>
      </c>
      <c r="B1235" s="20" t="s">
        <v>1450</v>
      </c>
      <c r="C1235" s="20" t="s">
        <v>1451</v>
      </c>
      <c r="D1235" s="378" t="s">
        <v>1824</v>
      </c>
      <c r="E1235" s="379">
        <v>45016</v>
      </c>
      <c r="F1235" s="379">
        <v>46843</v>
      </c>
      <c r="G1235" s="378" t="s">
        <v>179</v>
      </c>
      <c r="H1235" s="20" t="s">
        <v>202</v>
      </c>
      <c r="I1235" s="20" t="s">
        <v>162</v>
      </c>
      <c r="J1235" s="20" t="s">
        <v>163</v>
      </c>
      <c r="K1235" s="378" t="s">
        <v>203</v>
      </c>
      <c r="L1235" s="20" t="s">
        <v>165</v>
      </c>
      <c r="M1235" s="380">
        <v>2400</v>
      </c>
      <c r="N1235" s="380"/>
      <c r="O1235" s="380"/>
      <c r="P1235" s="380"/>
      <c r="Q1235" s="381">
        <v>254</v>
      </c>
      <c r="R1235" s="381">
        <v>253</v>
      </c>
      <c r="S1235" s="381">
        <v>0.19</v>
      </c>
      <c r="T1235" s="381"/>
      <c r="U1235" s="381"/>
      <c r="V1235" s="382">
        <v>253.19</v>
      </c>
      <c r="W1235" s="382">
        <v>0</v>
      </c>
      <c r="X1235" s="381">
        <v>0.10583333333333333</v>
      </c>
      <c r="Y1235" s="381">
        <v>0.10541666666666667</v>
      </c>
      <c r="Z1235" s="381">
        <v>7.9166666666666662E-5</v>
      </c>
      <c r="AA1235" s="381">
        <v>0</v>
      </c>
      <c r="AB1235" s="381">
        <v>0</v>
      </c>
      <c r="AC1235" s="382">
        <v>0.10549583333333334</v>
      </c>
      <c r="AD1235" s="382">
        <v>0</v>
      </c>
      <c r="AE1235" s="381" t="s">
        <v>168</v>
      </c>
    </row>
    <row r="1236" spans="1:31" ht="15" customHeight="1" x14ac:dyDescent="0.25">
      <c r="A1236" s="20" t="s">
        <v>156</v>
      </c>
      <c r="B1236" s="20" t="s">
        <v>1450</v>
      </c>
      <c r="C1236" s="20" t="s">
        <v>1451</v>
      </c>
      <c r="D1236" s="378" t="s">
        <v>1825</v>
      </c>
      <c r="E1236" s="379">
        <v>44816</v>
      </c>
      <c r="F1236" s="379">
        <v>46642</v>
      </c>
      <c r="G1236" s="383" t="s">
        <v>185</v>
      </c>
      <c r="H1236" s="20" t="s">
        <v>186</v>
      </c>
      <c r="I1236" s="20" t="s">
        <v>162</v>
      </c>
      <c r="J1236" s="20" t="s">
        <v>163</v>
      </c>
      <c r="K1236" s="378" t="s">
        <v>187</v>
      </c>
      <c r="L1236" s="20" t="s">
        <v>165</v>
      </c>
      <c r="M1236" s="380">
        <v>2400</v>
      </c>
      <c r="N1236" s="380"/>
      <c r="O1236" s="380"/>
      <c r="P1236" s="380"/>
      <c r="Q1236" s="381" t="s">
        <v>1797</v>
      </c>
      <c r="R1236" s="381" t="s">
        <v>1798</v>
      </c>
      <c r="S1236" s="381" t="s">
        <v>957</v>
      </c>
      <c r="T1236" s="381"/>
      <c r="U1236" s="381"/>
      <c r="V1236" s="382">
        <v>225.25</v>
      </c>
      <c r="W1236" s="382">
        <v>0</v>
      </c>
      <c r="X1236" s="381">
        <v>9.4166666666666662E-2</v>
      </c>
      <c r="Y1236" s="381">
        <v>9.375E-2</v>
      </c>
      <c r="Z1236" s="381">
        <v>1.0416666666666667E-4</v>
      </c>
      <c r="AA1236" s="381">
        <v>0</v>
      </c>
      <c r="AB1236" s="381">
        <v>0</v>
      </c>
      <c r="AC1236" s="382">
        <v>9.3854166666666669E-2</v>
      </c>
      <c r="AD1236" s="382">
        <v>0</v>
      </c>
      <c r="AE1236" s="381" t="s">
        <v>168</v>
      </c>
    </row>
    <row r="1237" spans="1:31" ht="15" customHeight="1" x14ac:dyDescent="0.25">
      <c r="A1237" s="20" t="s">
        <v>156</v>
      </c>
      <c r="B1237" s="20" t="s">
        <v>1450</v>
      </c>
      <c r="C1237" s="20" t="s">
        <v>1451</v>
      </c>
      <c r="D1237" s="378" t="s">
        <v>1826</v>
      </c>
      <c r="E1237" s="379">
        <v>44816</v>
      </c>
      <c r="F1237" s="379">
        <v>46642</v>
      </c>
      <c r="G1237" s="383" t="s">
        <v>185</v>
      </c>
      <c r="H1237" s="20" t="s">
        <v>186</v>
      </c>
      <c r="I1237" s="20" t="s">
        <v>162</v>
      </c>
      <c r="J1237" s="20" t="s">
        <v>163</v>
      </c>
      <c r="K1237" s="378" t="s">
        <v>187</v>
      </c>
      <c r="L1237" s="20" t="s">
        <v>165</v>
      </c>
      <c r="M1237" s="380">
        <v>2400</v>
      </c>
      <c r="N1237" s="380"/>
      <c r="O1237" s="380"/>
      <c r="P1237" s="380"/>
      <c r="Q1237" s="381" t="s">
        <v>762</v>
      </c>
      <c r="R1237" s="381" t="s">
        <v>1827</v>
      </c>
      <c r="S1237" s="381" t="s">
        <v>551</v>
      </c>
      <c r="T1237" s="381"/>
      <c r="U1237" s="381"/>
      <c r="V1237" s="382">
        <v>215.23</v>
      </c>
      <c r="W1237" s="382">
        <v>0</v>
      </c>
      <c r="X1237" s="381">
        <v>0.09</v>
      </c>
      <c r="Y1237" s="381">
        <v>8.9583333333333334E-2</v>
      </c>
      <c r="Z1237" s="381">
        <v>9.5833333333333336E-5</v>
      </c>
      <c r="AA1237" s="381">
        <v>0</v>
      </c>
      <c r="AB1237" s="381">
        <v>0</v>
      </c>
      <c r="AC1237" s="382">
        <v>8.9679166666666671E-2</v>
      </c>
      <c r="AD1237" s="382">
        <v>0</v>
      </c>
      <c r="AE1237" s="381" t="s">
        <v>168</v>
      </c>
    </row>
    <row r="1238" spans="1:31" ht="15" customHeight="1" x14ac:dyDescent="0.25">
      <c r="A1238" s="20" t="s">
        <v>156</v>
      </c>
      <c r="B1238" s="20" t="s">
        <v>1450</v>
      </c>
      <c r="C1238" s="20" t="s">
        <v>1451</v>
      </c>
      <c r="D1238" s="378" t="s">
        <v>1828</v>
      </c>
      <c r="E1238" s="379">
        <v>45016</v>
      </c>
      <c r="F1238" s="379">
        <v>46843</v>
      </c>
      <c r="G1238" s="378" t="s">
        <v>179</v>
      </c>
      <c r="H1238" s="20" t="s">
        <v>202</v>
      </c>
      <c r="I1238" s="20" t="s">
        <v>162</v>
      </c>
      <c r="J1238" s="20" t="s">
        <v>163</v>
      </c>
      <c r="K1238" s="378" t="s">
        <v>203</v>
      </c>
      <c r="L1238" s="20" t="s">
        <v>165</v>
      </c>
      <c r="M1238" s="380">
        <v>2400</v>
      </c>
      <c r="N1238" s="380"/>
      <c r="O1238" s="380"/>
      <c r="P1238" s="380"/>
      <c r="Q1238" s="381">
        <v>211</v>
      </c>
      <c r="R1238" s="381">
        <v>210</v>
      </c>
      <c r="S1238" s="381">
        <v>0.19</v>
      </c>
      <c r="T1238" s="381"/>
      <c r="U1238" s="381"/>
      <c r="V1238" s="382">
        <v>210.19</v>
      </c>
      <c r="W1238" s="382">
        <v>0</v>
      </c>
      <c r="X1238" s="381">
        <v>8.7916666666666671E-2</v>
      </c>
      <c r="Y1238" s="381">
        <v>8.7499999999999994E-2</v>
      </c>
      <c r="Z1238" s="381">
        <v>7.9166666666666662E-5</v>
      </c>
      <c r="AA1238" s="381">
        <v>0</v>
      </c>
      <c r="AB1238" s="381">
        <v>0</v>
      </c>
      <c r="AC1238" s="382">
        <v>8.7579166666666666E-2</v>
      </c>
      <c r="AD1238" s="382">
        <v>0</v>
      </c>
      <c r="AE1238" s="381" t="s">
        <v>168</v>
      </c>
    </row>
    <row r="1239" spans="1:31" ht="15" customHeight="1" x14ac:dyDescent="0.25">
      <c r="A1239" s="20" t="s">
        <v>156</v>
      </c>
      <c r="B1239" s="20" t="s">
        <v>1450</v>
      </c>
      <c r="C1239" s="20" t="s">
        <v>1451</v>
      </c>
      <c r="D1239" s="378" t="s">
        <v>1829</v>
      </c>
      <c r="E1239" s="379">
        <v>44294</v>
      </c>
      <c r="F1239" s="379">
        <v>46120</v>
      </c>
      <c r="G1239" s="378" t="s">
        <v>219</v>
      </c>
      <c r="H1239" s="20" t="s">
        <v>220</v>
      </c>
      <c r="I1239" s="20" t="s">
        <v>162</v>
      </c>
      <c r="J1239" s="20" t="s">
        <v>163</v>
      </c>
      <c r="K1239" s="378" t="s">
        <v>221</v>
      </c>
      <c r="L1239" s="20" t="s">
        <v>165</v>
      </c>
      <c r="M1239" s="380">
        <v>2400</v>
      </c>
      <c r="N1239" s="380"/>
      <c r="O1239" s="380"/>
      <c r="P1239" s="380"/>
      <c r="Q1239" s="381" t="s">
        <v>966</v>
      </c>
      <c r="R1239" s="380" t="s">
        <v>1007</v>
      </c>
      <c r="S1239" s="381" t="s">
        <v>211</v>
      </c>
      <c r="T1239" s="381"/>
      <c r="U1239" s="381"/>
      <c r="V1239" s="382">
        <v>202.17</v>
      </c>
      <c r="W1239" s="382">
        <v>0</v>
      </c>
      <c r="X1239" s="381">
        <v>8.458333333333333E-2</v>
      </c>
      <c r="Y1239" s="381">
        <v>8.4166666666666667E-2</v>
      </c>
      <c r="Z1239" s="381">
        <v>7.0833333333333338E-5</v>
      </c>
      <c r="AA1239" s="381">
        <v>0</v>
      </c>
      <c r="AB1239" s="381">
        <v>0</v>
      </c>
      <c r="AC1239" s="382">
        <v>8.4237500000000007E-2</v>
      </c>
      <c r="AD1239" s="382">
        <v>0</v>
      </c>
      <c r="AE1239" s="381" t="s">
        <v>168</v>
      </c>
    </row>
    <row r="1240" spans="1:31" ht="15" customHeight="1" x14ac:dyDescent="0.25">
      <c r="A1240" s="20" t="s">
        <v>156</v>
      </c>
      <c r="B1240" s="20" t="s">
        <v>1450</v>
      </c>
      <c r="C1240" s="20" t="s">
        <v>1451</v>
      </c>
      <c r="D1240" s="378" t="s">
        <v>1830</v>
      </c>
      <c r="E1240" s="384">
        <v>44613</v>
      </c>
      <c r="F1240" s="384">
        <v>46439</v>
      </c>
      <c r="G1240" s="378" t="s">
        <v>439</v>
      </c>
      <c r="H1240" s="20" t="s">
        <v>455</v>
      </c>
      <c r="I1240" s="378" t="s">
        <v>168</v>
      </c>
      <c r="J1240" s="20" t="s">
        <v>163</v>
      </c>
      <c r="K1240" s="378" t="s">
        <v>456</v>
      </c>
      <c r="L1240" s="378" t="s">
        <v>165</v>
      </c>
      <c r="M1240" s="380">
        <v>2400</v>
      </c>
      <c r="N1240" s="380" t="s">
        <v>443</v>
      </c>
      <c r="O1240" s="380" t="s">
        <v>443</v>
      </c>
      <c r="P1240" s="380" t="s">
        <v>443</v>
      </c>
      <c r="Q1240" s="381">
        <v>282</v>
      </c>
      <c r="R1240" s="381">
        <v>0</v>
      </c>
      <c r="S1240" s="381">
        <v>0</v>
      </c>
      <c r="T1240" s="381">
        <v>0</v>
      </c>
      <c r="U1240" s="381">
        <v>0</v>
      </c>
      <c r="V1240" s="382">
        <v>282</v>
      </c>
      <c r="W1240" s="382">
        <v>0</v>
      </c>
      <c r="X1240" s="381">
        <v>0.11749999999999999</v>
      </c>
      <c r="Y1240" s="381">
        <v>0</v>
      </c>
      <c r="Z1240" s="381">
        <v>0</v>
      </c>
      <c r="AA1240" s="381">
        <v>0</v>
      </c>
      <c r="AB1240" s="381">
        <v>0</v>
      </c>
      <c r="AC1240" s="382">
        <v>0.11749999999999999</v>
      </c>
      <c r="AD1240" s="382">
        <v>0</v>
      </c>
      <c r="AE1240" s="381" t="s">
        <v>444</v>
      </c>
    </row>
    <row r="1241" spans="1:31" ht="15" customHeight="1" x14ac:dyDescent="0.25">
      <c r="A1241" s="20" t="s">
        <v>156</v>
      </c>
      <c r="B1241" s="20" t="s">
        <v>1450</v>
      </c>
      <c r="C1241" s="20" t="s">
        <v>1451</v>
      </c>
      <c r="D1241" s="378" t="s">
        <v>1831</v>
      </c>
      <c r="E1241" s="384">
        <v>44613</v>
      </c>
      <c r="F1241" s="384">
        <v>46439</v>
      </c>
      <c r="G1241" s="378" t="s">
        <v>439</v>
      </c>
      <c r="H1241" s="20" t="s">
        <v>455</v>
      </c>
      <c r="I1241" s="378" t="s">
        <v>168</v>
      </c>
      <c r="J1241" s="20" t="s">
        <v>163</v>
      </c>
      <c r="K1241" s="378" t="s">
        <v>456</v>
      </c>
      <c r="L1241" s="378" t="s">
        <v>165</v>
      </c>
      <c r="M1241" s="380">
        <v>2400</v>
      </c>
      <c r="N1241" s="380" t="s">
        <v>443</v>
      </c>
      <c r="O1241" s="380" t="s">
        <v>443</v>
      </c>
      <c r="P1241" s="380" t="s">
        <v>443</v>
      </c>
      <c r="Q1241" s="381">
        <v>270</v>
      </c>
      <c r="R1241" s="381">
        <v>0</v>
      </c>
      <c r="S1241" s="381">
        <v>0</v>
      </c>
      <c r="T1241" s="381">
        <v>0</v>
      </c>
      <c r="U1241" s="381">
        <v>0</v>
      </c>
      <c r="V1241" s="382">
        <v>270</v>
      </c>
      <c r="W1241" s="382">
        <v>0</v>
      </c>
      <c r="X1241" s="381">
        <v>0.1125</v>
      </c>
      <c r="Y1241" s="381">
        <v>0</v>
      </c>
      <c r="Z1241" s="381">
        <v>0</v>
      </c>
      <c r="AA1241" s="381">
        <v>0</v>
      </c>
      <c r="AB1241" s="381">
        <v>0</v>
      </c>
      <c r="AC1241" s="382">
        <v>0.1125</v>
      </c>
      <c r="AD1241" s="382">
        <v>0</v>
      </c>
      <c r="AE1241" s="381" t="s">
        <v>444</v>
      </c>
    </row>
    <row r="1242" spans="1:31" ht="15" customHeight="1" x14ac:dyDescent="0.25">
      <c r="A1242" s="20" t="s">
        <v>156</v>
      </c>
      <c r="B1242" s="20" t="s">
        <v>1450</v>
      </c>
      <c r="C1242" s="20" t="s">
        <v>1451</v>
      </c>
      <c r="D1242" s="378" t="s">
        <v>1832</v>
      </c>
      <c r="E1242" s="384">
        <v>44613</v>
      </c>
      <c r="F1242" s="384">
        <v>46439</v>
      </c>
      <c r="G1242" s="378" t="s">
        <v>439</v>
      </c>
      <c r="H1242" s="20" t="s">
        <v>455</v>
      </c>
      <c r="I1242" s="378" t="s">
        <v>168</v>
      </c>
      <c r="J1242" s="20" t="s">
        <v>163</v>
      </c>
      <c r="K1242" s="378" t="s">
        <v>456</v>
      </c>
      <c r="L1242" s="378" t="s">
        <v>165</v>
      </c>
      <c r="M1242" s="380">
        <v>2400</v>
      </c>
      <c r="N1242" s="380" t="s">
        <v>443</v>
      </c>
      <c r="O1242" s="380" t="s">
        <v>443</v>
      </c>
      <c r="P1242" s="380" t="s">
        <v>443</v>
      </c>
      <c r="Q1242" s="381">
        <v>288</v>
      </c>
      <c r="R1242" s="381">
        <v>0</v>
      </c>
      <c r="S1242" s="381">
        <v>0</v>
      </c>
      <c r="T1242" s="381">
        <v>0</v>
      </c>
      <c r="U1242" s="381">
        <v>0</v>
      </c>
      <c r="V1242" s="382">
        <v>288</v>
      </c>
      <c r="W1242" s="382">
        <v>0</v>
      </c>
      <c r="X1242" s="381">
        <v>0.12</v>
      </c>
      <c r="Y1242" s="381">
        <v>0</v>
      </c>
      <c r="Z1242" s="381">
        <v>0</v>
      </c>
      <c r="AA1242" s="381">
        <v>0</v>
      </c>
      <c r="AB1242" s="381">
        <v>0</v>
      </c>
      <c r="AC1242" s="382">
        <v>0.12</v>
      </c>
      <c r="AD1242" s="382">
        <v>0</v>
      </c>
      <c r="AE1242" s="381" t="s">
        <v>444</v>
      </c>
    </row>
    <row r="1243" spans="1:31" ht="15" customHeight="1" x14ac:dyDescent="0.25">
      <c r="A1243" s="20" t="s">
        <v>156</v>
      </c>
      <c r="B1243" s="20" t="s">
        <v>1450</v>
      </c>
      <c r="C1243" s="20" t="s">
        <v>1451</v>
      </c>
      <c r="D1243" s="378" t="s">
        <v>1833</v>
      </c>
      <c r="E1243" s="384">
        <v>44613</v>
      </c>
      <c r="F1243" s="384">
        <v>46439</v>
      </c>
      <c r="G1243" s="378" t="s">
        <v>439</v>
      </c>
      <c r="H1243" s="20" t="s">
        <v>455</v>
      </c>
      <c r="I1243" s="378" t="s">
        <v>168</v>
      </c>
      <c r="J1243" s="20" t="s">
        <v>163</v>
      </c>
      <c r="K1243" s="378" t="s">
        <v>456</v>
      </c>
      <c r="L1243" s="378" t="s">
        <v>165</v>
      </c>
      <c r="M1243" s="380">
        <v>2400</v>
      </c>
      <c r="N1243" s="380" t="s">
        <v>443</v>
      </c>
      <c r="O1243" s="380" t="s">
        <v>443</v>
      </c>
      <c r="P1243" s="380" t="s">
        <v>443</v>
      </c>
      <c r="Q1243" s="381">
        <v>322</v>
      </c>
      <c r="R1243" s="381">
        <v>0</v>
      </c>
      <c r="S1243" s="381">
        <v>0</v>
      </c>
      <c r="T1243" s="381">
        <v>0</v>
      </c>
      <c r="U1243" s="381">
        <v>0</v>
      </c>
      <c r="V1243" s="382">
        <v>322</v>
      </c>
      <c r="W1243" s="382">
        <v>0</v>
      </c>
      <c r="X1243" s="381">
        <v>0.13416666666666666</v>
      </c>
      <c r="Y1243" s="381">
        <v>0</v>
      </c>
      <c r="Z1243" s="381">
        <v>0</v>
      </c>
      <c r="AA1243" s="381">
        <v>0</v>
      </c>
      <c r="AB1243" s="381">
        <v>0</v>
      </c>
      <c r="AC1243" s="382">
        <v>0.13416666666666666</v>
      </c>
      <c r="AD1243" s="382">
        <v>0</v>
      </c>
      <c r="AE1243" s="381" t="s">
        <v>444</v>
      </c>
    </row>
    <row r="1244" spans="1:31" ht="15" customHeight="1" x14ac:dyDescent="0.25">
      <c r="A1244" s="20" t="s">
        <v>156</v>
      </c>
      <c r="B1244" s="20" t="s">
        <v>1450</v>
      </c>
      <c r="C1244" s="20" t="s">
        <v>1451</v>
      </c>
      <c r="D1244" s="378" t="s">
        <v>1834</v>
      </c>
      <c r="E1244" s="384">
        <v>44613</v>
      </c>
      <c r="F1244" s="384">
        <v>46439</v>
      </c>
      <c r="G1244" s="378" t="s">
        <v>439</v>
      </c>
      <c r="H1244" s="20" t="s">
        <v>455</v>
      </c>
      <c r="I1244" s="378" t="s">
        <v>168</v>
      </c>
      <c r="J1244" s="20" t="s">
        <v>163</v>
      </c>
      <c r="K1244" s="378" t="s">
        <v>456</v>
      </c>
      <c r="L1244" s="378" t="s">
        <v>165</v>
      </c>
      <c r="M1244" s="380">
        <v>2400</v>
      </c>
      <c r="N1244" s="380" t="s">
        <v>443</v>
      </c>
      <c r="O1244" s="380" t="s">
        <v>443</v>
      </c>
      <c r="P1244" s="380" t="s">
        <v>443</v>
      </c>
      <c r="Q1244" s="381">
        <v>369</v>
      </c>
      <c r="R1244" s="381">
        <v>0</v>
      </c>
      <c r="S1244" s="381">
        <v>0</v>
      </c>
      <c r="T1244" s="381">
        <v>0</v>
      </c>
      <c r="U1244" s="381">
        <v>0</v>
      </c>
      <c r="V1244" s="382">
        <v>369</v>
      </c>
      <c r="W1244" s="382">
        <v>0</v>
      </c>
      <c r="X1244" s="381">
        <v>0.15375</v>
      </c>
      <c r="Y1244" s="381">
        <v>0</v>
      </c>
      <c r="Z1244" s="381">
        <v>0</v>
      </c>
      <c r="AA1244" s="381">
        <v>0</v>
      </c>
      <c r="AB1244" s="381">
        <v>0</v>
      </c>
      <c r="AC1244" s="382">
        <v>0.15375</v>
      </c>
      <c r="AD1244" s="382">
        <v>0</v>
      </c>
      <c r="AE1244" s="381" t="s">
        <v>444</v>
      </c>
    </row>
    <row r="1245" spans="1:31" ht="15" customHeight="1" x14ac:dyDescent="0.25">
      <c r="A1245" s="20" t="s">
        <v>156</v>
      </c>
      <c r="B1245" s="20" t="s">
        <v>1450</v>
      </c>
      <c r="C1245" s="20" t="s">
        <v>1451</v>
      </c>
      <c r="D1245" s="378" t="s">
        <v>1835</v>
      </c>
      <c r="E1245" s="384">
        <v>44613</v>
      </c>
      <c r="F1245" s="384">
        <v>46439</v>
      </c>
      <c r="G1245" s="378" t="s">
        <v>439</v>
      </c>
      <c r="H1245" s="20" t="s">
        <v>455</v>
      </c>
      <c r="I1245" s="378" t="s">
        <v>168</v>
      </c>
      <c r="J1245" s="20" t="s">
        <v>163</v>
      </c>
      <c r="K1245" s="378" t="s">
        <v>456</v>
      </c>
      <c r="L1245" s="378" t="s">
        <v>165</v>
      </c>
      <c r="M1245" s="380">
        <v>2400</v>
      </c>
      <c r="N1245" s="380" t="s">
        <v>443</v>
      </c>
      <c r="O1245" s="380" t="s">
        <v>443</v>
      </c>
      <c r="P1245" s="380" t="s">
        <v>443</v>
      </c>
      <c r="Q1245" s="381">
        <v>387</v>
      </c>
      <c r="R1245" s="381">
        <v>0</v>
      </c>
      <c r="S1245" s="381">
        <v>0</v>
      </c>
      <c r="T1245" s="381">
        <v>0</v>
      </c>
      <c r="U1245" s="381">
        <v>0</v>
      </c>
      <c r="V1245" s="382">
        <v>387</v>
      </c>
      <c r="W1245" s="382">
        <v>0</v>
      </c>
      <c r="X1245" s="381">
        <v>0.16125</v>
      </c>
      <c r="Y1245" s="381">
        <v>0</v>
      </c>
      <c r="Z1245" s="381">
        <v>0</v>
      </c>
      <c r="AA1245" s="381">
        <v>0</v>
      </c>
      <c r="AB1245" s="381">
        <v>0</v>
      </c>
      <c r="AC1245" s="382">
        <v>0.16125</v>
      </c>
      <c r="AD1245" s="382">
        <v>0</v>
      </c>
      <c r="AE1245" s="381" t="s">
        <v>444</v>
      </c>
    </row>
    <row r="1246" spans="1:31" ht="15" customHeight="1" x14ac:dyDescent="0.25">
      <c r="A1246" s="20" t="s">
        <v>156</v>
      </c>
      <c r="B1246" s="20" t="s">
        <v>1450</v>
      </c>
      <c r="C1246" s="20" t="s">
        <v>1451</v>
      </c>
      <c r="D1246" s="378" t="s">
        <v>1836</v>
      </c>
      <c r="E1246" s="384">
        <v>44613</v>
      </c>
      <c r="F1246" s="384">
        <v>46439</v>
      </c>
      <c r="G1246" s="378" t="s">
        <v>439</v>
      </c>
      <c r="H1246" s="20" t="s">
        <v>455</v>
      </c>
      <c r="I1246" s="378" t="s">
        <v>168</v>
      </c>
      <c r="J1246" s="20" t="s">
        <v>163</v>
      </c>
      <c r="K1246" s="378" t="s">
        <v>456</v>
      </c>
      <c r="L1246" s="378" t="s">
        <v>165</v>
      </c>
      <c r="M1246" s="380">
        <v>2400</v>
      </c>
      <c r="N1246" s="380" t="s">
        <v>443</v>
      </c>
      <c r="O1246" s="380" t="s">
        <v>443</v>
      </c>
      <c r="P1246" s="380" t="s">
        <v>443</v>
      </c>
      <c r="Q1246" s="381">
        <v>360</v>
      </c>
      <c r="R1246" s="381">
        <v>0</v>
      </c>
      <c r="S1246" s="381">
        <v>0</v>
      </c>
      <c r="T1246" s="381">
        <v>0</v>
      </c>
      <c r="U1246" s="381">
        <v>0</v>
      </c>
      <c r="V1246" s="382">
        <v>360</v>
      </c>
      <c r="W1246" s="382">
        <v>0</v>
      </c>
      <c r="X1246" s="381">
        <v>0.15</v>
      </c>
      <c r="Y1246" s="381">
        <v>0</v>
      </c>
      <c r="Z1246" s="381">
        <v>0</v>
      </c>
      <c r="AA1246" s="381">
        <v>0</v>
      </c>
      <c r="AB1246" s="381">
        <v>0</v>
      </c>
      <c r="AC1246" s="382">
        <v>0.15</v>
      </c>
      <c r="AD1246" s="382">
        <v>0</v>
      </c>
      <c r="AE1246" s="381" t="s">
        <v>444</v>
      </c>
    </row>
    <row r="1247" spans="1:31" ht="15" customHeight="1" x14ac:dyDescent="0.25">
      <c r="A1247" s="20" t="s">
        <v>156</v>
      </c>
      <c r="B1247" s="20" t="s">
        <v>1450</v>
      </c>
      <c r="C1247" s="20" t="s">
        <v>1451</v>
      </c>
      <c r="D1247" s="378" t="s">
        <v>1837</v>
      </c>
      <c r="E1247" s="384">
        <v>44613</v>
      </c>
      <c r="F1247" s="384">
        <v>46439</v>
      </c>
      <c r="G1247" s="378" t="s">
        <v>439</v>
      </c>
      <c r="H1247" s="20" t="s">
        <v>455</v>
      </c>
      <c r="I1247" s="378" t="s">
        <v>168</v>
      </c>
      <c r="J1247" s="20" t="s">
        <v>163</v>
      </c>
      <c r="K1247" s="378" t="s">
        <v>456</v>
      </c>
      <c r="L1247" s="378" t="s">
        <v>165</v>
      </c>
      <c r="M1247" s="380">
        <v>2400</v>
      </c>
      <c r="N1247" s="380" t="s">
        <v>443</v>
      </c>
      <c r="O1247" s="380" t="s">
        <v>443</v>
      </c>
      <c r="P1247" s="380" t="s">
        <v>443</v>
      </c>
      <c r="Q1247" s="381">
        <v>343</v>
      </c>
      <c r="R1247" s="381">
        <v>0</v>
      </c>
      <c r="S1247" s="381">
        <v>0</v>
      </c>
      <c r="T1247" s="381">
        <v>0</v>
      </c>
      <c r="U1247" s="381">
        <v>0</v>
      </c>
      <c r="V1247" s="382">
        <v>343</v>
      </c>
      <c r="W1247" s="382">
        <v>0</v>
      </c>
      <c r="X1247" s="381">
        <v>0.14291666666666666</v>
      </c>
      <c r="Y1247" s="381">
        <v>0</v>
      </c>
      <c r="Z1247" s="381">
        <v>0</v>
      </c>
      <c r="AA1247" s="381">
        <v>0</v>
      </c>
      <c r="AB1247" s="381">
        <v>0</v>
      </c>
      <c r="AC1247" s="382">
        <v>0.14291666666666666</v>
      </c>
      <c r="AD1247" s="382">
        <v>0</v>
      </c>
      <c r="AE1247" s="381" t="s">
        <v>444</v>
      </c>
    </row>
    <row r="1248" spans="1:31" ht="15" customHeight="1" x14ac:dyDescent="0.25">
      <c r="A1248" s="20" t="s">
        <v>156</v>
      </c>
      <c r="B1248" s="20" t="s">
        <v>1450</v>
      </c>
      <c r="C1248" s="20" t="s">
        <v>1451</v>
      </c>
      <c r="D1248" s="378" t="s">
        <v>1838</v>
      </c>
      <c r="E1248" s="384">
        <v>45596</v>
      </c>
      <c r="F1248" s="384">
        <v>46235</v>
      </c>
      <c r="G1248" s="378" t="s">
        <v>439</v>
      </c>
      <c r="H1248" s="20" t="s">
        <v>465</v>
      </c>
      <c r="I1248" s="378" t="s">
        <v>441</v>
      </c>
      <c r="J1248" s="20" t="s">
        <v>163</v>
      </c>
      <c r="K1248" s="378" t="s">
        <v>466</v>
      </c>
      <c r="L1248" s="378" t="s">
        <v>165</v>
      </c>
      <c r="M1248" s="380">
        <v>2400</v>
      </c>
      <c r="N1248" s="380" t="s">
        <v>443</v>
      </c>
      <c r="O1248" s="380" t="s">
        <v>443</v>
      </c>
      <c r="P1248" s="380" t="s">
        <v>443</v>
      </c>
      <c r="Q1248" s="381">
        <v>239</v>
      </c>
      <c r="R1248" s="381">
        <v>0</v>
      </c>
      <c r="S1248" s="381">
        <v>0</v>
      </c>
      <c r="T1248" s="381">
        <v>0</v>
      </c>
      <c r="U1248" s="381">
        <v>0</v>
      </c>
      <c r="V1248" s="382">
        <v>239</v>
      </c>
      <c r="W1248" s="382">
        <v>0</v>
      </c>
      <c r="X1248" s="381">
        <v>9.9583333333333329E-2</v>
      </c>
      <c r="Y1248" s="381">
        <v>0</v>
      </c>
      <c r="Z1248" s="381">
        <v>0</v>
      </c>
      <c r="AA1248" s="381">
        <v>0</v>
      </c>
      <c r="AB1248" s="381">
        <v>0</v>
      </c>
      <c r="AC1248" s="382">
        <v>9.9583333333333329E-2</v>
      </c>
      <c r="AD1248" s="382">
        <v>0</v>
      </c>
      <c r="AE1248" s="381" t="s">
        <v>444</v>
      </c>
    </row>
    <row r="1249" spans="1:31" ht="15" customHeight="1" x14ac:dyDescent="0.25">
      <c r="A1249" s="20" t="s">
        <v>156</v>
      </c>
      <c r="B1249" s="20" t="s">
        <v>1450</v>
      </c>
      <c r="C1249" s="20" t="s">
        <v>1451</v>
      </c>
      <c r="D1249" s="378" t="s">
        <v>1839</v>
      </c>
      <c r="E1249" s="384">
        <v>45596</v>
      </c>
      <c r="F1249" s="384">
        <v>46235</v>
      </c>
      <c r="G1249" s="378" t="s">
        <v>439</v>
      </c>
      <c r="H1249" s="20" t="s">
        <v>465</v>
      </c>
      <c r="I1249" s="378" t="s">
        <v>441</v>
      </c>
      <c r="J1249" s="20" t="s">
        <v>163</v>
      </c>
      <c r="K1249" s="378" t="s">
        <v>466</v>
      </c>
      <c r="L1249" s="378" t="s">
        <v>165</v>
      </c>
      <c r="M1249" s="380">
        <v>2400</v>
      </c>
      <c r="N1249" s="380" t="s">
        <v>443</v>
      </c>
      <c r="O1249" s="380" t="s">
        <v>443</v>
      </c>
      <c r="P1249" s="380" t="s">
        <v>443</v>
      </c>
      <c r="Q1249" s="381">
        <v>258</v>
      </c>
      <c r="R1249" s="381">
        <v>0</v>
      </c>
      <c r="S1249" s="381">
        <v>0</v>
      </c>
      <c r="T1249" s="381">
        <v>0</v>
      </c>
      <c r="U1249" s="381">
        <v>0</v>
      </c>
      <c r="V1249" s="382">
        <v>258</v>
      </c>
      <c r="W1249" s="382">
        <v>0</v>
      </c>
      <c r="X1249" s="381">
        <v>0.1075</v>
      </c>
      <c r="Y1249" s="381">
        <v>0</v>
      </c>
      <c r="Z1249" s="381">
        <v>0</v>
      </c>
      <c r="AA1249" s="381">
        <v>0</v>
      </c>
      <c r="AB1249" s="381">
        <v>0</v>
      </c>
      <c r="AC1249" s="382">
        <v>0.1075</v>
      </c>
      <c r="AD1249" s="382">
        <v>0</v>
      </c>
      <c r="AE1249" s="381" t="s">
        <v>444</v>
      </c>
    </row>
    <row r="1250" spans="1:31" ht="15" customHeight="1" x14ac:dyDescent="0.25">
      <c r="A1250" s="20" t="s">
        <v>156</v>
      </c>
      <c r="B1250" s="20" t="s">
        <v>1450</v>
      </c>
      <c r="C1250" s="20" t="s">
        <v>1451</v>
      </c>
      <c r="D1250" s="378" t="s">
        <v>1840</v>
      </c>
      <c r="E1250" s="384">
        <v>45596</v>
      </c>
      <c r="F1250" s="384">
        <v>46235</v>
      </c>
      <c r="G1250" s="378" t="s">
        <v>439</v>
      </c>
      <c r="H1250" s="20" t="s">
        <v>465</v>
      </c>
      <c r="I1250" s="378" t="s">
        <v>441</v>
      </c>
      <c r="J1250" s="20" t="s">
        <v>163</v>
      </c>
      <c r="K1250" s="378" t="s">
        <v>466</v>
      </c>
      <c r="L1250" s="378" t="s">
        <v>165</v>
      </c>
      <c r="M1250" s="380">
        <v>2400</v>
      </c>
      <c r="N1250" s="380" t="s">
        <v>443</v>
      </c>
      <c r="O1250" s="380" t="s">
        <v>443</v>
      </c>
      <c r="P1250" s="380" t="s">
        <v>443</v>
      </c>
      <c r="Q1250" s="381">
        <v>272</v>
      </c>
      <c r="R1250" s="381">
        <v>0</v>
      </c>
      <c r="S1250" s="381">
        <v>0</v>
      </c>
      <c r="T1250" s="381">
        <v>0</v>
      </c>
      <c r="U1250" s="381">
        <v>0</v>
      </c>
      <c r="V1250" s="382">
        <v>272</v>
      </c>
      <c r="W1250" s="382">
        <v>0</v>
      </c>
      <c r="X1250" s="381">
        <v>0.11333333333333333</v>
      </c>
      <c r="Y1250" s="381">
        <v>0</v>
      </c>
      <c r="Z1250" s="381">
        <v>0</v>
      </c>
      <c r="AA1250" s="381">
        <v>0</v>
      </c>
      <c r="AB1250" s="381">
        <v>0</v>
      </c>
      <c r="AC1250" s="382">
        <v>0.11333333333333333</v>
      </c>
      <c r="AD1250" s="382">
        <v>0</v>
      </c>
      <c r="AE1250" s="381" t="s">
        <v>444</v>
      </c>
    </row>
    <row r="1251" spans="1:31" ht="15" customHeight="1" x14ac:dyDescent="0.25">
      <c r="A1251" s="20" t="s">
        <v>156</v>
      </c>
      <c r="B1251" s="20" t="s">
        <v>1450</v>
      </c>
      <c r="C1251" s="20" t="s">
        <v>1451</v>
      </c>
      <c r="D1251" s="378" t="s">
        <v>1841</v>
      </c>
      <c r="E1251" s="384">
        <v>45596</v>
      </c>
      <c r="F1251" s="384">
        <v>46235</v>
      </c>
      <c r="G1251" s="378" t="s">
        <v>439</v>
      </c>
      <c r="H1251" s="20" t="s">
        <v>465</v>
      </c>
      <c r="I1251" s="378" t="s">
        <v>441</v>
      </c>
      <c r="J1251" s="20" t="s">
        <v>163</v>
      </c>
      <c r="K1251" s="378" t="s">
        <v>466</v>
      </c>
      <c r="L1251" s="378" t="s">
        <v>165</v>
      </c>
      <c r="M1251" s="380">
        <v>2400</v>
      </c>
      <c r="N1251" s="380" t="s">
        <v>443</v>
      </c>
      <c r="O1251" s="380" t="s">
        <v>443</v>
      </c>
      <c r="P1251" s="380" t="s">
        <v>443</v>
      </c>
      <c r="Q1251" s="381">
        <v>272</v>
      </c>
      <c r="R1251" s="381">
        <v>0</v>
      </c>
      <c r="S1251" s="381">
        <v>0</v>
      </c>
      <c r="T1251" s="381">
        <v>0</v>
      </c>
      <c r="U1251" s="381">
        <v>0</v>
      </c>
      <c r="V1251" s="382">
        <v>272</v>
      </c>
      <c r="W1251" s="382">
        <v>0</v>
      </c>
      <c r="X1251" s="381">
        <v>0.11333333333333333</v>
      </c>
      <c r="Y1251" s="381">
        <v>0</v>
      </c>
      <c r="Z1251" s="381">
        <v>0</v>
      </c>
      <c r="AA1251" s="381">
        <v>0</v>
      </c>
      <c r="AB1251" s="381">
        <v>0</v>
      </c>
      <c r="AC1251" s="382">
        <v>0.11333333333333333</v>
      </c>
      <c r="AD1251" s="382">
        <v>0</v>
      </c>
      <c r="AE1251" s="381" t="s">
        <v>444</v>
      </c>
    </row>
    <row r="1252" spans="1:31" ht="15" customHeight="1" x14ac:dyDescent="0.25">
      <c r="A1252" s="20" t="s">
        <v>156</v>
      </c>
      <c r="B1252" s="20" t="s">
        <v>1450</v>
      </c>
      <c r="C1252" s="20" t="s">
        <v>1451</v>
      </c>
      <c r="D1252" s="378" t="s">
        <v>1842</v>
      </c>
      <c r="E1252" s="384">
        <v>45596</v>
      </c>
      <c r="F1252" s="384">
        <v>46235</v>
      </c>
      <c r="G1252" s="378" t="s">
        <v>439</v>
      </c>
      <c r="H1252" s="20" t="s">
        <v>465</v>
      </c>
      <c r="I1252" s="378" t="s">
        <v>441</v>
      </c>
      <c r="J1252" s="20" t="s">
        <v>163</v>
      </c>
      <c r="K1252" s="378" t="s">
        <v>466</v>
      </c>
      <c r="L1252" s="378" t="s">
        <v>165</v>
      </c>
      <c r="M1252" s="380">
        <v>2400</v>
      </c>
      <c r="N1252" s="380" t="s">
        <v>443</v>
      </c>
      <c r="O1252" s="380" t="s">
        <v>443</v>
      </c>
      <c r="P1252" s="380" t="s">
        <v>443</v>
      </c>
      <c r="Q1252" s="381">
        <v>356</v>
      </c>
      <c r="R1252" s="381">
        <v>0</v>
      </c>
      <c r="S1252" s="381">
        <v>0</v>
      </c>
      <c r="T1252" s="381">
        <v>0</v>
      </c>
      <c r="U1252" s="381">
        <v>0</v>
      </c>
      <c r="V1252" s="382">
        <v>356</v>
      </c>
      <c r="W1252" s="382">
        <v>0</v>
      </c>
      <c r="X1252" s="381">
        <v>0.14833333333333334</v>
      </c>
      <c r="Y1252" s="381">
        <v>0</v>
      </c>
      <c r="Z1252" s="381">
        <v>0</v>
      </c>
      <c r="AA1252" s="381">
        <v>0</v>
      </c>
      <c r="AB1252" s="381">
        <v>0</v>
      </c>
      <c r="AC1252" s="382">
        <v>0.14833333333333334</v>
      </c>
      <c r="AD1252" s="382">
        <v>0</v>
      </c>
      <c r="AE1252" s="381" t="s">
        <v>444</v>
      </c>
    </row>
    <row r="1253" spans="1:31" ht="15" customHeight="1" x14ac:dyDescent="0.25">
      <c r="A1253" s="20" t="s">
        <v>156</v>
      </c>
      <c r="B1253" s="20" t="s">
        <v>1450</v>
      </c>
      <c r="C1253" s="20" t="s">
        <v>1451</v>
      </c>
      <c r="D1253" s="378" t="s">
        <v>1843</v>
      </c>
      <c r="E1253" s="384">
        <v>45596</v>
      </c>
      <c r="F1253" s="384">
        <v>46235</v>
      </c>
      <c r="G1253" s="378" t="s">
        <v>439</v>
      </c>
      <c r="H1253" s="20" t="s">
        <v>465</v>
      </c>
      <c r="I1253" s="378" t="s">
        <v>441</v>
      </c>
      <c r="J1253" s="20" t="s">
        <v>163</v>
      </c>
      <c r="K1253" s="378" t="s">
        <v>466</v>
      </c>
      <c r="L1253" s="378" t="s">
        <v>165</v>
      </c>
      <c r="M1253" s="380">
        <v>2400</v>
      </c>
      <c r="N1253" s="380" t="s">
        <v>443</v>
      </c>
      <c r="O1253" s="380" t="s">
        <v>443</v>
      </c>
      <c r="P1253" s="380" t="s">
        <v>443</v>
      </c>
      <c r="Q1253" s="381">
        <v>277</v>
      </c>
      <c r="R1253" s="381">
        <v>0</v>
      </c>
      <c r="S1253" s="381">
        <v>0</v>
      </c>
      <c r="T1253" s="381">
        <v>0</v>
      </c>
      <c r="U1253" s="381">
        <v>0</v>
      </c>
      <c r="V1253" s="382">
        <v>277</v>
      </c>
      <c r="W1253" s="382">
        <v>0</v>
      </c>
      <c r="X1253" s="381">
        <v>0.11541666666666667</v>
      </c>
      <c r="Y1253" s="381">
        <v>0</v>
      </c>
      <c r="Z1253" s="381">
        <v>0</v>
      </c>
      <c r="AA1253" s="381">
        <v>0</v>
      </c>
      <c r="AB1253" s="381">
        <v>0</v>
      </c>
      <c r="AC1253" s="382">
        <v>0.11541666666666667</v>
      </c>
      <c r="AD1253" s="382">
        <v>0</v>
      </c>
      <c r="AE1253" s="381" t="s">
        <v>444</v>
      </c>
    </row>
    <row r="1254" spans="1:31" ht="15" customHeight="1" x14ac:dyDescent="0.25">
      <c r="A1254" s="20" t="s">
        <v>156</v>
      </c>
      <c r="B1254" s="20" t="s">
        <v>1450</v>
      </c>
      <c r="C1254" s="20" t="s">
        <v>1451</v>
      </c>
      <c r="D1254" s="378" t="s">
        <v>1844</v>
      </c>
      <c r="E1254" s="384">
        <v>45321</v>
      </c>
      <c r="F1254" s="384">
        <v>46351</v>
      </c>
      <c r="G1254" s="378" t="s">
        <v>439</v>
      </c>
      <c r="H1254" s="20" t="s">
        <v>802</v>
      </c>
      <c r="I1254" s="378" t="s">
        <v>353</v>
      </c>
      <c r="J1254" s="20" t="s">
        <v>163</v>
      </c>
      <c r="K1254" s="378" t="s">
        <v>803</v>
      </c>
      <c r="L1254" s="378" t="s">
        <v>165</v>
      </c>
      <c r="M1254" s="380">
        <v>2400</v>
      </c>
      <c r="N1254" s="380" t="s">
        <v>443</v>
      </c>
      <c r="O1254" s="380" t="s">
        <v>443</v>
      </c>
      <c r="P1254" s="380" t="s">
        <v>443</v>
      </c>
      <c r="Q1254" s="381">
        <v>259</v>
      </c>
      <c r="R1254" s="381">
        <v>0</v>
      </c>
      <c r="S1254" s="381">
        <v>0</v>
      </c>
      <c r="T1254" s="381">
        <v>0</v>
      </c>
      <c r="U1254" s="381">
        <v>0</v>
      </c>
      <c r="V1254" s="382">
        <v>259</v>
      </c>
      <c r="W1254" s="382">
        <v>0</v>
      </c>
      <c r="X1254" s="381">
        <v>0.10791666666666666</v>
      </c>
      <c r="Y1254" s="381">
        <v>0</v>
      </c>
      <c r="Z1254" s="381">
        <v>0</v>
      </c>
      <c r="AA1254" s="381">
        <v>0</v>
      </c>
      <c r="AB1254" s="381">
        <v>0</v>
      </c>
      <c r="AC1254" s="382">
        <v>0.10791666666666666</v>
      </c>
      <c r="AD1254" s="382">
        <v>0</v>
      </c>
      <c r="AE1254" s="381" t="s">
        <v>444</v>
      </c>
    </row>
    <row r="1255" spans="1:31" ht="15" customHeight="1" x14ac:dyDescent="0.25">
      <c r="A1255" s="20" t="s">
        <v>156</v>
      </c>
      <c r="B1255" s="20" t="s">
        <v>1450</v>
      </c>
      <c r="C1255" s="20" t="s">
        <v>1451</v>
      </c>
      <c r="D1255" s="378" t="s">
        <v>1845</v>
      </c>
      <c r="E1255" s="384">
        <v>45321</v>
      </c>
      <c r="F1255" s="384">
        <v>46351</v>
      </c>
      <c r="G1255" s="378" t="s">
        <v>439</v>
      </c>
      <c r="H1255" s="20" t="s">
        <v>802</v>
      </c>
      <c r="I1255" s="378" t="s">
        <v>353</v>
      </c>
      <c r="J1255" s="20" t="s">
        <v>163</v>
      </c>
      <c r="K1255" s="378" t="s">
        <v>803</v>
      </c>
      <c r="L1255" s="378" t="s">
        <v>165</v>
      </c>
      <c r="M1255" s="380">
        <v>2400</v>
      </c>
      <c r="N1255" s="380" t="s">
        <v>443</v>
      </c>
      <c r="O1255" s="380" t="s">
        <v>443</v>
      </c>
      <c r="P1255" s="380" t="s">
        <v>443</v>
      </c>
      <c r="Q1255" s="381">
        <v>256</v>
      </c>
      <c r="R1255" s="381">
        <v>0</v>
      </c>
      <c r="S1255" s="381">
        <v>0</v>
      </c>
      <c r="T1255" s="381">
        <v>0</v>
      </c>
      <c r="U1255" s="381">
        <v>0</v>
      </c>
      <c r="V1255" s="382">
        <v>256</v>
      </c>
      <c r="W1255" s="382">
        <v>0</v>
      </c>
      <c r="X1255" s="381">
        <v>0.10666666666666667</v>
      </c>
      <c r="Y1255" s="381">
        <v>0</v>
      </c>
      <c r="Z1255" s="381">
        <v>0</v>
      </c>
      <c r="AA1255" s="381">
        <v>0</v>
      </c>
      <c r="AB1255" s="381">
        <v>0</v>
      </c>
      <c r="AC1255" s="382">
        <v>0.10666666666666667</v>
      </c>
      <c r="AD1255" s="382">
        <v>0</v>
      </c>
      <c r="AE1255" s="381" t="s">
        <v>444</v>
      </c>
    </row>
    <row r="1256" spans="1:31" ht="15" customHeight="1" x14ac:dyDescent="0.25">
      <c r="A1256" s="20" t="s">
        <v>156</v>
      </c>
      <c r="B1256" s="20" t="s">
        <v>1450</v>
      </c>
      <c r="C1256" s="20" t="s">
        <v>1451</v>
      </c>
      <c r="D1256" s="378" t="s">
        <v>1846</v>
      </c>
      <c r="E1256" s="384">
        <v>45321</v>
      </c>
      <c r="F1256" s="384">
        <v>46351</v>
      </c>
      <c r="G1256" s="378" t="s">
        <v>439</v>
      </c>
      <c r="H1256" s="20" t="s">
        <v>802</v>
      </c>
      <c r="I1256" s="378" t="s">
        <v>353</v>
      </c>
      <c r="J1256" s="20" t="s">
        <v>163</v>
      </c>
      <c r="K1256" s="378" t="s">
        <v>803</v>
      </c>
      <c r="L1256" s="378" t="s">
        <v>165</v>
      </c>
      <c r="M1256" s="380">
        <v>2400</v>
      </c>
      <c r="N1256" s="380" t="s">
        <v>443</v>
      </c>
      <c r="O1256" s="380" t="s">
        <v>443</v>
      </c>
      <c r="P1256" s="380" t="s">
        <v>443</v>
      </c>
      <c r="Q1256" s="381">
        <v>280</v>
      </c>
      <c r="R1256" s="381">
        <v>0</v>
      </c>
      <c r="S1256" s="381">
        <v>0</v>
      </c>
      <c r="T1256" s="381">
        <v>0</v>
      </c>
      <c r="U1256" s="381">
        <v>0</v>
      </c>
      <c r="V1256" s="382">
        <v>280</v>
      </c>
      <c r="W1256" s="382">
        <v>0</v>
      </c>
      <c r="X1256" s="381">
        <v>0.11666666666666667</v>
      </c>
      <c r="Y1256" s="381">
        <v>0</v>
      </c>
      <c r="Z1256" s="381">
        <v>0</v>
      </c>
      <c r="AA1256" s="381">
        <v>0</v>
      </c>
      <c r="AB1256" s="381">
        <v>0</v>
      </c>
      <c r="AC1256" s="382">
        <v>0.11666666666666667</v>
      </c>
      <c r="AD1256" s="382">
        <v>0</v>
      </c>
      <c r="AE1256" s="381" t="s">
        <v>444</v>
      </c>
    </row>
    <row r="1257" spans="1:31" ht="15" customHeight="1" x14ac:dyDescent="0.25">
      <c r="A1257" s="20" t="s">
        <v>156</v>
      </c>
      <c r="B1257" s="20" t="s">
        <v>1450</v>
      </c>
      <c r="C1257" s="20" t="s">
        <v>1451</v>
      </c>
      <c r="D1257" s="378" t="s">
        <v>1847</v>
      </c>
      <c r="E1257" s="384">
        <v>45321</v>
      </c>
      <c r="F1257" s="384">
        <v>46351</v>
      </c>
      <c r="G1257" s="378" t="s">
        <v>439</v>
      </c>
      <c r="H1257" s="20" t="s">
        <v>802</v>
      </c>
      <c r="I1257" s="378" t="s">
        <v>353</v>
      </c>
      <c r="J1257" s="20" t="s">
        <v>163</v>
      </c>
      <c r="K1257" s="378" t="s">
        <v>803</v>
      </c>
      <c r="L1257" s="378" t="s">
        <v>165</v>
      </c>
      <c r="M1257" s="380">
        <v>2400</v>
      </c>
      <c r="N1257" s="380" t="s">
        <v>443</v>
      </c>
      <c r="O1257" s="380" t="s">
        <v>443</v>
      </c>
      <c r="P1257" s="380" t="s">
        <v>443</v>
      </c>
      <c r="Q1257" s="381">
        <v>335</v>
      </c>
      <c r="R1257" s="381">
        <v>0</v>
      </c>
      <c r="S1257" s="381">
        <v>0</v>
      </c>
      <c r="T1257" s="381">
        <v>0</v>
      </c>
      <c r="U1257" s="381">
        <v>0</v>
      </c>
      <c r="V1257" s="382">
        <v>335</v>
      </c>
      <c r="W1257" s="382">
        <v>0</v>
      </c>
      <c r="X1257" s="381">
        <v>0.13958333333333334</v>
      </c>
      <c r="Y1257" s="381">
        <v>0</v>
      </c>
      <c r="Z1257" s="381">
        <v>0</v>
      </c>
      <c r="AA1257" s="381">
        <v>0</v>
      </c>
      <c r="AB1257" s="381">
        <v>0</v>
      </c>
      <c r="AC1257" s="382">
        <v>0.13958333333333334</v>
      </c>
      <c r="AD1257" s="382">
        <v>0</v>
      </c>
      <c r="AE1257" s="381" t="s">
        <v>444</v>
      </c>
    </row>
    <row r="1258" spans="1:31" ht="15" customHeight="1" x14ac:dyDescent="0.25">
      <c r="A1258" s="20" t="s">
        <v>156</v>
      </c>
      <c r="B1258" s="20" t="s">
        <v>1450</v>
      </c>
      <c r="C1258" s="20" t="s">
        <v>1451</v>
      </c>
      <c r="D1258" s="378" t="s">
        <v>1848</v>
      </c>
      <c r="E1258" s="384">
        <v>45321</v>
      </c>
      <c r="F1258" s="384">
        <v>46351</v>
      </c>
      <c r="G1258" s="378" t="s">
        <v>439</v>
      </c>
      <c r="H1258" s="20" t="s">
        <v>802</v>
      </c>
      <c r="I1258" s="378" t="s">
        <v>353</v>
      </c>
      <c r="J1258" s="20" t="s">
        <v>163</v>
      </c>
      <c r="K1258" s="378" t="s">
        <v>803</v>
      </c>
      <c r="L1258" s="378" t="s">
        <v>165</v>
      </c>
      <c r="M1258" s="380">
        <v>2400</v>
      </c>
      <c r="N1258" s="380" t="s">
        <v>443</v>
      </c>
      <c r="O1258" s="380" t="s">
        <v>443</v>
      </c>
      <c r="P1258" s="380" t="s">
        <v>443</v>
      </c>
      <c r="Q1258" s="381">
        <v>415</v>
      </c>
      <c r="R1258" s="381">
        <v>0</v>
      </c>
      <c r="S1258" s="381">
        <v>0</v>
      </c>
      <c r="T1258" s="381">
        <v>0</v>
      </c>
      <c r="U1258" s="381">
        <v>0</v>
      </c>
      <c r="V1258" s="382">
        <v>415</v>
      </c>
      <c r="W1258" s="382">
        <v>0</v>
      </c>
      <c r="X1258" s="381">
        <v>0.17291666666666666</v>
      </c>
      <c r="Y1258" s="381">
        <v>0</v>
      </c>
      <c r="Z1258" s="381">
        <v>0</v>
      </c>
      <c r="AA1258" s="381">
        <v>0</v>
      </c>
      <c r="AB1258" s="381">
        <v>0</v>
      </c>
      <c r="AC1258" s="382">
        <v>0.17291666666666666</v>
      </c>
      <c r="AD1258" s="382">
        <v>0</v>
      </c>
      <c r="AE1258" s="381" t="s">
        <v>444</v>
      </c>
    </row>
    <row r="1259" spans="1:31" ht="15" customHeight="1" x14ac:dyDescent="0.25">
      <c r="A1259" s="20" t="s">
        <v>156</v>
      </c>
      <c r="B1259" s="20" t="s">
        <v>1450</v>
      </c>
      <c r="C1259" s="20" t="s">
        <v>1451</v>
      </c>
      <c r="D1259" s="378" t="s">
        <v>1849</v>
      </c>
      <c r="E1259" s="384">
        <v>44803</v>
      </c>
      <c r="F1259" s="384">
        <v>46619</v>
      </c>
      <c r="G1259" s="378" t="s">
        <v>439</v>
      </c>
      <c r="H1259" s="20" t="s">
        <v>470</v>
      </c>
      <c r="I1259" s="378" t="s">
        <v>168</v>
      </c>
      <c r="J1259" s="20" t="s">
        <v>163</v>
      </c>
      <c r="K1259" s="378" t="s">
        <v>471</v>
      </c>
      <c r="L1259" s="378" t="s">
        <v>165</v>
      </c>
      <c r="M1259" s="380">
        <v>2400</v>
      </c>
      <c r="N1259" s="380" t="s">
        <v>443</v>
      </c>
      <c r="O1259" s="380" t="s">
        <v>443</v>
      </c>
      <c r="P1259" s="380" t="s">
        <v>443</v>
      </c>
      <c r="Q1259" s="381">
        <v>392</v>
      </c>
      <c r="R1259" s="381">
        <v>392</v>
      </c>
      <c r="S1259" s="381">
        <v>5.0999999999999997E-2</v>
      </c>
      <c r="T1259" s="381">
        <v>0</v>
      </c>
      <c r="U1259" s="381">
        <v>0</v>
      </c>
      <c r="V1259" s="382">
        <v>392.05099999999999</v>
      </c>
      <c r="W1259" s="382">
        <v>0</v>
      </c>
      <c r="X1259" s="381">
        <v>0.16333333333333333</v>
      </c>
      <c r="Y1259" s="381">
        <v>0.16333333333333333</v>
      </c>
      <c r="Z1259" s="381">
        <v>2.1249999999999998E-5</v>
      </c>
      <c r="AA1259" s="381">
        <v>0</v>
      </c>
      <c r="AB1259" s="381">
        <v>0</v>
      </c>
      <c r="AC1259" s="382">
        <v>0.16335458333333333</v>
      </c>
      <c r="AD1259" s="382">
        <v>0</v>
      </c>
      <c r="AE1259" s="381" t="s">
        <v>444</v>
      </c>
    </row>
    <row r="1260" spans="1:31" ht="15" customHeight="1" x14ac:dyDescent="0.25">
      <c r="A1260" s="20" t="s">
        <v>156</v>
      </c>
      <c r="B1260" s="20" t="s">
        <v>1450</v>
      </c>
      <c r="C1260" s="20" t="s">
        <v>1451</v>
      </c>
      <c r="D1260" s="378" t="s">
        <v>1850</v>
      </c>
      <c r="E1260" s="384">
        <v>44803</v>
      </c>
      <c r="F1260" s="384">
        <v>46619</v>
      </c>
      <c r="G1260" s="378" t="s">
        <v>439</v>
      </c>
      <c r="H1260" s="20" t="s">
        <v>470</v>
      </c>
      <c r="I1260" s="378" t="s">
        <v>168</v>
      </c>
      <c r="J1260" s="20" t="s">
        <v>163</v>
      </c>
      <c r="K1260" s="378" t="s">
        <v>471</v>
      </c>
      <c r="L1260" s="378" t="s">
        <v>165</v>
      </c>
      <c r="M1260" s="380">
        <v>2400</v>
      </c>
      <c r="N1260" s="380" t="s">
        <v>443</v>
      </c>
      <c r="O1260" s="380" t="s">
        <v>443</v>
      </c>
      <c r="P1260" s="380" t="s">
        <v>443</v>
      </c>
      <c r="Q1260" s="381">
        <v>318</v>
      </c>
      <c r="R1260" s="381">
        <v>318</v>
      </c>
      <c r="S1260" s="381">
        <v>6.3E-2</v>
      </c>
      <c r="T1260" s="381">
        <v>0</v>
      </c>
      <c r="U1260" s="381">
        <v>0</v>
      </c>
      <c r="V1260" s="382">
        <v>318.06299999999999</v>
      </c>
      <c r="W1260" s="382">
        <v>0</v>
      </c>
      <c r="X1260" s="381">
        <v>0.13250000000000001</v>
      </c>
      <c r="Y1260" s="381">
        <v>0.13250000000000001</v>
      </c>
      <c r="Z1260" s="381">
        <v>2.6250000000000001E-5</v>
      </c>
      <c r="AA1260" s="381">
        <v>0</v>
      </c>
      <c r="AB1260" s="381">
        <v>0</v>
      </c>
      <c r="AC1260" s="382">
        <v>0.13252625000000001</v>
      </c>
      <c r="AD1260" s="382">
        <v>0</v>
      </c>
      <c r="AE1260" s="381" t="s">
        <v>444</v>
      </c>
    </row>
    <row r="1261" spans="1:31" ht="15" customHeight="1" x14ac:dyDescent="0.25">
      <c r="A1261" s="20" t="s">
        <v>156</v>
      </c>
      <c r="B1261" s="20" t="s">
        <v>1450</v>
      </c>
      <c r="C1261" s="20" t="s">
        <v>1451</v>
      </c>
      <c r="D1261" s="378" t="s">
        <v>1851</v>
      </c>
      <c r="E1261" s="384">
        <v>44803</v>
      </c>
      <c r="F1261" s="384">
        <v>46619</v>
      </c>
      <c r="G1261" s="378" t="s">
        <v>439</v>
      </c>
      <c r="H1261" s="20" t="s">
        <v>470</v>
      </c>
      <c r="I1261" s="378" t="s">
        <v>168</v>
      </c>
      <c r="J1261" s="20" t="s">
        <v>163</v>
      </c>
      <c r="K1261" s="378" t="s">
        <v>471</v>
      </c>
      <c r="L1261" s="378" t="s">
        <v>165</v>
      </c>
      <c r="M1261" s="380">
        <v>2400</v>
      </c>
      <c r="N1261" s="380" t="s">
        <v>443</v>
      </c>
      <c r="O1261" s="380" t="s">
        <v>443</v>
      </c>
      <c r="P1261" s="380" t="s">
        <v>443</v>
      </c>
      <c r="Q1261" s="381">
        <v>249</v>
      </c>
      <c r="R1261" s="381">
        <v>249</v>
      </c>
      <c r="S1261" s="381">
        <v>7.7799999999999994E-2</v>
      </c>
      <c r="T1261" s="381">
        <v>0</v>
      </c>
      <c r="U1261" s="381">
        <v>0</v>
      </c>
      <c r="V1261" s="382">
        <v>249.0778</v>
      </c>
      <c r="W1261" s="382">
        <v>0</v>
      </c>
      <c r="X1261" s="381">
        <v>0.10375</v>
      </c>
      <c r="Y1261" s="381">
        <v>0.10375</v>
      </c>
      <c r="Z1261" s="381">
        <v>3.2416666666666664E-5</v>
      </c>
      <c r="AA1261" s="381">
        <v>0</v>
      </c>
      <c r="AB1261" s="381">
        <v>0</v>
      </c>
      <c r="AC1261" s="382">
        <v>0.10378241666666665</v>
      </c>
      <c r="AD1261" s="382">
        <v>0</v>
      </c>
      <c r="AE1261" s="381" t="s">
        <v>444</v>
      </c>
    </row>
    <row r="1262" spans="1:31" ht="15" customHeight="1" x14ac:dyDescent="0.25">
      <c r="A1262" s="20" t="s">
        <v>156</v>
      </c>
      <c r="B1262" s="20" t="s">
        <v>1450</v>
      </c>
      <c r="C1262" s="20" t="s">
        <v>1451</v>
      </c>
      <c r="D1262" s="378" t="s">
        <v>1852</v>
      </c>
      <c r="E1262" s="384">
        <v>44803</v>
      </c>
      <c r="F1262" s="384">
        <v>46619</v>
      </c>
      <c r="G1262" s="378" t="s">
        <v>439</v>
      </c>
      <c r="H1262" s="20" t="s">
        <v>470</v>
      </c>
      <c r="I1262" s="378" t="s">
        <v>168</v>
      </c>
      <c r="J1262" s="20" t="s">
        <v>163</v>
      </c>
      <c r="K1262" s="378" t="s">
        <v>471</v>
      </c>
      <c r="L1262" s="378" t="s">
        <v>165</v>
      </c>
      <c r="M1262" s="380">
        <v>2400</v>
      </c>
      <c r="N1262" s="380" t="s">
        <v>443</v>
      </c>
      <c r="O1262" s="380" t="s">
        <v>443</v>
      </c>
      <c r="P1262" s="380" t="s">
        <v>443</v>
      </c>
      <c r="Q1262" s="381">
        <v>355</v>
      </c>
      <c r="R1262" s="381">
        <v>355</v>
      </c>
      <c r="S1262" s="381">
        <v>6.2399999999999997E-2</v>
      </c>
      <c r="T1262" s="381">
        <v>0</v>
      </c>
      <c r="U1262" s="381">
        <v>0</v>
      </c>
      <c r="V1262" s="382">
        <v>355.06240000000003</v>
      </c>
      <c r="W1262" s="382">
        <v>0</v>
      </c>
      <c r="X1262" s="381">
        <v>0.14791666666666667</v>
      </c>
      <c r="Y1262" s="381">
        <v>0.14791666666666667</v>
      </c>
      <c r="Z1262" s="381">
        <v>2.5999999999999998E-5</v>
      </c>
      <c r="AA1262" s="381">
        <v>0</v>
      </c>
      <c r="AB1262" s="381">
        <v>0</v>
      </c>
      <c r="AC1262" s="382">
        <v>0.14794266666666667</v>
      </c>
      <c r="AD1262" s="382">
        <v>0</v>
      </c>
      <c r="AE1262" s="381" t="s">
        <v>444</v>
      </c>
    </row>
    <row r="1263" spans="1:31" ht="15" customHeight="1" x14ac:dyDescent="0.25">
      <c r="A1263" s="20" t="s">
        <v>156</v>
      </c>
      <c r="B1263" s="20" t="s">
        <v>1450</v>
      </c>
      <c r="C1263" s="20" t="s">
        <v>1451</v>
      </c>
      <c r="D1263" s="378" t="s">
        <v>1853</v>
      </c>
      <c r="E1263" s="384">
        <v>44803</v>
      </c>
      <c r="F1263" s="384">
        <v>46619</v>
      </c>
      <c r="G1263" s="378" t="s">
        <v>439</v>
      </c>
      <c r="H1263" s="20" t="s">
        <v>470</v>
      </c>
      <c r="I1263" s="378" t="s">
        <v>168</v>
      </c>
      <c r="J1263" s="20" t="s">
        <v>163</v>
      </c>
      <c r="K1263" s="378" t="s">
        <v>471</v>
      </c>
      <c r="L1263" s="378" t="s">
        <v>165</v>
      </c>
      <c r="M1263" s="380">
        <v>2400</v>
      </c>
      <c r="N1263" s="380" t="s">
        <v>443</v>
      </c>
      <c r="O1263" s="380" t="s">
        <v>443</v>
      </c>
      <c r="P1263" s="380" t="s">
        <v>443</v>
      </c>
      <c r="Q1263" s="381">
        <v>337</v>
      </c>
      <c r="R1263" s="381">
        <v>337</v>
      </c>
      <c r="S1263" s="381">
        <v>6.0999999999999999E-2</v>
      </c>
      <c r="T1263" s="381">
        <v>0</v>
      </c>
      <c r="U1263" s="381">
        <v>0</v>
      </c>
      <c r="V1263" s="382">
        <v>337.06099999999998</v>
      </c>
      <c r="W1263" s="382">
        <v>0</v>
      </c>
      <c r="X1263" s="381">
        <v>0.14041666666666666</v>
      </c>
      <c r="Y1263" s="381">
        <v>0.14041666666666666</v>
      </c>
      <c r="Z1263" s="381">
        <v>2.5416666666666667E-5</v>
      </c>
      <c r="AA1263" s="381">
        <v>0</v>
      </c>
      <c r="AB1263" s="381">
        <v>0</v>
      </c>
      <c r="AC1263" s="382">
        <v>0.14044208333333333</v>
      </c>
      <c r="AD1263" s="382">
        <v>0</v>
      </c>
      <c r="AE1263" s="381" t="s">
        <v>444</v>
      </c>
    </row>
    <row r="1264" spans="1:31" ht="15" customHeight="1" x14ac:dyDescent="0.25">
      <c r="A1264" s="20" t="s">
        <v>156</v>
      </c>
      <c r="B1264" s="20" t="s">
        <v>1450</v>
      </c>
      <c r="C1264" s="20" t="s">
        <v>1451</v>
      </c>
      <c r="D1264" s="378" t="s">
        <v>1854</v>
      </c>
      <c r="E1264" s="384">
        <v>44803</v>
      </c>
      <c r="F1264" s="384">
        <v>46619</v>
      </c>
      <c r="G1264" s="378" t="s">
        <v>439</v>
      </c>
      <c r="H1264" s="20" t="s">
        <v>470</v>
      </c>
      <c r="I1264" s="378" t="s">
        <v>168</v>
      </c>
      <c r="J1264" s="20" t="s">
        <v>163</v>
      </c>
      <c r="K1264" s="378" t="s">
        <v>471</v>
      </c>
      <c r="L1264" s="378" t="s">
        <v>165</v>
      </c>
      <c r="M1264" s="380">
        <v>2400</v>
      </c>
      <c r="N1264" s="380" t="s">
        <v>443</v>
      </c>
      <c r="O1264" s="380" t="s">
        <v>443</v>
      </c>
      <c r="P1264" s="380" t="s">
        <v>443</v>
      </c>
      <c r="Q1264" s="381">
        <v>328</v>
      </c>
      <c r="R1264" s="381">
        <v>328</v>
      </c>
      <c r="S1264" s="381">
        <v>6.0600000000000001E-2</v>
      </c>
      <c r="T1264" s="381">
        <v>0</v>
      </c>
      <c r="U1264" s="381">
        <v>0</v>
      </c>
      <c r="V1264" s="382">
        <v>328.06060000000002</v>
      </c>
      <c r="W1264" s="382">
        <v>0</v>
      </c>
      <c r="X1264" s="381">
        <v>0.13666666666666666</v>
      </c>
      <c r="Y1264" s="381">
        <v>0.13666666666666666</v>
      </c>
      <c r="Z1264" s="381">
        <v>2.525E-5</v>
      </c>
      <c r="AA1264" s="381">
        <v>0</v>
      </c>
      <c r="AB1264" s="381">
        <v>0</v>
      </c>
      <c r="AC1264" s="382">
        <v>0.13669191666666666</v>
      </c>
      <c r="AD1264" s="382">
        <v>0</v>
      </c>
      <c r="AE1264" s="381" t="s">
        <v>444</v>
      </c>
    </row>
    <row r="1265" spans="1:31" ht="15" customHeight="1" x14ac:dyDescent="0.25">
      <c r="A1265" s="20" t="s">
        <v>156</v>
      </c>
      <c r="B1265" s="20" t="s">
        <v>1450</v>
      </c>
      <c r="C1265" s="20" t="s">
        <v>1451</v>
      </c>
      <c r="D1265" s="378" t="s">
        <v>1855</v>
      </c>
      <c r="E1265" s="384">
        <v>44803</v>
      </c>
      <c r="F1265" s="384">
        <v>46619</v>
      </c>
      <c r="G1265" s="378" t="s">
        <v>439</v>
      </c>
      <c r="H1265" s="20" t="s">
        <v>470</v>
      </c>
      <c r="I1265" s="378" t="s">
        <v>168</v>
      </c>
      <c r="J1265" s="20" t="s">
        <v>163</v>
      </c>
      <c r="K1265" s="378" t="s">
        <v>471</v>
      </c>
      <c r="L1265" s="378" t="s">
        <v>165</v>
      </c>
      <c r="M1265" s="380">
        <v>2400</v>
      </c>
      <c r="N1265" s="380" t="s">
        <v>443</v>
      </c>
      <c r="O1265" s="380" t="s">
        <v>443</v>
      </c>
      <c r="P1265" s="380" t="s">
        <v>443</v>
      </c>
      <c r="Q1265" s="381">
        <v>267</v>
      </c>
      <c r="R1265" s="381">
        <v>267</v>
      </c>
      <c r="S1265" s="381">
        <v>8.2400000000000001E-2</v>
      </c>
      <c r="T1265" s="381">
        <v>0</v>
      </c>
      <c r="U1265" s="381">
        <v>0</v>
      </c>
      <c r="V1265" s="382">
        <v>267.08240000000001</v>
      </c>
      <c r="W1265" s="382">
        <v>0</v>
      </c>
      <c r="X1265" s="381">
        <v>0.11125</v>
      </c>
      <c r="Y1265" s="381">
        <v>0.11125</v>
      </c>
      <c r="Z1265" s="381">
        <v>3.4333333333333332E-5</v>
      </c>
      <c r="AA1265" s="381">
        <v>0</v>
      </c>
      <c r="AB1265" s="381">
        <v>0</v>
      </c>
      <c r="AC1265" s="382">
        <v>0.11128433333333333</v>
      </c>
      <c r="AD1265" s="382">
        <v>0</v>
      </c>
      <c r="AE1265" s="381" t="s">
        <v>444</v>
      </c>
    </row>
    <row r="1266" spans="1:31" ht="15" customHeight="1" x14ac:dyDescent="0.25">
      <c r="A1266" s="20" t="s">
        <v>156</v>
      </c>
      <c r="B1266" s="20" t="s">
        <v>1450</v>
      </c>
      <c r="C1266" s="20" t="s">
        <v>1451</v>
      </c>
      <c r="D1266" s="378" t="s">
        <v>1856</v>
      </c>
      <c r="E1266" s="384">
        <v>44852</v>
      </c>
      <c r="F1266" s="384">
        <v>46678</v>
      </c>
      <c r="G1266" s="378" t="s">
        <v>439</v>
      </c>
      <c r="H1266" s="20" t="s">
        <v>813</v>
      </c>
      <c r="I1266" s="378" t="s">
        <v>814</v>
      </c>
      <c r="J1266" s="20" t="s">
        <v>163</v>
      </c>
      <c r="K1266" s="378" t="s">
        <v>815</v>
      </c>
      <c r="L1266" s="378" t="s">
        <v>165</v>
      </c>
      <c r="M1266" s="380">
        <v>2400</v>
      </c>
      <c r="N1266" s="380" t="s">
        <v>443</v>
      </c>
      <c r="O1266" s="380" t="s">
        <v>443</v>
      </c>
      <c r="P1266" s="380" t="s">
        <v>443</v>
      </c>
      <c r="Q1266" s="381">
        <v>293</v>
      </c>
      <c r="R1266" s="381">
        <v>0</v>
      </c>
      <c r="S1266" s="381">
        <v>0</v>
      </c>
      <c r="T1266" s="381">
        <v>0</v>
      </c>
      <c r="U1266" s="381">
        <v>0</v>
      </c>
      <c r="V1266" s="382">
        <v>293</v>
      </c>
      <c r="W1266" s="382">
        <v>0</v>
      </c>
      <c r="X1266" s="381">
        <v>0.12208333333333334</v>
      </c>
      <c r="Y1266" s="381">
        <v>0</v>
      </c>
      <c r="Z1266" s="381">
        <v>0</v>
      </c>
      <c r="AA1266" s="381">
        <v>0</v>
      </c>
      <c r="AB1266" s="381">
        <v>0</v>
      </c>
      <c r="AC1266" s="382">
        <v>0.12208333333333334</v>
      </c>
      <c r="AD1266" s="382">
        <v>0</v>
      </c>
      <c r="AE1266" s="381" t="s">
        <v>444</v>
      </c>
    </row>
    <row r="1267" spans="1:31" ht="15" customHeight="1" x14ac:dyDescent="0.25">
      <c r="A1267" s="20" t="s">
        <v>156</v>
      </c>
      <c r="B1267" s="20" t="s">
        <v>1450</v>
      </c>
      <c r="C1267" s="20" t="s">
        <v>1451</v>
      </c>
      <c r="D1267" s="378" t="s">
        <v>1857</v>
      </c>
      <c r="E1267" s="384">
        <v>44852</v>
      </c>
      <c r="F1267" s="384">
        <v>46678</v>
      </c>
      <c r="G1267" s="378" t="s">
        <v>439</v>
      </c>
      <c r="H1267" s="20" t="s">
        <v>813</v>
      </c>
      <c r="I1267" s="378" t="s">
        <v>814</v>
      </c>
      <c r="J1267" s="20" t="s">
        <v>163</v>
      </c>
      <c r="K1267" s="378" t="s">
        <v>815</v>
      </c>
      <c r="L1267" s="378" t="s">
        <v>165</v>
      </c>
      <c r="M1267" s="380">
        <v>2400</v>
      </c>
      <c r="N1267" s="380" t="s">
        <v>443</v>
      </c>
      <c r="O1267" s="380" t="s">
        <v>443</v>
      </c>
      <c r="P1267" s="380" t="s">
        <v>443</v>
      </c>
      <c r="Q1267" s="381">
        <v>276</v>
      </c>
      <c r="R1267" s="381">
        <v>0</v>
      </c>
      <c r="S1267" s="381">
        <v>0</v>
      </c>
      <c r="T1267" s="381">
        <v>0</v>
      </c>
      <c r="U1267" s="381">
        <v>0</v>
      </c>
      <c r="V1267" s="382">
        <v>276</v>
      </c>
      <c r="W1267" s="382">
        <v>0</v>
      </c>
      <c r="X1267" s="381">
        <v>0.115</v>
      </c>
      <c r="Y1267" s="381">
        <v>0</v>
      </c>
      <c r="Z1267" s="381">
        <v>0</v>
      </c>
      <c r="AA1267" s="381">
        <v>0</v>
      </c>
      <c r="AB1267" s="381">
        <v>0</v>
      </c>
      <c r="AC1267" s="382">
        <v>0.115</v>
      </c>
      <c r="AD1267" s="382">
        <v>0</v>
      </c>
      <c r="AE1267" s="381" t="s">
        <v>444</v>
      </c>
    </row>
    <row r="1268" spans="1:31" ht="15" customHeight="1" x14ac:dyDescent="0.25">
      <c r="A1268" s="20" t="s">
        <v>156</v>
      </c>
      <c r="B1268" s="20" t="s">
        <v>1450</v>
      </c>
      <c r="C1268" s="20" t="s">
        <v>1451</v>
      </c>
      <c r="D1268" s="378" t="s">
        <v>1858</v>
      </c>
      <c r="E1268" s="384">
        <v>44852</v>
      </c>
      <c r="F1268" s="384">
        <v>46678</v>
      </c>
      <c r="G1268" s="378" t="s">
        <v>439</v>
      </c>
      <c r="H1268" s="20" t="s">
        <v>813</v>
      </c>
      <c r="I1268" s="378" t="s">
        <v>814</v>
      </c>
      <c r="J1268" s="20" t="s">
        <v>163</v>
      </c>
      <c r="K1268" s="378" t="s">
        <v>815</v>
      </c>
      <c r="L1268" s="378" t="s">
        <v>165</v>
      </c>
      <c r="M1268" s="380">
        <v>2400</v>
      </c>
      <c r="N1268" s="380" t="s">
        <v>443</v>
      </c>
      <c r="O1268" s="380" t="s">
        <v>443</v>
      </c>
      <c r="P1268" s="380" t="s">
        <v>443</v>
      </c>
      <c r="Q1268" s="381">
        <v>289</v>
      </c>
      <c r="R1268" s="381">
        <v>0</v>
      </c>
      <c r="S1268" s="381">
        <v>0</v>
      </c>
      <c r="T1268" s="381">
        <v>0</v>
      </c>
      <c r="U1268" s="381">
        <v>0</v>
      </c>
      <c r="V1268" s="382">
        <v>289</v>
      </c>
      <c r="W1268" s="382">
        <v>0</v>
      </c>
      <c r="X1268" s="381">
        <v>0.12041666666666667</v>
      </c>
      <c r="Y1268" s="381">
        <v>0</v>
      </c>
      <c r="Z1268" s="381">
        <v>0</v>
      </c>
      <c r="AA1268" s="381">
        <v>0</v>
      </c>
      <c r="AB1268" s="381">
        <v>0</v>
      </c>
      <c r="AC1268" s="382">
        <v>0.12041666666666667</v>
      </c>
      <c r="AD1268" s="382">
        <v>0</v>
      </c>
      <c r="AE1268" s="381" t="s">
        <v>444</v>
      </c>
    </row>
    <row r="1269" spans="1:31" ht="15" customHeight="1" x14ac:dyDescent="0.25">
      <c r="A1269" s="20" t="s">
        <v>156</v>
      </c>
      <c r="B1269" s="20" t="s">
        <v>1450</v>
      </c>
      <c r="C1269" s="20" t="s">
        <v>1451</v>
      </c>
      <c r="D1269" s="378" t="s">
        <v>1859</v>
      </c>
      <c r="E1269" s="384">
        <v>44729</v>
      </c>
      <c r="F1269" s="384">
        <v>46555</v>
      </c>
      <c r="G1269" s="378" t="s">
        <v>439</v>
      </c>
      <c r="H1269" s="20" t="s">
        <v>1860</v>
      </c>
      <c r="I1269" s="378" t="s">
        <v>168</v>
      </c>
      <c r="J1269" s="20" t="s">
        <v>163</v>
      </c>
      <c r="K1269" s="378" t="s">
        <v>1861</v>
      </c>
      <c r="L1269" s="378" t="s">
        <v>165</v>
      </c>
      <c r="M1269" s="380">
        <v>2400</v>
      </c>
      <c r="N1269" s="380" t="s">
        <v>443</v>
      </c>
      <c r="O1269" s="380" t="s">
        <v>443</v>
      </c>
      <c r="P1269" s="380" t="s">
        <v>443</v>
      </c>
      <c r="Q1269" s="381">
        <v>336</v>
      </c>
      <c r="R1269" s="381">
        <v>0</v>
      </c>
      <c r="S1269" s="381">
        <v>0</v>
      </c>
      <c r="T1269" s="381">
        <v>0</v>
      </c>
      <c r="U1269" s="381">
        <v>0</v>
      </c>
      <c r="V1269" s="382">
        <v>336</v>
      </c>
      <c r="W1269" s="382">
        <v>0</v>
      </c>
      <c r="X1269" s="381">
        <v>0.14000000000000001</v>
      </c>
      <c r="Y1269" s="381">
        <v>0</v>
      </c>
      <c r="Z1269" s="381">
        <v>0</v>
      </c>
      <c r="AA1269" s="381">
        <v>0</v>
      </c>
      <c r="AB1269" s="381">
        <v>0</v>
      </c>
      <c r="AC1269" s="382">
        <v>0.14000000000000001</v>
      </c>
      <c r="AD1269" s="382">
        <v>0</v>
      </c>
      <c r="AE1269" s="381" t="s">
        <v>444</v>
      </c>
    </row>
    <row r="1270" spans="1:31" ht="15" customHeight="1" x14ac:dyDescent="0.25">
      <c r="A1270" s="20" t="s">
        <v>156</v>
      </c>
      <c r="B1270" s="20" t="s">
        <v>1450</v>
      </c>
      <c r="C1270" s="20" t="s">
        <v>1451</v>
      </c>
      <c r="D1270" s="378" t="s">
        <v>1862</v>
      </c>
      <c r="E1270" s="384">
        <v>44417</v>
      </c>
      <c r="F1270" s="384">
        <v>46357</v>
      </c>
      <c r="G1270" s="378" t="s">
        <v>439</v>
      </c>
      <c r="H1270" s="20" t="s">
        <v>817</v>
      </c>
      <c r="I1270" s="378" t="s">
        <v>814</v>
      </c>
      <c r="J1270" s="20" t="s">
        <v>163</v>
      </c>
      <c r="K1270" s="378" t="s">
        <v>818</v>
      </c>
      <c r="L1270" s="378" t="s">
        <v>165</v>
      </c>
      <c r="M1270" s="380">
        <v>2400</v>
      </c>
      <c r="N1270" s="380" t="s">
        <v>443</v>
      </c>
      <c r="O1270" s="380" t="s">
        <v>443</v>
      </c>
      <c r="P1270" s="380" t="s">
        <v>443</v>
      </c>
      <c r="Q1270" s="381">
        <v>370</v>
      </c>
      <c r="R1270" s="381">
        <v>0</v>
      </c>
      <c r="S1270" s="381">
        <v>0</v>
      </c>
      <c r="T1270" s="381">
        <v>0</v>
      </c>
      <c r="U1270" s="381">
        <v>0</v>
      </c>
      <c r="V1270" s="382">
        <v>370</v>
      </c>
      <c r="W1270" s="382">
        <v>0</v>
      </c>
      <c r="X1270" s="381">
        <v>0.15416666666666667</v>
      </c>
      <c r="Y1270" s="381">
        <v>0</v>
      </c>
      <c r="Z1270" s="381">
        <v>0</v>
      </c>
      <c r="AA1270" s="381">
        <v>0</v>
      </c>
      <c r="AB1270" s="381">
        <v>0</v>
      </c>
      <c r="AC1270" s="382">
        <v>0.15416666666666667</v>
      </c>
      <c r="AD1270" s="382">
        <v>0</v>
      </c>
      <c r="AE1270" s="381" t="s">
        <v>444</v>
      </c>
    </row>
    <row r="1271" spans="1:31" ht="15" customHeight="1" x14ac:dyDescent="0.25">
      <c r="A1271" s="20" t="s">
        <v>156</v>
      </c>
      <c r="B1271" s="20" t="s">
        <v>1450</v>
      </c>
      <c r="C1271" s="20" t="s">
        <v>1451</v>
      </c>
      <c r="D1271" s="378" t="s">
        <v>1863</v>
      </c>
      <c r="E1271" s="384">
        <v>44417</v>
      </c>
      <c r="F1271" s="384">
        <v>46357</v>
      </c>
      <c r="G1271" s="378" t="s">
        <v>439</v>
      </c>
      <c r="H1271" s="20" t="s">
        <v>817</v>
      </c>
      <c r="I1271" s="378" t="s">
        <v>814</v>
      </c>
      <c r="J1271" s="20" t="s">
        <v>163</v>
      </c>
      <c r="K1271" s="378" t="s">
        <v>818</v>
      </c>
      <c r="L1271" s="378" t="s">
        <v>165</v>
      </c>
      <c r="M1271" s="380">
        <v>2400</v>
      </c>
      <c r="N1271" s="380" t="s">
        <v>443</v>
      </c>
      <c r="O1271" s="380" t="s">
        <v>443</v>
      </c>
      <c r="P1271" s="380" t="s">
        <v>443</v>
      </c>
      <c r="Q1271" s="381">
        <v>332</v>
      </c>
      <c r="R1271" s="381">
        <v>0</v>
      </c>
      <c r="S1271" s="381">
        <v>0</v>
      </c>
      <c r="T1271" s="381">
        <v>0</v>
      </c>
      <c r="U1271" s="381">
        <v>0</v>
      </c>
      <c r="V1271" s="382">
        <v>332</v>
      </c>
      <c r="W1271" s="382">
        <v>0</v>
      </c>
      <c r="X1271" s="381">
        <v>0.13833333333333334</v>
      </c>
      <c r="Y1271" s="381">
        <v>0</v>
      </c>
      <c r="Z1271" s="381">
        <v>0</v>
      </c>
      <c r="AA1271" s="381">
        <v>0</v>
      </c>
      <c r="AB1271" s="381">
        <v>0</v>
      </c>
      <c r="AC1271" s="382">
        <v>0.13833333333333334</v>
      </c>
      <c r="AD1271" s="382">
        <v>0</v>
      </c>
      <c r="AE1271" s="381" t="s">
        <v>444</v>
      </c>
    </row>
    <row r="1272" spans="1:31" ht="15" customHeight="1" x14ac:dyDescent="0.25">
      <c r="A1272" s="20" t="s">
        <v>156</v>
      </c>
      <c r="B1272" s="20" t="s">
        <v>1450</v>
      </c>
      <c r="C1272" s="20" t="s">
        <v>1451</v>
      </c>
      <c r="D1272" s="378" t="s">
        <v>1864</v>
      </c>
      <c r="E1272" s="384">
        <v>44417</v>
      </c>
      <c r="F1272" s="384">
        <v>46357</v>
      </c>
      <c r="G1272" s="378" t="s">
        <v>439</v>
      </c>
      <c r="H1272" s="20" t="s">
        <v>817</v>
      </c>
      <c r="I1272" s="378" t="s">
        <v>814</v>
      </c>
      <c r="J1272" s="20" t="s">
        <v>163</v>
      </c>
      <c r="K1272" s="378" t="s">
        <v>818</v>
      </c>
      <c r="L1272" s="378" t="s">
        <v>165</v>
      </c>
      <c r="M1272" s="380">
        <v>2400</v>
      </c>
      <c r="N1272" s="380" t="s">
        <v>443</v>
      </c>
      <c r="O1272" s="380" t="s">
        <v>443</v>
      </c>
      <c r="P1272" s="380" t="s">
        <v>443</v>
      </c>
      <c r="Q1272" s="381">
        <v>324</v>
      </c>
      <c r="R1272" s="381">
        <v>0</v>
      </c>
      <c r="S1272" s="381">
        <v>0</v>
      </c>
      <c r="T1272" s="381">
        <v>0</v>
      </c>
      <c r="U1272" s="381">
        <v>0</v>
      </c>
      <c r="V1272" s="382">
        <v>324</v>
      </c>
      <c r="W1272" s="382">
        <v>0</v>
      </c>
      <c r="X1272" s="381">
        <v>0.13500000000000001</v>
      </c>
      <c r="Y1272" s="381">
        <v>0</v>
      </c>
      <c r="Z1272" s="381">
        <v>0</v>
      </c>
      <c r="AA1272" s="381">
        <v>0</v>
      </c>
      <c r="AB1272" s="381">
        <v>0</v>
      </c>
      <c r="AC1272" s="382">
        <v>0.13500000000000001</v>
      </c>
      <c r="AD1272" s="382">
        <v>0</v>
      </c>
      <c r="AE1272" s="381" t="s">
        <v>444</v>
      </c>
    </row>
    <row r="1273" spans="1:31" ht="15" customHeight="1" x14ac:dyDescent="0.25">
      <c r="A1273" s="20" t="s">
        <v>156</v>
      </c>
      <c r="B1273" s="20" t="s">
        <v>1450</v>
      </c>
      <c r="C1273" s="20" t="s">
        <v>1451</v>
      </c>
      <c r="D1273" s="378" t="s">
        <v>1865</v>
      </c>
      <c r="E1273" s="384">
        <v>44417</v>
      </c>
      <c r="F1273" s="384">
        <v>46357</v>
      </c>
      <c r="G1273" s="378" t="s">
        <v>439</v>
      </c>
      <c r="H1273" s="20" t="s">
        <v>817</v>
      </c>
      <c r="I1273" s="378" t="s">
        <v>814</v>
      </c>
      <c r="J1273" s="20" t="s">
        <v>163</v>
      </c>
      <c r="K1273" s="378" t="s">
        <v>818</v>
      </c>
      <c r="L1273" s="378" t="s">
        <v>165</v>
      </c>
      <c r="M1273" s="380">
        <v>2400</v>
      </c>
      <c r="N1273" s="380" t="s">
        <v>443</v>
      </c>
      <c r="O1273" s="380" t="s">
        <v>443</v>
      </c>
      <c r="P1273" s="380" t="s">
        <v>443</v>
      </c>
      <c r="Q1273" s="381">
        <v>331</v>
      </c>
      <c r="R1273" s="381">
        <v>0</v>
      </c>
      <c r="S1273" s="381">
        <v>0</v>
      </c>
      <c r="T1273" s="381">
        <v>0</v>
      </c>
      <c r="U1273" s="381">
        <v>0</v>
      </c>
      <c r="V1273" s="382">
        <v>331</v>
      </c>
      <c r="W1273" s="382">
        <v>0</v>
      </c>
      <c r="X1273" s="381">
        <v>0.13791666666666666</v>
      </c>
      <c r="Y1273" s="381">
        <v>0</v>
      </c>
      <c r="Z1273" s="381">
        <v>0</v>
      </c>
      <c r="AA1273" s="381">
        <v>0</v>
      </c>
      <c r="AB1273" s="381">
        <v>0</v>
      </c>
      <c r="AC1273" s="382">
        <v>0.13791666666666666</v>
      </c>
      <c r="AD1273" s="382">
        <v>0</v>
      </c>
      <c r="AE1273" s="381" t="s">
        <v>444</v>
      </c>
    </row>
    <row r="1274" spans="1:31" ht="15" customHeight="1" x14ac:dyDescent="0.25">
      <c r="A1274" s="20" t="s">
        <v>156</v>
      </c>
      <c r="B1274" s="20" t="s">
        <v>1450</v>
      </c>
      <c r="C1274" s="20" t="s">
        <v>1451</v>
      </c>
      <c r="D1274" s="378" t="s">
        <v>1866</v>
      </c>
      <c r="E1274" s="384">
        <v>44417</v>
      </c>
      <c r="F1274" s="384">
        <v>46357</v>
      </c>
      <c r="G1274" s="378" t="s">
        <v>439</v>
      </c>
      <c r="H1274" s="20" t="s">
        <v>817</v>
      </c>
      <c r="I1274" s="378" t="s">
        <v>814</v>
      </c>
      <c r="J1274" s="20" t="s">
        <v>163</v>
      </c>
      <c r="K1274" s="378" t="s">
        <v>818</v>
      </c>
      <c r="L1274" s="378" t="s">
        <v>165</v>
      </c>
      <c r="M1274" s="380">
        <v>2400</v>
      </c>
      <c r="N1274" s="380" t="s">
        <v>443</v>
      </c>
      <c r="O1274" s="380" t="s">
        <v>443</v>
      </c>
      <c r="P1274" s="380" t="s">
        <v>443</v>
      </c>
      <c r="Q1274" s="381">
        <v>343</v>
      </c>
      <c r="R1274" s="381">
        <v>0</v>
      </c>
      <c r="S1274" s="381">
        <v>0</v>
      </c>
      <c r="T1274" s="381">
        <v>0</v>
      </c>
      <c r="U1274" s="381">
        <v>0</v>
      </c>
      <c r="V1274" s="382">
        <v>343</v>
      </c>
      <c r="W1274" s="382">
        <v>0</v>
      </c>
      <c r="X1274" s="381">
        <v>0.14291666666666666</v>
      </c>
      <c r="Y1274" s="381">
        <v>0</v>
      </c>
      <c r="Z1274" s="381">
        <v>0</v>
      </c>
      <c r="AA1274" s="381">
        <v>0</v>
      </c>
      <c r="AB1274" s="381">
        <v>0</v>
      </c>
      <c r="AC1274" s="382">
        <v>0.14291666666666666</v>
      </c>
      <c r="AD1274" s="382">
        <v>0</v>
      </c>
      <c r="AE1274" s="381" t="s">
        <v>444</v>
      </c>
    </row>
    <row r="1275" spans="1:31" ht="15" customHeight="1" x14ac:dyDescent="0.25">
      <c r="A1275" s="20" t="s">
        <v>156</v>
      </c>
      <c r="B1275" s="20" t="s">
        <v>1450</v>
      </c>
      <c r="C1275" s="20" t="s">
        <v>1451</v>
      </c>
      <c r="D1275" s="378" t="s">
        <v>1867</v>
      </c>
      <c r="E1275" s="384">
        <v>44417</v>
      </c>
      <c r="F1275" s="384">
        <v>46357</v>
      </c>
      <c r="G1275" s="378" t="s">
        <v>439</v>
      </c>
      <c r="H1275" s="20" t="s">
        <v>817</v>
      </c>
      <c r="I1275" s="378" t="s">
        <v>814</v>
      </c>
      <c r="J1275" s="20" t="s">
        <v>163</v>
      </c>
      <c r="K1275" s="378" t="s">
        <v>818</v>
      </c>
      <c r="L1275" s="378" t="s">
        <v>165</v>
      </c>
      <c r="M1275" s="380">
        <v>2400</v>
      </c>
      <c r="N1275" s="380" t="s">
        <v>443</v>
      </c>
      <c r="O1275" s="380" t="s">
        <v>443</v>
      </c>
      <c r="P1275" s="380" t="s">
        <v>443</v>
      </c>
      <c r="Q1275" s="381">
        <v>282</v>
      </c>
      <c r="R1275" s="381">
        <v>0</v>
      </c>
      <c r="S1275" s="381">
        <v>0</v>
      </c>
      <c r="T1275" s="381">
        <v>0</v>
      </c>
      <c r="U1275" s="381">
        <v>0</v>
      </c>
      <c r="V1275" s="382">
        <v>282</v>
      </c>
      <c r="W1275" s="382">
        <v>0</v>
      </c>
      <c r="X1275" s="381">
        <v>0.11749999999999999</v>
      </c>
      <c r="Y1275" s="381">
        <v>0</v>
      </c>
      <c r="Z1275" s="381">
        <v>0</v>
      </c>
      <c r="AA1275" s="381">
        <v>0</v>
      </c>
      <c r="AB1275" s="381">
        <v>0</v>
      </c>
      <c r="AC1275" s="382">
        <v>0.11749999999999999</v>
      </c>
      <c r="AD1275" s="382">
        <v>0</v>
      </c>
      <c r="AE1275" s="381" t="s">
        <v>444</v>
      </c>
    </row>
    <row r="1276" spans="1:31" ht="15" customHeight="1" x14ac:dyDescent="0.25">
      <c r="A1276" s="20" t="s">
        <v>156</v>
      </c>
      <c r="B1276" s="20" t="s">
        <v>1450</v>
      </c>
      <c r="C1276" s="20" t="s">
        <v>1451</v>
      </c>
      <c r="D1276" s="378" t="s">
        <v>1868</v>
      </c>
      <c r="E1276" s="384">
        <v>44417</v>
      </c>
      <c r="F1276" s="384">
        <v>46357</v>
      </c>
      <c r="G1276" s="378" t="s">
        <v>439</v>
      </c>
      <c r="H1276" s="20" t="s">
        <v>817</v>
      </c>
      <c r="I1276" s="378" t="s">
        <v>814</v>
      </c>
      <c r="J1276" s="20" t="s">
        <v>163</v>
      </c>
      <c r="K1276" s="378" t="s">
        <v>818</v>
      </c>
      <c r="L1276" s="378" t="s">
        <v>165</v>
      </c>
      <c r="M1276" s="380">
        <v>2400</v>
      </c>
      <c r="N1276" s="380" t="s">
        <v>443</v>
      </c>
      <c r="O1276" s="380" t="s">
        <v>443</v>
      </c>
      <c r="P1276" s="380" t="s">
        <v>443</v>
      </c>
      <c r="Q1276" s="381">
        <v>256</v>
      </c>
      <c r="R1276" s="381">
        <v>0</v>
      </c>
      <c r="S1276" s="381">
        <v>0</v>
      </c>
      <c r="T1276" s="381">
        <v>0</v>
      </c>
      <c r="U1276" s="381">
        <v>0</v>
      </c>
      <c r="V1276" s="382">
        <v>256</v>
      </c>
      <c r="W1276" s="382">
        <v>0</v>
      </c>
      <c r="X1276" s="381">
        <v>0.10666666666666667</v>
      </c>
      <c r="Y1276" s="381">
        <v>0</v>
      </c>
      <c r="Z1276" s="381">
        <v>0</v>
      </c>
      <c r="AA1276" s="381">
        <v>0</v>
      </c>
      <c r="AB1276" s="381">
        <v>0</v>
      </c>
      <c r="AC1276" s="382">
        <v>0.10666666666666667</v>
      </c>
      <c r="AD1276" s="382">
        <v>0</v>
      </c>
      <c r="AE1276" s="381" t="s">
        <v>444</v>
      </c>
    </row>
    <row r="1277" spans="1:31" ht="15" customHeight="1" x14ac:dyDescent="0.25">
      <c r="A1277" s="20" t="s">
        <v>156</v>
      </c>
      <c r="B1277" s="20" t="s">
        <v>1450</v>
      </c>
      <c r="C1277" s="20" t="s">
        <v>1451</v>
      </c>
      <c r="D1277" s="378" t="s">
        <v>1869</v>
      </c>
      <c r="E1277" s="384">
        <v>44417</v>
      </c>
      <c r="F1277" s="384">
        <v>46357</v>
      </c>
      <c r="G1277" s="378" t="s">
        <v>439</v>
      </c>
      <c r="H1277" s="20" t="s">
        <v>817</v>
      </c>
      <c r="I1277" s="378" t="s">
        <v>814</v>
      </c>
      <c r="J1277" s="20" t="s">
        <v>163</v>
      </c>
      <c r="K1277" s="378" t="s">
        <v>818</v>
      </c>
      <c r="L1277" s="378" t="s">
        <v>165</v>
      </c>
      <c r="M1277" s="380">
        <v>2400</v>
      </c>
      <c r="N1277" s="380" t="s">
        <v>443</v>
      </c>
      <c r="O1277" s="380" t="s">
        <v>443</v>
      </c>
      <c r="P1277" s="380" t="s">
        <v>443</v>
      </c>
      <c r="Q1277" s="381">
        <v>254</v>
      </c>
      <c r="R1277" s="381">
        <v>0</v>
      </c>
      <c r="S1277" s="381">
        <v>0</v>
      </c>
      <c r="T1277" s="381">
        <v>0</v>
      </c>
      <c r="U1277" s="381">
        <v>0</v>
      </c>
      <c r="V1277" s="382">
        <v>254</v>
      </c>
      <c r="W1277" s="382">
        <v>0</v>
      </c>
      <c r="X1277" s="381">
        <v>0.10583333333333333</v>
      </c>
      <c r="Y1277" s="381">
        <v>0</v>
      </c>
      <c r="Z1277" s="381">
        <v>0</v>
      </c>
      <c r="AA1277" s="381">
        <v>0</v>
      </c>
      <c r="AB1277" s="381">
        <v>0</v>
      </c>
      <c r="AC1277" s="382">
        <v>0.10583333333333333</v>
      </c>
      <c r="AD1277" s="382">
        <v>0</v>
      </c>
      <c r="AE1277" s="381" t="s">
        <v>444</v>
      </c>
    </row>
    <row r="1278" spans="1:31" ht="15" customHeight="1" x14ac:dyDescent="0.25">
      <c r="A1278" s="20" t="s">
        <v>156</v>
      </c>
      <c r="B1278" s="20" t="s">
        <v>1450</v>
      </c>
      <c r="C1278" s="20" t="s">
        <v>1451</v>
      </c>
      <c r="D1278" s="378" t="s">
        <v>1870</v>
      </c>
      <c r="E1278" s="384">
        <v>44613</v>
      </c>
      <c r="F1278" s="384">
        <v>46439</v>
      </c>
      <c r="G1278" s="378" t="s">
        <v>439</v>
      </c>
      <c r="H1278" s="20" t="s">
        <v>455</v>
      </c>
      <c r="I1278" s="378" t="s">
        <v>162</v>
      </c>
      <c r="J1278" s="20" t="s">
        <v>163</v>
      </c>
      <c r="K1278" s="378" t="s">
        <v>476</v>
      </c>
      <c r="L1278" s="378" t="s">
        <v>165</v>
      </c>
      <c r="M1278" s="380">
        <v>2400</v>
      </c>
      <c r="N1278" s="380" t="s">
        <v>443</v>
      </c>
      <c r="O1278" s="380" t="s">
        <v>443</v>
      </c>
      <c r="P1278" s="380" t="s">
        <v>443</v>
      </c>
      <c r="Q1278" s="381">
        <v>284</v>
      </c>
      <c r="R1278" s="381">
        <v>0</v>
      </c>
      <c r="S1278" s="381">
        <v>0</v>
      </c>
      <c r="T1278" s="381">
        <v>0</v>
      </c>
      <c r="U1278" s="381">
        <v>0</v>
      </c>
      <c r="V1278" s="382">
        <v>284</v>
      </c>
      <c r="W1278" s="382">
        <v>0</v>
      </c>
      <c r="X1278" s="381">
        <v>0.11833333333333333</v>
      </c>
      <c r="Y1278" s="381">
        <v>0</v>
      </c>
      <c r="Z1278" s="381">
        <v>0</v>
      </c>
      <c r="AA1278" s="381">
        <v>0</v>
      </c>
      <c r="AB1278" s="381">
        <v>0</v>
      </c>
      <c r="AC1278" s="382">
        <v>0.11833333333333333</v>
      </c>
      <c r="AD1278" s="382">
        <v>0</v>
      </c>
      <c r="AE1278" s="381" t="s">
        <v>444</v>
      </c>
    </row>
    <row r="1279" spans="1:31" ht="15" customHeight="1" x14ac:dyDescent="0.25">
      <c r="A1279" s="20" t="s">
        <v>156</v>
      </c>
      <c r="B1279" s="20" t="s">
        <v>1450</v>
      </c>
      <c r="C1279" s="20" t="s">
        <v>1451</v>
      </c>
      <c r="D1279" s="378" t="s">
        <v>1871</v>
      </c>
      <c r="E1279" s="384">
        <v>44613</v>
      </c>
      <c r="F1279" s="384">
        <v>46439</v>
      </c>
      <c r="G1279" s="378" t="s">
        <v>439</v>
      </c>
      <c r="H1279" s="20" t="s">
        <v>455</v>
      </c>
      <c r="I1279" s="378" t="s">
        <v>162</v>
      </c>
      <c r="J1279" s="20" t="s">
        <v>163</v>
      </c>
      <c r="K1279" s="378" t="s">
        <v>476</v>
      </c>
      <c r="L1279" s="378" t="s">
        <v>165</v>
      </c>
      <c r="M1279" s="380">
        <v>2400</v>
      </c>
      <c r="N1279" s="380" t="s">
        <v>443</v>
      </c>
      <c r="O1279" s="380" t="s">
        <v>443</v>
      </c>
      <c r="P1279" s="380" t="s">
        <v>443</v>
      </c>
      <c r="Q1279" s="381">
        <v>271</v>
      </c>
      <c r="R1279" s="381">
        <v>0</v>
      </c>
      <c r="S1279" s="381">
        <v>0</v>
      </c>
      <c r="T1279" s="381">
        <v>0</v>
      </c>
      <c r="U1279" s="381">
        <v>0</v>
      </c>
      <c r="V1279" s="382">
        <v>271</v>
      </c>
      <c r="W1279" s="382">
        <v>0</v>
      </c>
      <c r="X1279" s="381">
        <v>0.11291666666666667</v>
      </c>
      <c r="Y1279" s="381">
        <v>0</v>
      </c>
      <c r="Z1279" s="381">
        <v>0</v>
      </c>
      <c r="AA1279" s="381">
        <v>0</v>
      </c>
      <c r="AB1279" s="381">
        <v>0</v>
      </c>
      <c r="AC1279" s="382">
        <v>0.11291666666666667</v>
      </c>
      <c r="AD1279" s="382">
        <v>0</v>
      </c>
      <c r="AE1279" s="381" t="s">
        <v>444</v>
      </c>
    </row>
    <row r="1280" spans="1:31" ht="15" customHeight="1" x14ac:dyDescent="0.25">
      <c r="A1280" s="20" t="s">
        <v>156</v>
      </c>
      <c r="B1280" s="20" t="s">
        <v>1450</v>
      </c>
      <c r="C1280" s="20" t="s">
        <v>1451</v>
      </c>
      <c r="D1280" s="378" t="s">
        <v>1872</v>
      </c>
      <c r="E1280" s="384">
        <v>44613</v>
      </c>
      <c r="F1280" s="384">
        <v>46439</v>
      </c>
      <c r="G1280" s="378" t="s">
        <v>439</v>
      </c>
      <c r="H1280" s="20" t="s">
        <v>455</v>
      </c>
      <c r="I1280" s="378" t="s">
        <v>162</v>
      </c>
      <c r="J1280" s="20" t="s">
        <v>163</v>
      </c>
      <c r="K1280" s="378" t="s">
        <v>476</v>
      </c>
      <c r="L1280" s="378" t="s">
        <v>165</v>
      </c>
      <c r="M1280" s="380">
        <v>2400</v>
      </c>
      <c r="N1280" s="380" t="s">
        <v>443</v>
      </c>
      <c r="O1280" s="380" t="s">
        <v>443</v>
      </c>
      <c r="P1280" s="380" t="s">
        <v>443</v>
      </c>
      <c r="Q1280" s="381">
        <v>336</v>
      </c>
      <c r="R1280" s="381">
        <v>0</v>
      </c>
      <c r="S1280" s="381">
        <v>0</v>
      </c>
      <c r="T1280" s="381">
        <v>0</v>
      </c>
      <c r="U1280" s="381">
        <v>0</v>
      </c>
      <c r="V1280" s="382">
        <v>336</v>
      </c>
      <c r="W1280" s="382">
        <v>0</v>
      </c>
      <c r="X1280" s="381">
        <v>0.14000000000000001</v>
      </c>
      <c r="Y1280" s="381">
        <v>0</v>
      </c>
      <c r="Z1280" s="381">
        <v>0</v>
      </c>
      <c r="AA1280" s="381">
        <v>0</v>
      </c>
      <c r="AB1280" s="381">
        <v>0</v>
      </c>
      <c r="AC1280" s="382">
        <v>0.14000000000000001</v>
      </c>
      <c r="AD1280" s="382">
        <v>0</v>
      </c>
      <c r="AE1280" s="381" t="s">
        <v>444</v>
      </c>
    </row>
    <row r="1281" spans="1:31" ht="15" customHeight="1" x14ac:dyDescent="0.25">
      <c r="A1281" s="20" t="s">
        <v>156</v>
      </c>
      <c r="B1281" s="20" t="s">
        <v>1450</v>
      </c>
      <c r="C1281" s="20" t="s">
        <v>1451</v>
      </c>
      <c r="D1281" s="378" t="s">
        <v>1873</v>
      </c>
      <c r="E1281" s="384">
        <v>44613</v>
      </c>
      <c r="F1281" s="384">
        <v>46439</v>
      </c>
      <c r="G1281" s="378" t="s">
        <v>439</v>
      </c>
      <c r="H1281" s="20" t="s">
        <v>455</v>
      </c>
      <c r="I1281" s="378" t="s">
        <v>162</v>
      </c>
      <c r="J1281" s="20" t="s">
        <v>163</v>
      </c>
      <c r="K1281" s="378" t="s">
        <v>476</v>
      </c>
      <c r="L1281" s="378" t="s">
        <v>165</v>
      </c>
      <c r="M1281" s="380">
        <v>2400</v>
      </c>
      <c r="N1281" s="380" t="s">
        <v>443</v>
      </c>
      <c r="O1281" s="380" t="s">
        <v>443</v>
      </c>
      <c r="P1281" s="380" t="s">
        <v>443</v>
      </c>
      <c r="Q1281" s="381">
        <v>375</v>
      </c>
      <c r="R1281" s="381">
        <v>0</v>
      </c>
      <c r="S1281" s="381">
        <v>0</v>
      </c>
      <c r="T1281" s="381">
        <v>0</v>
      </c>
      <c r="U1281" s="381">
        <v>0</v>
      </c>
      <c r="V1281" s="382">
        <v>375</v>
      </c>
      <c r="W1281" s="382">
        <v>0</v>
      </c>
      <c r="X1281" s="381">
        <v>0.15625</v>
      </c>
      <c r="Y1281" s="381">
        <v>0</v>
      </c>
      <c r="Z1281" s="381">
        <v>0</v>
      </c>
      <c r="AA1281" s="381">
        <v>0</v>
      </c>
      <c r="AB1281" s="381">
        <v>0</v>
      </c>
      <c r="AC1281" s="382">
        <v>0.15625</v>
      </c>
      <c r="AD1281" s="382">
        <v>0</v>
      </c>
      <c r="AE1281" s="381" t="s">
        <v>444</v>
      </c>
    </row>
    <row r="1282" spans="1:31" ht="15" customHeight="1" x14ac:dyDescent="0.25">
      <c r="A1282" s="20" t="s">
        <v>156</v>
      </c>
      <c r="B1282" s="20" t="s">
        <v>1450</v>
      </c>
      <c r="C1282" s="20" t="s">
        <v>1451</v>
      </c>
      <c r="D1282" s="378" t="s">
        <v>1874</v>
      </c>
      <c r="E1282" s="384">
        <v>44613</v>
      </c>
      <c r="F1282" s="384">
        <v>46439</v>
      </c>
      <c r="G1282" s="378" t="s">
        <v>439</v>
      </c>
      <c r="H1282" s="20" t="s">
        <v>455</v>
      </c>
      <c r="I1282" s="378" t="s">
        <v>162</v>
      </c>
      <c r="J1282" s="20" t="s">
        <v>163</v>
      </c>
      <c r="K1282" s="378" t="s">
        <v>476</v>
      </c>
      <c r="L1282" s="378" t="s">
        <v>165</v>
      </c>
      <c r="M1282" s="380">
        <v>2400</v>
      </c>
      <c r="N1282" s="380" t="s">
        <v>443</v>
      </c>
      <c r="O1282" s="380" t="s">
        <v>443</v>
      </c>
      <c r="P1282" s="380" t="s">
        <v>443</v>
      </c>
      <c r="Q1282" s="381">
        <v>289</v>
      </c>
      <c r="R1282" s="381">
        <v>0</v>
      </c>
      <c r="S1282" s="381">
        <v>0</v>
      </c>
      <c r="T1282" s="381">
        <v>0</v>
      </c>
      <c r="U1282" s="381">
        <v>0</v>
      </c>
      <c r="V1282" s="382">
        <v>289</v>
      </c>
      <c r="W1282" s="382">
        <v>0</v>
      </c>
      <c r="X1282" s="381">
        <v>0.12041666666666667</v>
      </c>
      <c r="Y1282" s="381">
        <v>0</v>
      </c>
      <c r="Z1282" s="381">
        <v>0</v>
      </c>
      <c r="AA1282" s="381">
        <v>0</v>
      </c>
      <c r="AB1282" s="381">
        <v>0</v>
      </c>
      <c r="AC1282" s="382">
        <v>0.12041666666666667</v>
      </c>
      <c r="AD1282" s="382">
        <v>0</v>
      </c>
      <c r="AE1282" s="381" t="s">
        <v>444</v>
      </c>
    </row>
    <row r="1283" spans="1:31" ht="15" customHeight="1" x14ac:dyDescent="0.25">
      <c r="A1283" s="20" t="s">
        <v>156</v>
      </c>
      <c r="B1283" s="20" t="s">
        <v>1450</v>
      </c>
      <c r="C1283" s="20" t="s">
        <v>1451</v>
      </c>
      <c r="D1283" s="378" t="s">
        <v>1875</v>
      </c>
      <c r="E1283" s="384">
        <v>44613</v>
      </c>
      <c r="F1283" s="384">
        <v>46439</v>
      </c>
      <c r="G1283" s="378" t="s">
        <v>439</v>
      </c>
      <c r="H1283" s="20" t="s">
        <v>455</v>
      </c>
      <c r="I1283" s="378" t="s">
        <v>162</v>
      </c>
      <c r="J1283" s="20" t="s">
        <v>163</v>
      </c>
      <c r="K1283" s="378" t="s">
        <v>476</v>
      </c>
      <c r="L1283" s="378" t="s">
        <v>165</v>
      </c>
      <c r="M1283" s="380">
        <v>2400</v>
      </c>
      <c r="N1283" s="380" t="s">
        <v>443</v>
      </c>
      <c r="O1283" s="380" t="s">
        <v>443</v>
      </c>
      <c r="P1283" s="380" t="s">
        <v>443</v>
      </c>
      <c r="Q1283" s="381">
        <v>384</v>
      </c>
      <c r="R1283" s="381">
        <v>0</v>
      </c>
      <c r="S1283" s="381">
        <v>0</v>
      </c>
      <c r="T1283" s="381">
        <v>0</v>
      </c>
      <c r="U1283" s="381">
        <v>0</v>
      </c>
      <c r="V1283" s="382">
        <v>384</v>
      </c>
      <c r="W1283" s="382">
        <v>0</v>
      </c>
      <c r="X1283" s="381">
        <v>0.16</v>
      </c>
      <c r="Y1283" s="381">
        <v>0</v>
      </c>
      <c r="Z1283" s="381">
        <v>0</v>
      </c>
      <c r="AA1283" s="381">
        <v>0</v>
      </c>
      <c r="AB1283" s="381">
        <v>0</v>
      </c>
      <c r="AC1283" s="382">
        <v>0.16</v>
      </c>
      <c r="AD1283" s="382">
        <v>0</v>
      </c>
      <c r="AE1283" s="381" t="s">
        <v>444</v>
      </c>
    </row>
    <row r="1284" spans="1:31" ht="15" customHeight="1" x14ac:dyDescent="0.25">
      <c r="A1284" s="20" t="s">
        <v>156</v>
      </c>
      <c r="B1284" s="20" t="s">
        <v>1450</v>
      </c>
      <c r="C1284" s="20" t="s">
        <v>1451</v>
      </c>
      <c r="D1284" s="378" t="s">
        <v>1876</v>
      </c>
      <c r="E1284" s="384">
        <v>44613</v>
      </c>
      <c r="F1284" s="384">
        <v>46439</v>
      </c>
      <c r="G1284" s="378" t="s">
        <v>439</v>
      </c>
      <c r="H1284" s="20" t="s">
        <v>455</v>
      </c>
      <c r="I1284" s="378" t="s">
        <v>162</v>
      </c>
      <c r="J1284" s="20" t="s">
        <v>163</v>
      </c>
      <c r="K1284" s="378" t="s">
        <v>476</v>
      </c>
      <c r="L1284" s="378" t="s">
        <v>165</v>
      </c>
      <c r="M1284" s="380">
        <v>2400</v>
      </c>
      <c r="N1284" s="380" t="s">
        <v>443</v>
      </c>
      <c r="O1284" s="380" t="s">
        <v>443</v>
      </c>
      <c r="P1284" s="380" t="s">
        <v>443</v>
      </c>
      <c r="Q1284" s="381">
        <v>355</v>
      </c>
      <c r="R1284" s="381">
        <v>0</v>
      </c>
      <c r="S1284" s="381">
        <v>0</v>
      </c>
      <c r="T1284" s="381">
        <v>0</v>
      </c>
      <c r="U1284" s="381">
        <v>0</v>
      </c>
      <c r="V1284" s="382">
        <v>355</v>
      </c>
      <c r="W1284" s="382">
        <v>0</v>
      </c>
      <c r="X1284" s="381">
        <v>0.14791666666666667</v>
      </c>
      <c r="Y1284" s="381">
        <v>0</v>
      </c>
      <c r="Z1284" s="381">
        <v>0</v>
      </c>
      <c r="AA1284" s="381">
        <v>0</v>
      </c>
      <c r="AB1284" s="381">
        <v>0</v>
      </c>
      <c r="AC1284" s="382">
        <v>0.14791666666666667</v>
      </c>
      <c r="AD1284" s="382">
        <v>0</v>
      </c>
      <c r="AE1284" s="381" t="s">
        <v>444</v>
      </c>
    </row>
    <row r="1285" spans="1:31" ht="15" customHeight="1" x14ac:dyDescent="0.25">
      <c r="A1285" s="20" t="s">
        <v>156</v>
      </c>
      <c r="B1285" s="20" t="s">
        <v>1450</v>
      </c>
      <c r="C1285" s="20" t="s">
        <v>1451</v>
      </c>
      <c r="D1285" s="378" t="s">
        <v>1877</v>
      </c>
      <c r="E1285" s="384">
        <v>44613</v>
      </c>
      <c r="F1285" s="384">
        <v>46439</v>
      </c>
      <c r="G1285" s="378" t="s">
        <v>439</v>
      </c>
      <c r="H1285" s="20" t="s">
        <v>455</v>
      </c>
      <c r="I1285" s="378" t="s">
        <v>162</v>
      </c>
      <c r="J1285" s="20" t="s">
        <v>163</v>
      </c>
      <c r="K1285" s="378" t="s">
        <v>476</v>
      </c>
      <c r="L1285" s="378" t="s">
        <v>165</v>
      </c>
      <c r="M1285" s="380">
        <v>2400</v>
      </c>
      <c r="N1285" s="380" t="s">
        <v>443</v>
      </c>
      <c r="O1285" s="380" t="s">
        <v>443</v>
      </c>
      <c r="P1285" s="380" t="s">
        <v>443</v>
      </c>
      <c r="Q1285" s="381">
        <v>341</v>
      </c>
      <c r="R1285" s="381">
        <v>0</v>
      </c>
      <c r="S1285" s="381">
        <v>0</v>
      </c>
      <c r="T1285" s="381">
        <v>0</v>
      </c>
      <c r="U1285" s="381">
        <v>0</v>
      </c>
      <c r="V1285" s="382">
        <v>341</v>
      </c>
      <c r="W1285" s="382">
        <v>0</v>
      </c>
      <c r="X1285" s="381">
        <v>0.14208333333333334</v>
      </c>
      <c r="Y1285" s="381">
        <v>0</v>
      </c>
      <c r="Z1285" s="381">
        <v>0</v>
      </c>
      <c r="AA1285" s="381">
        <v>0</v>
      </c>
      <c r="AB1285" s="381">
        <v>0</v>
      </c>
      <c r="AC1285" s="382">
        <v>0.14208333333333334</v>
      </c>
      <c r="AD1285" s="382">
        <v>0</v>
      </c>
      <c r="AE1285" s="381" t="s">
        <v>444</v>
      </c>
    </row>
    <row r="1286" spans="1:31" ht="15" customHeight="1" x14ac:dyDescent="0.25">
      <c r="A1286" s="20" t="s">
        <v>156</v>
      </c>
      <c r="B1286" s="20" t="s">
        <v>1450</v>
      </c>
      <c r="C1286" s="20" t="s">
        <v>1451</v>
      </c>
      <c r="D1286" s="378" t="s">
        <v>1878</v>
      </c>
      <c r="E1286" s="384">
        <v>44613</v>
      </c>
      <c r="F1286" s="384">
        <v>46439</v>
      </c>
      <c r="G1286" s="378" t="s">
        <v>439</v>
      </c>
      <c r="H1286" s="20" t="s">
        <v>455</v>
      </c>
      <c r="I1286" s="378" t="s">
        <v>162</v>
      </c>
      <c r="J1286" s="20" t="s">
        <v>163</v>
      </c>
      <c r="K1286" s="378" t="s">
        <v>476</v>
      </c>
      <c r="L1286" s="378" t="s">
        <v>165</v>
      </c>
      <c r="M1286" s="380">
        <v>2400</v>
      </c>
      <c r="N1286" s="380" t="s">
        <v>443</v>
      </c>
      <c r="O1286" s="380" t="s">
        <v>443</v>
      </c>
      <c r="P1286" s="380" t="s">
        <v>443</v>
      </c>
      <c r="Q1286" s="381">
        <v>357</v>
      </c>
      <c r="R1286" s="381">
        <v>0</v>
      </c>
      <c r="S1286" s="381">
        <v>0</v>
      </c>
      <c r="T1286" s="381">
        <v>0</v>
      </c>
      <c r="U1286" s="381">
        <v>0</v>
      </c>
      <c r="V1286" s="382">
        <v>357</v>
      </c>
      <c r="W1286" s="382">
        <v>0</v>
      </c>
      <c r="X1286" s="381">
        <v>0.14874999999999999</v>
      </c>
      <c r="Y1286" s="381">
        <v>0</v>
      </c>
      <c r="Z1286" s="381">
        <v>0</v>
      </c>
      <c r="AA1286" s="381">
        <v>0</v>
      </c>
      <c r="AB1286" s="381">
        <v>0</v>
      </c>
      <c r="AC1286" s="382">
        <v>0.14874999999999999</v>
      </c>
      <c r="AD1286" s="382">
        <v>0</v>
      </c>
      <c r="AE1286" s="381" t="s">
        <v>444</v>
      </c>
    </row>
    <row r="1287" spans="1:31" ht="15" customHeight="1" x14ac:dyDescent="0.25">
      <c r="A1287" s="20" t="s">
        <v>156</v>
      </c>
      <c r="B1287" s="20" t="s">
        <v>1450</v>
      </c>
      <c r="C1287" s="20" t="s">
        <v>1451</v>
      </c>
      <c r="D1287" s="378" t="s">
        <v>1879</v>
      </c>
      <c r="E1287" s="384">
        <v>44613</v>
      </c>
      <c r="F1287" s="384">
        <v>46439</v>
      </c>
      <c r="G1287" s="378" t="s">
        <v>439</v>
      </c>
      <c r="H1287" s="20" t="s">
        <v>455</v>
      </c>
      <c r="I1287" s="378" t="s">
        <v>162</v>
      </c>
      <c r="J1287" s="20" t="s">
        <v>163</v>
      </c>
      <c r="K1287" s="378" t="s">
        <v>476</v>
      </c>
      <c r="L1287" s="378" t="s">
        <v>165</v>
      </c>
      <c r="M1287" s="380">
        <v>2400</v>
      </c>
      <c r="N1287" s="380" t="s">
        <v>443</v>
      </c>
      <c r="O1287" s="380" t="s">
        <v>443</v>
      </c>
      <c r="P1287" s="380" t="s">
        <v>443</v>
      </c>
      <c r="Q1287" s="381">
        <v>278</v>
      </c>
      <c r="R1287" s="381">
        <v>0</v>
      </c>
      <c r="S1287" s="381">
        <v>0</v>
      </c>
      <c r="T1287" s="381">
        <v>0</v>
      </c>
      <c r="U1287" s="381">
        <v>0</v>
      </c>
      <c r="V1287" s="382">
        <v>278</v>
      </c>
      <c r="W1287" s="382">
        <v>0</v>
      </c>
      <c r="X1287" s="381">
        <v>0.11583333333333333</v>
      </c>
      <c r="Y1287" s="381">
        <v>0</v>
      </c>
      <c r="Z1287" s="381">
        <v>0</v>
      </c>
      <c r="AA1287" s="381">
        <v>0</v>
      </c>
      <c r="AB1287" s="381">
        <v>0</v>
      </c>
      <c r="AC1287" s="382">
        <v>0.11583333333333333</v>
      </c>
      <c r="AD1287" s="382">
        <v>0</v>
      </c>
      <c r="AE1287" s="381" t="s">
        <v>444</v>
      </c>
    </row>
    <row r="1288" spans="1:31" ht="15" customHeight="1" x14ac:dyDescent="0.25">
      <c r="A1288" s="20" t="s">
        <v>156</v>
      </c>
      <c r="B1288" s="20" t="s">
        <v>1450</v>
      </c>
      <c r="C1288" s="20" t="s">
        <v>1451</v>
      </c>
      <c r="D1288" s="378" t="s">
        <v>1880</v>
      </c>
      <c r="E1288" s="384">
        <v>44613</v>
      </c>
      <c r="F1288" s="384">
        <v>46439</v>
      </c>
      <c r="G1288" s="378" t="s">
        <v>439</v>
      </c>
      <c r="H1288" s="20" t="s">
        <v>455</v>
      </c>
      <c r="I1288" s="378" t="s">
        <v>162</v>
      </c>
      <c r="J1288" s="20" t="s">
        <v>163</v>
      </c>
      <c r="K1288" s="378" t="s">
        <v>476</v>
      </c>
      <c r="L1288" s="378" t="s">
        <v>165</v>
      </c>
      <c r="M1288" s="380">
        <v>2400</v>
      </c>
      <c r="N1288" s="380" t="s">
        <v>443</v>
      </c>
      <c r="O1288" s="380" t="s">
        <v>443</v>
      </c>
      <c r="P1288" s="380" t="s">
        <v>443</v>
      </c>
      <c r="Q1288" s="381">
        <v>280</v>
      </c>
      <c r="R1288" s="381">
        <v>0</v>
      </c>
      <c r="S1288" s="381">
        <v>0</v>
      </c>
      <c r="T1288" s="381">
        <v>0</v>
      </c>
      <c r="U1288" s="381">
        <v>0</v>
      </c>
      <c r="V1288" s="382">
        <v>280</v>
      </c>
      <c r="W1288" s="382">
        <v>0</v>
      </c>
      <c r="X1288" s="381">
        <v>0.11666666666666667</v>
      </c>
      <c r="Y1288" s="381">
        <v>0</v>
      </c>
      <c r="Z1288" s="381">
        <v>0</v>
      </c>
      <c r="AA1288" s="381">
        <v>0</v>
      </c>
      <c r="AB1288" s="381">
        <v>0</v>
      </c>
      <c r="AC1288" s="382">
        <v>0.11666666666666667</v>
      </c>
      <c r="AD1288" s="382">
        <v>0</v>
      </c>
      <c r="AE1288" s="381" t="s">
        <v>444</v>
      </c>
    </row>
    <row r="1289" spans="1:31" ht="15" customHeight="1" x14ac:dyDescent="0.25">
      <c r="A1289" s="20" t="s">
        <v>156</v>
      </c>
      <c r="B1289" s="20" t="s">
        <v>1450</v>
      </c>
      <c r="C1289" s="20" t="s">
        <v>1451</v>
      </c>
      <c r="D1289" s="378" t="s">
        <v>1881</v>
      </c>
      <c r="E1289" s="384">
        <v>44613</v>
      </c>
      <c r="F1289" s="384">
        <v>46439</v>
      </c>
      <c r="G1289" s="378" t="s">
        <v>439</v>
      </c>
      <c r="H1289" s="20" t="s">
        <v>455</v>
      </c>
      <c r="I1289" s="378" t="s">
        <v>162</v>
      </c>
      <c r="J1289" s="20" t="s">
        <v>163</v>
      </c>
      <c r="K1289" s="378" t="s">
        <v>476</v>
      </c>
      <c r="L1289" s="378" t="s">
        <v>165</v>
      </c>
      <c r="M1289" s="380">
        <v>2400</v>
      </c>
      <c r="N1289" s="380" t="s">
        <v>443</v>
      </c>
      <c r="O1289" s="380" t="s">
        <v>443</v>
      </c>
      <c r="P1289" s="380" t="s">
        <v>443</v>
      </c>
      <c r="Q1289" s="381">
        <v>323</v>
      </c>
      <c r="R1289" s="381">
        <v>0</v>
      </c>
      <c r="S1289" s="381">
        <v>0</v>
      </c>
      <c r="T1289" s="381">
        <v>0</v>
      </c>
      <c r="U1289" s="381">
        <v>0</v>
      </c>
      <c r="V1289" s="382">
        <v>323</v>
      </c>
      <c r="W1289" s="382">
        <v>0</v>
      </c>
      <c r="X1289" s="381">
        <v>0.13458333333333333</v>
      </c>
      <c r="Y1289" s="381">
        <v>0</v>
      </c>
      <c r="Z1289" s="381">
        <v>0</v>
      </c>
      <c r="AA1289" s="381">
        <v>0</v>
      </c>
      <c r="AB1289" s="381">
        <v>0</v>
      </c>
      <c r="AC1289" s="382">
        <v>0.13458333333333333</v>
      </c>
      <c r="AD1289" s="382">
        <v>0</v>
      </c>
      <c r="AE1289" s="381" t="s">
        <v>444</v>
      </c>
    </row>
    <row r="1290" spans="1:31" ht="15" customHeight="1" x14ac:dyDescent="0.25">
      <c r="A1290" s="20" t="s">
        <v>156</v>
      </c>
      <c r="B1290" s="20" t="s">
        <v>1450</v>
      </c>
      <c r="C1290" s="20" t="s">
        <v>1451</v>
      </c>
      <c r="D1290" s="378" t="s">
        <v>1882</v>
      </c>
      <c r="E1290" s="384">
        <v>44613</v>
      </c>
      <c r="F1290" s="384">
        <v>46439</v>
      </c>
      <c r="G1290" s="378" t="s">
        <v>439</v>
      </c>
      <c r="H1290" s="20" t="s">
        <v>455</v>
      </c>
      <c r="I1290" s="378" t="s">
        <v>162</v>
      </c>
      <c r="J1290" s="20" t="s">
        <v>163</v>
      </c>
      <c r="K1290" s="378" t="s">
        <v>476</v>
      </c>
      <c r="L1290" s="378" t="s">
        <v>165</v>
      </c>
      <c r="M1290" s="380">
        <v>2400</v>
      </c>
      <c r="N1290" s="380" t="s">
        <v>443</v>
      </c>
      <c r="O1290" s="380" t="s">
        <v>443</v>
      </c>
      <c r="P1290" s="380" t="s">
        <v>443</v>
      </c>
      <c r="Q1290" s="381">
        <v>415</v>
      </c>
      <c r="R1290" s="381">
        <v>0</v>
      </c>
      <c r="S1290" s="381">
        <v>0</v>
      </c>
      <c r="T1290" s="381">
        <v>0</v>
      </c>
      <c r="U1290" s="381">
        <v>0</v>
      </c>
      <c r="V1290" s="382">
        <v>415</v>
      </c>
      <c r="W1290" s="382">
        <v>0</v>
      </c>
      <c r="X1290" s="381">
        <v>0.17291666666666666</v>
      </c>
      <c r="Y1290" s="381">
        <v>0</v>
      </c>
      <c r="Z1290" s="381">
        <v>0</v>
      </c>
      <c r="AA1290" s="381">
        <v>0</v>
      </c>
      <c r="AB1290" s="381">
        <v>0</v>
      </c>
      <c r="AC1290" s="382">
        <v>0.17291666666666666</v>
      </c>
      <c r="AD1290" s="382">
        <v>0</v>
      </c>
      <c r="AE1290" s="381" t="s">
        <v>444</v>
      </c>
    </row>
    <row r="1291" spans="1:31" ht="15" customHeight="1" x14ac:dyDescent="0.25">
      <c r="A1291" s="20" t="s">
        <v>156</v>
      </c>
      <c r="B1291" s="20" t="s">
        <v>1450</v>
      </c>
      <c r="C1291" s="20" t="s">
        <v>1451</v>
      </c>
      <c r="D1291" s="378" t="s">
        <v>1883</v>
      </c>
      <c r="E1291" s="384">
        <v>44613</v>
      </c>
      <c r="F1291" s="384">
        <v>46439</v>
      </c>
      <c r="G1291" s="378" t="s">
        <v>439</v>
      </c>
      <c r="H1291" s="20" t="s">
        <v>455</v>
      </c>
      <c r="I1291" s="378" t="s">
        <v>162</v>
      </c>
      <c r="J1291" s="20" t="s">
        <v>163</v>
      </c>
      <c r="K1291" s="378" t="s">
        <v>476</v>
      </c>
      <c r="L1291" s="378" t="s">
        <v>165</v>
      </c>
      <c r="M1291" s="380">
        <v>2400</v>
      </c>
      <c r="N1291" s="380" t="s">
        <v>443</v>
      </c>
      <c r="O1291" s="380" t="s">
        <v>443</v>
      </c>
      <c r="P1291" s="380" t="s">
        <v>443</v>
      </c>
      <c r="Q1291" s="381">
        <v>349</v>
      </c>
      <c r="R1291" s="381">
        <v>0</v>
      </c>
      <c r="S1291" s="381">
        <v>0</v>
      </c>
      <c r="T1291" s="381">
        <v>0</v>
      </c>
      <c r="U1291" s="381">
        <v>0</v>
      </c>
      <c r="V1291" s="382">
        <v>349</v>
      </c>
      <c r="W1291" s="382">
        <v>0</v>
      </c>
      <c r="X1291" s="381">
        <v>0.14541666666666667</v>
      </c>
      <c r="Y1291" s="381">
        <v>0</v>
      </c>
      <c r="Z1291" s="381">
        <v>0</v>
      </c>
      <c r="AA1291" s="381">
        <v>0</v>
      </c>
      <c r="AB1291" s="381">
        <v>0</v>
      </c>
      <c r="AC1291" s="382">
        <v>0.14541666666666667</v>
      </c>
      <c r="AD1291" s="382">
        <v>0</v>
      </c>
      <c r="AE1291" s="381" t="s">
        <v>444</v>
      </c>
    </row>
    <row r="1292" spans="1:31" ht="15" customHeight="1" x14ac:dyDescent="0.25">
      <c r="A1292" s="20" t="s">
        <v>156</v>
      </c>
      <c r="B1292" s="20" t="s">
        <v>1450</v>
      </c>
      <c r="C1292" s="20" t="s">
        <v>1451</v>
      </c>
      <c r="D1292" s="378" t="s">
        <v>1884</v>
      </c>
      <c r="E1292" s="384">
        <v>44613</v>
      </c>
      <c r="F1292" s="384">
        <v>46439</v>
      </c>
      <c r="G1292" s="378" t="s">
        <v>439</v>
      </c>
      <c r="H1292" s="20" t="s">
        <v>455</v>
      </c>
      <c r="I1292" s="378" t="s">
        <v>162</v>
      </c>
      <c r="J1292" s="20" t="s">
        <v>163</v>
      </c>
      <c r="K1292" s="378" t="s">
        <v>476</v>
      </c>
      <c r="L1292" s="378" t="s">
        <v>165</v>
      </c>
      <c r="M1292" s="380">
        <v>2400</v>
      </c>
      <c r="N1292" s="380" t="s">
        <v>443</v>
      </c>
      <c r="O1292" s="380" t="s">
        <v>443</v>
      </c>
      <c r="P1292" s="380" t="s">
        <v>443</v>
      </c>
      <c r="Q1292" s="381">
        <v>318</v>
      </c>
      <c r="R1292" s="381">
        <v>0</v>
      </c>
      <c r="S1292" s="381">
        <v>0</v>
      </c>
      <c r="T1292" s="381">
        <v>0</v>
      </c>
      <c r="U1292" s="381">
        <v>0</v>
      </c>
      <c r="V1292" s="382">
        <v>318</v>
      </c>
      <c r="W1292" s="382">
        <v>0</v>
      </c>
      <c r="X1292" s="381">
        <v>0.13250000000000001</v>
      </c>
      <c r="Y1292" s="381">
        <v>0</v>
      </c>
      <c r="Z1292" s="381">
        <v>0</v>
      </c>
      <c r="AA1292" s="381">
        <v>0</v>
      </c>
      <c r="AB1292" s="381">
        <v>0</v>
      </c>
      <c r="AC1292" s="382">
        <v>0.13250000000000001</v>
      </c>
      <c r="AD1292" s="382">
        <v>0</v>
      </c>
      <c r="AE1292" s="381" t="s">
        <v>444</v>
      </c>
    </row>
    <row r="1293" spans="1:31" ht="15" customHeight="1" x14ac:dyDescent="0.25">
      <c r="A1293" s="20" t="s">
        <v>156</v>
      </c>
      <c r="B1293" s="20" t="s">
        <v>1450</v>
      </c>
      <c r="C1293" s="20" t="s">
        <v>1451</v>
      </c>
      <c r="D1293" s="378" t="s">
        <v>1885</v>
      </c>
      <c r="E1293" s="384">
        <v>44613</v>
      </c>
      <c r="F1293" s="384">
        <v>46439</v>
      </c>
      <c r="G1293" s="378" t="s">
        <v>439</v>
      </c>
      <c r="H1293" s="20" t="s">
        <v>455</v>
      </c>
      <c r="I1293" s="378" t="s">
        <v>162</v>
      </c>
      <c r="J1293" s="20" t="s">
        <v>163</v>
      </c>
      <c r="K1293" s="378" t="s">
        <v>476</v>
      </c>
      <c r="L1293" s="378" t="s">
        <v>165</v>
      </c>
      <c r="M1293" s="380">
        <v>2400</v>
      </c>
      <c r="N1293" s="380" t="s">
        <v>443</v>
      </c>
      <c r="O1293" s="380" t="s">
        <v>443</v>
      </c>
      <c r="P1293" s="380" t="s">
        <v>443</v>
      </c>
      <c r="Q1293" s="381">
        <v>407</v>
      </c>
      <c r="R1293" s="381">
        <v>0</v>
      </c>
      <c r="S1293" s="381">
        <v>0</v>
      </c>
      <c r="T1293" s="381">
        <v>0</v>
      </c>
      <c r="U1293" s="381">
        <v>0</v>
      </c>
      <c r="V1293" s="382">
        <v>407</v>
      </c>
      <c r="W1293" s="382">
        <v>0</v>
      </c>
      <c r="X1293" s="381">
        <v>0.16958333333333334</v>
      </c>
      <c r="Y1293" s="381">
        <v>0</v>
      </c>
      <c r="Z1293" s="381">
        <v>0</v>
      </c>
      <c r="AA1293" s="381">
        <v>0</v>
      </c>
      <c r="AB1293" s="381">
        <v>0</v>
      </c>
      <c r="AC1293" s="382">
        <v>0.16958333333333334</v>
      </c>
      <c r="AD1293" s="382">
        <v>0</v>
      </c>
      <c r="AE1293" s="381" t="s">
        <v>444</v>
      </c>
    </row>
    <row r="1294" spans="1:31" ht="15" customHeight="1" x14ac:dyDescent="0.25">
      <c r="A1294" s="20" t="s">
        <v>156</v>
      </c>
      <c r="B1294" s="20" t="s">
        <v>1450</v>
      </c>
      <c r="C1294" s="20" t="s">
        <v>1451</v>
      </c>
      <c r="D1294" s="378" t="s">
        <v>1886</v>
      </c>
      <c r="E1294" s="384">
        <v>44613</v>
      </c>
      <c r="F1294" s="384">
        <v>46439</v>
      </c>
      <c r="G1294" s="378" t="s">
        <v>439</v>
      </c>
      <c r="H1294" s="20" t="s">
        <v>455</v>
      </c>
      <c r="I1294" s="378" t="s">
        <v>162</v>
      </c>
      <c r="J1294" s="20" t="s">
        <v>163</v>
      </c>
      <c r="K1294" s="378" t="s">
        <v>476</v>
      </c>
      <c r="L1294" s="378" t="s">
        <v>165</v>
      </c>
      <c r="M1294" s="380">
        <v>2400</v>
      </c>
      <c r="N1294" s="380" t="s">
        <v>443</v>
      </c>
      <c r="O1294" s="380" t="s">
        <v>443</v>
      </c>
      <c r="P1294" s="380" t="s">
        <v>443</v>
      </c>
      <c r="Q1294" s="381">
        <v>392</v>
      </c>
      <c r="R1294" s="381">
        <v>0</v>
      </c>
      <c r="S1294" s="381">
        <v>0</v>
      </c>
      <c r="T1294" s="381">
        <v>0</v>
      </c>
      <c r="U1294" s="381">
        <v>0</v>
      </c>
      <c r="V1294" s="382">
        <v>392</v>
      </c>
      <c r="W1294" s="382">
        <v>0</v>
      </c>
      <c r="X1294" s="381">
        <v>0.16333333333333333</v>
      </c>
      <c r="Y1294" s="381">
        <v>0</v>
      </c>
      <c r="Z1294" s="381">
        <v>0</v>
      </c>
      <c r="AA1294" s="381">
        <v>0</v>
      </c>
      <c r="AB1294" s="381">
        <v>0</v>
      </c>
      <c r="AC1294" s="382">
        <v>0.16333333333333333</v>
      </c>
      <c r="AD1294" s="382">
        <v>0</v>
      </c>
      <c r="AE1294" s="381" t="s">
        <v>444</v>
      </c>
    </row>
    <row r="1295" spans="1:31" ht="15" customHeight="1" x14ac:dyDescent="0.25">
      <c r="A1295" s="20" t="s">
        <v>156</v>
      </c>
      <c r="B1295" s="20" t="s">
        <v>1450</v>
      </c>
      <c r="C1295" s="20" t="s">
        <v>1451</v>
      </c>
      <c r="D1295" s="378" t="s">
        <v>1887</v>
      </c>
      <c r="E1295" s="384">
        <v>44613</v>
      </c>
      <c r="F1295" s="384">
        <v>46439</v>
      </c>
      <c r="G1295" s="378" t="s">
        <v>439</v>
      </c>
      <c r="H1295" s="20" t="s">
        <v>455</v>
      </c>
      <c r="I1295" s="378" t="s">
        <v>162</v>
      </c>
      <c r="J1295" s="20" t="s">
        <v>163</v>
      </c>
      <c r="K1295" s="378" t="s">
        <v>476</v>
      </c>
      <c r="L1295" s="378" t="s">
        <v>165</v>
      </c>
      <c r="M1295" s="380">
        <v>2400</v>
      </c>
      <c r="N1295" s="380" t="s">
        <v>443</v>
      </c>
      <c r="O1295" s="380" t="s">
        <v>443</v>
      </c>
      <c r="P1295" s="380" t="s">
        <v>443</v>
      </c>
      <c r="Q1295" s="381">
        <v>439</v>
      </c>
      <c r="R1295" s="381">
        <v>0</v>
      </c>
      <c r="S1295" s="381">
        <v>0</v>
      </c>
      <c r="T1295" s="381">
        <v>0</v>
      </c>
      <c r="U1295" s="381">
        <v>0</v>
      </c>
      <c r="V1295" s="382">
        <v>439</v>
      </c>
      <c r="W1295" s="382">
        <v>0</v>
      </c>
      <c r="X1295" s="381">
        <v>0.18291666666666667</v>
      </c>
      <c r="Y1295" s="381">
        <v>0</v>
      </c>
      <c r="Z1295" s="381">
        <v>0</v>
      </c>
      <c r="AA1295" s="381">
        <v>0</v>
      </c>
      <c r="AB1295" s="381">
        <v>0</v>
      </c>
      <c r="AC1295" s="382">
        <v>0.18291666666666667</v>
      </c>
      <c r="AD1295" s="382">
        <v>0</v>
      </c>
      <c r="AE1295" s="381" t="s">
        <v>444</v>
      </c>
    </row>
    <row r="1296" spans="1:31" ht="15" customHeight="1" x14ac:dyDescent="0.25">
      <c r="A1296" s="20" t="s">
        <v>156</v>
      </c>
      <c r="B1296" s="20" t="s">
        <v>1450</v>
      </c>
      <c r="C1296" s="20" t="s">
        <v>1451</v>
      </c>
      <c r="D1296" s="378" t="s">
        <v>1870</v>
      </c>
      <c r="E1296" s="384">
        <v>44613</v>
      </c>
      <c r="F1296" s="384">
        <v>46439</v>
      </c>
      <c r="G1296" s="378" t="s">
        <v>439</v>
      </c>
      <c r="H1296" s="20" t="s">
        <v>455</v>
      </c>
      <c r="I1296" s="378" t="s">
        <v>162</v>
      </c>
      <c r="J1296" s="20" t="s">
        <v>163</v>
      </c>
      <c r="K1296" s="378" t="s">
        <v>476</v>
      </c>
      <c r="L1296" s="378" t="s">
        <v>165</v>
      </c>
      <c r="M1296" s="380">
        <v>2400</v>
      </c>
      <c r="N1296" s="380" t="s">
        <v>443</v>
      </c>
      <c r="O1296" s="380" t="s">
        <v>443</v>
      </c>
      <c r="P1296" s="380" t="s">
        <v>443</v>
      </c>
      <c r="Q1296" s="381">
        <v>284</v>
      </c>
      <c r="R1296" s="381">
        <v>0</v>
      </c>
      <c r="S1296" s="381">
        <v>0</v>
      </c>
      <c r="T1296" s="381">
        <v>0</v>
      </c>
      <c r="U1296" s="381">
        <v>0</v>
      </c>
      <c r="V1296" s="382">
        <v>284</v>
      </c>
      <c r="W1296" s="382">
        <v>0</v>
      </c>
      <c r="X1296" s="381">
        <v>0.11833333333333333</v>
      </c>
      <c r="Y1296" s="381">
        <v>0</v>
      </c>
      <c r="Z1296" s="381">
        <v>0</v>
      </c>
      <c r="AA1296" s="381">
        <v>0</v>
      </c>
      <c r="AB1296" s="381">
        <v>0</v>
      </c>
      <c r="AC1296" s="382">
        <v>0.11833333333333333</v>
      </c>
      <c r="AD1296" s="382">
        <v>0</v>
      </c>
      <c r="AE1296" s="381" t="s">
        <v>444</v>
      </c>
    </row>
    <row r="1297" spans="1:31" ht="15" customHeight="1" x14ac:dyDescent="0.25">
      <c r="A1297" s="20" t="s">
        <v>156</v>
      </c>
      <c r="B1297" s="20" t="s">
        <v>1450</v>
      </c>
      <c r="C1297" s="20" t="s">
        <v>1451</v>
      </c>
      <c r="D1297" s="378" t="s">
        <v>1871</v>
      </c>
      <c r="E1297" s="384">
        <v>44613</v>
      </c>
      <c r="F1297" s="384">
        <v>46439</v>
      </c>
      <c r="G1297" s="378" t="s">
        <v>439</v>
      </c>
      <c r="H1297" s="20" t="s">
        <v>455</v>
      </c>
      <c r="I1297" s="378" t="s">
        <v>162</v>
      </c>
      <c r="J1297" s="20" t="s">
        <v>163</v>
      </c>
      <c r="K1297" s="378" t="s">
        <v>476</v>
      </c>
      <c r="L1297" s="378" t="s">
        <v>165</v>
      </c>
      <c r="M1297" s="380">
        <v>2400</v>
      </c>
      <c r="N1297" s="380" t="s">
        <v>443</v>
      </c>
      <c r="O1297" s="380" t="s">
        <v>443</v>
      </c>
      <c r="P1297" s="380" t="s">
        <v>443</v>
      </c>
      <c r="Q1297" s="381">
        <v>271</v>
      </c>
      <c r="R1297" s="381">
        <v>0</v>
      </c>
      <c r="S1297" s="381">
        <v>0</v>
      </c>
      <c r="T1297" s="381">
        <v>0</v>
      </c>
      <c r="U1297" s="381">
        <v>0</v>
      </c>
      <c r="V1297" s="382">
        <v>271</v>
      </c>
      <c r="W1297" s="382">
        <v>0</v>
      </c>
      <c r="X1297" s="381">
        <v>0.11291666666666667</v>
      </c>
      <c r="Y1297" s="381">
        <v>0</v>
      </c>
      <c r="Z1297" s="381">
        <v>0</v>
      </c>
      <c r="AA1297" s="381">
        <v>0</v>
      </c>
      <c r="AB1297" s="381">
        <v>0</v>
      </c>
      <c r="AC1297" s="382">
        <v>0.11291666666666667</v>
      </c>
      <c r="AD1297" s="382">
        <v>0</v>
      </c>
      <c r="AE1297" s="381" t="s">
        <v>444</v>
      </c>
    </row>
    <row r="1298" spans="1:31" ht="15" customHeight="1" x14ac:dyDescent="0.25">
      <c r="A1298" s="20" t="s">
        <v>156</v>
      </c>
      <c r="B1298" s="20" t="s">
        <v>1450</v>
      </c>
      <c r="C1298" s="20" t="s">
        <v>1451</v>
      </c>
      <c r="D1298" s="378" t="s">
        <v>1872</v>
      </c>
      <c r="E1298" s="384">
        <v>44613</v>
      </c>
      <c r="F1298" s="384">
        <v>46439</v>
      </c>
      <c r="G1298" s="378" t="s">
        <v>439</v>
      </c>
      <c r="H1298" s="20" t="s">
        <v>455</v>
      </c>
      <c r="I1298" s="378" t="s">
        <v>162</v>
      </c>
      <c r="J1298" s="20" t="s">
        <v>163</v>
      </c>
      <c r="K1298" s="378" t="s">
        <v>476</v>
      </c>
      <c r="L1298" s="378" t="s">
        <v>165</v>
      </c>
      <c r="M1298" s="380">
        <v>2400</v>
      </c>
      <c r="N1298" s="380" t="s">
        <v>443</v>
      </c>
      <c r="O1298" s="380" t="s">
        <v>443</v>
      </c>
      <c r="P1298" s="380" t="s">
        <v>443</v>
      </c>
      <c r="Q1298" s="381">
        <v>336</v>
      </c>
      <c r="R1298" s="381">
        <v>0</v>
      </c>
      <c r="S1298" s="381">
        <v>0</v>
      </c>
      <c r="T1298" s="381">
        <v>0</v>
      </c>
      <c r="U1298" s="381">
        <v>0</v>
      </c>
      <c r="V1298" s="382">
        <v>336</v>
      </c>
      <c r="W1298" s="382">
        <v>0</v>
      </c>
      <c r="X1298" s="381">
        <v>0.14000000000000001</v>
      </c>
      <c r="Y1298" s="381">
        <v>0</v>
      </c>
      <c r="Z1298" s="381">
        <v>0</v>
      </c>
      <c r="AA1298" s="381">
        <v>0</v>
      </c>
      <c r="AB1298" s="381">
        <v>0</v>
      </c>
      <c r="AC1298" s="382">
        <v>0.14000000000000001</v>
      </c>
      <c r="AD1298" s="382">
        <v>0</v>
      </c>
      <c r="AE1298" s="381" t="s">
        <v>444</v>
      </c>
    </row>
    <row r="1299" spans="1:31" ht="15" customHeight="1" x14ac:dyDescent="0.25">
      <c r="A1299" s="20" t="s">
        <v>156</v>
      </c>
      <c r="B1299" s="20" t="s">
        <v>1450</v>
      </c>
      <c r="C1299" s="20" t="s">
        <v>1451</v>
      </c>
      <c r="D1299" s="378" t="s">
        <v>1873</v>
      </c>
      <c r="E1299" s="384">
        <v>44613</v>
      </c>
      <c r="F1299" s="384">
        <v>46439</v>
      </c>
      <c r="G1299" s="378" t="s">
        <v>439</v>
      </c>
      <c r="H1299" s="20" t="s">
        <v>455</v>
      </c>
      <c r="I1299" s="378" t="s">
        <v>162</v>
      </c>
      <c r="J1299" s="20" t="s">
        <v>163</v>
      </c>
      <c r="K1299" s="378" t="s">
        <v>476</v>
      </c>
      <c r="L1299" s="378" t="s">
        <v>165</v>
      </c>
      <c r="M1299" s="380">
        <v>2400</v>
      </c>
      <c r="N1299" s="380" t="s">
        <v>443</v>
      </c>
      <c r="O1299" s="380" t="s">
        <v>443</v>
      </c>
      <c r="P1299" s="380" t="s">
        <v>443</v>
      </c>
      <c r="Q1299" s="381">
        <v>375</v>
      </c>
      <c r="R1299" s="381">
        <v>0</v>
      </c>
      <c r="S1299" s="381">
        <v>0</v>
      </c>
      <c r="T1299" s="381">
        <v>0</v>
      </c>
      <c r="U1299" s="381">
        <v>0</v>
      </c>
      <c r="V1299" s="382">
        <v>375</v>
      </c>
      <c r="W1299" s="382">
        <v>0</v>
      </c>
      <c r="X1299" s="381">
        <v>0.15625</v>
      </c>
      <c r="Y1299" s="381">
        <v>0</v>
      </c>
      <c r="Z1299" s="381">
        <v>0</v>
      </c>
      <c r="AA1299" s="381">
        <v>0</v>
      </c>
      <c r="AB1299" s="381">
        <v>0</v>
      </c>
      <c r="AC1299" s="382">
        <v>0.15625</v>
      </c>
      <c r="AD1299" s="382">
        <v>0</v>
      </c>
      <c r="AE1299" s="381" t="s">
        <v>444</v>
      </c>
    </row>
    <row r="1300" spans="1:31" ht="15" customHeight="1" x14ac:dyDescent="0.25">
      <c r="A1300" s="20" t="s">
        <v>156</v>
      </c>
      <c r="B1300" s="20" t="s">
        <v>1450</v>
      </c>
      <c r="C1300" s="20" t="s">
        <v>1451</v>
      </c>
      <c r="D1300" s="378" t="s">
        <v>1874</v>
      </c>
      <c r="E1300" s="384">
        <v>44613</v>
      </c>
      <c r="F1300" s="384">
        <v>46439</v>
      </c>
      <c r="G1300" s="378" t="s">
        <v>439</v>
      </c>
      <c r="H1300" s="20" t="s">
        <v>455</v>
      </c>
      <c r="I1300" s="378" t="s">
        <v>162</v>
      </c>
      <c r="J1300" s="20" t="s">
        <v>163</v>
      </c>
      <c r="K1300" s="378" t="s">
        <v>476</v>
      </c>
      <c r="L1300" s="378" t="s">
        <v>165</v>
      </c>
      <c r="M1300" s="380">
        <v>2400</v>
      </c>
      <c r="N1300" s="380" t="s">
        <v>443</v>
      </c>
      <c r="O1300" s="380" t="s">
        <v>443</v>
      </c>
      <c r="P1300" s="380" t="s">
        <v>443</v>
      </c>
      <c r="Q1300" s="381">
        <v>289</v>
      </c>
      <c r="R1300" s="381">
        <v>0</v>
      </c>
      <c r="S1300" s="381">
        <v>0</v>
      </c>
      <c r="T1300" s="381">
        <v>0</v>
      </c>
      <c r="U1300" s="381">
        <v>0</v>
      </c>
      <c r="V1300" s="382">
        <v>289</v>
      </c>
      <c r="W1300" s="382">
        <v>0</v>
      </c>
      <c r="X1300" s="381">
        <v>0.12041666666666667</v>
      </c>
      <c r="Y1300" s="381">
        <v>0</v>
      </c>
      <c r="Z1300" s="381">
        <v>0</v>
      </c>
      <c r="AA1300" s="381">
        <v>0</v>
      </c>
      <c r="AB1300" s="381">
        <v>0</v>
      </c>
      <c r="AC1300" s="382">
        <v>0.12041666666666667</v>
      </c>
      <c r="AD1300" s="382">
        <v>0</v>
      </c>
      <c r="AE1300" s="381" t="s">
        <v>444</v>
      </c>
    </row>
    <row r="1301" spans="1:31" ht="15" customHeight="1" x14ac:dyDescent="0.25">
      <c r="A1301" s="20" t="s">
        <v>156</v>
      </c>
      <c r="B1301" s="20" t="s">
        <v>1450</v>
      </c>
      <c r="C1301" s="20" t="s">
        <v>1451</v>
      </c>
      <c r="D1301" s="378" t="s">
        <v>1875</v>
      </c>
      <c r="E1301" s="384">
        <v>44613</v>
      </c>
      <c r="F1301" s="384">
        <v>46439</v>
      </c>
      <c r="G1301" s="378" t="s">
        <v>439</v>
      </c>
      <c r="H1301" s="20" t="s">
        <v>455</v>
      </c>
      <c r="I1301" s="378" t="s">
        <v>162</v>
      </c>
      <c r="J1301" s="20" t="s">
        <v>163</v>
      </c>
      <c r="K1301" s="378" t="s">
        <v>476</v>
      </c>
      <c r="L1301" s="378" t="s">
        <v>165</v>
      </c>
      <c r="M1301" s="380">
        <v>2400</v>
      </c>
      <c r="N1301" s="380" t="s">
        <v>443</v>
      </c>
      <c r="O1301" s="380" t="s">
        <v>443</v>
      </c>
      <c r="P1301" s="380" t="s">
        <v>443</v>
      </c>
      <c r="Q1301" s="381">
        <v>384</v>
      </c>
      <c r="R1301" s="381">
        <v>0</v>
      </c>
      <c r="S1301" s="381">
        <v>0</v>
      </c>
      <c r="T1301" s="381">
        <v>0</v>
      </c>
      <c r="U1301" s="381">
        <v>0</v>
      </c>
      <c r="V1301" s="382">
        <v>384</v>
      </c>
      <c r="W1301" s="382">
        <v>0</v>
      </c>
      <c r="X1301" s="381">
        <v>0.16</v>
      </c>
      <c r="Y1301" s="381">
        <v>0</v>
      </c>
      <c r="Z1301" s="381">
        <v>0</v>
      </c>
      <c r="AA1301" s="381">
        <v>0</v>
      </c>
      <c r="AB1301" s="381">
        <v>0</v>
      </c>
      <c r="AC1301" s="382">
        <v>0.16</v>
      </c>
      <c r="AD1301" s="382">
        <v>0</v>
      </c>
      <c r="AE1301" s="381" t="s">
        <v>444</v>
      </c>
    </row>
    <row r="1302" spans="1:31" ht="15" customHeight="1" x14ac:dyDescent="0.25">
      <c r="A1302" s="20" t="s">
        <v>156</v>
      </c>
      <c r="B1302" s="20" t="s">
        <v>1450</v>
      </c>
      <c r="C1302" s="20" t="s">
        <v>1451</v>
      </c>
      <c r="D1302" s="378" t="s">
        <v>1876</v>
      </c>
      <c r="E1302" s="384">
        <v>44613</v>
      </c>
      <c r="F1302" s="384">
        <v>46439</v>
      </c>
      <c r="G1302" s="378" t="s">
        <v>439</v>
      </c>
      <c r="H1302" s="20" t="s">
        <v>455</v>
      </c>
      <c r="I1302" s="378" t="s">
        <v>162</v>
      </c>
      <c r="J1302" s="20" t="s">
        <v>163</v>
      </c>
      <c r="K1302" s="378" t="s">
        <v>476</v>
      </c>
      <c r="L1302" s="378" t="s">
        <v>165</v>
      </c>
      <c r="M1302" s="380">
        <v>2400</v>
      </c>
      <c r="N1302" s="380" t="s">
        <v>443</v>
      </c>
      <c r="O1302" s="380" t="s">
        <v>443</v>
      </c>
      <c r="P1302" s="380" t="s">
        <v>443</v>
      </c>
      <c r="Q1302" s="381">
        <v>355</v>
      </c>
      <c r="R1302" s="381">
        <v>0</v>
      </c>
      <c r="S1302" s="381">
        <v>0</v>
      </c>
      <c r="T1302" s="381">
        <v>0</v>
      </c>
      <c r="U1302" s="381">
        <v>0</v>
      </c>
      <c r="V1302" s="382">
        <v>355</v>
      </c>
      <c r="W1302" s="382">
        <v>0</v>
      </c>
      <c r="X1302" s="381">
        <v>0.14791666666666667</v>
      </c>
      <c r="Y1302" s="381">
        <v>0</v>
      </c>
      <c r="Z1302" s="381">
        <v>0</v>
      </c>
      <c r="AA1302" s="381">
        <v>0</v>
      </c>
      <c r="AB1302" s="381">
        <v>0</v>
      </c>
      <c r="AC1302" s="382">
        <v>0.14791666666666667</v>
      </c>
      <c r="AD1302" s="382">
        <v>0</v>
      </c>
      <c r="AE1302" s="381" t="s">
        <v>444</v>
      </c>
    </row>
    <row r="1303" spans="1:31" ht="15" customHeight="1" x14ac:dyDescent="0.25">
      <c r="A1303" s="20" t="s">
        <v>156</v>
      </c>
      <c r="B1303" s="20" t="s">
        <v>1450</v>
      </c>
      <c r="C1303" s="20" t="s">
        <v>1451</v>
      </c>
      <c r="D1303" s="378" t="s">
        <v>1877</v>
      </c>
      <c r="E1303" s="384">
        <v>44613</v>
      </c>
      <c r="F1303" s="384">
        <v>46439</v>
      </c>
      <c r="G1303" s="378" t="s">
        <v>439</v>
      </c>
      <c r="H1303" s="20" t="s">
        <v>455</v>
      </c>
      <c r="I1303" s="378" t="s">
        <v>162</v>
      </c>
      <c r="J1303" s="20" t="s">
        <v>163</v>
      </c>
      <c r="K1303" s="378" t="s">
        <v>476</v>
      </c>
      <c r="L1303" s="378" t="s">
        <v>165</v>
      </c>
      <c r="M1303" s="380">
        <v>2400</v>
      </c>
      <c r="N1303" s="380" t="s">
        <v>443</v>
      </c>
      <c r="O1303" s="380" t="s">
        <v>443</v>
      </c>
      <c r="P1303" s="380" t="s">
        <v>443</v>
      </c>
      <c r="Q1303" s="381">
        <v>341</v>
      </c>
      <c r="R1303" s="381">
        <v>0</v>
      </c>
      <c r="S1303" s="381">
        <v>0</v>
      </c>
      <c r="T1303" s="381">
        <v>0</v>
      </c>
      <c r="U1303" s="381">
        <v>0</v>
      </c>
      <c r="V1303" s="382">
        <v>341</v>
      </c>
      <c r="W1303" s="382">
        <v>0</v>
      </c>
      <c r="X1303" s="381">
        <v>0.14208333333333334</v>
      </c>
      <c r="Y1303" s="381">
        <v>0</v>
      </c>
      <c r="Z1303" s="381">
        <v>0</v>
      </c>
      <c r="AA1303" s="381">
        <v>0</v>
      </c>
      <c r="AB1303" s="381">
        <v>0</v>
      </c>
      <c r="AC1303" s="382">
        <v>0.14208333333333334</v>
      </c>
      <c r="AD1303" s="382">
        <v>0</v>
      </c>
      <c r="AE1303" s="381" t="s">
        <v>444</v>
      </c>
    </row>
    <row r="1304" spans="1:31" ht="15" customHeight="1" x14ac:dyDescent="0.25">
      <c r="A1304" s="20" t="s">
        <v>156</v>
      </c>
      <c r="B1304" s="20" t="s">
        <v>1450</v>
      </c>
      <c r="C1304" s="20" t="s">
        <v>1451</v>
      </c>
      <c r="D1304" s="378" t="s">
        <v>1878</v>
      </c>
      <c r="E1304" s="384">
        <v>44613</v>
      </c>
      <c r="F1304" s="384">
        <v>46439</v>
      </c>
      <c r="G1304" s="378" t="s">
        <v>439</v>
      </c>
      <c r="H1304" s="20" t="s">
        <v>455</v>
      </c>
      <c r="I1304" s="378" t="s">
        <v>162</v>
      </c>
      <c r="J1304" s="20" t="s">
        <v>163</v>
      </c>
      <c r="K1304" s="378" t="s">
        <v>476</v>
      </c>
      <c r="L1304" s="378" t="s">
        <v>165</v>
      </c>
      <c r="M1304" s="380">
        <v>2400</v>
      </c>
      <c r="N1304" s="380" t="s">
        <v>443</v>
      </c>
      <c r="O1304" s="380" t="s">
        <v>443</v>
      </c>
      <c r="P1304" s="380" t="s">
        <v>443</v>
      </c>
      <c r="Q1304" s="381">
        <v>357</v>
      </c>
      <c r="R1304" s="381">
        <v>0</v>
      </c>
      <c r="S1304" s="381">
        <v>0</v>
      </c>
      <c r="T1304" s="381">
        <v>0</v>
      </c>
      <c r="U1304" s="381">
        <v>0</v>
      </c>
      <c r="V1304" s="382">
        <v>357</v>
      </c>
      <c r="W1304" s="382">
        <v>0</v>
      </c>
      <c r="X1304" s="381">
        <v>0.14874999999999999</v>
      </c>
      <c r="Y1304" s="381">
        <v>0</v>
      </c>
      <c r="Z1304" s="381">
        <v>0</v>
      </c>
      <c r="AA1304" s="381">
        <v>0</v>
      </c>
      <c r="AB1304" s="381">
        <v>0</v>
      </c>
      <c r="AC1304" s="382">
        <v>0.14874999999999999</v>
      </c>
      <c r="AD1304" s="382">
        <v>0</v>
      </c>
      <c r="AE1304" s="381" t="s">
        <v>444</v>
      </c>
    </row>
    <row r="1305" spans="1:31" ht="15" customHeight="1" x14ac:dyDescent="0.25">
      <c r="A1305" s="20" t="s">
        <v>156</v>
      </c>
      <c r="B1305" s="20" t="s">
        <v>1450</v>
      </c>
      <c r="C1305" s="20" t="s">
        <v>1451</v>
      </c>
      <c r="D1305" s="378" t="s">
        <v>1879</v>
      </c>
      <c r="E1305" s="384">
        <v>44613</v>
      </c>
      <c r="F1305" s="384">
        <v>46439</v>
      </c>
      <c r="G1305" s="378" t="s">
        <v>439</v>
      </c>
      <c r="H1305" s="20" t="s">
        <v>455</v>
      </c>
      <c r="I1305" s="378" t="s">
        <v>162</v>
      </c>
      <c r="J1305" s="20" t="s">
        <v>163</v>
      </c>
      <c r="K1305" s="378" t="s">
        <v>476</v>
      </c>
      <c r="L1305" s="378" t="s">
        <v>165</v>
      </c>
      <c r="M1305" s="380">
        <v>2400</v>
      </c>
      <c r="N1305" s="380" t="s">
        <v>443</v>
      </c>
      <c r="O1305" s="380" t="s">
        <v>443</v>
      </c>
      <c r="P1305" s="380" t="s">
        <v>443</v>
      </c>
      <c r="Q1305" s="381">
        <v>278</v>
      </c>
      <c r="R1305" s="381">
        <v>0</v>
      </c>
      <c r="S1305" s="381">
        <v>0</v>
      </c>
      <c r="T1305" s="381">
        <v>0</v>
      </c>
      <c r="U1305" s="381">
        <v>0</v>
      </c>
      <c r="V1305" s="382">
        <v>278</v>
      </c>
      <c r="W1305" s="382">
        <v>0</v>
      </c>
      <c r="X1305" s="381">
        <v>0.11583333333333333</v>
      </c>
      <c r="Y1305" s="381">
        <v>0</v>
      </c>
      <c r="Z1305" s="381">
        <v>0</v>
      </c>
      <c r="AA1305" s="381">
        <v>0</v>
      </c>
      <c r="AB1305" s="381">
        <v>0</v>
      </c>
      <c r="AC1305" s="382">
        <v>0.11583333333333333</v>
      </c>
      <c r="AD1305" s="382">
        <v>0</v>
      </c>
      <c r="AE1305" s="381" t="s">
        <v>444</v>
      </c>
    </row>
    <row r="1306" spans="1:31" ht="15" customHeight="1" x14ac:dyDescent="0.25">
      <c r="A1306" s="20" t="s">
        <v>156</v>
      </c>
      <c r="B1306" s="20" t="s">
        <v>1450</v>
      </c>
      <c r="C1306" s="20" t="s">
        <v>1451</v>
      </c>
      <c r="D1306" s="378" t="s">
        <v>1880</v>
      </c>
      <c r="E1306" s="384">
        <v>44613</v>
      </c>
      <c r="F1306" s="384">
        <v>46439</v>
      </c>
      <c r="G1306" s="378" t="s">
        <v>439</v>
      </c>
      <c r="H1306" s="20" t="s">
        <v>455</v>
      </c>
      <c r="I1306" s="378" t="s">
        <v>162</v>
      </c>
      <c r="J1306" s="20" t="s">
        <v>163</v>
      </c>
      <c r="K1306" s="378" t="s">
        <v>476</v>
      </c>
      <c r="L1306" s="378" t="s">
        <v>165</v>
      </c>
      <c r="M1306" s="380">
        <v>2400</v>
      </c>
      <c r="N1306" s="380" t="s">
        <v>443</v>
      </c>
      <c r="O1306" s="380" t="s">
        <v>443</v>
      </c>
      <c r="P1306" s="380" t="s">
        <v>443</v>
      </c>
      <c r="Q1306" s="381">
        <v>280</v>
      </c>
      <c r="R1306" s="381">
        <v>0</v>
      </c>
      <c r="S1306" s="381">
        <v>0</v>
      </c>
      <c r="T1306" s="381">
        <v>0</v>
      </c>
      <c r="U1306" s="381">
        <v>0</v>
      </c>
      <c r="V1306" s="382">
        <v>280</v>
      </c>
      <c r="W1306" s="382">
        <v>0</v>
      </c>
      <c r="X1306" s="381">
        <v>0.11666666666666667</v>
      </c>
      <c r="Y1306" s="381">
        <v>0</v>
      </c>
      <c r="Z1306" s="381">
        <v>0</v>
      </c>
      <c r="AA1306" s="381">
        <v>0</v>
      </c>
      <c r="AB1306" s="381">
        <v>0</v>
      </c>
      <c r="AC1306" s="382">
        <v>0.11666666666666667</v>
      </c>
      <c r="AD1306" s="382">
        <v>0</v>
      </c>
      <c r="AE1306" s="381" t="s">
        <v>444</v>
      </c>
    </row>
    <row r="1307" spans="1:31" ht="15" customHeight="1" x14ac:dyDescent="0.25">
      <c r="A1307" s="20" t="s">
        <v>156</v>
      </c>
      <c r="B1307" s="20" t="s">
        <v>1450</v>
      </c>
      <c r="C1307" s="20" t="s">
        <v>1451</v>
      </c>
      <c r="D1307" s="378" t="s">
        <v>1881</v>
      </c>
      <c r="E1307" s="384">
        <v>44613</v>
      </c>
      <c r="F1307" s="384">
        <v>46439</v>
      </c>
      <c r="G1307" s="378" t="s">
        <v>439</v>
      </c>
      <c r="H1307" s="20" t="s">
        <v>455</v>
      </c>
      <c r="I1307" s="378" t="s">
        <v>162</v>
      </c>
      <c r="J1307" s="20" t="s">
        <v>163</v>
      </c>
      <c r="K1307" s="378" t="s">
        <v>476</v>
      </c>
      <c r="L1307" s="378" t="s">
        <v>165</v>
      </c>
      <c r="M1307" s="380">
        <v>2400</v>
      </c>
      <c r="N1307" s="380" t="s">
        <v>443</v>
      </c>
      <c r="O1307" s="380" t="s">
        <v>443</v>
      </c>
      <c r="P1307" s="380" t="s">
        <v>443</v>
      </c>
      <c r="Q1307" s="381">
        <v>323</v>
      </c>
      <c r="R1307" s="381">
        <v>0</v>
      </c>
      <c r="S1307" s="381">
        <v>0</v>
      </c>
      <c r="T1307" s="381">
        <v>0</v>
      </c>
      <c r="U1307" s="381">
        <v>0</v>
      </c>
      <c r="V1307" s="382">
        <v>323</v>
      </c>
      <c r="W1307" s="382">
        <v>0</v>
      </c>
      <c r="X1307" s="381">
        <v>0.13458333333333333</v>
      </c>
      <c r="Y1307" s="381">
        <v>0</v>
      </c>
      <c r="Z1307" s="381">
        <v>0</v>
      </c>
      <c r="AA1307" s="381">
        <v>0</v>
      </c>
      <c r="AB1307" s="381">
        <v>0</v>
      </c>
      <c r="AC1307" s="382">
        <v>0.13458333333333333</v>
      </c>
      <c r="AD1307" s="382">
        <v>0</v>
      </c>
      <c r="AE1307" s="381" t="s">
        <v>444</v>
      </c>
    </row>
    <row r="1308" spans="1:31" ht="15" customHeight="1" x14ac:dyDescent="0.25">
      <c r="A1308" s="20" t="s">
        <v>156</v>
      </c>
      <c r="B1308" s="20" t="s">
        <v>1450</v>
      </c>
      <c r="C1308" s="20" t="s">
        <v>1451</v>
      </c>
      <c r="D1308" s="378" t="s">
        <v>1882</v>
      </c>
      <c r="E1308" s="384">
        <v>44613</v>
      </c>
      <c r="F1308" s="384">
        <v>46439</v>
      </c>
      <c r="G1308" s="378" t="s">
        <v>439</v>
      </c>
      <c r="H1308" s="20" t="s">
        <v>455</v>
      </c>
      <c r="I1308" s="378" t="s">
        <v>162</v>
      </c>
      <c r="J1308" s="20" t="s">
        <v>163</v>
      </c>
      <c r="K1308" s="378" t="s">
        <v>476</v>
      </c>
      <c r="L1308" s="378" t="s">
        <v>165</v>
      </c>
      <c r="M1308" s="380">
        <v>2400</v>
      </c>
      <c r="N1308" s="380" t="s">
        <v>443</v>
      </c>
      <c r="O1308" s="380" t="s">
        <v>443</v>
      </c>
      <c r="P1308" s="380" t="s">
        <v>443</v>
      </c>
      <c r="Q1308" s="381">
        <v>415</v>
      </c>
      <c r="R1308" s="381">
        <v>0</v>
      </c>
      <c r="S1308" s="381">
        <v>0</v>
      </c>
      <c r="T1308" s="381">
        <v>0</v>
      </c>
      <c r="U1308" s="381">
        <v>0</v>
      </c>
      <c r="V1308" s="382">
        <v>415</v>
      </c>
      <c r="W1308" s="382">
        <v>0</v>
      </c>
      <c r="X1308" s="381">
        <v>0.17291666666666666</v>
      </c>
      <c r="Y1308" s="381">
        <v>0</v>
      </c>
      <c r="Z1308" s="381">
        <v>0</v>
      </c>
      <c r="AA1308" s="381">
        <v>0</v>
      </c>
      <c r="AB1308" s="381">
        <v>0</v>
      </c>
      <c r="AC1308" s="382">
        <v>0.17291666666666666</v>
      </c>
      <c r="AD1308" s="382">
        <v>0</v>
      </c>
      <c r="AE1308" s="381" t="s">
        <v>444</v>
      </c>
    </row>
    <row r="1309" spans="1:31" ht="15" customHeight="1" x14ac:dyDescent="0.25">
      <c r="A1309" s="20" t="s">
        <v>156</v>
      </c>
      <c r="B1309" s="20" t="s">
        <v>1450</v>
      </c>
      <c r="C1309" s="20" t="s">
        <v>1451</v>
      </c>
      <c r="D1309" s="378" t="s">
        <v>1883</v>
      </c>
      <c r="E1309" s="384">
        <v>44613</v>
      </c>
      <c r="F1309" s="384">
        <v>46439</v>
      </c>
      <c r="G1309" s="378" t="s">
        <v>439</v>
      </c>
      <c r="H1309" s="20" t="s">
        <v>455</v>
      </c>
      <c r="I1309" s="378" t="s">
        <v>162</v>
      </c>
      <c r="J1309" s="20" t="s">
        <v>163</v>
      </c>
      <c r="K1309" s="378" t="s">
        <v>476</v>
      </c>
      <c r="L1309" s="378" t="s">
        <v>165</v>
      </c>
      <c r="M1309" s="380">
        <v>2400</v>
      </c>
      <c r="N1309" s="380" t="s">
        <v>443</v>
      </c>
      <c r="O1309" s="380" t="s">
        <v>443</v>
      </c>
      <c r="P1309" s="380" t="s">
        <v>443</v>
      </c>
      <c r="Q1309" s="381">
        <v>349</v>
      </c>
      <c r="R1309" s="381">
        <v>0</v>
      </c>
      <c r="S1309" s="381">
        <v>0</v>
      </c>
      <c r="T1309" s="381">
        <v>0</v>
      </c>
      <c r="U1309" s="381">
        <v>0</v>
      </c>
      <c r="V1309" s="382">
        <v>349</v>
      </c>
      <c r="W1309" s="382">
        <v>0</v>
      </c>
      <c r="X1309" s="381">
        <v>0.14541666666666667</v>
      </c>
      <c r="Y1309" s="381">
        <v>0</v>
      </c>
      <c r="Z1309" s="381">
        <v>0</v>
      </c>
      <c r="AA1309" s="381">
        <v>0</v>
      </c>
      <c r="AB1309" s="381">
        <v>0</v>
      </c>
      <c r="AC1309" s="382">
        <v>0.14541666666666667</v>
      </c>
      <c r="AD1309" s="382">
        <v>0</v>
      </c>
      <c r="AE1309" s="381" t="s">
        <v>444</v>
      </c>
    </row>
    <row r="1310" spans="1:31" ht="15" customHeight="1" x14ac:dyDescent="0.25">
      <c r="A1310" s="20" t="s">
        <v>156</v>
      </c>
      <c r="B1310" s="20" t="s">
        <v>1450</v>
      </c>
      <c r="C1310" s="20" t="s">
        <v>1451</v>
      </c>
      <c r="D1310" s="378" t="s">
        <v>1884</v>
      </c>
      <c r="E1310" s="384">
        <v>44613</v>
      </c>
      <c r="F1310" s="384">
        <v>46439</v>
      </c>
      <c r="G1310" s="378" t="s">
        <v>439</v>
      </c>
      <c r="H1310" s="20" t="s">
        <v>455</v>
      </c>
      <c r="I1310" s="378" t="s">
        <v>162</v>
      </c>
      <c r="J1310" s="20" t="s">
        <v>163</v>
      </c>
      <c r="K1310" s="378" t="s">
        <v>476</v>
      </c>
      <c r="L1310" s="378" t="s">
        <v>165</v>
      </c>
      <c r="M1310" s="380">
        <v>2400</v>
      </c>
      <c r="N1310" s="380" t="s">
        <v>443</v>
      </c>
      <c r="O1310" s="380" t="s">
        <v>443</v>
      </c>
      <c r="P1310" s="380" t="s">
        <v>443</v>
      </c>
      <c r="Q1310" s="381">
        <v>318</v>
      </c>
      <c r="R1310" s="381">
        <v>0</v>
      </c>
      <c r="S1310" s="381">
        <v>0</v>
      </c>
      <c r="T1310" s="381">
        <v>0</v>
      </c>
      <c r="U1310" s="381">
        <v>0</v>
      </c>
      <c r="V1310" s="382">
        <v>318</v>
      </c>
      <c r="W1310" s="382">
        <v>0</v>
      </c>
      <c r="X1310" s="381">
        <v>0.13250000000000001</v>
      </c>
      <c r="Y1310" s="381">
        <v>0</v>
      </c>
      <c r="Z1310" s="381">
        <v>0</v>
      </c>
      <c r="AA1310" s="381">
        <v>0</v>
      </c>
      <c r="AB1310" s="381">
        <v>0</v>
      </c>
      <c r="AC1310" s="382">
        <v>0.13250000000000001</v>
      </c>
      <c r="AD1310" s="382">
        <v>0</v>
      </c>
      <c r="AE1310" s="381" t="s">
        <v>444</v>
      </c>
    </row>
    <row r="1311" spans="1:31" ht="15" customHeight="1" x14ac:dyDescent="0.25">
      <c r="A1311" s="20" t="s">
        <v>156</v>
      </c>
      <c r="B1311" s="20" t="s">
        <v>1450</v>
      </c>
      <c r="C1311" s="20" t="s">
        <v>1451</v>
      </c>
      <c r="D1311" s="378" t="s">
        <v>1885</v>
      </c>
      <c r="E1311" s="384">
        <v>44613</v>
      </c>
      <c r="F1311" s="384">
        <v>46439</v>
      </c>
      <c r="G1311" s="378" t="s">
        <v>439</v>
      </c>
      <c r="H1311" s="20" t="s">
        <v>455</v>
      </c>
      <c r="I1311" s="378" t="s">
        <v>162</v>
      </c>
      <c r="J1311" s="20" t="s">
        <v>163</v>
      </c>
      <c r="K1311" s="378" t="s">
        <v>476</v>
      </c>
      <c r="L1311" s="378" t="s">
        <v>165</v>
      </c>
      <c r="M1311" s="380">
        <v>2400</v>
      </c>
      <c r="N1311" s="380" t="s">
        <v>443</v>
      </c>
      <c r="O1311" s="380" t="s">
        <v>443</v>
      </c>
      <c r="P1311" s="380" t="s">
        <v>443</v>
      </c>
      <c r="Q1311" s="381">
        <v>407</v>
      </c>
      <c r="R1311" s="381">
        <v>0</v>
      </c>
      <c r="S1311" s="381">
        <v>0</v>
      </c>
      <c r="T1311" s="381">
        <v>0</v>
      </c>
      <c r="U1311" s="381">
        <v>0</v>
      </c>
      <c r="V1311" s="382">
        <v>407</v>
      </c>
      <c r="W1311" s="382">
        <v>0</v>
      </c>
      <c r="X1311" s="381">
        <v>0.16958333333333334</v>
      </c>
      <c r="Y1311" s="381">
        <v>0</v>
      </c>
      <c r="Z1311" s="381">
        <v>0</v>
      </c>
      <c r="AA1311" s="381">
        <v>0</v>
      </c>
      <c r="AB1311" s="381">
        <v>0</v>
      </c>
      <c r="AC1311" s="382">
        <v>0.16958333333333334</v>
      </c>
      <c r="AD1311" s="382">
        <v>0</v>
      </c>
      <c r="AE1311" s="381" t="s">
        <v>444</v>
      </c>
    </row>
    <row r="1312" spans="1:31" ht="15" customHeight="1" x14ac:dyDescent="0.25">
      <c r="A1312" s="20" t="s">
        <v>156</v>
      </c>
      <c r="B1312" s="20" t="s">
        <v>1450</v>
      </c>
      <c r="C1312" s="20" t="s">
        <v>1451</v>
      </c>
      <c r="D1312" s="378" t="s">
        <v>1886</v>
      </c>
      <c r="E1312" s="384">
        <v>44613</v>
      </c>
      <c r="F1312" s="384">
        <v>46439</v>
      </c>
      <c r="G1312" s="378" t="s">
        <v>439</v>
      </c>
      <c r="H1312" s="20" t="s">
        <v>455</v>
      </c>
      <c r="I1312" s="378" t="s">
        <v>162</v>
      </c>
      <c r="J1312" s="20" t="s">
        <v>163</v>
      </c>
      <c r="K1312" s="378" t="s">
        <v>476</v>
      </c>
      <c r="L1312" s="378" t="s">
        <v>165</v>
      </c>
      <c r="M1312" s="380">
        <v>2400</v>
      </c>
      <c r="N1312" s="380" t="s">
        <v>443</v>
      </c>
      <c r="O1312" s="380" t="s">
        <v>443</v>
      </c>
      <c r="P1312" s="380" t="s">
        <v>443</v>
      </c>
      <c r="Q1312" s="381">
        <v>392</v>
      </c>
      <c r="R1312" s="381">
        <v>0</v>
      </c>
      <c r="S1312" s="381">
        <v>0</v>
      </c>
      <c r="T1312" s="381">
        <v>0</v>
      </c>
      <c r="U1312" s="381">
        <v>0</v>
      </c>
      <c r="V1312" s="382">
        <v>392</v>
      </c>
      <c r="W1312" s="382">
        <v>0</v>
      </c>
      <c r="X1312" s="381">
        <v>0.16333333333333333</v>
      </c>
      <c r="Y1312" s="381">
        <v>0</v>
      </c>
      <c r="Z1312" s="381">
        <v>0</v>
      </c>
      <c r="AA1312" s="381">
        <v>0</v>
      </c>
      <c r="AB1312" s="381">
        <v>0</v>
      </c>
      <c r="AC1312" s="382">
        <v>0.16333333333333333</v>
      </c>
      <c r="AD1312" s="382">
        <v>0</v>
      </c>
      <c r="AE1312" s="381" t="s">
        <v>444</v>
      </c>
    </row>
    <row r="1313" spans="1:31" ht="15" customHeight="1" x14ac:dyDescent="0.25">
      <c r="A1313" s="20" t="s">
        <v>156</v>
      </c>
      <c r="B1313" s="20" t="s">
        <v>1450</v>
      </c>
      <c r="C1313" s="20" t="s">
        <v>1451</v>
      </c>
      <c r="D1313" s="378" t="s">
        <v>1887</v>
      </c>
      <c r="E1313" s="384">
        <v>44613</v>
      </c>
      <c r="F1313" s="384">
        <v>46439</v>
      </c>
      <c r="G1313" s="378" t="s">
        <v>439</v>
      </c>
      <c r="H1313" s="20" t="s">
        <v>455</v>
      </c>
      <c r="I1313" s="378" t="s">
        <v>162</v>
      </c>
      <c r="J1313" s="20" t="s">
        <v>163</v>
      </c>
      <c r="K1313" s="378" t="s">
        <v>476</v>
      </c>
      <c r="L1313" s="378" t="s">
        <v>165</v>
      </c>
      <c r="M1313" s="380">
        <v>2400</v>
      </c>
      <c r="N1313" s="380" t="s">
        <v>443</v>
      </c>
      <c r="O1313" s="380" t="s">
        <v>443</v>
      </c>
      <c r="P1313" s="380" t="s">
        <v>443</v>
      </c>
      <c r="Q1313" s="381">
        <v>439</v>
      </c>
      <c r="R1313" s="381">
        <v>0</v>
      </c>
      <c r="S1313" s="381">
        <v>0</v>
      </c>
      <c r="T1313" s="381">
        <v>0</v>
      </c>
      <c r="U1313" s="381">
        <v>0</v>
      </c>
      <c r="V1313" s="382">
        <v>439</v>
      </c>
      <c r="W1313" s="382">
        <v>0</v>
      </c>
      <c r="X1313" s="381">
        <v>0.18291666666666667</v>
      </c>
      <c r="Y1313" s="381">
        <v>0</v>
      </c>
      <c r="Z1313" s="381">
        <v>0</v>
      </c>
      <c r="AA1313" s="381">
        <v>0</v>
      </c>
      <c r="AB1313" s="381">
        <v>0</v>
      </c>
      <c r="AC1313" s="382">
        <v>0.18291666666666667</v>
      </c>
      <c r="AD1313" s="382">
        <v>0</v>
      </c>
      <c r="AE1313" s="381" t="s">
        <v>444</v>
      </c>
    </row>
    <row r="1314" spans="1:31" ht="15" customHeight="1" x14ac:dyDescent="0.25">
      <c r="A1314" s="20" t="s">
        <v>156</v>
      </c>
      <c r="B1314" s="20" t="s">
        <v>1450</v>
      </c>
      <c r="C1314" s="20" t="s">
        <v>1451</v>
      </c>
      <c r="D1314" s="378" t="s">
        <v>1870</v>
      </c>
      <c r="E1314" s="384">
        <v>44613</v>
      </c>
      <c r="F1314" s="384">
        <v>46439</v>
      </c>
      <c r="G1314" s="378" t="s">
        <v>439</v>
      </c>
      <c r="H1314" s="20" t="s">
        <v>455</v>
      </c>
      <c r="I1314" s="378" t="s">
        <v>162</v>
      </c>
      <c r="J1314" s="20" t="s">
        <v>163</v>
      </c>
      <c r="K1314" s="378" t="s">
        <v>476</v>
      </c>
      <c r="L1314" s="378" t="s">
        <v>165</v>
      </c>
      <c r="M1314" s="380">
        <v>2400</v>
      </c>
      <c r="N1314" s="380" t="s">
        <v>443</v>
      </c>
      <c r="O1314" s="380" t="s">
        <v>443</v>
      </c>
      <c r="P1314" s="380" t="s">
        <v>443</v>
      </c>
      <c r="Q1314" s="381">
        <v>284</v>
      </c>
      <c r="R1314" s="381">
        <v>0</v>
      </c>
      <c r="S1314" s="381">
        <v>0</v>
      </c>
      <c r="T1314" s="381">
        <v>0</v>
      </c>
      <c r="U1314" s="381">
        <v>0</v>
      </c>
      <c r="V1314" s="382">
        <v>284</v>
      </c>
      <c r="W1314" s="382">
        <v>0</v>
      </c>
      <c r="X1314" s="381">
        <v>0.11833333333333333</v>
      </c>
      <c r="Y1314" s="381">
        <v>0</v>
      </c>
      <c r="Z1314" s="381">
        <v>0</v>
      </c>
      <c r="AA1314" s="381">
        <v>0</v>
      </c>
      <c r="AB1314" s="381">
        <v>0</v>
      </c>
      <c r="AC1314" s="382">
        <v>0.11833333333333333</v>
      </c>
      <c r="AD1314" s="382">
        <v>0</v>
      </c>
      <c r="AE1314" s="381" t="s">
        <v>444</v>
      </c>
    </row>
    <row r="1315" spans="1:31" ht="15" customHeight="1" x14ac:dyDescent="0.25">
      <c r="A1315" s="20" t="s">
        <v>156</v>
      </c>
      <c r="B1315" s="20" t="s">
        <v>1450</v>
      </c>
      <c r="C1315" s="20" t="s">
        <v>1451</v>
      </c>
      <c r="D1315" s="378" t="s">
        <v>1871</v>
      </c>
      <c r="E1315" s="384">
        <v>44613</v>
      </c>
      <c r="F1315" s="384">
        <v>46439</v>
      </c>
      <c r="G1315" s="378" t="s">
        <v>439</v>
      </c>
      <c r="H1315" s="20" t="s">
        <v>455</v>
      </c>
      <c r="I1315" s="378" t="s">
        <v>162</v>
      </c>
      <c r="J1315" s="20" t="s">
        <v>163</v>
      </c>
      <c r="K1315" s="378" t="s">
        <v>476</v>
      </c>
      <c r="L1315" s="378" t="s">
        <v>165</v>
      </c>
      <c r="M1315" s="380">
        <v>2400</v>
      </c>
      <c r="N1315" s="380" t="s">
        <v>443</v>
      </c>
      <c r="O1315" s="380" t="s">
        <v>443</v>
      </c>
      <c r="P1315" s="380" t="s">
        <v>443</v>
      </c>
      <c r="Q1315" s="381">
        <v>271</v>
      </c>
      <c r="R1315" s="381">
        <v>0</v>
      </c>
      <c r="S1315" s="381">
        <v>0</v>
      </c>
      <c r="T1315" s="381">
        <v>0</v>
      </c>
      <c r="U1315" s="381">
        <v>0</v>
      </c>
      <c r="V1315" s="382">
        <v>271</v>
      </c>
      <c r="W1315" s="382">
        <v>0</v>
      </c>
      <c r="X1315" s="381">
        <v>0.11291666666666667</v>
      </c>
      <c r="Y1315" s="381">
        <v>0</v>
      </c>
      <c r="Z1315" s="381">
        <v>0</v>
      </c>
      <c r="AA1315" s="381">
        <v>0</v>
      </c>
      <c r="AB1315" s="381">
        <v>0</v>
      </c>
      <c r="AC1315" s="382">
        <v>0.11291666666666667</v>
      </c>
      <c r="AD1315" s="382">
        <v>0</v>
      </c>
      <c r="AE1315" s="381" t="s">
        <v>444</v>
      </c>
    </row>
    <row r="1316" spans="1:31" ht="15" customHeight="1" x14ac:dyDescent="0.25">
      <c r="A1316" s="20" t="s">
        <v>156</v>
      </c>
      <c r="B1316" s="20" t="s">
        <v>1450</v>
      </c>
      <c r="C1316" s="20" t="s">
        <v>1451</v>
      </c>
      <c r="D1316" s="378" t="s">
        <v>1872</v>
      </c>
      <c r="E1316" s="384">
        <v>44613</v>
      </c>
      <c r="F1316" s="384">
        <v>46439</v>
      </c>
      <c r="G1316" s="378" t="s">
        <v>439</v>
      </c>
      <c r="H1316" s="20" t="s">
        <v>455</v>
      </c>
      <c r="I1316" s="378" t="s">
        <v>162</v>
      </c>
      <c r="J1316" s="20" t="s">
        <v>163</v>
      </c>
      <c r="K1316" s="378" t="s">
        <v>476</v>
      </c>
      <c r="L1316" s="378" t="s">
        <v>165</v>
      </c>
      <c r="M1316" s="380">
        <v>2400</v>
      </c>
      <c r="N1316" s="380" t="s">
        <v>443</v>
      </c>
      <c r="O1316" s="380" t="s">
        <v>443</v>
      </c>
      <c r="P1316" s="380" t="s">
        <v>443</v>
      </c>
      <c r="Q1316" s="381">
        <v>336</v>
      </c>
      <c r="R1316" s="381">
        <v>0</v>
      </c>
      <c r="S1316" s="381">
        <v>0</v>
      </c>
      <c r="T1316" s="381">
        <v>0</v>
      </c>
      <c r="U1316" s="381">
        <v>0</v>
      </c>
      <c r="V1316" s="382">
        <v>336</v>
      </c>
      <c r="W1316" s="382">
        <v>0</v>
      </c>
      <c r="X1316" s="381">
        <v>0.14000000000000001</v>
      </c>
      <c r="Y1316" s="381">
        <v>0</v>
      </c>
      <c r="Z1316" s="381">
        <v>0</v>
      </c>
      <c r="AA1316" s="381">
        <v>0</v>
      </c>
      <c r="AB1316" s="381">
        <v>0</v>
      </c>
      <c r="AC1316" s="382">
        <v>0.14000000000000001</v>
      </c>
      <c r="AD1316" s="382">
        <v>0</v>
      </c>
      <c r="AE1316" s="381" t="s">
        <v>444</v>
      </c>
    </row>
    <row r="1317" spans="1:31" ht="15" customHeight="1" x14ac:dyDescent="0.25">
      <c r="A1317" s="20" t="s">
        <v>156</v>
      </c>
      <c r="B1317" s="20" t="s">
        <v>1450</v>
      </c>
      <c r="C1317" s="20" t="s">
        <v>1451</v>
      </c>
      <c r="D1317" s="378" t="s">
        <v>1873</v>
      </c>
      <c r="E1317" s="384">
        <v>44613</v>
      </c>
      <c r="F1317" s="384">
        <v>46439</v>
      </c>
      <c r="G1317" s="378" t="s">
        <v>439</v>
      </c>
      <c r="H1317" s="20" t="s">
        <v>455</v>
      </c>
      <c r="I1317" s="378" t="s">
        <v>162</v>
      </c>
      <c r="J1317" s="20" t="s">
        <v>163</v>
      </c>
      <c r="K1317" s="378" t="s">
        <v>476</v>
      </c>
      <c r="L1317" s="378" t="s">
        <v>165</v>
      </c>
      <c r="M1317" s="380">
        <v>2400</v>
      </c>
      <c r="N1317" s="380" t="s">
        <v>443</v>
      </c>
      <c r="O1317" s="380" t="s">
        <v>443</v>
      </c>
      <c r="P1317" s="380" t="s">
        <v>443</v>
      </c>
      <c r="Q1317" s="381">
        <v>375</v>
      </c>
      <c r="R1317" s="381">
        <v>0</v>
      </c>
      <c r="S1317" s="381">
        <v>0</v>
      </c>
      <c r="T1317" s="381">
        <v>0</v>
      </c>
      <c r="U1317" s="381">
        <v>0</v>
      </c>
      <c r="V1317" s="382">
        <v>375</v>
      </c>
      <c r="W1317" s="382">
        <v>0</v>
      </c>
      <c r="X1317" s="381">
        <v>0.15625</v>
      </c>
      <c r="Y1317" s="381">
        <v>0</v>
      </c>
      <c r="Z1317" s="381">
        <v>0</v>
      </c>
      <c r="AA1317" s="381">
        <v>0</v>
      </c>
      <c r="AB1317" s="381">
        <v>0</v>
      </c>
      <c r="AC1317" s="382">
        <v>0.15625</v>
      </c>
      <c r="AD1317" s="382">
        <v>0</v>
      </c>
      <c r="AE1317" s="381" t="s">
        <v>444</v>
      </c>
    </row>
    <row r="1318" spans="1:31" ht="15" customHeight="1" x14ac:dyDescent="0.25">
      <c r="A1318" s="20" t="s">
        <v>156</v>
      </c>
      <c r="B1318" s="20" t="s">
        <v>1450</v>
      </c>
      <c r="C1318" s="20" t="s">
        <v>1451</v>
      </c>
      <c r="D1318" s="378" t="s">
        <v>1874</v>
      </c>
      <c r="E1318" s="384">
        <v>44613</v>
      </c>
      <c r="F1318" s="384">
        <v>46439</v>
      </c>
      <c r="G1318" s="378" t="s">
        <v>439</v>
      </c>
      <c r="H1318" s="20" t="s">
        <v>455</v>
      </c>
      <c r="I1318" s="378" t="s">
        <v>162</v>
      </c>
      <c r="J1318" s="20" t="s">
        <v>163</v>
      </c>
      <c r="K1318" s="378" t="s">
        <v>476</v>
      </c>
      <c r="L1318" s="378" t="s">
        <v>165</v>
      </c>
      <c r="M1318" s="380">
        <v>2400</v>
      </c>
      <c r="N1318" s="380" t="s">
        <v>443</v>
      </c>
      <c r="O1318" s="380" t="s">
        <v>443</v>
      </c>
      <c r="P1318" s="380" t="s">
        <v>443</v>
      </c>
      <c r="Q1318" s="381">
        <v>289</v>
      </c>
      <c r="R1318" s="381">
        <v>0</v>
      </c>
      <c r="S1318" s="381">
        <v>0</v>
      </c>
      <c r="T1318" s="381">
        <v>0</v>
      </c>
      <c r="U1318" s="381">
        <v>0</v>
      </c>
      <c r="V1318" s="382">
        <v>289</v>
      </c>
      <c r="W1318" s="382">
        <v>0</v>
      </c>
      <c r="X1318" s="381">
        <v>0.12041666666666667</v>
      </c>
      <c r="Y1318" s="381">
        <v>0</v>
      </c>
      <c r="Z1318" s="381">
        <v>0</v>
      </c>
      <c r="AA1318" s="381">
        <v>0</v>
      </c>
      <c r="AB1318" s="381">
        <v>0</v>
      </c>
      <c r="AC1318" s="382">
        <v>0.12041666666666667</v>
      </c>
      <c r="AD1318" s="382">
        <v>0</v>
      </c>
      <c r="AE1318" s="381" t="s">
        <v>444</v>
      </c>
    </row>
    <row r="1319" spans="1:31" ht="15" customHeight="1" x14ac:dyDescent="0.25">
      <c r="A1319" s="20" t="s">
        <v>156</v>
      </c>
      <c r="B1319" s="20" t="s">
        <v>1450</v>
      </c>
      <c r="C1319" s="20" t="s">
        <v>1451</v>
      </c>
      <c r="D1319" s="378" t="s">
        <v>1875</v>
      </c>
      <c r="E1319" s="384">
        <v>44613</v>
      </c>
      <c r="F1319" s="384">
        <v>46439</v>
      </c>
      <c r="G1319" s="378" t="s">
        <v>439</v>
      </c>
      <c r="H1319" s="20" t="s">
        <v>455</v>
      </c>
      <c r="I1319" s="378" t="s">
        <v>162</v>
      </c>
      <c r="J1319" s="20" t="s">
        <v>163</v>
      </c>
      <c r="K1319" s="378" t="s">
        <v>476</v>
      </c>
      <c r="L1319" s="378" t="s">
        <v>165</v>
      </c>
      <c r="M1319" s="380">
        <v>2400</v>
      </c>
      <c r="N1319" s="380" t="s">
        <v>443</v>
      </c>
      <c r="O1319" s="380" t="s">
        <v>443</v>
      </c>
      <c r="P1319" s="380" t="s">
        <v>443</v>
      </c>
      <c r="Q1319" s="381">
        <v>384</v>
      </c>
      <c r="R1319" s="381">
        <v>0</v>
      </c>
      <c r="S1319" s="381">
        <v>0</v>
      </c>
      <c r="T1319" s="381">
        <v>0</v>
      </c>
      <c r="U1319" s="381">
        <v>0</v>
      </c>
      <c r="V1319" s="382">
        <v>384</v>
      </c>
      <c r="W1319" s="382">
        <v>0</v>
      </c>
      <c r="X1319" s="381">
        <v>0.16</v>
      </c>
      <c r="Y1319" s="381">
        <v>0</v>
      </c>
      <c r="Z1319" s="381">
        <v>0</v>
      </c>
      <c r="AA1319" s="381">
        <v>0</v>
      </c>
      <c r="AB1319" s="381">
        <v>0</v>
      </c>
      <c r="AC1319" s="382">
        <v>0.16</v>
      </c>
      <c r="AD1319" s="382">
        <v>0</v>
      </c>
      <c r="AE1319" s="381" t="s">
        <v>444</v>
      </c>
    </row>
    <row r="1320" spans="1:31" ht="15" customHeight="1" x14ac:dyDescent="0.25">
      <c r="A1320" s="20" t="s">
        <v>156</v>
      </c>
      <c r="B1320" s="20" t="s">
        <v>1450</v>
      </c>
      <c r="C1320" s="20" t="s">
        <v>1451</v>
      </c>
      <c r="D1320" s="378" t="s">
        <v>1876</v>
      </c>
      <c r="E1320" s="384">
        <v>44613</v>
      </c>
      <c r="F1320" s="384">
        <v>46439</v>
      </c>
      <c r="G1320" s="378" t="s">
        <v>439</v>
      </c>
      <c r="H1320" s="20" t="s">
        <v>455</v>
      </c>
      <c r="I1320" s="378" t="s">
        <v>162</v>
      </c>
      <c r="J1320" s="20" t="s">
        <v>163</v>
      </c>
      <c r="K1320" s="378" t="s">
        <v>476</v>
      </c>
      <c r="L1320" s="378" t="s">
        <v>165</v>
      </c>
      <c r="M1320" s="380">
        <v>2400</v>
      </c>
      <c r="N1320" s="380" t="s">
        <v>443</v>
      </c>
      <c r="O1320" s="380" t="s">
        <v>443</v>
      </c>
      <c r="P1320" s="380" t="s">
        <v>443</v>
      </c>
      <c r="Q1320" s="381">
        <v>355</v>
      </c>
      <c r="R1320" s="381">
        <v>0</v>
      </c>
      <c r="S1320" s="381">
        <v>0</v>
      </c>
      <c r="T1320" s="381">
        <v>0</v>
      </c>
      <c r="U1320" s="381">
        <v>0</v>
      </c>
      <c r="V1320" s="382">
        <v>355</v>
      </c>
      <c r="W1320" s="382">
        <v>0</v>
      </c>
      <c r="X1320" s="381">
        <v>0.14791666666666667</v>
      </c>
      <c r="Y1320" s="381">
        <v>0</v>
      </c>
      <c r="Z1320" s="381">
        <v>0</v>
      </c>
      <c r="AA1320" s="381">
        <v>0</v>
      </c>
      <c r="AB1320" s="381">
        <v>0</v>
      </c>
      <c r="AC1320" s="382">
        <v>0.14791666666666667</v>
      </c>
      <c r="AD1320" s="382">
        <v>0</v>
      </c>
      <c r="AE1320" s="381" t="s">
        <v>444</v>
      </c>
    </row>
    <row r="1321" spans="1:31" ht="15" customHeight="1" x14ac:dyDescent="0.25">
      <c r="A1321" s="20" t="s">
        <v>156</v>
      </c>
      <c r="B1321" s="20" t="s">
        <v>1450</v>
      </c>
      <c r="C1321" s="20" t="s">
        <v>1451</v>
      </c>
      <c r="D1321" s="378" t="s">
        <v>1877</v>
      </c>
      <c r="E1321" s="384">
        <v>44613</v>
      </c>
      <c r="F1321" s="384">
        <v>46439</v>
      </c>
      <c r="G1321" s="378" t="s">
        <v>439</v>
      </c>
      <c r="H1321" s="20" t="s">
        <v>455</v>
      </c>
      <c r="I1321" s="378" t="s">
        <v>162</v>
      </c>
      <c r="J1321" s="20" t="s">
        <v>163</v>
      </c>
      <c r="K1321" s="378" t="s">
        <v>476</v>
      </c>
      <c r="L1321" s="378" t="s">
        <v>165</v>
      </c>
      <c r="M1321" s="380">
        <v>2400</v>
      </c>
      <c r="N1321" s="380" t="s">
        <v>443</v>
      </c>
      <c r="O1321" s="380" t="s">
        <v>443</v>
      </c>
      <c r="P1321" s="380" t="s">
        <v>443</v>
      </c>
      <c r="Q1321" s="381">
        <v>341</v>
      </c>
      <c r="R1321" s="381">
        <v>0</v>
      </c>
      <c r="S1321" s="381">
        <v>0</v>
      </c>
      <c r="T1321" s="381">
        <v>0</v>
      </c>
      <c r="U1321" s="381">
        <v>0</v>
      </c>
      <c r="V1321" s="382">
        <v>341</v>
      </c>
      <c r="W1321" s="382">
        <v>0</v>
      </c>
      <c r="X1321" s="381">
        <v>0.14208333333333334</v>
      </c>
      <c r="Y1321" s="381">
        <v>0</v>
      </c>
      <c r="Z1321" s="381">
        <v>0</v>
      </c>
      <c r="AA1321" s="381">
        <v>0</v>
      </c>
      <c r="AB1321" s="381">
        <v>0</v>
      </c>
      <c r="AC1321" s="382">
        <v>0.14208333333333334</v>
      </c>
      <c r="AD1321" s="382">
        <v>0</v>
      </c>
      <c r="AE1321" s="381" t="s">
        <v>444</v>
      </c>
    </row>
    <row r="1322" spans="1:31" ht="15" customHeight="1" x14ac:dyDescent="0.25">
      <c r="A1322" s="20" t="s">
        <v>156</v>
      </c>
      <c r="B1322" s="20" t="s">
        <v>1450</v>
      </c>
      <c r="C1322" s="20" t="s">
        <v>1451</v>
      </c>
      <c r="D1322" s="378" t="s">
        <v>1878</v>
      </c>
      <c r="E1322" s="384">
        <v>44613</v>
      </c>
      <c r="F1322" s="384">
        <v>46439</v>
      </c>
      <c r="G1322" s="378" t="s">
        <v>439</v>
      </c>
      <c r="H1322" s="20" t="s">
        <v>455</v>
      </c>
      <c r="I1322" s="378" t="s">
        <v>162</v>
      </c>
      <c r="J1322" s="20" t="s">
        <v>163</v>
      </c>
      <c r="K1322" s="378" t="s">
        <v>476</v>
      </c>
      <c r="L1322" s="378" t="s">
        <v>165</v>
      </c>
      <c r="M1322" s="380">
        <v>2400</v>
      </c>
      <c r="N1322" s="380" t="s">
        <v>443</v>
      </c>
      <c r="O1322" s="380" t="s">
        <v>443</v>
      </c>
      <c r="P1322" s="380" t="s">
        <v>443</v>
      </c>
      <c r="Q1322" s="381">
        <v>357</v>
      </c>
      <c r="R1322" s="381">
        <v>0</v>
      </c>
      <c r="S1322" s="381">
        <v>0</v>
      </c>
      <c r="T1322" s="381">
        <v>0</v>
      </c>
      <c r="U1322" s="381">
        <v>0</v>
      </c>
      <c r="V1322" s="382">
        <v>357</v>
      </c>
      <c r="W1322" s="382">
        <v>0</v>
      </c>
      <c r="X1322" s="381">
        <v>0.14874999999999999</v>
      </c>
      <c r="Y1322" s="381">
        <v>0</v>
      </c>
      <c r="Z1322" s="381">
        <v>0</v>
      </c>
      <c r="AA1322" s="381">
        <v>0</v>
      </c>
      <c r="AB1322" s="381">
        <v>0</v>
      </c>
      <c r="AC1322" s="382">
        <v>0.14874999999999999</v>
      </c>
      <c r="AD1322" s="382">
        <v>0</v>
      </c>
      <c r="AE1322" s="381" t="s">
        <v>444</v>
      </c>
    </row>
    <row r="1323" spans="1:31" ht="15" customHeight="1" x14ac:dyDescent="0.25">
      <c r="A1323" s="20" t="s">
        <v>156</v>
      </c>
      <c r="B1323" s="20" t="s">
        <v>1450</v>
      </c>
      <c r="C1323" s="20" t="s">
        <v>1451</v>
      </c>
      <c r="D1323" s="378" t="s">
        <v>1879</v>
      </c>
      <c r="E1323" s="384">
        <v>44613</v>
      </c>
      <c r="F1323" s="384">
        <v>46439</v>
      </c>
      <c r="G1323" s="378" t="s">
        <v>439</v>
      </c>
      <c r="H1323" s="20" t="s">
        <v>455</v>
      </c>
      <c r="I1323" s="378" t="s">
        <v>162</v>
      </c>
      <c r="J1323" s="20" t="s">
        <v>163</v>
      </c>
      <c r="K1323" s="378" t="s">
        <v>476</v>
      </c>
      <c r="L1323" s="378" t="s">
        <v>165</v>
      </c>
      <c r="M1323" s="380">
        <v>2400</v>
      </c>
      <c r="N1323" s="380" t="s">
        <v>443</v>
      </c>
      <c r="O1323" s="380" t="s">
        <v>443</v>
      </c>
      <c r="P1323" s="380" t="s">
        <v>443</v>
      </c>
      <c r="Q1323" s="381">
        <v>278</v>
      </c>
      <c r="R1323" s="381">
        <v>0</v>
      </c>
      <c r="S1323" s="381">
        <v>0</v>
      </c>
      <c r="T1323" s="381">
        <v>0</v>
      </c>
      <c r="U1323" s="381">
        <v>0</v>
      </c>
      <c r="V1323" s="382">
        <v>278</v>
      </c>
      <c r="W1323" s="382">
        <v>0</v>
      </c>
      <c r="X1323" s="381">
        <v>0.11583333333333333</v>
      </c>
      <c r="Y1323" s="381">
        <v>0</v>
      </c>
      <c r="Z1323" s="381">
        <v>0</v>
      </c>
      <c r="AA1323" s="381">
        <v>0</v>
      </c>
      <c r="AB1323" s="381">
        <v>0</v>
      </c>
      <c r="AC1323" s="382">
        <v>0.11583333333333333</v>
      </c>
      <c r="AD1323" s="382">
        <v>0</v>
      </c>
      <c r="AE1323" s="381" t="s">
        <v>444</v>
      </c>
    </row>
    <row r="1324" spans="1:31" ht="15" customHeight="1" x14ac:dyDescent="0.25">
      <c r="A1324" s="20" t="s">
        <v>156</v>
      </c>
      <c r="B1324" s="20" t="s">
        <v>1450</v>
      </c>
      <c r="C1324" s="20" t="s">
        <v>1451</v>
      </c>
      <c r="D1324" s="378" t="s">
        <v>1880</v>
      </c>
      <c r="E1324" s="384">
        <v>44613</v>
      </c>
      <c r="F1324" s="384">
        <v>46439</v>
      </c>
      <c r="G1324" s="378" t="s">
        <v>439</v>
      </c>
      <c r="H1324" s="20" t="s">
        <v>455</v>
      </c>
      <c r="I1324" s="378" t="s">
        <v>162</v>
      </c>
      <c r="J1324" s="20" t="s">
        <v>163</v>
      </c>
      <c r="K1324" s="378" t="s">
        <v>476</v>
      </c>
      <c r="L1324" s="378" t="s">
        <v>165</v>
      </c>
      <c r="M1324" s="380">
        <v>2400</v>
      </c>
      <c r="N1324" s="380" t="s">
        <v>443</v>
      </c>
      <c r="O1324" s="380" t="s">
        <v>443</v>
      </c>
      <c r="P1324" s="380" t="s">
        <v>443</v>
      </c>
      <c r="Q1324" s="381">
        <v>280</v>
      </c>
      <c r="R1324" s="381">
        <v>0</v>
      </c>
      <c r="S1324" s="381">
        <v>0</v>
      </c>
      <c r="T1324" s="381">
        <v>0</v>
      </c>
      <c r="U1324" s="381">
        <v>0</v>
      </c>
      <c r="V1324" s="382">
        <v>280</v>
      </c>
      <c r="W1324" s="382">
        <v>0</v>
      </c>
      <c r="X1324" s="381">
        <v>0.11666666666666667</v>
      </c>
      <c r="Y1324" s="381">
        <v>0</v>
      </c>
      <c r="Z1324" s="381">
        <v>0</v>
      </c>
      <c r="AA1324" s="381">
        <v>0</v>
      </c>
      <c r="AB1324" s="381">
        <v>0</v>
      </c>
      <c r="AC1324" s="382">
        <v>0.11666666666666667</v>
      </c>
      <c r="AD1324" s="382">
        <v>0</v>
      </c>
      <c r="AE1324" s="381" t="s">
        <v>444</v>
      </c>
    </row>
    <row r="1325" spans="1:31" ht="15" customHeight="1" x14ac:dyDescent="0.25">
      <c r="A1325" s="20" t="s">
        <v>156</v>
      </c>
      <c r="B1325" s="20" t="s">
        <v>1450</v>
      </c>
      <c r="C1325" s="20" t="s">
        <v>1451</v>
      </c>
      <c r="D1325" s="378" t="s">
        <v>1881</v>
      </c>
      <c r="E1325" s="384">
        <v>44613</v>
      </c>
      <c r="F1325" s="384">
        <v>46439</v>
      </c>
      <c r="G1325" s="378" t="s">
        <v>439</v>
      </c>
      <c r="H1325" s="20" t="s">
        <v>455</v>
      </c>
      <c r="I1325" s="378" t="s">
        <v>162</v>
      </c>
      <c r="J1325" s="20" t="s">
        <v>163</v>
      </c>
      <c r="K1325" s="378" t="s">
        <v>476</v>
      </c>
      <c r="L1325" s="378" t="s">
        <v>165</v>
      </c>
      <c r="M1325" s="380">
        <v>2400</v>
      </c>
      <c r="N1325" s="380" t="s">
        <v>443</v>
      </c>
      <c r="O1325" s="380" t="s">
        <v>443</v>
      </c>
      <c r="P1325" s="380" t="s">
        <v>443</v>
      </c>
      <c r="Q1325" s="381">
        <v>323</v>
      </c>
      <c r="R1325" s="381">
        <v>0</v>
      </c>
      <c r="S1325" s="381">
        <v>0</v>
      </c>
      <c r="T1325" s="381">
        <v>0</v>
      </c>
      <c r="U1325" s="381">
        <v>0</v>
      </c>
      <c r="V1325" s="382">
        <v>323</v>
      </c>
      <c r="W1325" s="382">
        <v>0</v>
      </c>
      <c r="X1325" s="381">
        <v>0.13458333333333333</v>
      </c>
      <c r="Y1325" s="381">
        <v>0</v>
      </c>
      <c r="Z1325" s="381">
        <v>0</v>
      </c>
      <c r="AA1325" s="381">
        <v>0</v>
      </c>
      <c r="AB1325" s="381">
        <v>0</v>
      </c>
      <c r="AC1325" s="382">
        <v>0.13458333333333333</v>
      </c>
      <c r="AD1325" s="382">
        <v>0</v>
      </c>
      <c r="AE1325" s="381" t="s">
        <v>444</v>
      </c>
    </row>
    <row r="1326" spans="1:31" ht="15" customHeight="1" x14ac:dyDescent="0.25">
      <c r="A1326" s="20" t="s">
        <v>156</v>
      </c>
      <c r="B1326" s="20" t="s">
        <v>1450</v>
      </c>
      <c r="C1326" s="20" t="s">
        <v>1451</v>
      </c>
      <c r="D1326" s="378" t="s">
        <v>1882</v>
      </c>
      <c r="E1326" s="384">
        <v>44613</v>
      </c>
      <c r="F1326" s="384">
        <v>46439</v>
      </c>
      <c r="G1326" s="378" t="s">
        <v>439</v>
      </c>
      <c r="H1326" s="20" t="s">
        <v>455</v>
      </c>
      <c r="I1326" s="378" t="s">
        <v>162</v>
      </c>
      <c r="J1326" s="20" t="s">
        <v>163</v>
      </c>
      <c r="K1326" s="378" t="s">
        <v>476</v>
      </c>
      <c r="L1326" s="378" t="s">
        <v>165</v>
      </c>
      <c r="M1326" s="380">
        <v>2400</v>
      </c>
      <c r="N1326" s="380" t="s">
        <v>443</v>
      </c>
      <c r="O1326" s="380" t="s">
        <v>443</v>
      </c>
      <c r="P1326" s="380" t="s">
        <v>443</v>
      </c>
      <c r="Q1326" s="381">
        <v>415</v>
      </c>
      <c r="R1326" s="381">
        <v>0</v>
      </c>
      <c r="S1326" s="381">
        <v>0</v>
      </c>
      <c r="T1326" s="381">
        <v>0</v>
      </c>
      <c r="U1326" s="381">
        <v>0</v>
      </c>
      <c r="V1326" s="382">
        <v>415</v>
      </c>
      <c r="W1326" s="382">
        <v>0</v>
      </c>
      <c r="X1326" s="381">
        <v>0.17291666666666666</v>
      </c>
      <c r="Y1326" s="381">
        <v>0</v>
      </c>
      <c r="Z1326" s="381">
        <v>0</v>
      </c>
      <c r="AA1326" s="381">
        <v>0</v>
      </c>
      <c r="AB1326" s="381">
        <v>0</v>
      </c>
      <c r="AC1326" s="382">
        <v>0.17291666666666666</v>
      </c>
      <c r="AD1326" s="382">
        <v>0</v>
      </c>
      <c r="AE1326" s="381" t="s">
        <v>444</v>
      </c>
    </row>
    <row r="1327" spans="1:31" ht="15" customHeight="1" x14ac:dyDescent="0.25">
      <c r="A1327" s="20" t="s">
        <v>156</v>
      </c>
      <c r="B1327" s="20" t="s">
        <v>1450</v>
      </c>
      <c r="C1327" s="20" t="s">
        <v>1451</v>
      </c>
      <c r="D1327" s="378" t="s">
        <v>1883</v>
      </c>
      <c r="E1327" s="384">
        <v>44613</v>
      </c>
      <c r="F1327" s="384">
        <v>46439</v>
      </c>
      <c r="G1327" s="378" t="s">
        <v>439</v>
      </c>
      <c r="H1327" s="20" t="s">
        <v>455</v>
      </c>
      <c r="I1327" s="378" t="s">
        <v>162</v>
      </c>
      <c r="J1327" s="20" t="s">
        <v>163</v>
      </c>
      <c r="K1327" s="378" t="s">
        <v>476</v>
      </c>
      <c r="L1327" s="378" t="s">
        <v>165</v>
      </c>
      <c r="M1327" s="380">
        <v>2400</v>
      </c>
      <c r="N1327" s="380" t="s">
        <v>443</v>
      </c>
      <c r="O1327" s="380" t="s">
        <v>443</v>
      </c>
      <c r="P1327" s="380" t="s">
        <v>443</v>
      </c>
      <c r="Q1327" s="381">
        <v>349</v>
      </c>
      <c r="R1327" s="381">
        <v>0</v>
      </c>
      <c r="S1327" s="381">
        <v>0</v>
      </c>
      <c r="T1327" s="381">
        <v>0</v>
      </c>
      <c r="U1327" s="381">
        <v>0</v>
      </c>
      <c r="V1327" s="382">
        <v>349</v>
      </c>
      <c r="W1327" s="382">
        <v>0</v>
      </c>
      <c r="X1327" s="381">
        <v>0.14541666666666667</v>
      </c>
      <c r="Y1327" s="381">
        <v>0</v>
      </c>
      <c r="Z1327" s="381">
        <v>0</v>
      </c>
      <c r="AA1327" s="381">
        <v>0</v>
      </c>
      <c r="AB1327" s="381">
        <v>0</v>
      </c>
      <c r="AC1327" s="382">
        <v>0.14541666666666667</v>
      </c>
      <c r="AD1327" s="382">
        <v>0</v>
      </c>
      <c r="AE1327" s="381" t="s">
        <v>444</v>
      </c>
    </row>
    <row r="1328" spans="1:31" ht="15" customHeight="1" x14ac:dyDescent="0.25">
      <c r="A1328" s="20" t="s">
        <v>156</v>
      </c>
      <c r="B1328" s="20" t="s">
        <v>1450</v>
      </c>
      <c r="C1328" s="20" t="s">
        <v>1451</v>
      </c>
      <c r="D1328" s="378" t="s">
        <v>1884</v>
      </c>
      <c r="E1328" s="384">
        <v>44613</v>
      </c>
      <c r="F1328" s="384">
        <v>46439</v>
      </c>
      <c r="G1328" s="378" t="s">
        <v>439</v>
      </c>
      <c r="H1328" s="20" t="s">
        <v>455</v>
      </c>
      <c r="I1328" s="378" t="s">
        <v>162</v>
      </c>
      <c r="J1328" s="20" t="s">
        <v>163</v>
      </c>
      <c r="K1328" s="378" t="s">
        <v>476</v>
      </c>
      <c r="L1328" s="378" t="s">
        <v>165</v>
      </c>
      <c r="M1328" s="380">
        <v>2400</v>
      </c>
      <c r="N1328" s="380" t="s">
        <v>443</v>
      </c>
      <c r="O1328" s="380" t="s">
        <v>443</v>
      </c>
      <c r="P1328" s="380" t="s">
        <v>443</v>
      </c>
      <c r="Q1328" s="381">
        <v>318</v>
      </c>
      <c r="R1328" s="381">
        <v>0</v>
      </c>
      <c r="S1328" s="381">
        <v>0</v>
      </c>
      <c r="T1328" s="381">
        <v>0</v>
      </c>
      <c r="U1328" s="381">
        <v>0</v>
      </c>
      <c r="V1328" s="382">
        <v>318</v>
      </c>
      <c r="W1328" s="382">
        <v>0</v>
      </c>
      <c r="X1328" s="381">
        <v>0.13250000000000001</v>
      </c>
      <c r="Y1328" s="381">
        <v>0</v>
      </c>
      <c r="Z1328" s="381">
        <v>0</v>
      </c>
      <c r="AA1328" s="381">
        <v>0</v>
      </c>
      <c r="AB1328" s="381">
        <v>0</v>
      </c>
      <c r="AC1328" s="382">
        <v>0.13250000000000001</v>
      </c>
      <c r="AD1328" s="382">
        <v>0</v>
      </c>
      <c r="AE1328" s="381" t="s">
        <v>444</v>
      </c>
    </row>
    <row r="1329" spans="1:31" ht="15" customHeight="1" x14ac:dyDescent="0.25">
      <c r="A1329" s="20" t="s">
        <v>156</v>
      </c>
      <c r="B1329" s="20" t="s">
        <v>1450</v>
      </c>
      <c r="C1329" s="20" t="s">
        <v>1451</v>
      </c>
      <c r="D1329" s="378" t="s">
        <v>1885</v>
      </c>
      <c r="E1329" s="384">
        <v>44613</v>
      </c>
      <c r="F1329" s="384">
        <v>46439</v>
      </c>
      <c r="G1329" s="378" t="s">
        <v>439</v>
      </c>
      <c r="H1329" s="20" t="s">
        <v>455</v>
      </c>
      <c r="I1329" s="378" t="s">
        <v>162</v>
      </c>
      <c r="J1329" s="20" t="s">
        <v>163</v>
      </c>
      <c r="K1329" s="378" t="s">
        <v>476</v>
      </c>
      <c r="L1329" s="378" t="s">
        <v>165</v>
      </c>
      <c r="M1329" s="380">
        <v>2400</v>
      </c>
      <c r="N1329" s="380" t="s">
        <v>443</v>
      </c>
      <c r="O1329" s="380" t="s">
        <v>443</v>
      </c>
      <c r="P1329" s="380" t="s">
        <v>443</v>
      </c>
      <c r="Q1329" s="381">
        <v>407</v>
      </c>
      <c r="R1329" s="381">
        <v>0</v>
      </c>
      <c r="S1329" s="381">
        <v>0</v>
      </c>
      <c r="T1329" s="381">
        <v>0</v>
      </c>
      <c r="U1329" s="381">
        <v>0</v>
      </c>
      <c r="V1329" s="382">
        <v>407</v>
      </c>
      <c r="W1329" s="382">
        <v>0</v>
      </c>
      <c r="X1329" s="381">
        <v>0.16958333333333334</v>
      </c>
      <c r="Y1329" s="381">
        <v>0</v>
      </c>
      <c r="Z1329" s="381">
        <v>0</v>
      </c>
      <c r="AA1329" s="381">
        <v>0</v>
      </c>
      <c r="AB1329" s="381">
        <v>0</v>
      </c>
      <c r="AC1329" s="382">
        <v>0.16958333333333334</v>
      </c>
      <c r="AD1329" s="382">
        <v>0</v>
      </c>
      <c r="AE1329" s="381" t="s">
        <v>444</v>
      </c>
    </row>
    <row r="1330" spans="1:31" ht="15" customHeight="1" x14ac:dyDescent="0.25">
      <c r="A1330" s="20" t="s">
        <v>156</v>
      </c>
      <c r="B1330" s="20" t="s">
        <v>1450</v>
      </c>
      <c r="C1330" s="20" t="s">
        <v>1451</v>
      </c>
      <c r="D1330" s="378" t="s">
        <v>1886</v>
      </c>
      <c r="E1330" s="384">
        <v>44613</v>
      </c>
      <c r="F1330" s="384">
        <v>46439</v>
      </c>
      <c r="G1330" s="378" t="s">
        <v>439</v>
      </c>
      <c r="H1330" s="20" t="s">
        <v>455</v>
      </c>
      <c r="I1330" s="378" t="s">
        <v>162</v>
      </c>
      <c r="J1330" s="20" t="s">
        <v>163</v>
      </c>
      <c r="K1330" s="378" t="s">
        <v>476</v>
      </c>
      <c r="L1330" s="378" t="s">
        <v>165</v>
      </c>
      <c r="M1330" s="380">
        <v>2400</v>
      </c>
      <c r="N1330" s="380" t="s">
        <v>443</v>
      </c>
      <c r="O1330" s="380" t="s">
        <v>443</v>
      </c>
      <c r="P1330" s="380" t="s">
        <v>443</v>
      </c>
      <c r="Q1330" s="381">
        <v>392</v>
      </c>
      <c r="R1330" s="381">
        <v>0</v>
      </c>
      <c r="S1330" s="381">
        <v>0</v>
      </c>
      <c r="T1330" s="381">
        <v>0</v>
      </c>
      <c r="U1330" s="381">
        <v>0</v>
      </c>
      <c r="V1330" s="382">
        <v>392</v>
      </c>
      <c r="W1330" s="382">
        <v>0</v>
      </c>
      <c r="X1330" s="381">
        <v>0.16333333333333333</v>
      </c>
      <c r="Y1330" s="381">
        <v>0</v>
      </c>
      <c r="Z1330" s="381">
        <v>0</v>
      </c>
      <c r="AA1330" s="381">
        <v>0</v>
      </c>
      <c r="AB1330" s="381">
        <v>0</v>
      </c>
      <c r="AC1330" s="382">
        <v>0.16333333333333333</v>
      </c>
      <c r="AD1330" s="382">
        <v>0</v>
      </c>
      <c r="AE1330" s="381" t="s">
        <v>444</v>
      </c>
    </row>
    <row r="1331" spans="1:31" ht="15" customHeight="1" x14ac:dyDescent="0.25">
      <c r="A1331" s="20" t="s">
        <v>156</v>
      </c>
      <c r="B1331" s="20" t="s">
        <v>1450</v>
      </c>
      <c r="C1331" s="20" t="s">
        <v>1451</v>
      </c>
      <c r="D1331" s="378" t="s">
        <v>1887</v>
      </c>
      <c r="E1331" s="384">
        <v>44613</v>
      </c>
      <c r="F1331" s="384">
        <v>46439</v>
      </c>
      <c r="G1331" s="378" t="s">
        <v>439</v>
      </c>
      <c r="H1331" s="20" t="s">
        <v>455</v>
      </c>
      <c r="I1331" s="378" t="s">
        <v>162</v>
      </c>
      <c r="J1331" s="20" t="s">
        <v>163</v>
      </c>
      <c r="K1331" s="378" t="s">
        <v>476</v>
      </c>
      <c r="L1331" s="378" t="s">
        <v>165</v>
      </c>
      <c r="M1331" s="380">
        <v>2400</v>
      </c>
      <c r="N1331" s="380" t="s">
        <v>443</v>
      </c>
      <c r="O1331" s="380" t="s">
        <v>443</v>
      </c>
      <c r="P1331" s="380" t="s">
        <v>443</v>
      </c>
      <c r="Q1331" s="381">
        <v>439</v>
      </c>
      <c r="R1331" s="381">
        <v>0</v>
      </c>
      <c r="S1331" s="381">
        <v>0</v>
      </c>
      <c r="T1331" s="381">
        <v>0</v>
      </c>
      <c r="U1331" s="381">
        <v>0</v>
      </c>
      <c r="V1331" s="382">
        <v>439</v>
      </c>
      <c r="W1331" s="382">
        <v>0</v>
      </c>
      <c r="X1331" s="381">
        <v>0.18291666666666667</v>
      </c>
      <c r="Y1331" s="381">
        <v>0</v>
      </c>
      <c r="Z1331" s="381">
        <v>0</v>
      </c>
      <c r="AA1331" s="381">
        <v>0</v>
      </c>
      <c r="AB1331" s="381">
        <v>0</v>
      </c>
      <c r="AC1331" s="382">
        <v>0.18291666666666667</v>
      </c>
      <c r="AD1331" s="382">
        <v>0</v>
      </c>
      <c r="AE1331" s="381" t="s">
        <v>444</v>
      </c>
    </row>
    <row r="1332" spans="1:31" ht="15" customHeight="1" x14ac:dyDescent="0.25">
      <c r="A1332" s="20" t="s">
        <v>156</v>
      </c>
      <c r="B1332" s="20" t="s">
        <v>1450</v>
      </c>
      <c r="C1332" s="20" t="s">
        <v>1451</v>
      </c>
      <c r="D1332" s="378" t="s">
        <v>1870</v>
      </c>
      <c r="E1332" s="384">
        <v>44613</v>
      </c>
      <c r="F1332" s="384">
        <v>46439</v>
      </c>
      <c r="G1332" s="378" t="s">
        <v>439</v>
      </c>
      <c r="H1332" s="20" t="s">
        <v>455</v>
      </c>
      <c r="I1332" s="378" t="s">
        <v>162</v>
      </c>
      <c r="J1332" s="20" t="s">
        <v>163</v>
      </c>
      <c r="K1332" s="378" t="s">
        <v>476</v>
      </c>
      <c r="L1332" s="378" t="s">
        <v>165</v>
      </c>
      <c r="M1332" s="380">
        <v>2400</v>
      </c>
      <c r="N1332" s="380" t="s">
        <v>443</v>
      </c>
      <c r="O1332" s="380" t="s">
        <v>443</v>
      </c>
      <c r="P1332" s="380" t="s">
        <v>443</v>
      </c>
      <c r="Q1332" s="381">
        <v>284</v>
      </c>
      <c r="R1332" s="381">
        <v>0</v>
      </c>
      <c r="S1332" s="381">
        <v>0</v>
      </c>
      <c r="T1332" s="381">
        <v>0</v>
      </c>
      <c r="U1332" s="381">
        <v>0</v>
      </c>
      <c r="V1332" s="382">
        <v>284</v>
      </c>
      <c r="W1332" s="382">
        <v>0</v>
      </c>
      <c r="X1332" s="381">
        <v>0.11833333333333333</v>
      </c>
      <c r="Y1332" s="381">
        <v>0</v>
      </c>
      <c r="Z1332" s="381">
        <v>0</v>
      </c>
      <c r="AA1332" s="381">
        <v>0</v>
      </c>
      <c r="AB1332" s="381">
        <v>0</v>
      </c>
      <c r="AC1332" s="382">
        <v>0.11833333333333333</v>
      </c>
      <c r="AD1332" s="382">
        <v>0</v>
      </c>
      <c r="AE1332" s="381" t="s">
        <v>444</v>
      </c>
    </row>
    <row r="1333" spans="1:31" ht="15" customHeight="1" x14ac:dyDescent="0.25">
      <c r="A1333" s="20" t="s">
        <v>156</v>
      </c>
      <c r="B1333" s="20" t="s">
        <v>1450</v>
      </c>
      <c r="C1333" s="20" t="s">
        <v>1451</v>
      </c>
      <c r="D1333" s="378" t="s">
        <v>1871</v>
      </c>
      <c r="E1333" s="384">
        <v>44613</v>
      </c>
      <c r="F1333" s="384">
        <v>46439</v>
      </c>
      <c r="G1333" s="378" t="s">
        <v>439</v>
      </c>
      <c r="H1333" s="20" t="s">
        <v>455</v>
      </c>
      <c r="I1333" s="378" t="s">
        <v>162</v>
      </c>
      <c r="J1333" s="20" t="s">
        <v>163</v>
      </c>
      <c r="K1333" s="378" t="s">
        <v>476</v>
      </c>
      <c r="L1333" s="378" t="s">
        <v>165</v>
      </c>
      <c r="M1333" s="380">
        <v>2400</v>
      </c>
      <c r="N1333" s="380" t="s">
        <v>443</v>
      </c>
      <c r="O1333" s="380" t="s">
        <v>443</v>
      </c>
      <c r="P1333" s="380" t="s">
        <v>443</v>
      </c>
      <c r="Q1333" s="381">
        <v>271</v>
      </c>
      <c r="R1333" s="381">
        <v>0</v>
      </c>
      <c r="S1333" s="381">
        <v>0</v>
      </c>
      <c r="T1333" s="381">
        <v>0</v>
      </c>
      <c r="U1333" s="381">
        <v>0</v>
      </c>
      <c r="V1333" s="382">
        <v>271</v>
      </c>
      <c r="W1333" s="382">
        <v>0</v>
      </c>
      <c r="X1333" s="381">
        <v>0.11291666666666667</v>
      </c>
      <c r="Y1333" s="381">
        <v>0</v>
      </c>
      <c r="Z1333" s="381">
        <v>0</v>
      </c>
      <c r="AA1333" s="381">
        <v>0</v>
      </c>
      <c r="AB1333" s="381">
        <v>0</v>
      </c>
      <c r="AC1333" s="382">
        <v>0.11291666666666667</v>
      </c>
      <c r="AD1333" s="382">
        <v>0</v>
      </c>
      <c r="AE1333" s="381" t="s">
        <v>444</v>
      </c>
    </row>
    <row r="1334" spans="1:31" ht="15" customHeight="1" x14ac:dyDescent="0.25">
      <c r="A1334" s="20" t="s">
        <v>156</v>
      </c>
      <c r="B1334" s="20" t="s">
        <v>1450</v>
      </c>
      <c r="C1334" s="20" t="s">
        <v>1451</v>
      </c>
      <c r="D1334" s="378" t="s">
        <v>1872</v>
      </c>
      <c r="E1334" s="384">
        <v>44613</v>
      </c>
      <c r="F1334" s="384">
        <v>46439</v>
      </c>
      <c r="G1334" s="378" t="s">
        <v>439</v>
      </c>
      <c r="H1334" s="20" t="s">
        <v>455</v>
      </c>
      <c r="I1334" s="378" t="s">
        <v>162</v>
      </c>
      <c r="J1334" s="20" t="s">
        <v>163</v>
      </c>
      <c r="K1334" s="378" t="s">
        <v>476</v>
      </c>
      <c r="L1334" s="378" t="s">
        <v>165</v>
      </c>
      <c r="M1334" s="380">
        <v>2400</v>
      </c>
      <c r="N1334" s="380" t="s">
        <v>443</v>
      </c>
      <c r="O1334" s="380" t="s">
        <v>443</v>
      </c>
      <c r="P1334" s="380" t="s">
        <v>443</v>
      </c>
      <c r="Q1334" s="381">
        <v>336</v>
      </c>
      <c r="R1334" s="381">
        <v>0</v>
      </c>
      <c r="S1334" s="381">
        <v>0</v>
      </c>
      <c r="T1334" s="381">
        <v>0</v>
      </c>
      <c r="U1334" s="381">
        <v>0</v>
      </c>
      <c r="V1334" s="382">
        <v>336</v>
      </c>
      <c r="W1334" s="382">
        <v>0</v>
      </c>
      <c r="X1334" s="381">
        <v>0.14000000000000001</v>
      </c>
      <c r="Y1334" s="381">
        <v>0</v>
      </c>
      <c r="Z1334" s="381">
        <v>0</v>
      </c>
      <c r="AA1334" s="381">
        <v>0</v>
      </c>
      <c r="AB1334" s="381">
        <v>0</v>
      </c>
      <c r="AC1334" s="382">
        <v>0.14000000000000001</v>
      </c>
      <c r="AD1334" s="382">
        <v>0</v>
      </c>
      <c r="AE1334" s="381" t="s">
        <v>444</v>
      </c>
    </row>
    <row r="1335" spans="1:31" ht="15" customHeight="1" x14ac:dyDescent="0.25">
      <c r="A1335" s="20" t="s">
        <v>156</v>
      </c>
      <c r="B1335" s="20" t="s">
        <v>1450</v>
      </c>
      <c r="C1335" s="20" t="s">
        <v>1451</v>
      </c>
      <c r="D1335" s="378" t="s">
        <v>1873</v>
      </c>
      <c r="E1335" s="384">
        <v>44613</v>
      </c>
      <c r="F1335" s="384">
        <v>46439</v>
      </c>
      <c r="G1335" s="378" t="s">
        <v>439</v>
      </c>
      <c r="H1335" s="20" t="s">
        <v>455</v>
      </c>
      <c r="I1335" s="378" t="s">
        <v>162</v>
      </c>
      <c r="J1335" s="20" t="s">
        <v>163</v>
      </c>
      <c r="K1335" s="378" t="s">
        <v>476</v>
      </c>
      <c r="L1335" s="378" t="s">
        <v>165</v>
      </c>
      <c r="M1335" s="380">
        <v>2400</v>
      </c>
      <c r="N1335" s="380" t="s">
        <v>443</v>
      </c>
      <c r="O1335" s="380" t="s">
        <v>443</v>
      </c>
      <c r="P1335" s="380" t="s">
        <v>443</v>
      </c>
      <c r="Q1335" s="381">
        <v>375</v>
      </c>
      <c r="R1335" s="381">
        <v>0</v>
      </c>
      <c r="S1335" s="381">
        <v>0</v>
      </c>
      <c r="T1335" s="381">
        <v>0</v>
      </c>
      <c r="U1335" s="381">
        <v>0</v>
      </c>
      <c r="V1335" s="382">
        <v>375</v>
      </c>
      <c r="W1335" s="382">
        <v>0</v>
      </c>
      <c r="X1335" s="381">
        <v>0.15625</v>
      </c>
      <c r="Y1335" s="381">
        <v>0</v>
      </c>
      <c r="Z1335" s="381">
        <v>0</v>
      </c>
      <c r="AA1335" s="381">
        <v>0</v>
      </c>
      <c r="AB1335" s="381">
        <v>0</v>
      </c>
      <c r="AC1335" s="382">
        <v>0.15625</v>
      </c>
      <c r="AD1335" s="382">
        <v>0</v>
      </c>
      <c r="AE1335" s="381" t="s">
        <v>444</v>
      </c>
    </row>
    <row r="1336" spans="1:31" ht="15" customHeight="1" x14ac:dyDescent="0.25">
      <c r="A1336" s="20" t="s">
        <v>156</v>
      </c>
      <c r="B1336" s="20" t="s">
        <v>1450</v>
      </c>
      <c r="C1336" s="20" t="s">
        <v>1451</v>
      </c>
      <c r="D1336" s="378" t="s">
        <v>1874</v>
      </c>
      <c r="E1336" s="384">
        <v>44613</v>
      </c>
      <c r="F1336" s="384">
        <v>46439</v>
      </c>
      <c r="G1336" s="378" t="s">
        <v>439</v>
      </c>
      <c r="H1336" s="20" t="s">
        <v>455</v>
      </c>
      <c r="I1336" s="378" t="s">
        <v>162</v>
      </c>
      <c r="J1336" s="20" t="s">
        <v>163</v>
      </c>
      <c r="K1336" s="378" t="s">
        <v>476</v>
      </c>
      <c r="L1336" s="378" t="s">
        <v>165</v>
      </c>
      <c r="M1336" s="380">
        <v>2400</v>
      </c>
      <c r="N1336" s="380" t="s">
        <v>443</v>
      </c>
      <c r="O1336" s="380" t="s">
        <v>443</v>
      </c>
      <c r="P1336" s="380" t="s">
        <v>443</v>
      </c>
      <c r="Q1336" s="381">
        <v>289</v>
      </c>
      <c r="R1336" s="381">
        <v>0</v>
      </c>
      <c r="S1336" s="381">
        <v>0</v>
      </c>
      <c r="T1336" s="381">
        <v>0</v>
      </c>
      <c r="U1336" s="381">
        <v>0</v>
      </c>
      <c r="V1336" s="382">
        <v>289</v>
      </c>
      <c r="W1336" s="382">
        <v>0</v>
      </c>
      <c r="X1336" s="381">
        <v>0.12041666666666667</v>
      </c>
      <c r="Y1336" s="381">
        <v>0</v>
      </c>
      <c r="Z1336" s="381">
        <v>0</v>
      </c>
      <c r="AA1336" s="381">
        <v>0</v>
      </c>
      <c r="AB1336" s="381">
        <v>0</v>
      </c>
      <c r="AC1336" s="382">
        <v>0.12041666666666667</v>
      </c>
      <c r="AD1336" s="382">
        <v>0</v>
      </c>
      <c r="AE1336" s="381" t="s">
        <v>444</v>
      </c>
    </row>
    <row r="1337" spans="1:31" ht="15" customHeight="1" x14ac:dyDescent="0.25">
      <c r="A1337" s="20" t="s">
        <v>156</v>
      </c>
      <c r="B1337" s="20" t="s">
        <v>1450</v>
      </c>
      <c r="C1337" s="20" t="s">
        <v>1451</v>
      </c>
      <c r="D1337" s="378" t="s">
        <v>1875</v>
      </c>
      <c r="E1337" s="384">
        <v>44613</v>
      </c>
      <c r="F1337" s="384">
        <v>46439</v>
      </c>
      <c r="G1337" s="378" t="s">
        <v>439</v>
      </c>
      <c r="H1337" s="20" t="s">
        <v>455</v>
      </c>
      <c r="I1337" s="378" t="s">
        <v>162</v>
      </c>
      <c r="J1337" s="20" t="s">
        <v>163</v>
      </c>
      <c r="K1337" s="378" t="s">
        <v>476</v>
      </c>
      <c r="L1337" s="378" t="s">
        <v>165</v>
      </c>
      <c r="M1337" s="380">
        <v>2400</v>
      </c>
      <c r="N1337" s="380" t="s">
        <v>443</v>
      </c>
      <c r="O1337" s="380" t="s">
        <v>443</v>
      </c>
      <c r="P1337" s="380" t="s">
        <v>443</v>
      </c>
      <c r="Q1337" s="381">
        <v>384</v>
      </c>
      <c r="R1337" s="381">
        <v>0</v>
      </c>
      <c r="S1337" s="381">
        <v>0</v>
      </c>
      <c r="T1337" s="381">
        <v>0</v>
      </c>
      <c r="U1337" s="381">
        <v>0</v>
      </c>
      <c r="V1337" s="382">
        <v>384</v>
      </c>
      <c r="W1337" s="382">
        <v>0</v>
      </c>
      <c r="X1337" s="381">
        <v>0.16</v>
      </c>
      <c r="Y1337" s="381">
        <v>0</v>
      </c>
      <c r="Z1337" s="381">
        <v>0</v>
      </c>
      <c r="AA1337" s="381">
        <v>0</v>
      </c>
      <c r="AB1337" s="381">
        <v>0</v>
      </c>
      <c r="AC1337" s="382">
        <v>0.16</v>
      </c>
      <c r="AD1337" s="382">
        <v>0</v>
      </c>
      <c r="AE1337" s="381" t="s">
        <v>444</v>
      </c>
    </row>
    <row r="1338" spans="1:31" ht="15" customHeight="1" x14ac:dyDescent="0.25">
      <c r="A1338" s="20" t="s">
        <v>156</v>
      </c>
      <c r="B1338" s="20" t="s">
        <v>1450</v>
      </c>
      <c r="C1338" s="20" t="s">
        <v>1451</v>
      </c>
      <c r="D1338" s="378" t="s">
        <v>1876</v>
      </c>
      <c r="E1338" s="384">
        <v>44613</v>
      </c>
      <c r="F1338" s="384">
        <v>46439</v>
      </c>
      <c r="G1338" s="378" t="s">
        <v>439</v>
      </c>
      <c r="H1338" s="20" t="s">
        <v>455</v>
      </c>
      <c r="I1338" s="378" t="s">
        <v>162</v>
      </c>
      <c r="J1338" s="20" t="s">
        <v>163</v>
      </c>
      <c r="K1338" s="378" t="s">
        <v>476</v>
      </c>
      <c r="L1338" s="378" t="s">
        <v>165</v>
      </c>
      <c r="M1338" s="380">
        <v>2400</v>
      </c>
      <c r="N1338" s="380" t="s">
        <v>443</v>
      </c>
      <c r="O1338" s="380" t="s">
        <v>443</v>
      </c>
      <c r="P1338" s="380" t="s">
        <v>443</v>
      </c>
      <c r="Q1338" s="381">
        <v>355</v>
      </c>
      <c r="R1338" s="381">
        <v>0</v>
      </c>
      <c r="S1338" s="381">
        <v>0</v>
      </c>
      <c r="T1338" s="381">
        <v>0</v>
      </c>
      <c r="U1338" s="381">
        <v>0</v>
      </c>
      <c r="V1338" s="382">
        <v>355</v>
      </c>
      <c r="W1338" s="382">
        <v>0</v>
      </c>
      <c r="X1338" s="381">
        <v>0.14791666666666667</v>
      </c>
      <c r="Y1338" s="381">
        <v>0</v>
      </c>
      <c r="Z1338" s="381">
        <v>0</v>
      </c>
      <c r="AA1338" s="381">
        <v>0</v>
      </c>
      <c r="AB1338" s="381">
        <v>0</v>
      </c>
      <c r="AC1338" s="382">
        <v>0.14791666666666667</v>
      </c>
      <c r="AD1338" s="382">
        <v>0</v>
      </c>
      <c r="AE1338" s="381" t="s">
        <v>444</v>
      </c>
    </row>
    <row r="1339" spans="1:31" ht="15" customHeight="1" x14ac:dyDescent="0.25">
      <c r="A1339" s="20" t="s">
        <v>156</v>
      </c>
      <c r="B1339" s="20" t="s">
        <v>1450</v>
      </c>
      <c r="C1339" s="20" t="s">
        <v>1451</v>
      </c>
      <c r="D1339" s="378" t="s">
        <v>1877</v>
      </c>
      <c r="E1339" s="384">
        <v>44613</v>
      </c>
      <c r="F1339" s="384">
        <v>46439</v>
      </c>
      <c r="G1339" s="378" t="s">
        <v>439</v>
      </c>
      <c r="H1339" s="20" t="s">
        <v>455</v>
      </c>
      <c r="I1339" s="378" t="s">
        <v>162</v>
      </c>
      <c r="J1339" s="20" t="s">
        <v>163</v>
      </c>
      <c r="K1339" s="378" t="s">
        <v>476</v>
      </c>
      <c r="L1339" s="378" t="s">
        <v>165</v>
      </c>
      <c r="M1339" s="380">
        <v>2400</v>
      </c>
      <c r="N1339" s="380" t="s">
        <v>443</v>
      </c>
      <c r="O1339" s="380" t="s">
        <v>443</v>
      </c>
      <c r="P1339" s="380" t="s">
        <v>443</v>
      </c>
      <c r="Q1339" s="381">
        <v>341</v>
      </c>
      <c r="R1339" s="381">
        <v>0</v>
      </c>
      <c r="S1339" s="381">
        <v>0</v>
      </c>
      <c r="T1339" s="381">
        <v>0</v>
      </c>
      <c r="U1339" s="381">
        <v>0</v>
      </c>
      <c r="V1339" s="382">
        <v>341</v>
      </c>
      <c r="W1339" s="382">
        <v>0</v>
      </c>
      <c r="X1339" s="381">
        <v>0.14208333333333334</v>
      </c>
      <c r="Y1339" s="381">
        <v>0</v>
      </c>
      <c r="Z1339" s="381">
        <v>0</v>
      </c>
      <c r="AA1339" s="381">
        <v>0</v>
      </c>
      <c r="AB1339" s="381">
        <v>0</v>
      </c>
      <c r="AC1339" s="382">
        <v>0.14208333333333334</v>
      </c>
      <c r="AD1339" s="382">
        <v>0</v>
      </c>
      <c r="AE1339" s="381" t="s">
        <v>444</v>
      </c>
    </row>
    <row r="1340" spans="1:31" ht="15" customHeight="1" x14ac:dyDescent="0.25">
      <c r="A1340" s="20" t="s">
        <v>156</v>
      </c>
      <c r="B1340" s="20" t="s">
        <v>1450</v>
      </c>
      <c r="C1340" s="20" t="s">
        <v>1451</v>
      </c>
      <c r="D1340" s="378" t="s">
        <v>1878</v>
      </c>
      <c r="E1340" s="384">
        <v>44613</v>
      </c>
      <c r="F1340" s="384">
        <v>46439</v>
      </c>
      <c r="G1340" s="378" t="s">
        <v>439</v>
      </c>
      <c r="H1340" s="20" t="s">
        <v>455</v>
      </c>
      <c r="I1340" s="378" t="s">
        <v>162</v>
      </c>
      <c r="J1340" s="20" t="s">
        <v>163</v>
      </c>
      <c r="K1340" s="378" t="s">
        <v>476</v>
      </c>
      <c r="L1340" s="378" t="s">
        <v>165</v>
      </c>
      <c r="M1340" s="380">
        <v>2400</v>
      </c>
      <c r="N1340" s="380" t="s">
        <v>443</v>
      </c>
      <c r="O1340" s="380" t="s">
        <v>443</v>
      </c>
      <c r="P1340" s="380" t="s">
        <v>443</v>
      </c>
      <c r="Q1340" s="381">
        <v>357</v>
      </c>
      <c r="R1340" s="381">
        <v>0</v>
      </c>
      <c r="S1340" s="381">
        <v>0</v>
      </c>
      <c r="T1340" s="381">
        <v>0</v>
      </c>
      <c r="U1340" s="381">
        <v>0</v>
      </c>
      <c r="V1340" s="382">
        <v>357</v>
      </c>
      <c r="W1340" s="382">
        <v>0</v>
      </c>
      <c r="X1340" s="381">
        <v>0.14874999999999999</v>
      </c>
      <c r="Y1340" s="381">
        <v>0</v>
      </c>
      <c r="Z1340" s="381">
        <v>0</v>
      </c>
      <c r="AA1340" s="381">
        <v>0</v>
      </c>
      <c r="AB1340" s="381">
        <v>0</v>
      </c>
      <c r="AC1340" s="382">
        <v>0.14874999999999999</v>
      </c>
      <c r="AD1340" s="382">
        <v>0</v>
      </c>
      <c r="AE1340" s="381" t="s">
        <v>444</v>
      </c>
    </row>
    <row r="1341" spans="1:31" ht="15" customHeight="1" x14ac:dyDescent="0.25">
      <c r="A1341" s="20" t="s">
        <v>156</v>
      </c>
      <c r="B1341" s="20" t="s">
        <v>1450</v>
      </c>
      <c r="C1341" s="20" t="s">
        <v>1451</v>
      </c>
      <c r="D1341" s="378" t="s">
        <v>1879</v>
      </c>
      <c r="E1341" s="384">
        <v>44613</v>
      </c>
      <c r="F1341" s="384">
        <v>46439</v>
      </c>
      <c r="G1341" s="378" t="s">
        <v>439</v>
      </c>
      <c r="H1341" s="20" t="s">
        <v>455</v>
      </c>
      <c r="I1341" s="378" t="s">
        <v>162</v>
      </c>
      <c r="J1341" s="20" t="s">
        <v>163</v>
      </c>
      <c r="K1341" s="378" t="s">
        <v>476</v>
      </c>
      <c r="L1341" s="378" t="s">
        <v>165</v>
      </c>
      <c r="M1341" s="380">
        <v>2400</v>
      </c>
      <c r="N1341" s="380" t="s">
        <v>443</v>
      </c>
      <c r="O1341" s="380" t="s">
        <v>443</v>
      </c>
      <c r="P1341" s="380" t="s">
        <v>443</v>
      </c>
      <c r="Q1341" s="381">
        <v>278</v>
      </c>
      <c r="R1341" s="381">
        <v>0</v>
      </c>
      <c r="S1341" s="381">
        <v>0</v>
      </c>
      <c r="T1341" s="381">
        <v>0</v>
      </c>
      <c r="U1341" s="381">
        <v>0</v>
      </c>
      <c r="V1341" s="382">
        <v>278</v>
      </c>
      <c r="W1341" s="382">
        <v>0</v>
      </c>
      <c r="X1341" s="381">
        <v>0.11583333333333333</v>
      </c>
      <c r="Y1341" s="381">
        <v>0</v>
      </c>
      <c r="Z1341" s="381">
        <v>0</v>
      </c>
      <c r="AA1341" s="381">
        <v>0</v>
      </c>
      <c r="AB1341" s="381">
        <v>0</v>
      </c>
      <c r="AC1341" s="382">
        <v>0.11583333333333333</v>
      </c>
      <c r="AD1341" s="382">
        <v>0</v>
      </c>
      <c r="AE1341" s="381" t="s">
        <v>444</v>
      </c>
    </row>
    <row r="1342" spans="1:31" ht="15" customHeight="1" x14ac:dyDescent="0.25">
      <c r="A1342" s="20" t="s">
        <v>156</v>
      </c>
      <c r="B1342" s="20" t="s">
        <v>1450</v>
      </c>
      <c r="C1342" s="20" t="s">
        <v>1451</v>
      </c>
      <c r="D1342" s="378" t="s">
        <v>1880</v>
      </c>
      <c r="E1342" s="384">
        <v>44613</v>
      </c>
      <c r="F1342" s="384">
        <v>46439</v>
      </c>
      <c r="G1342" s="378" t="s">
        <v>439</v>
      </c>
      <c r="H1342" s="20" t="s">
        <v>455</v>
      </c>
      <c r="I1342" s="378" t="s">
        <v>162</v>
      </c>
      <c r="J1342" s="20" t="s">
        <v>163</v>
      </c>
      <c r="K1342" s="378" t="s">
        <v>476</v>
      </c>
      <c r="L1342" s="378" t="s">
        <v>165</v>
      </c>
      <c r="M1342" s="380">
        <v>2400</v>
      </c>
      <c r="N1342" s="380" t="s">
        <v>443</v>
      </c>
      <c r="O1342" s="380" t="s">
        <v>443</v>
      </c>
      <c r="P1342" s="380" t="s">
        <v>443</v>
      </c>
      <c r="Q1342" s="381">
        <v>280</v>
      </c>
      <c r="R1342" s="381">
        <v>0</v>
      </c>
      <c r="S1342" s="381">
        <v>0</v>
      </c>
      <c r="T1342" s="381">
        <v>0</v>
      </c>
      <c r="U1342" s="381">
        <v>0</v>
      </c>
      <c r="V1342" s="382">
        <v>280</v>
      </c>
      <c r="W1342" s="382">
        <v>0</v>
      </c>
      <c r="X1342" s="381">
        <v>0.11666666666666667</v>
      </c>
      <c r="Y1342" s="381">
        <v>0</v>
      </c>
      <c r="Z1342" s="381">
        <v>0</v>
      </c>
      <c r="AA1342" s="381">
        <v>0</v>
      </c>
      <c r="AB1342" s="381">
        <v>0</v>
      </c>
      <c r="AC1342" s="382">
        <v>0.11666666666666667</v>
      </c>
      <c r="AD1342" s="382">
        <v>0</v>
      </c>
      <c r="AE1342" s="381" t="s">
        <v>444</v>
      </c>
    </row>
    <row r="1343" spans="1:31" ht="15" customHeight="1" x14ac:dyDescent="0.25">
      <c r="A1343" s="20" t="s">
        <v>156</v>
      </c>
      <c r="B1343" s="20" t="s">
        <v>1450</v>
      </c>
      <c r="C1343" s="20" t="s">
        <v>1451</v>
      </c>
      <c r="D1343" s="378" t="s">
        <v>1881</v>
      </c>
      <c r="E1343" s="384">
        <v>44613</v>
      </c>
      <c r="F1343" s="384">
        <v>46439</v>
      </c>
      <c r="G1343" s="378" t="s">
        <v>439</v>
      </c>
      <c r="H1343" s="20" t="s">
        <v>455</v>
      </c>
      <c r="I1343" s="378" t="s">
        <v>162</v>
      </c>
      <c r="J1343" s="20" t="s">
        <v>163</v>
      </c>
      <c r="K1343" s="378" t="s">
        <v>476</v>
      </c>
      <c r="L1343" s="378" t="s">
        <v>165</v>
      </c>
      <c r="M1343" s="380">
        <v>2400</v>
      </c>
      <c r="N1343" s="380" t="s">
        <v>443</v>
      </c>
      <c r="O1343" s="380" t="s">
        <v>443</v>
      </c>
      <c r="P1343" s="380" t="s">
        <v>443</v>
      </c>
      <c r="Q1343" s="381">
        <v>323</v>
      </c>
      <c r="R1343" s="381">
        <v>0</v>
      </c>
      <c r="S1343" s="381">
        <v>0</v>
      </c>
      <c r="T1343" s="381">
        <v>0</v>
      </c>
      <c r="U1343" s="381">
        <v>0</v>
      </c>
      <c r="V1343" s="382">
        <v>323</v>
      </c>
      <c r="W1343" s="382">
        <v>0</v>
      </c>
      <c r="X1343" s="381">
        <v>0.13458333333333333</v>
      </c>
      <c r="Y1343" s="381">
        <v>0</v>
      </c>
      <c r="Z1343" s="381">
        <v>0</v>
      </c>
      <c r="AA1343" s="381">
        <v>0</v>
      </c>
      <c r="AB1343" s="381">
        <v>0</v>
      </c>
      <c r="AC1343" s="382">
        <v>0.13458333333333333</v>
      </c>
      <c r="AD1343" s="382">
        <v>0</v>
      </c>
      <c r="AE1343" s="381" t="s">
        <v>444</v>
      </c>
    </row>
    <row r="1344" spans="1:31" ht="15" customHeight="1" x14ac:dyDescent="0.25">
      <c r="A1344" s="20" t="s">
        <v>156</v>
      </c>
      <c r="B1344" s="20" t="s">
        <v>1450</v>
      </c>
      <c r="C1344" s="20" t="s">
        <v>1451</v>
      </c>
      <c r="D1344" s="378" t="s">
        <v>1883</v>
      </c>
      <c r="E1344" s="384">
        <v>44613</v>
      </c>
      <c r="F1344" s="384">
        <v>46439</v>
      </c>
      <c r="G1344" s="378" t="s">
        <v>439</v>
      </c>
      <c r="H1344" s="20" t="s">
        <v>455</v>
      </c>
      <c r="I1344" s="378" t="s">
        <v>162</v>
      </c>
      <c r="J1344" s="20" t="s">
        <v>163</v>
      </c>
      <c r="K1344" s="378" t="s">
        <v>476</v>
      </c>
      <c r="L1344" s="378" t="s">
        <v>165</v>
      </c>
      <c r="M1344" s="380">
        <v>2400</v>
      </c>
      <c r="N1344" s="380" t="s">
        <v>443</v>
      </c>
      <c r="O1344" s="380" t="s">
        <v>443</v>
      </c>
      <c r="P1344" s="380" t="s">
        <v>443</v>
      </c>
      <c r="Q1344" s="381">
        <v>349</v>
      </c>
      <c r="R1344" s="381">
        <v>0</v>
      </c>
      <c r="S1344" s="381">
        <v>0</v>
      </c>
      <c r="T1344" s="381">
        <v>0</v>
      </c>
      <c r="U1344" s="381">
        <v>0</v>
      </c>
      <c r="V1344" s="382">
        <v>349</v>
      </c>
      <c r="W1344" s="382">
        <v>0</v>
      </c>
      <c r="X1344" s="381">
        <v>0.14541666666666667</v>
      </c>
      <c r="Y1344" s="381">
        <v>0</v>
      </c>
      <c r="Z1344" s="381">
        <v>0</v>
      </c>
      <c r="AA1344" s="381">
        <v>0</v>
      </c>
      <c r="AB1344" s="381">
        <v>0</v>
      </c>
      <c r="AC1344" s="382">
        <v>0.14541666666666667</v>
      </c>
      <c r="AD1344" s="382">
        <v>0</v>
      </c>
      <c r="AE1344" s="381" t="s">
        <v>444</v>
      </c>
    </row>
    <row r="1345" spans="1:31" ht="15" customHeight="1" x14ac:dyDescent="0.25">
      <c r="A1345" s="20" t="s">
        <v>156</v>
      </c>
      <c r="B1345" s="20" t="s">
        <v>1450</v>
      </c>
      <c r="C1345" s="20" t="s">
        <v>1451</v>
      </c>
      <c r="D1345" s="378" t="s">
        <v>1884</v>
      </c>
      <c r="E1345" s="384">
        <v>44613</v>
      </c>
      <c r="F1345" s="384">
        <v>46439</v>
      </c>
      <c r="G1345" s="378" t="s">
        <v>439</v>
      </c>
      <c r="H1345" s="20" t="s">
        <v>455</v>
      </c>
      <c r="I1345" s="378" t="s">
        <v>162</v>
      </c>
      <c r="J1345" s="20" t="s">
        <v>163</v>
      </c>
      <c r="K1345" s="378" t="s">
        <v>476</v>
      </c>
      <c r="L1345" s="378" t="s">
        <v>165</v>
      </c>
      <c r="M1345" s="380">
        <v>2400</v>
      </c>
      <c r="N1345" s="380" t="s">
        <v>443</v>
      </c>
      <c r="O1345" s="380" t="s">
        <v>443</v>
      </c>
      <c r="P1345" s="380" t="s">
        <v>443</v>
      </c>
      <c r="Q1345" s="381">
        <v>318</v>
      </c>
      <c r="R1345" s="381">
        <v>0</v>
      </c>
      <c r="S1345" s="381">
        <v>0</v>
      </c>
      <c r="T1345" s="381">
        <v>0</v>
      </c>
      <c r="U1345" s="381">
        <v>0</v>
      </c>
      <c r="V1345" s="382">
        <v>318</v>
      </c>
      <c r="W1345" s="382">
        <v>0</v>
      </c>
      <c r="X1345" s="381">
        <v>0.13250000000000001</v>
      </c>
      <c r="Y1345" s="381">
        <v>0</v>
      </c>
      <c r="Z1345" s="381">
        <v>0</v>
      </c>
      <c r="AA1345" s="381">
        <v>0</v>
      </c>
      <c r="AB1345" s="381">
        <v>0</v>
      </c>
      <c r="AC1345" s="382">
        <v>0.13250000000000001</v>
      </c>
      <c r="AD1345" s="382">
        <v>0</v>
      </c>
      <c r="AE1345" s="381" t="s">
        <v>444</v>
      </c>
    </row>
    <row r="1346" spans="1:31" ht="15" customHeight="1" x14ac:dyDescent="0.25">
      <c r="A1346" s="20" t="s">
        <v>156</v>
      </c>
      <c r="B1346" s="20" t="s">
        <v>1450</v>
      </c>
      <c r="C1346" s="20" t="s">
        <v>1451</v>
      </c>
      <c r="D1346" s="378" t="s">
        <v>1885</v>
      </c>
      <c r="E1346" s="384">
        <v>44613</v>
      </c>
      <c r="F1346" s="384">
        <v>46439</v>
      </c>
      <c r="G1346" s="378" t="s">
        <v>439</v>
      </c>
      <c r="H1346" s="20" t="s">
        <v>455</v>
      </c>
      <c r="I1346" s="378" t="s">
        <v>162</v>
      </c>
      <c r="J1346" s="20" t="s">
        <v>163</v>
      </c>
      <c r="K1346" s="378" t="s">
        <v>476</v>
      </c>
      <c r="L1346" s="378" t="s">
        <v>165</v>
      </c>
      <c r="M1346" s="380">
        <v>2400</v>
      </c>
      <c r="N1346" s="380" t="s">
        <v>443</v>
      </c>
      <c r="O1346" s="380" t="s">
        <v>443</v>
      </c>
      <c r="P1346" s="380" t="s">
        <v>443</v>
      </c>
      <c r="Q1346" s="381">
        <v>407</v>
      </c>
      <c r="R1346" s="381">
        <v>0</v>
      </c>
      <c r="S1346" s="381">
        <v>0</v>
      </c>
      <c r="T1346" s="381">
        <v>0</v>
      </c>
      <c r="U1346" s="381">
        <v>0</v>
      </c>
      <c r="V1346" s="382">
        <v>407</v>
      </c>
      <c r="W1346" s="382">
        <v>0</v>
      </c>
      <c r="X1346" s="381">
        <v>0.16958333333333334</v>
      </c>
      <c r="Y1346" s="381">
        <v>0</v>
      </c>
      <c r="Z1346" s="381">
        <v>0</v>
      </c>
      <c r="AA1346" s="381">
        <v>0</v>
      </c>
      <c r="AB1346" s="381">
        <v>0</v>
      </c>
      <c r="AC1346" s="382">
        <v>0.16958333333333334</v>
      </c>
      <c r="AD1346" s="382">
        <v>0</v>
      </c>
      <c r="AE1346" s="381" t="s">
        <v>444</v>
      </c>
    </row>
    <row r="1347" spans="1:31" ht="15" customHeight="1" x14ac:dyDescent="0.25">
      <c r="A1347" s="20" t="s">
        <v>156</v>
      </c>
      <c r="B1347" s="20" t="s">
        <v>1450</v>
      </c>
      <c r="C1347" s="20" t="s">
        <v>1451</v>
      </c>
      <c r="D1347" s="378" t="s">
        <v>1886</v>
      </c>
      <c r="E1347" s="384">
        <v>44613</v>
      </c>
      <c r="F1347" s="384">
        <v>46439</v>
      </c>
      <c r="G1347" s="378" t="s">
        <v>439</v>
      </c>
      <c r="H1347" s="20" t="s">
        <v>455</v>
      </c>
      <c r="I1347" s="378" t="s">
        <v>162</v>
      </c>
      <c r="J1347" s="20" t="s">
        <v>163</v>
      </c>
      <c r="K1347" s="378" t="s">
        <v>476</v>
      </c>
      <c r="L1347" s="378" t="s">
        <v>165</v>
      </c>
      <c r="M1347" s="380">
        <v>2400</v>
      </c>
      <c r="N1347" s="380" t="s">
        <v>443</v>
      </c>
      <c r="O1347" s="380" t="s">
        <v>443</v>
      </c>
      <c r="P1347" s="380" t="s">
        <v>443</v>
      </c>
      <c r="Q1347" s="381">
        <v>392</v>
      </c>
      <c r="R1347" s="381">
        <v>0</v>
      </c>
      <c r="S1347" s="381">
        <v>0</v>
      </c>
      <c r="T1347" s="381">
        <v>0</v>
      </c>
      <c r="U1347" s="381">
        <v>0</v>
      </c>
      <c r="V1347" s="382">
        <v>392</v>
      </c>
      <c r="W1347" s="382">
        <v>0</v>
      </c>
      <c r="X1347" s="381">
        <v>0.16333333333333333</v>
      </c>
      <c r="Y1347" s="381">
        <v>0</v>
      </c>
      <c r="Z1347" s="381">
        <v>0</v>
      </c>
      <c r="AA1347" s="381">
        <v>0</v>
      </c>
      <c r="AB1347" s="381">
        <v>0</v>
      </c>
      <c r="AC1347" s="382">
        <v>0.16333333333333333</v>
      </c>
      <c r="AD1347" s="382">
        <v>0</v>
      </c>
      <c r="AE1347" s="381" t="s">
        <v>444</v>
      </c>
    </row>
    <row r="1348" spans="1:31" ht="15" customHeight="1" x14ac:dyDescent="0.25">
      <c r="A1348" s="20" t="s">
        <v>156</v>
      </c>
      <c r="B1348" s="20" t="s">
        <v>1450</v>
      </c>
      <c r="C1348" s="20" t="s">
        <v>1451</v>
      </c>
      <c r="D1348" s="378" t="s">
        <v>1887</v>
      </c>
      <c r="E1348" s="384">
        <v>44613</v>
      </c>
      <c r="F1348" s="384">
        <v>46439</v>
      </c>
      <c r="G1348" s="378" t="s">
        <v>439</v>
      </c>
      <c r="H1348" s="20" t="s">
        <v>455</v>
      </c>
      <c r="I1348" s="378" t="s">
        <v>162</v>
      </c>
      <c r="J1348" s="20" t="s">
        <v>163</v>
      </c>
      <c r="K1348" s="378" t="s">
        <v>476</v>
      </c>
      <c r="L1348" s="378" t="s">
        <v>165</v>
      </c>
      <c r="M1348" s="380">
        <v>2400</v>
      </c>
      <c r="N1348" s="380" t="s">
        <v>443</v>
      </c>
      <c r="O1348" s="380" t="s">
        <v>443</v>
      </c>
      <c r="P1348" s="380" t="s">
        <v>443</v>
      </c>
      <c r="Q1348" s="381">
        <v>439</v>
      </c>
      <c r="R1348" s="381">
        <v>0</v>
      </c>
      <c r="S1348" s="381">
        <v>0</v>
      </c>
      <c r="T1348" s="381">
        <v>0</v>
      </c>
      <c r="U1348" s="381">
        <v>0</v>
      </c>
      <c r="V1348" s="382">
        <v>439</v>
      </c>
      <c r="W1348" s="382">
        <v>0</v>
      </c>
      <c r="X1348" s="381">
        <v>0.18291666666666667</v>
      </c>
      <c r="Y1348" s="381">
        <v>0</v>
      </c>
      <c r="Z1348" s="381">
        <v>0</v>
      </c>
      <c r="AA1348" s="381">
        <v>0</v>
      </c>
      <c r="AB1348" s="381">
        <v>0</v>
      </c>
      <c r="AC1348" s="382">
        <v>0.18291666666666667</v>
      </c>
      <c r="AD1348" s="382">
        <v>0</v>
      </c>
      <c r="AE1348" s="381" t="s">
        <v>444</v>
      </c>
    </row>
    <row r="1349" spans="1:31" ht="15" customHeight="1" x14ac:dyDescent="0.25">
      <c r="A1349" s="20" t="s">
        <v>156</v>
      </c>
      <c r="B1349" s="20" t="s">
        <v>1450</v>
      </c>
      <c r="C1349" s="20" t="s">
        <v>1451</v>
      </c>
      <c r="D1349" s="378" t="s">
        <v>1870</v>
      </c>
      <c r="E1349" s="384">
        <v>44613</v>
      </c>
      <c r="F1349" s="384">
        <v>46439</v>
      </c>
      <c r="G1349" s="378" t="s">
        <v>439</v>
      </c>
      <c r="H1349" s="20" t="s">
        <v>455</v>
      </c>
      <c r="I1349" s="378" t="s">
        <v>162</v>
      </c>
      <c r="J1349" s="20" t="s">
        <v>163</v>
      </c>
      <c r="K1349" s="378" t="s">
        <v>476</v>
      </c>
      <c r="L1349" s="378" t="s">
        <v>165</v>
      </c>
      <c r="M1349" s="380">
        <v>2400</v>
      </c>
      <c r="N1349" s="380" t="s">
        <v>443</v>
      </c>
      <c r="O1349" s="380" t="s">
        <v>443</v>
      </c>
      <c r="P1349" s="380" t="s">
        <v>443</v>
      </c>
      <c r="Q1349" s="381">
        <v>284</v>
      </c>
      <c r="R1349" s="381">
        <v>0</v>
      </c>
      <c r="S1349" s="381">
        <v>0</v>
      </c>
      <c r="T1349" s="381">
        <v>0</v>
      </c>
      <c r="U1349" s="381">
        <v>0</v>
      </c>
      <c r="V1349" s="382">
        <v>284</v>
      </c>
      <c r="W1349" s="382">
        <v>0</v>
      </c>
      <c r="X1349" s="381">
        <v>0.11833333333333333</v>
      </c>
      <c r="Y1349" s="381">
        <v>0</v>
      </c>
      <c r="Z1349" s="381">
        <v>0</v>
      </c>
      <c r="AA1349" s="381">
        <v>0</v>
      </c>
      <c r="AB1349" s="381">
        <v>0</v>
      </c>
      <c r="AC1349" s="382">
        <v>0.11833333333333333</v>
      </c>
      <c r="AD1349" s="382">
        <v>0</v>
      </c>
      <c r="AE1349" s="381" t="s">
        <v>444</v>
      </c>
    </row>
    <row r="1350" spans="1:31" ht="15" customHeight="1" x14ac:dyDescent="0.25">
      <c r="A1350" s="20" t="s">
        <v>156</v>
      </c>
      <c r="B1350" s="20" t="s">
        <v>1450</v>
      </c>
      <c r="C1350" s="20" t="s">
        <v>1451</v>
      </c>
      <c r="D1350" s="378" t="s">
        <v>1871</v>
      </c>
      <c r="E1350" s="384">
        <v>44613</v>
      </c>
      <c r="F1350" s="384">
        <v>46439</v>
      </c>
      <c r="G1350" s="378" t="s">
        <v>439</v>
      </c>
      <c r="H1350" s="20" t="s">
        <v>455</v>
      </c>
      <c r="I1350" s="378" t="s">
        <v>162</v>
      </c>
      <c r="J1350" s="20" t="s">
        <v>163</v>
      </c>
      <c r="K1350" s="378" t="s">
        <v>476</v>
      </c>
      <c r="L1350" s="378" t="s">
        <v>165</v>
      </c>
      <c r="M1350" s="380">
        <v>2400</v>
      </c>
      <c r="N1350" s="380" t="s">
        <v>443</v>
      </c>
      <c r="O1350" s="380" t="s">
        <v>443</v>
      </c>
      <c r="P1350" s="380" t="s">
        <v>443</v>
      </c>
      <c r="Q1350" s="381">
        <v>271</v>
      </c>
      <c r="R1350" s="381">
        <v>0</v>
      </c>
      <c r="S1350" s="381">
        <v>0</v>
      </c>
      <c r="T1350" s="381">
        <v>0</v>
      </c>
      <c r="U1350" s="381">
        <v>0</v>
      </c>
      <c r="V1350" s="382">
        <v>271</v>
      </c>
      <c r="W1350" s="382">
        <v>0</v>
      </c>
      <c r="X1350" s="381">
        <v>0.11291666666666667</v>
      </c>
      <c r="Y1350" s="381">
        <v>0</v>
      </c>
      <c r="Z1350" s="381">
        <v>0</v>
      </c>
      <c r="AA1350" s="381">
        <v>0</v>
      </c>
      <c r="AB1350" s="381">
        <v>0</v>
      </c>
      <c r="AC1350" s="382">
        <v>0.11291666666666667</v>
      </c>
      <c r="AD1350" s="382">
        <v>0</v>
      </c>
      <c r="AE1350" s="381" t="s">
        <v>444</v>
      </c>
    </row>
    <row r="1351" spans="1:31" ht="15" customHeight="1" x14ac:dyDescent="0.25">
      <c r="A1351" s="20" t="s">
        <v>156</v>
      </c>
      <c r="B1351" s="20" t="s">
        <v>1450</v>
      </c>
      <c r="C1351" s="20" t="s">
        <v>1451</v>
      </c>
      <c r="D1351" s="378" t="s">
        <v>1872</v>
      </c>
      <c r="E1351" s="384">
        <v>44613</v>
      </c>
      <c r="F1351" s="384">
        <v>46439</v>
      </c>
      <c r="G1351" s="378" t="s">
        <v>439</v>
      </c>
      <c r="H1351" s="20" t="s">
        <v>455</v>
      </c>
      <c r="I1351" s="378" t="s">
        <v>162</v>
      </c>
      <c r="J1351" s="20" t="s">
        <v>163</v>
      </c>
      <c r="K1351" s="378" t="s">
        <v>476</v>
      </c>
      <c r="L1351" s="378" t="s">
        <v>165</v>
      </c>
      <c r="M1351" s="380">
        <v>2400</v>
      </c>
      <c r="N1351" s="380" t="s">
        <v>443</v>
      </c>
      <c r="O1351" s="380" t="s">
        <v>443</v>
      </c>
      <c r="P1351" s="380" t="s">
        <v>443</v>
      </c>
      <c r="Q1351" s="381">
        <v>336</v>
      </c>
      <c r="R1351" s="381">
        <v>0</v>
      </c>
      <c r="S1351" s="381">
        <v>0</v>
      </c>
      <c r="T1351" s="381">
        <v>0</v>
      </c>
      <c r="U1351" s="381">
        <v>0</v>
      </c>
      <c r="V1351" s="382">
        <v>336</v>
      </c>
      <c r="W1351" s="382">
        <v>0</v>
      </c>
      <c r="X1351" s="381">
        <v>0.14000000000000001</v>
      </c>
      <c r="Y1351" s="381">
        <v>0</v>
      </c>
      <c r="Z1351" s="381">
        <v>0</v>
      </c>
      <c r="AA1351" s="381">
        <v>0</v>
      </c>
      <c r="AB1351" s="381">
        <v>0</v>
      </c>
      <c r="AC1351" s="382">
        <v>0.14000000000000001</v>
      </c>
      <c r="AD1351" s="382">
        <v>0</v>
      </c>
      <c r="AE1351" s="381" t="s">
        <v>444</v>
      </c>
    </row>
    <row r="1352" spans="1:31" ht="15" customHeight="1" x14ac:dyDescent="0.25">
      <c r="A1352" s="20" t="s">
        <v>156</v>
      </c>
      <c r="B1352" s="20" t="s">
        <v>1450</v>
      </c>
      <c r="C1352" s="20" t="s">
        <v>1451</v>
      </c>
      <c r="D1352" s="378" t="s">
        <v>1873</v>
      </c>
      <c r="E1352" s="384">
        <v>44613</v>
      </c>
      <c r="F1352" s="384">
        <v>46439</v>
      </c>
      <c r="G1352" s="378" t="s">
        <v>439</v>
      </c>
      <c r="H1352" s="20" t="s">
        <v>455</v>
      </c>
      <c r="I1352" s="378" t="s">
        <v>162</v>
      </c>
      <c r="J1352" s="20" t="s">
        <v>163</v>
      </c>
      <c r="K1352" s="378" t="s">
        <v>476</v>
      </c>
      <c r="L1352" s="378" t="s">
        <v>165</v>
      </c>
      <c r="M1352" s="380">
        <v>2400</v>
      </c>
      <c r="N1352" s="380" t="s">
        <v>443</v>
      </c>
      <c r="O1352" s="380" t="s">
        <v>443</v>
      </c>
      <c r="P1352" s="380" t="s">
        <v>443</v>
      </c>
      <c r="Q1352" s="381">
        <v>375</v>
      </c>
      <c r="R1352" s="381">
        <v>0</v>
      </c>
      <c r="S1352" s="381">
        <v>0</v>
      </c>
      <c r="T1352" s="381">
        <v>0</v>
      </c>
      <c r="U1352" s="381">
        <v>0</v>
      </c>
      <c r="V1352" s="382">
        <v>375</v>
      </c>
      <c r="W1352" s="382">
        <v>0</v>
      </c>
      <c r="X1352" s="381">
        <v>0.15625</v>
      </c>
      <c r="Y1352" s="381">
        <v>0</v>
      </c>
      <c r="Z1352" s="381">
        <v>0</v>
      </c>
      <c r="AA1352" s="381">
        <v>0</v>
      </c>
      <c r="AB1352" s="381">
        <v>0</v>
      </c>
      <c r="AC1352" s="382">
        <v>0.15625</v>
      </c>
      <c r="AD1352" s="382">
        <v>0</v>
      </c>
      <c r="AE1352" s="381" t="s">
        <v>444</v>
      </c>
    </row>
    <row r="1353" spans="1:31" ht="15" customHeight="1" x14ac:dyDescent="0.25">
      <c r="A1353" s="20" t="s">
        <v>156</v>
      </c>
      <c r="B1353" s="20" t="s">
        <v>1450</v>
      </c>
      <c r="C1353" s="20" t="s">
        <v>1451</v>
      </c>
      <c r="D1353" s="378" t="s">
        <v>1874</v>
      </c>
      <c r="E1353" s="384">
        <v>44613</v>
      </c>
      <c r="F1353" s="384">
        <v>46439</v>
      </c>
      <c r="G1353" s="378" t="s">
        <v>439</v>
      </c>
      <c r="H1353" s="20" t="s">
        <v>455</v>
      </c>
      <c r="I1353" s="378" t="s">
        <v>162</v>
      </c>
      <c r="J1353" s="20" t="s">
        <v>163</v>
      </c>
      <c r="K1353" s="378" t="s">
        <v>476</v>
      </c>
      <c r="L1353" s="378" t="s">
        <v>165</v>
      </c>
      <c r="M1353" s="380">
        <v>2400</v>
      </c>
      <c r="N1353" s="380" t="s">
        <v>443</v>
      </c>
      <c r="O1353" s="380" t="s">
        <v>443</v>
      </c>
      <c r="P1353" s="380" t="s">
        <v>443</v>
      </c>
      <c r="Q1353" s="381">
        <v>289</v>
      </c>
      <c r="R1353" s="381">
        <v>0</v>
      </c>
      <c r="S1353" s="381">
        <v>0</v>
      </c>
      <c r="T1353" s="381">
        <v>0</v>
      </c>
      <c r="U1353" s="381">
        <v>0</v>
      </c>
      <c r="V1353" s="382">
        <v>289</v>
      </c>
      <c r="W1353" s="382">
        <v>0</v>
      </c>
      <c r="X1353" s="381">
        <v>0.12041666666666667</v>
      </c>
      <c r="Y1353" s="381">
        <v>0</v>
      </c>
      <c r="Z1353" s="381">
        <v>0</v>
      </c>
      <c r="AA1353" s="381">
        <v>0</v>
      </c>
      <c r="AB1353" s="381">
        <v>0</v>
      </c>
      <c r="AC1353" s="382">
        <v>0.12041666666666667</v>
      </c>
      <c r="AD1353" s="382">
        <v>0</v>
      </c>
      <c r="AE1353" s="381" t="s">
        <v>444</v>
      </c>
    </row>
    <row r="1354" spans="1:31" ht="15" customHeight="1" x14ac:dyDescent="0.25">
      <c r="A1354" s="20" t="s">
        <v>156</v>
      </c>
      <c r="B1354" s="20" t="s">
        <v>1450</v>
      </c>
      <c r="C1354" s="20" t="s">
        <v>1451</v>
      </c>
      <c r="D1354" s="378" t="s">
        <v>1875</v>
      </c>
      <c r="E1354" s="384">
        <v>44613</v>
      </c>
      <c r="F1354" s="384">
        <v>46439</v>
      </c>
      <c r="G1354" s="378" t="s">
        <v>439</v>
      </c>
      <c r="H1354" s="20" t="s">
        <v>455</v>
      </c>
      <c r="I1354" s="378" t="s">
        <v>162</v>
      </c>
      <c r="J1354" s="20" t="s">
        <v>163</v>
      </c>
      <c r="K1354" s="378" t="s">
        <v>476</v>
      </c>
      <c r="L1354" s="378" t="s">
        <v>165</v>
      </c>
      <c r="M1354" s="380">
        <v>2400</v>
      </c>
      <c r="N1354" s="380" t="s">
        <v>443</v>
      </c>
      <c r="O1354" s="380" t="s">
        <v>443</v>
      </c>
      <c r="P1354" s="380" t="s">
        <v>443</v>
      </c>
      <c r="Q1354" s="381">
        <v>384</v>
      </c>
      <c r="R1354" s="381">
        <v>0</v>
      </c>
      <c r="S1354" s="381">
        <v>0</v>
      </c>
      <c r="T1354" s="381">
        <v>0</v>
      </c>
      <c r="U1354" s="381">
        <v>0</v>
      </c>
      <c r="V1354" s="382">
        <v>384</v>
      </c>
      <c r="W1354" s="382">
        <v>0</v>
      </c>
      <c r="X1354" s="381">
        <v>0.16</v>
      </c>
      <c r="Y1354" s="381">
        <v>0</v>
      </c>
      <c r="Z1354" s="381">
        <v>0</v>
      </c>
      <c r="AA1354" s="381">
        <v>0</v>
      </c>
      <c r="AB1354" s="381">
        <v>0</v>
      </c>
      <c r="AC1354" s="382">
        <v>0.16</v>
      </c>
      <c r="AD1354" s="382">
        <v>0</v>
      </c>
      <c r="AE1354" s="381" t="s">
        <v>444</v>
      </c>
    </row>
    <row r="1355" spans="1:31" ht="15" customHeight="1" x14ac:dyDescent="0.25">
      <c r="A1355" s="20" t="s">
        <v>156</v>
      </c>
      <c r="B1355" s="20" t="s">
        <v>1450</v>
      </c>
      <c r="C1355" s="20" t="s">
        <v>1451</v>
      </c>
      <c r="D1355" s="378" t="s">
        <v>1876</v>
      </c>
      <c r="E1355" s="384">
        <v>44613</v>
      </c>
      <c r="F1355" s="384">
        <v>46439</v>
      </c>
      <c r="G1355" s="378" t="s">
        <v>439</v>
      </c>
      <c r="H1355" s="20" t="s">
        <v>455</v>
      </c>
      <c r="I1355" s="378" t="s">
        <v>162</v>
      </c>
      <c r="J1355" s="20" t="s">
        <v>163</v>
      </c>
      <c r="K1355" s="378" t="s">
        <v>476</v>
      </c>
      <c r="L1355" s="378" t="s">
        <v>165</v>
      </c>
      <c r="M1355" s="380">
        <v>2400</v>
      </c>
      <c r="N1355" s="380" t="s">
        <v>443</v>
      </c>
      <c r="O1355" s="380" t="s">
        <v>443</v>
      </c>
      <c r="P1355" s="380" t="s">
        <v>443</v>
      </c>
      <c r="Q1355" s="381">
        <v>355</v>
      </c>
      <c r="R1355" s="381">
        <v>0</v>
      </c>
      <c r="S1355" s="381">
        <v>0</v>
      </c>
      <c r="T1355" s="381">
        <v>0</v>
      </c>
      <c r="U1355" s="381">
        <v>0</v>
      </c>
      <c r="V1355" s="382">
        <v>355</v>
      </c>
      <c r="W1355" s="382">
        <v>0</v>
      </c>
      <c r="X1355" s="381">
        <v>0.14791666666666667</v>
      </c>
      <c r="Y1355" s="381">
        <v>0</v>
      </c>
      <c r="Z1355" s="381">
        <v>0</v>
      </c>
      <c r="AA1355" s="381">
        <v>0</v>
      </c>
      <c r="AB1355" s="381">
        <v>0</v>
      </c>
      <c r="AC1355" s="382">
        <v>0.14791666666666667</v>
      </c>
      <c r="AD1355" s="382">
        <v>0</v>
      </c>
      <c r="AE1355" s="381" t="s">
        <v>444</v>
      </c>
    </row>
    <row r="1356" spans="1:31" ht="15" customHeight="1" x14ac:dyDescent="0.25">
      <c r="A1356" s="20" t="s">
        <v>156</v>
      </c>
      <c r="B1356" s="20" t="s">
        <v>1450</v>
      </c>
      <c r="C1356" s="20" t="s">
        <v>1451</v>
      </c>
      <c r="D1356" s="378" t="s">
        <v>1877</v>
      </c>
      <c r="E1356" s="384">
        <v>44613</v>
      </c>
      <c r="F1356" s="384">
        <v>46439</v>
      </c>
      <c r="G1356" s="378" t="s">
        <v>439</v>
      </c>
      <c r="H1356" s="20" t="s">
        <v>455</v>
      </c>
      <c r="I1356" s="378" t="s">
        <v>162</v>
      </c>
      <c r="J1356" s="20" t="s">
        <v>163</v>
      </c>
      <c r="K1356" s="378" t="s">
        <v>476</v>
      </c>
      <c r="L1356" s="378" t="s">
        <v>165</v>
      </c>
      <c r="M1356" s="380">
        <v>2400</v>
      </c>
      <c r="N1356" s="380" t="s">
        <v>443</v>
      </c>
      <c r="O1356" s="380" t="s">
        <v>443</v>
      </c>
      <c r="P1356" s="380" t="s">
        <v>443</v>
      </c>
      <c r="Q1356" s="381">
        <v>341</v>
      </c>
      <c r="R1356" s="381">
        <v>0</v>
      </c>
      <c r="S1356" s="381">
        <v>0</v>
      </c>
      <c r="T1356" s="381">
        <v>0</v>
      </c>
      <c r="U1356" s="381">
        <v>0</v>
      </c>
      <c r="V1356" s="382">
        <v>341</v>
      </c>
      <c r="W1356" s="382">
        <v>0</v>
      </c>
      <c r="X1356" s="381">
        <v>0.14208333333333334</v>
      </c>
      <c r="Y1356" s="381">
        <v>0</v>
      </c>
      <c r="Z1356" s="381">
        <v>0</v>
      </c>
      <c r="AA1356" s="381">
        <v>0</v>
      </c>
      <c r="AB1356" s="381">
        <v>0</v>
      </c>
      <c r="AC1356" s="382">
        <v>0.14208333333333334</v>
      </c>
      <c r="AD1356" s="382">
        <v>0</v>
      </c>
      <c r="AE1356" s="381" t="s">
        <v>444</v>
      </c>
    </row>
    <row r="1357" spans="1:31" ht="15" customHeight="1" x14ac:dyDescent="0.25">
      <c r="A1357" s="20" t="s">
        <v>156</v>
      </c>
      <c r="B1357" s="20" t="s">
        <v>1450</v>
      </c>
      <c r="C1357" s="20" t="s">
        <v>1451</v>
      </c>
      <c r="D1357" s="378" t="s">
        <v>1878</v>
      </c>
      <c r="E1357" s="384">
        <v>44613</v>
      </c>
      <c r="F1357" s="384">
        <v>46439</v>
      </c>
      <c r="G1357" s="378" t="s">
        <v>439</v>
      </c>
      <c r="H1357" s="20" t="s">
        <v>455</v>
      </c>
      <c r="I1357" s="378" t="s">
        <v>162</v>
      </c>
      <c r="J1357" s="20" t="s">
        <v>163</v>
      </c>
      <c r="K1357" s="378" t="s">
        <v>476</v>
      </c>
      <c r="L1357" s="378" t="s">
        <v>165</v>
      </c>
      <c r="M1357" s="380">
        <v>2400</v>
      </c>
      <c r="N1357" s="380" t="s">
        <v>443</v>
      </c>
      <c r="O1357" s="380" t="s">
        <v>443</v>
      </c>
      <c r="P1357" s="380" t="s">
        <v>443</v>
      </c>
      <c r="Q1357" s="381">
        <v>357</v>
      </c>
      <c r="R1357" s="381">
        <v>0</v>
      </c>
      <c r="S1357" s="381">
        <v>0</v>
      </c>
      <c r="T1357" s="381">
        <v>0</v>
      </c>
      <c r="U1357" s="381">
        <v>0</v>
      </c>
      <c r="V1357" s="382">
        <v>357</v>
      </c>
      <c r="W1357" s="382">
        <v>0</v>
      </c>
      <c r="X1357" s="381">
        <v>0.14874999999999999</v>
      </c>
      <c r="Y1357" s="381">
        <v>0</v>
      </c>
      <c r="Z1357" s="381">
        <v>0</v>
      </c>
      <c r="AA1357" s="381">
        <v>0</v>
      </c>
      <c r="AB1357" s="381">
        <v>0</v>
      </c>
      <c r="AC1357" s="382">
        <v>0.14874999999999999</v>
      </c>
      <c r="AD1357" s="382">
        <v>0</v>
      </c>
      <c r="AE1357" s="381" t="s">
        <v>444</v>
      </c>
    </row>
    <row r="1358" spans="1:31" ht="15" customHeight="1" x14ac:dyDescent="0.25">
      <c r="A1358" s="20" t="s">
        <v>156</v>
      </c>
      <c r="B1358" s="20" t="s">
        <v>1450</v>
      </c>
      <c r="C1358" s="20" t="s">
        <v>1451</v>
      </c>
      <c r="D1358" s="378" t="s">
        <v>1879</v>
      </c>
      <c r="E1358" s="384">
        <v>44613</v>
      </c>
      <c r="F1358" s="384">
        <v>46439</v>
      </c>
      <c r="G1358" s="378" t="s">
        <v>439</v>
      </c>
      <c r="H1358" s="20" t="s">
        <v>455</v>
      </c>
      <c r="I1358" s="378" t="s">
        <v>162</v>
      </c>
      <c r="J1358" s="20" t="s">
        <v>163</v>
      </c>
      <c r="K1358" s="378" t="s">
        <v>476</v>
      </c>
      <c r="L1358" s="378" t="s">
        <v>165</v>
      </c>
      <c r="M1358" s="380">
        <v>2400</v>
      </c>
      <c r="N1358" s="380" t="s">
        <v>443</v>
      </c>
      <c r="O1358" s="380" t="s">
        <v>443</v>
      </c>
      <c r="P1358" s="380" t="s">
        <v>443</v>
      </c>
      <c r="Q1358" s="381">
        <v>278</v>
      </c>
      <c r="R1358" s="381">
        <v>0</v>
      </c>
      <c r="S1358" s="381">
        <v>0</v>
      </c>
      <c r="T1358" s="381">
        <v>0</v>
      </c>
      <c r="U1358" s="381">
        <v>0</v>
      </c>
      <c r="V1358" s="382">
        <v>278</v>
      </c>
      <c r="W1358" s="382">
        <v>0</v>
      </c>
      <c r="X1358" s="381">
        <v>0.11583333333333333</v>
      </c>
      <c r="Y1358" s="381">
        <v>0</v>
      </c>
      <c r="Z1358" s="381">
        <v>0</v>
      </c>
      <c r="AA1358" s="381">
        <v>0</v>
      </c>
      <c r="AB1358" s="381">
        <v>0</v>
      </c>
      <c r="AC1358" s="382">
        <v>0.11583333333333333</v>
      </c>
      <c r="AD1358" s="382">
        <v>0</v>
      </c>
      <c r="AE1358" s="381" t="s">
        <v>444</v>
      </c>
    </row>
    <row r="1359" spans="1:31" ht="15" customHeight="1" x14ac:dyDescent="0.25">
      <c r="A1359" s="20" t="s">
        <v>156</v>
      </c>
      <c r="B1359" s="20" t="s">
        <v>1450</v>
      </c>
      <c r="C1359" s="20" t="s">
        <v>1451</v>
      </c>
      <c r="D1359" s="378" t="s">
        <v>1880</v>
      </c>
      <c r="E1359" s="384">
        <v>44613</v>
      </c>
      <c r="F1359" s="384">
        <v>46439</v>
      </c>
      <c r="G1359" s="378" t="s">
        <v>439</v>
      </c>
      <c r="H1359" s="20" t="s">
        <v>455</v>
      </c>
      <c r="I1359" s="378" t="s">
        <v>162</v>
      </c>
      <c r="J1359" s="20" t="s">
        <v>163</v>
      </c>
      <c r="K1359" s="378" t="s">
        <v>476</v>
      </c>
      <c r="L1359" s="378" t="s">
        <v>165</v>
      </c>
      <c r="M1359" s="380">
        <v>2400</v>
      </c>
      <c r="N1359" s="380" t="s">
        <v>443</v>
      </c>
      <c r="O1359" s="380" t="s">
        <v>443</v>
      </c>
      <c r="P1359" s="380" t="s">
        <v>443</v>
      </c>
      <c r="Q1359" s="381">
        <v>280</v>
      </c>
      <c r="R1359" s="381">
        <v>0</v>
      </c>
      <c r="S1359" s="381">
        <v>0</v>
      </c>
      <c r="T1359" s="381">
        <v>0</v>
      </c>
      <c r="U1359" s="381">
        <v>0</v>
      </c>
      <c r="V1359" s="382">
        <v>280</v>
      </c>
      <c r="W1359" s="382">
        <v>0</v>
      </c>
      <c r="X1359" s="381">
        <v>0.11666666666666667</v>
      </c>
      <c r="Y1359" s="381">
        <v>0</v>
      </c>
      <c r="Z1359" s="381">
        <v>0</v>
      </c>
      <c r="AA1359" s="381">
        <v>0</v>
      </c>
      <c r="AB1359" s="381">
        <v>0</v>
      </c>
      <c r="AC1359" s="382">
        <v>0.11666666666666667</v>
      </c>
      <c r="AD1359" s="382">
        <v>0</v>
      </c>
      <c r="AE1359" s="381" t="s">
        <v>444</v>
      </c>
    </row>
    <row r="1360" spans="1:31" ht="15" customHeight="1" x14ac:dyDescent="0.25">
      <c r="A1360" s="20" t="s">
        <v>156</v>
      </c>
      <c r="B1360" s="20" t="s">
        <v>1450</v>
      </c>
      <c r="C1360" s="20" t="s">
        <v>1451</v>
      </c>
      <c r="D1360" s="378" t="s">
        <v>1881</v>
      </c>
      <c r="E1360" s="384">
        <v>44613</v>
      </c>
      <c r="F1360" s="384">
        <v>46439</v>
      </c>
      <c r="G1360" s="378" t="s">
        <v>439</v>
      </c>
      <c r="H1360" s="20" t="s">
        <v>455</v>
      </c>
      <c r="I1360" s="378" t="s">
        <v>162</v>
      </c>
      <c r="J1360" s="20" t="s">
        <v>163</v>
      </c>
      <c r="K1360" s="378" t="s">
        <v>476</v>
      </c>
      <c r="L1360" s="378" t="s">
        <v>165</v>
      </c>
      <c r="M1360" s="380">
        <v>2400</v>
      </c>
      <c r="N1360" s="380" t="s">
        <v>443</v>
      </c>
      <c r="O1360" s="380" t="s">
        <v>443</v>
      </c>
      <c r="P1360" s="380" t="s">
        <v>443</v>
      </c>
      <c r="Q1360" s="381">
        <v>323</v>
      </c>
      <c r="R1360" s="381">
        <v>0</v>
      </c>
      <c r="S1360" s="381">
        <v>0</v>
      </c>
      <c r="T1360" s="381">
        <v>0</v>
      </c>
      <c r="U1360" s="381">
        <v>0</v>
      </c>
      <c r="V1360" s="382">
        <v>323</v>
      </c>
      <c r="W1360" s="382">
        <v>0</v>
      </c>
      <c r="X1360" s="381">
        <v>0.13458333333333333</v>
      </c>
      <c r="Y1360" s="381">
        <v>0</v>
      </c>
      <c r="Z1360" s="381">
        <v>0</v>
      </c>
      <c r="AA1360" s="381">
        <v>0</v>
      </c>
      <c r="AB1360" s="381">
        <v>0</v>
      </c>
      <c r="AC1360" s="382">
        <v>0.13458333333333333</v>
      </c>
      <c r="AD1360" s="382">
        <v>0</v>
      </c>
      <c r="AE1360" s="381" t="s">
        <v>444</v>
      </c>
    </row>
    <row r="1361" spans="1:31" ht="15" customHeight="1" x14ac:dyDescent="0.25">
      <c r="A1361" s="20" t="s">
        <v>156</v>
      </c>
      <c r="B1361" s="20" t="s">
        <v>1450</v>
      </c>
      <c r="C1361" s="20" t="s">
        <v>1451</v>
      </c>
      <c r="D1361" s="378" t="s">
        <v>1883</v>
      </c>
      <c r="E1361" s="384">
        <v>44613</v>
      </c>
      <c r="F1361" s="384">
        <v>46439</v>
      </c>
      <c r="G1361" s="378" t="s">
        <v>439</v>
      </c>
      <c r="H1361" s="20" t="s">
        <v>455</v>
      </c>
      <c r="I1361" s="378" t="s">
        <v>162</v>
      </c>
      <c r="J1361" s="20" t="s">
        <v>163</v>
      </c>
      <c r="K1361" s="378" t="s">
        <v>476</v>
      </c>
      <c r="L1361" s="378" t="s">
        <v>165</v>
      </c>
      <c r="M1361" s="380">
        <v>2400</v>
      </c>
      <c r="N1361" s="380" t="s">
        <v>443</v>
      </c>
      <c r="O1361" s="380" t="s">
        <v>443</v>
      </c>
      <c r="P1361" s="380" t="s">
        <v>443</v>
      </c>
      <c r="Q1361" s="381">
        <v>349</v>
      </c>
      <c r="R1361" s="381">
        <v>0</v>
      </c>
      <c r="S1361" s="381">
        <v>0</v>
      </c>
      <c r="T1361" s="381">
        <v>0</v>
      </c>
      <c r="U1361" s="381">
        <v>0</v>
      </c>
      <c r="V1361" s="382">
        <v>349</v>
      </c>
      <c r="W1361" s="382">
        <v>0</v>
      </c>
      <c r="X1361" s="381">
        <v>0.14541666666666667</v>
      </c>
      <c r="Y1361" s="381">
        <v>0</v>
      </c>
      <c r="Z1361" s="381">
        <v>0</v>
      </c>
      <c r="AA1361" s="381">
        <v>0</v>
      </c>
      <c r="AB1361" s="381">
        <v>0</v>
      </c>
      <c r="AC1361" s="382">
        <v>0.14541666666666667</v>
      </c>
      <c r="AD1361" s="382">
        <v>0</v>
      </c>
      <c r="AE1361" s="381" t="s">
        <v>444</v>
      </c>
    </row>
    <row r="1362" spans="1:31" ht="15" customHeight="1" x14ac:dyDescent="0.25">
      <c r="A1362" s="20" t="s">
        <v>156</v>
      </c>
      <c r="B1362" s="20" t="s">
        <v>1450</v>
      </c>
      <c r="C1362" s="20" t="s">
        <v>1451</v>
      </c>
      <c r="D1362" s="378" t="s">
        <v>1884</v>
      </c>
      <c r="E1362" s="384">
        <v>44613</v>
      </c>
      <c r="F1362" s="384">
        <v>46439</v>
      </c>
      <c r="G1362" s="378" t="s">
        <v>439</v>
      </c>
      <c r="H1362" s="20" t="s">
        <v>455</v>
      </c>
      <c r="I1362" s="378" t="s">
        <v>162</v>
      </c>
      <c r="J1362" s="20" t="s">
        <v>163</v>
      </c>
      <c r="K1362" s="378" t="s">
        <v>476</v>
      </c>
      <c r="L1362" s="378" t="s">
        <v>165</v>
      </c>
      <c r="M1362" s="380">
        <v>2400</v>
      </c>
      <c r="N1362" s="380" t="s">
        <v>443</v>
      </c>
      <c r="O1362" s="380" t="s">
        <v>443</v>
      </c>
      <c r="P1362" s="380" t="s">
        <v>443</v>
      </c>
      <c r="Q1362" s="381">
        <v>318</v>
      </c>
      <c r="R1362" s="381">
        <v>0</v>
      </c>
      <c r="S1362" s="381">
        <v>0</v>
      </c>
      <c r="T1362" s="381">
        <v>0</v>
      </c>
      <c r="U1362" s="381">
        <v>0</v>
      </c>
      <c r="V1362" s="382">
        <v>318</v>
      </c>
      <c r="W1362" s="382">
        <v>0</v>
      </c>
      <c r="X1362" s="381">
        <v>0.13250000000000001</v>
      </c>
      <c r="Y1362" s="381">
        <v>0</v>
      </c>
      <c r="Z1362" s="381">
        <v>0</v>
      </c>
      <c r="AA1362" s="381">
        <v>0</v>
      </c>
      <c r="AB1362" s="381">
        <v>0</v>
      </c>
      <c r="AC1362" s="382">
        <v>0.13250000000000001</v>
      </c>
      <c r="AD1362" s="382">
        <v>0</v>
      </c>
      <c r="AE1362" s="381" t="s">
        <v>444</v>
      </c>
    </row>
    <row r="1363" spans="1:31" ht="15" customHeight="1" x14ac:dyDescent="0.25">
      <c r="A1363" s="20" t="s">
        <v>156</v>
      </c>
      <c r="B1363" s="20" t="s">
        <v>1450</v>
      </c>
      <c r="C1363" s="20" t="s">
        <v>1451</v>
      </c>
      <c r="D1363" s="378" t="s">
        <v>1885</v>
      </c>
      <c r="E1363" s="384">
        <v>44613</v>
      </c>
      <c r="F1363" s="384">
        <v>46439</v>
      </c>
      <c r="G1363" s="378" t="s">
        <v>439</v>
      </c>
      <c r="H1363" s="20" t="s">
        <v>455</v>
      </c>
      <c r="I1363" s="378" t="s">
        <v>162</v>
      </c>
      <c r="J1363" s="20" t="s">
        <v>163</v>
      </c>
      <c r="K1363" s="378" t="s">
        <v>476</v>
      </c>
      <c r="L1363" s="378" t="s">
        <v>165</v>
      </c>
      <c r="M1363" s="380">
        <v>2400</v>
      </c>
      <c r="N1363" s="380" t="s">
        <v>443</v>
      </c>
      <c r="O1363" s="380" t="s">
        <v>443</v>
      </c>
      <c r="P1363" s="380" t="s">
        <v>443</v>
      </c>
      <c r="Q1363" s="381">
        <v>407</v>
      </c>
      <c r="R1363" s="381">
        <v>0</v>
      </c>
      <c r="S1363" s="381">
        <v>0</v>
      </c>
      <c r="T1363" s="381">
        <v>0</v>
      </c>
      <c r="U1363" s="381">
        <v>0</v>
      </c>
      <c r="V1363" s="382">
        <v>407</v>
      </c>
      <c r="W1363" s="382">
        <v>0</v>
      </c>
      <c r="X1363" s="381">
        <v>0.16958333333333334</v>
      </c>
      <c r="Y1363" s="381">
        <v>0</v>
      </c>
      <c r="Z1363" s="381">
        <v>0</v>
      </c>
      <c r="AA1363" s="381">
        <v>0</v>
      </c>
      <c r="AB1363" s="381">
        <v>0</v>
      </c>
      <c r="AC1363" s="382">
        <v>0.16958333333333334</v>
      </c>
      <c r="AD1363" s="382">
        <v>0</v>
      </c>
      <c r="AE1363" s="381" t="s">
        <v>444</v>
      </c>
    </row>
    <row r="1364" spans="1:31" ht="15" customHeight="1" x14ac:dyDescent="0.25">
      <c r="A1364" s="20" t="s">
        <v>156</v>
      </c>
      <c r="B1364" s="20" t="s">
        <v>1450</v>
      </c>
      <c r="C1364" s="20" t="s">
        <v>1451</v>
      </c>
      <c r="D1364" s="378" t="s">
        <v>1886</v>
      </c>
      <c r="E1364" s="384">
        <v>44613</v>
      </c>
      <c r="F1364" s="384">
        <v>46439</v>
      </c>
      <c r="G1364" s="378" t="s">
        <v>439</v>
      </c>
      <c r="H1364" s="20" t="s">
        <v>455</v>
      </c>
      <c r="I1364" s="378" t="s">
        <v>162</v>
      </c>
      <c r="J1364" s="20" t="s">
        <v>163</v>
      </c>
      <c r="K1364" s="378" t="s">
        <v>476</v>
      </c>
      <c r="L1364" s="378" t="s">
        <v>165</v>
      </c>
      <c r="M1364" s="380">
        <v>2400</v>
      </c>
      <c r="N1364" s="380" t="s">
        <v>443</v>
      </c>
      <c r="O1364" s="380" t="s">
        <v>443</v>
      </c>
      <c r="P1364" s="380" t="s">
        <v>443</v>
      </c>
      <c r="Q1364" s="381">
        <v>392</v>
      </c>
      <c r="R1364" s="381">
        <v>0</v>
      </c>
      <c r="S1364" s="381">
        <v>0</v>
      </c>
      <c r="T1364" s="381">
        <v>0</v>
      </c>
      <c r="U1364" s="381">
        <v>0</v>
      </c>
      <c r="V1364" s="382">
        <v>392</v>
      </c>
      <c r="W1364" s="382">
        <v>0</v>
      </c>
      <c r="X1364" s="381">
        <v>0.16333333333333333</v>
      </c>
      <c r="Y1364" s="381">
        <v>0</v>
      </c>
      <c r="Z1364" s="381">
        <v>0</v>
      </c>
      <c r="AA1364" s="381">
        <v>0</v>
      </c>
      <c r="AB1364" s="381">
        <v>0</v>
      </c>
      <c r="AC1364" s="382">
        <v>0.16333333333333333</v>
      </c>
      <c r="AD1364" s="382">
        <v>0</v>
      </c>
      <c r="AE1364" s="381" t="s">
        <v>444</v>
      </c>
    </row>
    <row r="1365" spans="1:31" ht="15" customHeight="1" x14ac:dyDescent="0.25">
      <c r="A1365" s="20" t="s">
        <v>156</v>
      </c>
      <c r="B1365" s="20" t="s">
        <v>1450</v>
      </c>
      <c r="C1365" s="20" t="s">
        <v>1451</v>
      </c>
      <c r="D1365" s="378" t="s">
        <v>1887</v>
      </c>
      <c r="E1365" s="384">
        <v>44613</v>
      </c>
      <c r="F1365" s="384">
        <v>46439</v>
      </c>
      <c r="G1365" s="378" t="s">
        <v>439</v>
      </c>
      <c r="H1365" s="20" t="s">
        <v>455</v>
      </c>
      <c r="I1365" s="378" t="s">
        <v>162</v>
      </c>
      <c r="J1365" s="20" t="s">
        <v>163</v>
      </c>
      <c r="K1365" s="378" t="s">
        <v>476</v>
      </c>
      <c r="L1365" s="378" t="s">
        <v>165</v>
      </c>
      <c r="M1365" s="380">
        <v>2400</v>
      </c>
      <c r="N1365" s="380" t="s">
        <v>443</v>
      </c>
      <c r="O1365" s="380" t="s">
        <v>443</v>
      </c>
      <c r="P1365" s="380" t="s">
        <v>443</v>
      </c>
      <c r="Q1365" s="381">
        <v>439</v>
      </c>
      <c r="R1365" s="381">
        <v>0</v>
      </c>
      <c r="S1365" s="381">
        <v>0</v>
      </c>
      <c r="T1365" s="381">
        <v>0</v>
      </c>
      <c r="U1365" s="381">
        <v>0</v>
      </c>
      <c r="V1365" s="382">
        <v>439</v>
      </c>
      <c r="W1365" s="382">
        <v>0</v>
      </c>
      <c r="X1365" s="381">
        <v>0.18291666666666667</v>
      </c>
      <c r="Y1365" s="381">
        <v>0</v>
      </c>
      <c r="Z1365" s="381">
        <v>0</v>
      </c>
      <c r="AA1365" s="381">
        <v>0</v>
      </c>
      <c r="AB1365" s="381">
        <v>0</v>
      </c>
      <c r="AC1365" s="382">
        <v>0.18291666666666667</v>
      </c>
      <c r="AD1365" s="382">
        <v>0</v>
      </c>
      <c r="AE1365" s="381" t="s">
        <v>444</v>
      </c>
    </row>
    <row r="1366" spans="1:31" ht="15" customHeight="1" x14ac:dyDescent="0.25">
      <c r="A1366" s="20" t="s">
        <v>156</v>
      </c>
      <c r="B1366" s="20" t="s">
        <v>1450</v>
      </c>
      <c r="C1366" s="20" t="s">
        <v>1451</v>
      </c>
      <c r="D1366" s="378" t="s">
        <v>1870</v>
      </c>
      <c r="E1366" s="384">
        <v>44613</v>
      </c>
      <c r="F1366" s="384">
        <v>46439</v>
      </c>
      <c r="G1366" s="378" t="s">
        <v>439</v>
      </c>
      <c r="H1366" s="20" t="s">
        <v>455</v>
      </c>
      <c r="I1366" s="378" t="s">
        <v>162</v>
      </c>
      <c r="J1366" s="20" t="s">
        <v>163</v>
      </c>
      <c r="K1366" s="378" t="s">
        <v>476</v>
      </c>
      <c r="L1366" s="378" t="s">
        <v>165</v>
      </c>
      <c r="M1366" s="380">
        <v>2400</v>
      </c>
      <c r="N1366" s="380" t="s">
        <v>443</v>
      </c>
      <c r="O1366" s="380" t="s">
        <v>443</v>
      </c>
      <c r="P1366" s="380" t="s">
        <v>443</v>
      </c>
      <c r="Q1366" s="381">
        <v>284</v>
      </c>
      <c r="R1366" s="381">
        <v>0</v>
      </c>
      <c r="S1366" s="381">
        <v>0</v>
      </c>
      <c r="T1366" s="381">
        <v>0</v>
      </c>
      <c r="U1366" s="381">
        <v>0</v>
      </c>
      <c r="V1366" s="382">
        <v>284</v>
      </c>
      <c r="W1366" s="382">
        <v>0</v>
      </c>
      <c r="X1366" s="381">
        <v>0.11833333333333333</v>
      </c>
      <c r="Y1366" s="381">
        <v>0</v>
      </c>
      <c r="Z1366" s="381">
        <v>0</v>
      </c>
      <c r="AA1366" s="381">
        <v>0</v>
      </c>
      <c r="AB1366" s="381">
        <v>0</v>
      </c>
      <c r="AC1366" s="382">
        <v>0.11833333333333333</v>
      </c>
      <c r="AD1366" s="382">
        <v>0</v>
      </c>
      <c r="AE1366" s="381" t="s">
        <v>444</v>
      </c>
    </row>
    <row r="1367" spans="1:31" ht="15" customHeight="1" x14ac:dyDescent="0.25">
      <c r="A1367" s="20" t="s">
        <v>156</v>
      </c>
      <c r="B1367" s="20" t="s">
        <v>1450</v>
      </c>
      <c r="C1367" s="20" t="s">
        <v>1451</v>
      </c>
      <c r="D1367" s="378" t="s">
        <v>1871</v>
      </c>
      <c r="E1367" s="384">
        <v>44613</v>
      </c>
      <c r="F1367" s="384">
        <v>46439</v>
      </c>
      <c r="G1367" s="378" t="s">
        <v>439</v>
      </c>
      <c r="H1367" s="20" t="s">
        <v>455</v>
      </c>
      <c r="I1367" s="378" t="s">
        <v>162</v>
      </c>
      <c r="J1367" s="20" t="s">
        <v>163</v>
      </c>
      <c r="K1367" s="378" t="s">
        <v>476</v>
      </c>
      <c r="L1367" s="378" t="s">
        <v>165</v>
      </c>
      <c r="M1367" s="380">
        <v>2400</v>
      </c>
      <c r="N1367" s="380" t="s">
        <v>443</v>
      </c>
      <c r="O1367" s="380" t="s">
        <v>443</v>
      </c>
      <c r="P1367" s="380" t="s">
        <v>443</v>
      </c>
      <c r="Q1367" s="381">
        <v>271</v>
      </c>
      <c r="R1367" s="381">
        <v>0</v>
      </c>
      <c r="S1367" s="381">
        <v>0</v>
      </c>
      <c r="T1367" s="381">
        <v>0</v>
      </c>
      <c r="U1367" s="381">
        <v>0</v>
      </c>
      <c r="V1367" s="382">
        <v>271</v>
      </c>
      <c r="W1367" s="382">
        <v>0</v>
      </c>
      <c r="X1367" s="381">
        <v>0.11291666666666667</v>
      </c>
      <c r="Y1367" s="381">
        <v>0</v>
      </c>
      <c r="Z1367" s="381">
        <v>0</v>
      </c>
      <c r="AA1367" s="381">
        <v>0</v>
      </c>
      <c r="AB1367" s="381">
        <v>0</v>
      </c>
      <c r="AC1367" s="382">
        <v>0.11291666666666667</v>
      </c>
      <c r="AD1367" s="382">
        <v>0</v>
      </c>
      <c r="AE1367" s="381" t="s">
        <v>444</v>
      </c>
    </row>
    <row r="1368" spans="1:31" ht="15" customHeight="1" x14ac:dyDescent="0.25">
      <c r="A1368" s="20" t="s">
        <v>156</v>
      </c>
      <c r="B1368" s="20" t="s">
        <v>1450</v>
      </c>
      <c r="C1368" s="20" t="s">
        <v>1451</v>
      </c>
      <c r="D1368" s="378" t="s">
        <v>1872</v>
      </c>
      <c r="E1368" s="384">
        <v>44613</v>
      </c>
      <c r="F1368" s="384">
        <v>46439</v>
      </c>
      <c r="G1368" s="378" t="s">
        <v>439</v>
      </c>
      <c r="H1368" s="20" t="s">
        <v>455</v>
      </c>
      <c r="I1368" s="378" t="s">
        <v>162</v>
      </c>
      <c r="J1368" s="20" t="s">
        <v>163</v>
      </c>
      <c r="K1368" s="378" t="s">
        <v>476</v>
      </c>
      <c r="L1368" s="378" t="s">
        <v>165</v>
      </c>
      <c r="M1368" s="380">
        <v>2400</v>
      </c>
      <c r="N1368" s="380" t="s">
        <v>443</v>
      </c>
      <c r="O1368" s="380" t="s">
        <v>443</v>
      </c>
      <c r="P1368" s="380" t="s">
        <v>443</v>
      </c>
      <c r="Q1368" s="381">
        <v>336</v>
      </c>
      <c r="R1368" s="381">
        <v>0</v>
      </c>
      <c r="S1368" s="381">
        <v>0</v>
      </c>
      <c r="T1368" s="381">
        <v>0</v>
      </c>
      <c r="U1368" s="381">
        <v>0</v>
      </c>
      <c r="V1368" s="382">
        <v>336</v>
      </c>
      <c r="W1368" s="382">
        <v>0</v>
      </c>
      <c r="X1368" s="381">
        <v>0.14000000000000001</v>
      </c>
      <c r="Y1368" s="381">
        <v>0</v>
      </c>
      <c r="Z1368" s="381">
        <v>0</v>
      </c>
      <c r="AA1368" s="381">
        <v>0</v>
      </c>
      <c r="AB1368" s="381">
        <v>0</v>
      </c>
      <c r="AC1368" s="382">
        <v>0.14000000000000001</v>
      </c>
      <c r="AD1368" s="382">
        <v>0</v>
      </c>
      <c r="AE1368" s="381" t="s">
        <v>444</v>
      </c>
    </row>
    <row r="1369" spans="1:31" ht="15" customHeight="1" x14ac:dyDescent="0.25">
      <c r="A1369" s="20" t="s">
        <v>156</v>
      </c>
      <c r="B1369" s="20" t="s">
        <v>1450</v>
      </c>
      <c r="C1369" s="20" t="s">
        <v>1451</v>
      </c>
      <c r="D1369" s="378" t="s">
        <v>1873</v>
      </c>
      <c r="E1369" s="384">
        <v>44613</v>
      </c>
      <c r="F1369" s="384">
        <v>46439</v>
      </c>
      <c r="G1369" s="378" t="s">
        <v>439</v>
      </c>
      <c r="H1369" s="20" t="s">
        <v>455</v>
      </c>
      <c r="I1369" s="378" t="s">
        <v>162</v>
      </c>
      <c r="J1369" s="20" t="s">
        <v>163</v>
      </c>
      <c r="K1369" s="378" t="s">
        <v>476</v>
      </c>
      <c r="L1369" s="378" t="s">
        <v>165</v>
      </c>
      <c r="M1369" s="380">
        <v>2400</v>
      </c>
      <c r="N1369" s="380" t="s">
        <v>443</v>
      </c>
      <c r="O1369" s="380" t="s">
        <v>443</v>
      </c>
      <c r="P1369" s="380" t="s">
        <v>443</v>
      </c>
      <c r="Q1369" s="381">
        <v>375</v>
      </c>
      <c r="R1369" s="381">
        <v>0</v>
      </c>
      <c r="S1369" s="381">
        <v>0</v>
      </c>
      <c r="T1369" s="381">
        <v>0</v>
      </c>
      <c r="U1369" s="381">
        <v>0</v>
      </c>
      <c r="V1369" s="382">
        <v>375</v>
      </c>
      <c r="W1369" s="382">
        <v>0</v>
      </c>
      <c r="X1369" s="381">
        <v>0.15625</v>
      </c>
      <c r="Y1369" s="381">
        <v>0</v>
      </c>
      <c r="Z1369" s="381">
        <v>0</v>
      </c>
      <c r="AA1369" s="381">
        <v>0</v>
      </c>
      <c r="AB1369" s="381">
        <v>0</v>
      </c>
      <c r="AC1369" s="382">
        <v>0.15625</v>
      </c>
      <c r="AD1369" s="382">
        <v>0</v>
      </c>
      <c r="AE1369" s="381" t="s">
        <v>444</v>
      </c>
    </row>
    <row r="1370" spans="1:31" ht="15" customHeight="1" x14ac:dyDescent="0.25">
      <c r="A1370" s="20" t="s">
        <v>156</v>
      </c>
      <c r="B1370" s="20" t="s">
        <v>1450</v>
      </c>
      <c r="C1370" s="20" t="s">
        <v>1451</v>
      </c>
      <c r="D1370" s="378" t="s">
        <v>1874</v>
      </c>
      <c r="E1370" s="384">
        <v>44613</v>
      </c>
      <c r="F1370" s="384">
        <v>46439</v>
      </c>
      <c r="G1370" s="378" t="s">
        <v>439</v>
      </c>
      <c r="H1370" s="20" t="s">
        <v>455</v>
      </c>
      <c r="I1370" s="378" t="s">
        <v>162</v>
      </c>
      <c r="J1370" s="20" t="s">
        <v>163</v>
      </c>
      <c r="K1370" s="378" t="s">
        <v>476</v>
      </c>
      <c r="L1370" s="378" t="s">
        <v>165</v>
      </c>
      <c r="M1370" s="380">
        <v>2400</v>
      </c>
      <c r="N1370" s="380" t="s">
        <v>443</v>
      </c>
      <c r="O1370" s="380" t="s">
        <v>443</v>
      </c>
      <c r="P1370" s="380" t="s">
        <v>443</v>
      </c>
      <c r="Q1370" s="381">
        <v>289</v>
      </c>
      <c r="R1370" s="381">
        <v>0</v>
      </c>
      <c r="S1370" s="381">
        <v>0</v>
      </c>
      <c r="T1370" s="381">
        <v>0</v>
      </c>
      <c r="U1370" s="381">
        <v>0</v>
      </c>
      <c r="V1370" s="382">
        <v>289</v>
      </c>
      <c r="W1370" s="382">
        <v>0</v>
      </c>
      <c r="X1370" s="381">
        <v>0.12041666666666667</v>
      </c>
      <c r="Y1370" s="381">
        <v>0</v>
      </c>
      <c r="Z1370" s="381">
        <v>0</v>
      </c>
      <c r="AA1370" s="381">
        <v>0</v>
      </c>
      <c r="AB1370" s="381">
        <v>0</v>
      </c>
      <c r="AC1370" s="382">
        <v>0.12041666666666667</v>
      </c>
      <c r="AD1370" s="382">
        <v>0</v>
      </c>
      <c r="AE1370" s="381" t="s">
        <v>444</v>
      </c>
    </row>
    <row r="1371" spans="1:31" ht="15" customHeight="1" x14ac:dyDescent="0.25">
      <c r="A1371" s="20" t="s">
        <v>156</v>
      </c>
      <c r="B1371" s="20" t="s">
        <v>1450</v>
      </c>
      <c r="C1371" s="20" t="s">
        <v>1451</v>
      </c>
      <c r="D1371" s="378" t="s">
        <v>1875</v>
      </c>
      <c r="E1371" s="384">
        <v>44613</v>
      </c>
      <c r="F1371" s="384">
        <v>46439</v>
      </c>
      <c r="G1371" s="378" t="s">
        <v>439</v>
      </c>
      <c r="H1371" s="20" t="s">
        <v>455</v>
      </c>
      <c r="I1371" s="378" t="s">
        <v>162</v>
      </c>
      <c r="J1371" s="20" t="s">
        <v>163</v>
      </c>
      <c r="K1371" s="378" t="s">
        <v>476</v>
      </c>
      <c r="L1371" s="378" t="s">
        <v>165</v>
      </c>
      <c r="M1371" s="380">
        <v>2400</v>
      </c>
      <c r="N1371" s="380" t="s">
        <v>443</v>
      </c>
      <c r="O1371" s="380" t="s">
        <v>443</v>
      </c>
      <c r="P1371" s="380" t="s">
        <v>443</v>
      </c>
      <c r="Q1371" s="381">
        <v>384</v>
      </c>
      <c r="R1371" s="381">
        <v>0</v>
      </c>
      <c r="S1371" s="381">
        <v>0</v>
      </c>
      <c r="T1371" s="381">
        <v>0</v>
      </c>
      <c r="U1371" s="381">
        <v>0</v>
      </c>
      <c r="V1371" s="382">
        <v>384</v>
      </c>
      <c r="W1371" s="382">
        <v>0</v>
      </c>
      <c r="X1371" s="381">
        <v>0.16</v>
      </c>
      <c r="Y1371" s="381">
        <v>0</v>
      </c>
      <c r="Z1371" s="381">
        <v>0</v>
      </c>
      <c r="AA1371" s="381">
        <v>0</v>
      </c>
      <c r="AB1371" s="381">
        <v>0</v>
      </c>
      <c r="AC1371" s="382">
        <v>0.16</v>
      </c>
      <c r="AD1371" s="382">
        <v>0</v>
      </c>
      <c r="AE1371" s="381" t="s">
        <v>444</v>
      </c>
    </row>
    <row r="1372" spans="1:31" ht="15" customHeight="1" x14ac:dyDescent="0.25">
      <c r="A1372" s="20" t="s">
        <v>156</v>
      </c>
      <c r="B1372" s="20" t="s">
        <v>1450</v>
      </c>
      <c r="C1372" s="20" t="s">
        <v>1451</v>
      </c>
      <c r="D1372" s="378" t="s">
        <v>1876</v>
      </c>
      <c r="E1372" s="384">
        <v>44613</v>
      </c>
      <c r="F1372" s="384">
        <v>46439</v>
      </c>
      <c r="G1372" s="378" t="s">
        <v>439</v>
      </c>
      <c r="H1372" s="20" t="s">
        <v>455</v>
      </c>
      <c r="I1372" s="378" t="s">
        <v>162</v>
      </c>
      <c r="J1372" s="20" t="s">
        <v>163</v>
      </c>
      <c r="K1372" s="378" t="s">
        <v>476</v>
      </c>
      <c r="L1372" s="378" t="s">
        <v>165</v>
      </c>
      <c r="M1372" s="380">
        <v>2400</v>
      </c>
      <c r="N1372" s="380" t="s">
        <v>443</v>
      </c>
      <c r="O1372" s="380" t="s">
        <v>443</v>
      </c>
      <c r="P1372" s="380" t="s">
        <v>443</v>
      </c>
      <c r="Q1372" s="381">
        <v>355</v>
      </c>
      <c r="R1372" s="381">
        <v>0</v>
      </c>
      <c r="S1372" s="381">
        <v>0</v>
      </c>
      <c r="T1372" s="381">
        <v>0</v>
      </c>
      <c r="U1372" s="381">
        <v>0</v>
      </c>
      <c r="V1372" s="382">
        <v>355</v>
      </c>
      <c r="W1372" s="382">
        <v>0</v>
      </c>
      <c r="X1372" s="381">
        <v>0.14791666666666667</v>
      </c>
      <c r="Y1372" s="381">
        <v>0</v>
      </c>
      <c r="Z1372" s="381">
        <v>0</v>
      </c>
      <c r="AA1372" s="381">
        <v>0</v>
      </c>
      <c r="AB1372" s="381">
        <v>0</v>
      </c>
      <c r="AC1372" s="382">
        <v>0.14791666666666667</v>
      </c>
      <c r="AD1372" s="382">
        <v>0</v>
      </c>
      <c r="AE1372" s="381" t="s">
        <v>444</v>
      </c>
    </row>
    <row r="1373" spans="1:31" ht="15" customHeight="1" x14ac:dyDescent="0.25">
      <c r="A1373" s="20" t="s">
        <v>156</v>
      </c>
      <c r="B1373" s="20" t="s">
        <v>1450</v>
      </c>
      <c r="C1373" s="20" t="s">
        <v>1451</v>
      </c>
      <c r="D1373" s="378" t="s">
        <v>1877</v>
      </c>
      <c r="E1373" s="384">
        <v>44613</v>
      </c>
      <c r="F1373" s="384">
        <v>46439</v>
      </c>
      <c r="G1373" s="378" t="s">
        <v>439</v>
      </c>
      <c r="H1373" s="20" t="s">
        <v>455</v>
      </c>
      <c r="I1373" s="378" t="s">
        <v>162</v>
      </c>
      <c r="J1373" s="20" t="s">
        <v>163</v>
      </c>
      <c r="K1373" s="378" t="s">
        <v>476</v>
      </c>
      <c r="L1373" s="378" t="s">
        <v>165</v>
      </c>
      <c r="M1373" s="380">
        <v>2400</v>
      </c>
      <c r="N1373" s="380" t="s">
        <v>443</v>
      </c>
      <c r="O1373" s="380" t="s">
        <v>443</v>
      </c>
      <c r="P1373" s="380" t="s">
        <v>443</v>
      </c>
      <c r="Q1373" s="381">
        <v>341</v>
      </c>
      <c r="R1373" s="381">
        <v>0</v>
      </c>
      <c r="S1373" s="381">
        <v>0</v>
      </c>
      <c r="T1373" s="381">
        <v>0</v>
      </c>
      <c r="U1373" s="381">
        <v>0</v>
      </c>
      <c r="V1373" s="382">
        <v>341</v>
      </c>
      <c r="W1373" s="382">
        <v>0</v>
      </c>
      <c r="X1373" s="381">
        <v>0.14208333333333334</v>
      </c>
      <c r="Y1373" s="381">
        <v>0</v>
      </c>
      <c r="Z1373" s="381">
        <v>0</v>
      </c>
      <c r="AA1373" s="381">
        <v>0</v>
      </c>
      <c r="AB1373" s="381">
        <v>0</v>
      </c>
      <c r="AC1373" s="382">
        <v>0.14208333333333334</v>
      </c>
      <c r="AD1373" s="382">
        <v>0</v>
      </c>
      <c r="AE1373" s="381" t="s">
        <v>444</v>
      </c>
    </row>
    <row r="1374" spans="1:31" ht="15" customHeight="1" x14ac:dyDescent="0.25">
      <c r="A1374" s="20" t="s">
        <v>156</v>
      </c>
      <c r="B1374" s="20" t="s">
        <v>1450</v>
      </c>
      <c r="C1374" s="20" t="s">
        <v>1451</v>
      </c>
      <c r="D1374" s="378" t="s">
        <v>1878</v>
      </c>
      <c r="E1374" s="384">
        <v>44613</v>
      </c>
      <c r="F1374" s="384">
        <v>46439</v>
      </c>
      <c r="G1374" s="378" t="s">
        <v>439</v>
      </c>
      <c r="H1374" s="20" t="s">
        <v>455</v>
      </c>
      <c r="I1374" s="378" t="s">
        <v>162</v>
      </c>
      <c r="J1374" s="20" t="s">
        <v>163</v>
      </c>
      <c r="K1374" s="378" t="s">
        <v>476</v>
      </c>
      <c r="L1374" s="378" t="s">
        <v>165</v>
      </c>
      <c r="M1374" s="380">
        <v>2400</v>
      </c>
      <c r="N1374" s="380" t="s">
        <v>443</v>
      </c>
      <c r="O1374" s="380" t="s">
        <v>443</v>
      </c>
      <c r="P1374" s="380" t="s">
        <v>443</v>
      </c>
      <c r="Q1374" s="381">
        <v>357</v>
      </c>
      <c r="R1374" s="381">
        <v>0</v>
      </c>
      <c r="S1374" s="381">
        <v>0</v>
      </c>
      <c r="T1374" s="381">
        <v>0</v>
      </c>
      <c r="U1374" s="381">
        <v>0</v>
      </c>
      <c r="V1374" s="382">
        <v>357</v>
      </c>
      <c r="W1374" s="382">
        <v>0</v>
      </c>
      <c r="X1374" s="381">
        <v>0.14874999999999999</v>
      </c>
      <c r="Y1374" s="381">
        <v>0</v>
      </c>
      <c r="Z1374" s="381">
        <v>0</v>
      </c>
      <c r="AA1374" s="381">
        <v>0</v>
      </c>
      <c r="AB1374" s="381">
        <v>0</v>
      </c>
      <c r="AC1374" s="382">
        <v>0.14874999999999999</v>
      </c>
      <c r="AD1374" s="382">
        <v>0</v>
      </c>
      <c r="AE1374" s="381" t="s">
        <v>444</v>
      </c>
    </row>
    <row r="1375" spans="1:31" ht="15" customHeight="1" x14ac:dyDescent="0.25">
      <c r="A1375" s="20" t="s">
        <v>156</v>
      </c>
      <c r="B1375" s="20" t="s">
        <v>1450</v>
      </c>
      <c r="C1375" s="20" t="s">
        <v>1451</v>
      </c>
      <c r="D1375" s="378" t="s">
        <v>1879</v>
      </c>
      <c r="E1375" s="384">
        <v>44613</v>
      </c>
      <c r="F1375" s="384">
        <v>46439</v>
      </c>
      <c r="G1375" s="378" t="s">
        <v>439</v>
      </c>
      <c r="H1375" s="20" t="s">
        <v>455</v>
      </c>
      <c r="I1375" s="378" t="s">
        <v>162</v>
      </c>
      <c r="J1375" s="20" t="s">
        <v>163</v>
      </c>
      <c r="K1375" s="378" t="s">
        <v>476</v>
      </c>
      <c r="L1375" s="378" t="s">
        <v>165</v>
      </c>
      <c r="M1375" s="380">
        <v>2400</v>
      </c>
      <c r="N1375" s="380" t="s">
        <v>443</v>
      </c>
      <c r="O1375" s="380" t="s">
        <v>443</v>
      </c>
      <c r="P1375" s="380" t="s">
        <v>443</v>
      </c>
      <c r="Q1375" s="381">
        <v>278</v>
      </c>
      <c r="R1375" s="381">
        <v>0</v>
      </c>
      <c r="S1375" s="381">
        <v>0</v>
      </c>
      <c r="T1375" s="381">
        <v>0</v>
      </c>
      <c r="U1375" s="381">
        <v>0</v>
      </c>
      <c r="V1375" s="382">
        <v>278</v>
      </c>
      <c r="W1375" s="382">
        <v>0</v>
      </c>
      <c r="X1375" s="381">
        <v>0.11583333333333333</v>
      </c>
      <c r="Y1375" s="381">
        <v>0</v>
      </c>
      <c r="Z1375" s="381">
        <v>0</v>
      </c>
      <c r="AA1375" s="381">
        <v>0</v>
      </c>
      <c r="AB1375" s="381">
        <v>0</v>
      </c>
      <c r="AC1375" s="382">
        <v>0.11583333333333333</v>
      </c>
      <c r="AD1375" s="382">
        <v>0</v>
      </c>
      <c r="AE1375" s="381" t="s">
        <v>444</v>
      </c>
    </row>
    <row r="1376" spans="1:31" ht="15" customHeight="1" x14ac:dyDescent="0.25">
      <c r="A1376" s="20" t="s">
        <v>156</v>
      </c>
      <c r="B1376" s="20" t="s">
        <v>1450</v>
      </c>
      <c r="C1376" s="20" t="s">
        <v>1451</v>
      </c>
      <c r="D1376" s="378" t="s">
        <v>1880</v>
      </c>
      <c r="E1376" s="384">
        <v>44613</v>
      </c>
      <c r="F1376" s="384">
        <v>46439</v>
      </c>
      <c r="G1376" s="378" t="s">
        <v>439</v>
      </c>
      <c r="H1376" s="20" t="s">
        <v>455</v>
      </c>
      <c r="I1376" s="378" t="s">
        <v>162</v>
      </c>
      <c r="J1376" s="20" t="s">
        <v>163</v>
      </c>
      <c r="K1376" s="378" t="s">
        <v>476</v>
      </c>
      <c r="L1376" s="378" t="s">
        <v>165</v>
      </c>
      <c r="M1376" s="380">
        <v>2400</v>
      </c>
      <c r="N1376" s="380" t="s">
        <v>443</v>
      </c>
      <c r="O1376" s="380" t="s">
        <v>443</v>
      </c>
      <c r="P1376" s="380" t="s">
        <v>443</v>
      </c>
      <c r="Q1376" s="381">
        <v>280</v>
      </c>
      <c r="R1376" s="381">
        <v>0</v>
      </c>
      <c r="S1376" s="381">
        <v>0</v>
      </c>
      <c r="T1376" s="381">
        <v>0</v>
      </c>
      <c r="U1376" s="381">
        <v>0</v>
      </c>
      <c r="V1376" s="382">
        <v>280</v>
      </c>
      <c r="W1376" s="382">
        <v>0</v>
      </c>
      <c r="X1376" s="381">
        <v>0.11666666666666667</v>
      </c>
      <c r="Y1376" s="381">
        <v>0</v>
      </c>
      <c r="Z1376" s="381">
        <v>0</v>
      </c>
      <c r="AA1376" s="381">
        <v>0</v>
      </c>
      <c r="AB1376" s="381">
        <v>0</v>
      </c>
      <c r="AC1376" s="382">
        <v>0.11666666666666667</v>
      </c>
      <c r="AD1376" s="382">
        <v>0</v>
      </c>
      <c r="AE1376" s="381" t="s">
        <v>444</v>
      </c>
    </row>
    <row r="1377" spans="1:31" ht="15" customHeight="1" x14ac:dyDescent="0.25">
      <c r="A1377" s="20" t="s">
        <v>156</v>
      </c>
      <c r="B1377" s="20" t="s">
        <v>1450</v>
      </c>
      <c r="C1377" s="20" t="s">
        <v>1451</v>
      </c>
      <c r="D1377" s="378" t="s">
        <v>1881</v>
      </c>
      <c r="E1377" s="384">
        <v>44613</v>
      </c>
      <c r="F1377" s="384">
        <v>46439</v>
      </c>
      <c r="G1377" s="378" t="s">
        <v>439</v>
      </c>
      <c r="H1377" s="20" t="s">
        <v>455</v>
      </c>
      <c r="I1377" s="378" t="s">
        <v>162</v>
      </c>
      <c r="J1377" s="20" t="s">
        <v>163</v>
      </c>
      <c r="K1377" s="378" t="s">
        <v>476</v>
      </c>
      <c r="L1377" s="378" t="s">
        <v>165</v>
      </c>
      <c r="M1377" s="380">
        <v>2400</v>
      </c>
      <c r="N1377" s="380" t="s">
        <v>443</v>
      </c>
      <c r="O1377" s="380" t="s">
        <v>443</v>
      </c>
      <c r="P1377" s="380" t="s">
        <v>443</v>
      </c>
      <c r="Q1377" s="381">
        <v>323</v>
      </c>
      <c r="R1377" s="381">
        <v>0</v>
      </c>
      <c r="S1377" s="381">
        <v>0</v>
      </c>
      <c r="T1377" s="381">
        <v>0</v>
      </c>
      <c r="U1377" s="381">
        <v>0</v>
      </c>
      <c r="V1377" s="382">
        <v>323</v>
      </c>
      <c r="W1377" s="382">
        <v>0</v>
      </c>
      <c r="X1377" s="381">
        <v>0.13458333333333333</v>
      </c>
      <c r="Y1377" s="381">
        <v>0</v>
      </c>
      <c r="Z1377" s="381">
        <v>0</v>
      </c>
      <c r="AA1377" s="381">
        <v>0</v>
      </c>
      <c r="AB1377" s="381">
        <v>0</v>
      </c>
      <c r="AC1377" s="382">
        <v>0.13458333333333333</v>
      </c>
      <c r="AD1377" s="382">
        <v>0</v>
      </c>
      <c r="AE1377" s="381" t="s">
        <v>444</v>
      </c>
    </row>
    <row r="1378" spans="1:31" ht="15" customHeight="1" x14ac:dyDescent="0.25">
      <c r="A1378" s="20" t="s">
        <v>156</v>
      </c>
      <c r="B1378" s="20" t="s">
        <v>1450</v>
      </c>
      <c r="C1378" s="20" t="s">
        <v>1451</v>
      </c>
      <c r="D1378" s="378" t="s">
        <v>1882</v>
      </c>
      <c r="E1378" s="384">
        <v>44613</v>
      </c>
      <c r="F1378" s="384">
        <v>46439</v>
      </c>
      <c r="G1378" s="378" t="s">
        <v>439</v>
      </c>
      <c r="H1378" s="20" t="s">
        <v>455</v>
      </c>
      <c r="I1378" s="378" t="s">
        <v>162</v>
      </c>
      <c r="J1378" s="20" t="s">
        <v>163</v>
      </c>
      <c r="K1378" s="378" t="s">
        <v>476</v>
      </c>
      <c r="L1378" s="378" t="s">
        <v>165</v>
      </c>
      <c r="M1378" s="380">
        <v>2400</v>
      </c>
      <c r="N1378" s="380" t="s">
        <v>443</v>
      </c>
      <c r="O1378" s="380" t="s">
        <v>443</v>
      </c>
      <c r="P1378" s="380" t="s">
        <v>443</v>
      </c>
      <c r="Q1378" s="381">
        <v>415</v>
      </c>
      <c r="R1378" s="381">
        <v>0</v>
      </c>
      <c r="S1378" s="381">
        <v>0</v>
      </c>
      <c r="T1378" s="381">
        <v>0</v>
      </c>
      <c r="U1378" s="381">
        <v>0</v>
      </c>
      <c r="V1378" s="382">
        <v>415</v>
      </c>
      <c r="W1378" s="382">
        <v>0</v>
      </c>
      <c r="X1378" s="381">
        <v>0.17291666666666666</v>
      </c>
      <c r="Y1378" s="381">
        <v>0</v>
      </c>
      <c r="Z1378" s="381">
        <v>0</v>
      </c>
      <c r="AA1378" s="381">
        <v>0</v>
      </c>
      <c r="AB1378" s="381">
        <v>0</v>
      </c>
      <c r="AC1378" s="382">
        <v>0.17291666666666666</v>
      </c>
      <c r="AD1378" s="382">
        <v>0</v>
      </c>
      <c r="AE1378" s="381" t="s">
        <v>444</v>
      </c>
    </row>
    <row r="1379" spans="1:31" ht="15" customHeight="1" x14ac:dyDescent="0.25">
      <c r="A1379" s="20" t="s">
        <v>156</v>
      </c>
      <c r="B1379" s="20" t="s">
        <v>1450</v>
      </c>
      <c r="C1379" s="20" t="s">
        <v>1451</v>
      </c>
      <c r="D1379" s="378" t="s">
        <v>1883</v>
      </c>
      <c r="E1379" s="384">
        <v>44613</v>
      </c>
      <c r="F1379" s="384">
        <v>46439</v>
      </c>
      <c r="G1379" s="378" t="s">
        <v>439</v>
      </c>
      <c r="H1379" s="20" t="s">
        <v>455</v>
      </c>
      <c r="I1379" s="378" t="s">
        <v>162</v>
      </c>
      <c r="J1379" s="20" t="s">
        <v>163</v>
      </c>
      <c r="K1379" s="378" t="s">
        <v>476</v>
      </c>
      <c r="L1379" s="378" t="s">
        <v>165</v>
      </c>
      <c r="M1379" s="380">
        <v>2400</v>
      </c>
      <c r="N1379" s="380" t="s">
        <v>443</v>
      </c>
      <c r="O1379" s="380" t="s">
        <v>443</v>
      </c>
      <c r="P1379" s="380" t="s">
        <v>443</v>
      </c>
      <c r="Q1379" s="381">
        <v>349</v>
      </c>
      <c r="R1379" s="381">
        <v>0</v>
      </c>
      <c r="S1379" s="381">
        <v>0</v>
      </c>
      <c r="T1379" s="381">
        <v>0</v>
      </c>
      <c r="U1379" s="381">
        <v>0</v>
      </c>
      <c r="V1379" s="382">
        <v>349</v>
      </c>
      <c r="W1379" s="382">
        <v>0</v>
      </c>
      <c r="X1379" s="381">
        <v>0.14541666666666667</v>
      </c>
      <c r="Y1379" s="381">
        <v>0</v>
      </c>
      <c r="Z1379" s="381">
        <v>0</v>
      </c>
      <c r="AA1379" s="381">
        <v>0</v>
      </c>
      <c r="AB1379" s="381">
        <v>0</v>
      </c>
      <c r="AC1379" s="382">
        <v>0.14541666666666667</v>
      </c>
      <c r="AD1379" s="382">
        <v>0</v>
      </c>
      <c r="AE1379" s="381" t="s">
        <v>444</v>
      </c>
    </row>
    <row r="1380" spans="1:31" ht="15" customHeight="1" x14ac:dyDescent="0.25">
      <c r="A1380" s="20" t="s">
        <v>156</v>
      </c>
      <c r="B1380" s="20" t="s">
        <v>1450</v>
      </c>
      <c r="C1380" s="20" t="s">
        <v>1451</v>
      </c>
      <c r="D1380" s="378" t="s">
        <v>1884</v>
      </c>
      <c r="E1380" s="384">
        <v>44613</v>
      </c>
      <c r="F1380" s="384">
        <v>46439</v>
      </c>
      <c r="G1380" s="378" t="s">
        <v>439</v>
      </c>
      <c r="H1380" s="20" t="s">
        <v>455</v>
      </c>
      <c r="I1380" s="378" t="s">
        <v>162</v>
      </c>
      <c r="J1380" s="20" t="s">
        <v>163</v>
      </c>
      <c r="K1380" s="378" t="s">
        <v>476</v>
      </c>
      <c r="L1380" s="378" t="s">
        <v>165</v>
      </c>
      <c r="M1380" s="380">
        <v>2400</v>
      </c>
      <c r="N1380" s="380" t="s">
        <v>443</v>
      </c>
      <c r="O1380" s="380" t="s">
        <v>443</v>
      </c>
      <c r="P1380" s="380" t="s">
        <v>443</v>
      </c>
      <c r="Q1380" s="381">
        <v>318</v>
      </c>
      <c r="R1380" s="381">
        <v>0</v>
      </c>
      <c r="S1380" s="381">
        <v>0</v>
      </c>
      <c r="T1380" s="381">
        <v>0</v>
      </c>
      <c r="U1380" s="381">
        <v>0</v>
      </c>
      <c r="V1380" s="382">
        <v>318</v>
      </c>
      <c r="W1380" s="382">
        <v>0</v>
      </c>
      <c r="X1380" s="381">
        <v>0.13250000000000001</v>
      </c>
      <c r="Y1380" s="381">
        <v>0</v>
      </c>
      <c r="Z1380" s="381">
        <v>0</v>
      </c>
      <c r="AA1380" s="381">
        <v>0</v>
      </c>
      <c r="AB1380" s="381">
        <v>0</v>
      </c>
      <c r="AC1380" s="382">
        <v>0.13250000000000001</v>
      </c>
      <c r="AD1380" s="382">
        <v>0</v>
      </c>
      <c r="AE1380" s="381" t="s">
        <v>444</v>
      </c>
    </row>
    <row r="1381" spans="1:31" ht="15" customHeight="1" x14ac:dyDescent="0.25">
      <c r="A1381" s="20" t="s">
        <v>156</v>
      </c>
      <c r="B1381" s="20" t="s">
        <v>1450</v>
      </c>
      <c r="C1381" s="20" t="s">
        <v>1451</v>
      </c>
      <c r="D1381" s="378" t="s">
        <v>1885</v>
      </c>
      <c r="E1381" s="384">
        <v>44613</v>
      </c>
      <c r="F1381" s="384">
        <v>46439</v>
      </c>
      <c r="G1381" s="378" t="s">
        <v>439</v>
      </c>
      <c r="H1381" s="20" t="s">
        <v>455</v>
      </c>
      <c r="I1381" s="378" t="s">
        <v>162</v>
      </c>
      <c r="J1381" s="20" t="s">
        <v>163</v>
      </c>
      <c r="K1381" s="378" t="s">
        <v>476</v>
      </c>
      <c r="L1381" s="378" t="s">
        <v>165</v>
      </c>
      <c r="M1381" s="380">
        <v>2400</v>
      </c>
      <c r="N1381" s="380" t="s">
        <v>443</v>
      </c>
      <c r="O1381" s="380" t="s">
        <v>443</v>
      </c>
      <c r="P1381" s="380" t="s">
        <v>443</v>
      </c>
      <c r="Q1381" s="381">
        <v>407</v>
      </c>
      <c r="R1381" s="381">
        <v>0</v>
      </c>
      <c r="S1381" s="381">
        <v>0</v>
      </c>
      <c r="T1381" s="381">
        <v>0</v>
      </c>
      <c r="U1381" s="381">
        <v>0</v>
      </c>
      <c r="V1381" s="382">
        <v>407</v>
      </c>
      <c r="W1381" s="382">
        <v>0</v>
      </c>
      <c r="X1381" s="381">
        <v>0.16958333333333334</v>
      </c>
      <c r="Y1381" s="381">
        <v>0</v>
      </c>
      <c r="Z1381" s="381">
        <v>0</v>
      </c>
      <c r="AA1381" s="381">
        <v>0</v>
      </c>
      <c r="AB1381" s="381">
        <v>0</v>
      </c>
      <c r="AC1381" s="382">
        <v>0.16958333333333334</v>
      </c>
      <c r="AD1381" s="382">
        <v>0</v>
      </c>
      <c r="AE1381" s="381" t="s">
        <v>444</v>
      </c>
    </row>
    <row r="1382" spans="1:31" ht="15" customHeight="1" x14ac:dyDescent="0.25">
      <c r="A1382" s="20" t="s">
        <v>156</v>
      </c>
      <c r="B1382" s="20" t="s">
        <v>1450</v>
      </c>
      <c r="C1382" s="20" t="s">
        <v>1451</v>
      </c>
      <c r="D1382" s="378" t="s">
        <v>1886</v>
      </c>
      <c r="E1382" s="384">
        <v>44613</v>
      </c>
      <c r="F1382" s="384">
        <v>46439</v>
      </c>
      <c r="G1382" s="378" t="s">
        <v>439</v>
      </c>
      <c r="H1382" s="20" t="s">
        <v>455</v>
      </c>
      <c r="I1382" s="378" t="s">
        <v>162</v>
      </c>
      <c r="J1382" s="20" t="s">
        <v>163</v>
      </c>
      <c r="K1382" s="378" t="s">
        <v>476</v>
      </c>
      <c r="L1382" s="378" t="s">
        <v>165</v>
      </c>
      <c r="M1382" s="380">
        <v>2400</v>
      </c>
      <c r="N1382" s="380" t="s">
        <v>443</v>
      </c>
      <c r="O1382" s="380" t="s">
        <v>443</v>
      </c>
      <c r="P1382" s="380" t="s">
        <v>443</v>
      </c>
      <c r="Q1382" s="381">
        <v>392</v>
      </c>
      <c r="R1382" s="381">
        <v>0</v>
      </c>
      <c r="S1382" s="381">
        <v>0</v>
      </c>
      <c r="T1382" s="381">
        <v>0</v>
      </c>
      <c r="U1382" s="381">
        <v>0</v>
      </c>
      <c r="V1382" s="382">
        <v>392</v>
      </c>
      <c r="W1382" s="382">
        <v>0</v>
      </c>
      <c r="X1382" s="381">
        <v>0.16333333333333333</v>
      </c>
      <c r="Y1382" s="381">
        <v>0</v>
      </c>
      <c r="Z1382" s="381">
        <v>0</v>
      </c>
      <c r="AA1382" s="381">
        <v>0</v>
      </c>
      <c r="AB1382" s="381">
        <v>0</v>
      </c>
      <c r="AC1382" s="382">
        <v>0.16333333333333333</v>
      </c>
      <c r="AD1382" s="382">
        <v>0</v>
      </c>
      <c r="AE1382" s="381" t="s">
        <v>444</v>
      </c>
    </row>
    <row r="1383" spans="1:31" ht="15" customHeight="1" x14ac:dyDescent="0.25">
      <c r="A1383" s="20" t="s">
        <v>156</v>
      </c>
      <c r="B1383" s="20" t="s">
        <v>1450</v>
      </c>
      <c r="C1383" s="20" t="s">
        <v>1451</v>
      </c>
      <c r="D1383" s="378" t="s">
        <v>1887</v>
      </c>
      <c r="E1383" s="384">
        <v>44613</v>
      </c>
      <c r="F1383" s="384">
        <v>46439</v>
      </c>
      <c r="G1383" s="378" t="s">
        <v>439</v>
      </c>
      <c r="H1383" s="20" t="s">
        <v>455</v>
      </c>
      <c r="I1383" s="378" t="s">
        <v>162</v>
      </c>
      <c r="J1383" s="20" t="s">
        <v>163</v>
      </c>
      <c r="K1383" s="378" t="s">
        <v>476</v>
      </c>
      <c r="L1383" s="378" t="s">
        <v>165</v>
      </c>
      <c r="M1383" s="380">
        <v>2400</v>
      </c>
      <c r="N1383" s="380" t="s">
        <v>443</v>
      </c>
      <c r="O1383" s="380" t="s">
        <v>443</v>
      </c>
      <c r="P1383" s="380" t="s">
        <v>443</v>
      </c>
      <c r="Q1383" s="381">
        <v>439</v>
      </c>
      <c r="R1383" s="381">
        <v>0</v>
      </c>
      <c r="S1383" s="381">
        <v>0</v>
      </c>
      <c r="T1383" s="381">
        <v>0</v>
      </c>
      <c r="U1383" s="381">
        <v>0</v>
      </c>
      <c r="V1383" s="382">
        <v>439</v>
      </c>
      <c r="W1383" s="382">
        <v>0</v>
      </c>
      <c r="X1383" s="381">
        <v>0.18291666666666667</v>
      </c>
      <c r="Y1383" s="381">
        <v>0</v>
      </c>
      <c r="Z1383" s="381">
        <v>0</v>
      </c>
      <c r="AA1383" s="381">
        <v>0</v>
      </c>
      <c r="AB1383" s="381">
        <v>0</v>
      </c>
      <c r="AC1383" s="382">
        <v>0.18291666666666667</v>
      </c>
      <c r="AD1383" s="382">
        <v>0</v>
      </c>
      <c r="AE1383" s="381" t="s">
        <v>444</v>
      </c>
    </row>
    <row r="1384" spans="1:31" ht="15" customHeight="1" x14ac:dyDescent="0.25">
      <c r="A1384" s="20" t="s">
        <v>156</v>
      </c>
      <c r="B1384" s="20" t="s">
        <v>1450</v>
      </c>
      <c r="C1384" s="20" t="s">
        <v>1451</v>
      </c>
      <c r="D1384" s="378" t="s">
        <v>1870</v>
      </c>
      <c r="E1384" s="384">
        <v>44613</v>
      </c>
      <c r="F1384" s="384">
        <v>46439</v>
      </c>
      <c r="G1384" s="378" t="s">
        <v>439</v>
      </c>
      <c r="H1384" s="20" t="s">
        <v>455</v>
      </c>
      <c r="I1384" s="378" t="s">
        <v>162</v>
      </c>
      <c r="J1384" s="20" t="s">
        <v>163</v>
      </c>
      <c r="K1384" s="378" t="s">
        <v>476</v>
      </c>
      <c r="L1384" s="378" t="s">
        <v>165</v>
      </c>
      <c r="M1384" s="380">
        <v>2400</v>
      </c>
      <c r="N1384" s="380" t="s">
        <v>443</v>
      </c>
      <c r="O1384" s="380" t="s">
        <v>443</v>
      </c>
      <c r="P1384" s="380" t="s">
        <v>443</v>
      </c>
      <c r="Q1384" s="381">
        <v>284</v>
      </c>
      <c r="R1384" s="381">
        <v>0</v>
      </c>
      <c r="S1384" s="381">
        <v>0</v>
      </c>
      <c r="T1384" s="381">
        <v>0</v>
      </c>
      <c r="U1384" s="381">
        <v>0</v>
      </c>
      <c r="V1384" s="382">
        <v>284</v>
      </c>
      <c r="W1384" s="382">
        <v>0</v>
      </c>
      <c r="X1384" s="381">
        <v>0.11833333333333333</v>
      </c>
      <c r="Y1384" s="381">
        <v>0</v>
      </c>
      <c r="Z1384" s="381">
        <v>0</v>
      </c>
      <c r="AA1384" s="381">
        <v>0</v>
      </c>
      <c r="AB1384" s="381">
        <v>0</v>
      </c>
      <c r="AC1384" s="382">
        <v>0.11833333333333333</v>
      </c>
      <c r="AD1384" s="382">
        <v>0</v>
      </c>
      <c r="AE1384" s="381" t="s">
        <v>444</v>
      </c>
    </row>
    <row r="1385" spans="1:31" ht="15" customHeight="1" x14ac:dyDescent="0.25">
      <c r="A1385" s="20" t="s">
        <v>156</v>
      </c>
      <c r="B1385" s="20" t="s">
        <v>1450</v>
      </c>
      <c r="C1385" s="20" t="s">
        <v>1451</v>
      </c>
      <c r="D1385" s="378" t="s">
        <v>1871</v>
      </c>
      <c r="E1385" s="384">
        <v>44613</v>
      </c>
      <c r="F1385" s="384">
        <v>46439</v>
      </c>
      <c r="G1385" s="378" t="s">
        <v>439</v>
      </c>
      <c r="H1385" s="20" t="s">
        <v>455</v>
      </c>
      <c r="I1385" s="378" t="s">
        <v>162</v>
      </c>
      <c r="J1385" s="20" t="s">
        <v>163</v>
      </c>
      <c r="K1385" s="378" t="s">
        <v>476</v>
      </c>
      <c r="L1385" s="378" t="s">
        <v>165</v>
      </c>
      <c r="M1385" s="380">
        <v>2400</v>
      </c>
      <c r="N1385" s="380" t="s">
        <v>443</v>
      </c>
      <c r="O1385" s="380" t="s">
        <v>443</v>
      </c>
      <c r="P1385" s="380" t="s">
        <v>443</v>
      </c>
      <c r="Q1385" s="381">
        <v>271</v>
      </c>
      <c r="R1385" s="381">
        <v>0</v>
      </c>
      <c r="S1385" s="381">
        <v>0</v>
      </c>
      <c r="T1385" s="381">
        <v>0</v>
      </c>
      <c r="U1385" s="381">
        <v>0</v>
      </c>
      <c r="V1385" s="382">
        <v>271</v>
      </c>
      <c r="W1385" s="382">
        <v>0</v>
      </c>
      <c r="X1385" s="381">
        <v>0.11291666666666667</v>
      </c>
      <c r="Y1385" s="381">
        <v>0</v>
      </c>
      <c r="Z1385" s="381">
        <v>0</v>
      </c>
      <c r="AA1385" s="381">
        <v>0</v>
      </c>
      <c r="AB1385" s="381">
        <v>0</v>
      </c>
      <c r="AC1385" s="382">
        <v>0.11291666666666667</v>
      </c>
      <c r="AD1385" s="382">
        <v>0</v>
      </c>
      <c r="AE1385" s="381" t="s">
        <v>444</v>
      </c>
    </row>
    <row r="1386" spans="1:31" ht="15" customHeight="1" x14ac:dyDescent="0.25">
      <c r="A1386" s="20" t="s">
        <v>156</v>
      </c>
      <c r="B1386" s="20" t="s">
        <v>1450</v>
      </c>
      <c r="C1386" s="20" t="s">
        <v>1451</v>
      </c>
      <c r="D1386" s="378" t="s">
        <v>1872</v>
      </c>
      <c r="E1386" s="384">
        <v>44613</v>
      </c>
      <c r="F1386" s="384">
        <v>46439</v>
      </c>
      <c r="G1386" s="378" t="s">
        <v>439</v>
      </c>
      <c r="H1386" s="20" t="s">
        <v>455</v>
      </c>
      <c r="I1386" s="378" t="s">
        <v>162</v>
      </c>
      <c r="J1386" s="20" t="s">
        <v>163</v>
      </c>
      <c r="K1386" s="378" t="s">
        <v>476</v>
      </c>
      <c r="L1386" s="378" t="s">
        <v>165</v>
      </c>
      <c r="M1386" s="380">
        <v>2400</v>
      </c>
      <c r="N1386" s="380" t="s">
        <v>443</v>
      </c>
      <c r="O1386" s="380" t="s">
        <v>443</v>
      </c>
      <c r="P1386" s="380" t="s">
        <v>443</v>
      </c>
      <c r="Q1386" s="381">
        <v>336</v>
      </c>
      <c r="R1386" s="381">
        <v>0</v>
      </c>
      <c r="S1386" s="381">
        <v>0</v>
      </c>
      <c r="T1386" s="381">
        <v>0</v>
      </c>
      <c r="U1386" s="381">
        <v>0</v>
      </c>
      <c r="V1386" s="382">
        <v>336</v>
      </c>
      <c r="W1386" s="382">
        <v>0</v>
      </c>
      <c r="X1386" s="381">
        <v>0.14000000000000001</v>
      </c>
      <c r="Y1386" s="381">
        <v>0</v>
      </c>
      <c r="Z1386" s="381">
        <v>0</v>
      </c>
      <c r="AA1386" s="381">
        <v>0</v>
      </c>
      <c r="AB1386" s="381">
        <v>0</v>
      </c>
      <c r="AC1386" s="382">
        <v>0.14000000000000001</v>
      </c>
      <c r="AD1386" s="382">
        <v>0</v>
      </c>
      <c r="AE1386" s="381" t="s">
        <v>444</v>
      </c>
    </row>
    <row r="1387" spans="1:31" ht="15" customHeight="1" x14ac:dyDescent="0.25">
      <c r="A1387" s="20" t="s">
        <v>156</v>
      </c>
      <c r="B1387" s="20" t="s">
        <v>1450</v>
      </c>
      <c r="C1387" s="20" t="s">
        <v>1451</v>
      </c>
      <c r="D1387" s="378" t="s">
        <v>1873</v>
      </c>
      <c r="E1387" s="384">
        <v>44613</v>
      </c>
      <c r="F1387" s="384">
        <v>46439</v>
      </c>
      <c r="G1387" s="378" t="s">
        <v>439</v>
      </c>
      <c r="H1387" s="20" t="s">
        <v>455</v>
      </c>
      <c r="I1387" s="378" t="s">
        <v>162</v>
      </c>
      <c r="J1387" s="20" t="s">
        <v>163</v>
      </c>
      <c r="K1387" s="378" t="s">
        <v>476</v>
      </c>
      <c r="L1387" s="378" t="s">
        <v>165</v>
      </c>
      <c r="M1387" s="380">
        <v>2400</v>
      </c>
      <c r="N1387" s="380" t="s">
        <v>443</v>
      </c>
      <c r="O1387" s="380" t="s">
        <v>443</v>
      </c>
      <c r="P1387" s="380" t="s">
        <v>443</v>
      </c>
      <c r="Q1387" s="381">
        <v>375</v>
      </c>
      <c r="R1387" s="381">
        <v>0</v>
      </c>
      <c r="S1387" s="381">
        <v>0</v>
      </c>
      <c r="T1387" s="381">
        <v>0</v>
      </c>
      <c r="U1387" s="381">
        <v>0</v>
      </c>
      <c r="V1387" s="382">
        <v>375</v>
      </c>
      <c r="W1387" s="382">
        <v>0</v>
      </c>
      <c r="X1387" s="381">
        <v>0.15625</v>
      </c>
      <c r="Y1387" s="381">
        <v>0</v>
      </c>
      <c r="Z1387" s="381">
        <v>0</v>
      </c>
      <c r="AA1387" s="381">
        <v>0</v>
      </c>
      <c r="AB1387" s="381">
        <v>0</v>
      </c>
      <c r="AC1387" s="382">
        <v>0.15625</v>
      </c>
      <c r="AD1387" s="382">
        <v>0</v>
      </c>
      <c r="AE1387" s="381" t="s">
        <v>444</v>
      </c>
    </row>
    <row r="1388" spans="1:31" ht="15" customHeight="1" x14ac:dyDescent="0.25">
      <c r="A1388" s="20" t="s">
        <v>156</v>
      </c>
      <c r="B1388" s="20" t="s">
        <v>1450</v>
      </c>
      <c r="C1388" s="20" t="s">
        <v>1451</v>
      </c>
      <c r="D1388" s="378" t="s">
        <v>1874</v>
      </c>
      <c r="E1388" s="384">
        <v>44613</v>
      </c>
      <c r="F1388" s="384">
        <v>46439</v>
      </c>
      <c r="G1388" s="378" t="s">
        <v>439</v>
      </c>
      <c r="H1388" s="20" t="s">
        <v>455</v>
      </c>
      <c r="I1388" s="378" t="s">
        <v>162</v>
      </c>
      <c r="J1388" s="20" t="s">
        <v>163</v>
      </c>
      <c r="K1388" s="378" t="s">
        <v>476</v>
      </c>
      <c r="L1388" s="378" t="s">
        <v>165</v>
      </c>
      <c r="M1388" s="380">
        <v>2400</v>
      </c>
      <c r="N1388" s="380" t="s">
        <v>443</v>
      </c>
      <c r="O1388" s="380" t="s">
        <v>443</v>
      </c>
      <c r="P1388" s="380" t="s">
        <v>443</v>
      </c>
      <c r="Q1388" s="381">
        <v>289</v>
      </c>
      <c r="R1388" s="381">
        <v>0</v>
      </c>
      <c r="S1388" s="381">
        <v>0</v>
      </c>
      <c r="T1388" s="381">
        <v>0</v>
      </c>
      <c r="U1388" s="381">
        <v>0</v>
      </c>
      <c r="V1388" s="382">
        <v>289</v>
      </c>
      <c r="W1388" s="382">
        <v>0</v>
      </c>
      <c r="X1388" s="381">
        <v>0.12041666666666667</v>
      </c>
      <c r="Y1388" s="381">
        <v>0</v>
      </c>
      <c r="Z1388" s="381">
        <v>0</v>
      </c>
      <c r="AA1388" s="381">
        <v>0</v>
      </c>
      <c r="AB1388" s="381">
        <v>0</v>
      </c>
      <c r="AC1388" s="382">
        <v>0.12041666666666667</v>
      </c>
      <c r="AD1388" s="382">
        <v>0</v>
      </c>
      <c r="AE1388" s="381" t="s">
        <v>444</v>
      </c>
    </row>
    <row r="1389" spans="1:31" ht="15" customHeight="1" x14ac:dyDescent="0.25">
      <c r="A1389" s="20" t="s">
        <v>156</v>
      </c>
      <c r="B1389" s="20" t="s">
        <v>1450</v>
      </c>
      <c r="C1389" s="20" t="s">
        <v>1451</v>
      </c>
      <c r="D1389" s="378" t="s">
        <v>1875</v>
      </c>
      <c r="E1389" s="384">
        <v>44613</v>
      </c>
      <c r="F1389" s="384">
        <v>46439</v>
      </c>
      <c r="G1389" s="378" t="s">
        <v>439</v>
      </c>
      <c r="H1389" s="20" t="s">
        <v>455</v>
      </c>
      <c r="I1389" s="378" t="s">
        <v>162</v>
      </c>
      <c r="J1389" s="20" t="s">
        <v>163</v>
      </c>
      <c r="K1389" s="378" t="s">
        <v>476</v>
      </c>
      <c r="L1389" s="378" t="s">
        <v>165</v>
      </c>
      <c r="M1389" s="380">
        <v>2400</v>
      </c>
      <c r="N1389" s="380" t="s">
        <v>443</v>
      </c>
      <c r="O1389" s="380" t="s">
        <v>443</v>
      </c>
      <c r="P1389" s="380" t="s">
        <v>443</v>
      </c>
      <c r="Q1389" s="381">
        <v>384</v>
      </c>
      <c r="R1389" s="381">
        <v>0</v>
      </c>
      <c r="S1389" s="381">
        <v>0</v>
      </c>
      <c r="T1389" s="381">
        <v>0</v>
      </c>
      <c r="U1389" s="381">
        <v>0</v>
      </c>
      <c r="V1389" s="382">
        <v>384</v>
      </c>
      <c r="W1389" s="382">
        <v>0</v>
      </c>
      <c r="X1389" s="381">
        <v>0.16</v>
      </c>
      <c r="Y1389" s="381">
        <v>0</v>
      </c>
      <c r="Z1389" s="381">
        <v>0</v>
      </c>
      <c r="AA1389" s="381">
        <v>0</v>
      </c>
      <c r="AB1389" s="381">
        <v>0</v>
      </c>
      <c r="AC1389" s="382">
        <v>0.16</v>
      </c>
      <c r="AD1389" s="382">
        <v>0</v>
      </c>
      <c r="AE1389" s="381" t="s">
        <v>444</v>
      </c>
    </row>
    <row r="1390" spans="1:31" ht="15" customHeight="1" x14ac:dyDescent="0.25">
      <c r="A1390" s="20" t="s">
        <v>156</v>
      </c>
      <c r="B1390" s="20" t="s">
        <v>1450</v>
      </c>
      <c r="C1390" s="20" t="s">
        <v>1451</v>
      </c>
      <c r="D1390" s="378" t="s">
        <v>1876</v>
      </c>
      <c r="E1390" s="384">
        <v>44613</v>
      </c>
      <c r="F1390" s="384">
        <v>46439</v>
      </c>
      <c r="G1390" s="378" t="s">
        <v>439</v>
      </c>
      <c r="H1390" s="20" t="s">
        <v>455</v>
      </c>
      <c r="I1390" s="378" t="s">
        <v>162</v>
      </c>
      <c r="J1390" s="20" t="s">
        <v>163</v>
      </c>
      <c r="K1390" s="378" t="s">
        <v>476</v>
      </c>
      <c r="L1390" s="378" t="s">
        <v>165</v>
      </c>
      <c r="M1390" s="380">
        <v>2400</v>
      </c>
      <c r="N1390" s="380" t="s">
        <v>443</v>
      </c>
      <c r="O1390" s="380" t="s">
        <v>443</v>
      </c>
      <c r="P1390" s="380" t="s">
        <v>443</v>
      </c>
      <c r="Q1390" s="381">
        <v>355</v>
      </c>
      <c r="R1390" s="381">
        <v>0</v>
      </c>
      <c r="S1390" s="381">
        <v>0</v>
      </c>
      <c r="T1390" s="381">
        <v>0</v>
      </c>
      <c r="U1390" s="381">
        <v>0</v>
      </c>
      <c r="V1390" s="382">
        <v>355</v>
      </c>
      <c r="W1390" s="382">
        <v>0</v>
      </c>
      <c r="X1390" s="381">
        <v>0.14791666666666667</v>
      </c>
      <c r="Y1390" s="381">
        <v>0</v>
      </c>
      <c r="Z1390" s="381">
        <v>0</v>
      </c>
      <c r="AA1390" s="381">
        <v>0</v>
      </c>
      <c r="AB1390" s="381">
        <v>0</v>
      </c>
      <c r="AC1390" s="382">
        <v>0.14791666666666667</v>
      </c>
      <c r="AD1390" s="382">
        <v>0</v>
      </c>
      <c r="AE1390" s="381" t="s">
        <v>444</v>
      </c>
    </row>
    <row r="1391" spans="1:31" ht="15" customHeight="1" x14ac:dyDescent="0.25">
      <c r="A1391" s="20" t="s">
        <v>156</v>
      </c>
      <c r="B1391" s="20" t="s">
        <v>1450</v>
      </c>
      <c r="C1391" s="20" t="s">
        <v>1451</v>
      </c>
      <c r="D1391" s="378" t="s">
        <v>1877</v>
      </c>
      <c r="E1391" s="384">
        <v>44613</v>
      </c>
      <c r="F1391" s="384">
        <v>46439</v>
      </c>
      <c r="G1391" s="378" t="s">
        <v>439</v>
      </c>
      <c r="H1391" s="20" t="s">
        <v>455</v>
      </c>
      <c r="I1391" s="378" t="s">
        <v>162</v>
      </c>
      <c r="J1391" s="20" t="s">
        <v>163</v>
      </c>
      <c r="K1391" s="378" t="s">
        <v>476</v>
      </c>
      <c r="L1391" s="378" t="s">
        <v>165</v>
      </c>
      <c r="M1391" s="380">
        <v>2400</v>
      </c>
      <c r="N1391" s="380" t="s">
        <v>443</v>
      </c>
      <c r="O1391" s="380" t="s">
        <v>443</v>
      </c>
      <c r="P1391" s="380" t="s">
        <v>443</v>
      </c>
      <c r="Q1391" s="381">
        <v>341</v>
      </c>
      <c r="R1391" s="381">
        <v>0</v>
      </c>
      <c r="S1391" s="381">
        <v>0</v>
      </c>
      <c r="T1391" s="381">
        <v>0</v>
      </c>
      <c r="U1391" s="381">
        <v>0</v>
      </c>
      <c r="V1391" s="382">
        <v>341</v>
      </c>
      <c r="W1391" s="382">
        <v>0</v>
      </c>
      <c r="X1391" s="381">
        <v>0.14208333333333334</v>
      </c>
      <c r="Y1391" s="381">
        <v>0</v>
      </c>
      <c r="Z1391" s="381">
        <v>0</v>
      </c>
      <c r="AA1391" s="381">
        <v>0</v>
      </c>
      <c r="AB1391" s="381">
        <v>0</v>
      </c>
      <c r="AC1391" s="382">
        <v>0.14208333333333334</v>
      </c>
      <c r="AD1391" s="382">
        <v>0</v>
      </c>
      <c r="AE1391" s="381" t="s">
        <v>444</v>
      </c>
    </row>
    <row r="1392" spans="1:31" ht="15" customHeight="1" x14ac:dyDescent="0.25">
      <c r="A1392" s="20" t="s">
        <v>156</v>
      </c>
      <c r="B1392" s="20" t="s">
        <v>1450</v>
      </c>
      <c r="C1392" s="20" t="s">
        <v>1451</v>
      </c>
      <c r="D1392" s="378" t="s">
        <v>1878</v>
      </c>
      <c r="E1392" s="384">
        <v>44613</v>
      </c>
      <c r="F1392" s="384">
        <v>46439</v>
      </c>
      <c r="G1392" s="378" t="s">
        <v>439</v>
      </c>
      <c r="H1392" s="20" t="s">
        <v>455</v>
      </c>
      <c r="I1392" s="378" t="s">
        <v>162</v>
      </c>
      <c r="J1392" s="20" t="s">
        <v>163</v>
      </c>
      <c r="K1392" s="378" t="s">
        <v>476</v>
      </c>
      <c r="L1392" s="378" t="s">
        <v>165</v>
      </c>
      <c r="M1392" s="380">
        <v>2400</v>
      </c>
      <c r="N1392" s="380" t="s">
        <v>443</v>
      </c>
      <c r="O1392" s="380" t="s">
        <v>443</v>
      </c>
      <c r="P1392" s="380" t="s">
        <v>443</v>
      </c>
      <c r="Q1392" s="381">
        <v>357</v>
      </c>
      <c r="R1392" s="381">
        <v>0</v>
      </c>
      <c r="S1392" s="381">
        <v>0</v>
      </c>
      <c r="T1392" s="381">
        <v>0</v>
      </c>
      <c r="U1392" s="381">
        <v>0</v>
      </c>
      <c r="V1392" s="382">
        <v>357</v>
      </c>
      <c r="W1392" s="382">
        <v>0</v>
      </c>
      <c r="X1392" s="381">
        <v>0.14874999999999999</v>
      </c>
      <c r="Y1392" s="381">
        <v>0</v>
      </c>
      <c r="Z1392" s="381">
        <v>0</v>
      </c>
      <c r="AA1392" s="381">
        <v>0</v>
      </c>
      <c r="AB1392" s="381">
        <v>0</v>
      </c>
      <c r="AC1392" s="382">
        <v>0.14874999999999999</v>
      </c>
      <c r="AD1392" s="382">
        <v>0</v>
      </c>
      <c r="AE1392" s="381" t="s">
        <v>444</v>
      </c>
    </row>
    <row r="1393" spans="1:31" ht="15" customHeight="1" x14ac:dyDescent="0.25">
      <c r="A1393" s="20" t="s">
        <v>156</v>
      </c>
      <c r="B1393" s="20" t="s">
        <v>1450</v>
      </c>
      <c r="C1393" s="20" t="s">
        <v>1451</v>
      </c>
      <c r="D1393" s="378" t="s">
        <v>1879</v>
      </c>
      <c r="E1393" s="384">
        <v>44613</v>
      </c>
      <c r="F1393" s="384">
        <v>46439</v>
      </c>
      <c r="G1393" s="378" t="s">
        <v>439</v>
      </c>
      <c r="H1393" s="20" t="s">
        <v>455</v>
      </c>
      <c r="I1393" s="378" t="s">
        <v>162</v>
      </c>
      <c r="J1393" s="20" t="s">
        <v>163</v>
      </c>
      <c r="K1393" s="378" t="s">
        <v>476</v>
      </c>
      <c r="L1393" s="378" t="s">
        <v>165</v>
      </c>
      <c r="M1393" s="380">
        <v>2400</v>
      </c>
      <c r="N1393" s="380" t="s">
        <v>443</v>
      </c>
      <c r="O1393" s="380" t="s">
        <v>443</v>
      </c>
      <c r="P1393" s="380" t="s">
        <v>443</v>
      </c>
      <c r="Q1393" s="381">
        <v>278</v>
      </c>
      <c r="R1393" s="381">
        <v>0</v>
      </c>
      <c r="S1393" s="381">
        <v>0</v>
      </c>
      <c r="T1393" s="381">
        <v>0</v>
      </c>
      <c r="U1393" s="381">
        <v>0</v>
      </c>
      <c r="V1393" s="382">
        <v>278</v>
      </c>
      <c r="W1393" s="382">
        <v>0</v>
      </c>
      <c r="X1393" s="381">
        <v>0.11583333333333333</v>
      </c>
      <c r="Y1393" s="381">
        <v>0</v>
      </c>
      <c r="Z1393" s="381">
        <v>0</v>
      </c>
      <c r="AA1393" s="381">
        <v>0</v>
      </c>
      <c r="AB1393" s="381">
        <v>0</v>
      </c>
      <c r="AC1393" s="382">
        <v>0.11583333333333333</v>
      </c>
      <c r="AD1393" s="382">
        <v>0</v>
      </c>
      <c r="AE1393" s="381" t="s">
        <v>444</v>
      </c>
    </row>
    <row r="1394" spans="1:31" ht="15" customHeight="1" x14ac:dyDescent="0.25">
      <c r="A1394" s="20" t="s">
        <v>156</v>
      </c>
      <c r="B1394" s="20" t="s">
        <v>1450</v>
      </c>
      <c r="C1394" s="20" t="s">
        <v>1451</v>
      </c>
      <c r="D1394" s="378" t="s">
        <v>1880</v>
      </c>
      <c r="E1394" s="384">
        <v>44613</v>
      </c>
      <c r="F1394" s="384">
        <v>46439</v>
      </c>
      <c r="G1394" s="378" t="s">
        <v>439</v>
      </c>
      <c r="H1394" s="20" t="s">
        <v>455</v>
      </c>
      <c r="I1394" s="378" t="s">
        <v>162</v>
      </c>
      <c r="J1394" s="20" t="s">
        <v>163</v>
      </c>
      <c r="K1394" s="378" t="s">
        <v>476</v>
      </c>
      <c r="L1394" s="378" t="s">
        <v>165</v>
      </c>
      <c r="M1394" s="380">
        <v>2400</v>
      </c>
      <c r="N1394" s="380" t="s">
        <v>443</v>
      </c>
      <c r="O1394" s="380" t="s">
        <v>443</v>
      </c>
      <c r="P1394" s="380" t="s">
        <v>443</v>
      </c>
      <c r="Q1394" s="381">
        <v>280</v>
      </c>
      <c r="R1394" s="381">
        <v>0</v>
      </c>
      <c r="S1394" s="381">
        <v>0</v>
      </c>
      <c r="T1394" s="381">
        <v>0</v>
      </c>
      <c r="U1394" s="381">
        <v>0</v>
      </c>
      <c r="V1394" s="382">
        <v>280</v>
      </c>
      <c r="W1394" s="382">
        <v>0</v>
      </c>
      <c r="X1394" s="381">
        <v>0.11666666666666667</v>
      </c>
      <c r="Y1394" s="381">
        <v>0</v>
      </c>
      <c r="Z1394" s="381">
        <v>0</v>
      </c>
      <c r="AA1394" s="381">
        <v>0</v>
      </c>
      <c r="AB1394" s="381">
        <v>0</v>
      </c>
      <c r="AC1394" s="382">
        <v>0.11666666666666667</v>
      </c>
      <c r="AD1394" s="382">
        <v>0</v>
      </c>
      <c r="AE1394" s="381" t="s">
        <v>444</v>
      </c>
    </row>
    <row r="1395" spans="1:31" ht="15" customHeight="1" x14ac:dyDescent="0.25">
      <c r="A1395" s="20" t="s">
        <v>156</v>
      </c>
      <c r="B1395" s="20" t="s">
        <v>1450</v>
      </c>
      <c r="C1395" s="20" t="s">
        <v>1451</v>
      </c>
      <c r="D1395" s="378" t="s">
        <v>1881</v>
      </c>
      <c r="E1395" s="384">
        <v>44613</v>
      </c>
      <c r="F1395" s="384">
        <v>46439</v>
      </c>
      <c r="G1395" s="378" t="s">
        <v>439</v>
      </c>
      <c r="H1395" s="20" t="s">
        <v>455</v>
      </c>
      <c r="I1395" s="378" t="s">
        <v>162</v>
      </c>
      <c r="J1395" s="20" t="s">
        <v>163</v>
      </c>
      <c r="K1395" s="378" t="s">
        <v>476</v>
      </c>
      <c r="L1395" s="378" t="s">
        <v>165</v>
      </c>
      <c r="M1395" s="380">
        <v>2400</v>
      </c>
      <c r="N1395" s="380" t="s">
        <v>443</v>
      </c>
      <c r="O1395" s="380" t="s">
        <v>443</v>
      </c>
      <c r="P1395" s="380" t="s">
        <v>443</v>
      </c>
      <c r="Q1395" s="381">
        <v>323</v>
      </c>
      <c r="R1395" s="381">
        <v>0</v>
      </c>
      <c r="S1395" s="381">
        <v>0</v>
      </c>
      <c r="T1395" s="381">
        <v>0</v>
      </c>
      <c r="U1395" s="381">
        <v>0</v>
      </c>
      <c r="V1395" s="382">
        <v>323</v>
      </c>
      <c r="W1395" s="382">
        <v>0</v>
      </c>
      <c r="X1395" s="381">
        <v>0.13458333333333333</v>
      </c>
      <c r="Y1395" s="381">
        <v>0</v>
      </c>
      <c r="Z1395" s="381">
        <v>0</v>
      </c>
      <c r="AA1395" s="381">
        <v>0</v>
      </c>
      <c r="AB1395" s="381">
        <v>0</v>
      </c>
      <c r="AC1395" s="382">
        <v>0.13458333333333333</v>
      </c>
      <c r="AD1395" s="382">
        <v>0</v>
      </c>
      <c r="AE1395" s="381" t="s">
        <v>444</v>
      </c>
    </row>
    <row r="1396" spans="1:31" ht="15" customHeight="1" x14ac:dyDescent="0.25">
      <c r="A1396" s="20" t="s">
        <v>156</v>
      </c>
      <c r="B1396" s="20" t="s">
        <v>1450</v>
      </c>
      <c r="C1396" s="20" t="s">
        <v>1451</v>
      </c>
      <c r="D1396" s="378" t="s">
        <v>1882</v>
      </c>
      <c r="E1396" s="384">
        <v>44613</v>
      </c>
      <c r="F1396" s="384">
        <v>46439</v>
      </c>
      <c r="G1396" s="378" t="s">
        <v>439</v>
      </c>
      <c r="H1396" s="20" t="s">
        <v>455</v>
      </c>
      <c r="I1396" s="378" t="s">
        <v>162</v>
      </c>
      <c r="J1396" s="20" t="s">
        <v>163</v>
      </c>
      <c r="K1396" s="378" t="s">
        <v>476</v>
      </c>
      <c r="L1396" s="378" t="s">
        <v>165</v>
      </c>
      <c r="M1396" s="380">
        <v>2400</v>
      </c>
      <c r="N1396" s="380" t="s">
        <v>443</v>
      </c>
      <c r="O1396" s="380" t="s">
        <v>443</v>
      </c>
      <c r="P1396" s="380" t="s">
        <v>443</v>
      </c>
      <c r="Q1396" s="381">
        <v>415</v>
      </c>
      <c r="R1396" s="381">
        <v>0</v>
      </c>
      <c r="S1396" s="381">
        <v>0</v>
      </c>
      <c r="T1396" s="381">
        <v>0</v>
      </c>
      <c r="U1396" s="381">
        <v>0</v>
      </c>
      <c r="V1396" s="382">
        <v>415</v>
      </c>
      <c r="W1396" s="382">
        <v>0</v>
      </c>
      <c r="X1396" s="381">
        <v>0.17291666666666666</v>
      </c>
      <c r="Y1396" s="381">
        <v>0</v>
      </c>
      <c r="Z1396" s="381">
        <v>0</v>
      </c>
      <c r="AA1396" s="381">
        <v>0</v>
      </c>
      <c r="AB1396" s="381">
        <v>0</v>
      </c>
      <c r="AC1396" s="382">
        <v>0.17291666666666666</v>
      </c>
      <c r="AD1396" s="382">
        <v>0</v>
      </c>
      <c r="AE1396" s="381" t="s">
        <v>444</v>
      </c>
    </row>
    <row r="1397" spans="1:31" ht="15" customHeight="1" x14ac:dyDescent="0.25">
      <c r="A1397" s="20" t="s">
        <v>156</v>
      </c>
      <c r="B1397" s="20" t="s">
        <v>1450</v>
      </c>
      <c r="C1397" s="20" t="s">
        <v>1451</v>
      </c>
      <c r="D1397" s="378" t="s">
        <v>1883</v>
      </c>
      <c r="E1397" s="384">
        <v>44613</v>
      </c>
      <c r="F1397" s="384">
        <v>46439</v>
      </c>
      <c r="G1397" s="378" t="s">
        <v>439</v>
      </c>
      <c r="H1397" s="20" t="s">
        <v>455</v>
      </c>
      <c r="I1397" s="378" t="s">
        <v>162</v>
      </c>
      <c r="J1397" s="20" t="s">
        <v>163</v>
      </c>
      <c r="K1397" s="378" t="s">
        <v>476</v>
      </c>
      <c r="L1397" s="378" t="s">
        <v>165</v>
      </c>
      <c r="M1397" s="380">
        <v>2400</v>
      </c>
      <c r="N1397" s="380" t="s">
        <v>443</v>
      </c>
      <c r="O1397" s="380" t="s">
        <v>443</v>
      </c>
      <c r="P1397" s="380" t="s">
        <v>443</v>
      </c>
      <c r="Q1397" s="381">
        <v>349</v>
      </c>
      <c r="R1397" s="381">
        <v>0</v>
      </c>
      <c r="S1397" s="381">
        <v>0</v>
      </c>
      <c r="T1397" s="381">
        <v>0</v>
      </c>
      <c r="U1397" s="381">
        <v>0</v>
      </c>
      <c r="V1397" s="382">
        <v>349</v>
      </c>
      <c r="W1397" s="382">
        <v>0</v>
      </c>
      <c r="X1397" s="381">
        <v>0.14541666666666667</v>
      </c>
      <c r="Y1397" s="381">
        <v>0</v>
      </c>
      <c r="Z1397" s="381">
        <v>0</v>
      </c>
      <c r="AA1397" s="381">
        <v>0</v>
      </c>
      <c r="AB1397" s="381">
        <v>0</v>
      </c>
      <c r="AC1397" s="382">
        <v>0.14541666666666667</v>
      </c>
      <c r="AD1397" s="382">
        <v>0</v>
      </c>
      <c r="AE1397" s="381" t="s">
        <v>444</v>
      </c>
    </row>
    <row r="1398" spans="1:31" ht="15" customHeight="1" x14ac:dyDescent="0.25">
      <c r="A1398" s="20" t="s">
        <v>156</v>
      </c>
      <c r="B1398" s="20" t="s">
        <v>1450</v>
      </c>
      <c r="C1398" s="20" t="s">
        <v>1451</v>
      </c>
      <c r="D1398" s="378" t="s">
        <v>1884</v>
      </c>
      <c r="E1398" s="384">
        <v>44613</v>
      </c>
      <c r="F1398" s="384">
        <v>46439</v>
      </c>
      <c r="G1398" s="378" t="s">
        <v>439</v>
      </c>
      <c r="H1398" s="20" t="s">
        <v>455</v>
      </c>
      <c r="I1398" s="378" t="s">
        <v>162</v>
      </c>
      <c r="J1398" s="20" t="s">
        <v>163</v>
      </c>
      <c r="K1398" s="378" t="s">
        <v>476</v>
      </c>
      <c r="L1398" s="378" t="s">
        <v>165</v>
      </c>
      <c r="M1398" s="380">
        <v>2400</v>
      </c>
      <c r="N1398" s="380" t="s">
        <v>443</v>
      </c>
      <c r="O1398" s="380" t="s">
        <v>443</v>
      </c>
      <c r="P1398" s="380" t="s">
        <v>443</v>
      </c>
      <c r="Q1398" s="381">
        <v>318</v>
      </c>
      <c r="R1398" s="381">
        <v>0</v>
      </c>
      <c r="S1398" s="381">
        <v>0</v>
      </c>
      <c r="T1398" s="381">
        <v>0</v>
      </c>
      <c r="U1398" s="381">
        <v>0</v>
      </c>
      <c r="V1398" s="382">
        <v>318</v>
      </c>
      <c r="W1398" s="382">
        <v>0</v>
      </c>
      <c r="X1398" s="381">
        <v>0.13250000000000001</v>
      </c>
      <c r="Y1398" s="381">
        <v>0</v>
      </c>
      <c r="Z1398" s="381">
        <v>0</v>
      </c>
      <c r="AA1398" s="381">
        <v>0</v>
      </c>
      <c r="AB1398" s="381">
        <v>0</v>
      </c>
      <c r="AC1398" s="382">
        <v>0.13250000000000001</v>
      </c>
      <c r="AD1398" s="382">
        <v>0</v>
      </c>
      <c r="AE1398" s="381" t="s">
        <v>444</v>
      </c>
    </row>
    <row r="1399" spans="1:31" ht="15" customHeight="1" x14ac:dyDescent="0.25">
      <c r="A1399" s="20" t="s">
        <v>156</v>
      </c>
      <c r="B1399" s="20" t="s">
        <v>1450</v>
      </c>
      <c r="C1399" s="20" t="s">
        <v>1451</v>
      </c>
      <c r="D1399" s="378" t="s">
        <v>1885</v>
      </c>
      <c r="E1399" s="384">
        <v>44613</v>
      </c>
      <c r="F1399" s="384">
        <v>46439</v>
      </c>
      <c r="G1399" s="378" t="s">
        <v>439</v>
      </c>
      <c r="H1399" s="20" t="s">
        <v>455</v>
      </c>
      <c r="I1399" s="378" t="s">
        <v>162</v>
      </c>
      <c r="J1399" s="20" t="s">
        <v>163</v>
      </c>
      <c r="K1399" s="378" t="s">
        <v>476</v>
      </c>
      <c r="L1399" s="378" t="s">
        <v>165</v>
      </c>
      <c r="M1399" s="380">
        <v>2400</v>
      </c>
      <c r="N1399" s="380" t="s">
        <v>443</v>
      </c>
      <c r="O1399" s="380" t="s">
        <v>443</v>
      </c>
      <c r="P1399" s="380" t="s">
        <v>443</v>
      </c>
      <c r="Q1399" s="381">
        <v>407</v>
      </c>
      <c r="R1399" s="381">
        <v>0</v>
      </c>
      <c r="S1399" s="381">
        <v>0</v>
      </c>
      <c r="T1399" s="381">
        <v>0</v>
      </c>
      <c r="U1399" s="381">
        <v>0</v>
      </c>
      <c r="V1399" s="382">
        <v>407</v>
      </c>
      <c r="W1399" s="382">
        <v>0</v>
      </c>
      <c r="X1399" s="381">
        <v>0.16958333333333334</v>
      </c>
      <c r="Y1399" s="381">
        <v>0</v>
      </c>
      <c r="Z1399" s="381">
        <v>0</v>
      </c>
      <c r="AA1399" s="381">
        <v>0</v>
      </c>
      <c r="AB1399" s="381">
        <v>0</v>
      </c>
      <c r="AC1399" s="382">
        <v>0.16958333333333334</v>
      </c>
      <c r="AD1399" s="382">
        <v>0</v>
      </c>
      <c r="AE1399" s="381" t="s">
        <v>444</v>
      </c>
    </row>
    <row r="1400" spans="1:31" ht="15" customHeight="1" x14ac:dyDescent="0.25">
      <c r="A1400" s="20" t="s">
        <v>156</v>
      </c>
      <c r="B1400" s="20" t="s">
        <v>1450</v>
      </c>
      <c r="C1400" s="20" t="s">
        <v>1451</v>
      </c>
      <c r="D1400" s="378" t="s">
        <v>1886</v>
      </c>
      <c r="E1400" s="384">
        <v>44613</v>
      </c>
      <c r="F1400" s="384">
        <v>46439</v>
      </c>
      <c r="G1400" s="378" t="s">
        <v>439</v>
      </c>
      <c r="H1400" s="20" t="s">
        <v>455</v>
      </c>
      <c r="I1400" s="378" t="s">
        <v>162</v>
      </c>
      <c r="J1400" s="20" t="s">
        <v>163</v>
      </c>
      <c r="K1400" s="378" t="s">
        <v>476</v>
      </c>
      <c r="L1400" s="378" t="s">
        <v>165</v>
      </c>
      <c r="M1400" s="380">
        <v>2400</v>
      </c>
      <c r="N1400" s="380" t="s">
        <v>443</v>
      </c>
      <c r="O1400" s="380" t="s">
        <v>443</v>
      </c>
      <c r="P1400" s="380" t="s">
        <v>443</v>
      </c>
      <c r="Q1400" s="381">
        <v>392</v>
      </c>
      <c r="R1400" s="381">
        <v>0</v>
      </c>
      <c r="S1400" s="381">
        <v>0</v>
      </c>
      <c r="T1400" s="381">
        <v>0</v>
      </c>
      <c r="U1400" s="381">
        <v>0</v>
      </c>
      <c r="V1400" s="382">
        <v>392</v>
      </c>
      <c r="W1400" s="382">
        <v>0</v>
      </c>
      <c r="X1400" s="381">
        <v>0.16333333333333333</v>
      </c>
      <c r="Y1400" s="381">
        <v>0</v>
      </c>
      <c r="Z1400" s="381">
        <v>0</v>
      </c>
      <c r="AA1400" s="381">
        <v>0</v>
      </c>
      <c r="AB1400" s="381">
        <v>0</v>
      </c>
      <c r="AC1400" s="382">
        <v>0.16333333333333333</v>
      </c>
      <c r="AD1400" s="382">
        <v>0</v>
      </c>
      <c r="AE1400" s="381" t="s">
        <v>444</v>
      </c>
    </row>
    <row r="1401" spans="1:31" ht="15" customHeight="1" x14ac:dyDescent="0.25">
      <c r="A1401" s="20" t="s">
        <v>156</v>
      </c>
      <c r="B1401" s="20" t="s">
        <v>1450</v>
      </c>
      <c r="C1401" s="20" t="s">
        <v>1451</v>
      </c>
      <c r="D1401" s="378" t="s">
        <v>1887</v>
      </c>
      <c r="E1401" s="384">
        <v>44613</v>
      </c>
      <c r="F1401" s="384">
        <v>46439</v>
      </c>
      <c r="G1401" s="378" t="s">
        <v>439</v>
      </c>
      <c r="H1401" s="20" t="s">
        <v>455</v>
      </c>
      <c r="I1401" s="378" t="s">
        <v>162</v>
      </c>
      <c r="J1401" s="20" t="s">
        <v>163</v>
      </c>
      <c r="K1401" s="378" t="s">
        <v>476</v>
      </c>
      <c r="L1401" s="378" t="s">
        <v>165</v>
      </c>
      <c r="M1401" s="380">
        <v>2400</v>
      </c>
      <c r="N1401" s="380" t="s">
        <v>443</v>
      </c>
      <c r="O1401" s="380" t="s">
        <v>443</v>
      </c>
      <c r="P1401" s="380" t="s">
        <v>443</v>
      </c>
      <c r="Q1401" s="381">
        <v>439</v>
      </c>
      <c r="R1401" s="381">
        <v>0</v>
      </c>
      <c r="S1401" s="381">
        <v>0</v>
      </c>
      <c r="T1401" s="381">
        <v>0</v>
      </c>
      <c r="U1401" s="381">
        <v>0</v>
      </c>
      <c r="V1401" s="382">
        <v>439</v>
      </c>
      <c r="W1401" s="382">
        <v>0</v>
      </c>
      <c r="X1401" s="381">
        <v>0.18291666666666667</v>
      </c>
      <c r="Y1401" s="381">
        <v>0</v>
      </c>
      <c r="Z1401" s="381">
        <v>0</v>
      </c>
      <c r="AA1401" s="381">
        <v>0</v>
      </c>
      <c r="AB1401" s="381">
        <v>0</v>
      </c>
      <c r="AC1401" s="382">
        <v>0.18291666666666667</v>
      </c>
      <c r="AD1401" s="382">
        <v>0</v>
      </c>
      <c r="AE1401" s="381" t="s">
        <v>444</v>
      </c>
    </row>
    <row r="1402" spans="1:31" ht="15" customHeight="1" x14ac:dyDescent="0.25">
      <c r="A1402" s="20" t="s">
        <v>156</v>
      </c>
      <c r="B1402" s="20" t="s">
        <v>1450</v>
      </c>
      <c r="C1402" s="20" t="s">
        <v>1451</v>
      </c>
      <c r="D1402" s="378" t="s">
        <v>1888</v>
      </c>
      <c r="E1402" s="384">
        <v>45292</v>
      </c>
      <c r="F1402" s="384">
        <v>47119</v>
      </c>
      <c r="G1402" s="378" t="s">
        <v>439</v>
      </c>
      <c r="H1402" s="20" t="s">
        <v>1889</v>
      </c>
      <c r="I1402" s="378" t="s">
        <v>441</v>
      </c>
      <c r="J1402" s="20" t="s">
        <v>163</v>
      </c>
      <c r="K1402" s="378" t="s">
        <v>1890</v>
      </c>
      <c r="L1402" s="378" t="s">
        <v>165</v>
      </c>
      <c r="M1402" s="380" t="s">
        <v>488</v>
      </c>
      <c r="N1402" s="380" t="s">
        <v>443</v>
      </c>
      <c r="O1402" s="380" t="s">
        <v>443</v>
      </c>
      <c r="P1402" s="380" t="s">
        <v>443</v>
      </c>
      <c r="Q1402" s="381">
        <v>499.88830000000002</v>
      </c>
      <c r="R1402" s="381">
        <v>491.46400999999997</v>
      </c>
      <c r="S1402" s="381">
        <v>8.4242556000000004</v>
      </c>
      <c r="T1402" s="381">
        <v>3.4801487E-5</v>
      </c>
      <c r="U1402" s="381">
        <v>0</v>
      </c>
      <c r="V1402" s="382">
        <v>499.88830040148696</v>
      </c>
      <c r="W1402" s="382">
        <v>0</v>
      </c>
      <c r="X1402" s="381">
        <v>0.20828679166666667</v>
      </c>
      <c r="Y1402" s="381">
        <v>0.20477667083333331</v>
      </c>
      <c r="Z1402" s="381">
        <v>3.5101065E-3</v>
      </c>
      <c r="AA1402" s="381">
        <v>1.4500619583333333E-8</v>
      </c>
      <c r="AB1402" s="381">
        <v>0</v>
      </c>
      <c r="AC1402" s="382">
        <v>0.20828679183395291</v>
      </c>
      <c r="AD1402" s="382">
        <v>0</v>
      </c>
      <c r="AE1402" s="381" t="s">
        <v>444</v>
      </c>
    </row>
    <row r="1403" spans="1:31" ht="15" customHeight="1" x14ac:dyDescent="0.25">
      <c r="A1403" s="20" t="s">
        <v>156</v>
      </c>
      <c r="B1403" s="20" t="s">
        <v>1450</v>
      </c>
      <c r="C1403" s="20" t="s">
        <v>1451</v>
      </c>
      <c r="D1403" s="378" t="s">
        <v>1891</v>
      </c>
      <c r="E1403" s="384">
        <v>45292</v>
      </c>
      <c r="F1403" s="384">
        <v>47119</v>
      </c>
      <c r="G1403" s="378" t="s">
        <v>439</v>
      </c>
      <c r="H1403" s="20" t="s">
        <v>1892</v>
      </c>
      <c r="I1403" s="378" t="s">
        <v>441</v>
      </c>
      <c r="J1403" s="20" t="s">
        <v>163</v>
      </c>
      <c r="K1403" s="378" t="s">
        <v>1893</v>
      </c>
      <c r="L1403" s="378" t="s">
        <v>165</v>
      </c>
      <c r="M1403" s="380" t="s">
        <v>488</v>
      </c>
      <c r="N1403" s="380" t="s">
        <v>443</v>
      </c>
      <c r="O1403" s="380" t="s">
        <v>443</v>
      </c>
      <c r="P1403" s="380" t="s">
        <v>443</v>
      </c>
      <c r="Q1403" s="381">
        <v>388.20643000000001</v>
      </c>
      <c r="R1403" s="381">
        <v>381.68664999999999</v>
      </c>
      <c r="S1403" s="381">
        <v>6.4248358000000003</v>
      </c>
      <c r="T1403" s="381">
        <v>9.4950994999999996E-2</v>
      </c>
      <c r="U1403" s="381">
        <v>0</v>
      </c>
      <c r="V1403" s="382">
        <v>388.20643679499995</v>
      </c>
      <c r="W1403" s="382">
        <v>0</v>
      </c>
      <c r="X1403" s="381">
        <v>0.16175267916666666</v>
      </c>
      <c r="Y1403" s="381">
        <v>0.15903610416666666</v>
      </c>
      <c r="Z1403" s="381">
        <v>2.6770149166666667E-3</v>
      </c>
      <c r="AA1403" s="381">
        <v>3.9562914583333334E-5</v>
      </c>
      <c r="AB1403" s="381">
        <v>0</v>
      </c>
      <c r="AC1403" s="382">
        <v>0.16175268199791668</v>
      </c>
      <c r="AD1403" s="382">
        <v>0</v>
      </c>
      <c r="AE1403" s="381" t="s">
        <v>444</v>
      </c>
    </row>
    <row r="1404" spans="1:31" ht="15" customHeight="1" x14ac:dyDescent="0.25">
      <c r="A1404" s="20" t="s">
        <v>156</v>
      </c>
      <c r="B1404" s="20" t="s">
        <v>1450</v>
      </c>
      <c r="C1404" s="20" t="s">
        <v>1451</v>
      </c>
      <c r="D1404" s="378" t="s">
        <v>1894</v>
      </c>
      <c r="E1404" s="384">
        <v>45292</v>
      </c>
      <c r="F1404" s="384">
        <v>47119</v>
      </c>
      <c r="G1404" s="378" t="s">
        <v>439</v>
      </c>
      <c r="H1404" s="20" t="s">
        <v>1895</v>
      </c>
      <c r="I1404" s="378" t="s">
        <v>441</v>
      </c>
      <c r="J1404" s="20" t="s">
        <v>163</v>
      </c>
      <c r="K1404" s="378" t="s">
        <v>1896</v>
      </c>
      <c r="L1404" s="378" t="s">
        <v>165</v>
      </c>
      <c r="M1404" s="380" t="s">
        <v>488</v>
      </c>
      <c r="N1404" s="380" t="s">
        <v>443</v>
      </c>
      <c r="O1404" s="380" t="s">
        <v>443</v>
      </c>
      <c r="P1404" s="380" t="s">
        <v>443</v>
      </c>
      <c r="Q1404" s="381">
        <v>427.07288</v>
      </c>
      <c r="R1404" s="381">
        <v>421.08114</v>
      </c>
      <c r="S1404" s="381">
        <v>5.8818374000000002</v>
      </c>
      <c r="T1404" s="381">
        <v>0.10989793</v>
      </c>
      <c r="U1404" s="381">
        <v>0</v>
      </c>
      <c r="V1404" s="382">
        <v>427.07287532999999</v>
      </c>
      <c r="W1404" s="382">
        <v>0</v>
      </c>
      <c r="X1404" s="381">
        <v>0.17794703333333334</v>
      </c>
      <c r="Y1404" s="381">
        <v>0.17545047499999999</v>
      </c>
      <c r="Z1404" s="381">
        <v>2.4507655833333336E-3</v>
      </c>
      <c r="AA1404" s="381">
        <v>4.5790804166666668E-5</v>
      </c>
      <c r="AB1404" s="381">
        <v>0</v>
      </c>
      <c r="AC1404" s="382">
        <v>0.17794703138750001</v>
      </c>
      <c r="AD1404" s="382">
        <v>0</v>
      </c>
      <c r="AE1404" s="381" t="s">
        <v>444</v>
      </c>
    </row>
    <row r="1405" spans="1:31" ht="15" customHeight="1" x14ac:dyDescent="0.25">
      <c r="A1405" s="20" t="s">
        <v>156</v>
      </c>
      <c r="B1405" s="20" t="s">
        <v>1450</v>
      </c>
      <c r="C1405" s="20" t="s">
        <v>1451</v>
      </c>
      <c r="D1405" s="378" t="s">
        <v>1897</v>
      </c>
      <c r="E1405" s="384">
        <v>45292</v>
      </c>
      <c r="F1405" s="384">
        <v>47119</v>
      </c>
      <c r="G1405" s="378" t="s">
        <v>439</v>
      </c>
      <c r="H1405" s="20" t="s">
        <v>1898</v>
      </c>
      <c r="I1405" s="378" t="s">
        <v>441</v>
      </c>
      <c r="J1405" s="20" t="s">
        <v>163</v>
      </c>
      <c r="K1405" s="378" t="s">
        <v>1899</v>
      </c>
      <c r="L1405" s="378" t="s">
        <v>165</v>
      </c>
      <c r="M1405" s="380" t="s">
        <v>488</v>
      </c>
      <c r="N1405" s="380" t="s">
        <v>443</v>
      </c>
      <c r="O1405" s="380" t="s">
        <v>443</v>
      </c>
      <c r="P1405" s="380" t="s">
        <v>443</v>
      </c>
      <c r="Q1405" s="381">
        <v>405.59219999999999</v>
      </c>
      <c r="R1405" s="381">
        <v>399.82213999999999</v>
      </c>
      <c r="S1405" s="381">
        <v>5.7700386999999997</v>
      </c>
      <c r="T1405" s="381">
        <v>2.3753341000000001E-5</v>
      </c>
      <c r="U1405" s="381">
        <v>0</v>
      </c>
      <c r="V1405" s="382">
        <v>405.59220245334097</v>
      </c>
      <c r="W1405" s="382">
        <v>0</v>
      </c>
      <c r="X1405" s="381">
        <v>0.16899675</v>
      </c>
      <c r="Y1405" s="381">
        <v>0.16659255833333333</v>
      </c>
      <c r="Z1405" s="381">
        <v>2.4041827916666666E-3</v>
      </c>
      <c r="AA1405" s="381">
        <v>9.8972254166666669E-9</v>
      </c>
      <c r="AB1405" s="381">
        <v>0</v>
      </c>
      <c r="AC1405" s="382">
        <v>0.16899675102222542</v>
      </c>
      <c r="AD1405" s="382">
        <v>0</v>
      </c>
      <c r="AE1405" s="381" t="s">
        <v>444</v>
      </c>
    </row>
    <row r="1406" spans="1:31" ht="15" customHeight="1" x14ac:dyDescent="0.25">
      <c r="A1406" s="20" t="s">
        <v>156</v>
      </c>
      <c r="B1406" s="20" t="s">
        <v>1450</v>
      </c>
      <c r="C1406" s="20" t="s">
        <v>1451</v>
      </c>
      <c r="D1406" s="378" t="s">
        <v>1900</v>
      </c>
      <c r="E1406" s="384">
        <v>45292</v>
      </c>
      <c r="F1406" s="384">
        <v>47119</v>
      </c>
      <c r="G1406" s="378" t="s">
        <v>439</v>
      </c>
      <c r="H1406" s="20" t="s">
        <v>1901</v>
      </c>
      <c r="I1406" s="378" t="s">
        <v>441</v>
      </c>
      <c r="J1406" s="20" t="s">
        <v>163</v>
      </c>
      <c r="K1406" s="378" t="s">
        <v>1902</v>
      </c>
      <c r="L1406" s="378" t="s">
        <v>165</v>
      </c>
      <c r="M1406" s="380" t="s">
        <v>488</v>
      </c>
      <c r="N1406" s="380" t="s">
        <v>443</v>
      </c>
      <c r="O1406" s="380" t="s">
        <v>443</v>
      </c>
      <c r="P1406" s="380" t="s">
        <v>443</v>
      </c>
      <c r="Q1406" s="381">
        <v>376.85055999999997</v>
      </c>
      <c r="R1406" s="381">
        <v>373.47730000000001</v>
      </c>
      <c r="S1406" s="381">
        <v>3.3732399000000002</v>
      </c>
      <c r="T1406" s="381">
        <v>2.0287858000000001E-5</v>
      </c>
      <c r="U1406" s="381">
        <v>0</v>
      </c>
      <c r="V1406" s="382">
        <v>376.85056018785798</v>
      </c>
      <c r="W1406" s="382">
        <v>0</v>
      </c>
      <c r="X1406" s="381">
        <v>0.15702106666666665</v>
      </c>
      <c r="Y1406" s="381">
        <v>0.15561554166666666</v>
      </c>
      <c r="Z1406" s="381">
        <v>1.405516625E-3</v>
      </c>
      <c r="AA1406" s="381">
        <v>8.4532741666666671E-9</v>
      </c>
      <c r="AB1406" s="381">
        <v>0</v>
      </c>
      <c r="AC1406" s="382">
        <v>0.15702106674494082</v>
      </c>
      <c r="AD1406" s="382">
        <v>0</v>
      </c>
      <c r="AE1406" s="381" t="s">
        <v>444</v>
      </c>
    </row>
    <row r="1407" spans="1:31" ht="15" customHeight="1" x14ac:dyDescent="0.25">
      <c r="A1407" s="20" t="s">
        <v>156</v>
      </c>
      <c r="B1407" s="20" t="s">
        <v>1450</v>
      </c>
      <c r="C1407" s="20" t="s">
        <v>1451</v>
      </c>
      <c r="D1407" s="378" t="s">
        <v>1903</v>
      </c>
      <c r="E1407" s="384">
        <v>45292</v>
      </c>
      <c r="F1407" s="384">
        <v>47119</v>
      </c>
      <c r="G1407" s="378" t="s">
        <v>439</v>
      </c>
      <c r="H1407" s="20" t="s">
        <v>1904</v>
      </c>
      <c r="I1407" s="378" t="s">
        <v>441</v>
      </c>
      <c r="J1407" s="20" t="s">
        <v>163</v>
      </c>
      <c r="K1407" s="378" t="s">
        <v>1905</v>
      </c>
      <c r="L1407" s="378" t="s">
        <v>165</v>
      </c>
      <c r="M1407" s="380" t="s">
        <v>488</v>
      </c>
      <c r="N1407" s="380" t="s">
        <v>443</v>
      </c>
      <c r="O1407" s="380" t="s">
        <v>443</v>
      </c>
      <c r="P1407" s="380" t="s">
        <v>443</v>
      </c>
      <c r="Q1407" s="381">
        <v>382.50308000000001</v>
      </c>
      <c r="R1407" s="381">
        <v>379.13055000000003</v>
      </c>
      <c r="S1407" s="381">
        <v>3.2675543999999999</v>
      </c>
      <c r="T1407" s="381">
        <v>0.10498088999999999</v>
      </c>
      <c r="U1407" s="381">
        <v>0</v>
      </c>
      <c r="V1407" s="382">
        <v>382.50308529</v>
      </c>
      <c r="W1407" s="382">
        <v>0</v>
      </c>
      <c r="X1407" s="381">
        <v>0.15937628333333334</v>
      </c>
      <c r="Y1407" s="381">
        <v>0.15797106250000001</v>
      </c>
      <c r="Z1407" s="381">
        <v>1.3614809999999999E-3</v>
      </c>
      <c r="AA1407" s="381">
        <v>4.3742037499999995E-5</v>
      </c>
      <c r="AB1407" s="381">
        <v>0</v>
      </c>
      <c r="AC1407" s="382">
        <v>0.1593762855375</v>
      </c>
      <c r="AD1407" s="382">
        <v>0</v>
      </c>
      <c r="AE1407" s="381" t="s">
        <v>444</v>
      </c>
    </row>
    <row r="1408" spans="1:31" ht="15" customHeight="1" x14ac:dyDescent="0.25">
      <c r="A1408" s="20" t="s">
        <v>156</v>
      </c>
      <c r="B1408" s="20" t="s">
        <v>1450</v>
      </c>
      <c r="C1408" s="20" t="s">
        <v>1451</v>
      </c>
      <c r="D1408" s="378" t="s">
        <v>1906</v>
      </c>
      <c r="E1408" s="384">
        <v>45292</v>
      </c>
      <c r="F1408" s="384">
        <v>47119</v>
      </c>
      <c r="G1408" s="378" t="s">
        <v>439</v>
      </c>
      <c r="H1408" s="20" t="s">
        <v>1907</v>
      </c>
      <c r="I1408" s="378" t="s">
        <v>441</v>
      </c>
      <c r="J1408" s="20" t="s">
        <v>163</v>
      </c>
      <c r="K1408" s="378" t="s">
        <v>1908</v>
      </c>
      <c r="L1408" s="378" t="s">
        <v>165</v>
      </c>
      <c r="M1408" s="380" t="s">
        <v>488</v>
      </c>
      <c r="N1408" s="380" t="s">
        <v>443</v>
      </c>
      <c r="O1408" s="380" t="s">
        <v>443</v>
      </c>
      <c r="P1408" s="380" t="s">
        <v>443</v>
      </c>
      <c r="Q1408" s="381">
        <v>359.66415000000001</v>
      </c>
      <c r="R1408" s="381">
        <v>359.26177000000001</v>
      </c>
      <c r="S1408" s="381">
        <v>0.39761337000000002</v>
      </c>
      <c r="T1408" s="381">
        <v>4.7625942000000003E-3</v>
      </c>
      <c r="U1408" s="381">
        <v>0</v>
      </c>
      <c r="V1408" s="382">
        <v>359.66414596419997</v>
      </c>
      <c r="W1408" s="382">
        <v>0</v>
      </c>
      <c r="X1408" s="381">
        <v>0.1498600625</v>
      </c>
      <c r="Y1408" s="381">
        <v>0.14969240416666668</v>
      </c>
      <c r="Z1408" s="381">
        <v>1.6567223750000001E-4</v>
      </c>
      <c r="AA1408" s="381">
        <v>1.9844142500000002E-6</v>
      </c>
      <c r="AB1408" s="381">
        <v>0</v>
      </c>
      <c r="AC1408" s="382">
        <v>0.14986006081841668</v>
      </c>
      <c r="AD1408" s="382">
        <v>0</v>
      </c>
      <c r="AE1408" s="381" t="s">
        <v>444</v>
      </c>
    </row>
    <row r="1409" spans="1:31" ht="15" customHeight="1" x14ac:dyDescent="0.25">
      <c r="A1409" s="20" t="s">
        <v>156</v>
      </c>
      <c r="B1409" s="20" t="s">
        <v>1450</v>
      </c>
      <c r="C1409" s="20" t="s">
        <v>1451</v>
      </c>
      <c r="D1409" s="378" t="s">
        <v>1909</v>
      </c>
      <c r="E1409" s="384">
        <v>45292</v>
      </c>
      <c r="F1409" s="384">
        <v>47119</v>
      </c>
      <c r="G1409" s="378" t="s">
        <v>439</v>
      </c>
      <c r="H1409" s="20" t="s">
        <v>1910</v>
      </c>
      <c r="I1409" s="378" t="s">
        <v>441</v>
      </c>
      <c r="J1409" s="20" t="s">
        <v>163</v>
      </c>
      <c r="K1409" s="378" t="s">
        <v>1911</v>
      </c>
      <c r="L1409" s="378" t="s">
        <v>165</v>
      </c>
      <c r="M1409" s="380" t="s">
        <v>488</v>
      </c>
      <c r="N1409" s="380" t="s">
        <v>443</v>
      </c>
      <c r="O1409" s="380" t="s">
        <v>443</v>
      </c>
      <c r="P1409" s="380" t="s">
        <v>443</v>
      </c>
      <c r="Q1409" s="381">
        <v>355.56044000000003</v>
      </c>
      <c r="R1409" s="381">
        <v>355.15866999999997</v>
      </c>
      <c r="S1409" s="381">
        <v>0.39698971</v>
      </c>
      <c r="T1409" s="381">
        <v>4.7711003999999996E-3</v>
      </c>
      <c r="U1409" s="381">
        <v>0</v>
      </c>
      <c r="V1409" s="382">
        <v>355.56043081039996</v>
      </c>
      <c r="W1409" s="382">
        <v>0</v>
      </c>
      <c r="X1409" s="381">
        <v>0.14815018333333335</v>
      </c>
      <c r="Y1409" s="381">
        <v>0.14798277916666666</v>
      </c>
      <c r="Z1409" s="381">
        <v>1.6541237916666666E-4</v>
      </c>
      <c r="AA1409" s="381">
        <v>1.9879584999999997E-6</v>
      </c>
      <c r="AB1409" s="381">
        <v>0</v>
      </c>
      <c r="AC1409" s="382">
        <v>0.14815017950433335</v>
      </c>
      <c r="AD1409" s="382">
        <v>0</v>
      </c>
      <c r="AE1409" s="381" t="s">
        <v>444</v>
      </c>
    </row>
    <row r="1410" spans="1:31" ht="15" customHeight="1" x14ac:dyDescent="0.25">
      <c r="A1410" s="20" t="s">
        <v>156</v>
      </c>
      <c r="B1410" s="20" t="s">
        <v>1450</v>
      </c>
      <c r="C1410" s="20" t="s">
        <v>1451</v>
      </c>
      <c r="D1410" s="378" t="s">
        <v>1912</v>
      </c>
      <c r="E1410" s="384">
        <v>45292</v>
      </c>
      <c r="F1410" s="384">
        <v>47119</v>
      </c>
      <c r="G1410" s="378" t="s">
        <v>439</v>
      </c>
      <c r="H1410" s="20" t="s">
        <v>1913</v>
      </c>
      <c r="I1410" s="378" t="s">
        <v>441</v>
      </c>
      <c r="J1410" s="20" t="s">
        <v>163</v>
      </c>
      <c r="K1410" s="378" t="s">
        <v>1914</v>
      </c>
      <c r="L1410" s="378" t="s">
        <v>165</v>
      </c>
      <c r="M1410" s="380" t="s">
        <v>488</v>
      </c>
      <c r="N1410" s="380" t="s">
        <v>443</v>
      </c>
      <c r="O1410" s="380" t="s">
        <v>443</v>
      </c>
      <c r="P1410" s="380" t="s">
        <v>443</v>
      </c>
      <c r="Q1410" s="381">
        <v>356.74261999999999</v>
      </c>
      <c r="R1410" s="381">
        <v>356.34237000000002</v>
      </c>
      <c r="S1410" s="381">
        <v>0.39546956</v>
      </c>
      <c r="T1410" s="381">
        <v>4.7781847999999998E-3</v>
      </c>
      <c r="U1410" s="381">
        <v>0</v>
      </c>
      <c r="V1410" s="382">
        <v>356.74261774479999</v>
      </c>
      <c r="W1410" s="382">
        <v>0</v>
      </c>
      <c r="X1410" s="381">
        <v>0.14864275833333332</v>
      </c>
      <c r="Y1410" s="381">
        <v>0.14847598750000002</v>
      </c>
      <c r="Z1410" s="381">
        <v>1.6477898333333333E-4</v>
      </c>
      <c r="AA1410" s="381">
        <v>1.9909103333333333E-6</v>
      </c>
      <c r="AB1410" s="381">
        <v>0</v>
      </c>
      <c r="AC1410" s="382">
        <v>0.1486427573936667</v>
      </c>
      <c r="AD1410" s="382">
        <v>0</v>
      </c>
      <c r="AE1410" s="381" t="s">
        <v>444</v>
      </c>
    </row>
    <row r="1411" spans="1:31" ht="15" customHeight="1" x14ac:dyDescent="0.25">
      <c r="A1411" s="20" t="s">
        <v>156</v>
      </c>
      <c r="B1411" s="20" t="s">
        <v>1450</v>
      </c>
      <c r="C1411" s="20" t="s">
        <v>1451</v>
      </c>
      <c r="D1411" s="378" t="s">
        <v>1915</v>
      </c>
      <c r="E1411" s="384">
        <v>45292</v>
      </c>
      <c r="F1411" s="384">
        <v>47119</v>
      </c>
      <c r="G1411" s="378" t="s">
        <v>439</v>
      </c>
      <c r="H1411" s="20" t="s">
        <v>1916</v>
      </c>
      <c r="I1411" s="378" t="s">
        <v>441</v>
      </c>
      <c r="J1411" s="20" t="s">
        <v>163</v>
      </c>
      <c r="K1411" s="378" t="s">
        <v>1917</v>
      </c>
      <c r="L1411" s="378" t="s">
        <v>165</v>
      </c>
      <c r="M1411" s="380" t="s">
        <v>488</v>
      </c>
      <c r="N1411" s="380" t="s">
        <v>443</v>
      </c>
      <c r="O1411" s="380" t="s">
        <v>443</v>
      </c>
      <c r="P1411" s="380" t="s">
        <v>443</v>
      </c>
      <c r="Q1411" s="381">
        <v>369.62324999999998</v>
      </c>
      <c r="R1411" s="381">
        <v>369.25207999999998</v>
      </c>
      <c r="S1411" s="381">
        <v>0.36974035999999999</v>
      </c>
      <c r="T1411" s="381">
        <v>1.4274387000000001E-3</v>
      </c>
      <c r="U1411" s="381">
        <v>0</v>
      </c>
      <c r="V1411" s="382">
        <v>369.62324779869994</v>
      </c>
      <c r="W1411" s="382">
        <v>0</v>
      </c>
      <c r="X1411" s="381">
        <v>0.15400968749999999</v>
      </c>
      <c r="Y1411" s="381">
        <v>0.15385503333333334</v>
      </c>
      <c r="Z1411" s="381">
        <v>1.5405848333333334E-4</v>
      </c>
      <c r="AA1411" s="381">
        <v>5.9476612500000005E-7</v>
      </c>
      <c r="AB1411" s="381">
        <v>0</v>
      </c>
      <c r="AC1411" s="382">
        <v>0.15400968658279166</v>
      </c>
      <c r="AD1411" s="382">
        <v>0</v>
      </c>
      <c r="AE1411" s="381" t="s">
        <v>444</v>
      </c>
    </row>
    <row r="1412" spans="1:31" ht="15" customHeight="1" x14ac:dyDescent="0.25">
      <c r="A1412" s="20" t="s">
        <v>156</v>
      </c>
      <c r="B1412" s="20" t="s">
        <v>1450</v>
      </c>
      <c r="C1412" s="20" t="s">
        <v>1451</v>
      </c>
      <c r="D1412" s="378" t="s">
        <v>1918</v>
      </c>
      <c r="E1412" s="384">
        <v>45292</v>
      </c>
      <c r="F1412" s="384">
        <v>47119</v>
      </c>
      <c r="G1412" s="378" t="s">
        <v>439</v>
      </c>
      <c r="H1412" s="20" t="s">
        <v>1919</v>
      </c>
      <c r="I1412" s="378" t="s">
        <v>441</v>
      </c>
      <c r="J1412" s="20" t="s">
        <v>163</v>
      </c>
      <c r="K1412" s="378" t="s">
        <v>1920</v>
      </c>
      <c r="L1412" s="378" t="s">
        <v>165</v>
      </c>
      <c r="M1412" s="380" t="s">
        <v>488</v>
      </c>
      <c r="N1412" s="380" t="s">
        <v>443</v>
      </c>
      <c r="O1412" s="380" t="s">
        <v>443</v>
      </c>
      <c r="P1412" s="380" t="s">
        <v>443</v>
      </c>
      <c r="Q1412" s="381">
        <v>360.94119000000001</v>
      </c>
      <c r="R1412" s="381">
        <v>360.57220000000001</v>
      </c>
      <c r="S1412" s="381">
        <v>0.36756033999999999</v>
      </c>
      <c r="T1412" s="381">
        <v>1.4279634999999999E-3</v>
      </c>
      <c r="U1412" s="381">
        <v>0</v>
      </c>
      <c r="V1412" s="382">
        <v>360.94118830350004</v>
      </c>
      <c r="W1412" s="382">
        <v>0</v>
      </c>
      <c r="X1412" s="381">
        <v>0.15039216250000001</v>
      </c>
      <c r="Y1412" s="381">
        <v>0.15023841666666668</v>
      </c>
      <c r="Z1412" s="381">
        <v>1.5315014166666666E-4</v>
      </c>
      <c r="AA1412" s="381">
        <v>5.9498479166666661E-7</v>
      </c>
      <c r="AB1412" s="381">
        <v>0</v>
      </c>
      <c r="AC1412" s="382">
        <v>0.15039216179312501</v>
      </c>
      <c r="AD1412" s="382">
        <v>0</v>
      </c>
      <c r="AE1412" s="381" t="s">
        <v>444</v>
      </c>
    </row>
    <row r="1413" spans="1:31" ht="15" customHeight="1" x14ac:dyDescent="0.25">
      <c r="A1413" s="20" t="s">
        <v>156</v>
      </c>
      <c r="B1413" s="20" t="s">
        <v>1450</v>
      </c>
      <c r="C1413" s="20" t="s">
        <v>1451</v>
      </c>
      <c r="D1413" s="378" t="s">
        <v>1921</v>
      </c>
      <c r="E1413" s="384">
        <v>45292</v>
      </c>
      <c r="F1413" s="384">
        <v>47119</v>
      </c>
      <c r="G1413" s="378" t="s">
        <v>439</v>
      </c>
      <c r="H1413" s="20" t="s">
        <v>1922</v>
      </c>
      <c r="I1413" s="378" t="s">
        <v>441</v>
      </c>
      <c r="J1413" s="20" t="s">
        <v>163</v>
      </c>
      <c r="K1413" s="378" t="s">
        <v>1923</v>
      </c>
      <c r="L1413" s="378" t="s">
        <v>165</v>
      </c>
      <c r="M1413" s="380" t="s">
        <v>488</v>
      </c>
      <c r="N1413" s="380" t="s">
        <v>443</v>
      </c>
      <c r="O1413" s="380" t="s">
        <v>443</v>
      </c>
      <c r="P1413" s="380" t="s">
        <v>443</v>
      </c>
      <c r="Q1413" s="381">
        <v>357.62914999999998</v>
      </c>
      <c r="R1413" s="381">
        <v>357.26611000000003</v>
      </c>
      <c r="S1413" s="381">
        <v>0.35867322000000001</v>
      </c>
      <c r="T1413" s="381">
        <v>4.3701746000000003E-3</v>
      </c>
      <c r="U1413" s="381">
        <v>0</v>
      </c>
      <c r="V1413" s="382">
        <v>357.62915339460005</v>
      </c>
      <c r="W1413" s="382">
        <v>0</v>
      </c>
      <c r="X1413" s="381">
        <v>0.14901214583333333</v>
      </c>
      <c r="Y1413" s="381">
        <v>0.14886087916666668</v>
      </c>
      <c r="Z1413" s="381">
        <v>1.4944717500000001E-4</v>
      </c>
      <c r="AA1413" s="381">
        <v>1.8209060833333335E-6</v>
      </c>
      <c r="AB1413" s="381">
        <v>0</v>
      </c>
      <c r="AC1413" s="382">
        <v>0.14901214724775003</v>
      </c>
      <c r="AD1413" s="382">
        <v>0</v>
      </c>
      <c r="AE1413" s="381" t="s">
        <v>444</v>
      </c>
    </row>
    <row r="1414" spans="1:31" ht="15" customHeight="1" x14ac:dyDescent="0.25">
      <c r="A1414" s="20" t="s">
        <v>156</v>
      </c>
      <c r="B1414" s="20" t="s">
        <v>1450</v>
      </c>
      <c r="C1414" s="20" t="s">
        <v>1451</v>
      </c>
      <c r="D1414" s="378" t="s">
        <v>1924</v>
      </c>
      <c r="E1414" s="384">
        <v>45292</v>
      </c>
      <c r="F1414" s="384">
        <v>47119</v>
      </c>
      <c r="G1414" s="378" t="s">
        <v>439</v>
      </c>
      <c r="H1414" s="20" t="s">
        <v>1925</v>
      </c>
      <c r="I1414" s="378" t="s">
        <v>441</v>
      </c>
      <c r="J1414" s="20" t="s">
        <v>163</v>
      </c>
      <c r="K1414" s="378" t="s">
        <v>1926</v>
      </c>
      <c r="L1414" s="378" t="s">
        <v>165</v>
      </c>
      <c r="M1414" s="380" t="s">
        <v>488</v>
      </c>
      <c r="N1414" s="380" t="s">
        <v>443</v>
      </c>
      <c r="O1414" s="380" t="s">
        <v>443</v>
      </c>
      <c r="P1414" s="380" t="s">
        <v>443</v>
      </c>
      <c r="Q1414" s="381">
        <v>353.52406000000002</v>
      </c>
      <c r="R1414" s="381">
        <v>353.16172</v>
      </c>
      <c r="S1414" s="381">
        <v>0.35796846999999998</v>
      </c>
      <c r="T1414" s="381">
        <v>4.3778632000000001E-3</v>
      </c>
      <c r="U1414" s="381">
        <v>0</v>
      </c>
      <c r="V1414" s="382">
        <v>353.52406633319998</v>
      </c>
      <c r="W1414" s="382">
        <v>0</v>
      </c>
      <c r="X1414" s="381">
        <v>0.14730169166666668</v>
      </c>
      <c r="Y1414" s="381">
        <v>0.14715071666666668</v>
      </c>
      <c r="Z1414" s="381">
        <v>1.4915352916666666E-4</v>
      </c>
      <c r="AA1414" s="381">
        <v>1.8241096666666668E-6</v>
      </c>
      <c r="AB1414" s="381">
        <v>0</v>
      </c>
      <c r="AC1414" s="382">
        <v>0.14730169430550002</v>
      </c>
      <c r="AD1414" s="382">
        <v>0</v>
      </c>
      <c r="AE1414" s="381" t="s">
        <v>444</v>
      </c>
    </row>
    <row r="1415" spans="1:31" ht="15" customHeight="1" x14ac:dyDescent="0.25">
      <c r="A1415" s="20" t="s">
        <v>156</v>
      </c>
      <c r="B1415" s="20" t="s">
        <v>1450</v>
      </c>
      <c r="C1415" s="20" t="s">
        <v>1451</v>
      </c>
      <c r="D1415" s="378" t="s">
        <v>1927</v>
      </c>
      <c r="E1415" s="384">
        <v>45292</v>
      </c>
      <c r="F1415" s="384">
        <v>47119</v>
      </c>
      <c r="G1415" s="378" t="s">
        <v>439</v>
      </c>
      <c r="H1415" s="20" t="s">
        <v>1928</v>
      </c>
      <c r="I1415" s="378" t="s">
        <v>441</v>
      </c>
      <c r="J1415" s="20" t="s">
        <v>163</v>
      </c>
      <c r="K1415" s="378" t="s">
        <v>1929</v>
      </c>
      <c r="L1415" s="378" t="s">
        <v>165</v>
      </c>
      <c r="M1415" s="380" t="s">
        <v>488</v>
      </c>
      <c r="N1415" s="380" t="s">
        <v>443</v>
      </c>
      <c r="O1415" s="380" t="s">
        <v>443</v>
      </c>
      <c r="P1415" s="380" t="s">
        <v>443</v>
      </c>
      <c r="Q1415" s="381">
        <v>354.70184</v>
      </c>
      <c r="R1415" s="381">
        <v>354.34107</v>
      </c>
      <c r="S1415" s="381">
        <v>0.35638631999999998</v>
      </c>
      <c r="T1415" s="381">
        <v>4.3843229000000003E-3</v>
      </c>
      <c r="U1415" s="381">
        <v>0</v>
      </c>
      <c r="V1415" s="382">
        <v>354.70184064290004</v>
      </c>
      <c r="W1415" s="382">
        <v>0</v>
      </c>
      <c r="X1415" s="381">
        <v>0.14779243333333333</v>
      </c>
      <c r="Y1415" s="381">
        <v>0.14764211250000001</v>
      </c>
      <c r="Z1415" s="381">
        <v>1.4849429999999999E-4</v>
      </c>
      <c r="AA1415" s="381">
        <v>1.8268012083333335E-6</v>
      </c>
      <c r="AB1415" s="381">
        <v>0</v>
      </c>
      <c r="AC1415" s="382">
        <v>0.14779243360120833</v>
      </c>
      <c r="AD1415" s="382">
        <v>0</v>
      </c>
      <c r="AE1415" s="381" t="s">
        <v>444</v>
      </c>
    </row>
    <row r="1416" spans="1:31" ht="15" customHeight="1" x14ac:dyDescent="0.25">
      <c r="A1416" s="20" t="s">
        <v>156</v>
      </c>
      <c r="B1416" s="20" t="s">
        <v>1450</v>
      </c>
      <c r="C1416" s="20" t="s">
        <v>1451</v>
      </c>
      <c r="D1416" s="378" t="s">
        <v>1930</v>
      </c>
      <c r="E1416" s="384">
        <v>45292</v>
      </c>
      <c r="F1416" s="384">
        <v>47119</v>
      </c>
      <c r="G1416" s="378" t="s">
        <v>439</v>
      </c>
      <c r="H1416" s="20" t="s">
        <v>1931</v>
      </c>
      <c r="I1416" s="378" t="s">
        <v>441</v>
      </c>
      <c r="J1416" s="20" t="s">
        <v>163</v>
      </c>
      <c r="K1416" s="378" t="s">
        <v>1932</v>
      </c>
      <c r="L1416" s="378" t="s">
        <v>165</v>
      </c>
      <c r="M1416" s="380" t="s">
        <v>488</v>
      </c>
      <c r="N1416" s="380" t="s">
        <v>443</v>
      </c>
      <c r="O1416" s="380" t="s">
        <v>443</v>
      </c>
      <c r="P1416" s="380" t="s">
        <v>443</v>
      </c>
      <c r="Q1416" s="381">
        <v>338.82729</v>
      </c>
      <c r="R1416" s="381">
        <v>338.47523999999999</v>
      </c>
      <c r="S1416" s="381">
        <v>0.34767407</v>
      </c>
      <c r="T1416" s="381">
        <v>4.370507E-3</v>
      </c>
      <c r="U1416" s="381">
        <v>0</v>
      </c>
      <c r="V1416" s="382">
        <v>338.82728457699994</v>
      </c>
      <c r="W1416" s="382">
        <v>0</v>
      </c>
      <c r="X1416" s="381">
        <v>0.14117803749999999</v>
      </c>
      <c r="Y1416" s="381">
        <v>0.14103135</v>
      </c>
      <c r="Z1416" s="381">
        <v>1.4486419583333333E-4</v>
      </c>
      <c r="AA1416" s="381">
        <v>1.8210445833333334E-6</v>
      </c>
      <c r="AB1416" s="381">
        <v>0</v>
      </c>
      <c r="AC1416" s="382">
        <v>0.14117803524041667</v>
      </c>
      <c r="AD1416" s="382">
        <v>0</v>
      </c>
      <c r="AE1416" s="381" t="s">
        <v>444</v>
      </c>
    </row>
    <row r="1417" spans="1:31" ht="15" customHeight="1" x14ac:dyDescent="0.25">
      <c r="A1417" s="20" t="s">
        <v>156</v>
      </c>
      <c r="B1417" s="20" t="s">
        <v>1450</v>
      </c>
      <c r="C1417" s="20" t="s">
        <v>1451</v>
      </c>
      <c r="D1417" s="378" t="s">
        <v>1933</v>
      </c>
      <c r="E1417" s="384">
        <v>45292</v>
      </c>
      <c r="F1417" s="384">
        <v>47119</v>
      </c>
      <c r="G1417" s="378" t="s">
        <v>439</v>
      </c>
      <c r="H1417" s="20" t="s">
        <v>1934</v>
      </c>
      <c r="I1417" s="378" t="s">
        <v>441</v>
      </c>
      <c r="J1417" s="20" t="s">
        <v>163</v>
      </c>
      <c r="K1417" s="378" t="s">
        <v>1935</v>
      </c>
      <c r="L1417" s="378" t="s">
        <v>165</v>
      </c>
      <c r="M1417" s="380" t="s">
        <v>488</v>
      </c>
      <c r="N1417" s="380" t="s">
        <v>443</v>
      </c>
      <c r="O1417" s="380" t="s">
        <v>443</v>
      </c>
      <c r="P1417" s="380" t="s">
        <v>443</v>
      </c>
      <c r="Q1417" s="381">
        <v>335.90776</v>
      </c>
      <c r="R1417" s="381">
        <v>335.55802</v>
      </c>
      <c r="S1417" s="381">
        <v>0.34535146999999999</v>
      </c>
      <c r="T1417" s="381">
        <v>4.3846928000000002E-3</v>
      </c>
      <c r="U1417" s="381">
        <v>0</v>
      </c>
      <c r="V1417" s="382">
        <v>335.90775616280001</v>
      </c>
      <c r="W1417" s="382">
        <v>0</v>
      </c>
      <c r="X1417" s="381">
        <v>0.13996156666666668</v>
      </c>
      <c r="Y1417" s="381">
        <v>0.13981584166666666</v>
      </c>
      <c r="Z1417" s="381">
        <v>1.4389644583333332E-4</v>
      </c>
      <c r="AA1417" s="381">
        <v>1.8269553333333334E-6</v>
      </c>
      <c r="AB1417" s="381">
        <v>0</v>
      </c>
      <c r="AC1417" s="382">
        <v>0.13996156506783333</v>
      </c>
      <c r="AD1417" s="382">
        <v>0</v>
      </c>
      <c r="AE1417" s="381" t="s">
        <v>444</v>
      </c>
    </row>
    <row r="1418" spans="1:31" ht="15" customHeight="1" x14ac:dyDescent="0.25">
      <c r="A1418" s="20" t="s">
        <v>156</v>
      </c>
      <c r="B1418" s="20" t="s">
        <v>1450</v>
      </c>
      <c r="C1418" s="20" t="s">
        <v>1451</v>
      </c>
      <c r="D1418" s="378" t="s">
        <v>1936</v>
      </c>
      <c r="E1418" s="384">
        <v>45292</v>
      </c>
      <c r="F1418" s="384">
        <v>47119</v>
      </c>
      <c r="G1418" s="378" t="s">
        <v>439</v>
      </c>
      <c r="H1418" s="20" t="s">
        <v>1937</v>
      </c>
      <c r="I1418" s="378" t="s">
        <v>441</v>
      </c>
      <c r="J1418" s="20" t="s">
        <v>163</v>
      </c>
      <c r="K1418" s="378" t="s">
        <v>1938</v>
      </c>
      <c r="L1418" s="378" t="s">
        <v>165</v>
      </c>
      <c r="M1418" s="380" t="s">
        <v>488</v>
      </c>
      <c r="N1418" s="380" t="s">
        <v>443</v>
      </c>
      <c r="O1418" s="380" t="s">
        <v>443</v>
      </c>
      <c r="P1418" s="380" t="s">
        <v>443</v>
      </c>
      <c r="Q1418" s="381">
        <v>334.17036000000002</v>
      </c>
      <c r="R1418" s="381">
        <v>333.82310999999999</v>
      </c>
      <c r="S1418" s="381">
        <v>0.34286908999999999</v>
      </c>
      <c r="T1418" s="381">
        <v>4.3779824E-3</v>
      </c>
      <c r="U1418" s="381">
        <v>0</v>
      </c>
      <c r="V1418" s="382">
        <v>334.17035707240001</v>
      </c>
      <c r="W1418" s="382">
        <v>0</v>
      </c>
      <c r="X1418" s="381">
        <v>0.13923765000000002</v>
      </c>
      <c r="Y1418" s="381">
        <v>0.1390929625</v>
      </c>
      <c r="Z1418" s="381">
        <v>1.4286212083333333E-4</v>
      </c>
      <c r="AA1418" s="381">
        <v>1.8241593333333333E-6</v>
      </c>
      <c r="AB1418" s="381">
        <v>0</v>
      </c>
      <c r="AC1418" s="382">
        <v>0.13923764878016667</v>
      </c>
      <c r="AD1418" s="382">
        <v>0</v>
      </c>
      <c r="AE1418" s="381" t="s">
        <v>444</v>
      </c>
    </row>
    <row r="1419" spans="1:31" ht="15" customHeight="1" x14ac:dyDescent="0.25">
      <c r="A1419" s="20" t="s">
        <v>156</v>
      </c>
      <c r="B1419" s="20" t="s">
        <v>1450</v>
      </c>
      <c r="C1419" s="20" t="s">
        <v>1451</v>
      </c>
      <c r="D1419" s="378" t="s">
        <v>1939</v>
      </c>
      <c r="E1419" s="384">
        <v>45292</v>
      </c>
      <c r="F1419" s="384">
        <v>47119</v>
      </c>
      <c r="G1419" s="378" t="s">
        <v>439</v>
      </c>
      <c r="H1419" s="20" t="s">
        <v>1940</v>
      </c>
      <c r="I1419" s="378" t="s">
        <v>441</v>
      </c>
      <c r="J1419" s="20" t="s">
        <v>163</v>
      </c>
      <c r="K1419" s="378" t="s">
        <v>1941</v>
      </c>
      <c r="L1419" s="378" t="s">
        <v>165</v>
      </c>
      <c r="M1419" s="380" t="s">
        <v>488</v>
      </c>
      <c r="N1419" s="380" t="s">
        <v>443</v>
      </c>
      <c r="O1419" s="380" t="s">
        <v>443</v>
      </c>
      <c r="P1419" s="380" t="s">
        <v>443</v>
      </c>
      <c r="Q1419" s="381">
        <v>309.86950000000002</v>
      </c>
      <c r="R1419" s="381">
        <v>309.52247999999997</v>
      </c>
      <c r="S1419" s="381">
        <v>0.34537032000000001</v>
      </c>
      <c r="T1419" s="381">
        <v>1.6500293E-3</v>
      </c>
      <c r="U1419" s="381">
        <v>0</v>
      </c>
      <c r="V1419" s="382">
        <v>309.86950034929993</v>
      </c>
      <c r="W1419" s="382">
        <v>0</v>
      </c>
      <c r="X1419" s="381">
        <v>0.12911229166666668</v>
      </c>
      <c r="Y1419" s="381">
        <v>0.12896769999999999</v>
      </c>
      <c r="Z1419" s="381">
        <v>1.439043E-4</v>
      </c>
      <c r="AA1419" s="381">
        <v>6.8751220833333331E-7</v>
      </c>
      <c r="AB1419" s="381">
        <v>0</v>
      </c>
      <c r="AC1419" s="382">
        <v>0.12911229181220832</v>
      </c>
      <c r="AD1419" s="382">
        <v>0</v>
      </c>
      <c r="AE1419" s="381" t="s">
        <v>444</v>
      </c>
    </row>
    <row r="1420" spans="1:31" ht="15" customHeight="1" x14ac:dyDescent="0.25">
      <c r="A1420" s="20" t="s">
        <v>156</v>
      </c>
      <c r="B1420" s="20" t="s">
        <v>1450</v>
      </c>
      <c r="C1420" s="20" t="s">
        <v>1451</v>
      </c>
      <c r="D1420" s="378" t="s">
        <v>1942</v>
      </c>
      <c r="E1420" s="384">
        <v>45292</v>
      </c>
      <c r="F1420" s="384">
        <v>47119</v>
      </c>
      <c r="G1420" s="378" t="s">
        <v>439</v>
      </c>
      <c r="H1420" s="20" t="s">
        <v>1943</v>
      </c>
      <c r="I1420" s="378" t="s">
        <v>441</v>
      </c>
      <c r="J1420" s="20" t="s">
        <v>163</v>
      </c>
      <c r="K1420" s="378" t="s">
        <v>1944</v>
      </c>
      <c r="L1420" s="378" t="s">
        <v>165</v>
      </c>
      <c r="M1420" s="380" t="s">
        <v>488</v>
      </c>
      <c r="N1420" s="380" t="s">
        <v>443</v>
      </c>
      <c r="O1420" s="380" t="s">
        <v>443</v>
      </c>
      <c r="P1420" s="380" t="s">
        <v>443</v>
      </c>
      <c r="Q1420" s="381">
        <v>328.20423</v>
      </c>
      <c r="R1420" s="381">
        <v>327.87956000000003</v>
      </c>
      <c r="S1420" s="381">
        <v>0.32350909999999999</v>
      </c>
      <c r="T1420" s="381">
        <v>1.1657900000000001E-3</v>
      </c>
      <c r="U1420" s="381">
        <v>0</v>
      </c>
      <c r="V1420" s="382">
        <v>328.20423489000007</v>
      </c>
      <c r="W1420" s="382">
        <v>0</v>
      </c>
      <c r="X1420" s="381">
        <v>0.13675176249999998</v>
      </c>
      <c r="Y1420" s="381">
        <v>0.13661648333333334</v>
      </c>
      <c r="Z1420" s="381">
        <v>1.3479545833333334E-4</v>
      </c>
      <c r="AA1420" s="381">
        <v>4.857458333333334E-7</v>
      </c>
      <c r="AB1420" s="381">
        <v>0</v>
      </c>
      <c r="AC1420" s="382">
        <v>0.13675176453750001</v>
      </c>
      <c r="AD1420" s="382">
        <v>0</v>
      </c>
      <c r="AE1420" s="381" t="s">
        <v>444</v>
      </c>
    </row>
    <row r="1421" spans="1:31" ht="15" customHeight="1" x14ac:dyDescent="0.25">
      <c r="A1421" s="20" t="s">
        <v>156</v>
      </c>
      <c r="B1421" s="20" t="s">
        <v>1450</v>
      </c>
      <c r="C1421" s="20" t="s">
        <v>1451</v>
      </c>
      <c r="D1421" s="378" t="s">
        <v>1945</v>
      </c>
      <c r="E1421" s="384">
        <v>45292</v>
      </c>
      <c r="F1421" s="384">
        <v>47119</v>
      </c>
      <c r="G1421" s="378" t="s">
        <v>439</v>
      </c>
      <c r="H1421" s="20" t="s">
        <v>1946</v>
      </c>
      <c r="I1421" s="378" t="s">
        <v>441</v>
      </c>
      <c r="J1421" s="20" t="s">
        <v>163</v>
      </c>
      <c r="K1421" s="378" t="s">
        <v>1947</v>
      </c>
      <c r="L1421" s="378" t="s">
        <v>165</v>
      </c>
      <c r="M1421" s="380" t="s">
        <v>488</v>
      </c>
      <c r="N1421" s="380" t="s">
        <v>443</v>
      </c>
      <c r="O1421" s="380" t="s">
        <v>443</v>
      </c>
      <c r="P1421" s="380" t="s">
        <v>443</v>
      </c>
      <c r="Q1421" s="381">
        <v>320.86302999999998</v>
      </c>
      <c r="R1421" s="381">
        <v>320.54061000000002</v>
      </c>
      <c r="S1421" s="381">
        <v>0.32125049999999999</v>
      </c>
      <c r="T1421" s="381">
        <v>1.1660512E-3</v>
      </c>
      <c r="U1421" s="381">
        <v>0</v>
      </c>
      <c r="V1421" s="382">
        <v>320.86302655120005</v>
      </c>
      <c r="W1421" s="382">
        <v>0</v>
      </c>
      <c r="X1421" s="381">
        <v>0.13369292916666667</v>
      </c>
      <c r="Y1421" s="381">
        <v>0.13355858750000002</v>
      </c>
      <c r="Z1421" s="381">
        <v>1.33854375E-4</v>
      </c>
      <c r="AA1421" s="381">
        <v>4.8585466666666666E-7</v>
      </c>
      <c r="AB1421" s="381">
        <v>0</v>
      </c>
      <c r="AC1421" s="382">
        <v>0.13369292772966668</v>
      </c>
      <c r="AD1421" s="382">
        <v>0</v>
      </c>
      <c r="AE1421" s="381" t="s">
        <v>444</v>
      </c>
    </row>
    <row r="1422" spans="1:31" ht="15" customHeight="1" x14ac:dyDescent="0.25">
      <c r="A1422" s="20" t="s">
        <v>156</v>
      </c>
      <c r="B1422" s="20" t="s">
        <v>1450</v>
      </c>
      <c r="C1422" s="20" t="s">
        <v>1451</v>
      </c>
      <c r="D1422" s="378" t="s">
        <v>1948</v>
      </c>
      <c r="E1422" s="384">
        <v>45292</v>
      </c>
      <c r="F1422" s="384">
        <v>47119</v>
      </c>
      <c r="G1422" s="378" t="s">
        <v>439</v>
      </c>
      <c r="H1422" s="20" t="s">
        <v>1949</v>
      </c>
      <c r="I1422" s="378" t="s">
        <v>441</v>
      </c>
      <c r="J1422" s="20" t="s">
        <v>163</v>
      </c>
      <c r="K1422" s="378" t="s">
        <v>1950</v>
      </c>
      <c r="L1422" s="378" t="s">
        <v>165</v>
      </c>
      <c r="M1422" s="380" t="s">
        <v>488</v>
      </c>
      <c r="N1422" s="380" t="s">
        <v>443</v>
      </c>
      <c r="O1422" s="380" t="s">
        <v>443</v>
      </c>
      <c r="P1422" s="380" t="s">
        <v>443</v>
      </c>
      <c r="Q1422" s="381">
        <v>284.23678999999998</v>
      </c>
      <c r="R1422" s="381">
        <v>283.95384999999999</v>
      </c>
      <c r="S1422" s="381">
        <v>0.28192991000000001</v>
      </c>
      <c r="T1422" s="381">
        <v>1.0083218E-3</v>
      </c>
      <c r="U1422" s="381">
        <v>0</v>
      </c>
      <c r="V1422" s="382">
        <v>284.23678823179995</v>
      </c>
      <c r="W1422" s="382">
        <v>0</v>
      </c>
      <c r="X1422" s="381">
        <v>0.11843199583333333</v>
      </c>
      <c r="Y1422" s="381">
        <v>0.11831410416666666</v>
      </c>
      <c r="Z1422" s="381">
        <v>1.1747079583333334E-4</v>
      </c>
      <c r="AA1422" s="381">
        <v>4.2013408333333333E-7</v>
      </c>
      <c r="AB1422" s="381">
        <v>0</v>
      </c>
      <c r="AC1422" s="382">
        <v>0.11843199509658332</v>
      </c>
      <c r="AD1422" s="382">
        <v>0</v>
      </c>
      <c r="AE1422" s="381" t="s">
        <v>444</v>
      </c>
    </row>
    <row r="1423" spans="1:31" ht="15" customHeight="1" x14ac:dyDescent="0.25">
      <c r="A1423" s="20" t="s">
        <v>156</v>
      </c>
      <c r="B1423" s="20" t="s">
        <v>1450</v>
      </c>
      <c r="C1423" s="20" t="s">
        <v>1451</v>
      </c>
      <c r="D1423" s="378" t="s">
        <v>1951</v>
      </c>
      <c r="E1423" s="384">
        <v>45292</v>
      </c>
      <c r="F1423" s="384">
        <v>47119</v>
      </c>
      <c r="G1423" s="378" t="s">
        <v>439</v>
      </c>
      <c r="H1423" s="20" t="s">
        <v>1952</v>
      </c>
      <c r="I1423" s="378" t="s">
        <v>441</v>
      </c>
      <c r="J1423" s="20" t="s">
        <v>163</v>
      </c>
      <c r="K1423" s="378" t="s">
        <v>1953</v>
      </c>
      <c r="L1423" s="378" t="s">
        <v>165</v>
      </c>
      <c r="M1423" s="380" t="s">
        <v>488</v>
      </c>
      <c r="N1423" s="380" t="s">
        <v>443</v>
      </c>
      <c r="O1423" s="380" t="s">
        <v>443</v>
      </c>
      <c r="P1423" s="380" t="s">
        <v>443</v>
      </c>
      <c r="Q1423" s="381">
        <v>239.81748999999999</v>
      </c>
      <c r="R1423" s="381">
        <v>239.55063000000001</v>
      </c>
      <c r="S1423" s="381">
        <v>0.26588482000000002</v>
      </c>
      <c r="T1423" s="381">
        <v>9.782743300000001E-4</v>
      </c>
      <c r="U1423" s="381">
        <v>0</v>
      </c>
      <c r="V1423" s="382">
        <v>239.81749309433002</v>
      </c>
      <c r="W1423" s="382">
        <v>0</v>
      </c>
      <c r="X1423" s="381">
        <v>9.9923954166666662E-2</v>
      </c>
      <c r="Y1423" s="381">
        <v>9.9812762499999999E-2</v>
      </c>
      <c r="Z1423" s="381">
        <v>1.1078534166666667E-4</v>
      </c>
      <c r="AA1423" s="381">
        <v>4.0761430416666673E-7</v>
      </c>
      <c r="AB1423" s="381">
        <v>0</v>
      </c>
      <c r="AC1423" s="382">
        <v>9.9923955455970839E-2</v>
      </c>
      <c r="AD1423" s="382">
        <v>0</v>
      </c>
      <c r="AE1423" s="381" t="s">
        <v>444</v>
      </c>
    </row>
    <row r="1424" spans="1:31" ht="15" customHeight="1" x14ac:dyDescent="0.25">
      <c r="A1424" s="20" t="s">
        <v>156</v>
      </c>
      <c r="B1424" s="20" t="s">
        <v>1450</v>
      </c>
      <c r="C1424" s="20" t="s">
        <v>1451</v>
      </c>
      <c r="D1424" s="378" t="s">
        <v>1954</v>
      </c>
      <c r="E1424" s="384">
        <v>45292</v>
      </c>
      <c r="F1424" s="384">
        <v>47119</v>
      </c>
      <c r="G1424" s="378" t="s">
        <v>439</v>
      </c>
      <c r="H1424" s="20" t="s">
        <v>1955</v>
      </c>
      <c r="I1424" s="378" t="s">
        <v>441</v>
      </c>
      <c r="J1424" s="20" t="s">
        <v>163</v>
      </c>
      <c r="K1424" s="378" t="s">
        <v>1956</v>
      </c>
      <c r="L1424" s="378" t="s">
        <v>165</v>
      </c>
      <c r="M1424" s="380" t="s">
        <v>488</v>
      </c>
      <c r="N1424" s="380" t="s">
        <v>443</v>
      </c>
      <c r="O1424" s="380" t="s">
        <v>443</v>
      </c>
      <c r="P1424" s="380" t="s">
        <v>443</v>
      </c>
      <c r="Q1424" s="381">
        <v>219.29866999999999</v>
      </c>
      <c r="R1424" s="381">
        <v>219.04577</v>
      </c>
      <c r="S1424" s="381">
        <v>0.25169760000000002</v>
      </c>
      <c r="T1424" s="381">
        <v>1.200193E-3</v>
      </c>
      <c r="U1424" s="381">
        <v>0</v>
      </c>
      <c r="V1424" s="382">
        <v>219.29866779299999</v>
      </c>
      <c r="W1424" s="382">
        <v>0</v>
      </c>
      <c r="X1424" s="381">
        <v>9.1374445833333331E-2</v>
      </c>
      <c r="Y1424" s="381">
        <v>9.1269070833333341E-2</v>
      </c>
      <c r="Z1424" s="381">
        <v>1.0487400000000001E-4</v>
      </c>
      <c r="AA1424" s="381">
        <v>5.0008041666666669E-7</v>
      </c>
      <c r="AB1424" s="381">
        <v>0</v>
      </c>
      <c r="AC1424" s="382">
        <v>9.1374444913750005E-2</v>
      </c>
      <c r="AD1424" s="382">
        <v>0</v>
      </c>
      <c r="AE1424" s="381" t="s">
        <v>444</v>
      </c>
    </row>
    <row r="1425" spans="1:31" ht="15" customHeight="1" x14ac:dyDescent="0.25">
      <c r="A1425" s="20" t="s">
        <v>156</v>
      </c>
      <c r="B1425" s="20" t="s">
        <v>1450</v>
      </c>
      <c r="C1425" s="20" t="s">
        <v>1451</v>
      </c>
      <c r="D1425" s="378" t="s">
        <v>1957</v>
      </c>
      <c r="E1425" s="384">
        <v>45292</v>
      </c>
      <c r="F1425" s="384">
        <v>47119</v>
      </c>
      <c r="G1425" s="378" t="s">
        <v>439</v>
      </c>
      <c r="H1425" s="20" t="s">
        <v>1958</v>
      </c>
      <c r="I1425" s="378" t="s">
        <v>441</v>
      </c>
      <c r="J1425" s="20" t="s">
        <v>163</v>
      </c>
      <c r="K1425" s="378" t="s">
        <v>1959</v>
      </c>
      <c r="L1425" s="378" t="s">
        <v>165</v>
      </c>
      <c r="M1425" s="380" t="s">
        <v>488</v>
      </c>
      <c r="N1425" s="380" t="s">
        <v>443</v>
      </c>
      <c r="O1425" s="380" t="s">
        <v>443</v>
      </c>
      <c r="P1425" s="380" t="s">
        <v>443</v>
      </c>
      <c r="Q1425" s="381">
        <v>222.70787000000001</v>
      </c>
      <c r="R1425" s="381">
        <v>222.45699999999999</v>
      </c>
      <c r="S1425" s="381">
        <v>0.24994290999999999</v>
      </c>
      <c r="T1425" s="381">
        <v>9.2774469000000005E-4</v>
      </c>
      <c r="U1425" s="381">
        <v>0</v>
      </c>
      <c r="V1425" s="382">
        <v>222.70787065468997</v>
      </c>
      <c r="W1425" s="382">
        <v>0</v>
      </c>
      <c r="X1425" s="381">
        <v>9.2794945833333337E-2</v>
      </c>
      <c r="Y1425" s="381">
        <v>9.2690416666666664E-2</v>
      </c>
      <c r="Z1425" s="381">
        <v>1.0414287916666667E-4</v>
      </c>
      <c r="AA1425" s="381">
        <v>3.8656028750000003E-7</v>
      </c>
      <c r="AB1425" s="381">
        <v>0</v>
      </c>
      <c r="AC1425" s="382">
        <v>9.2794946106120837E-2</v>
      </c>
      <c r="AD1425" s="382">
        <v>0</v>
      </c>
      <c r="AE1425" s="381" t="s">
        <v>444</v>
      </c>
    </row>
    <row r="1426" spans="1:31" ht="15" customHeight="1" x14ac:dyDescent="0.25">
      <c r="A1426" s="20" t="s">
        <v>156</v>
      </c>
      <c r="B1426" s="20" t="s">
        <v>1450</v>
      </c>
      <c r="C1426" s="20" t="s">
        <v>1451</v>
      </c>
      <c r="D1426" s="378" t="s">
        <v>1960</v>
      </c>
      <c r="E1426" s="384">
        <v>45292</v>
      </c>
      <c r="F1426" s="384">
        <v>47119</v>
      </c>
      <c r="G1426" s="378" t="s">
        <v>439</v>
      </c>
      <c r="H1426" s="20" t="s">
        <v>1961</v>
      </c>
      <c r="I1426" s="378" t="s">
        <v>441</v>
      </c>
      <c r="J1426" s="20" t="s">
        <v>163</v>
      </c>
      <c r="K1426" s="378" t="s">
        <v>1962</v>
      </c>
      <c r="L1426" s="378" t="s">
        <v>165</v>
      </c>
      <c r="M1426" s="380" t="s">
        <v>488</v>
      </c>
      <c r="N1426" s="380" t="s">
        <v>443</v>
      </c>
      <c r="O1426" s="380" t="s">
        <v>443</v>
      </c>
      <c r="P1426" s="380" t="s">
        <v>443</v>
      </c>
      <c r="Q1426" s="381">
        <v>214.24319</v>
      </c>
      <c r="R1426" s="381">
        <v>213.99315000000001</v>
      </c>
      <c r="S1426" s="381">
        <v>0.24883205</v>
      </c>
      <c r="T1426" s="381">
        <v>1.2019305999999999E-3</v>
      </c>
      <c r="U1426" s="381">
        <v>0</v>
      </c>
      <c r="V1426" s="382">
        <v>214.24318398060001</v>
      </c>
      <c r="W1426" s="382">
        <v>0</v>
      </c>
      <c r="X1426" s="381">
        <v>8.9267995833333336E-2</v>
      </c>
      <c r="Y1426" s="381">
        <v>8.9163812500000009E-2</v>
      </c>
      <c r="Z1426" s="381">
        <v>1.0368002083333333E-4</v>
      </c>
      <c r="AA1426" s="381">
        <v>5.0080441666666667E-7</v>
      </c>
      <c r="AB1426" s="381">
        <v>0</v>
      </c>
      <c r="AC1426" s="382">
        <v>8.9267993325250011E-2</v>
      </c>
      <c r="AD1426" s="382">
        <v>0</v>
      </c>
      <c r="AE1426" s="381" t="s">
        <v>444</v>
      </c>
    </row>
    <row r="1427" spans="1:31" ht="15" customHeight="1" x14ac:dyDescent="0.25">
      <c r="A1427" s="20" t="s">
        <v>156</v>
      </c>
      <c r="B1427" s="20" t="s">
        <v>1450</v>
      </c>
      <c r="C1427" s="20" t="s">
        <v>1451</v>
      </c>
      <c r="D1427" s="378" t="s">
        <v>1963</v>
      </c>
      <c r="E1427" s="384">
        <v>45292</v>
      </c>
      <c r="F1427" s="384">
        <v>47119</v>
      </c>
      <c r="G1427" s="378" t="s">
        <v>439</v>
      </c>
      <c r="H1427" s="20" t="s">
        <v>1964</v>
      </c>
      <c r="I1427" s="378" t="s">
        <v>441</v>
      </c>
      <c r="J1427" s="20" t="s">
        <v>163</v>
      </c>
      <c r="K1427" s="378" t="s">
        <v>1965</v>
      </c>
      <c r="L1427" s="378" t="s">
        <v>165</v>
      </c>
      <c r="M1427" s="380" t="s">
        <v>488</v>
      </c>
      <c r="N1427" s="380" t="s">
        <v>443</v>
      </c>
      <c r="O1427" s="380" t="s">
        <v>443</v>
      </c>
      <c r="P1427" s="380" t="s">
        <v>443</v>
      </c>
      <c r="Q1427" s="381">
        <v>218.68438</v>
      </c>
      <c r="R1427" s="381">
        <v>218.44605000000001</v>
      </c>
      <c r="S1427" s="381">
        <v>0.23731324000000001</v>
      </c>
      <c r="T1427" s="381">
        <v>1.0153088E-3</v>
      </c>
      <c r="U1427" s="381">
        <v>0</v>
      </c>
      <c r="V1427" s="382">
        <v>218.6843785488</v>
      </c>
      <c r="W1427" s="382">
        <v>0</v>
      </c>
      <c r="X1427" s="381">
        <v>9.1118491666666662E-2</v>
      </c>
      <c r="Y1427" s="381">
        <v>9.1019187500000001E-2</v>
      </c>
      <c r="Z1427" s="381">
        <v>9.8880516666666673E-5</v>
      </c>
      <c r="AA1427" s="381">
        <v>4.2304533333333333E-7</v>
      </c>
      <c r="AB1427" s="381">
        <v>0</v>
      </c>
      <c r="AC1427" s="382">
        <v>9.1118491061999998E-2</v>
      </c>
      <c r="AD1427" s="382">
        <v>0</v>
      </c>
      <c r="AE1427" s="381" t="s">
        <v>444</v>
      </c>
    </row>
    <row r="1428" spans="1:31" ht="15" customHeight="1" x14ac:dyDescent="0.25">
      <c r="A1428" s="20" t="s">
        <v>156</v>
      </c>
      <c r="B1428" s="20" t="s">
        <v>1450</v>
      </c>
      <c r="C1428" s="20" t="s">
        <v>1451</v>
      </c>
      <c r="D1428" s="378" t="s">
        <v>1966</v>
      </c>
      <c r="E1428" s="384">
        <v>45292</v>
      </c>
      <c r="F1428" s="384">
        <v>47119</v>
      </c>
      <c r="G1428" s="378" t="s">
        <v>439</v>
      </c>
      <c r="H1428" s="20" t="s">
        <v>1967</v>
      </c>
      <c r="I1428" s="378" t="s">
        <v>441</v>
      </c>
      <c r="J1428" s="20" t="s">
        <v>163</v>
      </c>
      <c r="K1428" s="378" t="s">
        <v>1968</v>
      </c>
      <c r="L1428" s="378" t="s">
        <v>165</v>
      </c>
      <c r="M1428" s="380" t="s">
        <v>488</v>
      </c>
      <c r="N1428" s="380" t="s">
        <v>443</v>
      </c>
      <c r="O1428" s="380" t="s">
        <v>443</v>
      </c>
      <c r="P1428" s="380" t="s">
        <v>443</v>
      </c>
      <c r="Q1428" s="381">
        <v>219.32452000000001</v>
      </c>
      <c r="R1428" s="381">
        <v>219.08844999999999</v>
      </c>
      <c r="S1428" s="381">
        <v>0.23505213</v>
      </c>
      <c r="T1428" s="381">
        <v>1.0160273E-3</v>
      </c>
      <c r="U1428" s="381">
        <v>0</v>
      </c>
      <c r="V1428" s="382">
        <v>219.32451815730002</v>
      </c>
      <c r="W1428" s="382">
        <v>0</v>
      </c>
      <c r="X1428" s="381">
        <v>9.1385216666666672E-2</v>
      </c>
      <c r="Y1428" s="381">
        <v>9.1286854166666667E-2</v>
      </c>
      <c r="Z1428" s="381">
        <v>9.7938387499999993E-5</v>
      </c>
      <c r="AA1428" s="381">
        <v>4.2334470833333331E-7</v>
      </c>
      <c r="AB1428" s="381">
        <v>0</v>
      </c>
      <c r="AC1428" s="382">
        <v>9.1385215898874994E-2</v>
      </c>
      <c r="AD1428" s="382">
        <v>0</v>
      </c>
      <c r="AE1428" s="381" t="s">
        <v>444</v>
      </c>
    </row>
    <row r="1429" spans="1:31" ht="15" customHeight="1" x14ac:dyDescent="0.25">
      <c r="A1429" s="20" t="s">
        <v>156</v>
      </c>
      <c r="B1429" s="20" t="s">
        <v>1450</v>
      </c>
      <c r="C1429" s="20" t="s">
        <v>1451</v>
      </c>
      <c r="D1429" s="378" t="s">
        <v>1969</v>
      </c>
      <c r="E1429" s="384">
        <v>45292</v>
      </c>
      <c r="F1429" s="384">
        <v>47119</v>
      </c>
      <c r="G1429" s="378" t="s">
        <v>439</v>
      </c>
      <c r="H1429" s="20" t="s">
        <v>1970</v>
      </c>
      <c r="I1429" s="378" t="s">
        <v>441</v>
      </c>
      <c r="J1429" s="20" t="s">
        <v>163</v>
      </c>
      <c r="K1429" s="378" t="s">
        <v>1971</v>
      </c>
      <c r="L1429" s="378" t="s">
        <v>165</v>
      </c>
      <c r="M1429" s="380" t="s">
        <v>488</v>
      </c>
      <c r="N1429" s="380" t="s">
        <v>443</v>
      </c>
      <c r="O1429" s="380" t="s">
        <v>443</v>
      </c>
      <c r="P1429" s="380" t="s">
        <v>443</v>
      </c>
      <c r="Q1429" s="381">
        <v>213.62765999999999</v>
      </c>
      <c r="R1429" s="381">
        <v>213.39224999999999</v>
      </c>
      <c r="S1429" s="381">
        <v>0.23439486000000001</v>
      </c>
      <c r="T1429" s="381">
        <v>1.016367E-3</v>
      </c>
      <c r="U1429" s="381">
        <v>0</v>
      </c>
      <c r="V1429" s="382">
        <v>213.627661227</v>
      </c>
      <c r="W1429" s="382">
        <v>0</v>
      </c>
      <c r="X1429" s="381">
        <v>8.9011524999999994E-2</v>
      </c>
      <c r="Y1429" s="381">
        <v>8.8913437499999998E-2</v>
      </c>
      <c r="Z1429" s="381">
        <v>9.7664525000000008E-5</v>
      </c>
      <c r="AA1429" s="381">
        <v>4.2348624999999999E-7</v>
      </c>
      <c r="AB1429" s="381">
        <v>0</v>
      </c>
      <c r="AC1429" s="382">
        <v>8.9011525511249995E-2</v>
      </c>
      <c r="AD1429" s="382">
        <v>0</v>
      </c>
      <c r="AE1429" s="381" t="s">
        <v>444</v>
      </c>
    </row>
    <row r="1430" spans="1:31" ht="15" customHeight="1" x14ac:dyDescent="0.25">
      <c r="A1430" s="20" t="s">
        <v>156</v>
      </c>
      <c r="B1430" s="20" t="s">
        <v>1450</v>
      </c>
      <c r="C1430" s="20" t="s">
        <v>1451</v>
      </c>
      <c r="D1430" s="378" t="s">
        <v>1972</v>
      </c>
      <c r="E1430" s="384">
        <v>45292</v>
      </c>
      <c r="F1430" s="384">
        <v>47119</v>
      </c>
      <c r="G1430" s="378" t="s">
        <v>439</v>
      </c>
      <c r="H1430" s="20" t="s">
        <v>1973</v>
      </c>
      <c r="I1430" s="378" t="s">
        <v>441</v>
      </c>
      <c r="J1430" s="20" t="s">
        <v>163</v>
      </c>
      <c r="K1430" s="378" t="s">
        <v>1974</v>
      </c>
      <c r="L1430" s="378" t="s">
        <v>165</v>
      </c>
      <c r="M1430" s="380" t="s">
        <v>488</v>
      </c>
      <c r="N1430" s="380" t="s">
        <v>443</v>
      </c>
      <c r="O1430" s="380" t="s">
        <v>443</v>
      </c>
      <c r="P1430" s="380" t="s">
        <v>443</v>
      </c>
      <c r="Q1430" s="381">
        <v>211.45208</v>
      </c>
      <c r="R1430" s="381">
        <v>211.21912</v>
      </c>
      <c r="S1430" s="381">
        <v>0.23195159000000001</v>
      </c>
      <c r="T1430" s="381">
        <v>1.0157598E-3</v>
      </c>
      <c r="U1430" s="381">
        <v>0</v>
      </c>
      <c r="V1430" s="382">
        <v>211.4520873498</v>
      </c>
      <c r="W1430" s="382">
        <v>0</v>
      </c>
      <c r="X1430" s="381">
        <v>8.8105033333333332E-2</v>
      </c>
      <c r="Y1430" s="381">
        <v>8.8007966666666673E-2</v>
      </c>
      <c r="Z1430" s="381">
        <v>9.6646495833333345E-5</v>
      </c>
      <c r="AA1430" s="381">
        <v>4.2323325E-7</v>
      </c>
      <c r="AB1430" s="381">
        <v>0</v>
      </c>
      <c r="AC1430" s="382">
        <v>8.8105036395750014E-2</v>
      </c>
      <c r="AD1430" s="382">
        <v>0</v>
      </c>
      <c r="AE1430" s="381" t="s">
        <v>444</v>
      </c>
    </row>
    <row r="1431" spans="1:31" ht="15" customHeight="1" x14ac:dyDescent="0.25">
      <c r="A1431" s="20" t="s">
        <v>156</v>
      </c>
      <c r="B1431" s="20" t="s">
        <v>1450</v>
      </c>
      <c r="C1431" s="20" t="s">
        <v>1451</v>
      </c>
      <c r="D1431" s="378" t="s">
        <v>1975</v>
      </c>
      <c r="E1431" s="384">
        <v>45292</v>
      </c>
      <c r="F1431" s="384">
        <v>47119</v>
      </c>
      <c r="G1431" s="378" t="s">
        <v>439</v>
      </c>
      <c r="H1431" s="20" t="s">
        <v>1976</v>
      </c>
      <c r="I1431" s="378" t="s">
        <v>441</v>
      </c>
      <c r="J1431" s="20" t="s">
        <v>163</v>
      </c>
      <c r="K1431" s="378" t="s">
        <v>1977</v>
      </c>
      <c r="L1431" s="378" t="s">
        <v>165</v>
      </c>
      <c r="M1431" s="380" t="s">
        <v>488</v>
      </c>
      <c r="N1431" s="380" t="s">
        <v>443</v>
      </c>
      <c r="O1431" s="380" t="s">
        <v>443</v>
      </c>
      <c r="P1431" s="380" t="s">
        <v>443</v>
      </c>
      <c r="Q1431" s="381">
        <v>294.78091999999998</v>
      </c>
      <c r="R1431" s="381">
        <v>294.56947000000002</v>
      </c>
      <c r="S1431" s="381">
        <v>0.17869852</v>
      </c>
      <c r="T1431" s="381">
        <v>3.2759175000000001E-2</v>
      </c>
      <c r="U1431" s="381">
        <v>0</v>
      </c>
      <c r="V1431" s="382">
        <v>294.78092769500006</v>
      </c>
      <c r="W1431" s="382">
        <v>0</v>
      </c>
      <c r="X1431" s="381">
        <v>0.12282538333333333</v>
      </c>
      <c r="Y1431" s="381">
        <v>0.12273727916666667</v>
      </c>
      <c r="Z1431" s="381">
        <v>7.4457716666666667E-5</v>
      </c>
      <c r="AA1431" s="381">
        <v>1.3649656250000001E-5</v>
      </c>
      <c r="AB1431" s="381">
        <v>0</v>
      </c>
      <c r="AC1431" s="382">
        <v>0.12282538653958334</v>
      </c>
      <c r="AD1431" s="382">
        <v>0</v>
      </c>
      <c r="AE1431" s="381" t="s">
        <v>444</v>
      </c>
    </row>
    <row r="1432" spans="1:31" ht="15" customHeight="1" x14ac:dyDescent="0.25">
      <c r="A1432" s="20" t="s">
        <v>156</v>
      </c>
      <c r="B1432" s="20" t="s">
        <v>1450</v>
      </c>
      <c r="C1432" s="20" t="s">
        <v>1451</v>
      </c>
      <c r="D1432" s="378" t="s">
        <v>1978</v>
      </c>
      <c r="E1432" s="384">
        <v>45292</v>
      </c>
      <c r="F1432" s="384">
        <v>47119</v>
      </c>
      <c r="G1432" s="378" t="s">
        <v>439</v>
      </c>
      <c r="H1432" s="20" t="s">
        <v>1979</v>
      </c>
      <c r="I1432" s="378" t="s">
        <v>441</v>
      </c>
      <c r="J1432" s="20" t="s">
        <v>163</v>
      </c>
      <c r="K1432" s="378" t="s">
        <v>1980</v>
      </c>
      <c r="L1432" s="378" t="s">
        <v>165</v>
      </c>
      <c r="M1432" s="380" t="s">
        <v>488</v>
      </c>
      <c r="N1432" s="380" t="s">
        <v>443</v>
      </c>
      <c r="O1432" s="380" t="s">
        <v>443</v>
      </c>
      <c r="P1432" s="380" t="s">
        <v>443</v>
      </c>
      <c r="Q1432" s="381">
        <v>247.1309</v>
      </c>
      <c r="R1432" s="381">
        <v>246.92291</v>
      </c>
      <c r="S1432" s="381">
        <v>0.20761880999999999</v>
      </c>
      <c r="T1432" s="381">
        <v>3.7187662E-4</v>
      </c>
      <c r="U1432" s="381">
        <v>0</v>
      </c>
      <c r="V1432" s="382">
        <v>247.13090068662001</v>
      </c>
      <c r="W1432" s="382">
        <v>0</v>
      </c>
      <c r="X1432" s="381">
        <v>0.10297120833333333</v>
      </c>
      <c r="Y1432" s="381">
        <v>0.10288454583333334</v>
      </c>
      <c r="Z1432" s="381">
        <v>8.6507837499999991E-5</v>
      </c>
      <c r="AA1432" s="381">
        <v>1.5494859166666667E-7</v>
      </c>
      <c r="AB1432" s="381">
        <v>0</v>
      </c>
      <c r="AC1432" s="382">
        <v>0.10297120861942501</v>
      </c>
      <c r="AD1432" s="382">
        <v>0</v>
      </c>
      <c r="AE1432" s="381" t="s">
        <v>444</v>
      </c>
    </row>
    <row r="1433" spans="1:31" ht="15" customHeight="1" x14ac:dyDescent="0.25">
      <c r="A1433" s="20" t="s">
        <v>156</v>
      </c>
      <c r="B1433" s="20" t="s">
        <v>1450</v>
      </c>
      <c r="C1433" s="20" t="s">
        <v>1451</v>
      </c>
      <c r="D1433" s="378" t="s">
        <v>1981</v>
      </c>
      <c r="E1433" s="384">
        <v>45292</v>
      </c>
      <c r="F1433" s="384">
        <v>47119</v>
      </c>
      <c r="G1433" s="378" t="s">
        <v>439</v>
      </c>
      <c r="H1433" s="20" t="s">
        <v>1982</v>
      </c>
      <c r="I1433" s="378" t="s">
        <v>441</v>
      </c>
      <c r="J1433" s="20" t="s">
        <v>163</v>
      </c>
      <c r="K1433" s="378" t="s">
        <v>1983</v>
      </c>
      <c r="L1433" s="378" t="s">
        <v>165</v>
      </c>
      <c r="M1433" s="380" t="s">
        <v>488</v>
      </c>
      <c r="N1433" s="380" t="s">
        <v>443</v>
      </c>
      <c r="O1433" s="380" t="s">
        <v>443</v>
      </c>
      <c r="P1433" s="380" t="s">
        <v>443</v>
      </c>
      <c r="Q1433" s="381">
        <v>315.07047999999998</v>
      </c>
      <c r="R1433" s="381">
        <v>314.87254000000001</v>
      </c>
      <c r="S1433" s="381">
        <v>0.10218919</v>
      </c>
      <c r="T1433" s="381">
        <v>9.5749118999999994E-2</v>
      </c>
      <c r="U1433" s="381">
        <v>0</v>
      </c>
      <c r="V1433" s="382">
        <v>315.07047830900001</v>
      </c>
      <c r="W1433" s="382">
        <v>0</v>
      </c>
      <c r="X1433" s="381">
        <v>0.13127936666666665</v>
      </c>
      <c r="Y1433" s="381">
        <v>0.13119689166666668</v>
      </c>
      <c r="Z1433" s="381">
        <v>4.2578829166666667E-5</v>
      </c>
      <c r="AA1433" s="381">
        <v>3.9895466249999997E-5</v>
      </c>
      <c r="AB1433" s="381">
        <v>0</v>
      </c>
      <c r="AC1433" s="382">
        <v>0.13127936596208334</v>
      </c>
      <c r="AD1433" s="382">
        <v>0</v>
      </c>
      <c r="AE1433" s="381" t="s">
        <v>444</v>
      </c>
    </row>
    <row r="1434" spans="1:31" ht="15" customHeight="1" x14ac:dyDescent="0.25">
      <c r="A1434" s="20" t="s">
        <v>156</v>
      </c>
      <c r="B1434" s="20" t="s">
        <v>1450</v>
      </c>
      <c r="C1434" s="20" t="s">
        <v>1451</v>
      </c>
      <c r="D1434" s="378" t="s">
        <v>1984</v>
      </c>
      <c r="E1434" s="384">
        <v>45292</v>
      </c>
      <c r="F1434" s="384">
        <v>47119</v>
      </c>
      <c r="G1434" s="378" t="s">
        <v>439</v>
      </c>
      <c r="H1434" s="20" t="s">
        <v>1985</v>
      </c>
      <c r="I1434" s="378" t="s">
        <v>441</v>
      </c>
      <c r="J1434" s="20" t="s">
        <v>163</v>
      </c>
      <c r="K1434" s="378" t="s">
        <v>1986</v>
      </c>
      <c r="L1434" s="378" t="s">
        <v>165</v>
      </c>
      <c r="M1434" s="380" t="s">
        <v>488</v>
      </c>
      <c r="N1434" s="380" t="s">
        <v>443</v>
      </c>
      <c r="O1434" s="380" t="s">
        <v>443</v>
      </c>
      <c r="P1434" s="380" t="s">
        <v>443</v>
      </c>
      <c r="Q1434" s="381">
        <v>225.88566</v>
      </c>
      <c r="R1434" s="381">
        <v>225.69161</v>
      </c>
      <c r="S1434" s="381">
        <v>0.19370635</v>
      </c>
      <c r="T1434" s="381">
        <v>3.4939625E-4</v>
      </c>
      <c r="U1434" s="381">
        <v>0</v>
      </c>
      <c r="V1434" s="382">
        <v>225.88566574625</v>
      </c>
      <c r="W1434" s="382">
        <v>0</v>
      </c>
      <c r="X1434" s="381">
        <v>9.4119024999999995E-2</v>
      </c>
      <c r="Y1434" s="381">
        <v>9.4038170833333337E-2</v>
      </c>
      <c r="Z1434" s="381">
        <v>8.0710979166666671E-5</v>
      </c>
      <c r="AA1434" s="381">
        <v>1.4558177083333333E-7</v>
      </c>
      <c r="AB1434" s="381">
        <v>0</v>
      </c>
      <c r="AC1434" s="382">
        <v>9.4119027394270832E-2</v>
      </c>
      <c r="AD1434" s="382">
        <v>0</v>
      </c>
      <c r="AE1434" s="381" t="s">
        <v>444</v>
      </c>
    </row>
    <row r="1435" spans="1:31" ht="15" customHeight="1" x14ac:dyDescent="0.25">
      <c r="A1435" s="20" t="s">
        <v>156</v>
      </c>
      <c r="B1435" s="20" t="s">
        <v>1450</v>
      </c>
      <c r="C1435" s="20" t="s">
        <v>1451</v>
      </c>
      <c r="D1435" s="378" t="s">
        <v>1987</v>
      </c>
      <c r="E1435" s="384">
        <v>45292</v>
      </c>
      <c r="F1435" s="384">
        <v>47119</v>
      </c>
      <c r="G1435" s="378" t="s">
        <v>439</v>
      </c>
      <c r="H1435" s="20" t="s">
        <v>1988</v>
      </c>
      <c r="I1435" s="378" t="s">
        <v>441</v>
      </c>
      <c r="J1435" s="20" t="s">
        <v>163</v>
      </c>
      <c r="K1435" s="378" t="s">
        <v>1989</v>
      </c>
      <c r="L1435" s="378" t="s">
        <v>165</v>
      </c>
      <c r="M1435" s="380" t="s">
        <v>488</v>
      </c>
      <c r="N1435" s="380" t="s">
        <v>443</v>
      </c>
      <c r="O1435" s="380" t="s">
        <v>443</v>
      </c>
      <c r="P1435" s="380" t="s">
        <v>443</v>
      </c>
      <c r="Q1435" s="381">
        <v>270.68167999999997</v>
      </c>
      <c r="R1435" s="381">
        <v>270.48818999999997</v>
      </c>
      <c r="S1435" s="381">
        <v>0.16367532000000001</v>
      </c>
      <c r="T1435" s="381">
        <v>2.9815939999999999E-2</v>
      </c>
      <c r="U1435" s="381">
        <v>0</v>
      </c>
      <c r="V1435" s="382">
        <v>270.68168125999995</v>
      </c>
      <c r="W1435" s="382">
        <v>0</v>
      </c>
      <c r="X1435" s="381">
        <v>0.11278403333333333</v>
      </c>
      <c r="Y1435" s="381">
        <v>0.11270341249999999</v>
      </c>
      <c r="Z1435" s="381">
        <v>6.8198050000000003E-5</v>
      </c>
      <c r="AA1435" s="381">
        <v>1.2423308333333333E-5</v>
      </c>
      <c r="AB1435" s="381">
        <v>0</v>
      </c>
      <c r="AC1435" s="382">
        <v>0.11278403385833331</v>
      </c>
      <c r="AD1435" s="382">
        <v>0</v>
      </c>
      <c r="AE1435" s="381" t="s">
        <v>444</v>
      </c>
    </row>
    <row r="1436" spans="1:31" ht="15" customHeight="1" x14ac:dyDescent="0.25">
      <c r="A1436" s="20" t="s">
        <v>156</v>
      </c>
      <c r="B1436" s="20" t="s">
        <v>1450</v>
      </c>
      <c r="C1436" s="20" t="s">
        <v>1451</v>
      </c>
      <c r="D1436" s="378" t="s">
        <v>1990</v>
      </c>
      <c r="E1436" s="384">
        <v>45292</v>
      </c>
      <c r="F1436" s="384">
        <v>47119</v>
      </c>
      <c r="G1436" s="378" t="s">
        <v>439</v>
      </c>
      <c r="H1436" s="20" t="s">
        <v>1991</v>
      </c>
      <c r="I1436" s="378" t="s">
        <v>441</v>
      </c>
      <c r="J1436" s="20" t="s">
        <v>163</v>
      </c>
      <c r="K1436" s="378" t="s">
        <v>1992</v>
      </c>
      <c r="L1436" s="378" t="s">
        <v>165</v>
      </c>
      <c r="M1436" s="380" t="s">
        <v>488</v>
      </c>
      <c r="N1436" s="380" t="s">
        <v>443</v>
      </c>
      <c r="O1436" s="380" t="s">
        <v>443</v>
      </c>
      <c r="P1436" s="380" t="s">
        <v>443</v>
      </c>
      <c r="Q1436" s="381">
        <v>310.21181000000001</v>
      </c>
      <c r="R1436" s="381">
        <v>310.02526</v>
      </c>
      <c r="S1436" s="381">
        <v>9.2228455000000001E-2</v>
      </c>
      <c r="T1436" s="381">
        <v>9.4325484000000001E-2</v>
      </c>
      <c r="U1436" s="381">
        <v>0</v>
      </c>
      <c r="V1436" s="382">
        <v>310.21181393900002</v>
      </c>
      <c r="W1436" s="382">
        <v>0</v>
      </c>
      <c r="X1436" s="381">
        <v>0.12925492083333334</v>
      </c>
      <c r="Y1436" s="381">
        <v>0.12917719166666666</v>
      </c>
      <c r="Z1436" s="381">
        <v>3.8428522916666665E-5</v>
      </c>
      <c r="AA1436" s="381">
        <v>3.9302285000000004E-5</v>
      </c>
      <c r="AB1436" s="381">
        <v>0</v>
      </c>
      <c r="AC1436" s="382">
        <v>0.12925492247458331</v>
      </c>
      <c r="AD1436" s="382">
        <v>0</v>
      </c>
      <c r="AE1436" s="381" t="s">
        <v>444</v>
      </c>
    </row>
    <row r="1437" spans="1:31" ht="15" customHeight="1" x14ac:dyDescent="0.25">
      <c r="A1437" s="20" t="s">
        <v>156</v>
      </c>
      <c r="B1437" s="20" t="s">
        <v>1450</v>
      </c>
      <c r="C1437" s="20" t="s">
        <v>1451</v>
      </c>
      <c r="D1437" s="378" t="s">
        <v>1993</v>
      </c>
      <c r="E1437" s="384">
        <v>45292</v>
      </c>
      <c r="F1437" s="384">
        <v>47119</v>
      </c>
      <c r="G1437" s="378" t="s">
        <v>439</v>
      </c>
      <c r="H1437" s="20" t="s">
        <v>1994</v>
      </c>
      <c r="I1437" s="378" t="s">
        <v>441</v>
      </c>
      <c r="J1437" s="20" t="s">
        <v>163</v>
      </c>
      <c r="K1437" s="378" t="s">
        <v>1995</v>
      </c>
      <c r="L1437" s="378" t="s">
        <v>165</v>
      </c>
      <c r="M1437" s="380" t="s">
        <v>488</v>
      </c>
      <c r="N1437" s="380" t="s">
        <v>443</v>
      </c>
      <c r="O1437" s="380" t="s">
        <v>443</v>
      </c>
      <c r="P1437" s="380" t="s">
        <v>443</v>
      </c>
      <c r="Q1437" s="381">
        <v>238.24592000000001</v>
      </c>
      <c r="R1437" s="381">
        <v>238.07596000000001</v>
      </c>
      <c r="S1437" s="381">
        <v>0.10655617000000001</v>
      </c>
      <c r="T1437" s="381">
        <v>6.3405898000000002E-2</v>
      </c>
      <c r="U1437" s="381">
        <v>0</v>
      </c>
      <c r="V1437" s="382">
        <v>238.24592206800003</v>
      </c>
      <c r="W1437" s="382">
        <v>0</v>
      </c>
      <c r="X1437" s="381">
        <v>9.9269133333333343E-2</v>
      </c>
      <c r="Y1437" s="381">
        <v>9.9198316666666675E-2</v>
      </c>
      <c r="Z1437" s="381">
        <v>4.4398404166666671E-5</v>
      </c>
      <c r="AA1437" s="381">
        <v>2.6419124166666666E-5</v>
      </c>
      <c r="AB1437" s="381">
        <v>0</v>
      </c>
      <c r="AC1437" s="382">
        <v>9.9269134195000011E-2</v>
      </c>
      <c r="AD1437" s="382">
        <v>0</v>
      </c>
      <c r="AE1437" s="381" t="s">
        <v>444</v>
      </c>
    </row>
    <row r="1438" spans="1:31" ht="15" customHeight="1" x14ac:dyDescent="0.25">
      <c r="A1438" s="20" t="s">
        <v>156</v>
      </c>
      <c r="B1438" s="20" t="s">
        <v>1450</v>
      </c>
      <c r="C1438" s="20" t="s">
        <v>1451</v>
      </c>
      <c r="D1438" s="378" t="s">
        <v>1996</v>
      </c>
      <c r="E1438" s="384">
        <v>45292</v>
      </c>
      <c r="F1438" s="384">
        <v>47119</v>
      </c>
      <c r="G1438" s="378" t="s">
        <v>439</v>
      </c>
      <c r="H1438" s="20" t="s">
        <v>1997</v>
      </c>
      <c r="I1438" s="378" t="s">
        <v>441</v>
      </c>
      <c r="J1438" s="20" t="s">
        <v>163</v>
      </c>
      <c r="K1438" s="378" t="s">
        <v>1998</v>
      </c>
      <c r="L1438" s="378" t="s">
        <v>165</v>
      </c>
      <c r="M1438" s="380" t="s">
        <v>488</v>
      </c>
      <c r="N1438" s="380" t="s">
        <v>443</v>
      </c>
      <c r="O1438" s="380" t="s">
        <v>443</v>
      </c>
      <c r="P1438" s="380" t="s">
        <v>443</v>
      </c>
      <c r="Q1438" s="381">
        <v>298.30464000000001</v>
      </c>
      <c r="R1438" s="381">
        <v>298.13673</v>
      </c>
      <c r="S1438" s="381">
        <v>0.13623136</v>
      </c>
      <c r="T1438" s="381">
        <v>3.1688510000000003E-2</v>
      </c>
      <c r="U1438" s="381">
        <v>0</v>
      </c>
      <c r="V1438" s="382">
        <v>298.30464986999999</v>
      </c>
      <c r="W1438" s="382">
        <v>0</v>
      </c>
      <c r="X1438" s="381">
        <v>0.1242936</v>
      </c>
      <c r="Y1438" s="381">
        <v>0.1242236375</v>
      </c>
      <c r="Z1438" s="381">
        <v>5.6763066666666665E-5</v>
      </c>
      <c r="AA1438" s="381">
        <v>1.3203545833333334E-5</v>
      </c>
      <c r="AB1438" s="381">
        <v>0</v>
      </c>
      <c r="AC1438" s="382">
        <v>0.12429360411250001</v>
      </c>
      <c r="AD1438" s="382">
        <v>0</v>
      </c>
      <c r="AE1438" s="381" t="s">
        <v>444</v>
      </c>
    </row>
    <row r="1439" spans="1:31" ht="15" customHeight="1" x14ac:dyDescent="0.25">
      <c r="A1439" s="20" t="s">
        <v>156</v>
      </c>
      <c r="B1439" s="20" t="s">
        <v>1450</v>
      </c>
      <c r="C1439" s="20" t="s">
        <v>1451</v>
      </c>
      <c r="D1439" s="378" t="s">
        <v>1999</v>
      </c>
      <c r="E1439" s="384">
        <v>45292</v>
      </c>
      <c r="F1439" s="384">
        <v>47119</v>
      </c>
      <c r="G1439" s="378" t="s">
        <v>439</v>
      </c>
      <c r="H1439" s="20" t="s">
        <v>2000</v>
      </c>
      <c r="I1439" s="378" t="s">
        <v>441</v>
      </c>
      <c r="J1439" s="20" t="s">
        <v>163</v>
      </c>
      <c r="K1439" s="378" t="s">
        <v>2001</v>
      </c>
      <c r="L1439" s="378" t="s">
        <v>165</v>
      </c>
      <c r="M1439" s="380" t="s">
        <v>488</v>
      </c>
      <c r="N1439" s="380" t="s">
        <v>443</v>
      </c>
      <c r="O1439" s="380" t="s">
        <v>443</v>
      </c>
      <c r="P1439" s="380" t="s">
        <v>443</v>
      </c>
      <c r="Q1439" s="381">
        <v>325.18454000000003</v>
      </c>
      <c r="R1439" s="381">
        <v>325.02382</v>
      </c>
      <c r="S1439" s="381">
        <v>0.16070345</v>
      </c>
      <c r="T1439" s="381">
        <v>1.6910912E-5</v>
      </c>
      <c r="U1439" s="381">
        <v>0</v>
      </c>
      <c r="V1439" s="382">
        <v>325.18454036091202</v>
      </c>
      <c r="W1439" s="382">
        <v>0</v>
      </c>
      <c r="X1439" s="381">
        <v>0.13549355833333335</v>
      </c>
      <c r="Y1439" s="381">
        <v>0.13542659166666668</v>
      </c>
      <c r="Z1439" s="381">
        <v>6.6959770833333328E-5</v>
      </c>
      <c r="AA1439" s="381">
        <v>7.0462133333333339E-9</v>
      </c>
      <c r="AB1439" s="381">
        <v>0</v>
      </c>
      <c r="AC1439" s="382">
        <v>0.13549355848371336</v>
      </c>
      <c r="AD1439" s="382">
        <v>0</v>
      </c>
      <c r="AE1439" s="381" t="s">
        <v>444</v>
      </c>
    </row>
    <row r="1440" spans="1:31" ht="15" customHeight="1" x14ac:dyDescent="0.25">
      <c r="A1440" s="20" t="s">
        <v>156</v>
      </c>
      <c r="B1440" s="20" t="s">
        <v>1450</v>
      </c>
      <c r="C1440" s="20" t="s">
        <v>1451</v>
      </c>
      <c r="D1440" s="378" t="s">
        <v>2002</v>
      </c>
      <c r="E1440" s="384">
        <v>45292</v>
      </c>
      <c r="F1440" s="384">
        <v>47119</v>
      </c>
      <c r="G1440" s="378" t="s">
        <v>439</v>
      </c>
      <c r="H1440" s="20" t="s">
        <v>2003</v>
      </c>
      <c r="I1440" s="378" t="s">
        <v>441</v>
      </c>
      <c r="J1440" s="20" t="s">
        <v>163</v>
      </c>
      <c r="K1440" s="378" t="s">
        <v>2004</v>
      </c>
      <c r="L1440" s="378" t="s">
        <v>165</v>
      </c>
      <c r="M1440" s="380" t="s">
        <v>488</v>
      </c>
      <c r="N1440" s="380" t="s">
        <v>443</v>
      </c>
      <c r="O1440" s="380" t="s">
        <v>443</v>
      </c>
      <c r="P1440" s="380" t="s">
        <v>443</v>
      </c>
      <c r="Q1440" s="381">
        <v>284.87945999999999</v>
      </c>
      <c r="R1440" s="381">
        <v>284.72426999999999</v>
      </c>
      <c r="S1440" s="381">
        <v>0.12499956</v>
      </c>
      <c r="T1440" s="381">
        <v>3.0190162999999999E-2</v>
      </c>
      <c r="U1440" s="381">
        <v>0</v>
      </c>
      <c r="V1440" s="382">
        <v>284.87945972299997</v>
      </c>
      <c r="W1440" s="382">
        <v>0</v>
      </c>
      <c r="X1440" s="381">
        <v>0.11869977499999999</v>
      </c>
      <c r="Y1440" s="381">
        <v>0.1186351125</v>
      </c>
      <c r="Z1440" s="381">
        <v>5.208315E-5</v>
      </c>
      <c r="AA1440" s="381">
        <v>1.2579234583333333E-5</v>
      </c>
      <c r="AB1440" s="381">
        <v>0</v>
      </c>
      <c r="AC1440" s="382">
        <v>0.11869977488458335</v>
      </c>
      <c r="AD1440" s="382">
        <v>0</v>
      </c>
      <c r="AE1440" s="381" t="s">
        <v>444</v>
      </c>
    </row>
    <row r="1441" spans="1:31" ht="15" customHeight="1" x14ac:dyDescent="0.25">
      <c r="A1441" s="20" t="s">
        <v>156</v>
      </c>
      <c r="B1441" s="20" t="s">
        <v>1450</v>
      </c>
      <c r="C1441" s="20" t="s">
        <v>1451</v>
      </c>
      <c r="D1441" s="378" t="s">
        <v>2005</v>
      </c>
      <c r="E1441" s="384">
        <v>45292</v>
      </c>
      <c r="F1441" s="384">
        <v>47119</v>
      </c>
      <c r="G1441" s="378" t="s">
        <v>439</v>
      </c>
      <c r="H1441" s="20" t="s">
        <v>2006</v>
      </c>
      <c r="I1441" s="378" t="s">
        <v>441</v>
      </c>
      <c r="J1441" s="20" t="s">
        <v>163</v>
      </c>
      <c r="K1441" s="378" t="s">
        <v>2007</v>
      </c>
      <c r="L1441" s="378" t="s">
        <v>165</v>
      </c>
      <c r="M1441" s="380" t="s">
        <v>488</v>
      </c>
      <c r="N1441" s="380" t="s">
        <v>443</v>
      </c>
      <c r="O1441" s="380" t="s">
        <v>443</v>
      </c>
      <c r="P1441" s="380" t="s">
        <v>443</v>
      </c>
      <c r="Q1441" s="381">
        <v>301.43664000000001</v>
      </c>
      <c r="R1441" s="381">
        <v>301.29167000000001</v>
      </c>
      <c r="S1441" s="381">
        <v>0.14494774999999999</v>
      </c>
      <c r="T1441" s="381">
        <v>1.6509385E-5</v>
      </c>
      <c r="U1441" s="381">
        <v>0</v>
      </c>
      <c r="V1441" s="382">
        <v>301.43663425938496</v>
      </c>
      <c r="W1441" s="382">
        <v>0</v>
      </c>
      <c r="X1441" s="381">
        <v>0.1255986</v>
      </c>
      <c r="Y1441" s="381">
        <v>0.12553819583333334</v>
      </c>
      <c r="Z1441" s="381">
        <v>6.0394895833333327E-5</v>
      </c>
      <c r="AA1441" s="381">
        <v>6.8789104166666673E-9</v>
      </c>
      <c r="AB1441" s="381">
        <v>0</v>
      </c>
      <c r="AC1441" s="382">
        <v>0.12559859760807709</v>
      </c>
      <c r="AD1441" s="382">
        <v>0</v>
      </c>
      <c r="AE1441" s="381" t="s">
        <v>444</v>
      </c>
    </row>
    <row r="1442" spans="1:31" ht="15" customHeight="1" x14ac:dyDescent="0.25">
      <c r="A1442" s="20" t="s">
        <v>156</v>
      </c>
      <c r="B1442" s="20" t="s">
        <v>1450</v>
      </c>
      <c r="C1442" s="20" t="s">
        <v>1451</v>
      </c>
      <c r="D1442" s="378" t="s">
        <v>2008</v>
      </c>
      <c r="E1442" s="384">
        <v>45292</v>
      </c>
      <c r="F1442" s="384">
        <v>47119</v>
      </c>
      <c r="G1442" s="378" t="s">
        <v>439</v>
      </c>
      <c r="H1442" s="20" t="s">
        <v>2009</v>
      </c>
      <c r="I1442" s="378" t="s">
        <v>441</v>
      </c>
      <c r="J1442" s="20" t="s">
        <v>163</v>
      </c>
      <c r="K1442" s="378" t="s">
        <v>2010</v>
      </c>
      <c r="L1442" s="378" t="s">
        <v>165</v>
      </c>
      <c r="M1442" s="380" t="s">
        <v>488</v>
      </c>
      <c r="N1442" s="380" t="s">
        <v>443</v>
      </c>
      <c r="O1442" s="380" t="s">
        <v>443</v>
      </c>
      <c r="P1442" s="380" t="s">
        <v>443</v>
      </c>
      <c r="Q1442" s="381">
        <v>247.98067</v>
      </c>
      <c r="R1442" s="381">
        <v>247.83741000000001</v>
      </c>
      <c r="S1442" s="381">
        <v>0.11786947</v>
      </c>
      <c r="T1442" s="381">
        <v>2.5394894000000001E-2</v>
      </c>
      <c r="U1442" s="381">
        <v>0</v>
      </c>
      <c r="V1442" s="382">
        <v>247.98067436399998</v>
      </c>
      <c r="W1442" s="382">
        <v>0</v>
      </c>
      <c r="X1442" s="381">
        <v>0.10332527916666667</v>
      </c>
      <c r="Y1442" s="381">
        <v>0.10326558750000001</v>
      </c>
      <c r="Z1442" s="381">
        <v>4.9112279166666672E-5</v>
      </c>
      <c r="AA1442" s="381">
        <v>1.0581205833333334E-5</v>
      </c>
      <c r="AB1442" s="381">
        <v>0</v>
      </c>
      <c r="AC1442" s="382">
        <v>0.103325280985</v>
      </c>
      <c r="AD1442" s="382">
        <v>0</v>
      </c>
      <c r="AE1442" s="381" t="s">
        <v>444</v>
      </c>
    </row>
    <row r="1443" spans="1:31" ht="15" customHeight="1" x14ac:dyDescent="0.25">
      <c r="A1443" s="20" t="s">
        <v>156</v>
      </c>
      <c r="B1443" s="20" t="s">
        <v>1450</v>
      </c>
      <c r="C1443" s="20" t="s">
        <v>1451</v>
      </c>
      <c r="D1443" s="378" t="s">
        <v>2011</v>
      </c>
      <c r="E1443" s="384">
        <v>45292</v>
      </c>
      <c r="F1443" s="384">
        <v>47119</v>
      </c>
      <c r="G1443" s="378" t="s">
        <v>439</v>
      </c>
      <c r="H1443" s="20" t="s">
        <v>2012</v>
      </c>
      <c r="I1443" s="378" t="s">
        <v>441</v>
      </c>
      <c r="J1443" s="20" t="s">
        <v>163</v>
      </c>
      <c r="K1443" s="378" t="s">
        <v>2013</v>
      </c>
      <c r="L1443" s="378" t="s">
        <v>165</v>
      </c>
      <c r="M1443" s="380" t="s">
        <v>488</v>
      </c>
      <c r="N1443" s="380" t="s">
        <v>443</v>
      </c>
      <c r="O1443" s="380" t="s">
        <v>443</v>
      </c>
      <c r="P1443" s="380" t="s">
        <v>443</v>
      </c>
      <c r="Q1443" s="381">
        <v>274.14409999999998</v>
      </c>
      <c r="R1443" s="381">
        <v>274.00191000000001</v>
      </c>
      <c r="S1443" s="381">
        <v>0.11393349</v>
      </c>
      <c r="T1443" s="381">
        <v>2.8249794000000002E-2</v>
      </c>
      <c r="U1443" s="381">
        <v>0</v>
      </c>
      <c r="V1443" s="382">
        <v>274.14409328400001</v>
      </c>
      <c r="W1443" s="382">
        <v>0</v>
      </c>
      <c r="X1443" s="381">
        <v>0.11422670833333333</v>
      </c>
      <c r="Y1443" s="381">
        <v>0.1141674625</v>
      </c>
      <c r="Z1443" s="381">
        <v>4.7472287499999999E-5</v>
      </c>
      <c r="AA1443" s="381">
        <v>1.1770747500000001E-5</v>
      </c>
      <c r="AB1443" s="381">
        <v>0</v>
      </c>
      <c r="AC1443" s="382">
        <v>0.114226705535</v>
      </c>
      <c r="AD1443" s="382">
        <v>0</v>
      </c>
      <c r="AE1443" s="381" t="s">
        <v>444</v>
      </c>
    </row>
    <row r="1444" spans="1:31" ht="15" customHeight="1" x14ac:dyDescent="0.25">
      <c r="A1444" s="20" t="s">
        <v>156</v>
      </c>
      <c r="B1444" s="20" t="s">
        <v>1450</v>
      </c>
      <c r="C1444" s="20" t="s">
        <v>1451</v>
      </c>
      <c r="D1444" s="378" t="s">
        <v>2014</v>
      </c>
      <c r="E1444" s="384">
        <v>45292</v>
      </c>
      <c r="F1444" s="384">
        <v>47119</v>
      </c>
      <c r="G1444" s="378" t="s">
        <v>439</v>
      </c>
      <c r="H1444" s="20" t="s">
        <v>2015</v>
      </c>
      <c r="I1444" s="378" t="s">
        <v>441</v>
      </c>
      <c r="J1444" s="20" t="s">
        <v>163</v>
      </c>
      <c r="K1444" s="378" t="s">
        <v>2016</v>
      </c>
      <c r="L1444" s="378" t="s">
        <v>165</v>
      </c>
      <c r="M1444" s="380" t="s">
        <v>488</v>
      </c>
      <c r="N1444" s="380" t="s">
        <v>443</v>
      </c>
      <c r="O1444" s="380" t="s">
        <v>443</v>
      </c>
      <c r="P1444" s="380" t="s">
        <v>443</v>
      </c>
      <c r="Q1444" s="381">
        <v>258.74187000000001</v>
      </c>
      <c r="R1444" s="381">
        <v>258.60001999999997</v>
      </c>
      <c r="S1444" s="381">
        <v>0.11584996</v>
      </c>
      <c r="T1444" s="381">
        <v>2.5993652999999999E-2</v>
      </c>
      <c r="U1444" s="381">
        <v>0</v>
      </c>
      <c r="V1444" s="382">
        <v>258.74186361299996</v>
      </c>
      <c r="W1444" s="382">
        <v>0</v>
      </c>
      <c r="X1444" s="381">
        <v>0.1078091125</v>
      </c>
      <c r="Y1444" s="381">
        <v>0.10775000833333333</v>
      </c>
      <c r="Z1444" s="381">
        <v>4.8270816666666669E-5</v>
      </c>
      <c r="AA1444" s="381">
        <v>1.0830688749999999E-5</v>
      </c>
      <c r="AB1444" s="381">
        <v>0</v>
      </c>
      <c r="AC1444" s="382">
        <v>0.10780910983875</v>
      </c>
      <c r="AD1444" s="382">
        <v>0</v>
      </c>
      <c r="AE1444" s="381" t="s">
        <v>444</v>
      </c>
    </row>
    <row r="1445" spans="1:31" ht="15" customHeight="1" x14ac:dyDescent="0.25">
      <c r="A1445" s="20" t="s">
        <v>156</v>
      </c>
      <c r="B1445" s="20" t="s">
        <v>1450</v>
      </c>
      <c r="C1445" s="20" t="s">
        <v>1451</v>
      </c>
      <c r="D1445" s="378" t="s">
        <v>2017</v>
      </c>
      <c r="E1445" s="384">
        <v>45292</v>
      </c>
      <c r="F1445" s="384">
        <v>47119</v>
      </c>
      <c r="G1445" s="378" t="s">
        <v>439</v>
      </c>
      <c r="H1445" s="20" t="s">
        <v>2018</v>
      </c>
      <c r="I1445" s="378" t="s">
        <v>441</v>
      </c>
      <c r="J1445" s="20" t="s">
        <v>163</v>
      </c>
      <c r="K1445" s="378" t="s">
        <v>2019</v>
      </c>
      <c r="L1445" s="378" t="s">
        <v>165</v>
      </c>
      <c r="M1445" s="380" t="s">
        <v>488</v>
      </c>
      <c r="N1445" s="380" t="s">
        <v>443</v>
      </c>
      <c r="O1445" s="380" t="s">
        <v>443</v>
      </c>
      <c r="P1445" s="380" t="s">
        <v>443</v>
      </c>
      <c r="Q1445" s="381">
        <v>336.39010000000002</v>
      </c>
      <c r="R1445" s="381">
        <v>336.26274999999998</v>
      </c>
      <c r="S1445" s="381">
        <v>9.0789522999999997E-2</v>
      </c>
      <c r="T1445" s="381">
        <v>3.6552705999999997E-2</v>
      </c>
      <c r="U1445" s="381">
        <v>0</v>
      </c>
      <c r="V1445" s="382">
        <v>336.390092229</v>
      </c>
      <c r="W1445" s="382">
        <v>0</v>
      </c>
      <c r="X1445" s="381">
        <v>0.14016254166666667</v>
      </c>
      <c r="Y1445" s="381">
        <v>0.14010947916666666</v>
      </c>
      <c r="Z1445" s="381">
        <v>3.7828967916666668E-5</v>
      </c>
      <c r="AA1445" s="381">
        <v>1.5230294166666666E-5</v>
      </c>
      <c r="AB1445" s="381">
        <v>0</v>
      </c>
      <c r="AC1445" s="382">
        <v>0.14016253842874998</v>
      </c>
      <c r="AD1445" s="382">
        <v>0</v>
      </c>
      <c r="AE1445" s="381" t="s">
        <v>444</v>
      </c>
    </row>
    <row r="1446" spans="1:31" ht="15" customHeight="1" x14ac:dyDescent="0.25">
      <c r="A1446" s="20" t="s">
        <v>156</v>
      </c>
      <c r="B1446" s="20" t="s">
        <v>1450</v>
      </c>
      <c r="C1446" s="20" t="s">
        <v>1451</v>
      </c>
      <c r="D1446" s="378" t="s">
        <v>2020</v>
      </c>
      <c r="E1446" s="384">
        <v>45292</v>
      </c>
      <c r="F1446" s="384">
        <v>47119</v>
      </c>
      <c r="G1446" s="378" t="s">
        <v>439</v>
      </c>
      <c r="H1446" s="20" t="s">
        <v>2021</v>
      </c>
      <c r="I1446" s="378" t="s">
        <v>441</v>
      </c>
      <c r="J1446" s="20" t="s">
        <v>163</v>
      </c>
      <c r="K1446" s="378" t="s">
        <v>2022</v>
      </c>
      <c r="L1446" s="378" t="s">
        <v>165</v>
      </c>
      <c r="M1446" s="380" t="s">
        <v>488</v>
      </c>
      <c r="N1446" s="380" t="s">
        <v>443</v>
      </c>
      <c r="O1446" s="380" t="s">
        <v>443</v>
      </c>
      <c r="P1446" s="380" t="s">
        <v>443</v>
      </c>
      <c r="Q1446" s="381">
        <v>336.39010000000002</v>
      </c>
      <c r="R1446" s="381">
        <v>336.26274999999998</v>
      </c>
      <c r="S1446" s="381">
        <v>9.0789522999999997E-2</v>
      </c>
      <c r="T1446" s="381">
        <v>3.6552705999999997E-2</v>
      </c>
      <c r="U1446" s="381">
        <v>0</v>
      </c>
      <c r="V1446" s="382">
        <v>336.390092229</v>
      </c>
      <c r="W1446" s="382">
        <v>0</v>
      </c>
      <c r="X1446" s="381">
        <v>0.14016254166666667</v>
      </c>
      <c r="Y1446" s="381">
        <v>0.14010947916666666</v>
      </c>
      <c r="Z1446" s="381">
        <v>3.7828967916666668E-5</v>
      </c>
      <c r="AA1446" s="381">
        <v>1.5230294166666666E-5</v>
      </c>
      <c r="AB1446" s="381">
        <v>0</v>
      </c>
      <c r="AC1446" s="382">
        <v>0.14016253842874998</v>
      </c>
      <c r="AD1446" s="382">
        <v>0</v>
      </c>
      <c r="AE1446" s="381" t="s">
        <v>444</v>
      </c>
    </row>
    <row r="1447" spans="1:31" ht="15" customHeight="1" x14ac:dyDescent="0.25">
      <c r="A1447" s="20" t="s">
        <v>156</v>
      </c>
      <c r="B1447" s="20" t="s">
        <v>1450</v>
      </c>
      <c r="C1447" s="20" t="s">
        <v>1451</v>
      </c>
      <c r="D1447" s="378" t="s">
        <v>2023</v>
      </c>
      <c r="E1447" s="384">
        <v>45292</v>
      </c>
      <c r="F1447" s="384">
        <v>47119</v>
      </c>
      <c r="G1447" s="378" t="s">
        <v>439</v>
      </c>
      <c r="H1447" s="20" t="s">
        <v>2024</v>
      </c>
      <c r="I1447" s="378" t="s">
        <v>441</v>
      </c>
      <c r="J1447" s="20" t="s">
        <v>163</v>
      </c>
      <c r="K1447" s="378" t="s">
        <v>2025</v>
      </c>
      <c r="L1447" s="378" t="s">
        <v>165</v>
      </c>
      <c r="M1447" s="380" t="s">
        <v>488</v>
      </c>
      <c r="N1447" s="380" t="s">
        <v>443</v>
      </c>
      <c r="O1447" s="380" t="s">
        <v>443</v>
      </c>
      <c r="P1447" s="380" t="s">
        <v>443</v>
      </c>
      <c r="Q1447" s="381">
        <v>333.08717999999999</v>
      </c>
      <c r="R1447" s="381">
        <v>332.96273000000002</v>
      </c>
      <c r="S1447" s="381">
        <v>8.7897760000000005E-2</v>
      </c>
      <c r="T1447" s="381">
        <v>3.6553164999999999E-2</v>
      </c>
      <c r="U1447" s="381">
        <v>0</v>
      </c>
      <c r="V1447" s="382">
        <v>333.08718092499998</v>
      </c>
      <c r="W1447" s="382">
        <v>0</v>
      </c>
      <c r="X1447" s="381">
        <v>0.13878632499999999</v>
      </c>
      <c r="Y1447" s="381">
        <v>0.13873447083333335</v>
      </c>
      <c r="Z1447" s="381">
        <v>3.6624066666666667E-5</v>
      </c>
      <c r="AA1447" s="381">
        <v>1.5230485416666665E-5</v>
      </c>
      <c r="AB1447" s="381">
        <v>0</v>
      </c>
      <c r="AC1447" s="382">
        <v>0.13878632538541666</v>
      </c>
      <c r="AD1447" s="382">
        <v>0</v>
      </c>
      <c r="AE1447" s="381" t="s">
        <v>444</v>
      </c>
    </row>
    <row r="1448" spans="1:31" ht="15" customHeight="1" x14ac:dyDescent="0.25">
      <c r="A1448" s="20" t="s">
        <v>156</v>
      </c>
      <c r="B1448" s="20" t="s">
        <v>1450</v>
      </c>
      <c r="C1448" s="20" t="s">
        <v>1451</v>
      </c>
      <c r="D1448" s="378" t="s">
        <v>2026</v>
      </c>
      <c r="E1448" s="384">
        <v>45292</v>
      </c>
      <c r="F1448" s="384">
        <v>47119</v>
      </c>
      <c r="G1448" s="378" t="s">
        <v>439</v>
      </c>
      <c r="H1448" s="20" t="s">
        <v>2027</v>
      </c>
      <c r="I1448" s="378" t="s">
        <v>441</v>
      </c>
      <c r="J1448" s="20" t="s">
        <v>163</v>
      </c>
      <c r="K1448" s="378" t="s">
        <v>2028</v>
      </c>
      <c r="L1448" s="378" t="s">
        <v>165</v>
      </c>
      <c r="M1448" s="380" t="s">
        <v>488</v>
      </c>
      <c r="N1448" s="380" t="s">
        <v>443</v>
      </c>
      <c r="O1448" s="380" t="s">
        <v>443</v>
      </c>
      <c r="P1448" s="380" t="s">
        <v>443</v>
      </c>
      <c r="Q1448" s="381">
        <v>332.93803000000003</v>
      </c>
      <c r="R1448" s="381">
        <v>332.81366000000003</v>
      </c>
      <c r="S1448" s="381">
        <v>8.7818206999999995E-2</v>
      </c>
      <c r="T1448" s="381">
        <v>3.6553127999999997E-2</v>
      </c>
      <c r="U1448" s="381">
        <v>0</v>
      </c>
      <c r="V1448" s="382">
        <v>332.93803133500001</v>
      </c>
      <c r="W1448" s="382">
        <v>0</v>
      </c>
      <c r="X1448" s="381">
        <v>0.13872417916666668</v>
      </c>
      <c r="Y1448" s="381">
        <v>0.13867235833333336</v>
      </c>
      <c r="Z1448" s="381">
        <v>3.659091958333333E-5</v>
      </c>
      <c r="AA1448" s="381">
        <v>1.5230469999999999E-5</v>
      </c>
      <c r="AB1448" s="381">
        <v>0</v>
      </c>
      <c r="AC1448" s="382">
        <v>0.13872417972291667</v>
      </c>
      <c r="AD1448" s="382">
        <v>0</v>
      </c>
      <c r="AE1448" s="381" t="s">
        <v>444</v>
      </c>
    </row>
    <row r="1449" spans="1:31" ht="15" customHeight="1" x14ac:dyDescent="0.25">
      <c r="A1449" s="20" t="s">
        <v>156</v>
      </c>
      <c r="B1449" s="20" t="s">
        <v>1450</v>
      </c>
      <c r="C1449" s="20" t="s">
        <v>1451</v>
      </c>
      <c r="D1449" s="378" t="s">
        <v>2029</v>
      </c>
      <c r="E1449" s="384">
        <v>45292</v>
      </c>
      <c r="F1449" s="384">
        <v>47119</v>
      </c>
      <c r="G1449" s="378" t="s">
        <v>439</v>
      </c>
      <c r="H1449" s="20" t="s">
        <v>2030</v>
      </c>
      <c r="I1449" s="378" t="s">
        <v>441</v>
      </c>
      <c r="J1449" s="20" t="s">
        <v>163</v>
      </c>
      <c r="K1449" s="378" t="s">
        <v>2031</v>
      </c>
      <c r="L1449" s="378" t="s">
        <v>165</v>
      </c>
      <c r="M1449" s="380" t="s">
        <v>488</v>
      </c>
      <c r="N1449" s="380" t="s">
        <v>443</v>
      </c>
      <c r="O1449" s="380" t="s">
        <v>443</v>
      </c>
      <c r="P1449" s="380" t="s">
        <v>443</v>
      </c>
      <c r="Q1449" s="381">
        <v>235.13946000000001</v>
      </c>
      <c r="R1449" s="381">
        <v>235.03577999999999</v>
      </c>
      <c r="S1449" s="381">
        <v>0.10365489</v>
      </c>
      <c r="T1449" s="381">
        <v>1.9449703999999999E-5</v>
      </c>
      <c r="U1449" s="381">
        <v>0</v>
      </c>
      <c r="V1449" s="382">
        <v>235.139454339704</v>
      </c>
      <c r="W1449" s="382">
        <v>0</v>
      </c>
      <c r="X1449" s="381">
        <v>9.7974775E-2</v>
      </c>
      <c r="Y1449" s="381">
        <v>9.7931574999999993E-2</v>
      </c>
      <c r="Z1449" s="381">
        <v>4.3189537500000003E-5</v>
      </c>
      <c r="AA1449" s="381">
        <v>8.1040433333333321E-9</v>
      </c>
      <c r="AB1449" s="381">
        <v>0</v>
      </c>
      <c r="AC1449" s="382">
        <v>9.7974772641543334E-2</v>
      </c>
      <c r="AD1449" s="382">
        <v>0</v>
      </c>
      <c r="AE1449" s="381" t="s">
        <v>444</v>
      </c>
    </row>
    <row r="1450" spans="1:31" ht="15" customHeight="1" x14ac:dyDescent="0.25">
      <c r="A1450" s="20" t="s">
        <v>156</v>
      </c>
      <c r="B1450" s="20" t="s">
        <v>1450</v>
      </c>
      <c r="C1450" s="20" t="s">
        <v>1451</v>
      </c>
      <c r="D1450" s="378" t="s">
        <v>2032</v>
      </c>
      <c r="E1450" s="384">
        <v>45292</v>
      </c>
      <c r="F1450" s="384">
        <v>47119</v>
      </c>
      <c r="G1450" s="378" t="s">
        <v>439</v>
      </c>
      <c r="H1450" s="20" t="s">
        <v>2033</v>
      </c>
      <c r="I1450" s="378" t="s">
        <v>441</v>
      </c>
      <c r="J1450" s="20" t="s">
        <v>163</v>
      </c>
      <c r="K1450" s="378" t="s">
        <v>2034</v>
      </c>
      <c r="L1450" s="378" t="s">
        <v>165</v>
      </c>
      <c r="M1450" s="380" t="s">
        <v>488</v>
      </c>
      <c r="N1450" s="380" t="s">
        <v>443</v>
      </c>
      <c r="O1450" s="380" t="s">
        <v>443</v>
      </c>
      <c r="P1450" s="380" t="s">
        <v>443</v>
      </c>
      <c r="Q1450" s="381">
        <v>245.89304999999999</v>
      </c>
      <c r="R1450" s="381">
        <v>245.7928</v>
      </c>
      <c r="S1450" s="381">
        <v>9.8580520000000005E-2</v>
      </c>
      <c r="T1450" s="381">
        <v>1.6767829E-3</v>
      </c>
      <c r="U1450" s="381">
        <v>0</v>
      </c>
      <c r="V1450" s="382">
        <v>245.89305730290002</v>
      </c>
      <c r="W1450" s="382">
        <v>0</v>
      </c>
      <c r="X1450" s="381">
        <v>0.1024554375</v>
      </c>
      <c r="Y1450" s="381">
        <v>0.10241366666666667</v>
      </c>
      <c r="Z1450" s="381">
        <v>4.1075216666666666E-5</v>
      </c>
      <c r="AA1450" s="381">
        <v>6.9865954166666666E-7</v>
      </c>
      <c r="AB1450" s="381">
        <v>0</v>
      </c>
      <c r="AC1450" s="382">
        <v>0.102455440542875</v>
      </c>
      <c r="AD1450" s="382">
        <v>0</v>
      </c>
      <c r="AE1450" s="381" t="s">
        <v>444</v>
      </c>
    </row>
    <row r="1451" spans="1:31" ht="15" customHeight="1" x14ac:dyDescent="0.25">
      <c r="A1451" s="20" t="s">
        <v>156</v>
      </c>
      <c r="B1451" s="20" t="s">
        <v>1450</v>
      </c>
      <c r="C1451" s="20" t="s">
        <v>1451</v>
      </c>
      <c r="D1451" s="378" t="s">
        <v>2035</v>
      </c>
      <c r="E1451" s="384">
        <v>45292</v>
      </c>
      <c r="F1451" s="384">
        <v>47119</v>
      </c>
      <c r="G1451" s="378" t="s">
        <v>439</v>
      </c>
      <c r="H1451" s="20" t="s">
        <v>2036</v>
      </c>
      <c r="I1451" s="378" t="s">
        <v>441</v>
      </c>
      <c r="J1451" s="20" t="s">
        <v>163</v>
      </c>
      <c r="K1451" s="378" t="s">
        <v>2037</v>
      </c>
      <c r="L1451" s="378" t="s">
        <v>165</v>
      </c>
      <c r="M1451" s="380" t="s">
        <v>488</v>
      </c>
      <c r="N1451" s="380" t="s">
        <v>443</v>
      </c>
      <c r="O1451" s="380" t="s">
        <v>443</v>
      </c>
      <c r="P1451" s="380" t="s">
        <v>443</v>
      </c>
      <c r="Q1451" s="381">
        <v>255.9102</v>
      </c>
      <c r="R1451" s="381">
        <v>255.81753</v>
      </c>
      <c r="S1451" s="381">
        <v>9.1242638000000001E-2</v>
      </c>
      <c r="T1451" s="381">
        <v>1.4285506E-3</v>
      </c>
      <c r="U1451" s="381">
        <v>0</v>
      </c>
      <c r="V1451" s="382">
        <v>255.91020118860001</v>
      </c>
      <c r="W1451" s="382">
        <v>0</v>
      </c>
      <c r="X1451" s="381">
        <v>0.10662924999999999</v>
      </c>
      <c r="Y1451" s="381">
        <v>0.1065906375</v>
      </c>
      <c r="Z1451" s="381">
        <v>3.8017765833333333E-5</v>
      </c>
      <c r="AA1451" s="381">
        <v>5.9522941666666661E-7</v>
      </c>
      <c r="AB1451" s="381">
        <v>0</v>
      </c>
      <c r="AC1451" s="382">
        <v>0.10662925049525</v>
      </c>
      <c r="AD1451" s="382">
        <v>0</v>
      </c>
      <c r="AE1451" s="381" t="s">
        <v>444</v>
      </c>
    </row>
    <row r="1452" spans="1:31" ht="15" customHeight="1" x14ac:dyDescent="0.25">
      <c r="A1452" s="20" t="s">
        <v>156</v>
      </c>
      <c r="B1452" s="20" t="s">
        <v>1450</v>
      </c>
      <c r="C1452" s="20" t="s">
        <v>1451</v>
      </c>
      <c r="D1452" s="378" t="s">
        <v>2038</v>
      </c>
      <c r="E1452" s="384">
        <v>45292</v>
      </c>
      <c r="F1452" s="384">
        <v>47119</v>
      </c>
      <c r="G1452" s="378" t="s">
        <v>439</v>
      </c>
      <c r="H1452" s="20" t="s">
        <v>2039</v>
      </c>
      <c r="I1452" s="378" t="s">
        <v>441</v>
      </c>
      <c r="J1452" s="20" t="s">
        <v>163</v>
      </c>
      <c r="K1452" s="378" t="s">
        <v>2040</v>
      </c>
      <c r="L1452" s="378" t="s">
        <v>165</v>
      </c>
      <c r="M1452" s="380" t="s">
        <v>488</v>
      </c>
      <c r="N1452" s="380" t="s">
        <v>443</v>
      </c>
      <c r="O1452" s="380" t="s">
        <v>443</v>
      </c>
      <c r="P1452" s="380" t="s">
        <v>443</v>
      </c>
      <c r="Q1452" s="381">
        <v>245.27921000000001</v>
      </c>
      <c r="R1452" s="381">
        <v>245.19354999999999</v>
      </c>
      <c r="S1452" s="381">
        <v>8.4166247E-2</v>
      </c>
      <c r="T1452" s="381">
        <v>1.4915137000000001E-3</v>
      </c>
      <c r="U1452" s="381">
        <v>0</v>
      </c>
      <c r="V1452" s="382">
        <v>245.27920776069999</v>
      </c>
      <c r="W1452" s="382">
        <v>0</v>
      </c>
      <c r="X1452" s="381">
        <v>0.10219967083333334</v>
      </c>
      <c r="Y1452" s="381">
        <v>0.10216397916666665</v>
      </c>
      <c r="Z1452" s="381">
        <v>3.506926958333333E-5</v>
      </c>
      <c r="AA1452" s="381">
        <v>6.2146404166666671E-7</v>
      </c>
      <c r="AB1452" s="381">
        <v>0</v>
      </c>
      <c r="AC1452" s="382">
        <v>0.10219966990029165</v>
      </c>
      <c r="AD1452" s="382">
        <v>0</v>
      </c>
      <c r="AE1452" s="381" t="s">
        <v>444</v>
      </c>
    </row>
    <row r="1453" spans="1:31" ht="15" customHeight="1" x14ac:dyDescent="0.25">
      <c r="A1453" s="20" t="s">
        <v>156</v>
      </c>
      <c r="B1453" s="20" t="s">
        <v>1450</v>
      </c>
      <c r="C1453" s="20" t="s">
        <v>1451</v>
      </c>
      <c r="D1453" s="378" t="s">
        <v>2041</v>
      </c>
      <c r="E1453" s="384">
        <v>45292</v>
      </c>
      <c r="F1453" s="384">
        <v>47119</v>
      </c>
      <c r="G1453" s="378" t="s">
        <v>439</v>
      </c>
      <c r="H1453" s="20" t="s">
        <v>2042</v>
      </c>
      <c r="I1453" s="378" t="s">
        <v>441</v>
      </c>
      <c r="J1453" s="20" t="s">
        <v>163</v>
      </c>
      <c r="K1453" s="378" t="s">
        <v>2043</v>
      </c>
      <c r="L1453" s="378" t="s">
        <v>165</v>
      </c>
      <c r="M1453" s="380" t="s">
        <v>488</v>
      </c>
      <c r="N1453" s="380" t="s">
        <v>443</v>
      </c>
      <c r="O1453" s="380" t="s">
        <v>443</v>
      </c>
      <c r="P1453" s="380" t="s">
        <v>443</v>
      </c>
      <c r="Q1453" s="381">
        <v>242.72291999999999</v>
      </c>
      <c r="R1453" s="381">
        <v>242.63972999999999</v>
      </c>
      <c r="S1453" s="381">
        <v>8.1703119000000005E-2</v>
      </c>
      <c r="T1453" s="381">
        <v>1.4907261E-3</v>
      </c>
      <c r="U1453" s="381">
        <v>0</v>
      </c>
      <c r="V1453" s="382">
        <v>242.72292384509998</v>
      </c>
      <c r="W1453" s="382">
        <v>0</v>
      </c>
      <c r="X1453" s="381">
        <v>0.10113454999999999</v>
      </c>
      <c r="Y1453" s="381">
        <v>0.1010998875</v>
      </c>
      <c r="Z1453" s="381">
        <v>3.4042966250000005E-5</v>
      </c>
      <c r="AA1453" s="381">
        <v>6.2113587499999998E-7</v>
      </c>
      <c r="AB1453" s="381">
        <v>0</v>
      </c>
      <c r="AC1453" s="382">
        <v>0.10113455160212499</v>
      </c>
      <c r="AD1453" s="382">
        <v>0</v>
      </c>
      <c r="AE1453" s="381" t="s">
        <v>444</v>
      </c>
    </row>
    <row r="1454" spans="1:31" ht="15" customHeight="1" x14ac:dyDescent="0.25">
      <c r="A1454" s="20" t="s">
        <v>156</v>
      </c>
      <c r="B1454" s="20" t="s">
        <v>1450</v>
      </c>
      <c r="C1454" s="20" t="s">
        <v>1451</v>
      </c>
      <c r="D1454" s="378" t="s">
        <v>2044</v>
      </c>
      <c r="E1454" s="384">
        <v>45292</v>
      </c>
      <c r="F1454" s="384">
        <v>47119</v>
      </c>
      <c r="G1454" s="378" t="s">
        <v>439</v>
      </c>
      <c r="H1454" s="20" t="s">
        <v>2045</v>
      </c>
      <c r="I1454" s="378" t="s">
        <v>441</v>
      </c>
      <c r="J1454" s="20" t="s">
        <v>163</v>
      </c>
      <c r="K1454" s="378" t="s">
        <v>2046</v>
      </c>
      <c r="L1454" s="378" t="s">
        <v>165</v>
      </c>
      <c r="M1454" s="380" t="s">
        <v>488</v>
      </c>
      <c r="N1454" s="380" t="s">
        <v>443</v>
      </c>
      <c r="O1454" s="380" t="s">
        <v>443</v>
      </c>
      <c r="P1454" s="380" t="s">
        <v>443</v>
      </c>
      <c r="Q1454" s="381">
        <v>427.65989999999999</v>
      </c>
      <c r="R1454" s="381">
        <v>427.58634000000001</v>
      </c>
      <c r="S1454" s="381">
        <v>7.1157225000000005E-2</v>
      </c>
      <c r="T1454" s="381">
        <v>2.3997355999999998E-3</v>
      </c>
      <c r="U1454" s="381">
        <v>0</v>
      </c>
      <c r="V1454" s="382">
        <v>427.65989696060001</v>
      </c>
      <c r="W1454" s="382">
        <v>0</v>
      </c>
      <c r="X1454" s="381">
        <v>0.17819162499999999</v>
      </c>
      <c r="Y1454" s="381">
        <v>0.178160975</v>
      </c>
      <c r="Z1454" s="381">
        <v>2.9648843750000001E-5</v>
      </c>
      <c r="AA1454" s="381">
        <v>9.9988983333333332E-7</v>
      </c>
      <c r="AB1454" s="381">
        <v>0</v>
      </c>
      <c r="AC1454" s="382">
        <v>0.17819162373358333</v>
      </c>
      <c r="AD1454" s="382">
        <v>0</v>
      </c>
      <c r="AE1454" s="381" t="s">
        <v>444</v>
      </c>
    </row>
    <row r="1455" spans="1:31" ht="15" customHeight="1" x14ac:dyDescent="0.25">
      <c r="A1455" s="20" t="s">
        <v>156</v>
      </c>
      <c r="B1455" s="20" t="s">
        <v>1450</v>
      </c>
      <c r="C1455" s="20" t="s">
        <v>1451</v>
      </c>
      <c r="D1455" s="378" t="s">
        <v>2047</v>
      </c>
      <c r="E1455" s="384">
        <v>45292</v>
      </c>
      <c r="F1455" s="384">
        <v>47119</v>
      </c>
      <c r="G1455" s="378" t="s">
        <v>439</v>
      </c>
      <c r="H1455" s="20" t="s">
        <v>2048</v>
      </c>
      <c r="I1455" s="378" t="s">
        <v>441</v>
      </c>
      <c r="J1455" s="20" t="s">
        <v>163</v>
      </c>
      <c r="K1455" s="378" t="s">
        <v>2049</v>
      </c>
      <c r="L1455" s="378" t="s">
        <v>165</v>
      </c>
      <c r="M1455" s="380" t="s">
        <v>488</v>
      </c>
      <c r="N1455" s="380" t="s">
        <v>443</v>
      </c>
      <c r="O1455" s="380" t="s">
        <v>443</v>
      </c>
      <c r="P1455" s="380" t="s">
        <v>443</v>
      </c>
      <c r="Q1455" s="381">
        <v>379.52067</v>
      </c>
      <c r="R1455" s="381">
        <v>379.45686000000001</v>
      </c>
      <c r="S1455" s="381">
        <v>6.1791618E-2</v>
      </c>
      <c r="T1455" s="381">
        <v>2.0179555999999999E-3</v>
      </c>
      <c r="U1455" s="381">
        <v>0</v>
      </c>
      <c r="V1455" s="382">
        <v>379.5206695736</v>
      </c>
      <c r="W1455" s="382">
        <v>0</v>
      </c>
      <c r="X1455" s="381">
        <v>0.15813361249999999</v>
      </c>
      <c r="Y1455" s="381">
        <v>0.15810702500000001</v>
      </c>
      <c r="Z1455" s="381">
        <v>2.5746507499999999E-5</v>
      </c>
      <c r="AA1455" s="381">
        <v>8.4081483333333328E-7</v>
      </c>
      <c r="AB1455" s="381">
        <v>0</v>
      </c>
      <c r="AC1455" s="382">
        <v>0.15813361232233336</v>
      </c>
      <c r="AD1455" s="382">
        <v>0</v>
      </c>
      <c r="AE1455" s="381" t="s">
        <v>444</v>
      </c>
    </row>
    <row r="1456" spans="1:31" ht="15" customHeight="1" x14ac:dyDescent="0.25">
      <c r="A1456" s="20" t="s">
        <v>156</v>
      </c>
      <c r="B1456" s="20" t="s">
        <v>1450</v>
      </c>
      <c r="C1456" s="20" t="s">
        <v>1451</v>
      </c>
      <c r="D1456" s="378" t="s">
        <v>2050</v>
      </c>
      <c r="E1456" s="384">
        <v>45292</v>
      </c>
      <c r="F1456" s="384">
        <v>47119</v>
      </c>
      <c r="G1456" s="378" t="s">
        <v>439</v>
      </c>
      <c r="H1456" s="20" t="s">
        <v>2051</v>
      </c>
      <c r="I1456" s="378" t="s">
        <v>441</v>
      </c>
      <c r="J1456" s="20" t="s">
        <v>163</v>
      </c>
      <c r="K1456" s="378" t="s">
        <v>2052</v>
      </c>
      <c r="L1456" s="378" t="s">
        <v>165</v>
      </c>
      <c r="M1456" s="380" t="s">
        <v>488</v>
      </c>
      <c r="N1456" s="380" t="s">
        <v>443</v>
      </c>
      <c r="O1456" s="380" t="s">
        <v>443</v>
      </c>
      <c r="P1456" s="380" t="s">
        <v>443</v>
      </c>
      <c r="Q1456" s="381">
        <v>335.20719000000003</v>
      </c>
      <c r="R1456" s="381">
        <v>335.14918</v>
      </c>
      <c r="S1456" s="381">
        <v>5.6260848000000002E-2</v>
      </c>
      <c r="T1456" s="381">
        <v>1.7502825000000001E-3</v>
      </c>
      <c r="U1456" s="381">
        <v>0</v>
      </c>
      <c r="V1456" s="382">
        <v>335.20719113050001</v>
      </c>
      <c r="W1456" s="382">
        <v>0</v>
      </c>
      <c r="X1456" s="381">
        <v>0.13966966250000001</v>
      </c>
      <c r="Y1456" s="381">
        <v>0.13964549166666668</v>
      </c>
      <c r="Z1456" s="381">
        <v>2.3442020000000002E-5</v>
      </c>
      <c r="AA1456" s="381">
        <v>7.2928437500000002E-7</v>
      </c>
      <c r="AB1456" s="381">
        <v>0</v>
      </c>
      <c r="AC1456" s="382">
        <v>0.13966966297104166</v>
      </c>
      <c r="AD1456" s="382">
        <v>0</v>
      </c>
      <c r="AE1456" s="381" t="s">
        <v>444</v>
      </c>
    </row>
    <row r="1457" spans="1:31" ht="15" customHeight="1" x14ac:dyDescent="0.25">
      <c r="A1457" s="20" t="s">
        <v>156</v>
      </c>
      <c r="B1457" s="20" t="s">
        <v>1450</v>
      </c>
      <c r="C1457" s="20" t="s">
        <v>1451</v>
      </c>
      <c r="D1457" s="378" t="s">
        <v>2053</v>
      </c>
      <c r="E1457" s="384">
        <v>45292</v>
      </c>
      <c r="F1457" s="384">
        <v>47119</v>
      </c>
      <c r="G1457" s="378" t="s">
        <v>439</v>
      </c>
      <c r="H1457" s="20" t="s">
        <v>2054</v>
      </c>
      <c r="I1457" s="378" t="s">
        <v>441</v>
      </c>
      <c r="J1457" s="20" t="s">
        <v>163</v>
      </c>
      <c r="K1457" s="378" t="s">
        <v>2055</v>
      </c>
      <c r="L1457" s="378" t="s">
        <v>165</v>
      </c>
      <c r="M1457" s="380" t="s">
        <v>488</v>
      </c>
      <c r="N1457" s="380" t="s">
        <v>443</v>
      </c>
      <c r="O1457" s="380" t="s">
        <v>443</v>
      </c>
      <c r="P1457" s="380" t="s">
        <v>443</v>
      </c>
      <c r="Q1457" s="381">
        <v>260.80984999999998</v>
      </c>
      <c r="R1457" s="381">
        <v>260.78111000000001</v>
      </c>
      <c r="S1457" s="381">
        <v>2.7856189999999999E-2</v>
      </c>
      <c r="T1457" s="381">
        <v>8.7670573999999995E-4</v>
      </c>
      <c r="U1457" s="381">
        <v>0</v>
      </c>
      <c r="V1457" s="382">
        <v>260.80984289574002</v>
      </c>
      <c r="W1457" s="382">
        <v>0</v>
      </c>
      <c r="X1457" s="381">
        <v>0.10867077083333333</v>
      </c>
      <c r="Y1457" s="381">
        <v>0.10865879583333334</v>
      </c>
      <c r="Z1457" s="381">
        <v>1.1606745833333333E-5</v>
      </c>
      <c r="AA1457" s="381">
        <v>3.6529405833333331E-7</v>
      </c>
      <c r="AB1457" s="381">
        <v>0</v>
      </c>
      <c r="AC1457" s="382">
        <v>0.10867076787322501</v>
      </c>
      <c r="AD1457" s="382">
        <v>0</v>
      </c>
      <c r="AE1457" s="381" t="s">
        <v>444</v>
      </c>
    </row>
    <row r="1458" spans="1:31" ht="15" customHeight="1" x14ac:dyDescent="0.25">
      <c r="A1458" s="20" t="s">
        <v>156</v>
      </c>
      <c r="B1458" s="20" t="s">
        <v>2056</v>
      </c>
      <c r="C1458" s="20" t="s">
        <v>2057</v>
      </c>
      <c r="D1458" s="378" t="s">
        <v>2058</v>
      </c>
      <c r="E1458" s="379">
        <v>44910</v>
      </c>
      <c r="F1458" s="379">
        <v>46736</v>
      </c>
      <c r="G1458" s="378" t="s">
        <v>173</v>
      </c>
      <c r="H1458" s="20" t="s">
        <v>174</v>
      </c>
      <c r="I1458" s="20" t="s">
        <v>162</v>
      </c>
      <c r="J1458" s="20" t="s">
        <v>163</v>
      </c>
      <c r="K1458" s="378" t="s">
        <v>175</v>
      </c>
      <c r="L1458" s="20" t="s">
        <v>165</v>
      </c>
      <c r="M1458" s="380">
        <v>2400</v>
      </c>
      <c r="N1458" s="380"/>
      <c r="O1458" s="380"/>
      <c r="P1458" s="380"/>
      <c r="Q1458" s="381">
        <v>386</v>
      </c>
      <c r="R1458" s="381">
        <v>382</v>
      </c>
      <c r="S1458" s="381">
        <v>4.63</v>
      </c>
      <c r="T1458" s="381"/>
      <c r="U1458" s="381"/>
      <c r="V1458" s="382">
        <v>386.63</v>
      </c>
      <c r="W1458" s="382">
        <v>0</v>
      </c>
      <c r="X1458" s="381">
        <v>0.16083333333333333</v>
      </c>
      <c r="Y1458" s="381">
        <v>0.15916666666666668</v>
      </c>
      <c r="Z1458" s="381">
        <v>1.9291666666666667E-3</v>
      </c>
      <c r="AA1458" s="381">
        <v>0</v>
      </c>
      <c r="AB1458" s="381">
        <v>0</v>
      </c>
      <c r="AC1458" s="382">
        <v>0.16109583333333335</v>
      </c>
      <c r="AD1458" s="382">
        <v>0</v>
      </c>
      <c r="AE1458" s="381" t="s">
        <v>168</v>
      </c>
    </row>
    <row r="1459" spans="1:31" ht="15" customHeight="1" x14ac:dyDescent="0.25">
      <c r="A1459" s="20" t="s">
        <v>156</v>
      </c>
      <c r="B1459" s="20" t="s">
        <v>2056</v>
      </c>
      <c r="C1459" s="20" t="s">
        <v>2057</v>
      </c>
      <c r="D1459" s="378" t="s">
        <v>2059</v>
      </c>
      <c r="E1459" s="379">
        <v>44573</v>
      </c>
      <c r="F1459" s="379">
        <v>46656</v>
      </c>
      <c r="G1459" s="378" t="s">
        <v>179</v>
      </c>
      <c r="H1459" s="20" t="s">
        <v>180</v>
      </c>
      <c r="I1459" s="20" t="s">
        <v>162</v>
      </c>
      <c r="J1459" s="20" t="s">
        <v>163</v>
      </c>
      <c r="K1459" s="378" t="s">
        <v>181</v>
      </c>
      <c r="L1459" s="20" t="s">
        <v>165</v>
      </c>
      <c r="M1459" s="380">
        <v>2400</v>
      </c>
      <c r="N1459" s="380"/>
      <c r="O1459" s="380"/>
      <c r="P1459" s="380"/>
      <c r="Q1459" s="381" t="s">
        <v>1475</v>
      </c>
      <c r="R1459" s="381" t="s">
        <v>1475</v>
      </c>
      <c r="S1459" s="381" t="s">
        <v>2060</v>
      </c>
      <c r="T1459" s="381"/>
      <c r="U1459" s="381"/>
      <c r="V1459" s="382">
        <v>272.38</v>
      </c>
      <c r="W1459" s="382">
        <v>0</v>
      </c>
      <c r="X1459" s="381">
        <v>0.11333333333333333</v>
      </c>
      <c r="Y1459" s="381">
        <v>0.11333333333333333</v>
      </c>
      <c r="Z1459" s="381">
        <v>1.5833333333333332E-4</v>
      </c>
      <c r="AA1459" s="381">
        <v>0</v>
      </c>
      <c r="AB1459" s="381">
        <v>0</v>
      </c>
      <c r="AC1459" s="382">
        <v>0.11349166666666666</v>
      </c>
      <c r="AD1459" s="382">
        <v>0</v>
      </c>
      <c r="AE1459" s="381" t="s">
        <v>168</v>
      </c>
    </row>
    <row r="1460" spans="1:31" ht="15" customHeight="1" x14ac:dyDescent="0.25">
      <c r="A1460" s="20" t="s">
        <v>156</v>
      </c>
      <c r="B1460" s="20" t="s">
        <v>2056</v>
      </c>
      <c r="C1460" s="20" t="s">
        <v>2057</v>
      </c>
      <c r="D1460" s="378" t="s">
        <v>2061</v>
      </c>
      <c r="E1460" s="379">
        <v>44588</v>
      </c>
      <c r="F1460" s="379">
        <v>46414</v>
      </c>
      <c r="G1460" s="378" t="s">
        <v>160</v>
      </c>
      <c r="H1460" s="20" t="s">
        <v>161</v>
      </c>
      <c r="I1460" s="20" t="s">
        <v>162</v>
      </c>
      <c r="J1460" s="20" t="s">
        <v>163</v>
      </c>
      <c r="K1460" s="378" t="s">
        <v>164</v>
      </c>
      <c r="L1460" s="20" t="s">
        <v>165</v>
      </c>
      <c r="M1460" s="380">
        <v>2400</v>
      </c>
      <c r="N1460" s="380"/>
      <c r="O1460" s="380"/>
      <c r="P1460" s="380"/>
      <c r="Q1460" s="381" t="s">
        <v>2062</v>
      </c>
      <c r="R1460" s="381">
        <v>328</v>
      </c>
      <c r="S1460" s="381" t="s">
        <v>2060</v>
      </c>
      <c r="T1460" s="381"/>
      <c r="U1460" s="381"/>
      <c r="V1460" s="382">
        <v>328.38</v>
      </c>
      <c r="W1460" s="382">
        <v>0</v>
      </c>
      <c r="X1460" s="381">
        <v>0.13666666666666666</v>
      </c>
      <c r="Y1460" s="381">
        <v>0.13666666666666666</v>
      </c>
      <c r="Z1460" s="381">
        <v>1.5833333333333332E-4</v>
      </c>
      <c r="AA1460" s="381">
        <v>0</v>
      </c>
      <c r="AB1460" s="381">
        <v>0</v>
      </c>
      <c r="AC1460" s="382">
        <v>0.136825</v>
      </c>
      <c r="AD1460" s="382">
        <v>0</v>
      </c>
      <c r="AE1460" s="381" t="s">
        <v>168</v>
      </c>
    </row>
    <row r="1461" spans="1:31" ht="15" customHeight="1" x14ac:dyDescent="0.25">
      <c r="A1461" s="20" t="s">
        <v>156</v>
      </c>
      <c r="B1461" s="20" t="s">
        <v>2056</v>
      </c>
      <c r="C1461" s="20" t="s">
        <v>2057</v>
      </c>
      <c r="D1461" s="378" t="s">
        <v>2063</v>
      </c>
      <c r="E1461" s="379">
        <v>44588</v>
      </c>
      <c r="F1461" s="379">
        <v>46414</v>
      </c>
      <c r="G1461" s="378" t="s">
        <v>160</v>
      </c>
      <c r="H1461" s="20" t="s">
        <v>161</v>
      </c>
      <c r="I1461" s="20" t="s">
        <v>162</v>
      </c>
      <c r="J1461" s="20" t="s">
        <v>163</v>
      </c>
      <c r="K1461" s="378" t="s">
        <v>164</v>
      </c>
      <c r="L1461" s="20" t="s">
        <v>165</v>
      </c>
      <c r="M1461" s="380">
        <v>2400</v>
      </c>
      <c r="N1461" s="380"/>
      <c r="O1461" s="380"/>
      <c r="P1461" s="380"/>
      <c r="Q1461" s="381" t="s">
        <v>2064</v>
      </c>
      <c r="R1461" s="381">
        <v>330</v>
      </c>
      <c r="S1461" s="381" t="s">
        <v>2060</v>
      </c>
      <c r="T1461" s="381"/>
      <c r="U1461" s="381"/>
      <c r="V1461" s="382">
        <v>330.38</v>
      </c>
      <c r="W1461" s="382">
        <v>0</v>
      </c>
      <c r="X1461" s="381">
        <v>0.13750000000000001</v>
      </c>
      <c r="Y1461" s="381">
        <v>0.13750000000000001</v>
      </c>
      <c r="Z1461" s="381">
        <v>1.5833333333333332E-4</v>
      </c>
      <c r="AA1461" s="381">
        <v>0</v>
      </c>
      <c r="AB1461" s="381">
        <v>0</v>
      </c>
      <c r="AC1461" s="382">
        <v>0.13765833333333335</v>
      </c>
      <c r="AD1461" s="382">
        <v>0</v>
      </c>
      <c r="AE1461" s="381" t="s">
        <v>168</v>
      </c>
    </row>
    <row r="1462" spans="1:31" ht="15" customHeight="1" x14ac:dyDescent="0.25">
      <c r="A1462" s="20" t="s">
        <v>156</v>
      </c>
      <c r="B1462" s="20" t="s">
        <v>2056</v>
      </c>
      <c r="C1462" s="20" t="s">
        <v>2057</v>
      </c>
      <c r="D1462" s="378" t="s">
        <v>2065</v>
      </c>
      <c r="E1462" s="379">
        <v>44588</v>
      </c>
      <c r="F1462" s="379">
        <v>46414</v>
      </c>
      <c r="G1462" s="378" t="s">
        <v>160</v>
      </c>
      <c r="H1462" s="20" t="s">
        <v>161</v>
      </c>
      <c r="I1462" s="20" t="s">
        <v>162</v>
      </c>
      <c r="J1462" s="20" t="s">
        <v>163</v>
      </c>
      <c r="K1462" s="378" t="s">
        <v>164</v>
      </c>
      <c r="L1462" s="20" t="s">
        <v>165</v>
      </c>
      <c r="M1462" s="380">
        <v>2400</v>
      </c>
      <c r="N1462" s="380"/>
      <c r="O1462" s="380"/>
      <c r="P1462" s="380"/>
      <c r="Q1462" s="381" t="s">
        <v>1543</v>
      </c>
      <c r="R1462" s="381">
        <v>312</v>
      </c>
      <c r="S1462" s="381" t="s">
        <v>948</v>
      </c>
      <c r="T1462" s="381"/>
      <c r="U1462" s="381"/>
      <c r="V1462" s="382">
        <v>312.33999999999997</v>
      </c>
      <c r="W1462" s="382">
        <v>0</v>
      </c>
      <c r="X1462" s="381">
        <v>0.13</v>
      </c>
      <c r="Y1462" s="381">
        <v>0.13</v>
      </c>
      <c r="Z1462" s="381">
        <v>1.4166666666666668E-4</v>
      </c>
      <c r="AA1462" s="381">
        <v>0</v>
      </c>
      <c r="AB1462" s="381">
        <v>0</v>
      </c>
      <c r="AC1462" s="382">
        <v>0.13014166666666668</v>
      </c>
      <c r="AD1462" s="382">
        <v>0</v>
      </c>
      <c r="AE1462" s="381" t="s">
        <v>168</v>
      </c>
    </row>
    <row r="1463" spans="1:31" ht="15" customHeight="1" x14ac:dyDescent="0.25">
      <c r="A1463" s="20" t="s">
        <v>156</v>
      </c>
      <c r="B1463" s="20" t="s">
        <v>2056</v>
      </c>
      <c r="C1463" s="20" t="s">
        <v>2057</v>
      </c>
      <c r="D1463" s="378" t="s">
        <v>2066</v>
      </c>
      <c r="E1463" s="379">
        <v>44588</v>
      </c>
      <c r="F1463" s="379">
        <v>46414</v>
      </c>
      <c r="G1463" s="378" t="s">
        <v>160</v>
      </c>
      <c r="H1463" s="20" t="s">
        <v>161</v>
      </c>
      <c r="I1463" s="20" t="s">
        <v>162</v>
      </c>
      <c r="J1463" s="20" t="s">
        <v>163</v>
      </c>
      <c r="K1463" s="378" t="s">
        <v>164</v>
      </c>
      <c r="L1463" s="20" t="s">
        <v>165</v>
      </c>
      <c r="M1463" s="380">
        <v>2400</v>
      </c>
      <c r="N1463" s="380"/>
      <c r="O1463" s="380"/>
      <c r="P1463" s="380"/>
      <c r="Q1463" s="381" t="s">
        <v>2067</v>
      </c>
      <c r="R1463" s="381">
        <v>313</v>
      </c>
      <c r="S1463" s="381" t="s">
        <v>948</v>
      </c>
      <c r="T1463" s="381"/>
      <c r="U1463" s="381"/>
      <c r="V1463" s="382">
        <v>313.33999999999997</v>
      </c>
      <c r="W1463" s="382">
        <v>0</v>
      </c>
      <c r="X1463" s="381">
        <v>0.13041666666666665</v>
      </c>
      <c r="Y1463" s="381">
        <v>0.13041666666666665</v>
      </c>
      <c r="Z1463" s="381">
        <v>1.4166666666666668E-4</v>
      </c>
      <c r="AA1463" s="381">
        <v>0</v>
      </c>
      <c r="AB1463" s="381">
        <v>0</v>
      </c>
      <c r="AC1463" s="382">
        <v>0.13055833333333333</v>
      </c>
      <c r="AD1463" s="382">
        <v>0</v>
      </c>
      <c r="AE1463" s="381" t="s">
        <v>168</v>
      </c>
    </row>
    <row r="1464" spans="1:31" ht="15" customHeight="1" x14ac:dyDescent="0.25">
      <c r="A1464" s="20" t="s">
        <v>156</v>
      </c>
      <c r="B1464" s="20" t="s">
        <v>2056</v>
      </c>
      <c r="C1464" s="20" t="s">
        <v>2057</v>
      </c>
      <c r="D1464" s="378" t="s">
        <v>2068</v>
      </c>
      <c r="E1464" s="379">
        <v>44588</v>
      </c>
      <c r="F1464" s="379">
        <v>46414</v>
      </c>
      <c r="G1464" s="378" t="s">
        <v>160</v>
      </c>
      <c r="H1464" s="20" t="s">
        <v>161</v>
      </c>
      <c r="I1464" s="20" t="s">
        <v>162</v>
      </c>
      <c r="J1464" s="20" t="s">
        <v>163</v>
      </c>
      <c r="K1464" s="378" t="s">
        <v>164</v>
      </c>
      <c r="L1464" s="20" t="s">
        <v>165</v>
      </c>
      <c r="M1464" s="380">
        <v>2400</v>
      </c>
      <c r="N1464" s="380"/>
      <c r="O1464" s="380"/>
      <c r="P1464" s="380"/>
      <c r="Q1464" s="381" t="s">
        <v>1816</v>
      </c>
      <c r="R1464" s="381">
        <v>304</v>
      </c>
      <c r="S1464" s="381" t="s">
        <v>755</v>
      </c>
      <c r="T1464" s="381"/>
      <c r="U1464" s="381"/>
      <c r="V1464" s="382">
        <v>304.33</v>
      </c>
      <c r="W1464" s="382">
        <v>0</v>
      </c>
      <c r="X1464" s="381">
        <v>0.12666666666666668</v>
      </c>
      <c r="Y1464" s="381">
        <v>0.12666666666666668</v>
      </c>
      <c r="Z1464" s="381">
        <v>1.3750000000000001E-4</v>
      </c>
      <c r="AA1464" s="381">
        <v>0</v>
      </c>
      <c r="AB1464" s="381">
        <v>0</v>
      </c>
      <c r="AC1464" s="382">
        <v>0.12680416666666669</v>
      </c>
      <c r="AD1464" s="382">
        <v>0</v>
      </c>
      <c r="AE1464" s="381" t="s">
        <v>168</v>
      </c>
    </row>
    <row r="1465" spans="1:31" ht="15" customHeight="1" x14ac:dyDescent="0.25">
      <c r="A1465" s="20" t="s">
        <v>156</v>
      </c>
      <c r="B1465" s="20" t="s">
        <v>2056</v>
      </c>
      <c r="C1465" s="20" t="s">
        <v>2057</v>
      </c>
      <c r="D1465" s="378" t="s">
        <v>2069</v>
      </c>
      <c r="E1465" s="379">
        <v>44588</v>
      </c>
      <c r="F1465" s="379">
        <v>46414</v>
      </c>
      <c r="G1465" s="378" t="s">
        <v>160</v>
      </c>
      <c r="H1465" s="20" t="s">
        <v>161</v>
      </c>
      <c r="I1465" s="20" t="s">
        <v>162</v>
      </c>
      <c r="J1465" s="20" t="s">
        <v>163</v>
      </c>
      <c r="K1465" s="378" t="s">
        <v>164</v>
      </c>
      <c r="L1465" s="20" t="s">
        <v>165</v>
      </c>
      <c r="M1465" s="380">
        <v>2400</v>
      </c>
      <c r="N1465" s="380"/>
      <c r="O1465" s="380"/>
      <c r="P1465" s="380"/>
      <c r="Q1465" s="381" t="s">
        <v>2070</v>
      </c>
      <c r="R1465" s="381">
        <v>388</v>
      </c>
      <c r="S1465" s="381" t="s">
        <v>750</v>
      </c>
      <c r="T1465" s="381"/>
      <c r="U1465" s="381"/>
      <c r="V1465" s="382">
        <v>388.42</v>
      </c>
      <c r="W1465" s="382">
        <v>0</v>
      </c>
      <c r="X1465" s="381">
        <v>0.16166666666666665</v>
      </c>
      <c r="Y1465" s="381">
        <v>0.16166666666666665</v>
      </c>
      <c r="Z1465" s="381">
        <v>1.75E-4</v>
      </c>
      <c r="AA1465" s="381">
        <v>0</v>
      </c>
      <c r="AB1465" s="381">
        <v>0</v>
      </c>
      <c r="AC1465" s="382">
        <v>0.16184166666666666</v>
      </c>
      <c r="AD1465" s="382">
        <v>0</v>
      </c>
      <c r="AE1465" s="381" t="s">
        <v>168</v>
      </c>
    </row>
    <row r="1466" spans="1:31" ht="15" customHeight="1" x14ac:dyDescent="0.25">
      <c r="A1466" s="20" t="s">
        <v>156</v>
      </c>
      <c r="B1466" s="20" t="s">
        <v>2056</v>
      </c>
      <c r="C1466" s="20" t="s">
        <v>2057</v>
      </c>
      <c r="D1466" s="378" t="s">
        <v>2071</v>
      </c>
      <c r="E1466" s="379">
        <v>44588</v>
      </c>
      <c r="F1466" s="379">
        <v>46414</v>
      </c>
      <c r="G1466" s="378" t="s">
        <v>160</v>
      </c>
      <c r="H1466" s="20" t="s">
        <v>161</v>
      </c>
      <c r="I1466" s="20" t="s">
        <v>162</v>
      </c>
      <c r="J1466" s="20" t="s">
        <v>163</v>
      </c>
      <c r="K1466" s="378" t="s">
        <v>164</v>
      </c>
      <c r="L1466" s="20" t="s">
        <v>165</v>
      </c>
      <c r="M1466" s="380">
        <v>2400</v>
      </c>
      <c r="N1466" s="380"/>
      <c r="O1466" s="380"/>
      <c r="P1466" s="380"/>
      <c r="Q1466" s="381" t="s">
        <v>1489</v>
      </c>
      <c r="R1466" s="381">
        <v>305</v>
      </c>
      <c r="S1466" s="381" t="s">
        <v>755</v>
      </c>
      <c r="T1466" s="381"/>
      <c r="U1466" s="381"/>
      <c r="V1466" s="382">
        <v>305.33</v>
      </c>
      <c r="W1466" s="382">
        <v>0</v>
      </c>
      <c r="X1466" s="381">
        <v>0.12708333333333333</v>
      </c>
      <c r="Y1466" s="381">
        <v>0.12708333333333333</v>
      </c>
      <c r="Z1466" s="381">
        <v>1.3750000000000001E-4</v>
      </c>
      <c r="AA1466" s="381">
        <v>0</v>
      </c>
      <c r="AB1466" s="381">
        <v>0</v>
      </c>
      <c r="AC1466" s="382">
        <v>0.12722083333333334</v>
      </c>
      <c r="AD1466" s="382">
        <v>0</v>
      </c>
      <c r="AE1466" s="381" t="s">
        <v>168</v>
      </c>
    </row>
    <row r="1467" spans="1:31" ht="15" customHeight="1" x14ac:dyDescent="0.25">
      <c r="A1467" s="20" t="s">
        <v>156</v>
      </c>
      <c r="B1467" s="20" t="s">
        <v>2056</v>
      </c>
      <c r="C1467" s="20" t="s">
        <v>2057</v>
      </c>
      <c r="D1467" s="378" t="s">
        <v>2072</v>
      </c>
      <c r="E1467" s="379">
        <v>45016</v>
      </c>
      <c r="F1467" s="379">
        <v>46843</v>
      </c>
      <c r="G1467" s="378" t="s">
        <v>193</v>
      </c>
      <c r="H1467" s="20" t="s">
        <v>194</v>
      </c>
      <c r="I1467" s="20" t="s">
        <v>162</v>
      </c>
      <c r="J1467" s="20" t="s">
        <v>163</v>
      </c>
      <c r="K1467" s="378" t="s">
        <v>195</v>
      </c>
      <c r="L1467" s="20" t="s">
        <v>165</v>
      </c>
      <c r="M1467" s="380">
        <v>2400</v>
      </c>
      <c r="N1467" s="380"/>
      <c r="O1467" s="380"/>
      <c r="P1467" s="380"/>
      <c r="Q1467" s="381">
        <v>336</v>
      </c>
      <c r="R1467" s="381">
        <v>336</v>
      </c>
      <c r="S1467" s="381">
        <v>0.36</v>
      </c>
      <c r="T1467" s="381"/>
      <c r="U1467" s="381"/>
      <c r="V1467" s="382">
        <v>336.36</v>
      </c>
      <c r="W1467" s="382">
        <v>0</v>
      </c>
      <c r="X1467" s="381">
        <v>0.14000000000000001</v>
      </c>
      <c r="Y1467" s="381">
        <v>0.14000000000000001</v>
      </c>
      <c r="Z1467" s="381">
        <v>1.4999999999999999E-4</v>
      </c>
      <c r="AA1467" s="381">
        <v>0</v>
      </c>
      <c r="AB1467" s="381">
        <v>0</v>
      </c>
      <c r="AC1467" s="382">
        <v>0.14015000000000002</v>
      </c>
      <c r="AD1467" s="382">
        <v>0</v>
      </c>
      <c r="AE1467" s="381" t="s">
        <v>168</v>
      </c>
    </row>
    <row r="1468" spans="1:31" ht="15" customHeight="1" x14ac:dyDescent="0.25">
      <c r="A1468" s="20" t="s">
        <v>156</v>
      </c>
      <c r="B1468" s="20" t="s">
        <v>2056</v>
      </c>
      <c r="C1468" s="20" t="s">
        <v>2057</v>
      </c>
      <c r="D1468" s="378" t="s">
        <v>2073</v>
      </c>
      <c r="E1468" s="379">
        <v>44573</v>
      </c>
      <c r="F1468" s="379">
        <v>46656</v>
      </c>
      <c r="G1468" s="378" t="s">
        <v>179</v>
      </c>
      <c r="H1468" s="20" t="s">
        <v>180</v>
      </c>
      <c r="I1468" s="20" t="s">
        <v>162</v>
      </c>
      <c r="J1468" s="20" t="s">
        <v>163</v>
      </c>
      <c r="K1468" s="378" t="s">
        <v>181</v>
      </c>
      <c r="L1468" s="20" t="s">
        <v>165</v>
      </c>
      <c r="M1468" s="380">
        <v>2400</v>
      </c>
      <c r="N1468" s="380"/>
      <c r="O1468" s="380"/>
      <c r="P1468" s="380"/>
      <c r="Q1468" s="381" t="s">
        <v>2074</v>
      </c>
      <c r="R1468" s="381" t="s">
        <v>2074</v>
      </c>
      <c r="S1468" s="381" t="s">
        <v>2075</v>
      </c>
      <c r="T1468" s="381"/>
      <c r="U1468" s="381"/>
      <c r="V1468" s="382">
        <v>340.36</v>
      </c>
      <c r="W1468" s="382">
        <v>0</v>
      </c>
      <c r="X1468" s="381">
        <v>0.14166666666666666</v>
      </c>
      <c r="Y1468" s="381">
        <v>0.14166666666666666</v>
      </c>
      <c r="Z1468" s="381">
        <v>1.4999999999999999E-4</v>
      </c>
      <c r="AA1468" s="381">
        <v>0</v>
      </c>
      <c r="AB1468" s="381">
        <v>0</v>
      </c>
      <c r="AC1468" s="382">
        <v>0.14181666666666667</v>
      </c>
      <c r="AD1468" s="382">
        <v>0</v>
      </c>
      <c r="AE1468" s="381" t="s">
        <v>168</v>
      </c>
    </row>
    <row r="1469" spans="1:31" ht="15" customHeight="1" x14ac:dyDescent="0.25">
      <c r="A1469" s="20" t="s">
        <v>156</v>
      </c>
      <c r="B1469" s="20" t="s">
        <v>2056</v>
      </c>
      <c r="C1469" s="20" t="s">
        <v>2057</v>
      </c>
      <c r="D1469" s="378" t="s">
        <v>2076</v>
      </c>
      <c r="E1469" s="379">
        <v>44573</v>
      </c>
      <c r="F1469" s="379">
        <v>46656</v>
      </c>
      <c r="G1469" s="378" t="s">
        <v>179</v>
      </c>
      <c r="H1469" s="20" t="s">
        <v>180</v>
      </c>
      <c r="I1469" s="20" t="s">
        <v>162</v>
      </c>
      <c r="J1469" s="20" t="s">
        <v>163</v>
      </c>
      <c r="K1469" s="378" t="s">
        <v>181</v>
      </c>
      <c r="L1469" s="20" t="s">
        <v>165</v>
      </c>
      <c r="M1469" s="380">
        <v>2400</v>
      </c>
      <c r="N1469" s="380"/>
      <c r="O1469" s="380"/>
      <c r="P1469" s="380"/>
      <c r="Q1469" s="381" t="s">
        <v>1817</v>
      </c>
      <c r="R1469" s="381" t="s">
        <v>1817</v>
      </c>
      <c r="S1469" s="381" t="s">
        <v>538</v>
      </c>
      <c r="T1469" s="381"/>
      <c r="U1469" s="381"/>
      <c r="V1469" s="382">
        <v>303.32</v>
      </c>
      <c r="W1469" s="382">
        <v>0</v>
      </c>
      <c r="X1469" s="381">
        <v>0.12625</v>
      </c>
      <c r="Y1469" s="381">
        <v>0.12625</v>
      </c>
      <c r="Z1469" s="381">
        <v>1.3333333333333334E-4</v>
      </c>
      <c r="AA1469" s="381">
        <v>0</v>
      </c>
      <c r="AB1469" s="381">
        <v>0</v>
      </c>
      <c r="AC1469" s="382">
        <v>0.12638333333333335</v>
      </c>
      <c r="AD1469" s="382">
        <v>0</v>
      </c>
      <c r="AE1469" s="381" t="s">
        <v>168</v>
      </c>
    </row>
    <row r="1470" spans="1:31" ht="15" customHeight="1" x14ac:dyDescent="0.25">
      <c r="A1470" s="20" t="s">
        <v>156</v>
      </c>
      <c r="B1470" s="20" t="s">
        <v>2056</v>
      </c>
      <c r="C1470" s="20" t="s">
        <v>2057</v>
      </c>
      <c r="D1470" s="378" t="s">
        <v>2077</v>
      </c>
      <c r="E1470" s="379">
        <v>44573</v>
      </c>
      <c r="F1470" s="379">
        <v>46656</v>
      </c>
      <c r="G1470" s="378" t="s">
        <v>179</v>
      </c>
      <c r="H1470" s="20" t="s">
        <v>180</v>
      </c>
      <c r="I1470" s="20" t="s">
        <v>162</v>
      </c>
      <c r="J1470" s="20" t="s">
        <v>163</v>
      </c>
      <c r="K1470" s="378" t="s">
        <v>181</v>
      </c>
      <c r="L1470" s="20" t="s">
        <v>165</v>
      </c>
      <c r="M1470" s="380">
        <v>2400</v>
      </c>
      <c r="N1470" s="380"/>
      <c r="O1470" s="380"/>
      <c r="P1470" s="380"/>
      <c r="Q1470" s="381" t="s">
        <v>1557</v>
      </c>
      <c r="R1470" s="381" t="s">
        <v>1557</v>
      </c>
      <c r="S1470" s="381" t="s">
        <v>171</v>
      </c>
      <c r="T1470" s="381"/>
      <c r="U1470" s="381"/>
      <c r="V1470" s="382">
        <v>294.31</v>
      </c>
      <c r="W1470" s="382">
        <v>0</v>
      </c>
      <c r="X1470" s="381">
        <v>0.1225</v>
      </c>
      <c r="Y1470" s="381">
        <v>0.1225</v>
      </c>
      <c r="Z1470" s="381">
        <v>1.2916666666666667E-4</v>
      </c>
      <c r="AA1470" s="381">
        <v>0</v>
      </c>
      <c r="AB1470" s="381">
        <v>0</v>
      </c>
      <c r="AC1470" s="382">
        <v>0.12262916666666666</v>
      </c>
      <c r="AD1470" s="382">
        <v>0</v>
      </c>
      <c r="AE1470" s="381" t="s">
        <v>168</v>
      </c>
    </row>
    <row r="1471" spans="1:31" ht="15" customHeight="1" x14ac:dyDescent="0.25">
      <c r="A1471" s="20" t="s">
        <v>156</v>
      </c>
      <c r="B1471" s="20" t="s">
        <v>2056</v>
      </c>
      <c r="C1471" s="20" t="s">
        <v>2057</v>
      </c>
      <c r="D1471" s="378" t="s">
        <v>2078</v>
      </c>
      <c r="E1471" s="379">
        <v>44573</v>
      </c>
      <c r="F1471" s="379">
        <v>46656</v>
      </c>
      <c r="G1471" s="378" t="s">
        <v>179</v>
      </c>
      <c r="H1471" s="20" t="s">
        <v>180</v>
      </c>
      <c r="I1471" s="20" t="s">
        <v>162</v>
      </c>
      <c r="J1471" s="20" t="s">
        <v>163</v>
      </c>
      <c r="K1471" s="378" t="s">
        <v>181</v>
      </c>
      <c r="L1471" s="20" t="s">
        <v>165</v>
      </c>
      <c r="M1471" s="380">
        <v>2400</v>
      </c>
      <c r="N1471" s="380"/>
      <c r="O1471" s="380"/>
      <c r="P1471" s="380"/>
      <c r="Q1471" s="381" t="s">
        <v>1469</v>
      </c>
      <c r="R1471" s="381" t="s">
        <v>1469</v>
      </c>
      <c r="S1471" s="381" t="s">
        <v>971</v>
      </c>
      <c r="T1471" s="381"/>
      <c r="U1471" s="381"/>
      <c r="V1471" s="382">
        <v>279.29000000000002</v>
      </c>
      <c r="W1471" s="382">
        <v>0</v>
      </c>
      <c r="X1471" s="381">
        <v>0.11625000000000001</v>
      </c>
      <c r="Y1471" s="381">
        <v>0.11625000000000001</v>
      </c>
      <c r="Z1471" s="381">
        <v>1.2083333333333332E-4</v>
      </c>
      <c r="AA1471" s="381">
        <v>0</v>
      </c>
      <c r="AB1471" s="381">
        <v>0</v>
      </c>
      <c r="AC1471" s="382">
        <v>0.11637083333333334</v>
      </c>
      <c r="AD1471" s="382">
        <v>0</v>
      </c>
      <c r="AE1471" s="381" t="s">
        <v>168</v>
      </c>
    </row>
    <row r="1472" spans="1:31" ht="15" customHeight="1" x14ac:dyDescent="0.25">
      <c r="A1472" s="20" t="s">
        <v>156</v>
      </c>
      <c r="B1472" s="20" t="s">
        <v>2056</v>
      </c>
      <c r="C1472" s="20" t="s">
        <v>2057</v>
      </c>
      <c r="D1472" s="378" t="s">
        <v>2079</v>
      </c>
      <c r="E1472" s="379">
        <v>45016</v>
      </c>
      <c r="F1472" s="379">
        <v>46843</v>
      </c>
      <c r="G1472" s="378" t="s">
        <v>179</v>
      </c>
      <c r="H1472" s="20" t="s">
        <v>202</v>
      </c>
      <c r="I1472" s="20" t="s">
        <v>162</v>
      </c>
      <c r="J1472" s="20" t="s">
        <v>163</v>
      </c>
      <c r="K1472" s="378" t="s">
        <v>203</v>
      </c>
      <c r="L1472" s="20" t="s">
        <v>165</v>
      </c>
      <c r="M1472" s="380">
        <v>2400</v>
      </c>
      <c r="N1472" s="380"/>
      <c r="O1472" s="380"/>
      <c r="P1472" s="380"/>
      <c r="Q1472" s="381">
        <v>293</v>
      </c>
      <c r="R1472" s="381">
        <v>293</v>
      </c>
      <c r="S1472" s="381">
        <v>0.28999999999999998</v>
      </c>
      <c r="T1472" s="381"/>
      <c r="U1472" s="381"/>
      <c r="V1472" s="382">
        <v>293.29000000000002</v>
      </c>
      <c r="W1472" s="382">
        <v>0</v>
      </c>
      <c r="X1472" s="381">
        <v>0.12208333333333334</v>
      </c>
      <c r="Y1472" s="381">
        <v>0.12208333333333334</v>
      </c>
      <c r="Z1472" s="381">
        <v>1.2083333333333332E-4</v>
      </c>
      <c r="AA1472" s="381">
        <v>0</v>
      </c>
      <c r="AB1472" s="381">
        <v>0</v>
      </c>
      <c r="AC1472" s="382">
        <v>0.12220416666666667</v>
      </c>
      <c r="AD1472" s="382">
        <v>0</v>
      </c>
      <c r="AE1472" s="381" t="s">
        <v>168</v>
      </c>
    </row>
    <row r="1473" spans="1:31" ht="15" customHeight="1" x14ac:dyDescent="0.25">
      <c r="A1473" s="20" t="s">
        <v>156</v>
      </c>
      <c r="B1473" s="20" t="s">
        <v>2056</v>
      </c>
      <c r="C1473" s="20" t="s">
        <v>2057</v>
      </c>
      <c r="D1473" s="378" t="s">
        <v>2080</v>
      </c>
      <c r="E1473" s="379">
        <v>44573</v>
      </c>
      <c r="F1473" s="379">
        <v>46656</v>
      </c>
      <c r="G1473" s="378" t="s">
        <v>179</v>
      </c>
      <c r="H1473" s="20" t="s">
        <v>180</v>
      </c>
      <c r="I1473" s="20" t="s">
        <v>162</v>
      </c>
      <c r="J1473" s="20" t="s">
        <v>163</v>
      </c>
      <c r="K1473" s="378" t="s">
        <v>181</v>
      </c>
      <c r="L1473" s="20" t="s">
        <v>165</v>
      </c>
      <c r="M1473" s="380">
        <v>2400</v>
      </c>
      <c r="N1473" s="380"/>
      <c r="O1473" s="380"/>
      <c r="P1473" s="380"/>
      <c r="Q1473" s="381" t="s">
        <v>2081</v>
      </c>
      <c r="R1473" s="381" t="s">
        <v>2081</v>
      </c>
      <c r="S1473" s="381" t="s">
        <v>952</v>
      </c>
      <c r="T1473" s="381"/>
      <c r="U1473" s="381"/>
      <c r="V1473" s="382">
        <v>307.3</v>
      </c>
      <c r="W1473" s="382">
        <v>0</v>
      </c>
      <c r="X1473" s="381">
        <v>0.12791666666666668</v>
      </c>
      <c r="Y1473" s="381">
        <v>0.12791666666666668</v>
      </c>
      <c r="Z1473" s="381">
        <v>1.25E-4</v>
      </c>
      <c r="AA1473" s="381">
        <v>0</v>
      </c>
      <c r="AB1473" s="381">
        <v>0</v>
      </c>
      <c r="AC1473" s="382">
        <v>0.12804166666666666</v>
      </c>
      <c r="AD1473" s="382">
        <v>0</v>
      </c>
      <c r="AE1473" s="381" t="s">
        <v>168</v>
      </c>
    </row>
    <row r="1474" spans="1:31" ht="15" customHeight="1" x14ac:dyDescent="0.25">
      <c r="A1474" s="20" t="s">
        <v>156</v>
      </c>
      <c r="B1474" s="20" t="s">
        <v>2056</v>
      </c>
      <c r="C1474" s="20" t="s">
        <v>2057</v>
      </c>
      <c r="D1474" s="378" t="s">
        <v>2082</v>
      </c>
      <c r="E1474" s="379">
        <v>45016</v>
      </c>
      <c r="F1474" s="379">
        <v>46843</v>
      </c>
      <c r="G1474" s="378" t="s">
        <v>193</v>
      </c>
      <c r="H1474" s="20" t="s">
        <v>194</v>
      </c>
      <c r="I1474" s="20" t="s">
        <v>162</v>
      </c>
      <c r="J1474" s="20" t="s">
        <v>163</v>
      </c>
      <c r="K1474" s="378" t="s">
        <v>195</v>
      </c>
      <c r="L1474" s="20" t="s">
        <v>165</v>
      </c>
      <c r="M1474" s="380">
        <v>2400</v>
      </c>
      <c r="N1474" s="380"/>
      <c r="O1474" s="380"/>
      <c r="P1474" s="380"/>
      <c r="Q1474" s="381">
        <v>344</v>
      </c>
      <c r="R1474" s="381">
        <v>344</v>
      </c>
      <c r="S1474" s="381">
        <v>0.33600000000000002</v>
      </c>
      <c r="T1474" s="381"/>
      <c r="U1474" s="381"/>
      <c r="V1474" s="382">
        <v>344.33600000000001</v>
      </c>
      <c r="W1474" s="382">
        <v>0</v>
      </c>
      <c r="X1474" s="381">
        <v>0.14333333333333334</v>
      </c>
      <c r="Y1474" s="381">
        <v>0.14333333333333334</v>
      </c>
      <c r="Z1474" s="381">
        <v>1.4000000000000001E-4</v>
      </c>
      <c r="AA1474" s="381">
        <v>0</v>
      </c>
      <c r="AB1474" s="381">
        <v>0</v>
      </c>
      <c r="AC1474" s="382">
        <v>0.14347333333333334</v>
      </c>
      <c r="AD1474" s="382">
        <v>0</v>
      </c>
      <c r="AE1474" s="381" t="s">
        <v>168</v>
      </c>
    </row>
    <row r="1475" spans="1:31" ht="15" customHeight="1" x14ac:dyDescent="0.25">
      <c r="A1475" s="20" t="s">
        <v>156</v>
      </c>
      <c r="B1475" s="20" t="s">
        <v>2056</v>
      </c>
      <c r="C1475" s="20" t="s">
        <v>2057</v>
      </c>
      <c r="D1475" s="378" t="s">
        <v>2083</v>
      </c>
      <c r="E1475" s="379">
        <v>44294</v>
      </c>
      <c r="F1475" s="379">
        <v>46120</v>
      </c>
      <c r="G1475" s="378" t="s">
        <v>219</v>
      </c>
      <c r="H1475" s="20" t="s">
        <v>220</v>
      </c>
      <c r="I1475" s="20" t="s">
        <v>162</v>
      </c>
      <c r="J1475" s="20" t="s">
        <v>163</v>
      </c>
      <c r="K1475" s="378" t="s">
        <v>221</v>
      </c>
      <c r="L1475" s="20" t="s">
        <v>165</v>
      </c>
      <c r="M1475" s="380">
        <v>2400</v>
      </c>
      <c r="N1475" s="380"/>
      <c r="O1475" s="380"/>
      <c r="P1475" s="380"/>
      <c r="Q1475" s="381" t="s">
        <v>2084</v>
      </c>
      <c r="R1475" s="380" t="s">
        <v>2084</v>
      </c>
      <c r="S1475" s="381" t="s">
        <v>755</v>
      </c>
      <c r="T1475" s="381"/>
      <c r="U1475" s="381"/>
      <c r="V1475" s="382">
        <v>353.33</v>
      </c>
      <c r="W1475" s="382">
        <v>0</v>
      </c>
      <c r="X1475" s="381">
        <v>0.14708333333333334</v>
      </c>
      <c r="Y1475" s="381">
        <v>0.14708333333333334</v>
      </c>
      <c r="Z1475" s="381">
        <v>1.3750000000000001E-4</v>
      </c>
      <c r="AA1475" s="381">
        <v>0</v>
      </c>
      <c r="AB1475" s="381">
        <v>0</v>
      </c>
      <c r="AC1475" s="382">
        <v>0.14722083333333336</v>
      </c>
      <c r="AD1475" s="382">
        <v>0</v>
      </c>
      <c r="AE1475" s="381" t="s">
        <v>168</v>
      </c>
    </row>
    <row r="1476" spans="1:31" ht="15" customHeight="1" x14ac:dyDescent="0.25">
      <c r="A1476" s="20" t="s">
        <v>156</v>
      </c>
      <c r="B1476" s="20" t="s">
        <v>2056</v>
      </c>
      <c r="C1476" s="20" t="s">
        <v>2057</v>
      </c>
      <c r="D1476" s="378" t="s">
        <v>2085</v>
      </c>
      <c r="E1476" s="379">
        <v>44573</v>
      </c>
      <c r="F1476" s="379">
        <v>46656</v>
      </c>
      <c r="G1476" s="378" t="s">
        <v>179</v>
      </c>
      <c r="H1476" s="20" t="s">
        <v>180</v>
      </c>
      <c r="I1476" s="20" t="s">
        <v>162</v>
      </c>
      <c r="J1476" s="20" t="s">
        <v>163</v>
      </c>
      <c r="K1476" s="378" t="s">
        <v>181</v>
      </c>
      <c r="L1476" s="20" t="s">
        <v>165</v>
      </c>
      <c r="M1476" s="380">
        <v>2400</v>
      </c>
      <c r="N1476" s="380"/>
      <c r="O1476" s="380"/>
      <c r="P1476" s="380"/>
      <c r="Q1476" s="381" t="s">
        <v>2086</v>
      </c>
      <c r="R1476" s="381" t="s">
        <v>2086</v>
      </c>
      <c r="S1476" s="381" t="s">
        <v>948</v>
      </c>
      <c r="T1476" s="381"/>
      <c r="U1476" s="381"/>
      <c r="V1476" s="382">
        <v>375.34</v>
      </c>
      <c r="W1476" s="382">
        <v>0</v>
      </c>
      <c r="X1476" s="381">
        <v>0.15625</v>
      </c>
      <c r="Y1476" s="381">
        <v>0.15625</v>
      </c>
      <c r="Z1476" s="381">
        <v>1.4166666666666668E-4</v>
      </c>
      <c r="AA1476" s="381">
        <v>0</v>
      </c>
      <c r="AB1476" s="381">
        <v>0</v>
      </c>
      <c r="AC1476" s="382">
        <v>0.15639166666666668</v>
      </c>
      <c r="AD1476" s="382">
        <v>0</v>
      </c>
      <c r="AE1476" s="381" t="s">
        <v>168</v>
      </c>
    </row>
    <row r="1477" spans="1:31" ht="15" customHeight="1" x14ac:dyDescent="0.25">
      <c r="A1477" s="20" t="s">
        <v>156</v>
      </c>
      <c r="B1477" s="20" t="s">
        <v>2056</v>
      </c>
      <c r="C1477" s="20" t="s">
        <v>2057</v>
      </c>
      <c r="D1477" s="378" t="s">
        <v>2087</v>
      </c>
      <c r="E1477" s="379">
        <v>45016</v>
      </c>
      <c r="F1477" s="379">
        <v>46843</v>
      </c>
      <c r="G1477" s="378" t="s">
        <v>179</v>
      </c>
      <c r="H1477" s="20" t="s">
        <v>202</v>
      </c>
      <c r="I1477" s="20" t="s">
        <v>162</v>
      </c>
      <c r="J1477" s="20" t="s">
        <v>163</v>
      </c>
      <c r="K1477" s="378" t="s">
        <v>203</v>
      </c>
      <c r="L1477" s="20" t="s">
        <v>165</v>
      </c>
      <c r="M1477" s="380">
        <v>2400</v>
      </c>
      <c r="N1477" s="380"/>
      <c r="O1477" s="380"/>
      <c r="P1477" s="380"/>
      <c r="Q1477" s="381">
        <v>242</v>
      </c>
      <c r="R1477" s="381">
        <v>242</v>
      </c>
      <c r="S1477" s="381">
        <v>0.21</v>
      </c>
      <c r="T1477" s="381"/>
      <c r="U1477" s="381"/>
      <c r="V1477" s="382">
        <v>242.21</v>
      </c>
      <c r="W1477" s="382">
        <v>0</v>
      </c>
      <c r="X1477" s="381">
        <v>0.10083333333333333</v>
      </c>
      <c r="Y1477" s="381">
        <v>0.10083333333333333</v>
      </c>
      <c r="Z1477" s="381">
        <v>8.7499999999999999E-5</v>
      </c>
      <c r="AA1477" s="381">
        <v>0</v>
      </c>
      <c r="AB1477" s="381">
        <v>0</v>
      </c>
      <c r="AC1477" s="382">
        <v>0.10092083333333333</v>
      </c>
      <c r="AD1477" s="382">
        <v>0</v>
      </c>
      <c r="AE1477" s="381" t="s">
        <v>168</v>
      </c>
    </row>
    <row r="1478" spans="1:31" ht="15" customHeight="1" x14ac:dyDescent="0.25">
      <c r="A1478" s="20" t="s">
        <v>156</v>
      </c>
      <c r="B1478" s="20" t="s">
        <v>2056</v>
      </c>
      <c r="C1478" s="20" t="s">
        <v>2057</v>
      </c>
      <c r="D1478" s="378" t="s">
        <v>2088</v>
      </c>
      <c r="E1478" s="379">
        <v>44294</v>
      </c>
      <c r="F1478" s="379">
        <v>46120</v>
      </c>
      <c r="G1478" s="378" t="s">
        <v>219</v>
      </c>
      <c r="H1478" s="20" t="s">
        <v>220</v>
      </c>
      <c r="I1478" s="20" t="s">
        <v>162</v>
      </c>
      <c r="J1478" s="20" t="s">
        <v>163</v>
      </c>
      <c r="K1478" s="378" t="s">
        <v>221</v>
      </c>
      <c r="L1478" s="20" t="s">
        <v>165</v>
      </c>
      <c r="M1478" s="380">
        <v>2400</v>
      </c>
      <c r="N1478" s="380"/>
      <c r="O1478" s="380"/>
      <c r="P1478" s="380"/>
      <c r="Q1478" s="381" t="s">
        <v>1823</v>
      </c>
      <c r="R1478" s="380" t="s">
        <v>1823</v>
      </c>
      <c r="S1478" s="381" t="s">
        <v>964</v>
      </c>
      <c r="T1478" s="381"/>
      <c r="U1478" s="381"/>
      <c r="V1478" s="382">
        <v>247.21</v>
      </c>
      <c r="W1478" s="382">
        <v>0</v>
      </c>
      <c r="X1478" s="381">
        <v>0.10291666666666667</v>
      </c>
      <c r="Y1478" s="381">
        <v>0.10291666666666667</v>
      </c>
      <c r="Z1478" s="381">
        <v>8.7499999999999999E-5</v>
      </c>
      <c r="AA1478" s="381">
        <v>0</v>
      </c>
      <c r="AB1478" s="381">
        <v>0</v>
      </c>
      <c r="AC1478" s="382">
        <v>0.10300416666666667</v>
      </c>
      <c r="AD1478" s="382">
        <v>0</v>
      </c>
      <c r="AE1478" s="381" t="s">
        <v>168</v>
      </c>
    </row>
    <row r="1479" spans="1:31" ht="15" customHeight="1" x14ac:dyDescent="0.25">
      <c r="A1479" s="20" t="s">
        <v>156</v>
      </c>
      <c r="B1479" s="20" t="s">
        <v>2056</v>
      </c>
      <c r="C1479" s="20" t="s">
        <v>2057</v>
      </c>
      <c r="D1479" s="378" t="s">
        <v>2089</v>
      </c>
      <c r="E1479" s="379">
        <v>44294</v>
      </c>
      <c r="F1479" s="379">
        <v>46120</v>
      </c>
      <c r="G1479" s="378" t="s">
        <v>219</v>
      </c>
      <c r="H1479" s="20" t="s">
        <v>220</v>
      </c>
      <c r="I1479" s="20" t="s">
        <v>162</v>
      </c>
      <c r="J1479" s="20" t="s">
        <v>163</v>
      </c>
      <c r="K1479" s="378" t="s">
        <v>221</v>
      </c>
      <c r="L1479" s="20" t="s">
        <v>165</v>
      </c>
      <c r="M1479" s="380">
        <v>2400</v>
      </c>
      <c r="N1479" s="380"/>
      <c r="O1479" s="380"/>
      <c r="P1479" s="380"/>
      <c r="Q1479" s="381" t="s">
        <v>986</v>
      </c>
      <c r="R1479" s="380" t="s">
        <v>986</v>
      </c>
      <c r="S1479" s="381" t="s">
        <v>964</v>
      </c>
      <c r="T1479" s="381"/>
      <c r="U1479" s="381"/>
      <c r="V1479" s="382">
        <v>248.21</v>
      </c>
      <c r="W1479" s="382">
        <v>0</v>
      </c>
      <c r="X1479" s="381">
        <v>0.10333333333333333</v>
      </c>
      <c r="Y1479" s="381">
        <v>0.10333333333333333</v>
      </c>
      <c r="Z1479" s="381">
        <v>8.7499999999999999E-5</v>
      </c>
      <c r="AA1479" s="381">
        <v>0</v>
      </c>
      <c r="AB1479" s="381">
        <v>0</v>
      </c>
      <c r="AC1479" s="382">
        <v>0.10342083333333334</v>
      </c>
      <c r="AD1479" s="382">
        <v>0</v>
      </c>
      <c r="AE1479" s="381" t="s">
        <v>168</v>
      </c>
    </row>
    <row r="1480" spans="1:31" ht="15" customHeight="1" x14ac:dyDescent="0.25">
      <c r="A1480" s="20" t="s">
        <v>156</v>
      </c>
      <c r="B1480" s="20" t="s">
        <v>2056</v>
      </c>
      <c r="C1480" s="20" t="s">
        <v>2057</v>
      </c>
      <c r="D1480" s="378" t="s">
        <v>2090</v>
      </c>
      <c r="E1480" s="379">
        <v>45016</v>
      </c>
      <c r="F1480" s="379">
        <v>46843</v>
      </c>
      <c r="G1480" s="378" t="s">
        <v>179</v>
      </c>
      <c r="H1480" s="20" t="s">
        <v>202</v>
      </c>
      <c r="I1480" s="20" t="s">
        <v>162</v>
      </c>
      <c r="J1480" s="20" t="s">
        <v>163</v>
      </c>
      <c r="K1480" s="378" t="s">
        <v>203</v>
      </c>
      <c r="L1480" s="20" t="s">
        <v>165</v>
      </c>
      <c r="M1480" s="380">
        <v>2400</v>
      </c>
      <c r="N1480" s="380"/>
      <c r="O1480" s="380"/>
      <c r="P1480" s="380"/>
      <c r="Q1480" s="381">
        <v>298</v>
      </c>
      <c r="R1480" s="381">
        <v>298</v>
      </c>
      <c r="S1480" s="381">
        <v>0.25</v>
      </c>
      <c r="T1480" s="381"/>
      <c r="U1480" s="381"/>
      <c r="V1480" s="382">
        <v>298.25</v>
      </c>
      <c r="W1480" s="382">
        <v>0</v>
      </c>
      <c r="X1480" s="381">
        <v>0.12416666666666666</v>
      </c>
      <c r="Y1480" s="381">
        <v>0.12416666666666666</v>
      </c>
      <c r="Z1480" s="381">
        <v>1.0416666666666667E-4</v>
      </c>
      <c r="AA1480" s="381">
        <v>0</v>
      </c>
      <c r="AB1480" s="381">
        <v>0</v>
      </c>
      <c r="AC1480" s="382">
        <v>0.12427083333333333</v>
      </c>
      <c r="AD1480" s="382">
        <v>0</v>
      </c>
      <c r="AE1480" s="381" t="s">
        <v>168</v>
      </c>
    </row>
    <row r="1481" spans="1:31" ht="15" customHeight="1" x14ac:dyDescent="0.25">
      <c r="A1481" s="20" t="s">
        <v>156</v>
      </c>
      <c r="B1481" s="20" t="s">
        <v>2056</v>
      </c>
      <c r="C1481" s="20" t="s">
        <v>2057</v>
      </c>
      <c r="D1481" s="378" t="s">
        <v>2091</v>
      </c>
      <c r="E1481" s="379">
        <v>44581</v>
      </c>
      <c r="F1481" s="379">
        <v>46407</v>
      </c>
      <c r="G1481" s="378" t="s">
        <v>237</v>
      </c>
      <c r="H1481" s="20" t="s">
        <v>238</v>
      </c>
      <c r="I1481" s="20" t="s">
        <v>162</v>
      </c>
      <c r="J1481" s="20" t="s">
        <v>163</v>
      </c>
      <c r="K1481" s="378" t="s">
        <v>239</v>
      </c>
      <c r="L1481" s="20" t="s">
        <v>165</v>
      </c>
      <c r="M1481" s="380">
        <v>2400</v>
      </c>
      <c r="N1481" s="380"/>
      <c r="O1481" s="380"/>
      <c r="P1481" s="380"/>
      <c r="Q1481" s="381" t="s">
        <v>2092</v>
      </c>
      <c r="R1481" s="381" t="s">
        <v>2092</v>
      </c>
      <c r="S1481" s="381" t="s">
        <v>755</v>
      </c>
      <c r="T1481" s="381"/>
      <c r="U1481" s="381"/>
      <c r="V1481" s="382">
        <v>400.33</v>
      </c>
      <c r="W1481" s="382">
        <v>0</v>
      </c>
      <c r="X1481" s="381">
        <v>0.16666666666666666</v>
      </c>
      <c r="Y1481" s="381">
        <v>0.16666666666666666</v>
      </c>
      <c r="Z1481" s="381">
        <v>1.3750000000000001E-4</v>
      </c>
      <c r="AA1481" s="381">
        <v>0</v>
      </c>
      <c r="AB1481" s="381">
        <v>0</v>
      </c>
      <c r="AC1481" s="382">
        <v>0.16680416666666667</v>
      </c>
      <c r="AD1481" s="382">
        <v>0</v>
      </c>
      <c r="AE1481" s="381" t="s">
        <v>168</v>
      </c>
    </row>
    <row r="1482" spans="1:31" ht="15" customHeight="1" x14ac:dyDescent="0.25">
      <c r="A1482" s="20" t="s">
        <v>156</v>
      </c>
      <c r="B1482" s="20" t="s">
        <v>2056</v>
      </c>
      <c r="C1482" s="20" t="s">
        <v>2057</v>
      </c>
      <c r="D1482" s="378" t="s">
        <v>2093</v>
      </c>
      <c r="E1482" s="379">
        <v>44294</v>
      </c>
      <c r="F1482" s="379">
        <v>46120</v>
      </c>
      <c r="G1482" s="378" t="s">
        <v>219</v>
      </c>
      <c r="H1482" s="20" t="s">
        <v>220</v>
      </c>
      <c r="I1482" s="20" t="s">
        <v>162</v>
      </c>
      <c r="J1482" s="20" t="s">
        <v>163</v>
      </c>
      <c r="K1482" s="378" t="s">
        <v>221</v>
      </c>
      <c r="L1482" s="20" t="s">
        <v>165</v>
      </c>
      <c r="M1482" s="380">
        <v>2400</v>
      </c>
      <c r="N1482" s="380"/>
      <c r="O1482" s="380"/>
      <c r="P1482" s="380"/>
      <c r="Q1482" s="381" t="s">
        <v>1213</v>
      </c>
      <c r="R1482" s="380" t="s">
        <v>1213</v>
      </c>
      <c r="S1482" s="381" t="s">
        <v>566</v>
      </c>
      <c r="T1482" s="381"/>
      <c r="U1482" s="381"/>
      <c r="V1482" s="382">
        <v>243.2</v>
      </c>
      <c r="W1482" s="382">
        <v>0</v>
      </c>
      <c r="X1482" s="381">
        <v>0.10125000000000001</v>
      </c>
      <c r="Y1482" s="381">
        <v>0.10125000000000001</v>
      </c>
      <c r="Z1482" s="381">
        <v>8.3333333333333344E-5</v>
      </c>
      <c r="AA1482" s="381">
        <v>0</v>
      </c>
      <c r="AB1482" s="381">
        <v>0</v>
      </c>
      <c r="AC1482" s="382">
        <v>0.10133333333333334</v>
      </c>
      <c r="AD1482" s="382">
        <v>0</v>
      </c>
      <c r="AE1482" s="381" t="s">
        <v>168</v>
      </c>
    </row>
    <row r="1483" spans="1:31" ht="15" customHeight="1" x14ac:dyDescent="0.25">
      <c r="A1483" s="20" t="s">
        <v>156</v>
      </c>
      <c r="B1483" s="20" t="s">
        <v>2056</v>
      </c>
      <c r="C1483" s="20" t="s">
        <v>2057</v>
      </c>
      <c r="D1483" s="378" t="s">
        <v>2094</v>
      </c>
      <c r="E1483" s="379">
        <v>44294</v>
      </c>
      <c r="F1483" s="379">
        <v>46120</v>
      </c>
      <c r="G1483" s="378" t="s">
        <v>219</v>
      </c>
      <c r="H1483" s="20" t="s">
        <v>220</v>
      </c>
      <c r="I1483" s="20" t="s">
        <v>162</v>
      </c>
      <c r="J1483" s="20" t="s">
        <v>163</v>
      </c>
      <c r="K1483" s="378" t="s">
        <v>221</v>
      </c>
      <c r="L1483" s="20" t="s">
        <v>165</v>
      </c>
      <c r="M1483" s="380">
        <v>2400</v>
      </c>
      <c r="N1483" s="380"/>
      <c r="O1483" s="380"/>
      <c r="P1483" s="380"/>
      <c r="Q1483" s="381" t="s">
        <v>2095</v>
      </c>
      <c r="R1483" s="380" t="s">
        <v>2095</v>
      </c>
      <c r="S1483" s="381" t="s">
        <v>566</v>
      </c>
      <c r="T1483" s="381"/>
      <c r="U1483" s="381"/>
      <c r="V1483" s="382">
        <v>244.2</v>
      </c>
      <c r="W1483" s="382">
        <v>0</v>
      </c>
      <c r="X1483" s="381">
        <v>0.10166666666666667</v>
      </c>
      <c r="Y1483" s="381">
        <v>0.10166666666666667</v>
      </c>
      <c r="Z1483" s="381">
        <v>8.3333333333333344E-5</v>
      </c>
      <c r="AA1483" s="381">
        <v>0</v>
      </c>
      <c r="AB1483" s="381">
        <v>0</v>
      </c>
      <c r="AC1483" s="382">
        <v>0.10175000000000001</v>
      </c>
      <c r="AD1483" s="382">
        <v>0</v>
      </c>
      <c r="AE1483" s="381" t="s">
        <v>168</v>
      </c>
    </row>
    <row r="1484" spans="1:31" ht="15" customHeight="1" x14ac:dyDescent="0.25">
      <c r="A1484" s="20" t="s">
        <v>156</v>
      </c>
      <c r="B1484" s="20" t="s">
        <v>2056</v>
      </c>
      <c r="C1484" s="20" t="s">
        <v>2057</v>
      </c>
      <c r="D1484" s="378" t="s">
        <v>2096</v>
      </c>
      <c r="E1484" s="379">
        <v>45016</v>
      </c>
      <c r="F1484" s="379">
        <v>46843</v>
      </c>
      <c r="G1484" s="378" t="s">
        <v>215</v>
      </c>
      <c r="H1484" s="20" t="s">
        <v>216</v>
      </c>
      <c r="I1484" s="20" t="s">
        <v>162</v>
      </c>
      <c r="J1484" s="20" t="s">
        <v>163</v>
      </c>
      <c r="K1484" s="378" t="s">
        <v>217</v>
      </c>
      <c r="L1484" s="20" t="s">
        <v>165</v>
      </c>
      <c r="M1484" s="380">
        <v>2400</v>
      </c>
      <c r="N1484" s="380"/>
      <c r="O1484" s="380"/>
      <c r="P1484" s="380"/>
      <c r="Q1484" s="381">
        <v>351</v>
      </c>
      <c r="R1484" s="381">
        <v>351</v>
      </c>
      <c r="S1484" s="381">
        <v>0.28599999999999998</v>
      </c>
      <c r="T1484" s="381"/>
      <c r="U1484" s="381"/>
      <c r="V1484" s="382">
        <v>351.286</v>
      </c>
      <c r="W1484" s="382">
        <v>0</v>
      </c>
      <c r="X1484" s="381">
        <v>0.14624999999999999</v>
      </c>
      <c r="Y1484" s="381">
        <v>0.14624999999999999</v>
      </c>
      <c r="Z1484" s="381">
        <v>1.1916666666666666E-4</v>
      </c>
      <c r="AA1484" s="381">
        <v>0</v>
      </c>
      <c r="AB1484" s="381">
        <v>0</v>
      </c>
      <c r="AC1484" s="382">
        <v>0.14636916666666666</v>
      </c>
      <c r="AD1484" s="382">
        <v>0</v>
      </c>
      <c r="AE1484" s="381" t="s">
        <v>168</v>
      </c>
    </row>
    <row r="1485" spans="1:31" ht="15" customHeight="1" x14ac:dyDescent="0.25">
      <c r="A1485" s="20" t="s">
        <v>156</v>
      </c>
      <c r="B1485" s="20" t="s">
        <v>2056</v>
      </c>
      <c r="C1485" s="20" t="s">
        <v>2057</v>
      </c>
      <c r="D1485" s="378" t="s">
        <v>2097</v>
      </c>
      <c r="E1485" s="379">
        <v>45016</v>
      </c>
      <c r="F1485" s="379">
        <v>46843</v>
      </c>
      <c r="G1485" s="378" t="s">
        <v>179</v>
      </c>
      <c r="H1485" s="20" t="s">
        <v>202</v>
      </c>
      <c r="I1485" s="20" t="s">
        <v>162</v>
      </c>
      <c r="J1485" s="20" t="s">
        <v>163</v>
      </c>
      <c r="K1485" s="378" t="s">
        <v>203</v>
      </c>
      <c r="L1485" s="20" t="s">
        <v>165</v>
      </c>
      <c r="M1485" s="380">
        <v>2400</v>
      </c>
      <c r="N1485" s="380"/>
      <c r="O1485" s="380"/>
      <c r="P1485" s="380"/>
      <c r="Q1485" s="381">
        <v>332</v>
      </c>
      <c r="R1485" s="381">
        <v>332</v>
      </c>
      <c r="S1485" s="381">
        <v>0.27</v>
      </c>
      <c r="T1485" s="381"/>
      <c r="U1485" s="381"/>
      <c r="V1485" s="382">
        <v>332.27</v>
      </c>
      <c r="W1485" s="382">
        <v>0</v>
      </c>
      <c r="X1485" s="381">
        <v>0.13833333333333334</v>
      </c>
      <c r="Y1485" s="381">
        <v>0.13833333333333334</v>
      </c>
      <c r="Z1485" s="381">
        <v>1.1250000000000001E-4</v>
      </c>
      <c r="AA1485" s="381">
        <v>0</v>
      </c>
      <c r="AB1485" s="381">
        <v>0</v>
      </c>
      <c r="AC1485" s="382">
        <v>0.13844583333333332</v>
      </c>
      <c r="AD1485" s="382">
        <v>0</v>
      </c>
      <c r="AE1485" s="381" t="s">
        <v>168</v>
      </c>
    </row>
    <row r="1486" spans="1:31" ht="15" customHeight="1" x14ac:dyDescent="0.25">
      <c r="A1486" s="20" t="s">
        <v>156</v>
      </c>
      <c r="B1486" s="20" t="s">
        <v>2056</v>
      </c>
      <c r="C1486" s="20" t="s">
        <v>2057</v>
      </c>
      <c r="D1486" s="378" t="s">
        <v>2098</v>
      </c>
      <c r="E1486" s="379">
        <v>45038</v>
      </c>
      <c r="F1486" s="379">
        <v>46865</v>
      </c>
      <c r="G1486" s="383" t="s">
        <v>193</v>
      </c>
      <c r="H1486" s="20" t="s">
        <v>229</v>
      </c>
      <c r="I1486" s="20" t="s">
        <v>162</v>
      </c>
      <c r="J1486" s="20" t="s">
        <v>163</v>
      </c>
      <c r="K1486" s="378" t="s">
        <v>230</v>
      </c>
      <c r="L1486" s="20" t="s">
        <v>165</v>
      </c>
      <c r="M1486" s="380">
        <v>2400</v>
      </c>
      <c r="N1486" s="380"/>
      <c r="O1486" s="380"/>
      <c r="P1486" s="380"/>
      <c r="Q1486" s="381" t="s">
        <v>1573</v>
      </c>
      <c r="R1486" s="381" t="s">
        <v>1573</v>
      </c>
      <c r="S1486" s="381" t="s">
        <v>962</v>
      </c>
      <c r="T1486" s="381"/>
      <c r="U1486" s="381"/>
      <c r="V1486" s="382">
        <v>301.24</v>
      </c>
      <c r="W1486" s="382">
        <v>0</v>
      </c>
      <c r="X1486" s="381">
        <v>0.12541666666666668</v>
      </c>
      <c r="Y1486" s="381">
        <v>0.12541666666666668</v>
      </c>
      <c r="Z1486" s="381">
        <v>9.9999999999999991E-5</v>
      </c>
      <c r="AA1486" s="381">
        <v>0</v>
      </c>
      <c r="AB1486" s="381">
        <v>0</v>
      </c>
      <c r="AC1486" s="382">
        <v>0.12551666666666667</v>
      </c>
      <c r="AD1486" s="382">
        <v>0</v>
      </c>
      <c r="AE1486" s="381" t="s">
        <v>168</v>
      </c>
    </row>
    <row r="1487" spans="1:31" ht="15" customHeight="1" x14ac:dyDescent="0.25">
      <c r="A1487" s="20" t="s">
        <v>156</v>
      </c>
      <c r="B1487" s="20" t="s">
        <v>2056</v>
      </c>
      <c r="C1487" s="20" t="s">
        <v>2057</v>
      </c>
      <c r="D1487" s="378" t="s">
        <v>2099</v>
      </c>
      <c r="E1487" s="379">
        <v>44581</v>
      </c>
      <c r="F1487" s="379">
        <v>46407</v>
      </c>
      <c r="G1487" s="378" t="s">
        <v>237</v>
      </c>
      <c r="H1487" s="20" t="s">
        <v>238</v>
      </c>
      <c r="I1487" s="20" t="s">
        <v>162</v>
      </c>
      <c r="J1487" s="20" t="s">
        <v>163</v>
      </c>
      <c r="K1487" s="378" t="s">
        <v>239</v>
      </c>
      <c r="L1487" s="20" t="s">
        <v>165</v>
      </c>
      <c r="M1487" s="380">
        <v>2400</v>
      </c>
      <c r="N1487" s="380"/>
      <c r="O1487" s="380"/>
      <c r="P1487" s="380"/>
      <c r="Q1487" s="381" t="s">
        <v>1557</v>
      </c>
      <c r="R1487" s="381" t="s">
        <v>1557</v>
      </c>
      <c r="S1487" s="381" t="s">
        <v>551</v>
      </c>
      <c r="T1487" s="381"/>
      <c r="U1487" s="381"/>
      <c r="V1487" s="382">
        <v>294.23</v>
      </c>
      <c r="W1487" s="382">
        <v>0</v>
      </c>
      <c r="X1487" s="381">
        <v>0.1225</v>
      </c>
      <c r="Y1487" s="381">
        <v>0.1225</v>
      </c>
      <c r="Z1487" s="381">
        <v>9.5833333333333336E-5</v>
      </c>
      <c r="AA1487" s="381">
        <v>0</v>
      </c>
      <c r="AB1487" s="381">
        <v>0</v>
      </c>
      <c r="AC1487" s="382">
        <v>0.12259583333333333</v>
      </c>
      <c r="AD1487" s="382">
        <v>0</v>
      </c>
      <c r="AE1487" s="381" t="s">
        <v>168</v>
      </c>
    </row>
    <row r="1488" spans="1:31" ht="15" customHeight="1" x14ac:dyDescent="0.25">
      <c r="A1488" s="20" t="s">
        <v>156</v>
      </c>
      <c r="B1488" s="20" t="s">
        <v>2056</v>
      </c>
      <c r="C1488" s="20" t="s">
        <v>2057</v>
      </c>
      <c r="D1488" s="378" t="s">
        <v>2100</v>
      </c>
      <c r="E1488" s="379">
        <v>44581</v>
      </c>
      <c r="F1488" s="379">
        <v>46407</v>
      </c>
      <c r="G1488" s="378" t="s">
        <v>237</v>
      </c>
      <c r="H1488" s="20" t="s">
        <v>238</v>
      </c>
      <c r="I1488" s="20" t="s">
        <v>162</v>
      </c>
      <c r="J1488" s="20" t="s">
        <v>163</v>
      </c>
      <c r="K1488" s="378" t="s">
        <v>239</v>
      </c>
      <c r="L1488" s="20" t="s">
        <v>165</v>
      </c>
      <c r="M1488" s="380">
        <v>2400</v>
      </c>
      <c r="N1488" s="380"/>
      <c r="O1488" s="380"/>
      <c r="P1488" s="380"/>
      <c r="Q1488" s="381" t="s">
        <v>2081</v>
      </c>
      <c r="R1488" s="381" t="s">
        <v>2081</v>
      </c>
      <c r="S1488" s="381" t="s">
        <v>962</v>
      </c>
      <c r="T1488" s="381"/>
      <c r="U1488" s="381"/>
      <c r="V1488" s="382">
        <v>307.24</v>
      </c>
      <c r="W1488" s="382">
        <v>0</v>
      </c>
      <c r="X1488" s="381">
        <v>0.12791666666666668</v>
      </c>
      <c r="Y1488" s="381">
        <v>0.12791666666666668</v>
      </c>
      <c r="Z1488" s="381">
        <v>9.9999999999999991E-5</v>
      </c>
      <c r="AA1488" s="381">
        <v>0</v>
      </c>
      <c r="AB1488" s="381">
        <v>0</v>
      </c>
      <c r="AC1488" s="382">
        <v>0.12801666666666667</v>
      </c>
      <c r="AD1488" s="382">
        <v>0</v>
      </c>
      <c r="AE1488" s="381" t="s">
        <v>168</v>
      </c>
    </row>
    <row r="1489" spans="1:32" ht="15" customHeight="1" x14ac:dyDescent="0.25">
      <c r="A1489" s="20" t="s">
        <v>156</v>
      </c>
      <c r="B1489" s="20" t="s">
        <v>2056</v>
      </c>
      <c r="C1489" s="20" t="s">
        <v>2057</v>
      </c>
      <c r="D1489" s="378" t="s">
        <v>2101</v>
      </c>
      <c r="E1489" s="379">
        <v>45038</v>
      </c>
      <c r="F1489" s="379">
        <v>46865</v>
      </c>
      <c r="G1489" s="383" t="s">
        <v>193</v>
      </c>
      <c r="H1489" s="20" t="s">
        <v>229</v>
      </c>
      <c r="I1489" s="20" t="s">
        <v>162</v>
      </c>
      <c r="J1489" s="20" t="s">
        <v>163</v>
      </c>
      <c r="K1489" s="378" t="s">
        <v>230</v>
      </c>
      <c r="L1489" s="20" t="s">
        <v>165</v>
      </c>
      <c r="M1489" s="380">
        <v>2400</v>
      </c>
      <c r="N1489" s="380"/>
      <c r="O1489" s="380"/>
      <c r="P1489" s="380"/>
      <c r="Q1489" s="381" t="s">
        <v>1579</v>
      </c>
      <c r="R1489" s="381" t="s">
        <v>1579</v>
      </c>
      <c r="S1489" s="381" t="s">
        <v>962</v>
      </c>
      <c r="T1489" s="381"/>
      <c r="U1489" s="381"/>
      <c r="V1489" s="382">
        <v>308.24</v>
      </c>
      <c r="W1489" s="382">
        <v>0</v>
      </c>
      <c r="X1489" s="381">
        <v>0.12833333333333333</v>
      </c>
      <c r="Y1489" s="381">
        <v>0.12833333333333333</v>
      </c>
      <c r="Z1489" s="381">
        <v>9.9999999999999991E-5</v>
      </c>
      <c r="AA1489" s="381">
        <v>0</v>
      </c>
      <c r="AB1489" s="381">
        <v>0</v>
      </c>
      <c r="AC1489" s="382">
        <v>0.12843333333333332</v>
      </c>
      <c r="AD1489" s="382">
        <v>0</v>
      </c>
      <c r="AE1489" s="381" t="s">
        <v>168</v>
      </c>
    </row>
    <row r="1490" spans="1:32" ht="15" customHeight="1" x14ac:dyDescent="0.25">
      <c r="A1490" s="20" t="s">
        <v>156</v>
      </c>
      <c r="B1490" s="20" t="s">
        <v>2056</v>
      </c>
      <c r="C1490" s="20" t="s">
        <v>2057</v>
      </c>
      <c r="D1490" s="378" t="s">
        <v>2102</v>
      </c>
      <c r="E1490" s="379">
        <v>45038</v>
      </c>
      <c r="F1490" s="379">
        <v>46865</v>
      </c>
      <c r="G1490" s="383" t="s">
        <v>193</v>
      </c>
      <c r="H1490" s="20" t="s">
        <v>229</v>
      </c>
      <c r="I1490" s="20" t="s">
        <v>162</v>
      </c>
      <c r="J1490" s="20" t="s">
        <v>163</v>
      </c>
      <c r="K1490" s="378" t="s">
        <v>230</v>
      </c>
      <c r="L1490" s="20" t="s">
        <v>165</v>
      </c>
      <c r="M1490" s="380">
        <v>2400</v>
      </c>
      <c r="N1490" s="380"/>
      <c r="O1490" s="380"/>
      <c r="P1490" s="380"/>
      <c r="Q1490" s="381" t="s">
        <v>2103</v>
      </c>
      <c r="R1490" s="381" t="s">
        <v>2103</v>
      </c>
      <c r="S1490" s="381" t="s">
        <v>962</v>
      </c>
      <c r="T1490" s="381"/>
      <c r="U1490" s="381"/>
      <c r="V1490" s="382">
        <v>309.24</v>
      </c>
      <c r="W1490" s="382">
        <v>0</v>
      </c>
      <c r="X1490" s="381">
        <v>0.12875</v>
      </c>
      <c r="Y1490" s="381">
        <v>0.12875</v>
      </c>
      <c r="Z1490" s="381">
        <v>9.9999999999999991E-5</v>
      </c>
      <c r="AA1490" s="381">
        <v>0</v>
      </c>
      <c r="AB1490" s="381">
        <v>0</v>
      </c>
      <c r="AC1490" s="382">
        <v>0.12884999999999999</v>
      </c>
      <c r="AD1490" s="382">
        <v>0</v>
      </c>
      <c r="AE1490" s="381" t="s">
        <v>168</v>
      </c>
    </row>
    <row r="1491" spans="1:32" ht="15" customHeight="1" x14ac:dyDescent="0.25">
      <c r="A1491" s="20" t="s">
        <v>156</v>
      </c>
      <c r="B1491" s="20" t="s">
        <v>2056</v>
      </c>
      <c r="C1491" s="20" t="s">
        <v>2057</v>
      </c>
      <c r="D1491" s="378" t="s">
        <v>2104</v>
      </c>
      <c r="E1491" s="379">
        <v>45016</v>
      </c>
      <c r="F1491" s="379">
        <v>46843</v>
      </c>
      <c r="G1491" s="378" t="s">
        <v>193</v>
      </c>
      <c r="H1491" s="20" t="s">
        <v>194</v>
      </c>
      <c r="I1491" s="20" t="s">
        <v>162</v>
      </c>
      <c r="J1491" s="20" t="s">
        <v>163</v>
      </c>
      <c r="K1491" s="378" t="s">
        <v>195</v>
      </c>
      <c r="L1491" s="20" t="s">
        <v>165</v>
      </c>
      <c r="M1491" s="380">
        <v>2400</v>
      </c>
      <c r="N1491" s="380"/>
      <c r="O1491" s="380"/>
      <c r="P1491" s="380"/>
      <c r="Q1491" s="381">
        <v>482</v>
      </c>
      <c r="R1491" s="381">
        <v>482</v>
      </c>
      <c r="S1491" s="381">
        <v>0.371</v>
      </c>
      <c r="T1491" s="381"/>
      <c r="U1491" s="381"/>
      <c r="V1491" s="382">
        <v>482.37099999999998</v>
      </c>
      <c r="W1491" s="382">
        <v>0</v>
      </c>
      <c r="X1491" s="381">
        <v>0.20083333333333334</v>
      </c>
      <c r="Y1491" s="381">
        <v>0.20083333333333334</v>
      </c>
      <c r="Z1491" s="381">
        <v>1.5458333333333334E-4</v>
      </c>
      <c r="AA1491" s="381">
        <v>0</v>
      </c>
      <c r="AB1491" s="381">
        <v>0</v>
      </c>
      <c r="AC1491" s="382">
        <v>0.20098791666666668</v>
      </c>
      <c r="AD1491" s="382">
        <v>0</v>
      </c>
      <c r="AE1491" s="381" t="s">
        <v>168</v>
      </c>
    </row>
    <row r="1492" spans="1:32" ht="15" customHeight="1" x14ac:dyDescent="0.25">
      <c r="A1492" s="20" t="s">
        <v>156</v>
      </c>
      <c r="B1492" s="20" t="s">
        <v>2056</v>
      </c>
      <c r="C1492" s="20" t="s">
        <v>2057</v>
      </c>
      <c r="D1492" s="378" t="s">
        <v>2105</v>
      </c>
      <c r="E1492" s="379">
        <v>44581</v>
      </c>
      <c r="F1492" s="379">
        <v>46407</v>
      </c>
      <c r="G1492" s="378" t="s">
        <v>237</v>
      </c>
      <c r="H1492" s="20" t="s">
        <v>238</v>
      </c>
      <c r="I1492" s="20" t="s">
        <v>162</v>
      </c>
      <c r="J1492" s="20" t="s">
        <v>163</v>
      </c>
      <c r="K1492" s="378" t="s">
        <v>239</v>
      </c>
      <c r="L1492" s="20" t="s">
        <v>165</v>
      </c>
      <c r="M1492" s="380">
        <v>2400</v>
      </c>
      <c r="N1492" s="380"/>
      <c r="O1492" s="380"/>
      <c r="P1492" s="380"/>
      <c r="Q1492" s="381" t="s">
        <v>2106</v>
      </c>
      <c r="R1492" s="381" t="s">
        <v>2106</v>
      </c>
      <c r="S1492" s="381" t="s">
        <v>551</v>
      </c>
      <c r="T1492" s="381"/>
      <c r="U1492" s="381"/>
      <c r="V1492" s="382">
        <v>299.23</v>
      </c>
      <c r="W1492" s="382">
        <v>0</v>
      </c>
      <c r="X1492" s="381">
        <v>0.12458333333333334</v>
      </c>
      <c r="Y1492" s="381">
        <v>0.12458333333333334</v>
      </c>
      <c r="Z1492" s="381">
        <v>9.5833333333333336E-5</v>
      </c>
      <c r="AA1492" s="381">
        <v>0</v>
      </c>
      <c r="AB1492" s="381">
        <v>0</v>
      </c>
      <c r="AC1492" s="382">
        <v>0.12467916666666667</v>
      </c>
      <c r="AD1492" s="382">
        <v>0</v>
      </c>
      <c r="AE1492" s="381" t="s">
        <v>168</v>
      </c>
    </row>
    <row r="1493" spans="1:32" ht="15" customHeight="1" x14ac:dyDescent="0.25">
      <c r="A1493" s="20" t="s">
        <v>156</v>
      </c>
      <c r="B1493" s="20" t="s">
        <v>2056</v>
      </c>
      <c r="C1493" s="20" t="s">
        <v>2057</v>
      </c>
      <c r="D1493" s="378" t="s">
        <v>2107</v>
      </c>
      <c r="E1493" s="379">
        <v>44581</v>
      </c>
      <c r="F1493" s="379">
        <v>46407</v>
      </c>
      <c r="G1493" s="378" t="s">
        <v>237</v>
      </c>
      <c r="H1493" s="20" t="s">
        <v>238</v>
      </c>
      <c r="I1493" s="20" t="s">
        <v>162</v>
      </c>
      <c r="J1493" s="20" t="s">
        <v>163</v>
      </c>
      <c r="K1493" s="378" t="s">
        <v>239</v>
      </c>
      <c r="L1493" s="20" t="s">
        <v>165</v>
      </c>
      <c r="M1493" s="380">
        <v>2400</v>
      </c>
      <c r="N1493" s="380"/>
      <c r="O1493" s="380"/>
      <c r="P1493" s="380"/>
      <c r="Q1493" s="381" t="s">
        <v>2106</v>
      </c>
      <c r="R1493" s="381" t="s">
        <v>2106</v>
      </c>
      <c r="S1493" s="381" t="s">
        <v>551</v>
      </c>
      <c r="T1493" s="381"/>
      <c r="U1493" s="381"/>
      <c r="V1493" s="382">
        <v>299.23</v>
      </c>
      <c r="W1493" s="382">
        <v>0</v>
      </c>
      <c r="X1493" s="381">
        <v>0.12458333333333334</v>
      </c>
      <c r="Y1493" s="381">
        <v>0.12458333333333334</v>
      </c>
      <c r="Z1493" s="381">
        <v>9.5833333333333336E-5</v>
      </c>
      <c r="AA1493" s="381">
        <v>0</v>
      </c>
      <c r="AB1493" s="381">
        <v>0</v>
      </c>
      <c r="AC1493" s="382">
        <v>0.12467916666666667</v>
      </c>
      <c r="AD1493" s="382">
        <v>0</v>
      </c>
      <c r="AE1493" s="381" t="s">
        <v>168</v>
      </c>
    </row>
    <row r="1494" spans="1:32" ht="15" customHeight="1" x14ac:dyDescent="0.25">
      <c r="A1494" s="20" t="s">
        <v>156</v>
      </c>
      <c r="B1494" s="20" t="s">
        <v>2056</v>
      </c>
      <c r="C1494" s="20" t="s">
        <v>2057</v>
      </c>
      <c r="D1494" s="378" t="s">
        <v>2108</v>
      </c>
      <c r="E1494" s="379">
        <v>45038</v>
      </c>
      <c r="F1494" s="379">
        <v>46865</v>
      </c>
      <c r="G1494" s="383" t="s">
        <v>193</v>
      </c>
      <c r="H1494" s="20" t="s">
        <v>229</v>
      </c>
      <c r="I1494" s="20" t="s">
        <v>162</v>
      </c>
      <c r="J1494" s="20" t="s">
        <v>163</v>
      </c>
      <c r="K1494" s="378" t="s">
        <v>230</v>
      </c>
      <c r="L1494" s="20" t="s">
        <v>165</v>
      </c>
      <c r="M1494" s="380">
        <v>2400</v>
      </c>
      <c r="N1494" s="380"/>
      <c r="O1494" s="380"/>
      <c r="P1494" s="380"/>
      <c r="Q1494" s="381" t="s">
        <v>1573</v>
      </c>
      <c r="R1494" s="381" t="s">
        <v>1573</v>
      </c>
      <c r="S1494" s="381" t="s">
        <v>551</v>
      </c>
      <c r="T1494" s="381"/>
      <c r="U1494" s="381"/>
      <c r="V1494" s="382">
        <v>301.23</v>
      </c>
      <c r="W1494" s="382">
        <v>0</v>
      </c>
      <c r="X1494" s="381">
        <v>0.12541666666666668</v>
      </c>
      <c r="Y1494" s="381">
        <v>0.12541666666666668</v>
      </c>
      <c r="Z1494" s="381">
        <v>9.5833333333333336E-5</v>
      </c>
      <c r="AA1494" s="381">
        <v>0</v>
      </c>
      <c r="AB1494" s="381">
        <v>0</v>
      </c>
      <c r="AC1494" s="382">
        <v>0.1255125</v>
      </c>
      <c r="AD1494" s="382">
        <v>0</v>
      </c>
      <c r="AE1494" s="381" t="s">
        <v>168</v>
      </c>
    </row>
    <row r="1495" spans="1:32" ht="15" customHeight="1" x14ac:dyDescent="0.25">
      <c r="A1495" s="20" t="s">
        <v>156</v>
      </c>
      <c r="B1495" s="20" t="s">
        <v>2056</v>
      </c>
      <c r="C1495" s="20" t="s">
        <v>2057</v>
      </c>
      <c r="D1495" s="378" t="s">
        <v>2109</v>
      </c>
      <c r="E1495" s="379">
        <v>45038</v>
      </c>
      <c r="F1495" s="379">
        <v>46865</v>
      </c>
      <c r="G1495" s="383" t="s">
        <v>193</v>
      </c>
      <c r="H1495" s="20" t="s">
        <v>229</v>
      </c>
      <c r="I1495" s="20" t="s">
        <v>162</v>
      </c>
      <c r="J1495" s="20" t="s">
        <v>163</v>
      </c>
      <c r="K1495" s="378" t="s">
        <v>230</v>
      </c>
      <c r="L1495" s="20" t="s">
        <v>165</v>
      </c>
      <c r="M1495" s="380">
        <v>2400</v>
      </c>
      <c r="N1495" s="380"/>
      <c r="O1495" s="380"/>
      <c r="P1495" s="380"/>
      <c r="Q1495" s="381" t="s">
        <v>1509</v>
      </c>
      <c r="R1495" s="381" t="s">
        <v>1509</v>
      </c>
      <c r="S1495" s="381" t="s">
        <v>967</v>
      </c>
      <c r="T1495" s="381"/>
      <c r="U1495" s="381"/>
      <c r="V1495" s="382">
        <v>288.22000000000003</v>
      </c>
      <c r="W1495" s="382">
        <v>0</v>
      </c>
      <c r="X1495" s="381">
        <v>0.12</v>
      </c>
      <c r="Y1495" s="381">
        <v>0.12</v>
      </c>
      <c r="Z1495" s="381">
        <v>9.1666666666666668E-5</v>
      </c>
      <c r="AA1495" s="381">
        <v>0</v>
      </c>
      <c r="AB1495" s="381">
        <v>0</v>
      </c>
      <c r="AC1495" s="382">
        <v>0.12009166666666667</v>
      </c>
      <c r="AD1495" s="382">
        <v>0</v>
      </c>
      <c r="AE1495" s="381" t="s">
        <v>168</v>
      </c>
    </row>
    <row r="1496" spans="1:32" ht="15" customHeight="1" x14ac:dyDescent="0.25">
      <c r="A1496" s="20" t="s">
        <v>156</v>
      </c>
      <c r="B1496" s="20" t="s">
        <v>2056</v>
      </c>
      <c r="C1496" s="20" t="s">
        <v>2057</v>
      </c>
      <c r="D1496" s="378" t="s">
        <v>2110</v>
      </c>
      <c r="E1496" s="379">
        <v>44581</v>
      </c>
      <c r="F1496" s="379">
        <v>46407</v>
      </c>
      <c r="G1496" s="378" t="s">
        <v>237</v>
      </c>
      <c r="H1496" s="20" t="s">
        <v>238</v>
      </c>
      <c r="I1496" s="20" t="s">
        <v>162</v>
      </c>
      <c r="J1496" s="20" t="s">
        <v>163</v>
      </c>
      <c r="K1496" s="378" t="s">
        <v>239</v>
      </c>
      <c r="L1496" s="20" t="s">
        <v>165</v>
      </c>
      <c r="M1496" s="380">
        <v>2400</v>
      </c>
      <c r="N1496" s="380"/>
      <c r="O1496" s="380"/>
      <c r="P1496" s="380"/>
      <c r="Q1496" s="381" t="s">
        <v>2111</v>
      </c>
      <c r="R1496" s="381" t="s">
        <v>2111</v>
      </c>
      <c r="S1496" s="381" t="s">
        <v>551</v>
      </c>
      <c r="T1496" s="381"/>
      <c r="U1496" s="381"/>
      <c r="V1496" s="382">
        <v>302.23</v>
      </c>
      <c r="W1496" s="382">
        <v>0</v>
      </c>
      <c r="X1496" s="381">
        <v>0.12583333333333332</v>
      </c>
      <c r="Y1496" s="381">
        <v>0.12583333333333332</v>
      </c>
      <c r="Z1496" s="381">
        <v>9.5833333333333336E-5</v>
      </c>
      <c r="AA1496" s="381">
        <v>0</v>
      </c>
      <c r="AB1496" s="381">
        <v>0</v>
      </c>
      <c r="AC1496" s="382">
        <v>0.12592916666666665</v>
      </c>
      <c r="AD1496" s="382">
        <v>0</v>
      </c>
      <c r="AE1496" s="381" t="s">
        <v>168</v>
      </c>
    </row>
    <row r="1497" spans="1:32" ht="15" customHeight="1" x14ac:dyDescent="0.25">
      <c r="A1497" s="20" t="s">
        <v>156</v>
      </c>
      <c r="B1497" s="20" t="s">
        <v>2056</v>
      </c>
      <c r="C1497" s="20" t="s">
        <v>2057</v>
      </c>
      <c r="D1497" s="378" t="s">
        <v>2112</v>
      </c>
      <c r="E1497" s="379">
        <v>44581</v>
      </c>
      <c r="F1497" s="379">
        <v>46407</v>
      </c>
      <c r="G1497" s="378" t="s">
        <v>237</v>
      </c>
      <c r="H1497" s="20" t="s">
        <v>238</v>
      </c>
      <c r="I1497" s="20" t="s">
        <v>162</v>
      </c>
      <c r="J1497" s="20" t="s">
        <v>163</v>
      </c>
      <c r="K1497" s="378" t="s">
        <v>239</v>
      </c>
      <c r="L1497" s="20" t="s">
        <v>165</v>
      </c>
      <c r="M1497" s="380">
        <v>2400</v>
      </c>
      <c r="N1497" s="380"/>
      <c r="O1497" s="380"/>
      <c r="P1497" s="380"/>
      <c r="Q1497" s="381" t="s">
        <v>2113</v>
      </c>
      <c r="R1497" s="381" t="s">
        <v>2113</v>
      </c>
      <c r="S1497" s="381" t="s">
        <v>964</v>
      </c>
      <c r="T1497" s="381"/>
      <c r="U1497" s="381"/>
      <c r="V1497" s="382">
        <v>280.20999999999998</v>
      </c>
      <c r="W1497" s="382">
        <v>0</v>
      </c>
      <c r="X1497" s="381">
        <v>0.11666666666666667</v>
      </c>
      <c r="Y1497" s="381">
        <v>0.11666666666666667</v>
      </c>
      <c r="Z1497" s="381">
        <v>8.7499999999999999E-5</v>
      </c>
      <c r="AA1497" s="381">
        <v>0</v>
      </c>
      <c r="AB1497" s="381">
        <v>0</v>
      </c>
      <c r="AC1497" s="382">
        <v>0.11675416666666667</v>
      </c>
      <c r="AD1497" s="382">
        <v>0</v>
      </c>
      <c r="AE1497" s="381" t="s">
        <v>168</v>
      </c>
    </row>
    <row r="1498" spans="1:32" ht="15" customHeight="1" x14ac:dyDescent="0.25">
      <c r="A1498" s="20" t="s">
        <v>156</v>
      </c>
      <c r="B1498" s="20" t="s">
        <v>2056</v>
      </c>
      <c r="C1498" s="20" t="s">
        <v>2057</v>
      </c>
      <c r="D1498" s="378" t="s">
        <v>2114</v>
      </c>
      <c r="E1498" s="379">
        <v>45016</v>
      </c>
      <c r="F1498" s="379">
        <v>46843</v>
      </c>
      <c r="G1498" s="378" t="s">
        <v>193</v>
      </c>
      <c r="H1498" s="20" t="s">
        <v>194</v>
      </c>
      <c r="I1498" s="20" t="s">
        <v>162</v>
      </c>
      <c r="J1498" s="20" t="s">
        <v>163</v>
      </c>
      <c r="K1498" s="378" t="s">
        <v>195</v>
      </c>
      <c r="L1498" s="20" t="s">
        <v>165</v>
      </c>
      <c r="M1498" s="380">
        <v>2400</v>
      </c>
      <c r="N1498" s="380"/>
      <c r="O1498" s="380"/>
      <c r="P1498" s="380"/>
      <c r="Q1498" s="381">
        <v>397</v>
      </c>
      <c r="R1498" s="381">
        <v>397</v>
      </c>
      <c r="S1498" s="381">
        <v>0.29099999999999998</v>
      </c>
      <c r="T1498" s="381"/>
      <c r="U1498" s="381"/>
      <c r="V1498" s="382">
        <v>397.291</v>
      </c>
      <c r="W1498" s="382">
        <v>0</v>
      </c>
      <c r="X1498" s="381">
        <v>0.16541666666666666</v>
      </c>
      <c r="Y1498" s="381">
        <v>0.16541666666666666</v>
      </c>
      <c r="Z1498" s="381">
        <v>1.2124999999999999E-4</v>
      </c>
      <c r="AA1498" s="381">
        <v>0</v>
      </c>
      <c r="AB1498" s="381">
        <v>0</v>
      </c>
      <c r="AC1498" s="382">
        <v>0.16553791666666665</v>
      </c>
      <c r="AD1498" s="382">
        <v>0</v>
      </c>
      <c r="AE1498" s="381" t="s">
        <v>168</v>
      </c>
    </row>
    <row r="1499" spans="1:32" ht="15" customHeight="1" x14ac:dyDescent="0.25">
      <c r="A1499" s="20" t="s">
        <v>156</v>
      </c>
      <c r="B1499" s="20" t="s">
        <v>2056</v>
      </c>
      <c r="C1499" s="20" t="s">
        <v>2057</v>
      </c>
      <c r="D1499" s="378" t="s">
        <v>2115</v>
      </c>
      <c r="E1499" s="379">
        <v>44581</v>
      </c>
      <c r="F1499" s="379">
        <v>46407</v>
      </c>
      <c r="G1499" s="378" t="s">
        <v>237</v>
      </c>
      <c r="H1499" s="20" t="s">
        <v>238</v>
      </c>
      <c r="I1499" s="20" t="s">
        <v>162</v>
      </c>
      <c r="J1499" s="20" t="s">
        <v>163</v>
      </c>
      <c r="K1499" s="378" t="s">
        <v>239</v>
      </c>
      <c r="L1499" s="20" t="s">
        <v>165</v>
      </c>
      <c r="M1499" s="380">
        <v>2400</v>
      </c>
      <c r="N1499" s="380"/>
      <c r="O1499" s="380"/>
      <c r="P1499" s="380"/>
      <c r="Q1499" s="381" t="s">
        <v>2116</v>
      </c>
      <c r="R1499" s="381" t="s">
        <v>2116</v>
      </c>
      <c r="S1499" s="381" t="s">
        <v>962</v>
      </c>
      <c r="T1499" s="381"/>
      <c r="U1499" s="381"/>
      <c r="V1499" s="382">
        <v>336.24</v>
      </c>
      <c r="W1499" s="382">
        <v>0</v>
      </c>
      <c r="X1499" s="381">
        <v>0.14000000000000001</v>
      </c>
      <c r="Y1499" s="381">
        <v>0.14000000000000001</v>
      </c>
      <c r="Z1499" s="381">
        <v>9.9999999999999991E-5</v>
      </c>
      <c r="AA1499" s="381">
        <v>0</v>
      </c>
      <c r="AB1499" s="381">
        <v>0</v>
      </c>
      <c r="AC1499" s="382">
        <v>0.1401</v>
      </c>
      <c r="AD1499" s="382">
        <v>0</v>
      </c>
      <c r="AE1499" s="381" t="s">
        <v>168</v>
      </c>
    </row>
    <row r="1500" spans="1:32" ht="15" customHeight="1" x14ac:dyDescent="0.25">
      <c r="A1500" s="20" t="s">
        <v>156</v>
      </c>
      <c r="B1500" s="20" t="s">
        <v>2056</v>
      </c>
      <c r="C1500" s="20" t="s">
        <v>2057</v>
      </c>
      <c r="D1500" s="378" t="s">
        <v>2117</v>
      </c>
      <c r="E1500" s="379">
        <v>45038</v>
      </c>
      <c r="F1500" s="379">
        <v>46865</v>
      </c>
      <c r="G1500" s="383" t="s">
        <v>193</v>
      </c>
      <c r="H1500" s="20" t="s">
        <v>229</v>
      </c>
      <c r="I1500" s="20" t="s">
        <v>162</v>
      </c>
      <c r="J1500" s="20" t="s">
        <v>163</v>
      </c>
      <c r="K1500" s="378" t="s">
        <v>230</v>
      </c>
      <c r="L1500" s="20" t="s">
        <v>165</v>
      </c>
      <c r="M1500" s="380">
        <v>2400</v>
      </c>
      <c r="N1500" s="380"/>
      <c r="O1500" s="380"/>
      <c r="P1500" s="380"/>
      <c r="Q1500" s="381" t="s">
        <v>2118</v>
      </c>
      <c r="R1500" s="381" t="s">
        <v>2118</v>
      </c>
      <c r="S1500" s="381" t="s">
        <v>551</v>
      </c>
      <c r="T1500" s="381"/>
      <c r="U1500" s="381"/>
      <c r="V1500" s="382">
        <v>327.23</v>
      </c>
      <c r="W1500" s="382">
        <v>0</v>
      </c>
      <c r="X1500" s="381">
        <v>0.13625000000000001</v>
      </c>
      <c r="Y1500" s="381">
        <v>0.13625000000000001</v>
      </c>
      <c r="Z1500" s="381">
        <v>9.5833333333333336E-5</v>
      </c>
      <c r="AA1500" s="381">
        <v>0</v>
      </c>
      <c r="AB1500" s="381">
        <v>0</v>
      </c>
      <c r="AC1500" s="382">
        <v>0.13634583333333333</v>
      </c>
      <c r="AD1500" s="382">
        <v>0</v>
      </c>
      <c r="AE1500" s="381" t="s">
        <v>168</v>
      </c>
      <c r="AF1500" t="str" cm="1">
        <f t="array" ref="AF1500">_xlfn.IFS((U1500*-1)&gt;S1500,"Op1",R1500=0,"Op2",S1500=0,"Op3",(U1500*-1)&lt;=S1500,"Op4")</f>
        <v>Op4</v>
      </c>
    </row>
    <row r="1501" spans="1:32" ht="15" customHeight="1" x14ac:dyDescent="0.25">
      <c r="A1501" s="20" t="s">
        <v>156</v>
      </c>
      <c r="B1501" s="20" t="s">
        <v>2056</v>
      </c>
      <c r="C1501" s="20" t="s">
        <v>2057</v>
      </c>
      <c r="D1501" s="378" t="s">
        <v>2119</v>
      </c>
      <c r="E1501" s="379">
        <v>44525</v>
      </c>
      <c r="F1501" s="379">
        <v>46351</v>
      </c>
      <c r="G1501" s="378" t="s">
        <v>262</v>
      </c>
      <c r="H1501" s="20" t="s">
        <v>263</v>
      </c>
      <c r="I1501" s="20" t="s">
        <v>162</v>
      </c>
      <c r="J1501" s="20" t="s">
        <v>163</v>
      </c>
      <c r="K1501" s="378" t="s">
        <v>264</v>
      </c>
      <c r="L1501" s="20" t="s">
        <v>165</v>
      </c>
      <c r="M1501" s="380">
        <v>2400</v>
      </c>
      <c r="N1501" s="380"/>
      <c r="O1501" s="380"/>
      <c r="P1501" s="380"/>
      <c r="Q1501" s="381" t="s">
        <v>2067</v>
      </c>
      <c r="R1501" s="381" t="s">
        <v>2067</v>
      </c>
      <c r="S1501" s="381" t="s">
        <v>964</v>
      </c>
      <c r="T1501" s="381"/>
      <c r="U1501" s="381"/>
      <c r="V1501" s="382">
        <v>313.20999999999998</v>
      </c>
      <c r="W1501" s="382">
        <v>0</v>
      </c>
      <c r="X1501" s="381">
        <v>0.13041666666666665</v>
      </c>
      <c r="Y1501" s="381">
        <v>0.13041666666666665</v>
      </c>
      <c r="Z1501" s="381">
        <v>8.7499999999999999E-5</v>
      </c>
      <c r="AA1501" s="381">
        <v>0</v>
      </c>
      <c r="AB1501" s="381">
        <v>0</v>
      </c>
      <c r="AC1501" s="382">
        <v>0.13050416666666664</v>
      </c>
      <c r="AD1501" s="382">
        <v>0</v>
      </c>
      <c r="AE1501" s="381" t="s">
        <v>168</v>
      </c>
      <c r="AF1501" t="str" cm="1">
        <f t="array" ref="AF1501">_xlfn.IFS((U1501*-1)&gt;S1501,"Op1",R1501=0,"Op2",S1501=0,"Op3",(U1501*-1)&lt;=S1501,"Op4")</f>
        <v>Op4</v>
      </c>
    </row>
    <row r="1502" spans="1:32" ht="15" customHeight="1" x14ac:dyDescent="0.25">
      <c r="A1502" s="20" t="s">
        <v>156</v>
      </c>
      <c r="B1502" s="20" t="s">
        <v>2056</v>
      </c>
      <c r="C1502" s="20" t="s">
        <v>2057</v>
      </c>
      <c r="D1502" s="378" t="s">
        <v>2120</v>
      </c>
      <c r="E1502" s="379">
        <v>44525</v>
      </c>
      <c r="F1502" s="379">
        <v>46351</v>
      </c>
      <c r="G1502" s="378" t="s">
        <v>262</v>
      </c>
      <c r="H1502" s="20" t="s">
        <v>263</v>
      </c>
      <c r="I1502" s="20" t="s">
        <v>162</v>
      </c>
      <c r="J1502" s="20" t="s">
        <v>163</v>
      </c>
      <c r="K1502" s="378" t="s">
        <v>264</v>
      </c>
      <c r="L1502" s="20" t="s">
        <v>165</v>
      </c>
      <c r="M1502" s="380">
        <v>2400</v>
      </c>
      <c r="N1502" s="380"/>
      <c r="O1502" s="380"/>
      <c r="P1502" s="380"/>
      <c r="Q1502" s="381" t="s">
        <v>2067</v>
      </c>
      <c r="R1502" s="381" t="s">
        <v>2067</v>
      </c>
      <c r="S1502" s="381" t="s">
        <v>964</v>
      </c>
      <c r="T1502" s="381"/>
      <c r="U1502" s="381"/>
      <c r="V1502" s="382">
        <v>313.20999999999998</v>
      </c>
      <c r="W1502" s="382">
        <v>0</v>
      </c>
      <c r="X1502" s="381">
        <v>0.13041666666666665</v>
      </c>
      <c r="Y1502" s="381">
        <v>0.13041666666666665</v>
      </c>
      <c r="Z1502" s="381">
        <v>8.7499999999999999E-5</v>
      </c>
      <c r="AA1502" s="381">
        <v>0</v>
      </c>
      <c r="AB1502" s="381">
        <v>0</v>
      </c>
      <c r="AC1502" s="382">
        <v>0.13050416666666664</v>
      </c>
      <c r="AD1502" s="382">
        <v>0</v>
      </c>
      <c r="AE1502" s="381" t="s">
        <v>168</v>
      </c>
    </row>
    <row r="1503" spans="1:32" ht="15" customHeight="1" x14ac:dyDescent="0.25">
      <c r="A1503" s="20" t="s">
        <v>156</v>
      </c>
      <c r="B1503" s="20" t="s">
        <v>2056</v>
      </c>
      <c r="C1503" s="20" t="s">
        <v>2057</v>
      </c>
      <c r="D1503" s="378" t="s">
        <v>2121</v>
      </c>
      <c r="E1503" s="379">
        <v>44525</v>
      </c>
      <c r="F1503" s="379">
        <v>46351</v>
      </c>
      <c r="G1503" s="378" t="s">
        <v>262</v>
      </c>
      <c r="H1503" s="20" t="s">
        <v>263</v>
      </c>
      <c r="I1503" s="20" t="s">
        <v>162</v>
      </c>
      <c r="J1503" s="20" t="s">
        <v>163</v>
      </c>
      <c r="K1503" s="378" t="s">
        <v>264</v>
      </c>
      <c r="L1503" s="20" t="s">
        <v>165</v>
      </c>
      <c r="M1503" s="380">
        <v>2400</v>
      </c>
      <c r="N1503" s="380"/>
      <c r="O1503" s="380"/>
      <c r="P1503" s="380"/>
      <c r="Q1503" s="381" t="s">
        <v>2122</v>
      </c>
      <c r="R1503" s="381" t="s">
        <v>2122</v>
      </c>
      <c r="S1503" s="381" t="s">
        <v>964</v>
      </c>
      <c r="T1503" s="381"/>
      <c r="U1503" s="381"/>
      <c r="V1503" s="382">
        <v>320.20999999999998</v>
      </c>
      <c r="W1503" s="382">
        <v>0</v>
      </c>
      <c r="X1503" s="381">
        <v>0.13333333333333333</v>
      </c>
      <c r="Y1503" s="381">
        <v>0.13333333333333333</v>
      </c>
      <c r="Z1503" s="381">
        <v>8.7499999999999999E-5</v>
      </c>
      <c r="AA1503" s="381">
        <v>0</v>
      </c>
      <c r="AB1503" s="381">
        <v>0</v>
      </c>
      <c r="AC1503" s="382">
        <v>0.13342083333333332</v>
      </c>
      <c r="AD1503" s="382">
        <v>0</v>
      </c>
      <c r="AE1503" s="381" t="s">
        <v>168</v>
      </c>
    </row>
    <row r="1504" spans="1:32" ht="15" customHeight="1" x14ac:dyDescent="0.25">
      <c r="A1504" s="20" t="s">
        <v>156</v>
      </c>
      <c r="B1504" s="20" t="s">
        <v>2056</v>
      </c>
      <c r="C1504" s="20" t="s">
        <v>2057</v>
      </c>
      <c r="D1504" s="378" t="s">
        <v>2123</v>
      </c>
      <c r="E1504" s="379">
        <v>44525</v>
      </c>
      <c r="F1504" s="379">
        <v>46351</v>
      </c>
      <c r="G1504" s="378" t="s">
        <v>262</v>
      </c>
      <c r="H1504" s="20" t="s">
        <v>263</v>
      </c>
      <c r="I1504" s="20" t="s">
        <v>162</v>
      </c>
      <c r="J1504" s="20" t="s">
        <v>163</v>
      </c>
      <c r="K1504" s="378" t="s">
        <v>264</v>
      </c>
      <c r="L1504" s="20" t="s">
        <v>165</v>
      </c>
      <c r="M1504" s="380">
        <v>2400</v>
      </c>
      <c r="N1504" s="380"/>
      <c r="O1504" s="380"/>
      <c r="P1504" s="380"/>
      <c r="Q1504" s="381" t="s">
        <v>2122</v>
      </c>
      <c r="R1504" s="381" t="s">
        <v>2122</v>
      </c>
      <c r="S1504" s="381" t="s">
        <v>964</v>
      </c>
      <c r="T1504" s="381"/>
      <c r="U1504" s="381"/>
      <c r="V1504" s="382">
        <v>320.20999999999998</v>
      </c>
      <c r="W1504" s="382">
        <v>0</v>
      </c>
      <c r="X1504" s="381">
        <v>0.13333333333333333</v>
      </c>
      <c r="Y1504" s="381">
        <v>0.13333333333333333</v>
      </c>
      <c r="Z1504" s="381">
        <v>8.7499999999999999E-5</v>
      </c>
      <c r="AA1504" s="381">
        <v>0</v>
      </c>
      <c r="AB1504" s="381">
        <v>0</v>
      </c>
      <c r="AC1504" s="382">
        <v>0.13342083333333332</v>
      </c>
      <c r="AD1504" s="382">
        <v>0</v>
      </c>
      <c r="AE1504" s="381" t="s">
        <v>168</v>
      </c>
    </row>
    <row r="1505" spans="1:31" ht="15" customHeight="1" x14ac:dyDescent="0.25">
      <c r="A1505" s="20" t="s">
        <v>156</v>
      </c>
      <c r="B1505" s="20" t="s">
        <v>2056</v>
      </c>
      <c r="C1505" s="20" t="s">
        <v>2057</v>
      </c>
      <c r="D1505" s="378" t="s">
        <v>2124</v>
      </c>
      <c r="E1505" s="379">
        <v>44581</v>
      </c>
      <c r="F1505" s="379">
        <v>46407</v>
      </c>
      <c r="G1505" s="378" t="s">
        <v>237</v>
      </c>
      <c r="H1505" s="20" t="s">
        <v>238</v>
      </c>
      <c r="I1505" s="20" t="s">
        <v>162</v>
      </c>
      <c r="J1505" s="20" t="s">
        <v>163</v>
      </c>
      <c r="K1505" s="378" t="s">
        <v>239</v>
      </c>
      <c r="L1505" s="20" t="s">
        <v>165</v>
      </c>
      <c r="M1505" s="380">
        <v>2400</v>
      </c>
      <c r="N1505" s="380"/>
      <c r="O1505" s="380"/>
      <c r="P1505" s="380"/>
      <c r="Q1505" s="381" t="s">
        <v>2125</v>
      </c>
      <c r="R1505" s="381" t="s">
        <v>2125</v>
      </c>
      <c r="S1505" s="381" t="s">
        <v>183</v>
      </c>
      <c r="T1505" s="381"/>
      <c r="U1505" s="381"/>
      <c r="V1505" s="382">
        <v>398.26</v>
      </c>
      <c r="W1505" s="382">
        <v>0</v>
      </c>
      <c r="X1505" s="381">
        <v>0.16583333333333333</v>
      </c>
      <c r="Y1505" s="381">
        <v>0.16583333333333333</v>
      </c>
      <c r="Z1505" s="381">
        <v>1.0833333333333334E-4</v>
      </c>
      <c r="AA1505" s="381">
        <v>0</v>
      </c>
      <c r="AB1505" s="381">
        <v>0</v>
      </c>
      <c r="AC1505" s="382">
        <v>0.16594166666666665</v>
      </c>
      <c r="AD1505" s="382">
        <v>0</v>
      </c>
      <c r="AE1505" s="381" t="s">
        <v>168</v>
      </c>
    </row>
    <row r="1506" spans="1:31" ht="15" customHeight="1" x14ac:dyDescent="0.25">
      <c r="A1506" s="20" t="s">
        <v>156</v>
      </c>
      <c r="B1506" s="20" t="s">
        <v>2056</v>
      </c>
      <c r="C1506" s="20" t="s">
        <v>2057</v>
      </c>
      <c r="D1506" s="378" t="s">
        <v>2126</v>
      </c>
      <c r="E1506" s="379">
        <v>45038</v>
      </c>
      <c r="F1506" s="379">
        <v>46865</v>
      </c>
      <c r="G1506" s="383" t="s">
        <v>193</v>
      </c>
      <c r="H1506" s="20" t="s">
        <v>229</v>
      </c>
      <c r="I1506" s="20" t="s">
        <v>162</v>
      </c>
      <c r="J1506" s="20" t="s">
        <v>163</v>
      </c>
      <c r="K1506" s="378" t="s">
        <v>230</v>
      </c>
      <c r="L1506" s="20" t="s">
        <v>165</v>
      </c>
      <c r="M1506" s="380">
        <v>2400</v>
      </c>
      <c r="N1506" s="380"/>
      <c r="O1506" s="380"/>
      <c r="P1506" s="380"/>
      <c r="Q1506" s="381" t="s">
        <v>2127</v>
      </c>
      <c r="R1506" s="381" t="s">
        <v>2127</v>
      </c>
      <c r="S1506" s="381" t="s">
        <v>551</v>
      </c>
      <c r="T1506" s="381"/>
      <c r="U1506" s="381"/>
      <c r="V1506" s="382">
        <v>363.23</v>
      </c>
      <c r="W1506" s="382">
        <v>0</v>
      </c>
      <c r="X1506" s="381">
        <v>0.15125</v>
      </c>
      <c r="Y1506" s="381">
        <v>0.15125</v>
      </c>
      <c r="Z1506" s="381">
        <v>9.5833333333333336E-5</v>
      </c>
      <c r="AA1506" s="381">
        <v>0</v>
      </c>
      <c r="AB1506" s="381">
        <v>0</v>
      </c>
      <c r="AC1506" s="382">
        <v>0.15134583333333332</v>
      </c>
      <c r="AD1506" s="382">
        <v>0</v>
      </c>
      <c r="AE1506" s="381" t="s">
        <v>168</v>
      </c>
    </row>
    <row r="1507" spans="1:31" ht="15" customHeight="1" x14ac:dyDescent="0.25">
      <c r="A1507" s="20" t="s">
        <v>156</v>
      </c>
      <c r="B1507" s="20" t="s">
        <v>2056</v>
      </c>
      <c r="C1507" s="20" t="s">
        <v>2057</v>
      </c>
      <c r="D1507" s="378" t="s">
        <v>2128</v>
      </c>
      <c r="E1507" s="379">
        <v>45016</v>
      </c>
      <c r="F1507" s="379">
        <v>46843</v>
      </c>
      <c r="G1507" s="378" t="s">
        <v>179</v>
      </c>
      <c r="H1507" s="20" t="s">
        <v>202</v>
      </c>
      <c r="I1507" s="20" t="s">
        <v>162</v>
      </c>
      <c r="J1507" s="20" t="s">
        <v>163</v>
      </c>
      <c r="K1507" s="378" t="s">
        <v>203</v>
      </c>
      <c r="L1507" s="20" t="s">
        <v>165</v>
      </c>
      <c r="M1507" s="380">
        <v>2400</v>
      </c>
      <c r="N1507" s="380"/>
      <c r="O1507" s="380"/>
      <c r="P1507" s="380"/>
      <c r="Q1507" s="381">
        <v>382</v>
      </c>
      <c r="R1507" s="381">
        <v>382</v>
      </c>
      <c r="S1507" s="381">
        <v>0.23</v>
      </c>
      <c r="T1507" s="381"/>
      <c r="U1507" s="381"/>
      <c r="V1507" s="382">
        <v>382.23</v>
      </c>
      <c r="W1507" s="382">
        <v>0</v>
      </c>
      <c r="X1507" s="381">
        <v>0.15916666666666668</v>
      </c>
      <c r="Y1507" s="381">
        <v>0.15916666666666668</v>
      </c>
      <c r="Z1507" s="381">
        <v>9.5833333333333336E-5</v>
      </c>
      <c r="AA1507" s="381">
        <v>0</v>
      </c>
      <c r="AB1507" s="381">
        <v>0</v>
      </c>
      <c r="AC1507" s="382">
        <v>0.1592625</v>
      </c>
      <c r="AD1507" s="382">
        <v>0</v>
      </c>
      <c r="AE1507" s="381" t="s">
        <v>168</v>
      </c>
    </row>
    <row r="1508" spans="1:31" ht="15" customHeight="1" x14ac:dyDescent="0.25">
      <c r="A1508" s="20" t="s">
        <v>156</v>
      </c>
      <c r="B1508" s="20" t="s">
        <v>2056</v>
      </c>
      <c r="C1508" s="20" t="s">
        <v>2057</v>
      </c>
      <c r="D1508" s="378" t="s">
        <v>2129</v>
      </c>
      <c r="E1508" s="379">
        <v>44581</v>
      </c>
      <c r="F1508" s="379">
        <v>46407</v>
      </c>
      <c r="G1508" s="378" t="s">
        <v>237</v>
      </c>
      <c r="H1508" s="20" t="s">
        <v>238</v>
      </c>
      <c r="I1508" s="20" t="s">
        <v>162</v>
      </c>
      <c r="J1508" s="20" t="s">
        <v>163</v>
      </c>
      <c r="K1508" s="378" t="s">
        <v>239</v>
      </c>
      <c r="L1508" s="20" t="s">
        <v>165</v>
      </c>
      <c r="M1508" s="380">
        <v>2400</v>
      </c>
      <c r="N1508" s="380"/>
      <c r="O1508" s="380"/>
      <c r="P1508" s="380"/>
      <c r="Q1508" s="381" t="s">
        <v>2122</v>
      </c>
      <c r="R1508" s="381" t="s">
        <v>2122</v>
      </c>
      <c r="S1508" s="381" t="s">
        <v>563</v>
      </c>
      <c r="T1508" s="381"/>
      <c r="U1508" s="381"/>
      <c r="V1508" s="382">
        <v>320.19</v>
      </c>
      <c r="W1508" s="382">
        <v>0</v>
      </c>
      <c r="X1508" s="381">
        <v>0.13333333333333333</v>
      </c>
      <c r="Y1508" s="381">
        <v>0.13333333333333333</v>
      </c>
      <c r="Z1508" s="381">
        <v>7.9166666666666662E-5</v>
      </c>
      <c r="AA1508" s="381">
        <v>0</v>
      </c>
      <c r="AB1508" s="381">
        <v>0</v>
      </c>
      <c r="AC1508" s="382">
        <v>0.13341249999999999</v>
      </c>
      <c r="AD1508" s="382">
        <v>0</v>
      </c>
      <c r="AE1508" s="381" t="s">
        <v>168</v>
      </c>
    </row>
    <row r="1509" spans="1:31" ht="15" customHeight="1" x14ac:dyDescent="0.25">
      <c r="A1509" s="20" t="s">
        <v>156</v>
      </c>
      <c r="B1509" s="20" t="s">
        <v>2056</v>
      </c>
      <c r="C1509" s="20" t="s">
        <v>2057</v>
      </c>
      <c r="D1509" s="378" t="s">
        <v>2130</v>
      </c>
      <c r="E1509" s="379">
        <v>45016</v>
      </c>
      <c r="F1509" s="379">
        <v>46843</v>
      </c>
      <c r="G1509" s="378" t="s">
        <v>179</v>
      </c>
      <c r="H1509" s="20" t="s">
        <v>202</v>
      </c>
      <c r="I1509" s="20" t="s">
        <v>162</v>
      </c>
      <c r="J1509" s="20" t="s">
        <v>163</v>
      </c>
      <c r="K1509" s="378" t="s">
        <v>203</v>
      </c>
      <c r="L1509" s="20" t="s">
        <v>165</v>
      </c>
      <c r="M1509" s="380">
        <v>2400</v>
      </c>
      <c r="N1509" s="380"/>
      <c r="O1509" s="380"/>
      <c r="P1509" s="380"/>
      <c r="Q1509" s="381">
        <v>370</v>
      </c>
      <c r="R1509" s="381">
        <v>370</v>
      </c>
      <c r="S1509" s="381">
        <v>0.21</v>
      </c>
      <c r="T1509" s="381"/>
      <c r="U1509" s="381"/>
      <c r="V1509" s="382">
        <v>370.21</v>
      </c>
      <c r="W1509" s="382">
        <v>0</v>
      </c>
      <c r="X1509" s="381">
        <v>0.15416666666666667</v>
      </c>
      <c r="Y1509" s="381">
        <v>0.15416666666666667</v>
      </c>
      <c r="Z1509" s="381">
        <v>8.7499999999999999E-5</v>
      </c>
      <c r="AA1509" s="381">
        <v>0</v>
      </c>
      <c r="AB1509" s="381">
        <v>0</v>
      </c>
      <c r="AC1509" s="382">
        <v>0.15425416666666666</v>
      </c>
      <c r="AD1509" s="382">
        <v>0</v>
      </c>
      <c r="AE1509" s="381" t="s">
        <v>168</v>
      </c>
    </row>
    <row r="1510" spans="1:31" ht="15" customHeight="1" x14ac:dyDescent="0.25">
      <c r="A1510" s="20" t="s">
        <v>156</v>
      </c>
      <c r="B1510" s="20" t="s">
        <v>2056</v>
      </c>
      <c r="C1510" s="20" t="s">
        <v>2057</v>
      </c>
      <c r="D1510" s="378" t="s">
        <v>2131</v>
      </c>
      <c r="E1510" s="379">
        <v>44581</v>
      </c>
      <c r="F1510" s="379">
        <v>46407</v>
      </c>
      <c r="G1510" s="378" t="s">
        <v>237</v>
      </c>
      <c r="H1510" s="20" t="s">
        <v>238</v>
      </c>
      <c r="I1510" s="20" t="s">
        <v>162</v>
      </c>
      <c r="J1510" s="20" t="s">
        <v>163</v>
      </c>
      <c r="K1510" s="378" t="s">
        <v>239</v>
      </c>
      <c r="L1510" s="20" t="s">
        <v>165</v>
      </c>
      <c r="M1510" s="380">
        <v>2400</v>
      </c>
      <c r="N1510" s="380"/>
      <c r="O1510" s="380"/>
      <c r="P1510" s="380"/>
      <c r="Q1510" s="381" t="s">
        <v>2122</v>
      </c>
      <c r="R1510" s="381" t="s">
        <v>2122</v>
      </c>
      <c r="S1510" s="381" t="s">
        <v>206</v>
      </c>
      <c r="T1510" s="381"/>
      <c r="U1510" s="381"/>
      <c r="V1510" s="382">
        <v>320.18</v>
      </c>
      <c r="W1510" s="382">
        <v>0</v>
      </c>
      <c r="X1510" s="381">
        <v>0.13333333333333333</v>
      </c>
      <c r="Y1510" s="381">
        <v>0.13333333333333333</v>
      </c>
      <c r="Z1510" s="381">
        <v>7.4999999999999993E-5</v>
      </c>
      <c r="AA1510" s="381">
        <v>0</v>
      </c>
      <c r="AB1510" s="381">
        <v>0</v>
      </c>
      <c r="AC1510" s="382">
        <v>0.13340833333333332</v>
      </c>
      <c r="AD1510" s="382">
        <v>0</v>
      </c>
      <c r="AE1510" s="381" t="s">
        <v>168</v>
      </c>
    </row>
    <row r="1511" spans="1:31" ht="15" customHeight="1" x14ac:dyDescent="0.25">
      <c r="A1511" s="20" t="s">
        <v>156</v>
      </c>
      <c r="B1511" s="20" t="s">
        <v>2056</v>
      </c>
      <c r="C1511" s="20" t="s">
        <v>2057</v>
      </c>
      <c r="D1511" s="378" t="s">
        <v>2132</v>
      </c>
      <c r="E1511" s="379">
        <v>44573</v>
      </c>
      <c r="F1511" s="379">
        <v>46656</v>
      </c>
      <c r="G1511" s="378" t="s">
        <v>179</v>
      </c>
      <c r="H1511" s="20" t="s">
        <v>180</v>
      </c>
      <c r="I1511" s="20" t="s">
        <v>162</v>
      </c>
      <c r="J1511" s="20" t="s">
        <v>163</v>
      </c>
      <c r="K1511" s="378" t="s">
        <v>181</v>
      </c>
      <c r="L1511" s="20" t="s">
        <v>165</v>
      </c>
      <c r="M1511" s="380">
        <v>2400</v>
      </c>
      <c r="N1511" s="380"/>
      <c r="O1511" s="380"/>
      <c r="P1511" s="380"/>
      <c r="Q1511" s="381" t="s">
        <v>970</v>
      </c>
      <c r="R1511" s="381" t="s">
        <v>970</v>
      </c>
      <c r="S1511" s="381" t="s">
        <v>200</v>
      </c>
      <c r="T1511" s="381"/>
      <c r="U1511" s="381"/>
      <c r="V1511" s="382">
        <v>269.14999999999998</v>
      </c>
      <c r="W1511" s="382">
        <v>0</v>
      </c>
      <c r="X1511" s="381">
        <v>0.11208333333333333</v>
      </c>
      <c r="Y1511" s="381">
        <v>0.11208333333333333</v>
      </c>
      <c r="Z1511" s="381">
        <v>6.2500000000000001E-5</v>
      </c>
      <c r="AA1511" s="381">
        <v>0</v>
      </c>
      <c r="AB1511" s="381">
        <v>0</v>
      </c>
      <c r="AC1511" s="382">
        <v>0.11214583333333332</v>
      </c>
      <c r="AD1511" s="382">
        <v>0</v>
      </c>
      <c r="AE1511" s="381" t="s">
        <v>168</v>
      </c>
    </row>
    <row r="1512" spans="1:31" ht="15" customHeight="1" x14ac:dyDescent="0.25">
      <c r="A1512" s="20" t="s">
        <v>156</v>
      </c>
      <c r="B1512" s="20" t="s">
        <v>2056</v>
      </c>
      <c r="C1512" s="20" t="s">
        <v>2057</v>
      </c>
      <c r="D1512" s="378" t="s">
        <v>2133</v>
      </c>
      <c r="E1512" s="379">
        <v>45016</v>
      </c>
      <c r="F1512" s="379">
        <v>46843</v>
      </c>
      <c r="G1512" s="378" t="s">
        <v>215</v>
      </c>
      <c r="H1512" s="20" t="s">
        <v>216</v>
      </c>
      <c r="I1512" s="20" t="s">
        <v>162</v>
      </c>
      <c r="J1512" s="20" t="s">
        <v>163</v>
      </c>
      <c r="K1512" s="378" t="s">
        <v>217</v>
      </c>
      <c r="L1512" s="20" t="s">
        <v>165</v>
      </c>
      <c r="M1512" s="380">
        <v>2400</v>
      </c>
      <c r="N1512" s="380"/>
      <c r="O1512" s="380"/>
      <c r="P1512" s="380"/>
      <c r="Q1512" s="381">
        <v>513</v>
      </c>
      <c r="R1512" s="381">
        <v>513</v>
      </c>
      <c r="S1512" s="381">
        <v>0.214</v>
      </c>
      <c r="T1512" s="381"/>
      <c r="U1512" s="381"/>
      <c r="V1512" s="382">
        <v>513.21400000000006</v>
      </c>
      <c r="W1512" s="382">
        <v>0</v>
      </c>
      <c r="X1512" s="381">
        <v>0.21375</v>
      </c>
      <c r="Y1512" s="381">
        <v>0.21375</v>
      </c>
      <c r="Z1512" s="381">
        <v>8.9166666666666661E-5</v>
      </c>
      <c r="AA1512" s="381">
        <v>0</v>
      </c>
      <c r="AB1512" s="381">
        <v>0</v>
      </c>
      <c r="AC1512" s="382">
        <v>0.21383916666666666</v>
      </c>
      <c r="AD1512" s="382">
        <v>0</v>
      </c>
      <c r="AE1512" s="381" t="s">
        <v>168</v>
      </c>
    </row>
    <row r="1513" spans="1:31" ht="15" customHeight="1" x14ac:dyDescent="0.25">
      <c r="A1513" s="20" t="s">
        <v>156</v>
      </c>
      <c r="B1513" s="20" t="s">
        <v>2056</v>
      </c>
      <c r="C1513" s="20" t="s">
        <v>2057</v>
      </c>
      <c r="D1513" s="378" t="s">
        <v>2134</v>
      </c>
      <c r="E1513" s="379">
        <v>45016</v>
      </c>
      <c r="F1513" s="379">
        <v>46843</v>
      </c>
      <c r="G1513" s="378" t="s">
        <v>215</v>
      </c>
      <c r="H1513" s="20" t="s">
        <v>216</v>
      </c>
      <c r="I1513" s="20" t="s">
        <v>162</v>
      </c>
      <c r="J1513" s="20" t="s">
        <v>163</v>
      </c>
      <c r="K1513" s="378" t="s">
        <v>217</v>
      </c>
      <c r="L1513" s="20" t="s">
        <v>165</v>
      </c>
      <c r="M1513" s="380">
        <v>2400</v>
      </c>
      <c r="N1513" s="380"/>
      <c r="O1513" s="380"/>
      <c r="P1513" s="380"/>
      <c r="Q1513" s="381">
        <v>609</v>
      </c>
      <c r="R1513" s="381">
        <v>609</v>
      </c>
      <c r="S1513" s="381">
        <v>0.23300000000000001</v>
      </c>
      <c r="T1513" s="381"/>
      <c r="U1513" s="381"/>
      <c r="V1513" s="382">
        <v>609.23299999999995</v>
      </c>
      <c r="W1513" s="382">
        <v>0</v>
      </c>
      <c r="X1513" s="381">
        <v>0.25374999999999998</v>
      </c>
      <c r="Y1513" s="381">
        <v>0.25374999999999998</v>
      </c>
      <c r="Z1513" s="381">
        <v>9.708333333333334E-5</v>
      </c>
      <c r="AA1513" s="381">
        <v>0</v>
      </c>
      <c r="AB1513" s="381">
        <v>0</v>
      </c>
      <c r="AC1513" s="382">
        <v>0.25384708333333333</v>
      </c>
      <c r="AD1513" s="382">
        <v>0</v>
      </c>
      <c r="AE1513" s="381" t="s">
        <v>168</v>
      </c>
    </row>
    <row r="1514" spans="1:31" ht="15" customHeight="1" x14ac:dyDescent="0.25">
      <c r="A1514" s="20" t="s">
        <v>156</v>
      </c>
      <c r="B1514" s="20" t="s">
        <v>2056</v>
      </c>
      <c r="C1514" s="20" t="s">
        <v>2057</v>
      </c>
      <c r="D1514" s="378" t="s">
        <v>2135</v>
      </c>
      <c r="E1514" s="379">
        <v>45016</v>
      </c>
      <c r="F1514" s="379">
        <v>46843</v>
      </c>
      <c r="G1514" s="378" t="s">
        <v>160</v>
      </c>
      <c r="H1514" s="20" t="s">
        <v>416</v>
      </c>
      <c r="I1514" s="20" t="s">
        <v>162</v>
      </c>
      <c r="J1514" s="20" t="s">
        <v>163</v>
      </c>
      <c r="K1514" s="378" t="s">
        <v>417</v>
      </c>
      <c r="L1514" s="20" t="s">
        <v>165</v>
      </c>
      <c r="M1514" s="380">
        <v>2400</v>
      </c>
      <c r="N1514" s="380"/>
      <c r="O1514" s="380"/>
      <c r="P1514" s="380"/>
      <c r="Q1514" s="381">
        <v>303.64</v>
      </c>
      <c r="R1514" s="381">
        <v>303.49</v>
      </c>
      <c r="S1514" s="381">
        <v>0.17</v>
      </c>
      <c r="T1514" s="381"/>
      <c r="U1514" s="381"/>
      <c r="V1514" s="382">
        <v>303.66000000000003</v>
      </c>
      <c r="W1514" s="382">
        <v>0</v>
      </c>
      <c r="X1514" s="381">
        <v>0.12651666666666667</v>
      </c>
      <c r="Y1514" s="381">
        <v>0.12645416666666667</v>
      </c>
      <c r="Z1514" s="381">
        <v>7.0833333333333338E-5</v>
      </c>
      <c r="AA1514" s="381">
        <v>0</v>
      </c>
      <c r="AB1514" s="381">
        <v>0</v>
      </c>
      <c r="AC1514" s="382">
        <v>0.126525</v>
      </c>
      <c r="AD1514" s="382">
        <v>0</v>
      </c>
      <c r="AE1514" s="381" t="s">
        <v>168</v>
      </c>
    </row>
    <row r="1515" spans="1:31" ht="15" customHeight="1" x14ac:dyDescent="0.25">
      <c r="A1515" s="20" t="s">
        <v>156</v>
      </c>
      <c r="B1515" s="20" t="s">
        <v>2056</v>
      </c>
      <c r="C1515" s="20" t="s">
        <v>2057</v>
      </c>
      <c r="D1515" s="378" t="s">
        <v>2136</v>
      </c>
      <c r="E1515" s="379">
        <v>45016</v>
      </c>
      <c r="F1515" s="379">
        <v>46843</v>
      </c>
      <c r="G1515" s="378" t="s">
        <v>281</v>
      </c>
      <c r="H1515" s="20" t="s">
        <v>282</v>
      </c>
      <c r="I1515" s="20" t="s">
        <v>162</v>
      </c>
      <c r="J1515" s="20" t="s">
        <v>163</v>
      </c>
      <c r="K1515" s="378" t="s">
        <v>283</v>
      </c>
      <c r="L1515" s="20" t="s">
        <v>165</v>
      </c>
      <c r="M1515" s="380">
        <v>2400</v>
      </c>
      <c r="N1515" s="380"/>
      <c r="O1515" s="380"/>
      <c r="P1515" s="380"/>
      <c r="Q1515" s="381">
        <v>508.51</v>
      </c>
      <c r="R1515" s="381">
        <v>508.53</v>
      </c>
      <c r="S1515" s="381">
        <v>-1.4200000000000001E-2</v>
      </c>
      <c r="T1515" s="381"/>
      <c r="U1515" s="381"/>
      <c r="V1515" s="382">
        <v>508.53</v>
      </c>
      <c r="W1515" s="382">
        <v>0</v>
      </c>
      <c r="X1515" s="381">
        <v>0.21187916666666667</v>
      </c>
      <c r="Y1515" s="381">
        <v>0.21188749999999998</v>
      </c>
      <c r="Z1515" s="381">
        <v>-5.9166666666666671E-6</v>
      </c>
      <c r="AA1515" s="381">
        <v>0</v>
      </c>
      <c r="AB1515" s="381">
        <v>0</v>
      </c>
      <c r="AC1515" s="382">
        <v>0.21188749999999998</v>
      </c>
      <c r="AD1515" s="382">
        <v>0</v>
      </c>
      <c r="AE1515" s="381" t="s">
        <v>168</v>
      </c>
    </row>
    <row r="1516" spans="1:31" ht="15" customHeight="1" x14ac:dyDescent="0.25">
      <c r="A1516" s="20" t="s">
        <v>156</v>
      </c>
      <c r="B1516" s="20" t="s">
        <v>2056</v>
      </c>
      <c r="C1516" s="20" t="s">
        <v>2057</v>
      </c>
      <c r="D1516" s="378" t="s">
        <v>2137</v>
      </c>
      <c r="E1516" s="379">
        <v>45016</v>
      </c>
      <c r="F1516" s="379">
        <v>46843</v>
      </c>
      <c r="G1516" s="378" t="s">
        <v>281</v>
      </c>
      <c r="H1516" s="20" t="s">
        <v>282</v>
      </c>
      <c r="I1516" s="20" t="s">
        <v>162</v>
      </c>
      <c r="J1516" s="20" t="s">
        <v>163</v>
      </c>
      <c r="K1516" s="378" t="s">
        <v>283</v>
      </c>
      <c r="L1516" s="20" t="s">
        <v>165</v>
      </c>
      <c r="M1516" s="380">
        <v>2400</v>
      </c>
      <c r="N1516" s="380"/>
      <c r="O1516" s="380"/>
      <c r="P1516" s="380"/>
      <c r="Q1516" s="381">
        <v>455.27</v>
      </c>
      <c r="R1516" s="381">
        <v>455.28</v>
      </c>
      <c r="S1516" s="381">
        <v>-9.1900000000000003E-3</v>
      </c>
      <c r="T1516" s="381"/>
      <c r="U1516" s="381"/>
      <c r="V1516" s="382">
        <v>455.28</v>
      </c>
      <c r="W1516" s="382">
        <v>0</v>
      </c>
      <c r="X1516" s="381">
        <v>0.18969583333333331</v>
      </c>
      <c r="Y1516" s="381">
        <v>0.18969999999999998</v>
      </c>
      <c r="Z1516" s="381">
        <v>-3.8291666666666671E-6</v>
      </c>
      <c r="AA1516" s="381">
        <v>0</v>
      </c>
      <c r="AB1516" s="381">
        <v>0</v>
      </c>
      <c r="AC1516" s="382">
        <v>0.18969999999999998</v>
      </c>
      <c r="AD1516" s="382">
        <v>0</v>
      </c>
      <c r="AE1516" s="381" t="s">
        <v>168</v>
      </c>
    </row>
    <row r="1517" spans="1:31" ht="15" customHeight="1" x14ac:dyDescent="0.25">
      <c r="A1517" s="20" t="s">
        <v>156</v>
      </c>
      <c r="B1517" s="20" t="s">
        <v>2056</v>
      </c>
      <c r="C1517" s="20" t="s">
        <v>2057</v>
      </c>
      <c r="D1517" s="378" t="s">
        <v>2138</v>
      </c>
      <c r="E1517" s="379">
        <v>45016</v>
      </c>
      <c r="F1517" s="379">
        <v>46843</v>
      </c>
      <c r="G1517" s="378" t="s">
        <v>281</v>
      </c>
      <c r="H1517" s="20" t="s">
        <v>282</v>
      </c>
      <c r="I1517" s="20" t="s">
        <v>162</v>
      </c>
      <c r="J1517" s="20" t="s">
        <v>163</v>
      </c>
      <c r="K1517" s="378" t="s">
        <v>283</v>
      </c>
      <c r="L1517" s="20" t="s">
        <v>165</v>
      </c>
      <c r="M1517" s="380">
        <v>2400</v>
      </c>
      <c r="N1517" s="380"/>
      <c r="O1517" s="380"/>
      <c r="P1517" s="380"/>
      <c r="Q1517" s="381">
        <v>401.36</v>
      </c>
      <c r="R1517" s="381">
        <v>401.34</v>
      </c>
      <c r="S1517" s="381">
        <v>2.5499999999999998E-2</v>
      </c>
      <c r="T1517" s="381"/>
      <c r="U1517" s="381"/>
      <c r="V1517" s="382">
        <v>401.3655</v>
      </c>
      <c r="W1517" s="382">
        <v>0</v>
      </c>
      <c r="X1517" s="381">
        <v>0.16723333333333334</v>
      </c>
      <c r="Y1517" s="381">
        <v>0.16722499999999998</v>
      </c>
      <c r="Z1517" s="381">
        <v>1.0624999999999999E-5</v>
      </c>
      <c r="AA1517" s="381">
        <v>0</v>
      </c>
      <c r="AB1517" s="381">
        <v>0</v>
      </c>
      <c r="AC1517" s="382">
        <v>0.16723562499999997</v>
      </c>
      <c r="AD1517" s="382">
        <v>0</v>
      </c>
      <c r="AE1517" s="381" t="s">
        <v>168</v>
      </c>
    </row>
    <row r="1518" spans="1:31" ht="15" customHeight="1" x14ac:dyDescent="0.25">
      <c r="A1518" s="20" t="s">
        <v>156</v>
      </c>
      <c r="B1518" s="20" t="s">
        <v>2056</v>
      </c>
      <c r="C1518" s="20" t="s">
        <v>2057</v>
      </c>
      <c r="D1518" s="378" t="s">
        <v>2139</v>
      </c>
      <c r="E1518" s="379">
        <v>45016</v>
      </c>
      <c r="F1518" s="379">
        <v>46843</v>
      </c>
      <c r="G1518" s="378" t="s">
        <v>281</v>
      </c>
      <c r="H1518" s="20" t="s">
        <v>282</v>
      </c>
      <c r="I1518" s="20" t="s">
        <v>162</v>
      </c>
      <c r="J1518" s="20" t="s">
        <v>163</v>
      </c>
      <c r="K1518" s="378" t="s">
        <v>283</v>
      </c>
      <c r="L1518" s="20" t="s">
        <v>165</v>
      </c>
      <c r="M1518" s="380">
        <v>2400</v>
      </c>
      <c r="N1518" s="380"/>
      <c r="O1518" s="380"/>
      <c r="P1518" s="380"/>
      <c r="Q1518" s="381">
        <v>335.03</v>
      </c>
      <c r="R1518" s="381">
        <v>334.98</v>
      </c>
      <c r="S1518" s="381">
        <v>5.3400000000000003E-2</v>
      </c>
      <c r="T1518" s="381"/>
      <c r="U1518" s="381"/>
      <c r="V1518" s="382">
        <v>335.03340000000003</v>
      </c>
      <c r="W1518" s="382">
        <v>0</v>
      </c>
      <c r="X1518" s="381">
        <v>0.13959583333333334</v>
      </c>
      <c r="Y1518" s="381">
        <v>0.139575</v>
      </c>
      <c r="Z1518" s="381">
        <v>2.2250000000000002E-5</v>
      </c>
      <c r="AA1518" s="381">
        <v>0</v>
      </c>
      <c r="AB1518" s="381">
        <v>0</v>
      </c>
      <c r="AC1518" s="382">
        <v>0.13959725000000001</v>
      </c>
      <c r="AD1518" s="382">
        <v>0</v>
      </c>
      <c r="AE1518" s="381" t="s">
        <v>168</v>
      </c>
    </row>
    <row r="1519" spans="1:31" ht="15" customHeight="1" x14ac:dyDescent="0.25">
      <c r="A1519" s="20" t="s">
        <v>156</v>
      </c>
      <c r="B1519" s="20" t="s">
        <v>2056</v>
      </c>
      <c r="C1519" s="20" t="s">
        <v>2057</v>
      </c>
      <c r="D1519" s="378" t="s">
        <v>2140</v>
      </c>
      <c r="E1519" s="379">
        <v>45016</v>
      </c>
      <c r="F1519" s="379">
        <v>46843</v>
      </c>
      <c r="G1519" s="378" t="s">
        <v>281</v>
      </c>
      <c r="H1519" s="20" t="s">
        <v>282</v>
      </c>
      <c r="I1519" s="20" t="s">
        <v>162</v>
      </c>
      <c r="J1519" s="20" t="s">
        <v>163</v>
      </c>
      <c r="K1519" s="378" t="s">
        <v>283</v>
      </c>
      <c r="L1519" s="20" t="s">
        <v>165</v>
      </c>
      <c r="M1519" s="380">
        <v>2400</v>
      </c>
      <c r="N1519" s="380"/>
      <c r="O1519" s="380"/>
      <c r="P1519" s="380"/>
      <c r="Q1519" s="381">
        <v>419.47</v>
      </c>
      <c r="R1519" s="381">
        <v>419.46</v>
      </c>
      <c r="S1519" s="381">
        <v>1.41E-2</v>
      </c>
      <c r="T1519" s="381"/>
      <c r="U1519" s="381"/>
      <c r="V1519" s="382">
        <v>419.47409999999996</v>
      </c>
      <c r="W1519" s="382">
        <v>0</v>
      </c>
      <c r="X1519" s="381">
        <v>0.17477916666666668</v>
      </c>
      <c r="Y1519" s="381">
        <v>0.17477499999999999</v>
      </c>
      <c r="Z1519" s="381">
        <v>5.8749999999999997E-6</v>
      </c>
      <c r="AA1519" s="381">
        <v>0</v>
      </c>
      <c r="AB1519" s="381">
        <v>0</v>
      </c>
      <c r="AC1519" s="382">
        <v>0.17478087499999997</v>
      </c>
      <c r="AD1519" s="382">
        <v>0</v>
      </c>
      <c r="AE1519" s="381" t="s">
        <v>168</v>
      </c>
    </row>
    <row r="1520" spans="1:31" ht="15" customHeight="1" x14ac:dyDescent="0.25">
      <c r="A1520" s="20" t="s">
        <v>156</v>
      </c>
      <c r="B1520" s="20" t="s">
        <v>2056</v>
      </c>
      <c r="C1520" s="20" t="s">
        <v>2057</v>
      </c>
      <c r="D1520" s="378" t="s">
        <v>2141</v>
      </c>
      <c r="E1520" s="379">
        <v>45016</v>
      </c>
      <c r="F1520" s="379">
        <v>46843</v>
      </c>
      <c r="G1520" s="378" t="s">
        <v>281</v>
      </c>
      <c r="H1520" s="20" t="s">
        <v>282</v>
      </c>
      <c r="I1520" s="20" t="s">
        <v>162</v>
      </c>
      <c r="J1520" s="20" t="s">
        <v>163</v>
      </c>
      <c r="K1520" s="378" t="s">
        <v>283</v>
      </c>
      <c r="L1520" s="20" t="s">
        <v>165</v>
      </c>
      <c r="M1520" s="380">
        <v>2400</v>
      </c>
      <c r="N1520" s="380"/>
      <c r="O1520" s="380"/>
      <c r="P1520" s="380"/>
      <c r="Q1520" s="381">
        <v>389.79</v>
      </c>
      <c r="R1520" s="381">
        <v>389.76</v>
      </c>
      <c r="S1520" s="381">
        <v>3.2800000000000003E-2</v>
      </c>
      <c r="T1520" s="381"/>
      <c r="U1520" s="381"/>
      <c r="V1520" s="382">
        <v>389.7928</v>
      </c>
      <c r="W1520" s="382">
        <v>0</v>
      </c>
      <c r="X1520" s="381">
        <v>0.16241250000000002</v>
      </c>
      <c r="Y1520" s="381">
        <v>0.16239999999999999</v>
      </c>
      <c r="Z1520" s="381">
        <v>1.3666666666666667E-5</v>
      </c>
      <c r="AA1520" s="381">
        <v>0</v>
      </c>
      <c r="AB1520" s="381">
        <v>0</v>
      </c>
      <c r="AC1520" s="382">
        <v>0.16241366666666665</v>
      </c>
      <c r="AD1520" s="382">
        <v>0</v>
      </c>
      <c r="AE1520" s="381" t="s">
        <v>168</v>
      </c>
    </row>
    <row r="1521" spans="1:32" ht="15" customHeight="1" x14ac:dyDescent="0.25">
      <c r="A1521" s="20" t="s">
        <v>156</v>
      </c>
      <c r="B1521" s="20" t="s">
        <v>2056</v>
      </c>
      <c r="C1521" s="20" t="s">
        <v>2057</v>
      </c>
      <c r="D1521" s="378" t="s">
        <v>2142</v>
      </c>
      <c r="E1521" s="379">
        <v>45016</v>
      </c>
      <c r="F1521" s="379">
        <v>46843</v>
      </c>
      <c r="G1521" s="378" t="s">
        <v>281</v>
      </c>
      <c r="H1521" s="20" t="s">
        <v>282</v>
      </c>
      <c r="I1521" s="20" t="s">
        <v>162</v>
      </c>
      <c r="J1521" s="20" t="s">
        <v>163</v>
      </c>
      <c r="K1521" s="378" t="s">
        <v>283</v>
      </c>
      <c r="L1521" s="20" t="s">
        <v>165</v>
      </c>
      <c r="M1521" s="380">
        <v>2400</v>
      </c>
      <c r="N1521" s="380"/>
      <c r="O1521" s="380"/>
      <c r="P1521" s="380"/>
      <c r="Q1521" s="381">
        <v>317.83999999999997</v>
      </c>
      <c r="R1521" s="381">
        <v>317.79000000000002</v>
      </c>
      <c r="S1521" s="381">
        <v>5.0299999999999997E-2</v>
      </c>
      <c r="T1521" s="381"/>
      <c r="U1521" s="381"/>
      <c r="V1521" s="382">
        <v>317.84030000000001</v>
      </c>
      <c r="W1521" s="382">
        <v>0</v>
      </c>
      <c r="X1521" s="381">
        <v>0.13243333333333332</v>
      </c>
      <c r="Y1521" s="381">
        <v>0.13241250000000002</v>
      </c>
      <c r="Z1521" s="381">
        <v>2.0958333333333332E-5</v>
      </c>
      <c r="AA1521" s="381">
        <v>0</v>
      </c>
      <c r="AB1521" s="381">
        <v>0</v>
      </c>
      <c r="AC1521" s="382">
        <v>0.13243345833333334</v>
      </c>
      <c r="AD1521" s="382">
        <v>0</v>
      </c>
      <c r="AE1521" s="381" t="s">
        <v>168</v>
      </c>
    </row>
    <row r="1522" spans="1:32" ht="15" customHeight="1" x14ac:dyDescent="0.25">
      <c r="A1522" s="20" t="s">
        <v>156</v>
      </c>
      <c r="B1522" s="20" t="s">
        <v>2056</v>
      </c>
      <c r="C1522" s="20" t="s">
        <v>2057</v>
      </c>
      <c r="D1522" s="378" t="s">
        <v>2143</v>
      </c>
      <c r="E1522" s="379">
        <v>45016</v>
      </c>
      <c r="F1522" s="379">
        <v>46843</v>
      </c>
      <c r="G1522" s="378" t="s">
        <v>281</v>
      </c>
      <c r="H1522" s="20" t="s">
        <v>282</v>
      </c>
      <c r="I1522" s="20" t="s">
        <v>162</v>
      </c>
      <c r="J1522" s="20" t="s">
        <v>163</v>
      </c>
      <c r="K1522" s="378" t="s">
        <v>283</v>
      </c>
      <c r="L1522" s="20" t="s">
        <v>165</v>
      </c>
      <c r="M1522" s="380">
        <v>2400</v>
      </c>
      <c r="N1522" s="380"/>
      <c r="O1522" s="380"/>
      <c r="P1522" s="380"/>
      <c r="Q1522" s="381">
        <v>321.51</v>
      </c>
      <c r="R1522" s="381">
        <v>321.47000000000003</v>
      </c>
      <c r="S1522" s="381">
        <v>4.02E-2</v>
      </c>
      <c r="T1522" s="381"/>
      <c r="U1522" s="381"/>
      <c r="V1522" s="382">
        <v>321.51020000000005</v>
      </c>
      <c r="W1522" s="382">
        <v>0</v>
      </c>
      <c r="X1522" s="381">
        <v>0.13396249999999998</v>
      </c>
      <c r="Y1522" s="381">
        <v>0.13394583333333335</v>
      </c>
      <c r="Z1522" s="381">
        <v>1.6750000000000001E-5</v>
      </c>
      <c r="AA1522" s="381">
        <v>0</v>
      </c>
      <c r="AB1522" s="381">
        <v>0</v>
      </c>
      <c r="AC1522" s="382">
        <v>0.13396258333333336</v>
      </c>
      <c r="AD1522" s="382">
        <v>0</v>
      </c>
      <c r="AE1522" s="381" t="s">
        <v>168</v>
      </c>
    </row>
    <row r="1523" spans="1:32" ht="15" customHeight="1" x14ac:dyDescent="0.25">
      <c r="A1523" s="20" t="s">
        <v>156</v>
      </c>
      <c r="B1523" s="20" t="s">
        <v>2056</v>
      </c>
      <c r="C1523" s="20" t="s">
        <v>2057</v>
      </c>
      <c r="D1523" s="378" t="s">
        <v>2144</v>
      </c>
      <c r="E1523" s="379">
        <v>43646</v>
      </c>
      <c r="F1523" s="379">
        <v>45473</v>
      </c>
      <c r="G1523" s="383" t="s">
        <v>285</v>
      </c>
      <c r="H1523" s="20" t="s">
        <v>286</v>
      </c>
      <c r="I1523" s="20" t="s">
        <v>162</v>
      </c>
      <c r="J1523" s="20" t="s">
        <v>163</v>
      </c>
      <c r="K1523" s="378" t="s">
        <v>287</v>
      </c>
      <c r="L1523" s="20" t="s">
        <v>165</v>
      </c>
      <c r="M1523" s="380">
        <v>2400</v>
      </c>
      <c r="N1523" s="380"/>
      <c r="O1523" s="380"/>
      <c r="P1523" s="380"/>
      <c r="Q1523" s="381" t="s">
        <v>2145</v>
      </c>
      <c r="R1523" s="381" t="s">
        <v>2145</v>
      </c>
      <c r="S1523" s="381"/>
      <c r="T1523" s="381"/>
      <c r="U1523" s="381"/>
      <c r="V1523" s="382">
        <v>514</v>
      </c>
      <c r="W1523" s="382">
        <v>0</v>
      </c>
      <c r="X1523" s="381">
        <v>0.21416666666666667</v>
      </c>
      <c r="Y1523" s="381">
        <v>0.21416666666666667</v>
      </c>
      <c r="Z1523" s="381">
        <v>0</v>
      </c>
      <c r="AA1523" s="381">
        <v>0</v>
      </c>
      <c r="AB1523" s="381">
        <v>0</v>
      </c>
      <c r="AC1523" s="382">
        <v>0.21416666666666667</v>
      </c>
      <c r="AD1523" s="382">
        <v>0</v>
      </c>
      <c r="AE1523" s="381" t="s">
        <v>168</v>
      </c>
    </row>
    <row r="1524" spans="1:32" ht="15" customHeight="1" x14ac:dyDescent="0.25">
      <c r="A1524" s="20" t="s">
        <v>156</v>
      </c>
      <c r="B1524" s="20" t="s">
        <v>2056</v>
      </c>
      <c r="C1524" s="20" t="s">
        <v>2057</v>
      </c>
      <c r="D1524" s="378" t="s">
        <v>2146</v>
      </c>
      <c r="E1524" s="379">
        <v>43646</v>
      </c>
      <c r="F1524" s="379">
        <v>45473</v>
      </c>
      <c r="G1524" s="383" t="s">
        <v>285</v>
      </c>
      <c r="H1524" s="20" t="s">
        <v>286</v>
      </c>
      <c r="I1524" s="20" t="s">
        <v>162</v>
      </c>
      <c r="J1524" s="20" t="s">
        <v>163</v>
      </c>
      <c r="K1524" s="378" t="s">
        <v>287</v>
      </c>
      <c r="L1524" s="20" t="s">
        <v>165</v>
      </c>
      <c r="M1524" s="380">
        <v>2400</v>
      </c>
      <c r="N1524" s="380"/>
      <c r="O1524" s="380"/>
      <c r="P1524" s="380"/>
      <c r="Q1524" s="381" t="s">
        <v>2147</v>
      </c>
      <c r="R1524" s="381" t="s">
        <v>2147</v>
      </c>
      <c r="S1524" s="381"/>
      <c r="T1524" s="381"/>
      <c r="U1524" s="381"/>
      <c r="V1524" s="382">
        <v>414</v>
      </c>
      <c r="W1524" s="382">
        <v>0</v>
      </c>
      <c r="X1524" s="381">
        <v>0.17249999999999999</v>
      </c>
      <c r="Y1524" s="381">
        <v>0.17249999999999999</v>
      </c>
      <c r="Z1524" s="381">
        <v>0</v>
      </c>
      <c r="AA1524" s="381">
        <v>0</v>
      </c>
      <c r="AB1524" s="381">
        <v>0</v>
      </c>
      <c r="AC1524" s="382">
        <v>0.17249999999999999</v>
      </c>
      <c r="AD1524" s="382">
        <v>0</v>
      </c>
      <c r="AE1524" s="381" t="s">
        <v>168</v>
      </c>
    </row>
    <row r="1525" spans="1:32" ht="15" customHeight="1" x14ac:dyDescent="0.25">
      <c r="A1525" s="20" t="s">
        <v>156</v>
      </c>
      <c r="B1525" s="20" t="s">
        <v>2056</v>
      </c>
      <c r="C1525" s="20" t="s">
        <v>2057</v>
      </c>
      <c r="D1525" s="378" t="s">
        <v>2148</v>
      </c>
      <c r="E1525" s="379">
        <v>43646</v>
      </c>
      <c r="F1525" s="379">
        <v>45473</v>
      </c>
      <c r="G1525" s="383" t="s">
        <v>285</v>
      </c>
      <c r="H1525" s="20" t="s">
        <v>286</v>
      </c>
      <c r="I1525" s="20" t="s">
        <v>162</v>
      </c>
      <c r="J1525" s="20" t="s">
        <v>163</v>
      </c>
      <c r="K1525" s="378" t="s">
        <v>287</v>
      </c>
      <c r="L1525" s="20" t="s">
        <v>165</v>
      </c>
      <c r="M1525" s="380">
        <v>2400</v>
      </c>
      <c r="N1525" s="380"/>
      <c r="O1525" s="380"/>
      <c r="P1525" s="380"/>
      <c r="Q1525" s="381" t="s">
        <v>641</v>
      </c>
      <c r="R1525" s="381" t="s">
        <v>641</v>
      </c>
      <c r="S1525" s="381"/>
      <c r="T1525" s="381"/>
      <c r="U1525" s="381"/>
      <c r="V1525" s="382">
        <v>303</v>
      </c>
      <c r="W1525" s="382">
        <v>0</v>
      </c>
      <c r="X1525" s="381">
        <v>0.12625</v>
      </c>
      <c r="Y1525" s="381">
        <v>0.12625</v>
      </c>
      <c r="Z1525" s="381">
        <v>0</v>
      </c>
      <c r="AA1525" s="381">
        <v>0</v>
      </c>
      <c r="AB1525" s="381">
        <v>0</v>
      </c>
      <c r="AC1525" s="382">
        <v>0.12625</v>
      </c>
      <c r="AD1525" s="382">
        <v>0</v>
      </c>
      <c r="AE1525" s="381" t="s">
        <v>168</v>
      </c>
    </row>
    <row r="1526" spans="1:32" ht="15" customHeight="1" x14ac:dyDescent="0.25">
      <c r="A1526" s="20" t="s">
        <v>156</v>
      </c>
      <c r="B1526" s="20" t="s">
        <v>2056</v>
      </c>
      <c r="C1526" s="20" t="s">
        <v>2057</v>
      </c>
      <c r="D1526" s="378" t="s">
        <v>2149</v>
      </c>
      <c r="E1526" s="379">
        <v>43646</v>
      </c>
      <c r="F1526" s="379">
        <v>45473</v>
      </c>
      <c r="G1526" s="383" t="s">
        <v>285</v>
      </c>
      <c r="H1526" s="20" t="s">
        <v>286</v>
      </c>
      <c r="I1526" s="20" t="s">
        <v>162</v>
      </c>
      <c r="J1526" s="20" t="s">
        <v>163</v>
      </c>
      <c r="K1526" s="378" t="s">
        <v>287</v>
      </c>
      <c r="L1526" s="20" t="s">
        <v>165</v>
      </c>
      <c r="M1526" s="380">
        <v>2400</v>
      </c>
      <c r="N1526" s="380"/>
      <c r="O1526" s="380"/>
      <c r="P1526" s="380"/>
      <c r="Q1526" s="381" t="s">
        <v>2150</v>
      </c>
      <c r="R1526" s="381" t="s">
        <v>2150</v>
      </c>
      <c r="S1526" s="381"/>
      <c r="T1526" s="381"/>
      <c r="U1526" s="381"/>
      <c r="V1526" s="382">
        <v>284</v>
      </c>
      <c r="W1526" s="382">
        <v>0</v>
      </c>
      <c r="X1526" s="381">
        <v>0.11833333333333333</v>
      </c>
      <c r="Y1526" s="381">
        <v>0.11833333333333333</v>
      </c>
      <c r="Z1526" s="381">
        <v>0</v>
      </c>
      <c r="AA1526" s="381">
        <v>0</v>
      </c>
      <c r="AB1526" s="381">
        <v>0</v>
      </c>
      <c r="AC1526" s="382">
        <v>0.11833333333333333</v>
      </c>
      <c r="AD1526" s="382">
        <v>0</v>
      </c>
      <c r="AE1526" s="381" t="s">
        <v>168</v>
      </c>
    </row>
    <row r="1527" spans="1:32" ht="15" customHeight="1" x14ac:dyDescent="0.25">
      <c r="A1527" s="20" t="s">
        <v>156</v>
      </c>
      <c r="B1527" s="20" t="s">
        <v>2056</v>
      </c>
      <c r="C1527" s="20" t="s">
        <v>2057</v>
      </c>
      <c r="D1527" s="378" t="s">
        <v>2151</v>
      </c>
      <c r="E1527" s="379">
        <v>43646</v>
      </c>
      <c r="F1527" s="379">
        <v>45473</v>
      </c>
      <c r="G1527" s="383" t="s">
        <v>193</v>
      </c>
      <c r="H1527" s="20" t="s">
        <v>286</v>
      </c>
      <c r="I1527" s="20" t="s">
        <v>162</v>
      </c>
      <c r="J1527" s="20" t="s">
        <v>163</v>
      </c>
      <c r="K1527" s="378" t="s">
        <v>287</v>
      </c>
      <c r="L1527" s="20" t="s">
        <v>165</v>
      </c>
      <c r="M1527" s="380">
        <v>2400</v>
      </c>
      <c r="N1527" s="380"/>
      <c r="O1527" s="380"/>
      <c r="P1527" s="380"/>
      <c r="Q1527" s="381" t="s">
        <v>2152</v>
      </c>
      <c r="R1527" s="381" t="s">
        <v>2152</v>
      </c>
      <c r="S1527" s="381"/>
      <c r="T1527" s="381"/>
      <c r="U1527" s="381"/>
      <c r="V1527" s="382">
        <v>363</v>
      </c>
      <c r="W1527" s="382">
        <v>0</v>
      </c>
      <c r="X1527" s="381">
        <v>0.15125</v>
      </c>
      <c r="Y1527" s="381">
        <v>0.15125</v>
      </c>
      <c r="Z1527" s="381">
        <v>0</v>
      </c>
      <c r="AA1527" s="381">
        <v>0</v>
      </c>
      <c r="AB1527" s="381">
        <v>0</v>
      </c>
      <c r="AC1527" s="382">
        <v>0.15125</v>
      </c>
      <c r="AD1527" s="382">
        <v>0</v>
      </c>
      <c r="AE1527" s="381" t="s">
        <v>168</v>
      </c>
    </row>
    <row r="1528" spans="1:32" ht="15" customHeight="1" x14ac:dyDescent="0.25">
      <c r="A1528" s="20" t="s">
        <v>156</v>
      </c>
      <c r="B1528" s="20" t="s">
        <v>2056</v>
      </c>
      <c r="C1528" s="20" t="s">
        <v>2057</v>
      </c>
      <c r="D1528" s="378" t="s">
        <v>2153</v>
      </c>
      <c r="E1528" s="379">
        <v>43646</v>
      </c>
      <c r="F1528" s="379">
        <v>45473</v>
      </c>
      <c r="G1528" s="383" t="s">
        <v>193</v>
      </c>
      <c r="H1528" s="20" t="s">
        <v>286</v>
      </c>
      <c r="I1528" s="20" t="s">
        <v>162</v>
      </c>
      <c r="J1528" s="20" t="s">
        <v>163</v>
      </c>
      <c r="K1528" s="378" t="s">
        <v>287</v>
      </c>
      <c r="L1528" s="20" t="s">
        <v>165</v>
      </c>
      <c r="M1528" s="380">
        <v>2400</v>
      </c>
      <c r="N1528" s="380"/>
      <c r="O1528" s="380"/>
      <c r="P1528" s="380"/>
      <c r="Q1528" s="381" t="s">
        <v>2154</v>
      </c>
      <c r="R1528" s="381" t="s">
        <v>2154</v>
      </c>
      <c r="S1528" s="381"/>
      <c r="T1528" s="381"/>
      <c r="U1528" s="381"/>
      <c r="V1528" s="382">
        <v>296</v>
      </c>
      <c r="W1528" s="382">
        <v>0</v>
      </c>
      <c r="X1528" s="381">
        <v>0.12333333333333334</v>
      </c>
      <c r="Y1528" s="381">
        <v>0.12333333333333334</v>
      </c>
      <c r="Z1528" s="381">
        <v>0</v>
      </c>
      <c r="AA1528" s="381">
        <v>0</v>
      </c>
      <c r="AB1528" s="381">
        <v>0</v>
      </c>
      <c r="AC1528" s="382">
        <v>0.12333333333333334</v>
      </c>
      <c r="AD1528" s="382">
        <v>0</v>
      </c>
      <c r="AE1528" s="381" t="s">
        <v>168</v>
      </c>
    </row>
    <row r="1529" spans="1:32" ht="15" customHeight="1" x14ac:dyDescent="0.25">
      <c r="A1529" s="20" t="s">
        <v>156</v>
      </c>
      <c r="B1529" s="20" t="s">
        <v>2056</v>
      </c>
      <c r="C1529" s="20" t="s">
        <v>2057</v>
      </c>
      <c r="D1529" s="378" t="s">
        <v>2155</v>
      </c>
      <c r="E1529" s="379">
        <v>43646</v>
      </c>
      <c r="F1529" s="379">
        <v>45473</v>
      </c>
      <c r="G1529" s="383" t="s">
        <v>179</v>
      </c>
      <c r="H1529" s="20" t="s">
        <v>286</v>
      </c>
      <c r="I1529" s="20" t="s">
        <v>162</v>
      </c>
      <c r="J1529" s="20" t="s">
        <v>163</v>
      </c>
      <c r="K1529" s="378" t="s">
        <v>287</v>
      </c>
      <c r="L1529" s="20" t="s">
        <v>165</v>
      </c>
      <c r="M1529" s="380">
        <v>2400</v>
      </c>
      <c r="N1529" s="380"/>
      <c r="O1529" s="380"/>
      <c r="P1529" s="380"/>
      <c r="Q1529" s="381" t="s">
        <v>2156</v>
      </c>
      <c r="R1529" s="381" t="s">
        <v>2156</v>
      </c>
      <c r="S1529" s="381"/>
      <c r="T1529" s="381"/>
      <c r="U1529" s="381"/>
      <c r="V1529" s="382">
        <v>454</v>
      </c>
      <c r="W1529" s="382">
        <v>0</v>
      </c>
      <c r="X1529" s="381">
        <v>0.18916666666666668</v>
      </c>
      <c r="Y1529" s="381">
        <v>0.18916666666666668</v>
      </c>
      <c r="Z1529" s="381">
        <v>0</v>
      </c>
      <c r="AA1529" s="381">
        <v>0</v>
      </c>
      <c r="AB1529" s="381">
        <v>0</v>
      </c>
      <c r="AC1529" s="382">
        <v>0.18916666666666668</v>
      </c>
      <c r="AD1529" s="382">
        <v>0</v>
      </c>
      <c r="AE1529" s="381" t="s">
        <v>168</v>
      </c>
    </row>
    <row r="1530" spans="1:32" ht="15" customHeight="1" x14ac:dyDescent="0.25">
      <c r="A1530" s="20" t="s">
        <v>156</v>
      </c>
      <c r="B1530" s="20" t="s">
        <v>2056</v>
      </c>
      <c r="C1530" s="20" t="s">
        <v>2057</v>
      </c>
      <c r="D1530" s="378" t="s">
        <v>2157</v>
      </c>
      <c r="E1530" s="379">
        <v>43646</v>
      </c>
      <c r="F1530" s="379">
        <v>45473</v>
      </c>
      <c r="G1530" s="383" t="s">
        <v>179</v>
      </c>
      <c r="H1530" s="20" t="s">
        <v>286</v>
      </c>
      <c r="I1530" s="20" t="s">
        <v>162</v>
      </c>
      <c r="J1530" s="20" t="s">
        <v>163</v>
      </c>
      <c r="K1530" s="378" t="s">
        <v>287</v>
      </c>
      <c r="L1530" s="20" t="s">
        <v>165</v>
      </c>
      <c r="M1530" s="380">
        <v>2400</v>
      </c>
      <c r="N1530" s="380"/>
      <c r="O1530" s="380"/>
      <c r="P1530" s="380"/>
      <c r="Q1530" s="381" t="s">
        <v>2152</v>
      </c>
      <c r="R1530" s="381" t="s">
        <v>2152</v>
      </c>
      <c r="S1530" s="381"/>
      <c r="T1530" s="381"/>
      <c r="U1530" s="381"/>
      <c r="V1530" s="382">
        <v>363</v>
      </c>
      <c r="W1530" s="382">
        <v>0</v>
      </c>
      <c r="X1530" s="381">
        <v>0.15125</v>
      </c>
      <c r="Y1530" s="381">
        <v>0.15125</v>
      </c>
      <c r="Z1530" s="381">
        <v>0</v>
      </c>
      <c r="AA1530" s="381">
        <v>0</v>
      </c>
      <c r="AB1530" s="381">
        <v>0</v>
      </c>
      <c r="AC1530" s="382">
        <v>0.15125</v>
      </c>
      <c r="AD1530" s="382">
        <v>0</v>
      </c>
      <c r="AE1530" s="381" t="s">
        <v>168</v>
      </c>
    </row>
    <row r="1531" spans="1:32" ht="15" customHeight="1" x14ac:dyDescent="0.25">
      <c r="A1531" s="20" t="s">
        <v>156</v>
      </c>
      <c r="B1531" s="20" t="s">
        <v>2056</v>
      </c>
      <c r="C1531" s="20" t="s">
        <v>2057</v>
      </c>
      <c r="D1531" s="378" t="s">
        <v>2158</v>
      </c>
      <c r="E1531" s="379">
        <v>43646</v>
      </c>
      <c r="F1531" s="379">
        <v>45473</v>
      </c>
      <c r="G1531" s="383" t="s">
        <v>179</v>
      </c>
      <c r="H1531" s="20" t="s">
        <v>286</v>
      </c>
      <c r="I1531" s="20" t="s">
        <v>162</v>
      </c>
      <c r="J1531" s="20" t="s">
        <v>163</v>
      </c>
      <c r="K1531" s="378" t="s">
        <v>287</v>
      </c>
      <c r="L1531" s="20" t="s">
        <v>165</v>
      </c>
      <c r="M1531" s="380">
        <v>2400</v>
      </c>
      <c r="N1531" s="380"/>
      <c r="O1531" s="380"/>
      <c r="P1531" s="380"/>
      <c r="Q1531" s="381" t="s">
        <v>1619</v>
      </c>
      <c r="R1531" s="381" t="s">
        <v>1619</v>
      </c>
      <c r="S1531" s="381"/>
      <c r="T1531" s="381"/>
      <c r="U1531" s="381"/>
      <c r="V1531" s="382">
        <v>302</v>
      </c>
      <c r="W1531" s="382">
        <v>0</v>
      </c>
      <c r="X1531" s="381">
        <v>0.12583333333333332</v>
      </c>
      <c r="Y1531" s="381">
        <v>0.12583333333333332</v>
      </c>
      <c r="Z1531" s="381">
        <v>0</v>
      </c>
      <c r="AA1531" s="381">
        <v>0</v>
      </c>
      <c r="AB1531" s="381">
        <v>0</v>
      </c>
      <c r="AC1531" s="382">
        <v>0.12583333333333332</v>
      </c>
      <c r="AD1531" s="382">
        <v>0</v>
      </c>
      <c r="AE1531" s="381" t="s">
        <v>168</v>
      </c>
    </row>
    <row r="1532" spans="1:32" ht="15" customHeight="1" x14ac:dyDescent="0.25">
      <c r="A1532" s="20" t="s">
        <v>156</v>
      </c>
      <c r="B1532" s="20" t="s">
        <v>2056</v>
      </c>
      <c r="C1532" s="20" t="s">
        <v>2057</v>
      </c>
      <c r="D1532" s="378" t="s">
        <v>2159</v>
      </c>
      <c r="E1532" s="379">
        <v>43646</v>
      </c>
      <c r="F1532" s="379">
        <v>45473</v>
      </c>
      <c r="G1532" s="383" t="s">
        <v>160</v>
      </c>
      <c r="H1532" s="20" t="s">
        <v>286</v>
      </c>
      <c r="I1532" s="20" t="s">
        <v>162</v>
      </c>
      <c r="J1532" s="20" t="s">
        <v>163</v>
      </c>
      <c r="K1532" s="378" t="s">
        <v>287</v>
      </c>
      <c r="L1532" s="20" t="s">
        <v>165</v>
      </c>
      <c r="M1532" s="380">
        <v>2400</v>
      </c>
      <c r="N1532" s="380"/>
      <c r="O1532" s="380"/>
      <c r="P1532" s="380"/>
      <c r="Q1532" s="381" t="s">
        <v>641</v>
      </c>
      <c r="R1532" s="381" t="s">
        <v>641</v>
      </c>
      <c r="S1532" s="381"/>
      <c r="T1532" s="381"/>
      <c r="U1532" s="381"/>
      <c r="V1532" s="382">
        <v>303</v>
      </c>
      <c r="W1532" s="382">
        <v>0</v>
      </c>
      <c r="X1532" s="381">
        <v>0.12625</v>
      </c>
      <c r="Y1532" s="381">
        <v>0.12625</v>
      </c>
      <c r="Z1532" s="381">
        <v>0</v>
      </c>
      <c r="AA1532" s="381">
        <v>0</v>
      </c>
      <c r="AB1532" s="381">
        <v>0</v>
      </c>
      <c r="AC1532" s="382">
        <v>0.12625</v>
      </c>
      <c r="AD1532" s="382">
        <v>0</v>
      </c>
      <c r="AE1532" s="381" t="s">
        <v>168</v>
      </c>
    </row>
    <row r="1533" spans="1:32" ht="15" customHeight="1" x14ac:dyDescent="0.25">
      <c r="A1533" s="20" t="s">
        <v>156</v>
      </c>
      <c r="B1533" s="20" t="s">
        <v>2056</v>
      </c>
      <c r="C1533" s="20" t="s">
        <v>2057</v>
      </c>
      <c r="D1533" s="378" t="s">
        <v>2160</v>
      </c>
      <c r="E1533" s="379">
        <v>43646</v>
      </c>
      <c r="F1533" s="379">
        <v>45473</v>
      </c>
      <c r="G1533" s="383" t="s">
        <v>316</v>
      </c>
      <c r="H1533" s="20" t="s">
        <v>286</v>
      </c>
      <c r="I1533" s="20" t="s">
        <v>162</v>
      </c>
      <c r="J1533" s="20" t="s">
        <v>163</v>
      </c>
      <c r="K1533" s="378" t="s">
        <v>287</v>
      </c>
      <c r="L1533" s="20" t="s">
        <v>165</v>
      </c>
      <c r="M1533" s="380">
        <v>2400</v>
      </c>
      <c r="N1533" s="380"/>
      <c r="O1533" s="380"/>
      <c r="P1533" s="380"/>
      <c r="Q1533" s="381" t="s">
        <v>2161</v>
      </c>
      <c r="R1533" s="381" t="s">
        <v>2161</v>
      </c>
      <c r="S1533" s="381"/>
      <c r="T1533" s="381"/>
      <c r="U1533" s="381"/>
      <c r="V1533" s="382">
        <v>334</v>
      </c>
      <c r="W1533" s="382">
        <v>0</v>
      </c>
      <c r="X1533" s="381">
        <v>0.13916666666666666</v>
      </c>
      <c r="Y1533" s="381">
        <v>0.13916666666666666</v>
      </c>
      <c r="Z1533" s="381">
        <v>0</v>
      </c>
      <c r="AA1533" s="381">
        <v>0</v>
      </c>
      <c r="AB1533" s="381">
        <v>0</v>
      </c>
      <c r="AC1533" s="382">
        <v>0.13916666666666666</v>
      </c>
      <c r="AD1533" s="382">
        <v>0</v>
      </c>
      <c r="AE1533" s="381" t="s">
        <v>168</v>
      </c>
    </row>
    <row r="1534" spans="1:32" ht="15" customHeight="1" x14ac:dyDescent="0.25">
      <c r="A1534" s="20" t="s">
        <v>156</v>
      </c>
      <c r="B1534" s="20" t="s">
        <v>2056</v>
      </c>
      <c r="C1534" s="20" t="s">
        <v>2057</v>
      </c>
      <c r="D1534" s="378" t="s">
        <v>2162</v>
      </c>
      <c r="E1534" s="379">
        <v>44412</v>
      </c>
      <c r="F1534" s="379">
        <v>46238</v>
      </c>
      <c r="G1534" s="378" t="s">
        <v>179</v>
      </c>
      <c r="H1534" s="20" t="s">
        <v>332</v>
      </c>
      <c r="I1534" s="20" t="s">
        <v>162</v>
      </c>
      <c r="J1534" s="20" t="s">
        <v>163</v>
      </c>
      <c r="K1534" s="378" t="s">
        <v>333</v>
      </c>
      <c r="L1534" s="20" t="s">
        <v>165</v>
      </c>
      <c r="M1534" s="380">
        <v>2400</v>
      </c>
      <c r="N1534" s="380"/>
      <c r="O1534" s="380"/>
      <c r="P1534" s="380"/>
      <c r="Q1534" s="381" t="s">
        <v>2163</v>
      </c>
      <c r="R1534" s="381"/>
      <c r="S1534" s="381"/>
      <c r="T1534" s="381"/>
      <c r="U1534" s="381"/>
      <c r="V1534" s="382">
        <v>334.84</v>
      </c>
      <c r="W1534" s="382">
        <v>0</v>
      </c>
      <c r="X1534" s="381">
        <v>0.13951666666666665</v>
      </c>
      <c r="Y1534" s="381">
        <v>0</v>
      </c>
      <c r="Z1534" s="381">
        <v>0</v>
      </c>
      <c r="AA1534" s="381">
        <v>0</v>
      </c>
      <c r="AB1534" s="381">
        <v>0</v>
      </c>
      <c r="AC1534" s="382">
        <v>0.13951666666666665</v>
      </c>
      <c r="AD1534" s="382">
        <v>0</v>
      </c>
      <c r="AE1534" s="381" t="s">
        <v>168</v>
      </c>
    </row>
    <row r="1535" spans="1:32" ht="15" customHeight="1" x14ac:dyDescent="0.25">
      <c r="A1535" s="20" t="s">
        <v>156</v>
      </c>
      <c r="B1535" s="20" t="s">
        <v>2056</v>
      </c>
      <c r="C1535" s="20" t="s">
        <v>2057</v>
      </c>
      <c r="D1535" s="378" t="s">
        <v>2164</v>
      </c>
      <c r="E1535" s="379">
        <v>44412</v>
      </c>
      <c r="F1535" s="379">
        <v>46238</v>
      </c>
      <c r="G1535" s="378" t="s">
        <v>179</v>
      </c>
      <c r="H1535" s="20" t="s">
        <v>332</v>
      </c>
      <c r="I1535" s="20" t="s">
        <v>162</v>
      </c>
      <c r="J1535" s="20" t="s">
        <v>163</v>
      </c>
      <c r="K1535" s="378" t="s">
        <v>333</v>
      </c>
      <c r="L1535" s="20" t="s">
        <v>165</v>
      </c>
      <c r="M1535" s="380">
        <v>2400</v>
      </c>
      <c r="N1535" s="380"/>
      <c r="O1535" s="380"/>
      <c r="P1535" s="380"/>
      <c r="Q1535" s="381" t="s">
        <v>2165</v>
      </c>
      <c r="R1535" s="380"/>
      <c r="S1535" s="381"/>
      <c r="T1535" s="381"/>
      <c r="U1535" s="381"/>
      <c r="V1535" s="382">
        <v>333.89</v>
      </c>
      <c r="W1535" s="382">
        <v>0</v>
      </c>
      <c r="X1535" s="381">
        <v>0.13912083333333333</v>
      </c>
      <c r="Y1535" s="381">
        <v>0</v>
      </c>
      <c r="Z1535" s="381">
        <v>0</v>
      </c>
      <c r="AA1535" s="381">
        <v>0</v>
      </c>
      <c r="AB1535" s="381">
        <v>0</v>
      </c>
      <c r="AC1535" s="382">
        <v>0.13912083333333333</v>
      </c>
      <c r="AD1535" s="382">
        <v>0</v>
      </c>
      <c r="AE1535" s="381" t="s">
        <v>168</v>
      </c>
      <c r="AF1535" t="str" cm="1">
        <f t="array" ref="AF1535">_xlfn.IFS((U1535*-1)&gt;S1535,"Op1",R1535=0,"Op2",S1535=0,"Op3",(U1535*-1)&lt;=S1535,"Op4")</f>
        <v>Op2</v>
      </c>
    </row>
    <row r="1536" spans="1:32" ht="15" customHeight="1" x14ac:dyDescent="0.25">
      <c r="A1536" s="20" t="s">
        <v>156</v>
      </c>
      <c r="B1536" s="20" t="s">
        <v>2056</v>
      </c>
      <c r="C1536" s="20" t="s">
        <v>2057</v>
      </c>
      <c r="D1536" s="378" t="s">
        <v>2166</v>
      </c>
      <c r="E1536" s="379">
        <v>44412</v>
      </c>
      <c r="F1536" s="379">
        <v>46238</v>
      </c>
      <c r="G1536" s="378" t="s">
        <v>179</v>
      </c>
      <c r="H1536" s="20" t="s">
        <v>332</v>
      </c>
      <c r="I1536" s="20" t="s">
        <v>162</v>
      </c>
      <c r="J1536" s="20" t="s">
        <v>163</v>
      </c>
      <c r="K1536" s="378" t="s">
        <v>333</v>
      </c>
      <c r="L1536" s="20" t="s">
        <v>165</v>
      </c>
      <c r="M1536" s="380">
        <v>2400</v>
      </c>
      <c r="N1536" s="380"/>
      <c r="O1536" s="380"/>
      <c r="P1536" s="380"/>
      <c r="Q1536" s="381" t="s">
        <v>2167</v>
      </c>
      <c r="R1536" s="380"/>
      <c r="S1536" s="381"/>
      <c r="T1536" s="381"/>
      <c r="U1536" s="381"/>
      <c r="V1536" s="382">
        <v>286.08</v>
      </c>
      <c r="W1536" s="382">
        <v>0</v>
      </c>
      <c r="X1536" s="381">
        <v>0.11919999999999999</v>
      </c>
      <c r="Y1536" s="381">
        <v>0</v>
      </c>
      <c r="Z1536" s="381">
        <v>0</v>
      </c>
      <c r="AA1536" s="381">
        <v>0</v>
      </c>
      <c r="AB1536" s="381">
        <v>0</v>
      </c>
      <c r="AC1536" s="382">
        <v>0.11919999999999999</v>
      </c>
      <c r="AD1536" s="382">
        <v>0</v>
      </c>
      <c r="AE1536" s="381" t="s">
        <v>168</v>
      </c>
      <c r="AF1536" t="str" cm="1">
        <f t="array" ref="AF1536">_xlfn.IFS((U1536*-1)&gt;S1536,"Op1",R1536=0,"Op2",S1536=0,"Op3",(U1536*-1)&lt;=S1536,"Op4")</f>
        <v>Op2</v>
      </c>
    </row>
    <row r="1537" spans="1:32" ht="15" customHeight="1" x14ac:dyDescent="0.25">
      <c r="A1537" s="20" t="s">
        <v>156</v>
      </c>
      <c r="B1537" s="20" t="s">
        <v>2056</v>
      </c>
      <c r="C1537" s="20" t="s">
        <v>2057</v>
      </c>
      <c r="D1537" s="378" t="s">
        <v>2168</v>
      </c>
      <c r="E1537" s="379">
        <v>44294</v>
      </c>
      <c r="F1537" s="379">
        <v>46120</v>
      </c>
      <c r="G1537" s="378" t="s">
        <v>1648</v>
      </c>
      <c r="H1537" s="20" t="s">
        <v>220</v>
      </c>
      <c r="I1537" s="20" t="s">
        <v>162</v>
      </c>
      <c r="J1537" s="20" t="s">
        <v>163</v>
      </c>
      <c r="K1537" s="378" t="s">
        <v>1649</v>
      </c>
      <c r="L1537" s="20" t="s">
        <v>165</v>
      </c>
      <c r="M1537" s="380">
        <v>2400</v>
      </c>
      <c r="N1537" s="380"/>
      <c r="O1537" s="380"/>
      <c r="P1537" s="380"/>
      <c r="Q1537" s="380" t="s">
        <v>2169</v>
      </c>
      <c r="R1537" s="380" t="s">
        <v>2169</v>
      </c>
      <c r="S1537" s="381"/>
      <c r="T1537" s="381"/>
      <c r="U1537" s="381"/>
      <c r="V1537" s="382">
        <v>381.9</v>
      </c>
      <c r="W1537" s="382">
        <v>0</v>
      </c>
      <c r="X1537" s="381">
        <v>0.15912499999999999</v>
      </c>
      <c r="Y1537" s="381">
        <v>0.15912499999999999</v>
      </c>
      <c r="Z1537" s="381">
        <v>0</v>
      </c>
      <c r="AA1537" s="381">
        <v>0</v>
      </c>
      <c r="AB1537" s="381">
        <v>0</v>
      </c>
      <c r="AC1537" s="382">
        <v>0.15912499999999999</v>
      </c>
      <c r="AD1537" s="382">
        <v>0</v>
      </c>
      <c r="AE1537" s="381" t="s">
        <v>168</v>
      </c>
      <c r="AF1537" t="str" cm="1">
        <f t="array" ref="AF1537">_xlfn.IFS((U1537*-1)&gt;S1537,"Op1",R1537=0,"Op2",S1537=0,"Op3",(U1537*-1)&lt;=S1537,"Op4")</f>
        <v>Op3</v>
      </c>
    </row>
    <row r="1538" spans="1:32" ht="15" customHeight="1" x14ac:dyDescent="0.25">
      <c r="A1538" s="20" t="s">
        <v>156</v>
      </c>
      <c r="B1538" s="20" t="s">
        <v>2056</v>
      </c>
      <c r="C1538" s="20" t="s">
        <v>2057</v>
      </c>
      <c r="D1538" s="378" t="s">
        <v>2170</v>
      </c>
      <c r="E1538" s="379">
        <v>44294</v>
      </c>
      <c r="F1538" s="379">
        <v>46120</v>
      </c>
      <c r="G1538" s="378" t="s">
        <v>1648</v>
      </c>
      <c r="H1538" s="20" t="s">
        <v>220</v>
      </c>
      <c r="I1538" s="20" t="s">
        <v>162</v>
      </c>
      <c r="J1538" s="20" t="s">
        <v>163</v>
      </c>
      <c r="K1538" s="378" t="s">
        <v>1649</v>
      </c>
      <c r="L1538" s="20" t="s">
        <v>165</v>
      </c>
      <c r="M1538" s="380">
        <v>2400</v>
      </c>
      <c r="N1538" s="380"/>
      <c r="O1538" s="380"/>
      <c r="P1538" s="380"/>
      <c r="Q1538" s="380" t="s">
        <v>2171</v>
      </c>
      <c r="R1538" s="380" t="s">
        <v>2171</v>
      </c>
      <c r="S1538" s="381"/>
      <c r="T1538" s="381"/>
      <c r="U1538" s="381"/>
      <c r="V1538" s="382">
        <v>436.45</v>
      </c>
      <c r="W1538" s="382">
        <v>0</v>
      </c>
      <c r="X1538" s="381">
        <v>0.18185416666666665</v>
      </c>
      <c r="Y1538" s="381">
        <v>0.18185416666666665</v>
      </c>
      <c r="Z1538" s="381">
        <v>0</v>
      </c>
      <c r="AA1538" s="381">
        <v>0</v>
      </c>
      <c r="AB1538" s="381">
        <v>0</v>
      </c>
      <c r="AC1538" s="382">
        <v>0.18185416666666665</v>
      </c>
      <c r="AD1538" s="382">
        <v>0</v>
      </c>
      <c r="AE1538" s="381" t="s">
        <v>168</v>
      </c>
      <c r="AF1538" t="str" cm="1">
        <f t="array" ref="AF1538">_xlfn.IFS((U1538*-1)&gt;S1538,"Op1",R1538=0,"Op2",S1538=0,"Op3",(U1538*-1)&lt;=S1538,"Op4")</f>
        <v>Op3</v>
      </c>
    </row>
    <row r="1539" spans="1:32" ht="15" customHeight="1" x14ac:dyDescent="0.25">
      <c r="A1539" s="20" t="s">
        <v>156</v>
      </c>
      <c r="B1539" s="20" t="s">
        <v>2056</v>
      </c>
      <c r="C1539" s="20" t="s">
        <v>2057</v>
      </c>
      <c r="D1539" s="378" t="s">
        <v>2172</v>
      </c>
      <c r="E1539" s="379">
        <v>44294</v>
      </c>
      <c r="F1539" s="379">
        <v>46120</v>
      </c>
      <c r="G1539" s="378" t="s">
        <v>1648</v>
      </c>
      <c r="H1539" s="20" t="s">
        <v>220</v>
      </c>
      <c r="I1539" s="20" t="s">
        <v>162</v>
      </c>
      <c r="J1539" s="20" t="s">
        <v>163</v>
      </c>
      <c r="K1539" s="378" t="s">
        <v>1649</v>
      </c>
      <c r="L1539" s="20" t="s">
        <v>165</v>
      </c>
      <c r="M1539" s="380">
        <v>2400</v>
      </c>
      <c r="N1539" s="380"/>
      <c r="O1539" s="380"/>
      <c r="P1539" s="380"/>
      <c r="Q1539" s="380" t="s">
        <v>2173</v>
      </c>
      <c r="R1539" s="380" t="s">
        <v>2173</v>
      </c>
      <c r="S1539" s="381"/>
      <c r="T1539" s="381"/>
      <c r="U1539" s="381"/>
      <c r="V1539" s="382">
        <v>408.02</v>
      </c>
      <c r="W1539" s="382">
        <v>0</v>
      </c>
      <c r="X1539" s="381">
        <v>0.17000833333333332</v>
      </c>
      <c r="Y1539" s="381">
        <v>0.17000833333333332</v>
      </c>
      <c r="Z1539" s="381">
        <v>0</v>
      </c>
      <c r="AA1539" s="381">
        <v>0</v>
      </c>
      <c r="AB1539" s="381">
        <v>0</v>
      </c>
      <c r="AC1539" s="382">
        <v>0.17000833333333332</v>
      </c>
      <c r="AD1539" s="382">
        <v>0</v>
      </c>
      <c r="AE1539" s="381" t="s">
        <v>168</v>
      </c>
      <c r="AF1539" t="str" cm="1">
        <f t="array" ref="AF1539">_xlfn.IFS((U1539*-1)&gt;S1539,"Op1",R1539=0,"Op2",S1539=0,"Op3",(U1539*-1)&lt;=S1539,"Op4")</f>
        <v>Op3</v>
      </c>
    </row>
    <row r="1540" spans="1:32" ht="15" customHeight="1" x14ac:dyDescent="0.25">
      <c r="A1540" s="20" t="s">
        <v>156</v>
      </c>
      <c r="B1540" s="20" t="s">
        <v>2056</v>
      </c>
      <c r="C1540" s="20" t="s">
        <v>2057</v>
      </c>
      <c r="D1540" s="378" t="s">
        <v>2174</v>
      </c>
      <c r="E1540" s="379">
        <v>44294</v>
      </c>
      <c r="F1540" s="379">
        <v>46120</v>
      </c>
      <c r="G1540" s="378" t="s">
        <v>1648</v>
      </c>
      <c r="H1540" s="20" t="s">
        <v>220</v>
      </c>
      <c r="I1540" s="20" t="s">
        <v>162</v>
      </c>
      <c r="J1540" s="20" t="s">
        <v>163</v>
      </c>
      <c r="K1540" s="378" t="s">
        <v>1649</v>
      </c>
      <c r="L1540" s="20" t="s">
        <v>165</v>
      </c>
      <c r="M1540" s="380">
        <v>2400</v>
      </c>
      <c r="N1540" s="380"/>
      <c r="O1540" s="380"/>
      <c r="P1540" s="380"/>
      <c r="Q1540" s="380" t="s">
        <v>2175</v>
      </c>
      <c r="R1540" s="380" t="s">
        <v>2175</v>
      </c>
      <c r="S1540" s="381"/>
      <c r="T1540" s="381"/>
      <c r="U1540" s="381"/>
      <c r="V1540" s="382">
        <v>395.24</v>
      </c>
      <c r="W1540" s="382">
        <v>0</v>
      </c>
      <c r="X1540" s="381">
        <v>0.16468333333333335</v>
      </c>
      <c r="Y1540" s="381">
        <v>0.16468333333333335</v>
      </c>
      <c r="Z1540" s="381">
        <v>0</v>
      </c>
      <c r="AA1540" s="381">
        <v>0</v>
      </c>
      <c r="AB1540" s="381">
        <v>0</v>
      </c>
      <c r="AC1540" s="382">
        <v>0.16468333333333335</v>
      </c>
      <c r="AD1540" s="382">
        <v>0</v>
      </c>
      <c r="AE1540" s="381" t="s">
        <v>168</v>
      </c>
    </row>
    <row r="1541" spans="1:32" ht="15" customHeight="1" x14ac:dyDescent="0.25">
      <c r="A1541" s="20" t="s">
        <v>156</v>
      </c>
      <c r="B1541" s="20" t="s">
        <v>2056</v>
      </c>
      <c r="C1541" s="20" t="s">
        <v>2057</v>
      </c>
      <c r="D1541" s="378" t="s">
        <v>2176</v>
      </c>
      <c r="E1541" s="379">
        <v>44294</v>
      </c>
      <c r="F1541" s="379">
        <v>46120</v>
      </c>
      <c r="G1541" s="378" t="s">
        <v>1648</v>
      </c>
      <c r="H1541" s="20" t="s">
        <v>220</v>
      </c>
      <c r="I1541" s="20" t="s">
        <v>162</v>
      </c>
      <c r="J1541" s="20" t="s">
        <v>163</v>
      </c>
      <c r="K1541" s="378" t="s">
        <v>1649</v>
      </c>
      <c r="L1541" s="20" t="s">
        <v>165</v>
      </c>
      <c r="M1541" s="380">
        <v>2400</v>
      </c>
      <c r="N1541" s="380"/>
      <c r="O1541" s="380"/>
      <c r="P1541" s="380"/>
      <c r="Q1541" s="380" t="s">
        <v>2177</v>
      </c>
      <c r="R1541" s="380" t="s">
        <v>2177</v>
      </c>
      <c r="S1541" s="381"/>
      <c r="T1541" s="381"/>
      <c r="U1541" s="381"/>
      <c r="V1541" s="382">
        <v>408.58</v>
      </c>
      <c r="W1541" s="382">
        <v>0</v>
      </c>
      <c r="X1541" s="381">
        <v>0.17024166666666665</v>
      </c>
      <c r="Y1541" s="381">
        <v>0.17024166666666665</v>
      </c>
      <c r="Z1541" s="381">
        <v>0</v>
      </c>
      <c r="AA1541" s="381">
        <v>0</v>
      </c>
      <c r="AB1541" s="381">
        <v>0</v>
      </c>
      <c r="AC1541" s="382">
        <v>0.17024166666666665</v>
      </c>
      <c r="AD1541" s="382">
        <v>0</v>
      </c>
      <c r="AE1541" s="381" t="s">
        <v>168</v>
      </c>
    </row>
    <row r="1542" spans="1:32" ht="15" customHeight="1" x14ac:dyDescent="0.25">
      <c r="A1542" s="20" t="s">
        <v>156</v>
      </c>
      <c r="B1542" s="20" t="s">
        <v>2056</v>
      </c>
      <c r="C1542" s="20" t="s">
        <v>2057</v>
      </c>
      <c r="D1542" s="378" t="s">
        <v>2178</v>
      </c>
      <c r="E1542" s="379">
        <v>44539</v>
      </c>
      <c r="F1542" s="379">
        <v>46365</v>
      </c>
      <c r="G1542" s="378" t="s">
        <v>338</v>
      </c>
      <c r="H1542" s="20" t="s">
        <v>339</v>
      </c>
      <c r="I1542" s="20" t="s">
        <v>162</v>
      </c>
      <c r="J1542" s="20" t="s">
        <v>163</v>
      </c>
      <c r="K1542" s="378" t="s">
        <v>340</v>
      </c>
      <c r="L1542" s="20" t="s">
        <v>165</v>
      </c>
      <c r="M1542" s="380">
        <v>2400</v>
      </c>
      <c r="N1542" s="380"/>
      <c r="O1542" s="380"/>
      <c r="P1542" s="380"/>
      <c r="Q1542" s="381" t="s">
        <v>2179</v>
      </c>
      <c r="R1542" s="381" t="s">
        <v>2179</v>
      </c>
      <c r="S1542" s="381"/>
      <c r="T1542" s="381"/>
      <c r="U1542" s="381"/>
      <c r="V1542" s="382">
        <v>360.54</v>
      </c>
      <c r="W1542" s="382">
        <v>0</v>
      </c>
      <c r="X1542" s="381">
        <v>0.150225</v>
      </c>
      <c r="Y1542" s="381">
        <v>0.150225</v>
      </c>
      <c r="Z1542" s="381">
        <v>0</v>
      </c>
      <c r="AA1542" s="381">
        <v>0</v>
      </c>
      <c r="AB1542" s="381">
        <v>0</v>
      </c>
      <c r="AC1542" s="382">
        <v>0.150225</v>
      </c>
      <c r="AD1542" s="382">
        <v>0</v>
      </c>
      <c r="AE1542" s="381" t="s">
        <v>168</v>
      </c>
    </row>
    <row r="1543" spans="1:32" ht="15" customHeight="1" x14ac:dyDescent="0.25">
      <c r="A1543" s="20" t="s">
        <v>156</v>
      </c>
      <c r="B1543" s="20" t="s">
        <v>2056</v>
      </c>
      <c r="C1543" s="20" t="s">
        <v>2057</v>
      </c>
      <c r="D1543" s="378" t="s">
        <v>2180</v>
      </c>
      <c r="E1543" s="379">
        <v>44539</v>
      </c>
      <c r="F1543" s="379">
        <v>46365</v>
      </c>
      <c r="G1543" s="378" t="s">
        <v>338</v>
      </c>
      <c r="H1543" s="20" t="s">
        <v>339</v>
      </c>
      <c r="I1543" s="20" t="s">
        <v>162</v>
      </c>
      <c r="J1543" s="20" t="s">
        <v>163</v>
      </c>
      <c r="K1543" s="378" t="s">
        <v>340</v>
      </c>
      <c r="L1543" s="20" t="s">
        <v>165</v>
      </c>
      <c r="M1543" s="380">
        <v>2400</v>
      </c>
      <c r="N1543" s="380"/>
      <c r="O1543" s="380"/>
      <c r="P1543" s="380"/>
      <c r="Q1543" s="381" t="s">
        <v>2181</v>
      </c>
      <c r="R1543" s="381" t="s">
        <v>2181</v>
      </c>
      <c r="S1543" s="381"/>
      <c r="T1543" s="381"/>
      <c r="U1543" s="381"/>
      <c r="V1543" s="382">
        <v>362.11</v>
      </c>
      <c r="W1543" s="382">
        <v>0</v>
      </c>
      <c r="X1543" s="381">
        <v>0.15087916666666668</v>
      </c>
      <c r="Y1543" s="381">
        <v>0.15087916666666668</v>
      </c>
      <c r="Z1543" s="381">
        <v>0</v>
      </c>
      <c r="AA1543" s="381">
        <v>0</v>
      </c>
      <c r="AB1543" s="381">
        <v>0</v>
      </c>
      <c r="AC1543" s="382">
        <v>0.15087916666666668</v>
      </c>
      <c r="AD1543" s="382">
        <v>0</v>
      </c>
      <c r="AE1543" s="381" t="s">
        <v>168</v>
      </c>
    </row>
    <row r="1544" spans="1:32" ht="15" customHeight="1" x14ac:dyDescent="0.25">
      <c r="A1544" s="20" t="s">
        <v>156</v>
      </c>
      <c r="B1544" s="20" t="s">
        <v>2056</v>
      </c>
      <c r="C1544" s="20" t="s">
        <v>2057</v>
      </c>
      <c r="D1544" s="378" t="s">
        <v>2182</v>
      </c>
      <c r="E1544" s="379">
        <v>44539</v>
      </c>
      <c r="F1544" s="379">
        <v>46365</v>
      </c>
      <c r="G1544" s="378" t="s">
        <v>338</v>
      </c>
      <c r="H1544" s="20" t="s">
        <v>339</v>
      </c>
      <c r="I1544" s="20" t="s">
        <v>162</v>
      </c>
      <c r="J1544" s="20" t="s">
        <v>163</v>
      </c>
      <c r="K1544" s="378" t="s">
        <v>340</v>
      </c>
      <c r="L1544" s="20" t="s">
        <v>165</v>
      </c>
      <c r="M1544" s="380">
        <v>2400</v>
      </c>
      <c r="N1544" s="380"/>
      <c r="O1544" s="380"/>
      <c r="P1544" s="380"/>
      <c r="Q1544" s="381" t="s">
        <v>2183</v>
      </c>
      <c r="R1544" s="381" t="s">
        <v>2183</v>
      </c>
      <c r="S1544" s="381"/>
      <c r="T1544" s="381"/>
      <c r="U1544" s="381"/>
      <c r="V1544" s="382">
        <v>365.28</v>
      </c>
      <c r="W1544" s="382">
        <v>0</v>
      </c>
      <c r="X1544" s="381">
        <v>0.1522</v>
      </c>
      <c r="Y1544" s="381">
        <v>0.1522</v>
      </c>
      <c r="Z1544" s="381">
        <v>0</v>
      </c>
      <c r="AA1544" s="381">
        <v>0</v>
      </c>
      <c r="AB1544" s="381">
        <v>0</v>
      </c>
      <c r="AC1544" s="382">
        <v>0.1522</v>
      </c>
      <c r="AD1544" s="382">
        <v>0</v>
      </c>
      <c r="AE1544" s="381" t="s">
        <v>168</v>
      </c>
    </row>
    <row r="1545" spans="1:32" ht="15" customHeight="1" x14ac:dyDescent="0.25">
      <c r="A1545" s="20" t="s">
        <v>156</v>
      </c>
      <c r="B1545" s="20" t="s">
        <v>2056</v>
      </c>
      <c r="C1545" s="20" t="s">
        <v>2057</v>
      </c>
      <c r="D1545" s="378" t="s">
        <v>2184</v>
      </c>
      <c r="E1545" s="379">
        <v>44539</v>
      </c>
      <c r="F1545" s="379">
        <v>46365</v>
      </c>
      <c r="G1545" s="378" t="s">
        <v>338</v>
      </c>
      <c r="H1545" s="20" t="s">
        <v>339</v>
      </c>
      <c r="I1545" s="20" t="s">
        <v>162</v>
      </c>
      <c r="J1545" s="20" t="s">
        <v>163</v>
      </c>
      <c r="K1545" s="378" t="s">
        <v>340</v>
      </c>
      <c r="L1545" s="20" t="s">
        <v>165</v>
      </c>
      <c r="M1545" s="380">
        <v>2400</v>
      </c>
      <c r="N1545" s="380"/>
      <c r="O1545" s="380"/>
      <c r="P1545" s="380"/>
      <c r="Q1545" s="381" t="s">
        <v>2185</v>
      </c>
      <c r="R1545" s="381" t="s">
        <v>2185</v>
      </c>
      <c r="S1545" s="381"/>
      <c r="T1545" s="381"/>
      <c r="U1545" s="381"/>
      <c r="V1545" s="382">
        <v>366.34</v>
      </c>
      <c r="W1545" s="382">
        <v>0</v>
      </c>
      <c r="X1545" s="381">
        <v>0.15264166666666665</v>
      </c>
      <c r="Y1545" s="381">
        <v>0.15264166666666665</v>
      </c>
      <c r="Z1545" s="381">
        <v>0</v>
      </c>
      <c r="AA1545" s="381">
        <v>0</v>
      </c>
      <c r="AB1545" s="381">
        <v>0</v>
      </c>
      <c r="AC1545" s="382">
        <v>0.15264166666666665</v>
      </c>
      <c r="AD1545" s="382">
        <v>0</v>
      </c>
      <c r="AE1545" s="381" t="s">
        <v>168</v>
      </c>
    </row>
    <row r="1546" spans="1:32" ht="15" customHeight="1" x14ac:dyDescent="0.25">
      <c r="A1546" s="20" t="s">
        <v>156</v>
      </c>
      <c r="B1546" s="20" t="s">
        <v>2056</v>
      </c>
      <c r="C1546" s="20" t="s">
        <v>2057</v>
      </c>
      <c r="D1546" s="378" t="s">
        <v>2186</v>
      </c>
      <c r="E1546" s="379">
        <v>44539</v>
      </c>
      <c r="F1546" s="379">
        <v>46365</v>
      </c>
      <c r="G1546" s="378" t="s">
        <v>338</v>
      </c>
      <c r="H1546" s="20" t="s">
        <v>339</v>
      </c>
      <c r="I1546" s="20" t="s">
        <v>162</v>
      </c>
      <c r="J1546" s="20" t="s">
        <v>163</v>
      </c>
      <c r="K1546" s="378" t="s">
        <v>340</v>
      </c>
      <c r="L1546" s="20" t="s">
        <v>165</v>
      </c>
      <c r="M1546" s="380">
        <v>2400</v>
      </c>
      <c r="N1546" s="380"/>
      <c r="O1546" s="380"/>
      <c r="P1546" s="380"/>
      <c r="Q1546" s="381" t="s">
        <v>2187</v>
      </c>
      <c r="R1546" s="381" t="s">
        <v>2187</v>
      </c>
      <c r="S1546" s="381"/>
      <c r="T1546" s="381"/>
      <c r="U1546" s="381"/>
      <c r="V1546" s="382">
        <v>395.6</v>
      </c>
      <c r="W1546" s="382">
        <v>0</v>
      </c>
      <c r="X1546" s="381">
        <v>0.16483333333333333</v>
      </c>
      <c r="Y1546" s="381">
        <v>0.16483333333333333</v>
      </c>
      <c r="Z1546" s="381">
        <v>0</v>
      </c>
      <c r="AA1546" s="381">
        <v>0</v>
      </c>
      <c r="AB1546" s="381">
        <v>0</v>
      </c>
      <c r="AC1546" s="382">
        <v>0.16483333333333333</v>
      </c>
      <c r="AD1546" s="382">
        <v>0</v>
      </c>
      <c r="AE1546" s="381" t="s">
        <v>168</v>
      </c>
    </row>
    <row r="1547" spans="1:32" ht="15" customHeight="1" x14ac:dyDescent="0.25">
      <c r="A1547" s="20" t="s">
        <v>156</v>
      </c>
      <c r="B1547" s="20" t="s">
        <v>2056</v>
      </c>
      <c r="C1547" s="20" t="s">
        <v>2057</v>
      </c>
      <c r="D1547" s="378" t="s">
        <v>2188</v>
      </c>
      <c r="E1547" s="379">
        <v>45016</v>
      </c>
      <c r="F1547" s="379">
        <v>46843</v>
      </c>
      <c r="G1547" s="378" t="s">
        <v>160</v>
      </c>
      <c r="H1547" s="20" t="s">
        <v>416</v>
      </c>
      <c r="I1547" s="20" t="s">
        <v>162</v>
      </c>
      <c r="J1547" s="20" t="s">
        <v>163</v>
      </c>
      <c r="K1547" s="378" t="s">
        <v>417</v>
      </c>
      <c r="L1547" s="20" t="s">
        <v>165</v>
      </c>
      <c r="M1547" s="380">
        <v>2400</v>
      </c>
      <c r="N1547" s="380"/>
      <c r="O1547" s="380"/>
      <c r="P1547" s="380"/>
      <c r="Q1547" s="381">
        <v>389.23</v>
      </c>
      <c r="R1547" s="381">
        <v>389.16</v>
      </c>
      <c r="S1547" s="381">
        <v>7.0000000000000007E-2</v>
      </c>
      <c r="T1547" s="381"/>
      <c r="U1547" s="381"/>
      <c r="V1547" s="382">
        <v>389.23</v>
      </c>
      <c r="W1547" s="382">
        <v>0</v>
      </c>
      <c r="X1547" s="381">
        <v>0.16217916666666668</v>
      </c>
      <c r="Y1547" s="381">
        <v>0.16215000000000002</v>
      </c>
      <c r="Z1547" s="381">
        <v>2.916666666666667E-5</v>
      </c>
      <c r="AA1547" s="381">
        <v>0</v>
      </c>
      <c r="AB1547" s="381">
        <v>0</v>
      </c>
      <c r="AC1547" s="382">
        <v>0.16217916666666668</v>
      </c>
      <c r="AD1547" s="382">
        <v>0</v>
      </c>
      <c r="AE1547" s="381" t="s">
        <v>168</v>
      </c>
    </row>
    <row r="1548" spans="1:32" ht="15" customHeight="1" x14ac:dyDescent="0.25">
      <c r="A1548" s="20" t="s">
        <v>156</v>
      </c>
      <c r="B1548" s="20" t="s">
        <v>2056</v>
      </c>
      <c r="C1548" s="20" t="s">
        <v>2057</v>
      </c>
      <c r="D1548" s="378" t="s">
        <v>2189</v>
      </c>
      <c r="E1548" s="379">
        <v>45016</v>
      </c>
      <c r="F1548" s="379">
        <v>46843</v>
      </c>
      <c r="G1548" s="378" t="s">
        <v>160</v>
      </c>
      <c r="H1548" s="20" t="s">
        <v>416</v>
      </c>
      <c r="I1548" s="20" t="s">
        <v>162</v>
      </c>
      <c r="J1548" s="20" t="s">
        <v>163</v>
      </c>
      <c r="K1548" s="378" t="s">
        <v>417</v>
      </c>
      <c r="L1548" s="20" t="s">
        <v>165</v>
      </c>
      <c r="M1548" s="380">
        <v>2400</v>
      </c>
      <c r="N1548" s="380"/>
      <c r="O1548" s="380"/>
      <c r="P1548" s="380"/>
      <c r="Q1548" s="381">
        <v>299.49</v>
      </c>
      <c r="R1548" s="381">
        <v>299.37</v>
      </c>
      <c r="S1548" s="381">
        <v>0.12</v>
      </c>
      <c r="T1548" s="381"/>
      <c r="U1548" s="381"/>
      <c r="V1548" s="382">
        <v>299.49</v>
      </c>
      <c r="W1548" s="382">
        <v>0</v>
      </c>
      <c r="X1548" s="381">
        <v>0.12478750000000001</v>
      </c>
      <c r="Y1548" s="381">
        <v>0.1247375</v>
      </c>
      <c r="Z1548" s="381">
        <v>4.9999999999999996E-5</v>
      </c>
      <c r="AA1548" s="381">
        <v>0</v>
      </c>
      <c r="AB1548" s="381">
        <v>0</v>
      </c>
      <c r="AC1548" s="382">
        <v>0.1247875</v>
      </c>
      <c r="AD1548" s="382">
        <v>0</v>
      </c>
      <c r="AE1548" s="381" t="s">
        <v>168</v>
      </c>
    </row>
    <row r="1549" spans="1:32" ht="15" customHeight="1" x14ac:dyDescent="0.25">
      <c r="A1549" s="20" t="s">
        <v>156</v>
      </c>
      <c r="B1549" s="20" t="s">
        <v>2056</v>
      </c>
      <c r="C1549" s="20" t="s">
        <v>2057</v>
      </c>
      <c r="D1549" s="378" t="s">
        <v>2190</v>
      </c>
      <c r="E1549" s="379">
        <v>45016</v>
      </c>
      <c r="F1549" s="379">
        <v>46843</v>
      </c>
      <c r="G1549" s="378" t="s">
        <v>160</v>
      </c>
      <c r="H1549" s="20" t="s">
        <v>416</v>
      </c>
      <c r="I1549" s="20" t="s">
        <v>162</v>
      </c>
      <c r="J1549" s="20" t="s">
        <v>163</v>
      </c>
      <c r="K1549" s="378" t="s">
        <v>417</v>
      </c>
      <c r="L1549" s="20" t="s">
        <v>165</v>
      </c>
      <c r="M1549" s="380">
        <v>2400</v>
      </c>
      <c r="N1549" s="380"/>
      <c r="O1549" s="380"/>
      <c r="P1549" s="380"/>
      <c r="Q1549" s="381">
        <v>311.22000000000003</v>
      </c>
      <c r="R1549" s="381">
        <v>311.17</v>
      </c>
      <c r="S1549" s="381">
        <v>0.05</v>
      </c>
      <c r="T1549" s="381"/>
      <c r="U1549" s="381"/>
      <c r="V1549" s="382">
        <v>311.22000000000003</v>
      </c>
      <c r="W1549" s="382">
        <v>0</v>
      </c>
      <c r="X1549" s="381">
        <v>0.12967500000000001</v>
      </c>
      <c r="Y1549" s="381">
        <v>0.12965416666666668</v>
      </c>
      <c r="Z1549" s="381">
        <v>2.0833333333333336E-5</v>
      </c>
      <c r="AA1549" s="381">
        <v>0</v>
      </c>
      <c r="AB1549" s="381">
        <v>0</v>
      </c>
      <c r="AC1549" s="382">
        <v>0.12967500000000001</v>
      </c>
      <c r="AD1549" s="382">
        <v>0</v>
      </c>
      <c r="AE1549" s="381" t="s">
        <v>168</v>
      </c>
    </row>
    <row r="1550" spans="1:32" ht="15" customHeight="1" x14ac:dyDescent="0.25">
      <c r="A1550" s="20" t="s">
        <v>156</v>
      </c>
      <c r="B1550" s="20" t="s">
        <v>2056</v>
      </c>
      <c r="C1550" s="20" t="s">
        <v>2057</v>
      </c>
      <c r="D1550" s="378" t="s">
        <v>2191</v>
      </c>
      <c r="E1550" s="379">
        <v>44788</v>
      </c>
      <c r="F1550" s="379">
        <v>46113</v>
      </c>
      <c r="G1550" s="378" t="s">
        <v>320</v>
      </c>
      <c r="H1550" s="20" t="s">
        <v>352</v>
      </c>
      <c r="I1550" s="20" t="s">
        <v>353</v>
      </c>
      <c r="J1550" s="20" t="s">
        <v>163</v>
      </c>
      <c r="K1550" s="378" t="s">
        <v>354</v>
      </c>
      <c r="L1550" s="20" t="s">
        <v>165</v>
      </c>
      <c r="M1550" s="380">
        <v>2400</v>
      </c>
      <c r="N1550" s="380"/>
      <c r="O1550" s="380"/>
      <c r="P1550" s="380"/>
      <c r="Q1550" s="381">
        <v>454</v>
      </c>
      <c r="R1550" s="381"/>
      <c r="S1550" s="381"/>
      <c r="T1550" s="381"/>
      <c r="U1550" s="381"/>
      <c r="V1550" s="382">
        <v>454</v>
      </c>
      <c r="W1550" s="382">
        <v>0</v>
      </c>
      <c r="X1550" s="381">
        <v>0.18916666666666668</v>
      </c>
      <c r="Y1550" s="381">
        <v>0</v>
      </c>
      <c r="Z1550" s="381">
        <v>0</v>
      </c>
      <c r="AA1550" s="381">
        <v>0</v>
      </c>
      <c r="AB1550" s="381">
        <v>0</v>
      </c>
      <c r="AC1550" s="382">
        <v>0.18916666666666668</v>
      </c>
      <c r="AD1550" s="382">
        <v>0</v>
      </c>
      <c r="AE1550" s="381" t="s">
        <v>168</v>
      </c>
    </row>
    <row r="1551" spans="1:32" ht="15" customHeight="1" x14ac:dyDescent="0.25">
      <c r="A1551" s="20" t="s">
        <v>156</v>
      </c>
      <c r="B1551" s="20" t="s">
        <v>2056</v>
      </c>
      <c r="C1551" s="20" t="s">
        <v>2057</v>
      </c>
      <c r="D1551" s="378" t="s">
        <v>2192</v>
      </c>
      <c r="E1551" s="379">
        <v>44788</v>
      </c>
      <c r="F1551" s="379">
        <v>46113</v>
      </c>
      <c r="G1551" s="378" t="s">
        <v>320</v>
      </c>
      <c r="H1551" s="20" t="s">
        <v>352</v>
      </c>
      <c r="I1551" s="20" t="s">
        <v>353</v>
      </c>
      <c r="J1551" s="20" t="s">
        <v>163</v>
      </c>
      <c r="K1551" s="378" t="s">
        <v>354</v>
      </c>
      <c r="L1551" s="20" t="s">
        <v>165</v>
      </c>
      <c r="M1551" s="380">
        <v>2400</v>
      </c>
      <c r="N1551" s="380"/>
      <c r="O1551" s="380"/>
      <c r="P1551" s="380"/>
      <c r="Q1551" s="381">
        <v>424</v>
      </c>
      <c r="R1551" s="381"/>
      <c r="S1551" s="381"/>
      <c r="T1551" s="381"/>
      <c r="U1551" s="381"/>
      <c r="V1551" s="382">
        <v>424</v>
      </c>
      <c r="W1551" s="382">
        <v>0</v>
      </c>
      <c r="X1551" s="381">
        <v>0.17666666666666667</v>
      </c>
      <c r="Y1551" s="381">
        <v>0</v>
      </c>
      <c r="Z1551" s="381">
        <v>0</v>
      </c>
      <c r="AA1551" s="381">
        <v>0</v>
      </c>
      <c r="AB1551" s="381">
        <v>0</v>
      </c>
      <c r="AC1551" s="382">
        <v>0.17666666666666667</v>
      </c>
      <c r="AD1551" s="382">
        <v>0</v>
      </c>
      <c r="AE1551" s="381" t="s">
        <v>168</v>
      </c>
    </row>
    <row r="1552" spans="1:32" ht="15" customHeight="1" x14ac:dyDescent="0.25">
      <c r="A1552" s="20" t="s">
        <v>156</v>
      </c>
      <c r="B1552" s="20" t="s">
        <v>2056</v>
      </c>
      <c r="C1552" s="20" t="s">
        <v>2057</v>
      </c>
      <c r="D1552" s="378" t="s">
        <v>2193</v>
      </c>
      <c r="E1552" s="379">
        <v>44788</v>
      </c>
      <c r="F1552" s="379">
        <v>46113</v>
      </c>
      <c r="G1552" s="378" t="s">
        <v>320</v>
      </c>
      <c r="H1552" s="20" t="s">
        <v>352</v>
      </c>
      <c r="I1552" s="20" t="s">
        <v>353</v>
      </c>
      <c r="J1552" s="20" t="s">
        <v>163</v>
      </c>
      <c r="K1552" s="378" t="s">
        <v>354</v>
      </c>
      <c r="L1552" s="20" t="s">
        <v>165</v>
      </c>
      <c r="M1552" s="380">
        <v>2400</v>
      </c>
      <c r="N1552" s="380"/>
      <c r="O1552" s="380"/>
      <c r="P1552" s="380"/>
      <c r="Q1552" s="381">
        <v>321</v>
      </c>
      <c r="R1552" s="381"/>
      <c r="S1552" s="381"/>
      <c r="T1552" s="381"/>
      <c r="U1552" s="381"/>
      <c r="V1552" s="382">
        <v>321</v>
      </c>
      <c r="W1552" s="382">
        <v>0</v>
      </c>
      <c r="X1552" s="381">
        <v>0.13375000000000001</v>
      </c>
      <c r="Y1552" s="381">
        <v>0</v>
      </c>
      <c r="Z1552" s="381">
        <v>0</v>
      </c>
      <c r="AA1552" s="381">
        <v>0</v>
      </c>
      <c r="AB1552" s="381">
        <v>0</v>
      </c>
      <c r="AC1552" s="382">
        <v>0.13375000000000001</v>
      </c>
      <c r="AD1552" s="382">
        <v>0</v>
      </c>
      <c r="AE1552" s="381" t="s">
        <v>168</v>
      </c>
    </row>
    <row r="1553" spans="1:31" ht="15" customHeight="1" x14ac:dyDescent="0.25">
      <c r="A1553" s="20" t="s">
        <v>156</v>
      </c>
      <c r="B1553" s="20" t="s">
        <v>2056</v>
      </c>
      <c r="C1553" s="20" t="s">
        <v>2057</v>
      </c>
      <c r="D1553" s="378" t="s">
        <v>2194</v>
      </c>
      <c r="E1553" s="379">
        <v>44788</v>
      </c>
      <c r="F1553" s="379">
        <v>46113</v>
      </c>
      <c r="G1553" s="378" t="s">
        <v>320</v>
      </c>
      <c r="H1553" s="20" t="s">
        <v>352</v>
      </c>
      <c r="I1553" s="20" t="s">
        <v>353</v>
      </c>
      <c r="J1553" s="20" t="s">
        <v>163</v>
      </c>
      <c r="K1553" s="378" t="s">
        <v>354</v>
      </c>
      <c r="L1553" s="20" t="s">
        <v>165</v>
      </c>
      <c r="M1553" s="380">
        <v>2400</v>
      </c>
      <c r="N1553" s="380"/>
      <c r="O1553" s="380"/>
      <c r="P1553" s="380"/>
      <c r="Q1553" s="381">
        <v>397</v>
      </c>
      <c r="R1553" s="381"/>
      <c r="S1553" s="381"/>
      <c r="T1553" s="381"/>
      <c r="U1553" s="381"/>
      <c r="V1553" s="382">
        <v>397</v>
      </c>
      <c r="W1553" s="382">
        <v>0</v>
      </c>
      <c r="X1553" s="381">
        <v>0.16541666666666666</v>
      </c>
      <c r="Y1553" s="381">
        <v>0</v>
      </c>
      <c r="Z1553" s="381">
        <v>0</v>
      </c>
      <c r="AA1553" s="381">
        <v>0</v>
      </c>
      <c r="AB1553" s="381">
        <v>0</v>
      </c>
      <c r="AC1553" s="382">
        <v>0.16541666666666666</v>
      </c>
      <c r="AD1553" s="382">
        <v>0</v>
      </c>
      <c r="AE1553" s="381" t="s">
        <v>168</v>
      </c>
    </row>
    <row r="1554" spans="1:31" ht="15" customHeight="1" x14ac:dyDescent="0.25">
      <c r="A1554" s="20" t="s">
        <v>156</v>
      </c>
      <c r="B1554" s="20" t="s">
        <v>2056</v>
      </c>
      <c r="C1554" s="20" t="s">
        <v>2057</v>
      </c>
      <c r="D1554" s="378" t="s">
        <v>2195</v>
      </c>
      <c r="E1554" s="379">
        <v>44788</v>
      </c>
      <c r="F1554" s="379">
        <v>46113</v>
      </c>
      <c r="G1554" s="378" t="s">
        <v>320</v>
      </c>
      <c r="H1554" s="20" t="s">
        <v>352</v>
      </c>
      <c r="I1554" s="20" t="s">
        <v>353</v>
      </c>
      <c r="J1554" s="20" t="s">
        <v>163</v>
      </c>
      <c r="K1554" s="378" t="s">
        <v>354</v>
      </c>
      <c r="L1554" s="20" t="s">
        <v>165</v>
      </c>
      <c r="M1554" s="380">
        <v>2400</v>
      </c>
      <c r="N1554" s="380"/>
      <c r="O1554" s="380"/>
      <c r="P1554" s="380"/>
      <c r="Q1554" s="381">
        <v>355</v>
      </c>
      <c r="R1554" s="381"/>
      <c r="S1554" s="381"/>
      <c r="T1554" s="381"/>
      <c r="U1554" s="381"/>
      <c r="V1554" s="382">
        <v>355</v>
      </c>
      <c r="W1554" s="382">
        <v>0</v>
      </c>
      <c r="X1554" s="381">
        <v>0.14791666666666667</v>
      </c>
      <c r="Y1554" s="381">
        <v>0</v>
      </c>
      <c r="Z1554" s="381">
        <v>0</v>
      </c>
      <c r="AA1554" s="381">
        <v>0</v>
      </c>
      <c r="AB1554" s="381">
        <v>0</v>
      </c>
      <c r="AC1554" s="382">
        <v>0.14791666666666667</v>
      </c>
      <c r="AD1554" s="382">
        <v>0</v>
      </c>
      <c r="AE1554" s="381" t="s">
        <v>168</v>
      </c>
    </row>
    <row r="1555" spans="1:31" ht="15" customHeight="1" x14ac:dyDescent="0.25">
      <c r="A1555" s="20" t="s">
        <v>156</v>
      </c>
      <c r="B1555" s="20" t="s">
        <v>2056</v>
      </c>
      <c r="C1555" s="20" t="s">
        <v>2057</v>
      </c>
      <c r="D1555" s="378" t="s">
        <v>2196</v>
      </c>
      <c r="E1555" s="379">
        <v>44788</v>
      </c>
      <c r="F1555" s="379">
        <v>46113</v>
      </c>
      <c r="G1555" s="378" t="s">
        <v>320</v>
      </c>
      <c r="H1555" s="20" t="s">
        <v>352</v>
      </c>
      <c r="I1555" s="20" t="s">
        <v>353</v>
      </c>
      <c r="J1555" s="20" t="s">
        <v>163</v>
      </c>
      <c r="K1555" s="378" t="s">
        <v>354</v>
      </c>
      <c r="L1555" s="20" t="s">
        <v>165</v>
      </c>
      <c r="M1555" s="380">
        <v>2400</v>
      </c>
      <c r="N1555" s="380"/>
      <c r="O1555" s="380"/>
      <c r="P1555" s="380"/>
      <c r="Q1555" s="381">
        <v>341</v>
      </c>
      <c r="R1555" s="381"/>
      <c r="S1555" s="381"/>
      <c r="T1555" s="381"/>
      <c r="U1555" s="381"/>
      <c r="V1555" s="382">
        <v>341</v>
      </c>
      <c r="W1555" s="382">
        <v>0</v>
      </c>
      <c r="X1555" s="381">
        <v>0.14208333333333334</v>
      </c>
      <c r="Y1555" s="381">
        <v>0</v>
      </c>
      <c r="Z1555" s="381">
        <v>0</v>
      </c>
      <c r="AA1555" s="381">
        <v>0</v>
      </c>
      <c r="AB1555" s="381">
        <v>0</v>
      </c>
      <c r="AC1555" s="382">
        <v>0.14208333333333334</v>
      </c>
      <c r="AD1555" s="382">
        <v>0</v>
      </c>
      <c r="AE1555" s="381" t="s">
        <v>168</v>
      </c>
    </row>
    <row r="1556" spans="1:31" ht="15" customHeight="1" x14ac:dyDescent="0.25">
      <c r="A1556" s="20" t="s">
        <v>156</v>
      </c>
      <c r="B1556" s="20" t="s">
        <v>2056</v>
      </c>
      <c r="C1556" s="20" t="s">
        <v>2057</v>
      </c>
      <c r="D1556" s="378" t="s">
        <v>2197</v>
      </c>
      <c r="E1556" s="379">
        <v>44788</v>
      </c>
      <c r="F1556" s="379">
        <v>46113</v>
      </c>
      <c r="G1556" s="378" t="s">
        <v>320</v>
      </c>
      <c r="H1556" s="20" t="s">
        <v>352</v>
      </c>
      <c r="I1556" s="20" t="s">
        <v>353</v>
      </c>
      <c r="J1556" s="20" t="s">
        <v>163</v>
      </c>
      <c r="K1556" s="378" t="s">
        <v>354</v>
      </c>
      <c r="L1556" s="20" t="s">
        <v>165</v>
      </c>
      <c r="M1556" s="380">
        <v>2400</v>
      </c>
      <c r="N1556" s="380"/>
      <c r="O1556" s="380"/>
      <c r="P1556" s="380"/>
      <c r="Q1556" s="381">
        <v>436</v>
      </c>
      <c r="R1556" s="381"/>
      <c r="S1556" s="381"/>
      <c r="T1556" s="381"/>
      <c r="U1556" s="381"/>
      <c r="V1556" s="382">
        <v>436</v>
      </c>
      <c r="W1556" s="382">
        <v>0</v>
      </c>
      <c r="X1556" s="381">
        <v>0.18166666666666667</v>
      </c>
      <c r="Y1556" s="381">
        <v>0</v>
      </c>
      <c r="Z1556" s="381">
        <v>0</v>
      </c>
      <c r="AA1556" s="381">
        <v>0</v>
      </c>
      <c r="AB1556" s="381">
        <v>0</v>
      </c>
      <c r="AC1556" s="382">
        <v>0.18166666666666667</v>
      </c>
      <c r="AD1556" s="382">
        <v>0</v>
      </c>
      <c r="AE1556" s="381" t="s">
        <v>168</v>
      </c>
    </row>
    <row r="1557" spans="1:31" ht="15" customHeight="1" x14ac:dyDescent="0.25">
      <c r="A1557" s="20" t="s">
        <v>156</v>
      </c>
      <c r="B1557" s="20" t="s">
        <v>2056</v>
      </c>
      <c r="C1557" s="20" t="s">
        <v>2057</v>
      </c>
      <c r="D1557" s="378" t="s">
        <v>2198</v>
      </c>
      <c r="E1557" s="379">
        <v>44788</v>
      </c>
      <c r="F1557" s="379">
        <v>46113</v>
      </c>
      <c r="G1557" s="378" t="s">
        <v>320</v>
      </c>
      <c r="H1557" s="20" t="s">
        <v>352</v>
      </c>
      <c r="I1557" s="20" t="s">
        <v>353</v>
      </c>
      <c r="J1557" s="20" t="s">
        <v>163</v>
      </c>
      <c r="K1557" s="378" t="s">
        <v>354</v>
      </c>
      <c r="L1557" s="20" t="s">
        <v>165</v>
      </c>
      <c r="M1557" s="380">
        <v>2400</v>
      </c>
      <c r="N1557" s="380"/>
      <c r="O1557" s="380"/>
      <c r="P1557" s="380"/>
      <c r="Q1557" s="381">
        <v>327</v>
      </c>
      <c r="R1557" s="381"/>
      <c r="S1557" s="381"/>
      <c r="T1557" s="381"/>
      <c r="U1557" s="381"/>
      <c r="V1557" s="382">
        <v>327</v>
      </c>
      <c r="W1557" s="382">
        <v>0</v>
      </c>
      <c r="X1557" s="381">
        <v>0.13625000000000001</v>
      </c>
      <c r="Y1557" s="381">
        <v>0</v>
      </c>
      <c r="Z1557" s="381">
        <v>0</v>
      </c>
      <c r="AA1557" s="381">
        <v>0</v>
      </c>
      <c r="AB1557" s="381">
        <v>0</v>
      </c>
      <c r="AC1557" s="382">
        <v>0.13625000000000001</v>
      </c>
      <c r="AD1557" s="382">
        <v>0</v>
      </c>
      <c r="AE1557" s="381" t="s">
        <v>168</v>
      </c>
    </row>
    <row r="1558" spans="1:31" ht="15" customHeight="1" x14ac:dyDescent="0.25">
      <c r="A1558" s="20" t="s">
        <v>156</v>
      </c>
      <c r="B1558" s="20" t="s">
        <v>2056</v>
      </c>
      <c r="C1558" s="20" t="s">
        <v>2057</v>
      </c>
      <c r="D1558" s="378" t="s">
        <v>2199</v>
      </c>
      <c r="E1558" s="379">
        <v>44788</v>
      </c>
      <c r="F1558" s="379">
        <v>46113</v>
      </c>
      <c r="G1558" s="378" t="s">
        <v>320</v>
      </c>
      <c r="H1558" s="20" t="s">
        <v>352</v>
      </c>
      <c r="I1558" s="20" t="s">
        <v>353</v>
      </c>
      <c r="J1558" s="20" t="s">
        <v>163</v>
      </c>
      <c r="K1558" s="378" t="s">
        <v>354</v>
      </c>
      <c r="L1558" s="20" t="s">
        <v>165</v>
      </c>
      <c r="M1558" s="380">
        <v>2400</v>
      </c>
      <c r="N1558" s="380"/>
      <c r="O1558" s="380"/>
      <c r="P1558" s="380"/>
      <c r="Q1558" s="381">
        <v>387</v>
      </c>
      <c r="R1558" s="381"/>
      <c r="S1558" s="381"/>
      <c r="T1558" s="381"/>
      <c r="U1558" s="381"/>
      <c r="V1558" s="382">
        <v>387</v>
      </c>
      <c r="W1558" s="382">
        <v>0</v>
      </c>
      <c r="X1558" s="381">
        <v>0.16125</v>
      </c>
      <c r="Y1558" s="381">
        <v>0</v>
      </c>
      <c r="Z1558" s="381">
        <v>0</v>
      </c>
      <c r="AA1558" s="381">
        <v>0</v>
      </c>
      <c r="AB1558" s="381">
        <v>0</v>
      </c>
      <c r="AC1558" s="382">
        <v>0.16125</v>
      </c>
      <c r="AD1558" s="382">
        <v>0</v>
      </c>
      <c r="AE1558" s="381" t="s">
        <v>168</v>
      </c>
    </row>
    <row r="1559" spans="1:31" ht="15" customHeight="1" x14ac:dyDescent="0.25">
      <c r="A1559" s="20" t="s">
        <v>156</v>
      </c>
      <c r="B1559" s="20" t="s">
        <v>2056</v>
      </c>
      <c r="C1559" s="20" t="s">
        <v>2057</v>
      </c>
      <c r="D1559" s="378" t="s">
        <v>2200</v>
      </c>
      <c r="E1559" s="379">
        <v>44788</v>
      </c>
      <c r="F1559" s="379">
        <v>46113</v>
      </c>
      <c r="G1559" s="378" t="s">
        <v>320</v>
      </c>
      <c r="H1559" s="20" t="s">
        <v>352</v>
      </c>
      <c r="I1559" s="20" t="s">
        <v>353</v>
      </c>
      <c r="J1559" s="20" t="s">
        <v>163</v>
      </c>
      <c r="K1559" s="378" t="s">
        <v>354</v>
      </c>
      <c r="L1559" s="20" t="s">
        <v>165</v>
      </c>
      <c r="M1559" s="380">
        <v>2400</v>
      </c>
      <c r="N1559" s="380"/>
      <c r="O1559" s="380"/>
      <c r="P1559" s="380"/>
      <c r="Q1559" s="381">
        <v>358</v>
      </c>
      <c r="R1559" s="381"/>
      <c r="S1559" s="381"/>
      <c r="T1559" s="381"/>
      <c r="U1559" s="381"/>
      <c r="V1559" s="382">
        <v>358</v>
      </c>
      <c r="W1559" s="382">
        <v>0</v>
      </c>
      <c r="X1559" s="381">
        <v>0.14916666666666667</v>
      </c>
      <c r="Y1559" s="381">
        <v>0</v>
      </c>
      <c r="Z1559" s="381">
        <v>0</v>
      </c>
      <c r="AA1559" s="381">
        <v>0</v>
      </c>
      <c r="AB1559" s="381">
        <v>0</v>
      </c>
      <c r="AC1559" s="382">
        <v>0.14916666666666667</v>
      </c>
      <c r="AD1559" s="382">
        <v>0</v>
      </c>
      <c r="AE1559" s="381" t="s">
        <v>168</v>
      </c>
    </row>
    <row r="1560" spans="1:31" ht="15" customHeight="1" x14ac:dyDescent="0.25">
      <c r="A1560" s="20" t="s">
        <v>156</v>
      </c>
      <c r="B1560" s="20" t="s">
        <v>2056</v>
      </c>
      <c r="C1560" s="20" t="s">
        <v>2057</v>
      </c>
      <c r="D1560" s="378" t="s">
        <v>2201</v>
      </c>
      <c r="E1560" s="379">
        <v>44788</v>
      </c>
      <c r="F1560" s="379">
        <v>46113</v>
      </c>
      <c r="G1560" s="378" t="s">
        <v>320</v>
      </c>
      <c r="H1560" s="20" t="s">
        <v>352</v>
      </c>
      <c r="I1560" s="20" t="s">
        <v>353</v>
      </c>
      <c r="J1560" s="20" t="s">
        <v>163</v>
      </c>
      <c r="K1560" s="378" t="s">
        <v>354</v>
      </c>
      <c r="L1560" s="20" t="s">
        <v>165</v>
      </c>
      <c r="M1560" s="380">
        <v>2400</v>
      </c>
      <c r="N1560" s="380"/>
      <c r="O1560" s="380"/>
      <c r="P1560" s="380"/>
      <c r="Q1560" s="381">
        <v>415</v>
      </c>
      <c r="R1560" s="381"/>
      <c r="S1560" s="381"/>
      <c r="T1560" s="381"/>
      <c r="U1560" s="381"/>
      <c r="V1560" s="382">
        <v>415</v>
      </c>
      <c r="W1560" s="382">
        <v>0</v>
      </c>
      <c r="X1560" s="381">
        <v>0.17291666666666666</v>
      </c>
      <c r="Y1560" s="381">
        <v>0</v>
      </c>
      <c r="Z1560" s="381">
        <v>0</v>
      </c>
      <c r="AA1560" s="381">
        <v>0</v>
      </c>
      <c r="AB1560" s="381">
        <v>0</v>
      </c>
      <c r="AC1560" s="382">
        <v>0.17291666666666666</v>
      </c>
      <c r="AD1560" s="382">
        <v>0</v>
      </c>
      <c r="AE1560" s="381" t="s">
        <v>168</v>
      </c>
    </row>
    <row r="1561" spans="1:31" ht="15" customHeight="1" x14ac:dyDescent="0.25">
      <c r="A1561" s="20" t="s">
        <v>156</v>
      </c>
      <c r="B1561" s="20" t="s">
        <v>2056</v>
      </c>
      <c r="C1561" s="20" t="s">
        <v>2057</v>
      </c>
      <c r="D1561" s="378" t="s">
        <v>2202</v>
      </c>
      <c r="E1561" s="379">
        <v>44788</v>
      </c>
      <c r="F1561" s="379">
        <v>46113</v>
      </c>
      <c r="G1561" s="378" t="s">
        <v>362</v>
      </c>
      <c r="H1561" s="20" t="s">
        <v>352</v>
      </c>
      <c r="I1561" s="20" t="s">
        <v>353</v>
      </c>
      <c r="J1561" s="20" t="s">
        <v>163</v>
      </c>
      <c r="K1561" s="378" t="s">
        <v>354</v>
      </c>
      <c r="L1561" s="20" t="s">
        <v>165</v>
      </c>
      <c r="M1561" s="380">
        <v>2400</v>
      </c>
      <c r="N1561" s="380"/>
      <c r="O1561" s="380"/>
      <c r="P1561" s="380"/>
      <c r="Q1561" s="381">
        <v>444</v>
      </c>
      <c r="R1561" s="381"/>
      <c r="S1561" s="381"/>
      <c r="T1561" s="381"/>
      <c r="U1561" s="381"/>
      <c r="V1561" s="382">
        <v>444</v>
      </c>
      <c r="W1561" s="382">
        <v>0</v>
      </c>
      <c r="X1561" s="381">
        <v>0.185</v>
      </c>
      <c r="Y1561" s="381">
        <v>0</v>
      </c>
      <c r="Z1561" s="381">
        <v>0</v>
      </c>
      <c r="AA1561" s="381">
        <v>0</v>
      </c>
      <c r="AB1561" s="381">
        <v>0</v>
      </c>
      <c r="AC1561" s="382">
        <v>0.185</v>
      </c>
      <c r="AD1561" s="382">
        <v>0</v>
      </c>
      <c r="AE1561" s="381" t="s">
        <v>168</v>
      </c>
    </row>
    <row r="1562" spans="1:31" ht="15" customHeight="1" x14ac:dyDescent="0.25">
      <c r="A1562" s="20" t="s">
        <v>156</v>
      </c>
      <c r="B1562" s="20" t="s">
        <v>2056</v>
      </c>
      <c r="C1562" s="20" t="s">
        <v>2057</v>
      </c>
      <c r="D1562" s="378" t="s">
        <v>2203</v>
      </c>
      <c r="E1562" s="379">
        <v>44788</v>
      </c>
      <c r="F1562" s="379">
        <v>46113</v>
      </c>
      <c r="G1562" s="378" t="s">
        <v>362</v>
      </c>
      <c r="H1562" s="20" t="s">
        <v>352</v>
      </c>
      <c r="I1562" s="20" t="s">
        <v>353</v>
      </c>
      <c r="J1562" s="20" t="s">
        <v>163</v>
      </c>
      <c r="K1562" s="378" t="s">
        <v>354</v>
      </c>
      <c r="L1562" s="20" t="s">
        <v>165</v>
      </c>
      <c r="M1562" s="380">
        <v>2400</v>
      </c>
      <c r="N1562" s="380"/>
      <c r="O1562" s="380"/>
      <c r="P1562" s="380"/>
      <c r="Q1562" s="381">
        <v>410</v>
      </c>
      <c r="R1562" s="381"/>
      <c r="S1562" s="381"/>
      <c r="T1562" s="381"/>
      <c r="U1562" s="381"/>
      <c r="V1562" s="382">
        <v>410</v>
      </c>
      <c r="W1562" s="382">
        <v>0</v>
      </c>
      <c r="X1562" s="381">
        <v>0.17083333333333334</v>
      </c>
      <c r="Y1562" s="381">
        <v>0</v>
      </c>
      <c r="Z1562" s="381">
        <v>0</v>
      </c>
      <c r="AA1562" s="381">
        <v>0</v>
      </c>
      <c r="AB1562" s="381">
        <v>0</v>
      </c>
      <c r="AC1562" s="382">
        <v>0.17083333333333334</v>
      </c>
      <c r="AD1562" s="382">
        <v>0</v>
      </c>
      <c r="AE1562" s="381" t="s">
        <v>168</v>
      </c>
    </row>
    <row r="1563" spans="1:31" ht="15" customHeight="1" x14ac:dyDescent="0.25">
      <c r="A1563" s="20" t="s">
        <v>156</v>
      </c>
      <c r="B1563" s="20" t="s">
        <v>2056</v>
      </c>
      <c r="C1563" s="20" t="s">
        <v>2057</v>
      </c>
      <c r="D1563" s="378" t="s">
        <v>2204</v>
      </c>
      <c r="E1563" s="379">
        <v>44788</v>
      </c>
      <c r="F1563" s="379">
        <v>46113</v>
      </c>
      <c r="G1563" s="378" t="s">
        <v>362</v>
      </c>
      <c r="H1563" s="20" t="s">
        <v>352</v>
      </c>
      <c r="I1563" s="20" t="s">
        <v>353</v>
      </c>
      <c r="J1563" s="20" t="s">
        <v>163</v>
      </c>
      <c r="K1563" s="378" t="s">
        <v>354</v>
      </c>
      <c r="L1563" s="20" t="s">
        <v>165</v>
      </c>
      <c r="M1563" s="380">
        <v>2400</v>
      </c>
      <c r="N1563" s="380"/>
      <c r="O1563" s="380"/>
      <c r="P1563" s="380"/>
      <c r="Q1563" s="381">
        <v>385</v>
      </c>
      <c r="R1563" s="381"/>
      <c r="S1563" s="381"/>
      <c r="T1563" s="381"/>
      <c r="U1563" s="381"/>
      <c r="V1563" s="382">
        <v>385</v>
      </c>
      <c r="W1563" s="382">
        <v>0</v>
      </c>
      <c r="X1563" s="381">
        <v>0.16041666666666668</v>
      </c>
      <c r="Y1563" s="381">
        <v>0</v>
      </c>
      <c r="Z1563" s="381">
        <v>0</v>
      </c>
      <c r="AA1563" s="381">
        <v>0</v>
      </c>
      <c r="AB1563" s="381">
        <v>0</v>
      </c>
      <c r="AC1563" s="382">
        <v>0.16041666666666668</v>
      </c>
      <c r="AD1563" s="382">
        <v>0</v>
      </c>
      <c r="AE1563" s="381" t="s">
        <v>168</v>
      </c>
    </row>
    <row r="1564" spans="1:31" ht="15" customHeight="1" x14ac:dyDescent="0.25">
      <c r="A1564" s="20" t="s">
        <v>156</v>
      </c>
      <c r="B1564" s="20" t="s">
        <v>2056</v>
      </c>
      <c r="C1564" s="20" t="s">
        <v>2057</v>
      </c>
      <c r="D1564" s="378" t="s">
        <v>2205</v>
      </c>
      <c r="E1564" s="379">
        <v>44788</v>
      </c>
      <c r="F1564" s="379">
        <v>46113</v>
      </c>
      <c r="G1564" s="378" t="s">
        <v>362</v>
      </c>
      <c r="H1564" s="20" t="s">
        <v>352</v>
      </c>
      <c r="I1564" s="20" t="s">
        <v>353</v>
      </c>
      <c r="J1564" s="20" t="s">
        <v>163</v>
      </c>
      <c r="K1564" s="378" t="s">
        <v>354</v>
      </c>
      <c r="L1564" s="20" t="s">
        <v>165</v>
      </c>
      <c r="M1564" s="380">
        <v>2400</v>
      </c>
      <c r="N1564" s="380"/>
      <c r="O1564" s="380"/>
      <c r="P1564" s="380"/>
      <c r="Q1564" s="381">
        <v>345</v>
      </c>
      <c r="R1564" s="381"/>
      <c r="S1564" s="381"/>
      <c r="T1564" s="381"/>
      <c r="U1564" s="381"/>
      <c r="V1564" s="382">
        <v>345</v>
      </c>
      <c r="W1564" s="382">
        <v>0</v>
      </c>
      <c r="X1564" s="381">
        <v>0.14374999999999999</v>
      </c>
      <c r="Y1564" s="381">
        <v>0</v>
      </c>
      <c r="Z1564" s="381">
        <v>0</v>
      </c>
      <c r="AA1564" s="381">
        <v>0</v>
      </c>
      <c r="AB1564" s="381">
        <v>0</v>
      </c>
      <c r="AC1564" s="382">
        <v>0.14374999999999999</v>
      </c>
      <c r="AD1564" s="382">
        <v>0</v>
      </c>
      <c r="AE1564" s="381" t="s">
        <v>168</v>
      </c>
    </row>
    <row r="1565" spans="1:31" ht="15" customHeight="1" x14ac:dyDescent="0.25">
      <c r="A1565" s="20" t="s">
        <v>156</v>
      </c>
      <c r="B1565" s="20" t="s">
        <v>2056</v>
      </c>
      <c r="C1565" s="20" t="s">
        <v>2057</v>
      </c>
      <c r="D1565" s="378" t="s">
        <v>2206</v>
      </c>
      <c r="E1565" s="379">
        <v>44788</v>
      </c>
      <c r="F1565" s="379">
        <v>46113</v>
      </c>
      <c r="G1565" s="378" t="s">
        <v>362</v>
      </c>
      <c r="H1565" s="20" t="s">
        <v>352</v>
      </c>
      <c r="I1565" s="20" t="s">
        <v>353</v>
      </c>
      <c r="J1565" s="20" t="s">
        <v>163</v>
      </c>
      <c r="K1565" s="378" t="s">
        <v>354</v>
      </c>
      <c r="L1565" s="20" t="s">
        <v>165</v>
      </c>
      <c r="M1565" s="380">
        <v>2400</v>
      </c>
      <c r="N1565" s="380"/>
      <c r="O1565" s="380"/>
      <c r="P1565" s="380"/>
      <c r="Q1565" s="381">
        <v>333</v>
      </c>
      <c r="R1565" s="381"/>
      <c r="S1565" s="381"/>
      <c r="T1565" s="381"/>
      <c r="U1565" s="381"/>
      <c r="V1565" s="382">
        <v>333</v>
      </c>
      <c r="W1565" s="382">
        <v>0</v>
      </c>
      <c r="X1565" s="381">
        <v>0.13875000000000001</v>
      </c>
      <c r="Y1565" s="381">
        <v>0</v>
      </c>
      <c r="Z1565" s="381">
        <v>0</v>
      </c>
      <c r="AA1565" s="381">
        <v>0</v>
      </c>
      <c r="AB1565" s="381">
        <v>0</v>
      </c>
      <c r="AC1565" s="382">
        <v>0.13875000000000001</v>
      </c>
      <c r="AD1565" s="382">
        <v>0</v>
      </c>
      <c r="AE1565" s="381" t="s">
        <v>168</v>
      </c>
    </row>
    <row r="1566" spans="1:31" ht="15" customHeight="1" x14ac:dyDescent="0.25">
      <c r="A1566" s="20" t="s">
        <v>156</v>
      </c>
      <c r="B1566" s="20" t="s">
        <v>2056</v>
      </c>
      <c r="C1566" s="20" t="s">
        <v>2057</v>
      </c>
      <c r="D1566" s="378" t="s">
        <v>2207</v>
      </c>
      <c r="E1566" s="379">
        <v>44788</v>
      </c>
      <c r="F1566" s="379">
        <v>46113</v>
      </c>
      <c r="G1566" s="378" t="s">
        <v>362</v>
      </c>
      <c r="H1566" s="20" t="s">
        <v>352</v>
      </c>
      <c r="I1566" s="20" t="s">
        <v>353</v>
      </c>
      <c r="J1566" s="20" t="s">
        <v>163</v>
      </c>
      <c r="K1566" s="378" t="s">
        <v>354</v>
      </c>
      <c r="L1566" s="20" t="s">
        <v>165</v>
      </c>
      <c r="M1566" s="380">
        <v>2400</v>
      </c>
      <c r="N1566" s="380"/>
      <c r="O1566" s="380"/>
      <c r="P1566" s="380"/>
      <c r="Q1566" s="381">
        <v>324</v>
      </c>
      <c r="R1566" s="381"/>
      <c r="S1566" s="381"/>
      <c r="T1566" s="381"/>
      <c r="U1566" s="381"/>
      <c r="V1566" s="382">
        <v>324</v>
      </c>
      <c r="W1566" s="382">
        <v>0</v>
      </c>
      <c r="X1566" s="381">
        <v>0.13500000000000001</v>
      </c>
      <c r="Y1566" s="381">
        <v>0</v>
      </c>
      <c r="Z1566" s="381">
        <v>0</v>
      </c>
      <c r="AA1566" s="381">
        <v>0</v>
      </c>
      <c r="AB1566" s="381">
        <v>0</v>
      </c>
      <c r="AC1566" s="382">
        <v>0.13500000000000001</v>
      </c>
      <c r="AD1566" s="382">
        <v>0</v>
      </c>
      <c r="AE1566" s="381" t="s">
        <v>168</v>
      </c>
    </row>
    <row r="1567" spans="1:31" ht="15" customHeight="1" x14ac:dyDescent="0.25">
      <c r="A1567" s="20" t="s">
        <v>156</v>
      </c>
      <c r="B1567" s="20" t="s">
        <v>2056</v>
      </c>
      <c r="C1567" s="20" t="s">
        <v>2057</v>
      </c>
      <c r="D1567" s="378" t="s">
        <v>2208</v>
      </c>
      <c r="E1567" s="379">
        <v>44788</v>
      </c>
      <c r="F1567" s="379">
        <v>46113</v>
      </c>
      <c r="G1567" s="378" t="s">
        <v>362</v>
      </c>
      <c r="H1567" s="20" t="s">
        <v>352</v>
      </c>
      <c r="I1567" s="20" t="s">
        <v>353</v>
      </c>
      <c r="J1567" s="20" t="s">
        <v>163</v>
      </c>
      <c r="K1567" s="378" t="s">
        <v>354</v>
      </c>
      <c r="L1567" s="20" t="s">
        <v>165</v>
      </c>
      <c r="M1567" s="380">
        <v>2400</v>
      </c>
      <c r="N1567" s="380"/>
      <c r="O1567" s="380"/>
      <c r="P1567" s="380"/>
      <c r="Q1567" s="381">
        <v>427</v>
      </c>
      <c r="R1567" s="381"/>
      <c r="S1567" s="381"/>
      <c r="T1567" s="381"/>
      <c r="U1567" s="381"/>
      <c r="V1567" s="382">
        <v>427</v>
      </c>
      <c r="W1567" s="382">
        <v>0</v>
      </c>
      <c r="X1567" s="381">
        <v>0.17791666666666667</v>
      </c>
      <c r="Y1567" s="381">
        <v>0</v>
      </c>
      <c r="Z1567" s="381">
        <v>0</v>
      </c>
      <c r="AA1567" s="381">
        <v>0</v>
      </c>
      <c r="AB1567" s="381">
        <v>0</v>
      </c>
      <c r="AC1567" s="382">
        <v>0.17791666666666667</v>
      </c>
      <c r="AD1567" s="382">
        <v>0</v>
      </c>
      <c r="AE1567" s="381" t="s">
        <v>168</v>
      </c>
    </row>
    <row r="1568" spans="1:31" ht="15" customHeight="1" x14ac:dyDescent="0.25">
      <c r="A1568" s="20" t="s">
        <v>156</v>
      </c>
      <c r="B1568" s="20" t="s">
        <v>2056</v>
      </c>
      <c r="C1568" s="20" t="s">
        <v>2057</v>
      </c>
      <c r="D1568" s="378" t="s">
        <v>2209</v>
      </c>
      <c r="E1568" s="379">
        <v>44788</v>
      </c>
      <c r="F1568" s="379">
        <v>46113</v>
      </c>
      <c r="G1568" s="378" t="s">
        <v>362</v>
      </c>
      <c r="H1568" s="20" t="s">
        <v>352</v>
      </c>
      <c r="I1568" s="20" t="s">
        <v>353</v>
      </c>
      <c r="J1568" s="20" t="s">
        <v>163</v>
      </c>
      <c r="K1568" s="378" t="s">
        <v>354</v>
      </c>
      <c r="L1568" s="20" t="s">
        <v>165</v>
      </c>
      <c r="M1568" s="380">
        <v>2400</v>
      </c>
      <c r="N1568" s="380"/>
      <c r="O1568" s="380"/>
      <c r="P1568" s="380"/>
      <c r="Q1568" s="381">
        <v>335</v>
      </c>
      <c r="R1568" s="381"/>
      <c r="S1568" s="381"/>
      <c r="T1568" s="381"/>
      <c r="U1568" s="381"/>
      <c r="V1568" s="382">
        <v>335</v>
      </c>
      <c r="W1568" s="382">
        <v>0</v>
      </c>
      <c r="X1568" s="381">
        <v>0.13958333333333334</v>
      </c>
      <c r="Y1568" s="381">
        <v>0</v>
      </c>
      <c r="Z1568" s="381">
        <v>0</v>
      </c>
      <c r="AA1568" s="381">
        <v>0</v>
      </c>
      <c r="AB1568" s="381">
        <v>0</v>
      </c>
      <c r="AC1568" s="382">
        <v>0.13958333333333334</v>
      </c>
      <c r="AD1568" s="382">
        <v>0</v>
      </c>
      <c r="AE1568" s="381" t="s">
        <v>168</v>
      </c>
    </row>
    <row r="1569" spans="1:31" ht="15" customHeight="1" x14ac:dyDescent="0.25">
      <c r="A1569" s="20" t="s">
        <v>156</v>
      </c>
      <c r="B1569" s="20" t="s">
        <v>2056</v>
      </c>
      <c r="C1569" s="20" t="s">
        <v>2057</v>
      </c>
      <c r="D1569" s="378" t="s">
        <v>2210</v>
      </c>
      <c r="E1569" s="379">
        <v>44788</v>
      </c>
      <c r="F1569" s="379">
        <v>46113</v>
      </c>
      <c r="G1569" s="378" t="s">
        <v>362</v>
      </c>
      <c r="H1569" s="20" t="s">
        <v>352</v>
      </c>
      <c r="I1569" s="20" t="s">
        <v>353</v>
      </c>
      <c r="J1569" s="20" t="s">
        <v>163</v>
      </c>
      <c r="K1569" s="378" t="s">
        <v>354</v>
      </c>
      <c r="L1569" s="20" t="s">
        <v>165</v>
      </c>
      <c r="M1569" s="380">
        <v>2400</v>
      </c>
      <c r="N1569" s="380"/>
      <c r="O1569" s="380"/>
      <c r="P1569" s="380"/>
      <c r="Q1569" s="381">
        <v>313</v>
      </c>
      <c r="R1569" s="381"/>
      <c r="S1569" s="381"/>
      <c r="T1569" s="381"/>
      <c r="U1569" s="381"/>
      <c r="V1569" s="382">
        <v>313</v>
      </c>
      <c r="W1569" s="382">
        <v>0</v>
      </c>
      <c r="X1569" s="381">
        <v>0.13041666666666665</v>
      </c>
      <c r="Y1569" s="381">
        <v>0</v>
      </c>
      <c r="Z1569" s="381">
        <v>0</v>
      </c>
      <c r="AA1569" s="381">
        <v>0</v>
      </c>
      <c r="AB1569" s="381">
        <v>0</v>
      </c>
      <c r="AC1569" s="382">
        <v>0.13041666666666665</v>
      </c>
      <c r="AD1569" s="382">
        <v>0</v>
      </c>
      <c r="AE1569" s="381" t="s">
        <v>168</v>
      </c>
    </row>
    <row r="1570" spans="1:31" ht="15" customHeight="1" x14ac:dyDescent="0.25">
      <c r="A1570" s="20" t="s">
        <v>156</v>
      </c>
      <c r="B1570" s="20" t="s">
        <v>2056</v>
      </c>
      <c r="C1570" s="20" t="s">
        <v>2057</v>
      </c>
      <c r="D1570" s="378" t="s">
        <v>2211</v>
      </c>
      <c r="E1570" s="379">
        <v>44788</v>
      </c>
      <c r="F1570" s="379">
        <v>46113</v>
      </c>
      <c r="G1570" s="378" t="s">
        <v>362</v>
      </c>
      <c r="H1570" s="20" t="s">
        <v>352</v>
      </c>
      <c r="I1570" s="20" t="s">
        <v>353</v>
      </c>
      <c r="J1570" s="20" t="s">
        <v>163</v>
      </c>
      <c r="K1570" s="378" t="s">
        <v>354</v>
      </c>
      <c r="L1570" s="20" t="s">
        <v>165</v>
      </c>
      <c r="M1570" s="380">
        <v>2400</v>
      </c>
      <c r="N1570" s="380"/>
      <c r="O1570" s="380"/>
      <c r="P1570" s="380"/>
      <c r="Q1570" s="381">
        <v>341</v>
      </c>
      <c r="R1570" s="381"/>
      <c r="S1570" s="381"/>
      <c r="T1570" s="381"/>
      <c r="U1570" s="381"/>
      <c r="V1570" s="382">
        <v>341</v>
      </c>
      <c r="W1570" s="382">
        <v>0</v>
      </c>
      <c r="X1570" s="381">
        <v>0.14208333333333334</v>
      </c>
      <c r="Y1570" s="381">
        <v>0</v>
      </c>
      <c r="Z1570" s="381">
        <v>0</v>
      </c>
      <c r="AA1570" s="381">
        <v>0</v>
      </c>
      <c r="AB1570" s="381">
        <v>0</v>
      </c>
      <c r="AC1570" s="382">
        <v>0.14208333333333334</v>
      </c>
      <c r="AD1570" s="382">
        <v>0</v>
      </c>
      <c r="AE1570" s="381" t="s">
        <v>168</v>
      </c>
    </row>
    <row r="1571" spans="1:31" ht="15" customHeight="1" x14ac:dyDescent="0.25">
      <c r="A1571" s="20" t="s">
        <v>156</v>
      </c>
      <c r="B1571" s="20" t="s">
        <v>2056</v>
      </c>
      <c r="C1571" s="20" t="s">
        <v>2057</v>
      </c>
      <c r="D1571" s="378" t="s">
        <v>2212</v>
      </c>
      <c r="E1571" s="379">
        <v>44788</v>
      </c>
      <c r="F1571" s="379">
        <v>46113</v>
      </c>
      <c r="G1571" s="378" t="s">
        <v>362</v>
      </c>
      <c r="H1571" s="20" t="s">
        <v>352</v>
      </c>
      <c r="I1571" s="20" t="s">
        <v>353</v>
      </c>
      <c r="J1571" s="20" t="s">
        <v>163</v>
      </c>
      <c r="K1571" s="378" t="s">
        <v>354</v>
      </c>
      <c r="L1571" s="20" t="s">
        <v>165</v>
      </c>
      <c r="M1571" s="380">
        <v>2400</v>
      </c>
      <c r="N1571" s="380"/>
      <c r="O1571" s="380"/>
      <c r="P1571" s="380"/>
      <c r="Q1571" s="381">
        <v>426</v>
      </c>
      <c r="R1571" s="381"/>
      <c r="S1571" s="381"/>
      <c r="T1571" s="381"/>
      <c r="U1571" s="381"/>
      <c r="V1571" s="382">
        <v>426</v>
      </c>
      <c r="W1571" s="382">
        <v>0</v>
      </c>
      <c r="X1571" s="381">
        <v>0.17749999999999999</v>
      </c>
      <c r="Y1571" s="381">
        <v>0</v>
      </c>
      <c r="Z1571" s="381">
        <v>0</v>
      </c>
      <c r="AA1571" s="381">
        <v>0</v>
      </c>
      <c r="AB1571" s="381">
        <v>0</v>
      </c>
      <c r="AC1571" s="382">
        <v>0.17749999999999999</v>
      </c>
      <c r="AD1571" s="382">
        <v>0</v>
      </c>
      <c r="AE1571" s="381" t="s">
        <v>168</v>
      </c>
    </row>
    <row r="1572" spans="1:31" ht="15" customHeight="1" x14ac:dyDescent="0.25">
      <c r="A1572" s="20" t="s">
        <v>156</v>
      </c>
      <c r="B1572" s="20" t="s">
        <v>2056</v>
      </c>
      <c r="C1572" s="20" t="s">
        <v>2057</v>
      </c>
      <c r="D1572" s="378" t="s">
        <v>2213</v>
      </c>
      <c r="E1572" s="379">
        <v>44788</v>
      </c>
      <c r="F1572" s="379">
        <v>46113</v>
      </c>
      <c r="G1572" s="378" t="s">
        <v>362</v>
      </c>
      <c r="H1572" s="20" t="s">
        <v>352</v>
      </c>
      <c r="I1572" s="20" t="s">
        <v>353</v>
      </c>
      <c r="J1572" s="20" t="s">
        <v>163</v>
      </c>
      <c r="K1572" s="378" t="s">
        <v>354</v>
      </c>
      <c r="L1572" s="20" t="s">
        <v>165</v>
      </c>
      <c r="M1572" s="380">
        <v>2400</v>
      </c>
      <c r="N1572" s="380"/>
      <c r="O1572" s="380"/>
      <c r="P1572" s="380"/>
      <c r="Q1572" s="381">
        <v>101</v>
      </c>
      <c r="R1572" s="381"/>
      <c r="S1572" s="381"/>
      <c r="T1572" s="381"/>
      <c r="U1572" s="381"/>
      <c r="V1572" s="382">
        <v>101</v>
      </c>
      <c r="W1572" s="382">
        <v>0</v>
      </c>
      <c r="X1572" s="381">
        <v>4.2083333333333334E-2</v>
      </c>
      <c r="Y1572" s="381">
        <v>0</v>
      </c>
      <c r="Z1572" s="381">
        <v>0</v>
      </c>
      <c r="AA1572" s="381">
        <v>0</v>
      </c>
      <c r="AB1572" s="381">
        <v>0</v>
      </c>
      <c r="AC1572" s="382">
        <v>4.2083333333333334E-2</v>
      </c>
      <c r="AD1572" s="382">
        <v>0</v>
      </c>
      <c r="AE1572" s="381" t="s">
        <v>168</v>
      </c>
    </row>
    <row r="1573" spans="1:31" ht="15" customHeight="1" x14ac:dyDescent="0.25">
      <c r="A1573" s="20" t="s">
        <v>156</v>
      </c>
      <c r="B1573" s="20" t="s">
        <v>2056</v>
      </c>
      <c r="C1573" s="20" t="s">
        <v>2057</v>
      </c>
      <c r="D1573" s="378" t="s">
        <v>2214</v>
      </c>
      <c r="E1573" s="379">
        <v>44788</v>
      </c>
      <c r="F1573" s="379">
        <v>46113</v>
      </c>
      <c r="G1573" s="378" t="s">
        <v>219</v>
      </c>
      <c r="H1573" s="20" t="s">
        <v>352</v>
      </c>
      <c r="I1573" s="20" t="s">
        <v>353</v>
      </c>
      <c r="J1573" s="20" t="s">
        <v>163</v>
      </c>
      <c r="K1573" s="378" t="s">
        <v>354</v>
      </c>
      <c r="L1573" s="20" t="s">
        <v>165</v>
      </c>
      <c r="M1573" s="380">
        <v>2400</v>
      </c>
      <c r="N1573" s="380"/>
      <c r="O1573" s="380"/>
      <c r="P1573" s="380"/>
      <c r="Q1573" s="381">
        <v>454</v>
      </c>
      <c r="R1573" s="381"/>
      <c r="S1573" s="381"/>
      <c r="T1573" s="381"/>
      <c r="U1573" s="381"/>
      <c r="V1573" s="382">
        <v>454</v>
      </c>
      <c r="W1573" s="382">
        <v>0</v>
      </c>
      <c r="X1573" s="381">
        <v>0.18916666666666668</v>
      </c>
      <c r="Y1573" s="381">
        <v>0</v>
      </c>
      <c r="Z1573" s="381">
        <v>0</v>
      </c>
      <c r="AA1573" s="381">
        <v>0</v>
      </c>
      <c r="AB1573" s="381">
        <v>0</v>
      </c>
      <c r="AC1573" s="382">
        <v>0.18916666666666668</v>
      </c>
      <c r="AD1573" s="382">
        <v>0</v>
      </c>
      <c r="AE1573" s="381" t="s">
        <v>168</v>
      </c>
    </row>
    <row r="1574" spans="1:31" ht="15" customHeight="1" x14ac:dyDescent="0.25">
      <c r="A1574" s="20" t="s">
        <v>156</v>
      </c>
      <c r="B1574" s="20" t="s">
        <v>2056</v>
      </c>
      <c r="C1574" s="20" t="s">
        <v>2057</v>
      </c>
      <c r="D1574" s="378" t="s">
        <v>2215</v>
      </c>
      <c r="E1574" s="379">
        <v>44788</v>
      </c>
      <c r="F1574" s="379">
        <v>46113</v>
      </c>
      <c r="G1574" s="378" t="s">
        <v>219</v>
      </c>
      <c r="H1574" s="20" t="s">
        <v>352</v>
      </c>
      <c r="I1574" s="20" t="s">
        <v>353</v>
      </c>
      <c r="J1574" s="20" t="s">
        <v>163</v>
      </c>
      <c r="K1574" s="378" t="s">
        <v>354</v>
      </c>
      <c r="L1574" s="20" t="s">
        <v>165</v>
      </c>
      <c r="M1574" s="380">
        <v>2400</v>
      </c>
      <c r="N1574" s="380"/>
      <c r="O1574" s="380"/>
      <c r="P1574" s="380"/>
      <c r="Q1574" s="381">
        <v>421</v>
      </c>
      <c r="R1574" s="381"/>
      <c r="S1574" s="381"/>
      <c r="T1574" s="381"/>
      <c r="U1574" s="381"/>
      <c r="V1574" s="382">
        <v>421</v>
      </c>
      <c r="W1574" s="382">
        <v>0</v>
      </c>
      <c r="X1574" s="381">
        <v>0.17541666666666667</v>
      </c>
      <c r="Y1574" s="381">
        <v>0</v>
      </c>
      <c r="Z1574" s="381">
        <v>0</v>
      </c>
      <c r="AA1574" s="381">
        <v>0</v>
      </c>
      <c r="AB1574" s="381">
        <v>0</v>
      </c>
      <c r="AC1574" s="382">
        <v>0.17541666666666667</v>
      </c>
      <c r="AD1574" s="382">
        <v>0</v>
      </c>
      <c r="AE1574" s="381" t="s">
        <v>168</v>
      </c>
    </row>
    <row r="1575" spans="1:31" ht="15" customHeight="1" x14ac:dyDescent="0.25">
      <c r="A1575" s="20" t="s">
        <v>156</v>
      </c>
      <c r="B1575" s="20" t="s">
        <v>2056</v>
      </c>
      <c r="C1575" s="20" t="s">
        <v>2057</v>
      </c>
      <c r="D1575" s="378" t="s">
        <v>2216</v>
      </c>
      <c r="E1575" s="379">
        <v>44788</v>
      </c>
      <c r="F1575" s="379">
        <v>46113</v>
      </c>
      <c r="G1575" s="378" t="s">
        <v>219</v>
      </c>
      <c r="H1575" s="20" t="s">
        <v>352</v>
      </c>
      <c r="I1575" s="20" t="s">
        <v>353</v>
      </c>
      <c r="J1575" s="20" t="s">
        <v>163</v>
      </c>
      <c r="K1575" s="378" t="s">
        <v>354</v>
      </c>
      <c r="L1575" s="20" t="s">
        <v>165</v>
      </c>
      <c r="M1575" s="380">
        <v>2400</v>
      </c>
      <c r="N1575" s="380"/>
      <c r="O1575" s="380"/>
      <c r="P1575" s="380"/>
      <c r="Q1575" s="381">
        <v>316</v>
      </c>
      <c r="R1575" s="381"/>
      <c r="S1575" s="381"/>
      <c r="T1575" s="381"/>
      <c r="U1575" s="381"/>
      <c r="V1575" s="382">
        <v>316</v>
      </c>
      <c r="W1575" s="382">
        <v>0</v>
      </c>
      <c r="X1575" s="381">
        <v>0.13166666666666665</v>
      </c>
      <c r="Y1575" s="381">
        <v>0</v>
      </c>
      <c r="Z1575" s="381">
        <v>0</v>
      </c>
      <c r="AA1575" s="381">
        <v>0</v>
      </c>
      <c r="AB1575" s="381">
        <v>0</v>
      </c>
      <c r="AC1575" s="382">
        <v>0.13166666666666665</v>
      </c>
      <c r="AD1575" s="382">
        <v>0</v>
      </c>
      <c r="AE1575" s="381" t="s">
        <v>168</v>
      </c>
    </row>
    <row r="1576" spans="1:31" ht="15" customHeight="1" x14ac:dyDescent="0.25">
      <c r="A1576" s="20" t="s">
        <v>156</v>
      </c>
      <c r="B1576" s="20" t="s">
        <v>2056</v>
      </c>
      <c r="C1576" s="20" t="s">
        <v>2057</v>
      </c>
      <c r="D1576" s="378" t="s">
        <v>2217</v>
      </c>
      <c r="E1576" s="379">
        <v>44788</v>
      </c>
      <c r="F1576" s="379">
        <v>46113</v>
      </c>
      <c r="G1576" s="378" t="s">
        <v>219</v>
      </c>
      <c r="H1576" s="20" t="s">
        <v>352</v>
      </c>
      <c r="I1576" s="20" t="s">
        <v>353</v>
      </c>
      <c r="J1576" s="20" t="s">
        <v>163</v>
      </c>
      <c r="K1576" s="378" t="s">
        <v>354</v>
      </c>
      <c r="L1576" s="20" t="s">
        <v>165</v>
      </c>
      <c r="M1576" s="380">
        <v>2400</v>
      </c>
      <c r="N1576" s="380"/>
      <c r="O1576" s="380"/>
      <c r="P1576" s="380"/>
      <c r="Q1576" s="381">
        <v>378</v>
      </c>
      <c r="R1576" s="381"/>
      <c r="S1576" s="381"/>
      <c r="T1576" s="381"/>
      <c r="U1576" s="381"/>
      <c r="V1576" s="382">
        <v>378</v>
      </c>
      <c r="W1576" s="382">
        <v>0</v>
      </c>
      <c r="X1576" s="381">
        <v>0.1575</v>
      </c>
      <c r="Y1576" s="381">
        <v>0</v>
      </c>
      <c r="Z1576" s="381">
        <v>0</v>
      </c>
      <c r="AA1576" s="381">
        <v>0</v>
      </c>
      <c r="AB1576" s="381">
        <v>0</v>
      </c>
      <c r="AC1576" s="382">
        <v>0.1575</v>
      </c>
      <c r="AD1576" s="382">
        <v>0</v>
      </c>
      <c r="AE1576" s="381" t="s">
        <v>168</v>
      </c>
    </row>
    <row r="1577" spans="1:31" ht="15" customHeight="1" x14ac:dyDescent="0.25">
      <c r="A1577" s="20" t="s">
        <v>156</v>
      </c>
      <c r="B1577" s="20" t="s">
        <v>2056</v>
      </c>
      <c r="C1577" s="20" t="s">
        <v>2057</v>
      </c>
      <c r="D1577" s="378" t="s">
        <v>2218</v>
      </c>
      <c r="E1577" s="379">
        <v>44788</v>
      </c>
      <c r="F1577" s="379">
        <v>46113</v>
      </c>
      <c r="G1577" s="378" t="s">
        <v>219</v>
      </c>
      <c r="H1577" s="20" t="s">
        <v>352</v>
      </c>
      <c r="I1577" s="20" t="s">
        <v>353</v>
      </c>
      <c r="J1577" s="20" t="s">
        <v>163</v>
      </c>
      <c r="K1577" s="378" t="s">
        <v>354</v>
      </c>
      <c r="L1577" s="20" t="s">
        <v>165</v>
      </c>
      <c r="M1577" s="380">
        <v>2400</v>
      </c>
      <c r="N1577" s="380"/>
      <c r="O1577" s="380"/>
      <c r="P1577" s="380"/>
      <c r="Q1577" s="381">
        <v>393</v>
      </c>
      <c r="R1577" s="381"/>
      <c r="S1577" s="381"/>
      <c r="T1577" s="381"/>
      <c r="U1577" s="381"/>
      <c r="V1577" s="382">
        <v>393</v>
      </c>
      <c r="W1577" s="382">
        <v>0</v>
      </c>
      <c r="X1577" s="381">
        <v>0.16375000000000001</v>
      </c>
      <c r="Y1577" s="381">
        <v>0</v>
      </c>
      <c r="Z1577" s="381">
        <v>0</v>
      </c>
      <c r="AA1577" s="381">
        <v>0</v>
      </c>
      <c r="AB1577" s="381">
        <v>0</v>
      </c>
      <c r="AC1577" s="382">
        <v>0.16375000000000001</v>
      </c>
      <c r="AD1577" s="382">
        <v>0</v>
      </c>
      <c r="AE1577" s="381" t="s">
        <v>168</v>
      </c>
    </row>
    <row r="1578" spans="1:31" ht="15" customHeight="1" x14ac:dyDescent="0.25">
      <c r="A1578" s="20" t="s">
        <v>156</v>
      </c>
      <c r="B1578" s="20" t="s">
        <v>2056</v>
      </c>
      <c r="C1578" s="20" t="s">
        <v>2057</v>
      </c>
      <c r="D1578" s="378" t="s">
        <v>2219</v>
      </c>
      <c r="E1578" s="379">
        <v>44788</v>
      </c>
      <c r="F1578" s="379">
        <v>46113</v>
      </c>
      <c r="G1578" s="378" t="s">
        <v>219</v>
      </c>
      <c r="H1578" s="20" t="s">
        <v>352</v>
      </c>
      <c r="I1578" s="20" t="s">
        <v>353</v>
      </c>
      <c r="J1578" s="20" t="s">
        <v>163</v>
      </c>
      <c r="K1578" s="378" t="s">
        <v>354</v>
      </c>
      <c r="L1578" s="20" t="s">
        <v>165</v>
      </c>
      <c r="M1578" s="380">
        <v>2400</v>
      </c>
      <c r="N1578" s="380"/>
      <c r="O1578" s="380"/>
      <c r="P1578" s="380"/>
      <c r="Q1578" s="381">
        <v>348</v>
      </c>
      <c r="R1578" s="381"/>
      <c r="S1578" s="381"/>
      <c r="T1578" s="381"/>
      <c r="U1578" s="381"/>
      <c r="V1578" s="382">
        <v>348</v>
      </c>
      <c r="W1578" s="382">
        <v>0</v>
      </c>
      <c r="X1578" s="381">
        <v>0.14499999999999999</v>
      </c>
      <c r="Y1578" s="381">
        <v>0</v>
      </c>
      <c r="Z1578" s="381">
        <v>0</v>
      </c>
      <c r="AA1578" s="381">
        <v>0</v>
      </c>
      <c r="AB1578" s="381">
        <v>0</v>
      </c>
      <c r="AC1578" s="382">
        <v>0.14499999999999999</v>
      </c>
      <c r="AD1578" s="382">
        <v>0</v>
      </c>
      <c r="AE1578" s="381" t="s">
        <v>168</v>
      </c>
    </row>
    <row r="1579" spans="1:31" ht="15" customHeight="1" x14ac:dyDescent="0.25">
      <c r="A1579" s="20" t="s">
        <v>156</v>
      </c>
      <c r="B1579" s="20" t="s">
        <v>2056</v>
      </c>
      <c r="C1579" s="20" t="s">
        <v>2057</v>
      </c>
      <c r="D1579" s="378" t="s">
        <v>2220</v>
      </c>
      <c r="E1579" s="379">
        <v>44788</v>
      </c>
      <c r="F1579" s="379">
        <v>46113</v>
      </c>
      <c r="G1579" s="378" t="s">
        <v>219</v>
      </c>
      <c r="H1579" s="20" t="s">
        <v>352</v>
      </c>
      <c r="I1579" s="20" t="s">
        <v>353</v>
      </c>
      <c r="J1579" s="20" t="s">
        <v>163</v>
      </c>
      <c r="K1579" s="378" t="s">
        <v>354</v>
      </c>
      <c r="L1579" s="20" t="s">
        <v>165</v>
      </c>
      <c r="M1579" s="380">
        <v>2400</v>
      </c>
      <c r="N1579" s="380"/>
      <c r="O1579" s="380"/>
      <c r="P1579" s="380"/>
      <c r="Q1579" s="381">
        <v>337</v>
      </c>
      <c r="R1579" s="381"/>
      <c r="S1579" s="381"/>
      <c r="T1579" s="381"/>
      <c r="U1579" s="381"/>
      <c r="V1579" s="382">
        <v>337</v>
      </c>
      <c r="W1579" s="382">
        <v>0</v>
      </c>
      <c r="X1579" s="381">
        <v>0.14041666666666666</v>
      </c>
      <c r="Y1579" s="381">
        <v>0</v>
      </c>
      <c r="Z1579" s="381">
        <v>0</v>
      </c>
      <c r="AA1579" s="381">
        <v>0</v>
      </c>
      <c r="AB1579" s="381">
        <v>0</v>
      </c>
      <c r="AC1579" s="382">
        <v>0.14041666666666666</v>
      </c>
      <c r="AD1579" s="382">
        <v>0</v>
      </c>
      <c r="AE1579" s="381" t="s">
        <v>168</v>
      </c>
    </row>
    <row r="1580" spans="1:31" ht="15" customHeight="1" x14ac:dyDescent="0.25">
      <c r="A1580" s="20" t="s">
        <v>156</v>
      </c>
      <c r="B1580" s="20" t="s">
        <v>2056</v>
      </c>
      <c r="C1580" s="20" t="s">
        <v>2057</v>
      </c>
      <c r="D1580" s="378" t="s">
        <v>2221</v>
      </c>
      <c r="E1580" s="379">
        <v>44788</v>
      </c>
      <c r="F1580" s="379">
        <v>46113</v>
      </c>
      <c r="G1580" s="378" t="s">
        <v>219</v>
      </c>
      <c r="H1580" s="20" t="s">
        <v>352</v>
      </c>
      <c r="I1580" s="20" t="s">
        <v>353</v>
      </c>
      <c r="J1580" s="20" t="s">
        <v>163</v>
      </c>
      <c r="K1580" s="378" t="s">
        <v>354</v>
      </c>
      <c r="L1580" s="20" t="s">
        <v>165</v>
      </c>
      <c r="M1580" s="380">
        <v>2400</v>
      </c>
      <c r="N1580" s="380"/>
      <c r="O1580" s="380"/>
      <c r="P1580" s="380"/>
      <c r="Q1580" s="381">
        <v>335</v>
      </c>
      <c r="R1580" s="381"/>
      <c r="S1580" s="381"/>
      <c r="T1580" s="381"/>
      <c r="U1580" s="381"/>
      <c r="V1580" s="382">
        <v>335</v>
      </c>
      <c r="W1580" s="382">
        <v>0</v>
      </c>
      <c r="X1580" s="381">
        <v>0.13958333333333334</v>
      </c>
      <c r="Y1580" s="381">
        <v>0</v>
      </c>
      <c r="Z1580" s="381">
        <v>0</v>
      </c>
      <c r="AA1580" s="381">
        <v>0</v>
      </c>
      <c r="AB1580" s="381">
        <v>0</v>
      </c>
      <c r="AC1580" s="382">
        <v>0.13958333333333334</v>
      </c>
      <c r="AD1580" s="382">
        <v>0</v>
      </c>
      <c r="AE1580" s="381" t="s">
        <v>168</v>
      </c>
    </row>
    <row r="1581" spans="1:31" ht="15" customHeight="1" x14ac:dyDescent="0.25">
      <c r="A1581" s="20" t="s">
        <v>156</v>
      </c>
      <c r="B1581" s="20" t="s">
        <v>2056</v>
      </c>
      <c r="C1581" s="20" t="s">
        <v>2057</v>
      </c>
      <c r="D1581" s="378" t="s">
        <v>2222</v>
      </c>
      <c r="E1581" s="379">
        <v>44788</v>
      </c>
      <c r="F1581" s="379">
        <v>46113</v>
      </c>
      <c r="G1581" s="378" t="s">
        <v>219</v>
      </c>
      <c r="H1581" s="20" t="s">
        <v>352</v>
      </c>
      <c r="I1581" s="20" t="s">
        <v>353</v>
      </c>
      <c r="J1581" s="20" t="s">
        <v>163</v>
      </c>
      <c r="K1581" s="378" t="s">
        <v>354</v>
      </c>
      <c r="L1581" s="20" t="s">
        <v>165</v>
      </c>
      <c r="M1581" s="380">
        <v>2400</v>
      </c>
      <c r="N1581" s="380"/>
      <c r="O1581" s="380"/>
      <c r="P1581" s="380"/>
      <c r="Q1581" s="381">
        <v>324</v>
      </c>
      <c r="R1581" s="381"/>
      <c r="S1581" s="381"/>
      <c r="T1581" s="381"/>
      <c r="U1581" s="381"/>
      <c r="V1581" s="382">
        <v>324</v>
      </c>
      <c r="W1581" s="382">
        <v>0</v>
      </c>
      <c r="X1581" s="381">
        <v>0.13500000000000001</v>
      </c>
      <c r="Y1581" s="381">
        <v>0</v>
      </c>
      <c r="Z1581" s="381">
        <v>0</v>
      </c>
      <c r="AA1581" s="381">
        <v>0</v>
      </c>
      <c r="AB1581" s="381">
        <v>0</v>
      </c>
      <c r="AC1581" s="382">
        <v>0.13500000000000001</v>
      </c>
      <c r="AD1581" s="382">
        <v>0</v>
      </c>
      <c r="AE1581" s="381" t="s">
        <v>168</v>
      </c>
    </row>
    <row r="1582" spans="1:31" ht="15" customHeight="1" x14ac:dyDescent="0.25">
      <c r="A1582" s="20" t="s">
        <v>156</v>
      </c>
      <c r="B1582" s="20" t="s">
        <v>2056</v>
      </c>
      <c r="C1582" s="20" t="s">
        <v>2057</v>
      </c>
      <c r="D1582" s="378" t="s">
        <v>2223</v>
      </c>
      <c r="E1582" s="379">
        <v>44788</v>
      </c>
      <c r="F1582" s="379">
        <v>46113</v>
      </c>
      <c r="G1582" s="378" t="s">
        <v>219</v>
      </c>
      <c r="H1582" s="20" t="s">
        <v>352</v>
      </c>
      <c r="I1582" s="20" t="s">
        <v>353</v>
      </c>
      <c r="J1582" s="20" t="s">
        <v>163</v>
      </c>
      <c r="K1582" s="378" t="s">
        <v>354</v>
      </c>
      <c r="L1582" s="20" t="s">
        <v>165</v>
      </c>
      <c r="M1582" s="380">
        <v>2400</v>
      </c>
      <c r="N1582" s="380"/>
      <c r="O1582" s="380"/>
      <c r="P1582" s="380"/>
      <c r="Q1582" s="381">
        <v>328</v>
      </c>
      <c r="R1582" s="381"/>
      <c r="S1582" s="381"/>
      <c r="T1582" s="381"/>
      <c r="U1582" s="381"/>
      <c r="V1582" s="382">
        <v>328</v>
      </c>
      <c r="W1582" s="382">
        <v>0</v>
      </c>
      <c r="X1582" s="381">
        <v>0.13666666666666666</v>
      </c>
      <c r="Y1582" s="381">
        <v>0</v>
      </c>
      <c r="Z1582" s="381">
        <v>0</v>
      </c>
      <c r="AA1582" s="381">
        <v>0</v>
      </c>
      <c r="AB1582" s="381">
        <v>0</v>
      </c>
      <c r="AC1582" s="382">
        <v>0.13666666666666666</v>
      </c>
      <c r="AD1582" s="382">
        <v>0</v>
      </c>
      <c r="AE1582" s="381" t="s">
        <v>168</v>
      </c>
    </row>
    <row r="1583" spans="1:31" ht="15" customHeight="1" x14ac:dyDescent="0.25">
      <c r="A1583" s="20" t="s">
        <v>156</v>
      </c>
      <c r="B1583" s="20" t="s">
        <v>2056</v>
      </c>
      <c r="C1583" s="20" t="s">
        <v>2057</v>
      </c>
      <c r="D1583" s="378" t="s">
        <v>2224</v>
      </c>
      <c r="E1583" s="379">
        <v>44788</v>
      </c>
      <c r="F1583" s="379">
        <v>46113</v>
      </c>
      <c r="G1583" s="378" t="s">
        <v>219</v>
      </c>
      <c r="H1583" s="20" t="s">
        <v>352</v>
      </c>
      <c r="I1583" s="20" t="s">
        <v>353</v>
      </c>
      <c r="J1583" s="20" t="s">
        <v>163</v>
      </c>
      <c r="K1583" s="378" t="s">
        <v>354</v>
      </c>
      <c r="L1583" s="20" t="s">
        <v>165</v>
      </c>
      <c r="M1583" s="380">
        <v>2400</v>
      </c>
      <c r="N1583" s="380"/>
      <c r="O1583" s="380"/>
      <c r="P1583" s="380"/>
      <c r="Q1583" s="381">
        <v>248</v>
      </c>
      <c r="R1583" s="381"/>
      <c r="S1583" s="381"/>
      <c r="T1583" s="381"/>
      <c r="U1583" s="381"/>
      <c r="V1583" s="382">
        <v>248</v>
      </c>
      <c r="W1583" s="382">
        <v>0</v>
      </c>
      <c r="X1583" s="381">
        <v>0.10333333333333333</v>
      </c>
      <c r="Y1583" s="381">
        <v>0</v>
      </c>
      <c r="Z1583" s="381">
        <v>0</v>
      </c>
      <c r="AA1583" s="381">
        <v>0</v>
      </c>
      <c r="AB1583" s="381">
        <v>0</v>
      </c>
      <c r="AC1583" s="382">
        <v>0.10333333333333333</v>
      </c>
      <c r="AD1583" s="382">
        <v>0</v>
      </c>
      <c r="AE1583" s="381" t="s">
        <v>168</v>
      </c>
    </row>
    <row r="1584" spans="1:31" ht="15" customHeight="1" x14ac:dyDescent="0.25">
      <c r="A1584" s="20" t="s">
        <v>156</v>
      </c>
      <c r="B1584" s="20" t="s">
        <v>2056</v>
      </c>
      <c r="C1584" s="20" t="s">
        <v>2057</v>
      </c>
      <c r="D1584" s="378" t="s">
        <v>2225</v>
      </c>
      <c r="E1584" s="379">
        <v>44788</v>
      </c>
      <c r="F1584" s="379">
        <v>46113</v>
      </c>
      <c r="G1584" s="378" t="s">
        <v>219</v>
      </c>
      <c r="H1584" s="20" t="s">
        <v>352</v>
      </c>
      <c r="I1584" s="20" t="s">
        <v>353</v>
      </c>
      <c r="J1584" s="20" t="s">
        <v>163</v>
      </c>
      <c r="K1584" s="378" t="s">
        <v>354</v>
      </c>
      <c r="L1584" s="20" t="s">
        <v>165</v>
      </c>
      <c r="M1584" s="380">
        <v>2400</v>
      </c>
      <c r="N1584" s="380"/>
      <c r="O1584" s="380"/>
      <c r="P1584" s="380"/>
      <c r="Q1584" s="381">
        <v>239</v>
      </c>
      <c r="R1584" s="381"/>
      <c r="S1584" s="381"/>
      <c r="T1584" s="381"/>
      <c r="U1584" s="381"/>
      <c r="V1584" s="382">
        <v>239</v>
      </c>
      <c r="W1584" s="382">
        <v>0</v>
      </c>
      <c r="X1584" s="381">
        <v>9.9583333333333329E-2</v>
      </c>
      <c r="Y1584" s="381">
        <v>0</v>
      </c>
      <c r="Z1584" s="381">
        <v>0</v>
      </c>
      <c r="AA1584" s="381">
        <v>0</v>
      </c>
      <c r="AB1584" s="381">
        <v>0</v>
      </c>
      <c r="AC1584" s="382">
        <v>9.9583333333333329E-2</v>
      </c>
      <c r="AD1584" s="382">
        <v>0</v>
      </c>
      <c r="AE1584" s="381" t="s">
        <v>168</v>
      </c>
    </row>
    <row r="1585" spans="1:31" ht="15" customHeight="1" x14ac:dyDescent="0.25">
      <c r="A1585" s="20" t="s">
        <v>156</v>
      </c>
      <c r="B1585" s="20" t="s">
        <v>2056</v>
      </c>
      <c r="C1585" s="20" t="s">
        <v>2057</v>
      </c>
      <c r="D1585" s="378" t="s">
        <v>2226</v>
      </c>
      <c r="E1585" s="379">
        <v>44788</v>
      </c>
      <c r="F1585" s="379">
        <v>46113</v>
      </c>
      <c r="G1585" s="378" t="s">
        <v>219</v>
      </c>
      <c r="H1585" s="20" t="s">
        <v>352</v>
      </c>
      <c r="I1585" s="20" t="s">
        <v>353</v>
      </c>
      <c r="J1585" s="20" t="s">
        <v>163</v>
      </c>
      <c r="K1585" s="378" t="s">
        <v>354</v>
      </c>
      <c r="L1585" s="20" t="s">
        <v>165</v>
      </c>
      <c r="M1585" s="380">
        <v>2400</v>
      </c>
      <c r="N1585" s="380"/>
      <c r="O1585" s="380"/>
      <c r="P1585" s="380"/>
      <c r="Q1585" s="381">
        <v>233</v>
      </c>
      <c r="R1585" s="381"/>
      <c r="S1585" s="381"/>
      <c r="T1585" s="381"/>
      <c r="U1585" s="381"/>
      <c r="V1585" s="382">
        <v>233</v>
      </c>
      <c r="W1585" s="382">
        <v>0</v>
      </c>
      <c r="X1585" s="381">
        <v>9.7083333333333327E-2</v>
      </c>
      <c r="Y1585" s="381">
        <v>0</v>
      </c>
      <c r="Z1585" s="381">
        <v>0</v>
      </c>
      <c r="AA1585" s="381">
        <v>0</v>
      </c>
      <c r="AB1585" s="381">
        <v>0</v>
      </c>
      <c r="AC1585" s="382">
        <v>9.7083333333333327E-2</v>
      </c>
      <c r="AD1585" s="382">
        <v>0</v>
      </c>
      <c r="AE1585" s="381" t="s">
        <v>168</v>
      </c>
    </row>
    <row r="1586" spans="1:31" ht="15" customHeight="1" x14ac:dyDescent="0.25">
      <c r="A1586" s="20" t="s">
        <v>156</v>
      </c>
      <c r="B1586" s="20" t="s">
        <v>2056</v>
      </c>
      <c r="C1586" s="20" t="s">
        <v>2057</v>
      </c>
      <c r="D1586" s="378" t="s">
        <v>2227</v>
      </c>
      <c r="E1586" s="379">
        <v>44788</v>
      </c>
      <c r="F1586" s="379">
        <v>46113</v>
      </c>
      <c r="G1586" s="378" t="s">
        <v>378</v>
      </c>
      <c r="H1586" s="20" t="s">
        <v>352</v>
      </c>
      <c r="I1586" s="20" t="s">
        <v>353</v>
      </c>
      <c r="J1586" s="20" t="s">
        <v>163</v>
      </c>
      <c r="K1586" s="378" t="s">
        <v>354</v>
      </c>
      <c r="L1586" s="20" t="s">
        <v>165</v>
      </c>
      <c r="M1586" s="380">
        <v>2400</v>
      </c>
      <c r="N1586" s="380"/>
      <c r="O1586" s="380"/>
      <c r="P1586" s="380"/>
      <c r="Q1586" s="381">
        <v>449</v>
      </c>
      <c r="R1586" s="381"/>
      <c r="S1586" s="381"/>
      <c r="T1586" s="381"/>
      <c r="U1586" s="381"/>
      <c r="V1586" s="382">
        <v>449</v>
      </c>
      <c r="W1586" s="382">
        <v>0</v>
      </c>
      <c r="X1586" s="381">
        <v>0.18708333333333332</v>
      </c>
      <c r="Y1586" s="381">
        <v>0</v>
      </c>
      <c r="Z1586" s="381">
        <v>0</v>
      </c>
      <c r="AA1586" s="381">
        <v>0</v>
      </c>
      <c r="AB1586" s="381">
        <v>0</v>
      </c>
      <c r="AC1586" s="382">
        <v>0.18708333333333332</v>
      </c>
      <c r="AD1586" s="382">
        <v>0</v>
      </c>
      <c r="AE1586" s="381" t="s">
        <v>168</v>
      </c>
    </row>
    <row r="1587" spans="1:31" ht="15" customHeight="1" x14ac:dyDescent="0.25">
      <c r="A1587" s="20" t="s">
        <v>156</v>
      </c>
      <c r="B1587" s="20" t="s">
        <v>2056</v>
      </c>
      <c r="C1587" s="20" t="s">
        <v>2057</v>
      </c>
      <c r="D1587" s="378" t="s">
        <v>2228</v>
      </c>
      <c r="E1587" s="379">
        <v>44788</v>
      </c>
      <c r="F1587" s="379">
        <v>46113</v>
      </c>
      <c r="G1587" s="378" t="s">
        <v>378</v>
      </c>
      <c r="H1587" s="20" t="s">
        <v>352</v>
      </c>
      <c r="I1587" s="20" t="s">
        <v>353</v>
      </c>
      <c r="J1587" s="20" t="s">
        <v>163</v>
      </c>
      <c r="K1587" s="378" t="s">
        <v>354</v>
      </c>
      <c r="L1587" s="20" t="s">
        <v>165</v>
      </c>
      <c r="M1587" s="380">
        <v>2400</v>
      </c>
      <c r="N1587" s="380"/>
      <c r="O1587" s="380"/>
      <c r="P1587" s="380"/>
      <c r="Q1587" s="381">
        <v>417</v>
      </c>
      <c r="R1587" s="381"/>
      <c r="S1587" s="381"/>
      <c r="T1587" s="381"/>
      <c r="U1587" s="381"/>
      <c r="V1587" s="382">
        <v>417</v>
      </c>
      <c r="W1587" s="382">
        <v>0</v>
      </c>
      <c r="X1587" s="381">
        <v>0.17374999999999999</v>
      </c>
      <c r="Y1587" s="381">
        <v>0</v>
      </c>
      <c r="Z1587" s="381">
        <v>0</v>
      </c>
      <c r="AA1587" s="381">
        <v>0</v>
      </c>
      <c r="AB1587" s="381">
        <v>0</v>
      </c>
      <c r="AC1587" s="382">
        <v>0.17374999999999999</v>
      </c>
      <c r="AD1587" s="382">
        <v>0</v>
      </c>
      <c r="AE1587" s="381" t="s">
        <v>168</v>
      </c>
    </row>
    <row r="1588" spans="1:31" ht="15" customHeight="1" x14ac:dyDescent="0.25">
      <c r="A1588" s="20" t="s">
        <v>156</v>
      </c>
      <c r="B1588" s="20" t="s">
        <v>2056</v>
      </c>
      <c r="C1588" s="20" t="s">
        <v>2057</v>
      </c>
      <c r="D1588" s="378" t="s">
        <v>2229</v>
      </c>
      <c r="E1588" s="379">
        <v>44788</v>
      </c>
      <c r="F1588" s="379">
        <v>46113</v>
      </c>
      <c r="G1588" s="378" t="s">
        <v>378</v>
      </c>
      <c r="H1588" s="20" t="s">
        <v>352</v>
      </c>
      <c r="I1588" s="20" t="s">
        <v>353</v>
      </c>
      <c r="J1588" s="20" t="s">
        <v>163</v>
      </c>
      <c r="K1588" s="378" t="s">
        <v>354</v>
      </c>
      <c r="L1588" s="20" t="s">
        <v>165</v>
      </c>
      <c r="M1588" s="380">
        <v>2400</v>
      </c>
      <c r="N1588" s="380"/>
      <c r="O1588" s="380"/>
      <c r="P1588" s="380"/>
      <c r="Q1588" s="381">
        <v>309</v>
      </c>
      <c r="R1588" s="381"/>
      <c r="S1588" s="381"/>
      <c r="T1588" s="381"/>
      <c r="U1588" s="381"/>
      <c r="V1588" s="382">
        <v>309</v>
      </c>
      <c r="W1588" s="382">
        <v>0</v>
      </c>
      <c r="X1588" s="381">
        <v>0.12875</v>
      </c>
      <c r="Y1588" s="381">
        <v>0</v>
      </c>
      <c r="Z1588" s="381">
        <v>0</v>
      </c>
      <c r="AA1588" s="381">
        <v>0</v>
      </c>
      <c r="AB1588" s="381">
        <v>0</v>
      </c>
      <c r="AC1588" s="382">
        <v>0.12875</v>
      </c>
      <c r="AD1588" s="382">
        <v>0</v>
      </c>
      <c r="AE1588" s="381" t="s">
        <v>168</v>
      </c>
    </row>
    <row r="1589" spans="1:31" ht="15" customHeight="1" x14ac:dyDescent="0.25">
      <c r="A1589" s="20" t="s">
        <v>156</v>
      </c>
      <c r="B1589" s="20" t="s">
        <v>2056</v>
      </c>
      <c r="C1589" s="20" t="s">
        <v>2057</v>
      </c>
      <c r="D1589" s="378" t="s">
        <v>2230</v>
      </c>
      <c r="E1589" s="379">
        <v>44788</v>
      </c>
      <c r="F1589" s="379">
        <v>46113</v>
      </c>
      <c r="G1589" s="378" t="s">
        <v>378</v>
      </c>
      <c r="H1589" s="20" t="s">
        <v>352</v>
      </c>
      <c r="I1589" s="20" t="s">
        <v>353</v>
      </c>
      <c r="J1589" s="20" t="s">
        <v>163</v>
      </c>
      <c r="K1589" s="378" t="s">
        <v>354</v>
      </c>
      <c r="L1589" s="20" t="s">
        <v>165</v>
      </c>
      <c r="M1589" s="380">
        <v>2400</v>
      </c>
      <c r="N1589" s="380"/>
      <c r="O1589" s="380"/>
      <c r="P1589" s="380"/>
      <c r="Q1589" s="381">
        <v>376</v>
      </c>
      <c r="R1589" s="381"/>
      <c r="S1589" s="381"/>
      <c r="T1589" s="381"/>
      <c r="U1589" s="381"/>
      <c r="V1589" s="382">
        <v>376</v>
      </c>
      <c r="W1589" s="382">
        <v>0</v>
      </c>
      <c r="X1589" s="381">
        <v>0.15666666666666668</v>
      </c>
      <c r="Y1589" s="381">
        <v>0</v>
      </c>
      <c r="Z1589" s="381">
        <v>0</v>
      </c>
      <c r="AA1589" s="381">
        <v>0</v>
      </c>
      <c r="AB1589" s="381">
        <v>0</v>
      </c>
      <c r="AC1589" s="382">
        <v>0.15666666666666668</v>
      </c>
      <c r="AD1589" s="382">
        <v>0</v>
      </c>
      <c r="AE1589" s="381" t="s">
        <v>168</v>
      </c>
    </row>
    <row r="1590" spans="1:31" ht="15" customHeight="1" x14ac:dyDescent="0.25">
      <c r="A1590" s="20" t="s">
        <v>156</v>
      </c>
      <c r="B1590" s="20" t="s">
        <v>2056</v>
      </c>
      <c r="C1590" s="20" t="s">
        <v>2057</v>
      </c>
      <c r="D1590" s="378" t="s">
        <v>2231</v>
      </c>
      <c r="E1590" s="379">
        <v>44788</v>
      </c>
      <c r="F1590" s="379">
        <v>46113</v>
      </c>
      <c r="G1590" s="378" t="s">
        <v>378</v>
      </c>
      <c r="H1590" s="20" t="s">
        <v>352</v>
      </c>
      <c r="I1590" s="20" t="s">
        <v>353</v>
      </c>
      <c r="J1590" s="20" t="s">
        <v>163</v>
      </c>
      <c r="K1590" s="378" t="s">
        <v>354</v>
      </c>
      <c r="L1590" s="20" t="s">
        <v>165</v>
      </c>
      <c r="M1590" s="380">
        <v>2400</v>
      </c>
      <c r="N1590" s="380"/>
      <c r="O1590" s="380"/>
      <c r="P1590" s="380"/>
      <c r="Q1590" s="381">
        <v>349</v>
      </c>
      <c r="R1590" s="381"/>
      <c r="S1590" s="381"/>
      <c r="T1590" s="381"/>
      <c r="U1590" s="381"/>
      <c r="V1590" s="382">
        <v>349</v>
      </c>
      <c r="W1590" s="382">
        <v>0</v>
      </c>
      <c r="X1590" s="381">
        <v>0.14541666666666667</v>
      </c>
      <c r="Y1590" s="381">
        <v>0</v>
      </c>
      <c r="Z1590" s="381">
        <v>0</v>
      </c>
      <c r="AA1590" s="381">
        <v>0</v>
      </c>
      <c r="AB1590" s="381">
        <v>0</v>
      </c>
      <c r="AC1590" s="382">
        <v>0.14541666666666667</v>
      </c>
      <c r="AD1590" s="382">
        <v>0</v>
      </c>
      <c r="AE1590" s="381" t="s">
        <v>168</v>
      </c>
    </row>
    <row r="1591" spans="1:31" ht="15" customHeight="1" x14ac:dyDescent="0.25">
      <c r="A1591" s="20" t="s">
        <v>156</v>
      </c>
      <c r="B1591" s="20" t="s">
        <v>2056</v>
      </c>
      <c r="C1591" s="20" t="s">
        <v>2057</v>
      </c>
      <c r="D1591" s="378" t="s">
        <v>2232</v>
      </c>
      <c r="E1591" s="379">
        <v>44788</v>
      </c>
      <c r="F1591" s="379">
        <v>46113</v>
      </c>
      <c r="G1591" s="378" t="s">
        <v>378</v>
      </c>
      <c r="H1591" s="20" t="s">
        <v>352</v>
      </c>
      <c r="I1591" s="20" t="s">
        <v>353</v>
      </c>
      <c r="J1591" s="20" t="s">
        <v>163</v>
      </c>
      <c r="K1591" s="378" t="s">
        <v>354</v>
      </c>
      <c r="L1591" s="20" t="s">
        <v>165</v>
      </c>
      <c r="M1591" s="380">
        <v>2400</v>
      </c>
      <c r="N1591" s="380"/>
      <c r="O1591" s="380"/>
      <c r="P1591" s="380"/>
      <c r="Q1591" s="381">
        <v>388</v>
      </c>
      <c r="R1591" s="381"/>
      <c r="S1591" s="381"/>
      <c r="T1591" s="381"/>
      <c r="U1591" s="381"/>
      <c r="V1591" s="382">
        <v>388</v>
      </c>
      <c r="W1591" s="382">
        <v>0</v>
      </c>
      <c r="X1591" s="381">
        <v>0.16166666666666665</v>
      </c>
      <c r="Y1591" s="381">
        <v>0</v>
      </c>
      <c r="Z1591" s="381">
        <v>0</v>
      </c>
      <c r="AA1591" s="381">
        <v>0</v>
      </c>
      <c r="AB1591" s="381">
        <v>0</v>
      </c>
      <c r="AC1591" s="382">
        <v>0.16166666666666665</v>
      </c>
      <c r="AD1591" s="382">
        <v>0</v>
      </c>
      <c r="AE1591" s="381" t="s">
        <v>168</v>
      </c>
    </row>
    <row r="1592" spans="1:31" ht="15" customHeight="1" x14ac:dyDescent="0.25">
      <c r="A1592" s="20" t="s">
        <v>156</v>
      </c>
      <c r="B1592" s="20" t="s">
        <v>2056</v>
      </c>
      <c r="C1592" s="20" t="s">
        <v>2057</v>
      </c>
      <c r="D1592" s="378" t="s">
        <v>2233</v>
      </c>
      <c r="E1592" s="379">
        <v>44788</v>
      </c>
      <c r="F1592" s="379">
        <v>46113</v>
      </c>
      <c r="G1592" s="378" t="s">
        <v>378</v>
      </c>
      <c r="H1592" s="20" t="s">
        <v>352</v>
      </c>
      <c r="I1592" s="20" t="s">
        <v>353</v>
      </c>
      <c r="J1592" s="20" t="s">
        <v>163</v>
      </c>
      <c r="K1592" s="378" t="s">
        <v>354</v>
      </c>
      <c r="L1592" s="20" t="s">
        <v>165</v>
      </c>
      <c r="M1592" s="380">
        <v>2400</v>
      </c>
      <c r="N1592" s="380"/>
      <c r="O1592" s="380"/>
      <c r="P1592" s="380"/>
      <c r="Q1592" s="381">
        <v>345</v>
      </c>
      <c r="R1592" s="381"/>
      <c r="S1592" s="381"/>
      <c r="T1592" s="381"/>
      <c r="U1592" s="381"/>
      <c r="V1592" s="382">
        <v>345</v>
      </c>
      <c r="W1592" s="382">
        <v>0</v>
      </c>
      <c r="X1592" s="381">
        <v>0.14374999999999999</v>
      </c>
      <c r="Y1592" s="381">
        <v>0</v>
      </c>
      <c r="Z1592" s="381">
        <v>0</v>
      </c>
      <c r="AA1592" s="381">
        <v>0</v>
      </c>
      <c r="AB1592" s="381">
        <v>0</v>
      </c>
      <c r="AC1592" s="382">
        <v>0.14374999999999999</v>
      </c>
      <c r="AD1592" s="382">
        <v>0</v>
      </c>
      <c r="AE1592" s="381" t="s">
        <v>168</v>
      </c>
    </row>
    <row r="1593" spans="1:31" ht="15" customHeight="1" x14ac:dyDescent="0.25">
      <c r="A1593" s="20" t="s">
        <v>156</v>
      </c>
      <c r="B1593" s="20" t="s">
        <v>2056</v>
      </c>
      <c r="C1593" s="20" t="s">
        <v>2057</v>
      </c>
      <c r="D1593" s="378" t="s">
        <v>2234</v>
      </c>
      <c r="E1593" s="379">
        <v>44788</v>
      </c>
      <c r="F1593" s="379">
        <v>46113</v>
      </c>
      <c r="G1593" s="378" t="s">
        <v>378</v>
      </c>
      <c r="H1593" s="20" t="s">
        <v>352</v>
      </c>
      <c r="I1593" s="20" t="s">
        <v>353</v>
      </c>
      <c r="J1593" s="20" t="s">
        <v>163</v>
      </c>
      <c r="K1593" s="378" t="s">
        <v>354</v>
      </c>
      <c r="L1593" s="20" t="s">
        <v>165</v>
      </c>
      <c r="M1593" s="380">
        <v>2400</v>
      </c>
      <c r="N1593" s="380"/>
      <c r="O1593" s="380"/>
      <c r="P1593" s="380"/>
      <c r="Q1593" s="381">
        <v>334</v>
      </c>
      <c r="R1593" s="381"/>
      <c r="S1593" s="381"/>
      <c r="T1593" s="381"/>
      <c r="U1593" s="381"/>
      <c r="V1593" s="382">
        <v>334</v>
      </c>
      <c r="W1593" s="382">
        <v>0</v>
      </c>
      <c r="X1593" s="381">
        <v>0.13916666666666666</v>
      </c>
      <c r="Y1593" s="381">
        <v>0</v>
      </c>
      <c r="Z1593" s="381">
        <v>0</v>
      </c>
      <c r="AA1593" s="381">
        <v>0</v>
      </c>
      <c r="AB1593" s="381">
        <v>0</v>
      </c>
      <c r="AC1593" s="382">
        <v>0.13916666666666666</v>
      </c>
      <c r="AD1593" s="382">
        <v>0</v>
      </c>
      <c r="AE1593" s="381" t="s">
        <v>168</v>
      </c>
    </row>
    <row r="1594" spans="1:31" ht="15" customHeight="1" x14ac:dyDescent="0.25">
      <c r="A1594" s="20" t="s">
        <v>156</v>
      </c>
      <c r="B1594" s="20" t="s">
        <v>2056</v>
      </c>
      <c r="C1594" s="20" t="s">
        <v>2057</v>
      </c>
      <c r="D1594" s="378" t="s">
        <v>2235</v>
      </c>
      <c r="E1594" s="379">
        <v>44788</v>
      </c>
      <c r="F1594" s="379">
        <v>46113</v>
      </c>
      <c r="G1594" s="378" t="s">
        <v>378</v>
      </c>
      <c r="H1594" s="20" t="s">
        <v>352</v>
      </c>
      <c r="I1594" s="20" t="s">
        <v>353</v>
      </c>
      <c r="J1594" s="20" t="s">
        <v>163</v>
      </c>
      <c r="K1594" s="378" t="s">
        <v>354</v>
      </c>
      <c r="L1594" s="20" t="s">
        <v>165</v>
      </c>
      <c r="M1594" s="380">
        <v>2400</v>
      </c>
      <c r="N1594" s="380"/>
      <c r="O1594" s="380"/>
      <c r="P1594" s="380"/>
      <c r="Q1594" s="381">
        <v>321</v>
      </c>
      <c r="R1594" s="381"/>
      <c r="S1594" s="381"/>
      <c r="T1594" s="381"/>
      <c r="U1594" s="381"/>
      <c r="V1594" s="382">
        <v>321</v>
      </c>
      <c r="W1594" s="382">
        <v>0</v>
      </c>
      <c r="X1594" s="381">
        <v>0.13375000000000001</v>
      </c>
      <c r="Y1594" s="381">
        <v>0</v>
      </c>
      <c r="Z1594" s="381">
        <v>0</v>
      </c>
      <c r="AA1594" s="381">
        <v>0</v>
      </c>
      <c r="AB1594" s="381">
        <v>0</v>
      </c>
      <c r="AC1594" s="382">
        <v>0.13375000000000001</v>
      </c>
      <c r="AD1594" s="382">
        <v>0</v>
      </c>
      <c r="AE1594" s="381" t="s">
        <v>168</v>
      </c>
    </row>
    <row r="1595" spans="1:31" ht="15" customHeight="1" x14ac:dyDescent="0.25">
      <c r="A1595" s="20" t="s">
        <v>156</v>
      </c>
      <c r="B1595" s="20" t="s">
        <v>2056</v>
      </c>
      <c r="C1595" s="20" t="s">
        <v>2057</v>
      </c>
      <c r="D1595" s="378" t="s">
        <v>2236</v>
      </c>
      <c r="E1595" s="379">
        <v>44788</v>
      </c>
      <c r="F1595" s="379">
        <v>46113</v>
      </c>
      <c r="G1595" s="378" t="s">
        <v>378</v>
      </c>
      <c r="H1595" s="20" t="s">
        <v>352</v>
      </c>
      <c r="I1595" s="20" t="s">
        <v>353</v>
      </c>
      <c r="J1595" s="20" t="s">
        <v>163</v>
      </c>
      <c r="K1595" s="378" t="s">
        <v>354</v>
      </c>
      <c r="L1595" s="20" t="s">
        <v>165</v>
      </c>
      <c r="M1595" s="380">
        <v>2400</v>
      </c>
      <c r="N1595" s="380"/>
      <c r="O1595" s="380"/>
      <c r="P1595" s="380"/>
      <c r="Q1595" s="381">
        <v>429</v>
      </c>
      <c r="R1595" s="381"/>
      <c r="S1595" s="381"/>
      <c r="T1595" s="381"/>
      <c r="U1595" s="381"/>
      <c r="V1595" s="382">
        <v>429</v>
      </c>
      <c r="W1595" s="382">
        <v>0</v>
      </c>
      <c r="X1595" s="381">
        <v>0.17874999999999999</v>
      </c>
      <c r="Y1595" s="381">
        <v>0</v>
      </c>
      <c r="Z1595" s="381">
        <v>0</v>
      </c>
      <c r="AA1595" s="381">
        <v>0</v>
      </c>
      <c r="AB1595" s="381">
        <v>0</v>
      </c>
      <c r="AC1595" s="382">
        <v>0.17874999999999999</v>
      </c>
      <c r="AD1595" s="382">
        <v>0</v>
      </c>
      <c r="AE1595" s="381" t="s">
        <v>168</v>
      </c>
    </row>
    <row r="1596" spans="1:31" ht="15" customHeight="1" x14ac:dyDescent="0.25">
      <c r="A1596" s="20" t="s">
        <v>156</v>
      </c>
      <c r="B1596" s="20" t="s">
        <v>2056</v>
      </c>
      <c r="C1596" s="20" t="s">
        <v>2057</v>
      </c>
      <c r="D1596" s="378" t="s">
        <v>2237</v>
      </c>
      <c r="E1596" s="379">
        <v>44788</v>
      </c>
      <c r="F1596" s="379">
        <v>46113</v>
      </c>
      <c r="G1596" s="378" t="s">
        <v>378</v>
      </c>
      <c r="H1596" s="20" t="s">
        <v>352</v>
      </c>
      <c r="I1596" s="20" t="s">
        <v>353</v>
      </c>
      <c r="J1596" s="20" t="s">
        <v>163</v>
      </c>
      <c r="K1596" s="378" t="s">
        <v>354</v>
      </c>
      <c r="L1596" s="20" t="s">
        <v>165</v>
      </c>
      <c r="M1596" s="380">
        <v>2400</v>
      </c>
      <c r="N1596" s="380"/>
      <c r="O1596" s="380"/>
      <c r="P1596" s="380"/>
      <c r="Q1596" s="381">
        <v>378</v>
      </c>
      <c r="R1596" s="381"/>
      <c r="S1596" s="381"/>
      <c r="T1596" s="381"/>
      <c r="U1596" s="381"/>
      <c r="V1596" s="382">
        <v>378</v>
      </c>
      <c r="W1596" s="382">
        <v>0</v>
      </c>
      <c r="X1596" s="381">
        <v>0.1575</v>
      </c>
      <c r="Y1596" s="381">
        <v>0</v>
      </c>
      <c r="Z1596" s="381">
        <v>0</v>
      </c>
      <c r="AA1596" s="381">
        <v>0</v>
      </c>
      <c r="AB1596" s="381">
        <v>0</v>
      </c>
      <c r="AC1596" s="382">
        <v>0.1575</v>
      </c>
      <c r="AD1596" s="382">
        <v>0</v>
      </c>
      <c r="AE1596" s="381" t="s">
        <v>168</v>
      </c>
    </row>
    <row r="1597" spans="1:31" ht="15" customHeight="1" x14ac:dyDescent="0.25">
      <c r="A1597" s="20" t="s">
        <v>156</v>
      </c>
      <c r="B1597" s="20" t="s">
        <v>2056</v>
      </c>
      <c r="C1597" s="20" t="s">
        <v>2057</v>
      </c>
      <c r="D1597" s="378" t="s">
        <v>2238</v>
      </c>
      <c r="E1597" s="379">
        <v>44484</v>
      </c>
      <c r="F1597" s="379">
        <v>46143</v>
      </c>
      <c r="G1597" s="378" t="s">
        <v>387</v>
      </c>
      <c r="H1597" s="20" t="s">
        <v>388</v>
      </c>
      <c r="I1597" s="20">
        <v>0</v>
      </c>
      <c r="J1597" s="20" t="s">
        <v>163</v>
      </c>
      <c r="K1597" s="378" t="s">
        <v>389</v>
      </c>
      <c r="L1597" s="20" t="s">
        <v>165</v>
      </c>
      <c r="M1597" s="380">
        <v>2400</v>
      </c>
      <c r="N1597" s="380"/>
      <c r="O1597" s="380"/>
      <c r="P1597" s="380"/>
      <c r="Q1597" s="381">
        <v>399</v>
      </c>
      <c r="R1597" s="381"/>
      <c r="S1597" s="381"/>
      <c r="T1597" s="381"/>
      <c r="U1597" s="381"/>
      <c r="V1597" s="382">
        <v>399</v>
      </c>
      <c r="W1597" s="382">
        <v>0</v>
      </c>
      <c r="X1597" s="381">
        <v>0.16625000000000001</v>
      </c>
      <c r="Y1597" s="381">
        <v>0</v>
      </c>
      <c r="Z1597" s="381">
        <v>0</v>
      </c>
      <c r="AA1597" s="381">
        <v>0</v>
      </c>
      <c r="AB1597" s="381">
        <v>0</v>
      </c>
      <c r="AC1597" s="382">
        <v>0.16625000000000001</v>
      </c>
      <c r="AD1597" s="382">
        <v>0</v>
      </c>
      <c r="AE1597" s="381" t="s">
        <v>168</v>
      </c>
    </row>
    <row r="1598" spans="1:31" ht="15" customHeight="1" x14ac:dyDescent="0.25">
      <c r="A1598" s="20" t="s">
        <v>156</v>
      </c>
      <c r="B1598" s="20" t="s">
        <v>2056</v>
      </c>
      <c r="C1598" s="20" t="s">
        <v>2057</v>
      </c>
      <c r="D1598" s="378" t="s">
        <v>2239</v>
      </c>
      <c r="E1598" s="379">
        <v>44484</v>
      </c>
      <c r="F1598" s="379">
        <v>46143</v>
      </c>
      <c r="G1598" s="378" t="s">
        <v>387</v>
      </c>
      <c r="H1598" s="20" t="s">
        <v>388</v>
      </c>
      <c r="I1598" s="20">
        <v>0</v>
      </c>
      <c r="J1598" s="20" t="s">
        <v>163</v>
      </c>
      <c r="K1598" s="378" t="s">
        <v>389</v>
      </c>
      <c r="L1598" s="20" t="s">
        <v>165</v>
      </c>
      <c r="M1598" s="380">
        <v>2400</v>
      </c>
      <c r="N1598" s="380"/>
      <c r="O1598" s="380"/>
      <c r="P1598" s="380"/>
      <c r="Q1598" s="381">
        <v>498</v>
      </c>
      <c r="R1598" s="381"/>
      <c r="S1598" s="381"/>
      <c r="T1598" s="381"/>
      <c r="U1598" s="381"/>
      <c r="V1598" s="382">
        <v>498</v>
      </c>
      <c r="W1598" s="382">
        <v>0</v>
      </c>
      <c r="X1598" s="381">
        <v>0.20749999999999999</v>
      </c>
      <c r="Y1598" s="381">
        <v>0</v>
      </c>
      <c r="Z1598" s="381">
        <v>0</v>
      </c>
      <c r="AA1598" s="381">
        <v>0</v>
      </c>
      <c r="AB1598" s="381">
        <v>0</v>
      </c>
      <c r="AC1598" s="382">
        <v>0.20749999999999999</v>
      </c>
      <c r="AD1598" s="382">
        <v>0</v>
      </c>
      <c r="AE1598" s="381" t="s">
        <v>168</v>
      </c>
    </row>
    <row r="1599" spans="1:31" ht="15" customHeight="1" x14ac:dyDescent="0.25">
      <c r="A1599" s="20" t="s">
        <v>156</v>
      </c>
      <c r="B1599" s="20" t="s">
        <v>2056</v>
      </c>
      <c r="C1599" s="20" t="s">
        <v>2057</v>
      </c>
      <c r="D1599" s="378" t="s">
        <v>2240</v>
      </c>
      <c r="E1599" s="379">
        <v>44484</v>
      </c>
      <c r="F1599" s="379">
        <v>46143</v>
      </c>
      <c r="G1599" s="378" t="s">
        <v>387</v>
      </c>
      <c r="H1599" s="20" t="s">
        <v>388</v>
      </c>
      <c r="I1599" s="20">
        <v>0</v>
      </c>
      <c r="J1599" s="20" t="s">
        <v>163</v>
      </c>
      <c r="K1599" s="378" t="s">
        <v>389</v>
      </c>
      <c r="L1599" s="20" t="s">
        <v>165</v>
      </c>
      <c r="M1599" s="380">
        <v>2400</v>
      </c>
      <c r="N1599" s="380"/>
      <c r="O1599" s="380"/>
      <c r="P1599" s="380"/>
      <c r="Q1599" s="381">
        <v>498</v>
      </c>
      <c r="R1599" s="381"/>
      <c r="S1599" s="381"/>
      <c r="T1599" s="381"/>
      <c r="U1599" s="381"/>
      <c r="V1599" s="382">
        <v>498</v>
      </c>
      <c r="W1599" s="382">
        <v>0</v>
      </c>
      <c r="X1599" s="381">
        <v>0.20749999999999999</v>
      </c>
      <c r="Y1599" s="381">
        <v>0</v>
      </c>
      <c r="Z1599" s="381">
        <v>0</v>
      </c>
      <c r="AA1599" s="381">
        <v>0</v>
      </c>
      <c r="AB1599" s="381">
        <v>0</v>
      </c>
      <c r="AC1599" s="382">
        <v>0.20749999999999999</v>
      </c>
      <c r="AD1599" s="382">
        <v>0</v>
      </c>
      <c r="AE1599" s="381" t="s">
        <v>168</v>
      </c>
    </row>
    <row r="1600" spans="1:31" ht="15" customHeight="1" x14ac:dyDescent="0.25">
      <c r="A1600" s="20" t="s">
        <v>156</v>
      </c>
      <c r="B1600" s="20" t="s">
        <v>2056</v>
      </c>
      <c r="C1600" s="20" t="s">
        <v>2057</v>
      </c>
      <c r="D1600" s="378" t="s">
        <v>2241</v>
      </c>
      <c r="E1600" s="379">
        <v>44484</v>
      </c>
      <c r="F1600" s="379">
        <v>46143</v>
      </c>
      <c r="G1600" s="378" t="s">
        <v>387</v>
      </c>
      <c r="H1600" s="20" t="s">
        <v>388</v>
      </c>
      <c r="I1600" s="20">
        <v>0</v>
      </c>
      <c r="J1600" s="20" t="s">
        <v>163</v>
      </c>
      <c r="K1600" s="378" t="s">
        <v>389</v>
      </c>
      <c r="L1600" s="20" t="s">
        <v>165</v>
      </c>
      <c r="M1600" s="380">
        <v>2400</v>
      </c>
      <c r="N1600" s="380"/>
      <c r="O1600" s="380"/>
      <c r="P1600" s="380"/>
      <c r="Q1600" s="381">
        <v>513</v>
      </c>
      <c r="R1600" s="381"/>
      <c r="S1600" s="381"/>
      <c r="T1600" s="381"/>
      <c r="U1600" s="381"/>
      <c r="V1600" s="382">
        <v>513</v>
      </c>
      <c r="W1600" s="382">
        <v>0</v>
      </c>
      <c r="X1600" s="381">
        <v>0.21375</v>
      </c>
      <c r="Y1600" s="381">
        <v>0</v>
      </c>
      <c r="Z1600" s="381">
        <v>0</v>
      </c>
      <c r="AA1600" s="381">
        <v>0</v>
      </c>
      <c r="AB1600" s="381">
        <v>0</v>
      </c>
      <c r="AC1600" s="382">
        <v>0.21375</v>
      </c>
      <c r="AD1600" s="382">
        <v>0</v>
      </c>
      <c r="AE1600" s="381" t="s">
        <v>168</v>
      </c>
    </row>
    <row r="1601" spans="1:31" ht="15" customHeight="1" x14ac:dyDescent="0.25">
      <c r="A1601" s="20" t="s">
        <v>156</v>
      </c>
      <c r="B1601" s="20" t="s">
        <v>2056</v>
      </c>
      <c r="C1601" s="20" t="s">
        <v>2057</v>
      </c>
      <c r="D1601" s="378" t="s">
        <v>2242</v>
      </c>
      <c r="E1601" s="379">
        <v>44484</v>
      </c>
      <c r="F1601" s="379">
        <v>46143</v>
      </c>
      <c r="G1601" s="378" t="s">
        <v>391</v>
      </c>
      <c r="H1601" s="20" t="s">
        <v>388</v>
      </c>
      <c r="I1601" s="20">
        <v>0</v>
      </c>
      <c r="J1601" s="20" t="s">
        <v>163</v>
      </c>
      <c r="K1601" s="378" t="s">
        <v>389</v>
      </c>
      <c r="L1601" s="20" t="s">
        <v>165</v>
      </c>
      <c r="M1601" s="380">
        <v>2400</v>
      </c>
      <c r="N1601" s="380"/>
      <c r="O1601" s="380"/>
      <c r="P1601" s="380"/>
      <c r="Q1601" s="381">
        <v>490</v>
      </c>
      <c r="R1601" s="381"/>
      <c r="S1601" s="381"/>
      <c r="T1601" s="381"/>
      <c r="U1601" s="381"/>
      <c r="V1601" s="382">
        <v>490</v>
      </c>
      <c r="W1601" s="382">
        <v>0</v>
      </c>
      <c r="X1601" s="381">
        <v>0.20416666666666666</v>
      </c>
      <c r="Y1601" s="381">
        <v>0</v>
      </c>
      <c r="Z1601" s="381">
        <v>0</v>
      </c>
      <c r="AA1601" s="381">
        <v>0</v>
      </c>
      <c r="AB1601" s="381">
        <v>0</v>
      </c>
      <c r="AC1601" s="382">
        <v>0.20416666666666666</v>
      </c>
      <c r="AD1601" s="382">
        <v>0</v>
      </c>
      <c r="AE1601" s="381" t="s">
        <v>168</v>
      </c>
    </row>
    <row r="1602" spans="1:31" ht="15" customHeight="1" x14ac:dyDescent="0.25">
      <c r="A1602" s="20" t="s">
        <v>156</v>
      </c>
      <c r="B1602" s="20" t="s">
        <v>2056</v>
      </c>
      <c r="C1602" s="20" t="s">
        <v>2057</v>
      </c>
      <c r="D1602" s="378" t="s">
        <v>2243</v>
      </c>
      <c r="E1602" s="379">
        <v>44484</v>
      </c>
      <c r="F1602" s="379">
        <v>46143</v>
      </c>
      <c r="G1602" s="378" t="s">
        <v>391</v>
      </c>
      <c r="H1602" s="20" t="s">
        <v>388</v>
      </c>
      <c r="I1602" s="20">
        <v>0</v>
      </c>
      <c r="J1602" s="20" t="s">
        <v>163</v>
      </c>
      <c r="K1602" s="378" t="s">
        <v>389</v>
      </c>
      <c r="L1602" s="20" t="s">
        <v>165</v>
      </c>
      <c r="M1602" s="380">
        <v>2400</v>
      </c>
      <c r="N1602" s="380"/>
      <c r="O1602" s="380"/>
      <c r="P1602" s="380"/>
      <c r="Q1602" s="381">
        <v>386</v>
      </c>
      <c r="R1602" s="381"/>
      <c r="S1602" s="381"/>
      <c r="T1602" s="381"/>
      <c r="U1602" s="381"/>
      <c r="V1602" s="382">
        <v>386</v>
      </c>
      <c r="W1602" s="382">
        <v>0</v>
      </c>
      <c r="X1602" s="381">
        <v>0.16083333333333333</v>
      </c>
      <c r="Y1602" s="381">
        <v>0</v>
      </c>
      <c r="Z1602" s="381">
        <v>0</v>
      </c>
      <c r="AA1602" s="381">
        <v>0</v>
      </c>
      <c r="AB1602" s="381">
        <v>0</v>
      </c>
      <c r="AC1602" s="382">
        <v>0.16083333333333333</v>
      </c>
      <c r="AD1602" s="382">
        <v>0</v>
      </c>
      <c r="AE1602" s="381" t="s">
        <v>168</v>
      </c>
    </row>
    <row r="1603" spans="1:31" ht="15" customHeight="1" x14ac:dyDescent="0.25">
      <c r="A1603" s="20" t="s">
        <v>156</v>
      </c>
      <c r="B1603" s="20" t="s">
        <v>2056</v>
      </c>
      <c r="C1603" s="20" t="s">
        <v>2057</v>
      </c>
      <c r="D1603" s="378" t="s">
        <v>2244</v>
      </c>
      <c r="E1603" s="379">
        <v>44484</v>
      </c>
      <c r="F1603" s="379">
        <v>46143</v>
      </c>
      <c r="G1603" s="378" t="s">
        <v>391</v>
      </c>
      <c r="H1603" s="20" t="s">
        <v>388</v>
      </c>
      <c r="I1603" s="20">
        <v>0</v>
      </c>
      <c r="J1603" s="20" t="s">
        <v>163</v>
      </c>
      <c r="K1603" s="378" t="s">
        <v>389</v>
      </c>
      <c r="L1603" s="20" t="s">
        <v>165</v>
      </c>
      <c r="M1603" s="380">
        <v>2400</v>
      </c>
      <c r="N1603" s="380"/>
      <c r="O1603" s="380"/>
      <c r="P1603" s="380"/>
      <c r="Q1603" s="381">
        <v>490</v>
      </c>
      <c r="R1603" s="381"/>
      <c r="S1603" s="381"/>
      <c r="T1603" s="381"/>
      <c r="U1603" s="381"/>
      <c r="V1603" s="382">
        <v>490</v>
      </c>
      <c r="W1603" s="382">
        <v>0</v>
      </c>
      <c r="X1603" s="381">
        <v>0.20416666666666666</v>
      </c>
      <c r="Y1603" s="381">
        <v>0</v>
      </c>
      <c r="Z1603" s="381">
        <v>0</v>
      </c>
      <c r="AA1603" s="381">
        <v>0</v>
      </c>
      <c r="AB1603" s="381">
        <v>0</v>
      </c>
      <c r="AC1603" s="382">
        <v>0.20416666666666666</v>
      </c>
      <c r="AD1603" s="382">
        <v>0</v>
      </c>
      <c r="AE1603" s="381" t="s">
        <v>168</v>
      </c>
    </row>
    <row r="1604" spans="1:31" ht="15" customHeight="1" x14ac:dyDescent="0.25">
      <c r="A1604" s="20" t="s">
        <v>156</v>
      </c>
      <c r="B1604" s="20" t="s">
        <v>2056</v>
      </c>
      <c r="C1604" s="20" t="s">
        <v>2057</v>
      </c>
      <c r="D1604" s="378" t="s">
        <v>2245</v>
      </c>
      <c r="E1604" s="379">
        <v>44484</v>
      </c>
      <c r="F1604" s="379">
        <v>46143</v>
      </c>
      <c r="G1604" s="378" t="s">
        <v>391</v>
      </c>
      <c r="H1604" s="20" t="s">
        <v>388</v>
      </c>
      <c r="I1604" s="20">
        <v>0</v>
      </c>
      <c r="J1604" s="20" t="s">
        <v>163</v>
      </c>
      <c r="K1604" s="378" t="s">
        <v>389</v>
      </c>
      <c r="L1604" s="20" t="s">
        <v>165</v>
      </c>
      <c r="M1604" s="380">
        <v>2400</v>
      </c>
      <c r="N1604" s="380"/>
      <c r="O1604" s="380"/>
      <c r="P1604" s="380"/>
      <c r="Q1604" s="381">
        <v>473</v>
      </c>
      <c r="R1604" s="381"/>
      <c r="S1604" s="381"/>
      <c r="T1604" s="381"/>
      <c r="U1604" s="381"/>
      <c r="V1604" s="382">
        <v>473</v>
      </c>
      <c r="W1604" s="382">
        <v>0</v>
      </c>
      <c r="X1604" s="381">
        <v>0.19708333333333333</v>
      </c>
      <c r="Y1604" s="381">
        <v>0</v>
      </c>
      <c r="Z1604" s="381">
        <v>0</v>
      </c>
      <c r="AA1604" s="381">
        <v>0</v>
      </c>
      <c r="AB1604" s="381">
        <v>0</v>
      </c>
      <c r="AC1604" s="382">
        <v>0.19708333333333333</v>
      </c>
      <c r="AD1604" s="382">
        <v>0</v>
      </c>
      <c r="AE1604" s="381" t="s">
        <v>168</v>
      </c>
    </row>
    <row r="1605" spans="1:31" ht="15" customHeight="1" x14ac:dyDescent="0.25">
      <c r="A1605" s="20" t="s">
        <v>156</v>
      </c>
      <c r="B1605" s="20" t="s">
        <v>2056</v>
      </c>
      <c r="C1605" s="20" t="s">
        <v>2057</v>
      </c>
      <c r="D1605" s="378" t="s">
        <v>2246</v>
      </c>
      <c r="E1605" s="379">
        <v>44620</v>
      </c>
      <c r="F1605" s="379">
        <v>46446</v>
      </c>
      <c r="G1605" s="378" t="s">
        <v>173</v>
      </c>
      <c r="H1605" s="20" t="s">
        <v>393</v>
      </c>
      <c r="I1605" s="20"/>
      <c r="J1605" s="20" t="s">
        <v>163</v>
      </c>
      <c r="K1605" s="378" t="s">
        <v>394</v>
      </c>
      <c r="L1605" s="20" t="s">
        <v>165</v>
      </c>
      <c r="M1605" s="380">
        <v>2400</v>
      </c>
      <c r="N1605" s="380"/>
      <c r="O1605" s="380"/>
      <c r="P1605" s="380"/>
      <c r="Q1605" s="381">
        <v>505</v>
      </c>
      <c r="R1605" s="381"/>
      <c r="S1605" s="381"/>
      <c r="T1605" s="381"/>
      <c r="U1605" s="381"/>
      <c r="V1605" s="382">
        <v>505</v>
      </c>
      <c r="W1605" s="382">
        <v>0</v>
      </c>
      <c r="X1605" s="381">
        <v>0.21041666666666667</v>
      </c>
      <c r="Y1605" s="381">
        <v>0</v>
      </c>
      <c r="Z1605" s="381">
        <v>0</v>
      </c>
      <c r="AA1605" s="381">
        <v>0</v>
      </c>
      <c r="AB1605" s="381">
        <v>0</v>
      </c>
      <c r="AC1605" s="382">
        <v>0.21041666666666667</v>
      </c>
      <c r="AD1605" s="382">
        <v>0</v>
      </c>
      <c r="AE1605" s="381" t="s">
        <v>168</v>
      </c>
    </row>
    <row r="1606" spans="1:31" ht="15" customHeight="1" x14ac:dyDescent="0.25">
      <c r="A1606" s="20" t="s">
        <v>156</v>
      </c>
      <c r="B1606" s="20" t="s">
        <v>2056</v>
      </c>
      <c r="C1606" s="20" t="s">
        <v>2057</v>
      </c>
      <c r="D1606" s="378" t="s">
        <v>2247</v>
      </c>
      <c r="E1606" s="379">
        <v>44620</v>
      </c>
      <c r="F1606" s="379">
        <v>46446</v>
      </c>
      <c r="G1606" s="378" t="s">
        <v>173</v>
      </c>
      <c r="H1606" s="20" t="s">
        <v>393</v>
      </c>
      <c r="I1606" s="20"/>
      <c r="J1606" s="20" t="s">
        <v>163</v>
      </c>
      <c r="K1606" s="378" t="s">
        <v>394</v>
      </c>
      <c r="L1606" s="20" t="s">
        <v>165</v>
      </c>
      <c r="M1606" s="380">
        <v>2400</v>
      </c>
      <c r="N1606" s="380"/>
      <c r="O1606" s="380"/>
      <c r="P1606" s="380"/>
      <c r="Q1606" s="381">
        <v>510</v>
      </c>
      <c r="R1606" s="381"/>
      <c r="S1606" s="381"/>
      <c r="T1606" s="381"/>
      <c r="U1606" s="381"/>
      <c r="V1606" s="382">
        <v>510</v>
      </c>
      <c r="W1606" s="382">
        <v>0</v>
      </c>
      <c r="X1606" s="381">
        <v>0.21249999999999999</v>
      </c>
      <c r="Y1606" s="381">
        <v>0</v>
      </c>
      <c r="Z1606" s="381">
        <v>0</v>
      </c>
      <c r="AA1606" s="381">
        <v>0</v>
      </c>
      <c r="AB1606" s="381">
        <v>0</v>
      </c>
      <c r="AC1606" s="382">
        <v>0.21249999999999999</v>
      </c>
      <c r="AD1606" s="382">
        <v>0</v>
      </c>
      <c r="AE1606" s="381" t="s">
        <v>168</v>
      </c>
    </row>
    <row r="1607" spans="1:31" ht="15" customHeight="1" x14ac:dyDescent="0.25">
      <c r="A1607" s="20" t="s">
        <v>156</v>
      </c>
      <c r="B1607" s="20" t="s">
        <v>2056</v>
      </c>
      <c r="C1607" s="20" t="s">
        <v>2057</v>
      </c>
      <c r="D1607" s="378" t="s">
        <v>2248</v>
      </c>
      <c r="E1607" s="379">
        <v>44620</v>
      </c>
      <c r="F1607" s="379">
        <v>46446</v>
      </c>
      <c r="G1607" s="378" t="s">
        <v>173</v>
      </c>
      <c r="H1607" s="20" t="s">
        <v>393</v>
      </c>
      <c r="I1607" s="20"/>
      <c r="J1607" s="20" t="s">
        <v>163</v>
      </c>
      <c r="K1607" s="378" t="s">
        <v>394</v>
      </c>
      <c r="L1607" s="20" t="s">
        <v>165</v>
      </c>
      <c r="M1607" s="380">
        <v>2400</v>
      </c>
      <c r="N1607" s="380"/>
      <c r="O1607" s="380"/>
      <c r="P1607" s="380"/>
      <c r="Q1607" s="381">
        <v>517</v>
      </c>
      <c r="R1607" s="381"/>
      <c r="S1607" s="381"/>
      <c r="T1607" s="381"/>
      <c r="U1607" s="381"/>
      <c r="V1607" s="382">
        <v>517</v>
      </c>
      <c r="W1607" s="382">
        <v>0</v>
      </c>
      <c r="X1607" s="381">
        <v>0.21541666666666667</v>
      </c>
      <c r="Y1607" s="381">
        <v>0</v>
      </c>
      <c r="Z1607" s="381">
        <v>0</v>
      </c>
      <c r="AA1607" s="381">
        <v>0</v>
      </c>
      <c r="AB1607" s="381">
        <v>0</v>
      </c>
      <c r="AC1607" s="382">
        <v>0.21541666666666667</v>
      </c>
      <c r="AD1607" s="382">
        <v>0</v>
      </c>
      <c r="AE1607" s="381" t="s">
        <v>168</v>
      </c>
    </row>
    <row r="1608" spans="1:31" ht="15" customHeight="1" x14ac:dyDescent="0.25">
      <c r="A1608" s="20" t="s">
        <v>156</v>
      </c>
      <c r="B1608" s="20" t="s">
        <v>2056</v>
      </c>
      <c r="C1608" s="20" t="s">
        <v>2057</v>
      </c>
      <c r="D1608" s="378" t="s">
        <v>2249</v>
      </c>
      <c r="E1608" s="379">
        <v>44620</v>
      </c>
      <c r="F1608" s="379">
        <v>46446</v>
      </c>
      <c r="G1608" s="378" t="s">
        <v>173</v>
      </c>
      <c r="H1608" s="20" t="s">
        <v>393</v>
      </c>
      <c r="I1608" s="20"/>
      <c r="J1608" s="20" t="s">
        <v>163</v>
      </c>
      <c r="K1608" s="378" t="s">
        <v>394</v>
      </c>
      <c r="L1608" s="20" t="s">
        <v>165</v>
      </c>
      <c r="M1608" s="380">
        <v>2400</v>
      </c>
      <c r="N1608" s="380"/>
      <c r="O1608" s="380"/>
      <c r="P1608" s="380"/>
      <c r="Q1608" s="381">
        <v>523</v>
      </c>
      <c r="R1608" s="381"/>
      <c r="S1608" s="381"/>
      <c r="T1608" s="381"/>
      <c r="U1608" s="381"/>
      <c r="V1608" s="382">
        <v>523</v>
      </c>
      <c r="W1608" s="382">
        <v>0</v>
      </c>
      <c r="X1608" s="381">
        <v>0.21791666666666668</v>
      </c>
      <c r="Y1608" s="381">
        <v>0</v>
      </c>
      <c r="Z1608" s="381">
        <v>0</v>
      </c>
      <c r="AA1608" s="381">
        <v>0</v>
      </c>
      <c r="AB1608" s="381">
        <v>0</v>
      </c>
      <c r="AC1608" s="382">
        <v>0.21791666666666668</v>
      </c>
      <c r="AD1608" s="382">
        <v>0</v>
      </c>
      <c r="AE1608" s="381" t="s">
        <v>168</v>
      </c>
    </row>
    <row r="1609" spans="1:31" ht="15" customHeight="1" x14ac:dyDescent="0.25">
      <c r="A1609" s="20" t="s">
        <v>156</v>
      </c>
      <c r="B1609" s="20" t="s">
        <v>2056</v>
      </c>
      <c r="C1609" s="20" t="s">
        <v>2057</v>
      </c>
      <c r="D1609" s="378" t="s">
        <v>2250</v>
      </c>
      <c r="E1609" s="379">
        <v>44620</v>
      </c>
      <c r="F1609" s="379">
        <v>46446</v>
      </c>
      <c r="G1609" s="378" t="s">
        <v>173</v>
      </c>
      <c r="H1609" s="20" t="s">
        <v>393</v>
      </c>
      <c r="I1609" s="20"/>
      <c r="J1609" s="20" t="s">
        <v>163</v>
      </c>
      <c r="K1609" s="378" t="s">
        <v>394</v>
      </c>
      <c r="L1609" s="20" t="s">
        <v>165</v>
      </c>
      <c r="M1609" s="380">
        <v>2400</v>
      </c>
      <c r="N1609" s="380"/>
      <c r="O1609" s="380"/>
      <c r="P1609" s="380"/>
      <c r="Q1609" s="381">
        <v>251</v>
      </c>
      <c r="R1609" s="381"/>
      <c r="S1609" s="381"/>
      <c r="T1609" s="381"/>
      <c r="U1609" s="381"/>
      <c r="V1609" s="382">
        <v>251</v>
      </c>
      <c r="W1609" s="382">
        <v>0</v>
      </c>
      <c r="X1609" s="381">
        <v>0.10458333333333333</v>
      </c>
      <c r="Y1609" s="381">
        <v>0</v>
      </c>
      <c r="Z1609" s="381">
        <v>0</v>
      </c>
      <c r="AA1609" s="381">
        <v>0</v>
      </c>
      <c r="AB1609" s="381">
        <v>0</v>
      </c>
      <c r="AC1609" s="382">
        <v>0.10458333333333333</v>
      </c>
      <c r="AD1609" s="382">
        <v>0</v>
      </c>
      <c r="AE1609" s="381" t="s">
        <v>168</v>
      </c>
    </row>
    <row r="1610" spans="1:31" ht="15" customHeight="1" x14ac:dyDescent="0.25">
      <c r="A1610" s="20" t="s">
        <v>156</v>
      </c>
      <c r="B1610" s="20" t="s">
        <v>2056</v>
      </c>
      <c r="C1610" s="20" t="s">
        <v>2057</v>
      </c>
      <c r="D1610" s="378" t="s">
        <v>2251</v>
      </c>
      <c r="E1610" s="379">
        <v>44620</v>
      </c>
      <c r="F1610" s="379">
        <v>46446</v>
      </c>
      <c r="G1610" s="378" t="s">
        <v>173</v>
      </c>
      <c r="H1610" s="20" t="s">
        <v>393</v>
      </c>
      <c r="I1610" s="20"/>
      <c r="J1610" s="20" t="s">
        <v>163</v>
      </c>
      <c r="K1610" s="378" t="s">
        <v>394</v>
      </c>
      <c r="L1610" s="20" t="s">
        <v>165</v>
      </c>
      <c r="M1610" s="380">
        <v>2400</v>
      </c>
      <c r="N1610" s="380"/>
      <c r="O1610" s="380"/>
      <c r="P1610" s="380"/>
      <c r="Q1610" s="381">
        <v>275</v>
      </c>
      <c r="R1610" s="381"/>
      <c r="S1610" s="381"/>
      <c r="T1610" s="381"/>
      <c r="U1610" s="381"/>
      <c r="V1610" s="382">
        <v>275</v>
      </c>
      <c r="W1610" s="382">
        <v>0</v>
      </c>
      <c r="X1610" s="381">
        <v>0.11458333333333333</v>
      </c>
      <c r="Y1610" s="381">
        <v>0</v>
      </c>
      <c r="Z1610" s="381">
        <v>0</v>
      </c>
      <c r="AA1610" s="381">
        <v>0</v>
      </c>
      <c r="AB1610" s="381">
        <v>0</v>
      </c>
      <c r="AC1610" s="382">
        <v>0.11458333333333333</v>
      </c>
      <c r="AD1610" s="382">
        <v>0</v>
      </c>
      <c r="AE1610" s="381" t="s">
        <v>168</v>
      </c>
    </row>
    <row r="1611" spans="1:31" ht="15" customHeight="1" x14ac:dyDescent="0.25">
      <c r="A1611" s="20" t="s">
        <v>156</v>
      </c>
      <c r="B1611" s="20" t="s">
        <v>2056</v>
      </c>
      <c r="C1611" s="20" t="s">
        <v>2057</v>
      </c>
      <c r="D1611" s="378" t="s">
        <v>2252</v>
      </c>
      <c r="E1611" s="379">
        <v>44620</v>
      </c>
      <c r="F1611" s="379">
        <v>46446</v>
      </c>
      <c r="G1611" s="378" t="s">
        <v>173</v>
      </c>
      <c r="H1611" s="20" t="s">
        <v>393</v>
      </c>
      <c r="I1611" s="20"/>
      <c r="J1611" s="20" t="s">
        <v>163</v>
      </c>
      <c r="K1611" s="378" t="s">
        <v>394</v>
      </c>
      <c r="L1611" s="20" t="s">
        <v>165</v>
      </c>
      <c r="M1611" s="380">
        <v>2400</v>
      </c>
      <c r="N1611" s="380"/>
      <c r="O1611" s="380"/>
      <c r="P1611" s="380"/>
      <c r="Q1611" s="381">
        <v>252</v>
      </c>
      <c r="R1611" s="381"/>
      <c r="S1611" s="381"/>
      <c r="T1611" s="381"/>
      <c r="U1611" s="381"/>
      <c r="V1611" s="382">
        <v>252</v>
      </c>
      <c r="W1611" s="382">
        <v>0</v>
      </c>
      <c r="X1611" s="381">
        <v>0.105</v>
      </c>
      <c r="Y1611" s="381">
        <v>0</v>
      </c>
      <c r="Z1611" s="381">
        <v>0</v>
      </c>
      <c r="AA1611" s="381">
        <v>0</v>
      </c>
      <c r="AB1611" s="381">
        <v>0</v>
      </c>
      <c r="AC1611" s="382">
        <v>0.105</v>
      </c>
      <c r="AD1611" s="382">
        <v>0</v>
      </c>
      <c r="AE1611" s="381" t="s">
        <v>168</v>
      </c>
    </row>
    <row r="1612" spans="1:31" ht="15" customHeight="1" x14ac:dyDescent="0.25">
      <c r="A1612" s="20" t="s">
        <v>156</v>
      </c>
      <c r="B1612" s="20" t="s">
        <v>2056</v>
      </c>
      <c r="C1612" s="20" t="s">
        <v>2057</v>
      </c>
      <c r="D1612" s="378" t="s">
        <v>2253</v>
      </c>
      <c r="E1612" s="379">
        <v>44620</v>
      </c>
      <c r="F1612" s="379">
        <v>46446</v>
      </c>
      <c r="G1612" s="378" t="s">
        <v>173</v>
      </c>
      <c r="H1612" s="20" t="s">
        <v>393</v>
      </c>
      <c r="I1612" s="20"/>
      <c r="J1612" s="20" t="s">
        <v>163</v>
      </c>
      <c r="K1612" s="378" t="s">
        <v>394</v>
      </c>
      <c r="L1612" s="20" t="s">
        <v>165</v>
      </c>
      <c r="M1612" s="380">
        <v>2400</v>
      </c>
      <c r="N1612" s="380"/>
      <c r="O1612" s="380"/>
      <c r="P1612" s="380"/>
      <c r="Q1612" s="381">
        <v>255</v>
      </c>
      <c r="R1612" s="381"/>
      <c r="S1612" s="381"/>
      <c r="T1612" s="381"/>
      <c r="U1612" s="381"/>
      <c r="V1612" s="382">
        <v>255</v>
      </c>
      <c r="W1612" s="382">
        <v>0</v>
      </c>
      <c r="X1612" s="381">
        <v>0.10625</v>
      </c>
      <c r="Y1612" s="381">
        <v>0</v>
      </c>
      <c r="Z1612" s="381">
        <v>0</v>
      </c>
      <c r="AA1612" s="381">
        <v>0</v>
      </c>
      <c r="AB1612" s="381">
        <v>0</v>
      </c>
      <c r="AC1612" s="382">
        <v>0.10625</v>
      </c>
      <c r="AD1612" s="382">
        <v>0</v>
      </c>
      <c r="AE1612" s="381" t="s">
        <v>168</v>
      </c>
    </row>
    <row r="1613" spans="1:31" ht="15" customHeight="1" x14ac:dyDescent="0.25">
      <c r="A1613" s="20" t="s">
        <v>156</v>
      </c>
      <c r="B1613" s="20" t="s">
        <v>2056</v>
      </c>
      <c r="C1613" s="20" t="s">
        <v>2057</v>
      </c>
      <c r="D1613" s="378" t="s">
        <v>2254</v>
      </c>
      <c r="E1613" s="379">
        <v>44620</v>
      </c>
      <c r="F1613" s="379">
        <v>46446</v>
      </c>
      <c r="G1613" s="378" t="s">
        <v>173</v>
      </c>
      <c r="H1613" s="20" t="s">
        <v>393</v>
      </c>
      <c r="I1613" s="20"/>
      <c r="J1613" s="20" t="s">
        <v>163</v>
      </c>
      <c r="K1613" s="378" t="s">
        <v>394</v>
      </c>
      <c r="L1613" s="20" t="s">
        <v>165</v>
      </c>
      <c r="M1613" s="380">
        <v>2400</v>
      </c>
      <c r="N1613" s="380"/>
      <c r="O1613" s="380"/>
      <c r="P1613" s="380"/>
      <c r="Q1613" s="381">
        <v>259</v>
      </c>
      <c r="R1613" s="381"/>
      <c r="S1613" s="381"/>
      <c r="T1613" s="381"/>
      <c r="U1613" s="381"/>
      <c r="V1613" s="382">
        <v>259</v>
      </c>
      <c r="W1613" s="382">
        <v>0</v>
      </c>
      <c r="X1613" s="381">
        <v>0.10791666666666666</v>
      </c>
      <c r="Y1613" s="381">
        <v>0</v>
      </c>
      <c r="Z1613" s="381">
        <v>0</v>
      </c>
      <c r="AA1613" s="381">
        <v>0</v>
      </c>
      <c r="AB1613" s="381">
        <v>0</v>
      </c>
      <c r="AC1613" s="382">
        <v>0.10791666666666666</v>
      </c>
      <c r="AD1613" s="382">
        <v>0</v>
      </c>
      <c r="AE1613" s="381" t="s">
        <v>168</v>
      </c>
    </row>
    <row r="1614" spans="1:31" ht="15" customHeight="1" x14ac:dyDescent="0.25">
      <c r="A1614" s="20" t="s">
        <v>156</v>
      </c>
      <c r="B1614" s="20" t="s">
        <v>2056</v>
      </c>
      <c r="C1614" s="20" t="s">
        <v>2057</v>
      </c>
      <c r="D1614" s="378" t="s">
        <v>2255</v>
      </c>
      <c r="E1614" s="379">
        <v>44620</v>
      </c>
      <c r="F1614" s="379">
        <v>46446</v>
      </c>
      <c r="G1614" s="378" t="s">
        <v>173</v>
      </c>
      <c r="H1614" s="20" t="s">
        <v>393</v>
      </c>
      <c r="I1614" s="20"/>
      <c r="J1614" s="20" t="s">
        <v>163</v>
      </c>
      <c r="K1614" s="378" t="s">
        <v>394</v>
      </c>
      <c r="L1614" s="20" t="s">
        <v>165</v>
      </c>
      <c r="M1614" s="380">
        <v>2400</v>
      </c>
      <c r="N1614" s="380"/>
      <c r="O1614" s="380"/>
      <c r="P1614" s="380"/>
      <c r="Q1614" s="381">
        <v>271</v>
      </c>
      <c r="R1614" s="381"/>
      <c r="S1614" s="381"/>
      <c r="T1614" s="381"/>
      <c r="U1614" s="381"/>
      <c r="V1614" s="382">
        <v>271</v>
      </c>
      <c r="W1614" s="382">
        <v>0</v>
      </c>
      <c r="X1614" s="381">
        <v>0.11291666666666667</v>
      </c>
      <c r="Y1614" s="381">
        <v>0</v>
      </c>
      <c r="Z1614" s="381">
        <v>0</v>
      </c>
      <c r="AA1614" s="381">
        <v>0</v>
      </c>
      <c r="AB1614" s="381">
        <v>0</v>
      </c>
      <c r="AC1614" s="382">
        <v>0.11291666666666667</v>
      </c>
      <c r="AD1614" s="382">
        <v>0</v>
      </c>
      <c r="AE1614" s="381" t="s">
        <v>168</v>
      </c>
    </row>
    <row r="1615" spans="1:31" ht="15" customHeight="1" x14ac:dyDescent="0.25">
      <c r="A1615" s="20" t="s">
        <v>156</v>
      </c>
      <c r="B1615" s="20" t="s">
        <v>2056</v>
      </c>
      <c r="C1615" s="20" t="s">
        <v>2057</v>
      </c>
      <c r="D1615" s="378" t="s">
        <v>2256</v>
      </c>
      <c r="E1615" s="379">
        <v>44620</v>
      </c>
      <c r="F1615" s="379">
        <v>46446</v>
      </c>
      <c r="G1615" s="378" t="s">
        <v>173</v>
      </c>
      <c r="H1615" s="20" t="s">
        <v>393</v>
      </c>
      <c r="I1615" s="20"/>
      <c r="J1615" s="20" t="s">
        <v>163</v>
      </c>
      <c r="K1615" s="378" t="s">
        <v>394</v>
      </c>
      <c r="L1615" s="20" t="s">
        <v>165</v>
      </c>
      <c r="M1615" s="380">
        <v>2400</v>
      </c>
      <c r="N1615" s="380"/>
      <c r="O1615" s="380"/>
      <c r="P1615" s="380"/>
      <c r="Q1615" s="381">
        <v>517</v>
      </c>
      <c r="R1615" s="381"/>
      <c r="S1615" s="381"/>
      <c r="T1615" s="381"/>
      <c r="U1615" s="381"/>
      <c r="V1615" s="382">
        <v>517</v>
      </c>
      <c r="W1615" s="382">
        <v>0</v>
      </c>
      <c r="X1615" s="381">
        <v>0.21541666666666667</v>
      </c>
      <c r="Y1615" s="381">
        <v>0</v>
      </c>
      <c r="Z1615" s="381">
        <v>0</v>
      </c>
      <c r="AA1615" s="381">
        <v>0</v>
      </c>
      <c r="AB1615" s="381">
        <v>0</v>
      </c>
      <c r="AC1615" s="382">
        <v>0.21541666666666667</v>
      </c>
      <c r="AD1615" s="382">
        <v>0</v>
      </c>
      <c r="AE1615" s="381" t="s">
        <v>168</v>
      </c>
    </row>
    <row r="1616" spans="1:31" ht="15" customHeight="1" x14ac:dyDescent="0.25">
      <c r="A1616" s="20" t="s">
        <v>156</v>
      </c>
      <c r="B1616" s="20" t="s">
        <v>2056</v>
      </c>
      <c r="C1616" s="20" t="s">
        <v>2057</v>
      </c>
      <c r="D1616" s="378" t="s">
        <v>2257</v>
      </c>
      <c r="E1616" s="379">
        <v>44620</v>
      </c>
      <c r="F1616" s="379">
        <v>46446</v>
      </c>
      <c r="G1616" s="378" t="s">
        <v>173</v>
      </c>
      <c r="H1616" s="20" t="s">
        <v>393</v>
      </c>
      <c r="I1616" s="20"/>
      <c r="J1616" s="20" t="s">
        <v>163</v>
      </c>
      <c r="K1616" s="378" t="s">
        <v>394</v>
      </c>
      <c r="L1616" s="20" t="s">
        <v>165</v>
      </c>
      <c r="M1616" s="380">
        <v>2400</v>
      </c>
      <c r="N1616" s="380"/>
      <c r="O1616" s="380"/>
      <c r="P1616" s="380"/>
      <c r="Q1616" s="381">
        <v>521</v>
      </c>
      <c r="R1616" s="381"/>
      <c r="S1616" s="381"/>
      <c r="T1616" s="381"/>
      <c r="U1616" s="381"/>
      <c r="V1616" s="382">
        <v>521</v>
      </c>
      <c r="W1616" s="382">
        <v>0</v>
      </c>
      <c r="X1616" s="381">
        <v>0.21708333333333332</v>
      </c>
      <c r="Y1616" s="381">
        <v>0</v>
      </c>
      <c r="Z1616" s="381">
        <v>0</v>
      </c>
      <c r="AA1616" s="381">
        <v>0</v>
      </c>
      <c r="AB1616" s="381">
        <v>0</v>
      </c>
      <c r="AC1616" s="382">
        <v>0.21708333333333332</v>
      </c>
      <c r="AD1616" s="382">
        <v>0</v>
      </c>
      <c r="AE1616" s="381" t="s">
        <v>168</v>
      </c>
    </row>
    <row r="1617" spans="1:31" ht="15" customHeight="1" x14ac:dyDescent="0.25">
      <c r="A1617" s="20" t="s">
        <v>156</v>
      </c>
      <c r="B1617" s="20" t="s">
        <v>2056</v>
      </c>
      <c r="C1617" s="20" t="s">
        <v>2057</v>
      </c>
      <c r="D1617" s="378" t="s">
        <v>2258</v>
      </c>
      <c r="E1617" s="379">
        <v>44620</v>
      </c>
      <c r="F1617" s="379">
        <v>46446</v>
      </c>
      <c r="G1617" s="378" t="s">
        <v>173</v>
      </c>
      <c r="H1617" s="20" t="s">
        <v>393</v>
      </c>
      <c r="I1617" s="20"/>
      <c r="J1617" s="20" t="s">
        <v>163</v>
      </c>
      <c r="K1617" s="378" t="s">
        <v>394</v>
      </c>
      <c r="L1617" s="20" t="s">
        <v>165</v>
      </c>
      <c r="M1617" s="380">
        <v>2400</v>
      </c>
      <c r="N1617" s="380"/>
      <c r="O1617" s="380"/>
      <c r="P1617" s="380"/>
      <c r="Q1617" s="381">
        <v>514</v>
      </c>
      <c r="R1617" s="381"/>
      <c r="S1617" s="381"/>
      <c r="T1617" s="381"/>
      <c r="U1617" s="381"/>
      <c r="V1617" s="382">
        <v>514</v>
      </c>
      <c r="W1617" s="382">
        <v>0</v>
      </c>
      <c r="X1617" s="381">
        <v>0.21416666666666667</v>
      </c>
      <c r="Y1617" s="381">
        <v>0</v>
      </c>
      <c r="Z1617" s="381">
        <v>0</v>
      </c>
      <c r="AA1617" s="381">
        <v>0</v>
      </c>
      <c r="AB1617" s="381">
        <v>0</v>
      </c>
      <c r="AC1617" s="382">
        <v>0.21416666666666667</v>
      </c>
      <c r="AD1617" s="382">
        <v>0</v>
      </c>
      <c r="AE1617" s="381" t="s">
        <v>168</v>
      </c>
    </row>
    <row r="1618" spans="1:31" ht="15" customHeight="1" x14ac:dyDescent="0.25">
      <c r="A1618" s="20" t="s">
        <v>156</v>
      </c>
      <c r="B1618" s="20" t="s">
        <v>2056</v>
      </c>
      <c r="C1618" s="20" t="s">
        <v>2057</v>
      </c>
      <c r="D1618" s="378" t="s">
        <v>2259</v>
      </c>
      <c r="E1618" s="379">
        <v>44620</v>
      </c>
      <c r="F1618" s="379">
        <v>46446</v>
      </c>
      <c r="G1618" s="378" t="s">
        <v>173</v>
      </c>
      <c r="H1618" s="20" t="s">
        <v>393</v>
      </c>
      <c r="I1618" s="20"/>
      <c r="J1618" s="20" t="s">
        <v>163</v>
      </c>
      <c r="K1618" s="378" t="s">
        <v>394</v>
      </c>
      <c r="L1618" s="20" t="s">
        <v>165</v>
      </c>
      <c r="M1618" s="380">
        <v>2400</v>
      </c>
      <c r="N1618" s="380"/>
      <c r="O1618" s="380"/>
      <c r="P1618" s="380"/>
      <c r="Q1618" s="381">
        <v>518</v>
      </c>
      <c r="R1618" s="381"/>
      <c r="S1618" s="381"/>
      <c r="T1618" s="381"/>
      <c r="U1618" s="381"/>
      <c r="V1618" s="382">
        <v>518</v>
      </c>
      <c r="W1618" s="382">
        <v>0</v>
      </c>
      <c r="X1618" s="381">
        <v>0.21583333333333332</v>
      </c>
      <c r="Y1618" s="381">
        <v>0</v>
      </c>
      <c r="Z1618" s="381">
        <v>0</v>
      </c>
      <c r="AA1618" s="381">
        <v>0</v>
      </c>
      <c r="AB1618" s="381">
        <v>0</v>
      </c>
      <c r="AC1618" s="382">
        <v>0.21583333333333332</v>
      </c>
      <c r="AD1618" s="382">
        <v>0</v>
      </c>
      <c r="AE1618" s="381" t="s">
        <v>168</v>
      </c>
    </row>
    <row r="1619" spans="1:31" ht="15" customHeight="1" x14ac:dyDescent="0.25">
      <c r="A1619" s="20" t="s">
        <v>156</v>
      </c>
      <c r="B1619" s="20" t="s">
        <v>2056</v>
      </c>
      <c r="C1619" s="20" t="s">
        <v>2057</v>
      </c>
      <c r="D1619" s="378" t="s">
        <v>2260</v>
      </c>
      <c r="E1619" s="379">
        <v>44620</v>
      </c>
      <c r="F1619" s="379">
        <v>46446</v>
      </c>
      <c r="G1619" s="378" t="s">
        <v>173</v>
      </c>
      <c r="H1619" s="20" t="s">
        <v>393</v>
      </c>
      <c r="I1619" s="20"/>
      <c r="J1619" s="20" t="s">
        <v>163</v>
      </c>
      <c r="K1619" s="378" t="s">
        <v>394</v>
      </c>
      <c r="L1619" s="20" t="s">
        <v>165</v>
      </c>
      <c r="M1619" s="380">
        <v>2400</v>
      </c>
      <c r="N1619" s="380"/>
      <c r="O1619" s="380"/>
      <c r="P1619" s="380"/>
      <c r="Q1619" s="381">
        <v>519</v>
      </c>
      <c r="R1619" s="381"/>
      <c r="S1619" s="381"/>
      <c r="T1619" s="381"/>
      <c r="U1619" s="381"/>
      <c r="V1619" s="382">
        <v>519</v>
      </c>
      <c r="W1619" s="382">
        <v>0</v>
      </c>
      <c r="X1619" s="381">
        <v>0.21625</v>
      </c>
      <c r="Y1619" s="381">
        <v>0</v>
      </c>
      <c r="Z1619" s="381">
        <v>0</v>
      </c>
      <c r="AA1619" s="381">
        <v>0</v>
      </c>
      <c r="AB1619" s="381">
        <v>0</v>
      </c>
      <c r="AC1619" s="382">
        <v>0.21625</v>
      </c>
      <c r="AD1619" s="382">
        <v>0</v>
      </c>
      <c r="AE1619" s="381" t="s">
        <v>168</v>
      </c>
    </row>
    <row r="1620" spans="1:31" ht="15" customHeight="1" x14ac:dyDescent="0.25">
      <c r="A1620" s="20" t="s">
        <v>156</v>
      </c>
      <c r="B1620" s="20" t="s">
        <v>2056</v>
      </c>
      <c r="C1620" s="20" t="s">
        <v>2057</v>
      </c>
      <c r="D1620" s="378" t="s">
        <v>2261</v>
      </c>
      <c r="E1620" s="379">
        <v>44620</v>
      </c>
      <c r="F1620" s="379">
        <v>46446</v>
      </c>
      <c r="G1620" s="378" t="s">
        <v>173</v>
      </c>
      <c r="H1620" s="20" t="s">
        <v>393</v>
      </c>
      <c r="I1620" s="20"/>
      <c r="J1620" s="20" t="s">
        <v>163</v>
      </c>
      <c r="K1620" s="378" t="s">
        <v>394</v>
      </c>
      <c r="L1620" s="20" t="s">
        <v>165</v>
      </c>
      <c r="M1620" s="380">
        <v>2400</v>
      </c>
      <c r="N1620" s="380"/>
      <c r="O1620" s="380"/>
      <c r="P1620" s="380"/>
      <c r="Q1620" s="381">
        <v>421</v>
      </c>
      <c r="R1620" s="381"/>
      <c r="S1620" s="381"/>
      <c r="T1620" s="381"/>
      <c r="U1620" s="381"/>
      <c r="V1620" s="382">
        <v>421</v>
      </c>
      <c r="W1620" s="382">
        <v>0</v>
      </c>
      <c r="X1620" s="381">
        <v>0.17541666666666667</v>
      </c>
      <c r="Y1620" s="381">
        <v>0</v>
      </c>
      <c r="Z1620" s="381">
        <v>0</v>
      </c>
      <c r="AA1620" s="381">
        <v>0</v>
      </c>
      <c r="AB1620" s="381">
        <v>0</v>
      </c>
      <c r="AC1620" s="382">
        <v>0.17541666666666667</v>
      </c>
      <c r="AD1620" s="382">
        <v>0</v>
      </c>
      <c r="AE1620" s="381" t="s">
        <v>168</v>
      </c>
    </row>
    <row r="1621" spans="1:31" ht="15" customHeight="1" x14ac:dyDescent="0.25">
      <c r="A1621" s="20" t="s">
        <v>156</v>
      </c>
      <c r="B1621" s="20" t="s">
        <v>2056</v>
      </c>
      <c r="C1621" s="20" t="s">
        <v>2057</v>
      </c>
      <c r="D1621" s="378" t="s">
        <v>2262</v>
      </c>
      <c r="E1621" s="379">
        <v>44620</v>
      </c>
      <c r="F1621" s="379">
        <v>46446</v>
      </c>
      <c r="G1621" s="378" t="s">
        <v>173</v>
      </c>
      <c r="H1621" s="20" t="s">
        <v>393</v>
      </c>
      <c r="I1621" s="20"/>
      <c r="J1621" s="20" t="s">
        <v>163</v>
      </c>
      <c r="K1621" s="378" t="s">
        <v>394</v>
      </c>
      <c r="L1621" s="20" t="s">
        <v>165</v>
      </c>
      <c r="M1621" s="380">
        <v>2400</v>
      </c>
      <c r="N1621" s="380"/>
      <c r="O1621" s="380"/>
      <c r="P1621" s="380"/>
      <c r="Q1621" s="381">
        <v>478</v>
      </c>
      <c r="R1621" s="381"/>
      <c r="S1621" s="381"/>
      <c r="T1621" s="381"/>
      <c r="U1621" s="381"/>
      <c r="V1621" s="382">
        <v>478</v>
      </c>
      <c r="W1621" s="382">
        <v>0</v>
      </c>
      <c r="X1621" s="381">
        <v>0.19916666666666666</v>
      </c>
      <c r="Y1621" s="381">
        <v>0</v>
      </c>
      <c r="Z1621" s="381">
        <v>0</v>
      </c>
      <c r="AA1621" s="381">
        <v>0</v>
      </c>
      <c r="AB1621" s="381">
        <v>0</v>
      </c>
      <c r="AC1621" s="382">
        <v>0.19916666666666666</v>
      </c>
      <c r="AD1621" s="382">
        <v>0</v>
      </c>
      <c r="AE1621" s="381" t="s">
        <v>168</v>
      </c>
    </row>
    <row r="1622" spans="1:31" ht="15" customHeight="1" x14ac:dyDescent="0.25">
      <c r="A1622" s="20" t="s">
        <v>156</v>
      </c>
      <c r="B1622" s="20" t="s">
        <v>2056</v>
      </c>
      <c r="C1622" s="20" t="s">
        <v>2057</v>
      </c>
      <c r="D1622" s="378" t="s">
        <v>2263</v>
      </c>
      <c r="E1622" s="379">
        <v>44620</v>
      </c>
      <c r="F1622" s="379">
        <v>46446</v>
      </c>
      <c r="G1622" s="378" t="s">
        <v>396</v>
      </c>
      <c r="H1622" s="20" t="s">
        <v>393</v>
      </c>
      <c r="I1622" s="20"/>
      <c r="J1622" s="20" t="s">
        <v>163</v>
      </c>
      <c r="K1622" s="378" t="s">
        <v>397</v>
      </c>
      <c r="L1622" s="20" t="s">
        <v>165</v>
      </c>
      <c r="M1622" s="380">
        <v>2400</v>
      </c>
      <c r="N1622" s="380"/>
      <c r="O1622" s="380"/>
      <c r="P1622" s="380"/>
      <c r="Q1622" s="381">
        <v>272</v>
      </c>
      <c r="R1622" s="381"/>
      <c r="S1622" s="381"/>
      <c r="T1622" s="381"/>
      <c r="U1622" s="381"/>
      <c r="V1622" s="382">
        <v>272</v>
      </c>
      <c r="W1622" s="382">
        <v>0</v>
      </c>
      <c r="X1622" s="381">
        <v>0.11333333333333333</v>
      </c>
      <c r="Y1622" s="381">
        <v>0</v>
      </c>
      <c r="Z1622" s="381">
        <v>0</v>
      </c>
      <c r="AA1622" s="381">
        <v>0</v>
      </c>
      <c r="AB1622" s="381">
        <v>0</v>
      </c>
      <c r="AC1622" s="382">
        <v>0.11333333333333333</v>
      </c>
      <c r="AD1622" s="382">
        <v>0</v>
      </c>
      <c r="AE1622" s="381" t="s">
        <v>168</v>
      </c>
    </row>
    <row r="1623" spans="1:31" ht="15" customHeight="1" x14ac:dyDescent="0.25">
      <c r="A1623" s="20" t="s">
        <v>156</v>
      </c>
      <c r="B1623" s="20" t="s">
        <v>2056</v>
      </c>
      <c r="C1623" s="20" t="s">
        <v>2057</v>
      </c>
      <c r="D1623" s="378" t="s">
        <v>2264</v>
      </c>
      <c r="E1623" s="379">
        <v>44620</v>
      </c>
      <c r="F1623" s="379">
        <v>46446</v>
      </c>
      <c r="G1623" s="378" t="s">
        <v>396</v>
      </c>
      <c r="H1623" s="20" t="s">
        <v>393</v>
      </c>
      <c r="I1623" s="20"/>
      <c r="J1623" s="20" t="s">
        <v>163</v>
      </c>
      <c r="K1623" s="378" t="s">
        <v>397</v>
      </c>
      <c r="L1623" s="20" t="s">
        <v>165</v>
      </c>
      <c r="M1623" s="380">
        <v>2400</v>
      </c>
      <c r="N1623" s="380"/>
      <c r="O1623" s="380"/>
      <c r="P1623" s="380"/>
      <c r="Q1623" s="381">
        <v>314</v>
      </c>
      <c r="R1623" s="381"/>
      <c r="S1623" s="381"/>
      <c r="T1623" s="381"/>
      <c r="U1623" s="381"/>
      <c r="V1623" s="382">
        <v>314</v>
      </c>
      <c r="W1623" s="382">
        <v>0</v>
      </c>
      <c r="X1623" s="381">
        <v>0.13083333333333333</v>
      </c>
      <c r="Y1623" s="381">
        <v>0</v>
      </c>
      <c r="Z1623" s="381">
        <v>0</v>
      </c>
      <c r="AA1623" s="381">
        <v>0</v>
      </c>
      <c r="AB1623" s="381">
        <v>0</v>
      </c>
      <c r="AC1623" s="382">
        <v>0.13083333333333333</v>
      </c>
      <c r="AD1623" s="382">
        <v>0</v>
      </c>
      <c r="AE1623" s="381" t="s">
        <v>168</v>
      </c>
    </row>
    <row r="1624" spans="1:31" ht="15" customHeight="1" x14ac:dyDescent="0.25">
      <c r="A1624" s="20" t="s">
        <v>156</v>
      </c>
      <c r="B1624" s="20" t="s">
        <v>2056</v>
      </c>
      <c r="C1624" s="20" t="s">
        <v>2057</v>
      </c>
      <c r="D1624" s="378" t="s">
        <v>2265</v>
      </c>
      <c r="E1624" s="379">
        <v>44620</v>
      </c>
      <c r="F1624" s="379">
        <v>46446</v>
      </c>
      <c r="G1624" s="378" t="s">
        <v>396</v>
      </c>
      <c r="H1624" s="20" t="s">
        <v>393</v>
      </c>
      <c r="I1624" s="20"/>
      <c r="J1624" s="20" t="s">
        <v>163</v>
      </c>
      <c r="K1624" s="378" t="s">
        <v>397</v>
      </c>
      <c r="L1624" s="20" t="s">
        <v>165</v>
      </c>
      <c r="M1624" s="380">
        <v>2400</v>
      </c>
      <c r="N1624" s="380"/>
      <c r="O1624" s="380"/>
      <c r="P1624" s="380"/>
      <c r="Q1624" s="381">
        <v>395</v>
      </c>
      <c r="R1624" s="381"/>
      <c r="S1624" s="381"/>
      <c r="T1624" s="381"/>
      <c r="U1624" s="381"/>
      <c r="V1624" s="382">
        <v>395</v>
      </c>
      <c r="W1624" s="382">
        <v>0</v>
      </c>
      <c r="X1624" s="381">
        <v>0.16458333333333333</v>
      </c>
      <c r="Y1624" s="381">
        <v>0</v>
      </c>
      <c r="Z1624" s="381">
        <v>0</v>
      </c>
      <c r="AA1624" s="381">
        <v>0</v>
      </c>
      <c r="AB1624" s="381">
        <v>0</v>
      </c>
      <c r="AC1624" s="382">
        <v>0.16458333333333333</v>
      </c>
      <c r="AD1624" s="382">
        <v>0</v>
      </c>
      <c r="AE1624" s="381" t="s">
        <v>168</v>
      </c>
    </row>
    <row r="1625" spans="1:31" ht="15" customHeight="1" x14ac:dyDescent="0.25">
      <c r="A1625" s="20" t="s">
        <v>156</v>
      </c>
      <c r="B1625" s="20" t="s">
        <v>2056</v>
      </c>
      <c r="C1625" s="20" t="s">
        <v>2057</v>
      </c>
      <c r="D1625" s="378" t="s">
        <v>2266</v>
      </c>
      <c r="E1625" s="379">
        <v>44620</v>
      </c>
      <c r="F1625" s="379">
        <v>46446</v>
      </c>
      <c r="G1625" s="378" t="s">
        <v>396</v>
      </c>
      <c r="H1625" s="20" t="s">
        <v>393</v>
      </c>
      <c r="I1625" s="20"/>
      <c r="J1625" s="20" t="s">
        <v>163</v>
      </c>
      <c r="K1625" s="378" t="s">
        <v>397</v>
      </c>
      <c r="L1625" s="20" t="s">
        <v>165</v>
      </c>
      <c r="M1625" s="380">
        <v>2400</v>
      </c>
      <c r="N1625" s="380"/>
      <c r="O1625" s="380"/>
      <c r="P1625" s="380"/>
      <c r="Q1625" s="381">
        <v>326</v>
      </c>
      <c r="R1625" s="381"/>
      <c r="S1625" s="381"/>
      <c r="T1625" s="381"/>
      <c r="U1625" s="381"/>
      <c r="V1625" s="382">
        <v>326</v>
      </c>
      <c r="W1625" s="382">
        <v>0</v>
      </c>
      <c r="X1625" s="381">
        <v>0.13583333333333333</v>
      </c>
      <c r="Y1625" s="381">
        <v>0</v>
      </c>
      <c r="Z1625" s="381">
        <v>0</v>
      </c>
      <c r="AA1625" s="381">
        <v>0</v>
      </c>
      <c r="AB1625" s="381">
        <v>0</v>
      </c>
      <c r="AC1625" s="382">
        <v>0.13583333333333333</v>
      </c>
      <c r="AD1625" s="382">
        <v>0</v>
      </c>
      <c r="AE1625" s="381" t="s">
        <v>168</v>
      </c>
    </row>
    <row r="1626" spans="1:31" ht="15" customHeight="1" x14ac:dyDescent="0.25">
      <c r="A1626" s="20" t="s">
        <v>156</v>
      </c>
      <c r="B1626" s="20" t="s">
        <v>2056</v>
      </c>
      <c r="C1626" s="20" t="s">
        <v>2057</v>
      </c>
      <c r="D1626" s="378" t="s">
        <v>2267</v>
      </c>
      <c r="E1626" s="379">
        <v>44620</v>
      </c>
      <c r="F1626" s="379">
        <v>46446</v>
      </c>
      <c r="G1626" s="378" t="s">
        <v>396</v>
      </c>
      <c r="H1626" s="20" t="s">
        <v>393</v>
      </c>
      <c r="I1626" s="20"/>
      <c r="J1626" s="20" t="s">
        <v>163</v>
      </c>
      <c r="K1626" s="378" t="s">
        <v>397</v>
      </c>
      <c r="L1626" s="20" t="s">
        <v>165</v>
      </c>
      <c r="M1626" s="380">
        <v>2400</v>
      </c>
      <c r="N1626" s="380"/>
      <c r="O1626" s="380"/>
      <c r="P1626" s="380"/>
      <c r="Q1626" s="381">
        <v>348</v>
      </c>
      <c r="R1626" s="381"/>
      <c r="S1626" s="381"/>
      <c r="T1626" s="381"/>
      <c r="U1626" s="381"/>
      <c r="V1626" s="382">
        <v>348</v>
      </c>
      <c r="W1626" s="382">
        <v>0</v>
      </c>
      <c r="X1626" s="381">
        <v>0.14499999999999999</v>
      </c>
      <c r="Y1626" s="381">
        <v>0</v>
      </c>
      <c r="Z1626" s="381">
        <v>0</v>
      </c>
      <c r="AA1626" s="381">
        <v>0</v>
      </c>
      <c r="AB1626" s="381">
        <v>0</v>
      </c>
      <c r="AC1626" s="382">
        <v>0.14499999999999999</v>
      </c>
      <c r="AD1626" s="382">
        <v>0</v>
      </c>
      <c r="AE1626" s="381" t="s">
        <v>168</v>
      </c>
    </row>
    <row r="1627" spans="1:31" ht="15" customHeight="1" x14ac:dyDescent="0.25">
      <c r="A1627" s="20" t="s">
        <v>156</v>
      </c>
      <c r="B1627" s="20" t="s">
        <v>2056</v>
      </c>
      <c r="C1627" s="20" t="s">
        <v>2057</v>
      </c>
      <c r="D1627" s="378" t="s">
        <v>2268</v>
      </c>
      <c r="E1627" s="379">
        <v>44620</v>
      </c>
      <c r="F1627" s="379">
        <v>46446</v>
      </c>
      <c r="G1627" s="378" t="s">
        <v>396</v>
      </c>
      <c r="H1627" s="20" t="s">
        <v>393</v>
      </c>
      <c r="I1627" s="20"/>
      <c r="J1627" s="20" t="s">
        <v>163</v>
      </c>
      <c r="K1627" s="378" t="s">
        <v>397</v>
      </c>
      <c r="L1627" s="20" t="s">
        <v>165</v>
      </c>
      <c r="M1627" s="380">
        <v>2400</v>
      </c>
      <c r="N1627" s="380"/>
      <c r="O1627" s="380"/>
      <c r="P1627" s="380"/>
      <c r="Q1627" s="381">
        <v>435</v>
      </c>
      <c r="R1627" s="381"/>
      <c r="S1627" s="381"/>
      <c r="T1627" s="381"/>
      <c r="U1627" s="381"/>
      <c r="V1627" s="382">
        <v>435</v>
      </c>
      <c r="W1627" s="382">
        <v>0</v>
      </c>
      <c r="X1627" s="381">
        <v>0.18124999999999999</v>
      </c>
      <c r="Y1627" s="381">
        <v>0</v>
      </c>
      <c r="Z1627" s="381">
        <v>0</v>
      </c>
      <c r="AA1627" s="381">
        <v>0</v>
      </c>
      <c r="AB1627" s="381">
        <v>0</v>
      </c>
      <c r="AC1627" s="382">
        <v>0.18124999999999999</v>
      </c>
      <c r="AD1627" s="382">
        <v>0</v>
      </c>
      <c r="AE1627" s="381" t="s">
        <v>168</v>
      </c>
    </row>
    <row r="1628" spans="1:31" ht="15" customHeight="1" x14ac:dyDescent="0.25">
      <c r="A1628" s="20" t="s">
        <v>156</v>
      </c>
      <c r="B1628" s="20" t="s">
        <v>2056</v>
      </c>
      <c r="C1628" s="20" t="s">
        <v>2057</v>
      </c>
      <c r="D1628" s="378" t="s">
        <v>2269</v>
      </c>
      <c r="E1628" s="379">
        <v>44620</v>
      </c>
      <c r="F1628" s="379">
        <v>46446</v>
      </c>
      <c r="G1628" s="378" t="s">
        <v>396</v>
      </c>
      <c r="H1628" s="20" t="s">
        <v>393</v>
      </c>
      <c r="I1628" s="20"/>
      <c r="J1628" s="20" t="s">
        <v>163</v>
      </c>
      <c r="K1628" s="378" t="s">
        <v>397</v>
      </c>
      <c r="L1628" s="20" t="s">
        <v>165</v>
      </c>
      <c r="M1628" s="380">
        <v>2400</v>
      </c>
      <c r="N1628" s="380"/>
      <c r="O1628" s="380"/>
      <c r="P1628" s="380"/>
      <c r="Q1628" s="381">
        <v>377</v>
      </c>
      <c r="R1628" s="381"/>
      <c r="S1628" s="381"/>
      <c r="T1628" s="381"/>
      <c r="U1628" s="381"/>
      <c r="V1628" s="382">
        <v>377</v>
      </c>
      <c r="W1628" s="382">
        <v>0</v>
      </c>
      <c r="X1628" s="381">
        <v>0.15708333333333332</v>
      </c>
      <c r="Y1628" s="381">
        <v>0</v>
      </c>
      <c r="Z1628" s="381">
        <v>0</v>
      </c>
      <c r="AA1628" s="381">
        <v>0</v>
      </c>
      <c r="AB1628" s="381">
        <v>0</v>
      </c>
      <c r="AC1628" s="382">
        <v>0.15708333333333332</v>
      </c>
      <c r="AD1628" s="382">
        <v>0</v>
      </c>
      <c r="AE1628" s="381" t="s">
        <v>168</v>
      </c>
    </row>
    <row r="1629" spans="1:31" ht="15" customHeight="1" x14ac:dyDescent="0.25">
      <c r="A1629" s="20" t="s">
        <v>156</v>
      </c>
      <c r="B1629" s="20" t="s">
        <v>2056</v>
      </c>
      <c r="C1629" s="20" t="s">
        <v>2057</v>
      </c>
      <c r="D1629" s="378" t="s">
        <v>2270</v>
      </c>
      <c r="E1629" s="379">
        <v>44620</v>
      </c>
      <c r="F1629" s="379">
        <v>46446</v>
      </c>
      <c r="G1629" s="378" t="s">
        <v>396</v>
      </c>
      <c r="H1629" s="20" t="s">
        <v>393</v>
      </c>
      <c r="I1629" s="20"/>
      <c r="J1629" s="20" t="s">
        <v>163</v>
      </c>
      <c r="K1629" s="378" t="s">
        <v>397</v>
      </c>
      <c r="L1629" s="20" t="s">
        <v>165</v>
      </c>
      <c r="M1629" s="380">
        <v>2400</v>
      </c>
      <c r="N1629" s="380"/>
      <c r="O1629" s="380"/>
      <c r="P1629" s="380"/>
      <c r="Q1629" s="381">
        <v>378</v>
      </c>
      <c r="R1629" s="381"/>
      <c r="S1629" s="381"/>
      <c r="T1629" s="381"/>
      <c r="U1629" s="381"/>
      <c r="V1629" s="382">
        <v>378</v>
      </c>
      <c r="W1629" s="382">
        <v>0</v>
      </c>
      <c r="X1629" s="381">
        <v>0.1575</v>
      </c>
      <c r="Y1629" s="381">
        <v>0</v>
      </c>
      <c r="Z1629" s="381">
        <v>0</v>
      </c>
      <c r="AA1629" s="381">
        <v>0</v>
      </c>
      <c r="AB1629" s="381">
        <v>0</v>
      </c>
      <c r="AC1629" s="382">
        <v>0.1575</v>
      </c>
      <c r="AD1629" s="382">
        <v>0</v>
      </c>
      <c r="AE1629" s="381" t="s">
        <v>168</v>
      </c>
    </row>
    <row r="1630" spans="1:31" ht="15" customHeight="1" x14ac:dyDescent="0.25">
      <c r="A1630" s="20" t="s">
        <v>156</v>
      </c>
      <c r="B1630" s="20" t="s">
        <v>2056</v>
      </c>
      <c r="C1630" s="20" t="s">
        <v>2057</v>
      </c>
      <c r="D1630" s="378" t="s">
        <v>2271</v>
      </c>
      <c r="E1630" s="379">
        <v>44620</v>
      </c>
      <c r="F1630" s="379">
        <v>46446</v>
      </c>
      <c r="G1630" s="378" t="s">
        <v>396</v>
      </c>
      <c r="H1630" s="20" t="s">
        <v>393</v>
      </c>
      <c r="I1630" s="20"/>
      <c r="J1630" s="20" t="s">
        <v>163</v>
      </c>
      <c r="K1630" s="378" t="s">
        <v>397</v>
      </c>
      <c r="L1630" s="20" t="s">
        <v>165</v>
      </c>
      <c r="M1630" s="380">
        <v>2400</v>
      </c>
      <c r="N1630" s="380"/>
      <c r="O1630" s="380"/>
      <c r="P1630" s="380"/>
      <c r="Q1630" s="381">
        <v>250</v>
      </c>
      <c r="R1630" s="381"/>
      <c r="S1630" s="381"/>
      <c r="T1630" s="381"/>
      <c r="U1630" s="381"/>
      <c r="V1630" s="382">
        <v>250</v>
      </c>
      <c r="W1630" s="382">
        <v>0</v>
      </c>
      <c r="X1630" s="381">
        <v>0.10416666666666667</v>
      </c>
      <c r="Y1630" s="381">
        <v>0</v>
      </c>
      <c r="Z1630" s="381">
        <v>0</v>
      </c>
      <c r="AA1630" s="381">
        <v>0</v>
      </c>
      <c r="AB1630" s="381">
        <v>0</v>
      </c>
      <c r="AC1630" s="382">
        <v>0.10416666666666667</v>
      </c>
      <c r="AD1630" s="382">
        <v>0</v>
      </c>
      <c r="AE1630" s="381" t="s">
        <v>168</v>
      </c>
    </row>
    <row r="1631" spans="1:31" ht="15" customHeight="1" x14ac:dyDescent="0.25">
      <c r="A1631" s="20" t="s">
        <v>156</v>
      </c>
      <c r="B1631" s="20" t="s">
        <v>2056</v>
      </c>
      <c r="C1631" s="20" t="s">
        <v>2057</v>
      </c>
      <c r="D1631" s="378" t="s">
        <v>2272</v>
      </c>
      <c r="E1631" s="379">
        <v>44620</v>
      </c>
      <c r="F1631" s="379">
        <v>46446</v>
      </c>
      <c r="G1631" s="378" t="s">
        <v>396</v>
      </c>
      <c r="H1631" s="20" t="s">
        <v>393</v>
      </c>
      <c r="I1631" s="20"/>
      <c r="J1631" s="20" t="s">
        <v>163</v>
      </c>
      <c r="K1631" s="378" t="s">
        <v>397</v>
      </c>
      <c r="L1631" s="20" t="s">
        <v>165</v>
      </c>
      <c r="M1631" s="380">
        <v>2400</v>
      </c>
      <c r="N1631" s="380"/>
      <c r="O1631" s="380"/>
      <c r="P1631" s="380"/>
      <c r="Q1631" s="381">
        <v>405</v>
      </c>
      <c r="R1631" s="381"/>
      <c r="S1631" s="381"/>
      <c r="T1631" s="381"/>
      <c r="U1631" s="381"/>
      <c r="V1631" s="382">
        <v>405</v>
      </c>
      <c r="W1631" s="382">
        <v>0</v>
      </c>
      <c r="X1631" s="381">
        <v>0.16875000000000001</v>
      </c>
      <c r="Y1631" s="381">
        <v>0</v>
      </c>
      <c r="Z1631" s="381">
        <v>0</v>
      </c>
      <c r="AA1631" s="381">
        <v>0</v>
      </c>
      <c r="AB1631" s="381">
        <v>0</v>
      </c>
      <c r="AC1631" s="382">
        <v>0.16875000000000001</v>
      </c>
      <c r="AD1631" s="382">
        <v>0</v>
      </c>
      <c r="AE1631" s="381" t="s">
        <v>168</v>
      </c>
    </row>
    <row r="1632" spans="1:31" ht="15" customHeight="1" x14ac:dyDescent="0.25">
      <c r="A1632" s="20" t="s">
        <v>156</v>
      </c>
      <c r="B1632" s="20" t="s">
        <v>2056</v>
      </c>
      <c r="C1632" s="20" t="s">
        <v>2057</v>
      </c>
      <c r="D1632" s="378" t="s">
        <v>2273</v>
      </c>
      <c r="E1632" s="379">
        <v>44620</v>
      </c>
      <c r="F1632" s="379">
        <v>46446</v>
      </c>
      <c r="G1632" s="378" t="s">
        <v>396</v>
      </c>
      <c r="H1632" s="20" t="s">
        <v>393</v>
      </c>
      <c r="I1632" s="20"/>
      <c r="J1632" s="20" t="s">
        <v>163</v>
      </c>
      <c r="K1632" s="378" t="s">
        <v>397</v>
      </c>
      <c r="L1632" s="20" t="s">
        <v>165</v>
      </c>
      <c r="M1632" s="380">
        <v>2400</v>
      </c>
      <c r="N1632" s="380"/>
      <c r="O1632" s="380"/>
      <c r="P1632" s="380"/>
      <c r="Q1632" s="381">
        <v>251</v>
      </c>
      <c r="R1632" s="381"/>
      <c r="S1632" s="381"/>
      <c r="T1632" s="381"/>
      <c r="U1632" s="381"/>
      <c r="V1632" s="382">
        <v>251</v>
      </c>
      <c r="W1632" s="382">
        <v>0</v>
      </c>
      <c r="X1632" s="381">
        <v>0.10458333333333333</v>
      </c>
      <c r="Y1632" s="381">
        <v>0</v>
      </c>
      <c r="Z1632" s="381">
        <v>0</v>
      </c>
      <c r="AA1632" s="381">
        <v>0</v>
      </c>
      <c r="AB1632" s="381">
        <v>0</v>
      </c>
      <c r="AC1632" s="382">
        <v>0.10458333333333333</v>
      </c>
      <c r="AD1632" s="382">
        <v>0</v>
      </c>
      <c r="AE1632" s="381" t="s">
        <v>168</v>
      </c>
    </row>
    <row r="1633" spans="1:31" ht="15" customHeight="1" x14ac:dyDescent="0.25">
      <c r="A1633" s="20" t="s">
        <v>156</v>
      </c>
      <c r="B1633" s="20" t="s">
        <v>2056</v>
      </c>
      <c r="C1633" s="20" t="s">
        <v>2057</v>
      </c>
      <c r="D1633" s="378" t="s">
        <v>2274</v>
      </c>
      <c r="E1633" s="379">
        <v>44620</v>
      </c>
      <c r="F1633" s="379">
        <v>46446</v>
      </c>
      <c r="G1633" s="378" t="s">
        <v>396</v>
      </c>
      <c r="H1633" s="20" t="s">
        <v>393</v>
      </c>
      <c r="I1633" s="20"/>
      <c r="J1633" s="20" t="s">
        <v>163</v>
      </c>
      <c r="K1633" s="378" t="s">
        <v>397</v>
      </c>
      <c r="L1633" s="20" t="s">
        <v>165</v>
      </c>
      <c r="M1633" s="380">
        <v>2400</v>
      </c>
      <c r="N1633" s="380"/>
      <c r="O1633" s="380"/>
      <c r="P1633" s="380"/>
      <c r="Q1633" s="381">
        <v>287</v>
      </c>
      <c r="R1633" s="381"/>
      <c r="S1633" s="381"/>
      <c r="T1633" s="381"/>
      <c r="U1633" s="381"/>
      <c r="V1633" s="382">
        <v>287</v>
      </c>
      <c r="W1633" s="382">
        <v>0</v>
      </c>
      <c r="X1633" s="381">
        <v>0.11958333333333333</v>
      </c>
      <c r="Y1633" s="381">
        <v>0</v>
      </c>
      <c r="Z1633" s="381">
        <v>0</v>
      </c>
      <c r="AA1633" s="381">
        <v>0</v>
      </c>
      <c r="AB1633" s="381">
        <v>0</v>
      </c>
      <c r="AC1633" s="382">
        <v>0.11958333333333333</v>
      </c>
      <c r="AD1633" s="382">
        <v>0</v>
      </c>
      <c r="AE1633" s="381" t="s">
        <v>168</v>
      </c>
    </row>
    <row r="1634" spans="1:31" ht="15" customHeight="1" x14ac:dyDescent="0.25">
      <c r="A1634" s="20" t="s">
        <v>156</v>
      </c>
      <c r="B1634" s="20" t="s">
        <v>2056</v>
      </c>
      <c r="C1634" s="20" t="s">
        <v>2057</v>
      </c>
      <c r="D1634" s="378" t="s">
        <v>2275</v>
      </c>
      <c r="E1634" s="379">
        <v>44620</v>
      </c>
      <c r="F1634" s="379">
        <v>46446</v>
      </c>
      <c r="G1634" s="378" t="s">
        <v>396</v>
      </c>
      <c r="H1634" s="20" t="s">
        <v>393</v>
      </c>
      <c r="I1634" s="20"/>
      <c r="J1634" s="20" t="s">
        <v>163</v>
      </c>
      <c r="K1634" s="378" t="s">
        <v>397</v>
      </c>
      <c r="L1634" s="20" t="s">
        <v>165</v>
      </c>
      <c r="M1634" s="380">
        <v>2400</v>
      </c>
      <c r="N1634" s="380"/>
      <c r="O1634" s="380"/>
      <c r="P1634" s="380"/>
      <c r="Q1634" s="381">
        <v>323</v>
      </c>
      <c r="R1634" s="381"/>
      <c r="S1634" s="381"/>
      <c r="T1634" s="381"/>
      <c r="U1634" s="381"/>
      <c r="V1634" s="382">
        <v>323</v>
      </c>
      <c r="W1634" s="382">
        <v>0</v>
      </c>
      <c r="X1634" s="381">
        <v>0.13458333333333333</v>
      </c>
      <c r="Y1634" s="381">
        <v>0</v>
      </c>
      <c r="Z1634" s="381">
        <v>0</v>
      </c>
      <c r="AA1634" s="381">
        <v>0</v>
      </c>
      <c r="AB1634" s="381">
        <v>0</v>
      </c>
      <c r="AC1634" s="382">
        <v>0.13458333333333333</v>
      </c>
      <c r="AD1634" s="382">
        <v>0</v>
      </c>
      <c r="AE1634" s="381" t="s">
        <v>168</v>
      </c>
    </row>
    <row r="1635" spans="1:31" ht="15" customHeight="1" x14ac:dyDescent="0.25">
      <c r="A1635" s="20" t="s">
        <v>156</v>
      </c>
      <c r="B1635" s="20" t="s">
        <v>2056</v>
      </c>
      <c r="C1635" s="20" t="s">
        <v>2057</v>
      </c>
      <c r="D1635" s="378" t="s">
        <v>2276</v>
      </c>
      <c r="E1635" s="379">
        <v>44620</v>
      </c>
      <c r="F1635" s="379">
        <v>46446</v>
      </c>
      <c r="G1635" s="378" t="s">
        <v>396</v>
      </c>
      <c r="H1635" s="20" t="s">
        <v>393</v>
      </c>
      <c r="I1635" s="20"/>
      <c r="J1635" s="20" t="s">
        <v>163</v>
      </c>
      <c r="K1635" s="378" t="s">
        <v>397</v>
      </c>
      <c r="L1635" s="20" t="s">
        <v>165</v>
      </c>
      <c r="M1635" s="380">
        <v>2400</v>
      </c>
      <c r="N1635" s="380"/>
      <c r="O1635" s="380"/>
      <c r="P1635" s="380"/>
      <c r="Q1635" s="381">
        <v>391</v>
      </c>
      <c r="R1635" s="381"/>
      <c r="S1635" s="381"/>
      <c r="T1635" s="381"/>
      <c r="U1635" s="381"/>
      <c r="V1635" s="382">
        <v>391</v>
      </c>
      <c r="W1635" s="382">
        <v>0</v>
      </c>
      <c r="X1635" s="381">
        <v>0.16291666666666665</v>
      </c>
      <c r="Y1635" s="381">
        <v>0</v>
      </c>
      <c r="Z1635" s="381">
        <v>0</v>
      </c>
      <c r="AA1635" s="381">
        <v>0</v>
      </c>
      <c r="AB1635" s="381">
        <v>0</v>
      </c>
      <c r="AC1635" s="382">
        <v>0.16291666666666665</v>
      </c>
      <c r="AD1635" s="382">
        <v>0</v>
      </c>
      <c r="AE1635" s="381" t="s">
        <v>168</v>
      </c>
    </row>
    <row r="1636" spans="1:31" ht="15" customHeight="1" x14ac:dyDescent="0.25">
      <c r="A1636" s="20" t="s">
        <v>156</v>
      </c>
      <c r="B1636" s="20" t="s">
        <v>2056</v>
      </c>
      <c r="C1636" s="20" t="s">
        <v>2057</v>
      </c>
      <c r="D1636" s="378" t="s">
        <v>2277</v>
      </c>
      <c r="E1636" s="379">
        <v>44620</v>
      </c>
      <c r="F1636" s="379">
        <v>46446</v>
      </c>
      <c r="G1636" s="378" t="s">
        <v>407</v>
      </c>
      <c r="H1636" s="20" t="s">
        <v>393</v>
      </c>
      <c r="I1636" s="20"/>
      <c r="J1636" s="20" t="s">
        <v>163</v>
      </c>
      <c r="K1636" s="378" t="s">
        <v>397</v>
      </c>
      <c r="L1636" s="20" t="s">
        <v>165</v>
      </c>
      <c r="M1636" s="380">
        <v>2400</v>
      </c>
      <c r="N1636" s="380"/>
      <c r="O1636" s="380"/>
      <c r="P1636" s="380"/>
      <c r="Q1636" s="381">
        <v>393</v>
      </c>
      <c r="R1636" s="381"/>
      <c r="S1636" s="381"/>
      <c r="T1636" s="381"/>
      <c r="U1636" s="381"/>
      <c r="V1636" s="382">
        <v>393</v>
      </c>
      <c r="W1636" s="382">
        <v>0</v>
      </c>
      <c r="X1636" s="381">
        <v>0.16375000000000001</v>
      </c>
      <c r="Y1636" s="381">
        <v>0</v>
      </c>
      <c r="Z1636" s="381">
        <v>0</v>
      </c>
      <c r="AA1636" s="381">
        <v>0</v>
      </c>
      <c r="AB1636" s="381">
        <v>0</v>
      </c>
      <c r="AC1636" s="382">
        <v>0.16375000000000001</v>
      </c>
      <c r="AD1636" s="382">
        <v>0</v>
      </c>
      <c r="AE1636" s="381" t="s">
        <v>168</v>
      </c>
    </row>
    <row r="1637" spans="1:31" ht="15" customHeight="1" x14ac:dyDescent="0.25">
      <c r="A1637" s="20" t="s">
        <v>156</v>
      </c>
      <c r="B1637" s="20" t="s">
        <v>2056</v>
      </c>
      <c r="C1637" s="20" t="s">
        <v>2057</v>
      </c>
      <c r="D1637" s="378" t="s">
        <v>2278</v>
      </c>
      <c r="E1637" s="379">
        <v>44620</v>
      </c>
      <c r="F1637" s="379">
        <v>46446</v>
      </c>
      <c r="G1637" s="378" t="s">
        <v>407</v>
      </c>
      <c r="H1637" s="20" t="s">
        <v>393</v>
      </c>
      <c r="I1637" s="20"/>
      <c r="J1637" s="20" t="s">
        <v>163</v>
      </c>
      <c r="K1637" s="378" t="s">
        <v>397</v>
      </c>
      <c r="L1637" s="20" t="s">
        <v>165</v>
      </c>
      <c r="M1637" s="380">
        <v>2400</v>
      </c>
      <c r="N1637" s="380"/>
      <c r="O1637" s="380"/>
      <c r="P1637" s="380"/>
      <c r="Q1637" s="381">
        <v>446</v>
      </c>
      <c r="R1637" s="381"/>
      <c r="S1637" s="381"/>
      <c r="T1637" s="381"/>
      <c r="U1637" s="381"/>
      <c r="V1637" s="382">
        <v>446</v>
      </c>
      <c r="W1637" s="382">
        <v>0</v>
      </c>
      <c r="X1637" s="381">
        <v>0.18583333333333332</v>
      </c>
      <c r="Y1637" s="381">
        <v>0</v>
      </c>
      <c r="Z1637" s="381">
        <v>0</v>
      </c>
      <c r="AA1637" s="381">
        <v>0</v>
      </c>
      <c r="AB1637" s="381">
        <v>0</v>
      </c>
      <c r="AC1637" s="382">
        <v>0.18583333333333332</v>
      </c>
      <c r="AD1637" s="382">
        <v>0</v>
      </c>
      <c r="AE1637" s="381" t="s">
        <v>168</v>
      </c>
    </row>
    <row r="1638" spans="1:31" ht="15" customHeight="1" x14ac:dyDescent="0.25">
      <c r="A1638" s="20" t="s">
        <v>156</v>
      </c>
      <c r="B1638" s="20" t="s">
        <v>2056</v>
      </c>
      <c r="C1638" s="20" t="s">
        <v>2057</v>
      </c>
      <c r="D1638" s="378" t="s">
        <v>2279</v>
      </c>
      <c r="E1638" s="379">
        <v>44620</v>
      </c>
      <c r="F1638" s="379">
        <v>46446</v>
      </c>
      <c r="G1638" s="378" t="s">
        <v>407</v>
      </c>
      <c r="H1638" s="20" t="s">
        <v>393</v>
      </c>
      <c r="I1638" s="20"/>
      <c r="J1638" s="20" t="s">
        <v>163</v>
      </c>
      <c r="K1638" s="378" t="s">
        <v>397</v>
      </c>
      <c r="L1638" s="20" t="s">
        <v>165</v>
      </c>
      <c r="M1638" s="380">
        <v>2400</v>
      </c>
      <c r="N1638" s="380"/>
      <c r="O1638" s="380"/>
      <c r="P1638" s="380"/>
      <c r="Q1638" s="381">
        <v>398</v>
      </c>
      <c r="R1638" s="381"/>
      <c r="S1638" s="381"/>
      <c r="T1638" s="381"/>
      <c r="U1638" s="381"/>
      <c r="V1638" s="382">
        <v>398</v>
      </c>
      <c r="W1638" s="382">
        <v>0</v>
      </c>
      <c r="X1638" s="381">
        <v>0.16583333333333333</v>
      </c>
      <c r="Y1638" s="381">
        <v>0</v>
      </c>
      <c r="Z1638" s="381">
        <v>0</v>
      </c>
      <c r="AA1638" s="381">
        <v>0</v>
      </c>
      <c r="AB1638" s="381">
        <v>0</v>
      </c>
      <c r="AC1638" s="382">
        <v>0.16583333333333333</v>
      </c>
      <c r="AD1638" s="382">
        <v>0</v>
      </c>
      <c r="AE1638" s="381" t="s">
        <v>168</v>
      </c>
    </row>
    <row r="1639" spans="1:31" ht="15" customHeight="1" x14ac:dyDescent="0.25">
      <c r="A1639" s="20" t="s">
        <v>156</v>
      </c>
      <c r="B1639" s="20" t="s">
        <v>2056</v>
      </c>
      <c r="C1639" s="20" t="s">
        <v>2057</v>
      </c>
      <c r="D1639" s="378" t="s">
        <v>2280</v>
      </c>
      <c r="E1639" s="379">
        <v>44620</v>
      </c>
      <c r="F1639" s="379">
        <v>46446</v>
      </c>
      <c r="G1639" s="378" t="s">
        <v>320</v>
      </c>
      <c r="H1639" s="20" t="s">
        <v>393</v>
      </c>
      <c r="I1639" s="20"/>
      <c r="J1639" s="20" t="s">
        <v>163</v>
      </c>
      <c r="K1639" s="378" t="s">
        <v>397</v>
      </c>
      <c r="L1639" s="20" t="s">
        <v>165</v>
      </c>
      <c r="M1639" s="380">
        <v>2400</v>
      </c>
      <c r="N1639" s="380"/>
      <c r="O1639" s="380"/>
      <c r="P1639" s="380"/>
      <c r="Q1639" s="381">
        <v>408</v>
      </c>
      <c r="R1639" s="381"/>
      <c r="S1639" s="381"/>
      <c r="T1639" s="381"/>
      <c r="U1639" s="381"/>
      <c r="V1639" s="382">
        <v>408</v>
      </c>
      <c r="W1639" s="382">
        <v>0</v>
      </c>
      <c r="X1639" s="381">
        <v>0.17</v>
      </c>
      <c r="Y1639" s="381">
        <v>0</v>
      </c>
      <c r="Z1639" s="381">
        <v>0</v>
      </c>
      <c r="AA1639" s="381">
        <v>0</v>
      </c>
      <c r="AB1639" s="381">
        <v>0</v>
      </c>
      <c r="AC1639" s="382">
        <v>0.17</v>
      </c>
      <c r="AD1639" s="382">
        <v>0</v>
      </c>
      <c r="AE1639" s="381" t="s">
        <v>168</v>
      </c>
    </row>
    <row r="1640" spans="1:31" ht="15" customHeight="1" x14ac:dyDescent="0.25">
      <c r="A1640" s="20" t="s">
        <v>156</v>
      </c>
      <c r="B1640" s="20" t="s">
        <v>2056</v>
      </c>
      <c r="C1640" s="20" t="s">
        <v>2057</v>
      </c>
      <c r="D1640" s="378" t="s">
        <v>2281</v>
      </c>
      <c r="E1640" s="379">
        <v>45016</v>
      </c>
      <c r="F1640" s="379">
        <v>46843</v>
      </c>
      <c r="G1640" s="378" t="s">
        <v>281</v>
      </c>
      <c r="H1640" s="20" t="s">
        <v>282</v>
      </c>
      <c r="I1640" s="20" t="s">
        <v>162</v>
      </c>
      <c r="J1640" s="20" t="s">
        <v>163</v>
      </c>
      <c r="K1640" s="378" t="s">
        <v>283</v>
      </c>
      <c r="L1640" s="20" t="s">
        <v>165</v>
      </c>
      <c r="M1640" s="380">
        <v>2400</v>
      </c>
      <c r="N1640" s="380"/>
      <c r="O1640" s="380"/>
      <c r="P1640" s="380"/>
      <c r="Q1640" s="381">
        <v>319.12</v>
      </c>
      <c r="R1640" s="381">
        <v>319.08</v>
      </c>
      <c r="S1640" s="381">
        <v>3.9800000000000002E-2</v>
      </c>
      <c r="T1640" s="381"/>
      <c r="U1640" s="381"/>
      <c r="V1640" s="382">
        <v>319.1198</v>
      </c>
      <c r="W1640" s="382">
        <v>0</v>
      </c>
      <c r="X1640" s="381">
        <v>0.13296666666666668</v>
      </c>
      <c r="Y1640" s="381">
        <v>0.13294999999999998</v>
      </c>
      <c r="Z1640" s="381">
        <v>1.6583333333333334E-5</v>
      </c>
      <c r="AA1640" s="381">
        <v>0</v>
      </c>
      <c r="AB1640" s="381">
        <v>0</v>
      </c>
      <c r="AC1640" s="382">
        <v>0.1329665833333333</v>
      </c>
      <c r="AD1640" s="382">
        <v>0</v>
      </c>
      <c r="AE1640" s="381" t="s">
        <v>168</v>
      </c>
    </row>
    <row r="1641" spans="1:31" ht="15" customHeight="1" x14ac:dyDescent="0.25">
      <c r="A1641" s="20" t="s">
        <v>156</v>
      </c>
      <c r="B1641" s="20" t="s">
        <v>2056</v>
      </c>
      <c r="C1641" s="20" t="s">
        <v>2057</v>
      </c>
      <c r="D1641" s="378" t="s">
        <v>2282</v>
      </c>
      <c r="E1641" s="379">
        <v>45016</v>
      </c>
      <c r="F1641" s="379">
        <v>46843</v>
      </c>
      <c r="G1641" s="378" t="s">
        <v>281</v>
      </c>
      <c r="H1641" s="20" t="s">
        <v>282</v>
      </c>
      <c r="I1641" s="20" t="s">
        <v>162</v>
      </c>
      <c r="J1641" s="20" t="s">
        <v>163</v>
      </c>
      <c r="K1641" s="378" t="s">
        <v>283</v>
      </c>
      <c r="L1641" s="20" t="s">
        <v>165</v>
      </c>
      <c r="M1641" s="380">
        <v>2400</v>
      </c>
      <c r="N1641" s="380"/>
      <c r="O1641" s="380"/>
      <c r="P1641" s="380"/>
      <c r="Q1641" s="381">
        <v>319.12</v>
      </c>
      <c r="R1641" s="381">
        <v>319.08</v>
      </c>
      <c r="S1641" s="381">
        <v>3.9800000000000002E-2</v>
      </c>
      <c r="T1641" s="381"/>
      <c r="U1641" s="381"/>
      <c r="V1641" s="382">
        <v>319.1198</v>
      </c>
      <c r="W1641" s="382">
        <v>0</v>
      </c>
      <c r="X1641" s="381">
        <v>0.13296666666666668</v>
      </c>
      <c r="Y1641" s="381">
        <v>0.13294999999999998</v>
      </c>
      <c r="Z1641" s="381">
        <v>1.6583333333333334E-5</v>
      </c>
      <c r="AA1641" s="381">
        <v>0</v>
      </c>
      <c r="AB1641" s="381">
        <v>0</v>
      </c>
      <c r="AC1641" s="382">
        <v>0.1329665833333333</v>
      </c>
      <c r="AD1641" s="382">
        <v>0</v>
      </c>
      <c r="AE1641" s="381" t="s">
        <v>168</v>
      </c>
    </row>
    <row r="1642" spans="1:31" ht="15" customHeight="1" x14ac:dyDescent="0.25">
      <c r="A1642" s="20" t="s">
        <v>156</v>
      </c>
      <c r="B1642" s="20" t="s">
        <v>2056</v>
      </c>
      <c r="C1642" s="20" t="s">
        <v>2057</v>
      </c>
      <c r="D1642" s="378" t="s">
        <v>2283</v>
      </c>
      <c r="E1642" s="379">
        <v>45016</v>
      </c>
      <c r="F1642" s="379">
        <v>46843</v>
      </c>
      <c r="G1642" s="378" t="s">
        <v>281</v>
      </c>
      <c r="H1642" s="20" t="s">
        <v>282</v>
      </c>
      <c r="I1642" s="20" t="s">
        <v>162</v>
      </c>
      <c r="J1642" s="20" t="s">
        <v>163</v>
      </c>
      <c r="K1642" s="378" t="s">
        <v>283</v>
      </c>
      <c r="L1642" s="20" t="s">
        <v>165</v>
      </c>
      <c r="M1642" s="380">
        <v>2400</v>
      </c>
      <c r="N1642" s="380"/>
      <c r="O1642" s="380"/>
      <c r="P1642" s="380"/>
      <c r="Q1642" s="381">
        <v>316.02</v>
      </c>
      <c r="R1642" s="381">
        <v>315.98</v>
      </c>
      <c r="S1642" s="381">
        <v>3.9800000000000002E-2</v>
      </c>
      <c r="T1642" s="381"/>
      <c r="U1642" s="381"/>
      <c r="V1642" s="382">
        <v>316.01980000000003</v>
      </c>
      <c r="W1642" s="382">
        <v>0</v>
      </c>
      <c r="X1642" s="381">
        <v>0.13167499999999999</v>
      </c>
      <c r="Y1642" s="381">
        <v>0.13165833333333335</v>
      </c>
      <c r="Z1642" s="381">
        <v>1.6583333333333334E-5</v>
      </c>
      <c r="AA1642" s="381">
        <v>0</v>
      </c>
      <c r="AB1642" s="381">
        <v>0</v>
      </c>
      <c r="AC1642" s="382">
        <v>0.13167491666666667</v>
      </c>
      <c r="AD1642" s="382">
        <v>0</v>
      </c>
      <c r="AE1642" s="381" t="s">
        <v>168</v>
      </c>
    </row>
    <row r="1643" spans="1:31" ht="15" customHeight="1" x14ac:dyDescent="0.25">
      <c r="A1643" s="20" t="s">
        <v>156</v>
      </c>
      <c r="B1643" s="20" t="s">
        <v>2056</v>
      </c>
      <c r="C1643" s="20" t="s">
        <v>2057</v>
      </c>
      <c r="D1643" s="378" t="s">
        <v>2284</v>
      </c>
      <c r="E1643" s="379">
        <v>45016</v>
      </c>
      <c r="F1643" s="379">
        <v>46843</v>
      </c>
      <c r="G1643" s="378" t="s">
        <v>281</v>
      </c>
      <c r="H1643" s="20" t="s">
        <v>282</v>
      </c>
      <c r="I1643" s="20" t="s">
        <v>162</v>
      </c>
      <c r="J1643" s="20" t="s">
        <v>163</v>
      </c>
      <c r="K1643" s="378" t="s">
        <v>283</v>
      </c>
      <c r="L1643" s="20" t="s">
        <v>165</v>
      </c>
      <c r="M1643" s="380">
        <v>2400</v>
      </c>
      <c r="N1643" s="380"/>
      <c r="O1643" s="380"/>
      <c r="P1643" s="380"/>
      <c r="Q1643" s="381">
        <v>313.64</v>
      </c>
      <c r="R1643" s="381">
        <v>313.60000000000002</v>
      </c>
      <c r="S1643" s="381">
        <v>3.9399999999999998E-2</v>
      </c>
      <c r="T1643" s="381"/>
      <c r="U1643" s="381"/>
      <c r="V1643" s="382">
        <v>313.63940000000002</v>
      </c>
      <c r="W1643" s="382">
        <v>0</v>
      </c>
      <c r="X1643" s="381">
        <v>0.13068333333333332</v>
      </c>
      <c r="Y1643" s="381">
        <v>0.13066666666666668</v>
      </c>
      <c r="Z1643" s="381">
        <v>1.6416666666666665E-5</v>
      </c>
      <c r="AA1643" s="381">
        <v>0</v>
      </c>
      <c r="AB1643" s="381">
        <v>0</v>
      </c>
      <c r="AC1643" s="382">
        <v>0.13068308333333334</v>
      </c>
      <c r="AD1643" s="382">
        <v>0</v>
      </c>
      <c r="AE1643" s="381" t="s">
        <v>168</v>
      </c>
    </row>
    <row r="1644" spans="1:31" ht="15" customHeight="1" x14ac:dyDescent="0.25">
      <c r="A1644" s="20" t="s">
        <v>156</v>
      </c>
      <c r="B1644" s="20" t="s">
        <v>2056</v>
      </c>
      <c r="C1644" s="20" t="s">
        <v>2057</v>
      </c>
      <c r="D1644" s="378" t="s">
        <v>2285</v>
      </c>
      <c r="E1644" s="379">
        <v>45016</v>
      </c>
      <c r="F1644" s="379">
        <v>46843</v>
      </c>
      <c r="G1644" s="378" t="s">
        <v>281</v>
      </c>
      <c r="H1644" s="20" t="s">
        <v>282</v>
      </c>
      <c r="I1644" s="20" t="s">
        <v>162</v>
      </c>
      <c r="J1644" s="20" t="s">
        <v>163</v>
      </c>
      <c r="K1644" s="378" t="s">
        <v>283</v>
      </c>
      <c r="L1644" s="20" t="s">
        <v>165</v>
      </c>
      <c r="M1644" s="380">
        <v>2400</v>
      </c>
      <c r="N1644" s="380"/>
      <c r="O1644" s="380"/>
      <c r="P1644" s="380"/>
      <c r="Q1644" s="381">
        <v>450.93</v>
      </c>
      <c r="R1644" s="381">
        <v>450.9</v>
      </c>
      <c r="S1644" s="381">
        <v>2.76E-2</v>
      </c>
      <c r="T1644" s="381"/>
      <c r="U1644" s="381"/>
      <c r="V1644" s="382">
        <v>450.92759999999998</v>
      </c>
      <c r="W1644" s="382">
        <v>0</v>
      </c>
      <c r="X1644" s="381">
        <v>0.18788750000000001</v>
      </c>
      <c r="Y1644" s="381">
        <v>0.18787499999999999</v>
      </c>
      <c r="Z1644" s="381">
        <v>1.15E-5</v>
      </c>
      <c r="AA1644" s="381">
        <v>0</v>
      </c>
      <c r="AB1644" s="381">
        <v>0</v>
      </c>
      <c r="AC1644" s="382">
        <v>0.18788649999999998</v>
      </c>
      <c r="AD1644" s="382">
        <v>0</v>
      </c>
      <c r="AE1644" s="381" t="s">
        <v>168</v>
      </c>
    </row>
    <row r="1645" spans="1:31" ht="15" customHeight="1" x14ac:dyDescent="0.25">
      <c r="A1645" s="20" t="s">
        <v>156</v>
      </c>
      <c r="B1645" s="20" t="s">
        <v>2056</v>
      </c>
      <c r="C1645" s="20" t="s">
        <v>2057</v>
      </c>
      <c r="D1645" s="378" t="s">
        <v>2286</v>
      </c>
      <c r="E1645" s="379">
        <v>44910</v>
      </c>
      <c r="F1645" s="379">
        <v>46736</v>
      </c>
      <c r="G1645" s="378" t="s">
        <v>173</v>
      </c>
      <c r="H1645" s="20" t="s">
        <v>174</v>
      </c>
      <c r="I1645" s="20" t="s">
        <v>162</v>
      </c>
      <c r="J1645" s="20" t="s">
        <v>163</v>
      </c>
      <c r="K1645" s="378" t="s">
        <v>175</v>
      </c>
      <c r="L1645" s="20" t="s">
        <v>165</v>
      </c>
      <c r="M1645" s="380">
        <v>2400</v>
      </c>
      <c r="N1645" s="380"/>
      <c r="O1645" s="380"/>
      <c r="P1645" s="380"/>
      <c r="Q1645" s="381">
        <v>290</v>
      </c>
      <c r="R1645" s="381">
        <v>286</v>
      </c>
      <c r="S1645" s="381">
        <v>3.96</v>
      </c>
      <c r="T1645" s="381"/>
      <c r="U1645" s="381"/>
      <c r="V1645" s="382">
        <v>289.95999999999998</v>
      </c>
      <c r="W1645" s="382">
        <v>0</v>
      </c>
      <c r="X1645" s="381">
        <v>0.12083333333333333</v>
      </c>
      <c r="Y1645" s="381">
        <v>0.11916666666666667</v>
      </c>
      <c r="Z1645" s="381">
        <v>1.65E-3</v>
      </c>
      <c r="AA1645" s="381">
        <v>0</v>
      </c>
      <c r="AB1645" s="381">
        <v>0</v>
      </c>
      <c r="AC1645" s="382">
        <v>0.12081666666666667</v>
      </c>
      <c r="AD1645" s="382">
        <v>0</v>
      </c>
      <c r="AE1645" s="381" t="s">
        <v>168</v>
      </c>
    </row>
    <row r="1646" spans="1:31" ht="15" customHeight="1" x14ac:dyDescent="0.25">
      <c r="A1646" s="20" t="s">
        <v>156</v>
      </c>
      <c r="B1646" s="20" t="s">
        <v>2056</v>
      </c>
      <c r="C1646" s="20" t="s">
        <v>2057</v>
      </c>
      <c r="D1646" s="378" t="s">
        <v>2287</v>
      </c>
      <c r="E1646" s="379">
        <v>44910</v>
      </c>
      <c r="F1646" s="379">
        <v>46736</v>
      </c>
      <c r="G1646" s="378" t="s">
        <v>173</v>
      </c>
      <c r="H1646" s="20" t="s">
        <v>174</v>
      </c>
      <c r="I1646" s="20" t="s">
        <v>162</v>
      </c>
      <c r="J1646" s="20" t="s">
        <v>163</v>
      </c>
      <c r="K1646" s="378" t="s">
        <v>175</v>
      </c>
      <c r="L1646" s="20" t="s">
        <v>165</v>
      </c>
      <c r="M1646" s="380">
        <v>2400</v>
      </c>
      <c r="N1646" s="380"/>
      <c r="O1646" s="380"/>
      <c r="P1646" s="380"/>
      <c r="Q1646" s="381">
        <v>516</v>
      </c>
      <c r="R1646" s="381">
        <v>509</v>
      </c>
      <c r="S1646" s="381">
        <v>6.87</v>
      </c>
      <c r="T1646" s="381"/>
      <c r="U1646" s="381"/>
      <c r="V1646" s="382">
        <v>515.87</v>
      </c>
      <c r="W1646" s="382">
        <v>0</v>
      </c>
      <c r="X1646" s="381">
        <v>0.215</v>
      </c>
      <c r="Y1646" s="381">
        <v>0.21208333333333335</v>
      </c>
      <c r="Z1646" s="381">
        <v>2.8625E-3</v>
      </c>
      <c r="AA1646" s="381">
        <v>0</v>
      </c>
      <c r="AB1646" s="381">
        <v>0</v>
      </c>
      <c r="AC1646" s="382">
        <v>0.21494583333333334</v>
      </c>
      <c r="AD1646" s="382">
        <v>0</v>
      </c>
      <c r="AE1646" s="381" t="s">
        <v>168</v>
      </c>
    </row>
    <row r="1647" spans="1:31" ht="15" customHeight="1" x14ac:dyDescent="0.25">
      <c r="A1647" s="20" t="s">
        <v>156</v>
      </c>
      <c r="B1647" s="20" t="s">
        <v>2056</v>
      </c>
      <c r="C1647" s="20" t="s">
        <v>2057</v>
      </c>
      <c r="D1647" s="378" t="s">
        <v>2288</v>
      </c>
      <c r="E1647" s="379">
        <v>45016</v>
      </c>
      <c r="F1647" s="379">
        <v>46843</v>
      </c>
      <c r="G1647" s="378" t="s">
        <v>215</v>
      </c>
      <c r="H1647" s="20" t="s">
        <v>216</v>
      </c>
      <c r="I1647" s="20" t="s">
        <v>162</v>
      </c>
      <c r="J1647" s="20" t="s">
        <v>163</v>
      </c>
      <c r="K1647" s="378" t="s">
        <v>217</v>
      </c>
      <c r="L1647" s="20" t="s">
        <v>165</v>
      </c>
      <c r="M1647" s="380">
        <v>2400</v>
      </c>
      <c r="N1647" s="380"/>
      <c r="O1647" s="380"/>
      <c r="P1647" s="380"/>
      <c r="Q1647" s="381">
        <v>558</v>
      </c>
      <c r="R1647" s="381">
        <v>557</v>
      </c>
      <c r="S1647" s="381">
        <v>0.34100000000000003</v>
      </c>
      <c r="T1647" s="381"/>
      <c r="U1647" s="381"/>
      <c r="V1647" s="382">
        <v>557.34100000000001</v>
      </c>
      <c r="W1647" s="382">
        <v>0</v>
      </c>
      <c r="X1647" s="381">
        <v>0.23250000000000001</v>
      </c>
      <c r="Y1647" s="381">
        <v>0.23208333333333334</v>
      </c>
      <c r="Z1647" s="381">
        <v>1.4208333333333334E-4</v>
      </c>
      <c r="AA1647" s="381">
        <v>0</v>
      </c>
      <c r="AB1647" s="381">
        <v>0</v>
      </c>
      <c r="AC1647" s="382">
        <v>0.23222541666666666</v>
      </c>
      <c r="AD1647" s="382">
        <v>0</v>
      </c>
      <c r="AE1647" s="381" t="s">
        <v>168</v>
      </c>
    </row>
    <row r="1648" spans="1:31" ht="15" customHeight="1" x14ac:dyDescent="0.25">
      <c r="A1648" s="20" t="s">
        <v>156</v>
      </c>
      <c r="B1648" s="20" t="s">
        <v>2056</v>
      </c>
      <c r="C1648" s="20" t="s">
        <v>2057</v>
      </c>
      <c r="D1648" s="378" t="s">
        <v>2289</v>
      </c>
      <c r="E1648" s="379">
        <v>44525</v>
      </c>
      <c r="F1648" s="379">
        <v>46351</v>
      </c>
      <c r="G1648" s="378" t="s">
        <v>262</v>
      </c>
      <c r="H1648" s="20" t="s">
        <v>263</v>
      </c>
      <c r="I1648" s="20" t="s">
        <v>162</v>
      </c>
      <c r="J1648" s="20" t="s">
        <v>163</v>
      </c>
      <c r="K1648" s="378" t="s">
        <v>264</v>
      </c>
      <c r="L1648" s="20" t="s">
        <v>165</v>
      </c>
      <c r="M1648" s="380">
        <v>2400</v>
      </c>
      <c r="N1648" s="380"/>
      <c r="O1648" s="380"/>
      <c r="P1648" s="380"/>
      <c r="Q1648" s="381" t="s">
        <v>2290</v>
      </c>
      <c r="R1648" s="381" t="s">
        <v>2291</v>
      </c>
      <c r="S1648" s="381" t="s">
        <v>2292</v>
      </c>
      <c r="T1648" s="381"/>
      <c r="U1648" s="381"/>
      <c r="V1648" s="382">
        <v>381.54</v>
      </c>
      <c r="W1648" s="382">
        <v>0</v>
      </c>
      <c r="X1648" s="381">
        <v>0.15916666666666668</v>
      </c>
      <c r="Y1648" s="381">
        <v>0.15875</v>
      </c>
      <c r="Z1648" s="381">
        <v>2.2500000000000002E-4</v>
      </c>
      <c r="AA1648" s="381">
        <v>0</v>
      </c>
      <c r="AB1648" s="381">
        <v>0</v>
      </c>
      <c r="AC1648" s="382">
        <v>0.15897500000000001</v>
      </c>
      <c r="AD1648" s="382">
        <v>0</v>
      </c>
      <c r="AE1648" s="381" t="s">
        <v>168</v>
      </c>
    </row>
    <row r="1649" spans="1:31" ht="15" customHeight="1" x14ac:dyDescent="0.25">
      <c r="A1649" s="20" t="s">
        <v>156</v>
      </c>
      <c r="B1649" s="20" t="s">
        <v>2056</v>
      </c>
      <c r="C1649" s="20" t="s">
        <v>2057</v>
      </c>
      <c r="D1649" s="378" t="s">
        <v>2293</v>
      </c>
      <c r="E1649" s="379">
        <v>44588</v>
      </c>
      <c r="F1649" s="379">
        <v>46414</v>
      </c>
      <c r="G1649" s="378" t="s">
        <v>160</v>
      </c>
      <c r="H1649" s="20" t="s">
        <v>161</v>
      </c>
      <c r="I1649" s="20" t="s">
        <v>162</v>
      </c>
      <c r="J1649" s="20" t="s">
        <v>163</v>
      </c>
      <c r="K1649" s="378" t="s">
        <v>164</v>
      </c>
      <c r="L1649" s="20" t="s">
        <v>165</v>
      </c>
      <c r="M1649" s="380">
        <v>2400</v>
      </c>
      <c r="N1649" s="380"/>
      <c r="O1649" s="380"/>
      <c r="P1649" s="380"/>
      <c r="Q1649" s="381" t="s">
        <v>2294</v>
      </c>
      <c r="R1649" s="381">
        <v>396</v>
      </c>
      <c r="S1649" s="381" t="s">
        <v>750</v>
      </c>
      <c r="T1649" s="381"/>
      <c r="U1649" s="381"/>
      <c r="V1649" s="382">
        <v>396.42</v>
      </c>
      <c r="W1649" s="382">
        <v>0</v>
      </c>
      <c r="X1649" s="381">
        <v>0.16541666666666666</v>
      </c>
      <c r="Y1649" s="381">
        <v>0.16500000000000001</v>
      </c>
      <c r="Z1649" s="381">
        <v>1.75E-4</v>
      </c>
      <c r="AA1649" s="381">
        <v>0</v>
      </c>
      <c r="AB1649" s="381">
        <v>0</v>
      </c>
      <c r="AC1649" s="382">
        <v>0.16517500000000002</v>
      </c>
      <c r="AD1649" s="382">
        <v>0</v>
      </c>
      <c r="AE1649" s="381" t="s">
        <v>168</v>
      </c>
    </row>
    <row r="1650" spans="1:31" ht="15" customHeight="1" x14ac:dyDescent="0.25">
      <c r="A1650" s="20" t="s">
        <v>156</v>
      </c>
      <c r="B1650" s="20" t="s">
        <v>2056</v>
      </c>
      <c r="C1650" s="20" t="s">
        <v>2057</v>
      </c>
      <c r="D1650" s="378" t="s">
        <v>2295</v>
      </c>
      <c r="E1650" s="379">
        <v>44588</v>
      </c>
      <c r="F1650" s="379">
        <v>46414</v>
      </c>
      <c r="G1650" s="378" t="s">
        <v>160</v>
      </c>
      <c r="H1650" s="20" t="s">
        <v>161</v>
      </c>
      <c r="I1650" s="20" t="s">
        <v>162</v>
      </c>
      <c r="J1650" s="20" t="s">
        <v>163</v>
      </c>
      <c r="K1650" s="378" t="s">
        <v>164</v>
      </c>
      <c r="L1650" s="20" t="s">
        <v>165</v>
      </c>
      <c r="M1650" s="380">
        <v>2400</v>
      </c>
      <c r="N1650" s="380"/>
      <c r="O1650" s="380"/>
      <c r="P1650" s="380"/>
      <c r="Q1650" s="381" t="s">
        <v>2070</v>
      </c>
      <c r="R1650" s="381">
        <v>387</v>
      </c>
      <c r="S1650" s="381" t="s">
        <v>750</v>
      </c>
      <c r="T1650" s="381"/>
      <c r="U1650" s="381"/>
      <c r="V1650" s="382">
        <v>387.42</v>
      </c>
      <c r="W1650" s="382">
        <v>0</v>
      </c>
      <c r="X1650" s="381">
        <v>0.16166666666666665</v>
      </c>
      <c r="Y1650" s="381">
        <v>0.16125</v>
      </c>
      <c r="Z1650" s="381">
        <v>1.75E-4</v>
      </c>
      <c r="AA1650" s="381">
        <v>0</v>
      </c>
      <c r="AB1650" s="381">
        <v>0</v>
      </c>
      <c r="AC1650" s="382">
        <v>0.16142500000000001</v>
      </c>
      <c r="AD1650" s="382">
        <v>0</v>
      </c>
      <c r="AE1650" s="381" t="s">
        <v>168</v>
      </c>
    </row>
    <row r="1651" spans="1:31" ht="15" customHeight="1" x14ac:dyDescent="0.25">
      <c r="A1651" s="20" t="s">
        <v>156</v>
      </c>
      <c r="B1651" s="20" t="s">
        <v>2056</v>
      </c>
      <c r="C1651" s="20" t="s">
        <v>2057</v>
      </c>
      <c r="D1651" s="378" t="s">
        <v>2296</v>
      </c>
      <c r="E1651" s="379">
        <v>45016</v>
      </c>
      <c r="F1651" s="379">
        <v>46843</v>
      </c>
      <c r="G1651" s="378" t="s">
        <v>193</v>
      </c>
      <c r="H1651" s="20" t="s">
        <v>194</v>
      </c>
      <c r="I1651" s="20" t="s">
        <v>162</v>
      </c>
      <c r="J1651" s="20" t="s">
        <v>163</v>
      </c>
      <c r="K1651" s="378" t="s">
        <v>195</v>
      </c>
      <c r="L1651" s="20" t="s">
        <v>165</v>
      </c>
      <c r="M1651" s="380">
        <v>2400</v>
      </c>
      <c r="N1651" s="380"/>
      <c r="O1651" s="380"/>
      <c r="P1651" s="380"/>
      <c r="Q1651" s="381">
        <v>404</v>
      </c>
      <c r="R1651" s="381">
        <v>403</v>
      </c>
      <c r="S1651" s="381">
        <v>0.36699999999999999</v>
      </c>
      <c r="T1651" s="381"/>
      <c r="U1651" s="381"/>
      <c r="V1651" s="382">
        <v>403.36700000000002</v>
      </c>
      <c r="W1651" s="382">
        <v>0</v>
      </c>
      <c r="X1651" s="381">
        <v>0.16833333333333333</v>
      </c>
      <c r="Y1651" s="381">
        <v>0.16791666666666666</v>
      </c>
      <c r="Z1651" s="381">
        <v>1.5291666666666665E-4</v>
      </c>
      <c r="AA1651" s="381">
        <v>0</v>
      </c>
      <c r="AB1651" s="381">
        <v>0</v>
      </c>
      <c r="AC1651" s="382">
        <v>0.16806958333333333</v>
      </c>
      <c r="AD1651" s="382">
        <v>0</v>
      </c>
      <c r="AE1651" s="381" t="s">
        <v>168</v>
      </c>
    </row>
    <row r="1652" spans="1:31" ht="15" customHeight="1" x14ac:dyDescent="0.25">
      <c r="A1652" s="20" t="s">
        <v>156</v>
      </c>
      <c r="B1652" s="20" t="s">
        <v>2056</v>
      </c>
      <c r="C1652" s="20" t="s">
        <v>2057</v>
      </c>
      <c r="D1652" s="378" t="s">
        <v>2297</v>
      </c>
      <c r="E1652" s="379">
        <v>44910</v>
      </c>
      <c r="F1652" s="379">
        <v>46736</v>
      </c>
      <c r="G1652" s="378" t="s">
        <v>173</v>
      </c>
      <c r="H1652" s="20" t="s">
        <v>174</v>
      </c>
      <c r="I1652" s="20" t="s">
        <v>162</v>
      </c>
      <c r="J1652" s="20" t="s">
        <v>163</v>
      </c>
      <c r="K1652" s="378" t="s">
        <v>175</v>
      </c>
      <c r="L1652" s="20" t="s">
        <v>165</v>
      </c>
      <c r="M1652" s="380">
        <v>2400</v>
      </c>
      <c r="N1652" s="380"/>
      <c r="O1652" s="380"/>
      <c r="P1652" s="380"/>
      <c r="Q1652" s="381">
        <v>353</v>
      </c>
      <c r="R1652" s="381">
        <v>348</v>
      </c>
      <c r="S1652" s="381">
        <v>4.34</v>
      </c>
      <c r="T1652" s="381"/>
      <c r="U1652" s="381"/>
      <c r="V1652" s="382">
        <v>352.34</v>
      </c>
      <c r="W1652" s="382">
        <v>0</v>
      </c>
      <c r="X1652" s="381">
        <v>0.14708333333333334</v>
      </c>
      <c r="Y1652" s="381">
        <v>0.14499999999999999</v>
      </c>
      <c r="Z1652" s="381">
        <v>1.8083333333333332E-3</v>
      </c>
      <c r="AA1652" s="381">
        <v>0</v>
      </c>
      <c r="AB1652" s="381">
        <v>0</v>
      </c>
      <c r="AC1652" s="382">
        <v>0.14680833333333332</v>
      </c>
      <c r="AD1652" s="382">
        <v>0</v>
      </c>
      <c r="AE1652" s="381" t="s">
        <v>168</v>
      </c>
    </row>
    <row r="1653" spans="1:31" ht="15" customHeight="1" x14ac:dyDescent="0.25">
      <c r="A1653" s="20" t="s">
        <v>156</v>
      </c>
      <c r="B1653" s="20" t="s">
        <v>2056</v>
      </c>
      <c r="C1653" s="20" t="s">
        <v>2057</v>
      </c>
      <c r="D1653" s="378" t="s">
        <v>2298</v>
      </c>
      <c r="E1653" s="379">
        <v>44573</v>
      </c>
      <c r="F1653" s="379">
        <v>46656</v>
      </c>
      <c r="G1653" s="378" t="s">
        <v>179</v>
      </c>
      <c r="H1653" s="20" t="s">
        <v>180</v>
      </c>
      <c r="I1653" s="20" t="s">
        <v>162</v>
      </c>
      <c r="J1653" s="20" t="s">
        <v>163</v>
      </c>
      <c r="K1653" s="378" t="s">
        <v>181</v>
      </c>
      <c r="L1653" s="20" t="s">
        <v>165</v>
      </c>
      <c r="M1653" s="380">
        <v>2400</v>
      </c>
      <c r="N1653" s="380"/>
      <c r="O1653" s="380"/>
      <c r="P1653" s="380"/>
      <c r="Q1653" s="381" t="s">
        <v>1485</v>
      </c>
      <c r="R1653" s="381" t="s">
        <v>2074</v>
      </c>
      <c r="S1653" s="381" t="s">
        <v>755</v>
      </c>
      <c r="T1653" s="381"/>
      <c r="U1653" s="381"/>
      <c r="V1653" s="382">
        <v>340.33</v>
      </c>
      <c r="W1653" s="382">
        <v>0</v>
      </c>
      <c r="X1653" s="381">
        <v>0.14208333333333334</v>
      </c>
      <c r="Y1653" s="381">
        <v>0.14166666666666666</v>
      </c>
      <c r="Z1653" s="381">
        <v>1.3750000000000001E-4</v>
      </c>
      <c r="AA1653" s="381">
        <v>0</v>
      </c>
      <c r="AB1653" s="381">
        <v>0</v>
      </c>
      <c r="AC1653" s="382">
        <v>0.14180416666666668</v>
      </c>
      <c r="AD1653" s="382">
        <v>0</v>
      </c>
      <c r="AE1653" s="381" t="s">
        <v>168</v>
      </c>
    </row>
    <row r="1654" spans="1:31" ht="15" customHeight="1" x14ac:dyDescent="0.25">
      <c r="A1654" s="20" t="s">
        <v>156</v>
      </c>
      <c r="B1654" s="20" t="s">
        <v>2056</v>
      </c>
      <c r="C1654" s="20" t="s">
        <v>2057</v>
      </c>
      <c r="D1654" s="378" t="s">
        <v>2299</v>
      </c>
      <c r="E1654" s="379">
        <v>44588</v>
      </c>
      <c r="F1654" s="379">
        <v>46414</v>
      </c>
      <c r="G1654" s="378" t="s">
        <v>160</v>
      </c>
      <c r="H1654" s="20" t="s">
        <v>161</v>
      </c>
      <c r="I1654" s="20" t="s">
        <v>162</v>
      </c>
      <c r="J1654" s="20" t="s">
        <v>163</v>
      </c>
      <c r="K1654" s="378" t="s">
        <v>164</v>
      </c>
      <c r="L1654" s="20" t="s">
        <v>165</v>
      </c>
      <c r="M1654" s="380">
        <v>2400</v>
      </c>
      <c r="N1654" s="380"/>
      <c r="O1654" s="380"/>
      <c r="P1654" s="380"/>
      <c r="Q1654" s="381" t="s">
        <v>2300</v>
      </c>
      <c r="R1654" s="381">
        <v>299</v>
      </c>
      <c r="S1654" s="381" t="s">
        <v>2060</v>
      </c>
      <c r="T1654" s="381"/>
      <c r="U1654" s="381"/>
      <c r="V1654" s="382">
        <v>299.38</v>
      </c>
      <c r="W1654" s="382">
        <v>0</v>
      </c>
      <c r="X1654" s="381">
        <v>0.125</v>
      </c>
      <c r="Y1654" s="381">
        <v>0.12458333333333334</v>
      </c>
      <c r="Z1654" s="381">
        <v>1.5833333333333332E-4</v>
      </c>
      <c r="AA1654" s="381">
        <v>0</v>
      </c>
      <c r="AB1654" s="381">
        <v>0</v>
      </c>
      <c r="AC1654" s="382">
        <v>0.12474166666666667</v>
      </c>
      <c r="AD1654" s="382">
        <v>0</v>
      </c>
      <c r="AE1654" s="381" t="s">
        <v>168</v>
      </c>
    </row>
    <row r="1655" spans="1:31" ht="15" customHeight="1" x14ac:dyDescent="0.25">
      <c r="A1655" s="20" t="s">
        <v>156</v>
      </c>
      <c r="B1655" s="20" t="s">
        <v>2056</v>
      </c>
      <c r="C1655" s="20" t="s">
        <v>2057</v>
      </c>
      <c r="D1655" s="378" t="s">
        <v>2301</v>
      </c>
      <c r="E1655" s="379">
        <v>44588</v>
      </c>
      <c r="F1655" s="379">
        <v>46414</v>
      </c>
      <c r="G1655" s="378" t="s">
        <v>160</v>
      </c>
      <c r="H1655" s="20" t="s">
        <v>161</v>
      </c>
      <c r="I1655" s="20" t="s">
        <v>162</v>
      </c>
      <c r="J1655" s="20" t="s">
        <v>163</v>
      </c>
      <c r="K1655" s="378" t="s">
        <v>164</v>
      </c>
      <c r="L1655" s="20" t="s">
        <v>165</v>
      </c>
      <c r="M1655" s="380">
        <v>2400</v>
      </c>
      <c r="N1655" s="380"/>
      <c r="O1655" s="380"/>
      <c r="P1655" s="380"/>
      <c r="Q1655" s="381" t="s">
        <v>2302</v>
      </c>
      <c r="R1655" s="381">
        <v>313</v>
      </c>
      <c r="S1655" s="381" t="s">
        <v>948</v>
      </c>
      <c r="T1655" s="381"/>
      <c r="U1655" s="381"/>
      <c r="V1655" s="382">
        <v>313.33999999999997</v>
      </c>
      <c r="W1655" s="382">
        <v>0</v>
      </c>
      <c r="X1655" s="381">
        <v>0.13083333333333333</v>
      </c>
      <c r="Y1655" s="381">
        <v>0.13041666666666665</v>
      </c>
      <c r="Z1655" s="381">
        <v>1.4166666666666668E-4</v>
      </c>
      <c r="AA1655" s="381">
        <v>0</v>
      </c>
      <c r="AB1655" s="381">
        <v>0</v>
      </c>
      <c r="AC1655" s="382">
        <v>0.13055833333333333</v>
      </c>
      <c r="AD1655" s="382">
        <v>0</v>
      </c>
      <c r="AE1655" s="381" t="s">
        <v>168</v>
      </c>
    </row>
    <row r="1656" spans="1:31" ht="15" customHeight="1" x14ac:dyDescent="0.25">
      <c r="A1656" s="20" t="s">
        <v>156</v>
      </c>
      <c r="B1656" s="20" t="s">
        <v>2056</v>
      </c>
      <c r="C1656" s="20" t="s">
        <v>2057</v>
      </c>
      <c r="D1656" s="378" t="s">
        <v>2303</v>
      </c>
      <c r="E1656" s="379">
        <v>44588</v>
      </c>
      <c r="F1656" s="379">
        <v>46414</v>
      </c>
      <c r="G1656" s="378" t="s">
        <v>160</v>
      </c>
      <c r="H1656" s="20" t="s">
        <v>161</v>
      </c>
      <c r="I1656" s="20" t="s">
        <v>162</v>
      </c>
      <c r="J1656" s="20" t="s">
        <v>163</v>
      </c>
      <c r="K1656" s="378" t="s">
        <v>164</v>
      </c>
      <c r="L1656" s="20" t="s">
        <v>165</v>
      </c>
      <c r="M1656" s="380">
        <v>2400</v>
      </c>
      <c r="N1656" s="380"/>
      <c r="O1656" s="380"/>
      <c r="P1656" s="380"/>
      <c r="Q1656" s="381" t="s">
        <v>2103</v>
      </c>
      <c r="R1656" s="381">
        <v>308</v>
      </c>
      <c r="S1656" s="381" t="s">
        <v>755</v>
      </c>
      <c r="T1656" s="381"/>
      <c r="U1656" s="381"/>
      <c r="V1656" s="382">
        <v>308.33</v>
      </c>
      <c r="W1656" s="382">
        <v>0</v>
      </c>
      <c r="X1656" s="381">
        <v>0.12875</v>
      </c>
      <c r="Y1656" s="381">
        <v>0.12833333333333333</v>
      </c>
      <c r="Z1656" s="381">
        <v>1.3750000000000001E-4</v>
      </c>
      <c r="AA1656" s="381">
        <v>0</v>
      </c>
      <c r="AB1656" s="381">
        <v>0</v>
      </c>
      <c r="AC1656" s="382">
        <v>0.12847083333333334</v>
      </c>
      <c r="AD1656" s="382">
        <v>0</v>
      </c>
      <c r="AE1656" s="381" t="s">
        <v>168</v>
      </c>
    </row>
    <row r="1657" spans="1:31" ht="15" customHeight="1" x14ac:dyDescent="0.25">
      <c r="A1657" s="20" t="s">
        <v>156</v>
      </c>
      <c r="B1657" s="20" t="s">
        <v>2056</v>
      </c>
      <c r="C1657" s="20" t="s">
        <v>2057</v>
      </c>
      <c r="D1657" s="378" t="s">
        <v>2304</v>
      </c>
      <c r="E1657" s="379">
        <v>44588</v>
      </c>
      <c r="F1657" s="379">
        <v>46414</v>
      </c>
      <c r="G1657" s="378" t="s">
        <v>160</v>
      </c>
      <c r="H1657" s="20" t="s">
        <v>161</v>
      </c>
      <c r="I1657" s="20" t="s">
        <v>162</v>
      </c>
      <c r="J1657" s="20" t="s">
        <v>163</v>
      </c>
      <c r="K1657" s="378" t="s">
        <v>164</v>
      </c>
      <c r="L1657" s="20" t="s">
        <v>165</v>
      </c>
      <c r="M1657" s="380">
        <v>2400</v>
      </c>
      <c r="N1657" s="380"/>
      <c r="O1657" s="380"/>
      <c r="P1657" s="380"/>
      <c r="Q1657" s="381" t="s">
        <v>1816</v>
      </c>
      <c r="R1657" s="381">
        <v>303</v>
      </c>
      <c r="S1657" s="381" t="s">
        <v>755</v>
      </c>
      <c r="T1657" s="381"/>
      <c r="U1657" s="381"/>
      <c r="V1657" s="382">
        <v>303.33</v>
      </c>
      <c r="W1657" s="382">
        <v>0</v>
      </c>
      <c r="X1657" s="381">
        <v>0.12666666666666668</v>
      </c>
      <c r="Y1657" s="381">
        <v>0.12625</v>
      </c>
      <c r="Z1657" s="381">
        <v>1.3750000000000001E-4</v>
      </c>
      <c r="AA1657" s="381">
        <v>0</v>
      </c>
      <c r="AB1657" s="381">
        <v>0</v>
      </c>
      <c r="AC1657" s="382">
        <v>0.12638750000000001</v>
      </c>
      <c r="AD1657" s="382">
        <v>0</v>
      </c>
      <c r="AE1657" s="381" t="s">
        <v>168</v>
      </c>
    </row>
    <row r="1658" spans="1:31" ht="15" customHeight="1" x14ac:dyDescent="0.25">
      <c r="A1658" s="20" t="s">
        <v>156</v>
      </c>
      <c r="B1658" s="20" t="s">
        <v>2056</v>
      </c>
      <c r="C1658" s="20" t="s">
        <v>2057</v>
      </c>
      <c r="D1658" s="378" t="s">
        <v>2305</v>
      </c>
      <c r="E1658" s="379">
        <v>44581</v>
      </c>
      <c r="F1658" s="379">
        <v>46407</v>
      </c>
      <c r="G1658" s="378" t="s">
        <v>237</v>
      </c>
      <c r="H1658" s="20" t="s">
        <v>238</v>
      </c>
      <c r="I1658" s="20" t="s">
        <v>162</v>
      </c>
      <c r="J1658" s="20" t="s">
        <v>163</v>
      </c>
      <c r="K1658" s="378" t="s">
        <v>239</v>
      </c>
      <c r="L1658" s="20" t="s">
        <v>165</v>
      </c>
      <c r="M1658" s="380">
        <v>2400</v>
      </c>
      <c r="N1658" s="380"/>
      <c r="O1658" s="380"/>
      <c r="P1658" s="380"/>
      <c r="Q1658" s="381" t="s">
        <v>1562</v>
      </c>
      <c r="R1658" s="381" t="s">
        <v>1487</v>
      </c>
      <c r="S1658" s="381" t="s">
        <v>962</v>
      </c>
      <c r="T1658" s="381"/>
      <c r="U1658" s="381"/>
      <c r="V1658" s="382">
        <v>310.24</v>
      </c>
      <c r="W1658" s="382">
        <v>0</v>
      </c>
      <c r="X1658" s="381">
        <v>0.12958333333333333</v>
      </c>
      <c r="Y1658" s="381">
        <v>0.12916666666666668</v>
      </c>
      <c r="Z1658" s="381">
        <v>9.9999999999999991E-5</v>
      </c>
      <c r="AA1658" s="381">
        <v>0</v>
      </c>
      <c r="AB1658" s="381">
        <v>0</v>
      </c>
      <c r="AC1658" s="382">
        <v>0.12926666666666667</v>
      </c>
      <c r="AD1658" s="382">
        <v>0</v>
      </c>
      <c r="AE1658" s="381" t="s">
        <v>168</v>
      </c>
    </row>
    <row r="1659" spans="1:31" ht="15" customHeight="1" x14ac:dyDescent="0.25">
      <c r="A1659" s="20" t="s">
        <v>156</v>
      </c>
      <c r="B1659" s="20" t="s">
        <v>2056</v>
      </c>
      <c r="C1659" s="20" t="s">
        <v>2057</v>
      </c>
      <c r="D1659" s="378" t="s">
        <v>2306</v>
      </c>
      <c r="E1659" s="379">
        <v>44525</v>
      </c>
      <c r="F1659" s="379">
        <v>46351</v>
      </c>
      <c r="G1659" s="378" t="s">
        <v>262</v>
      </c>
      <c r="H1659" s="20" t="s">
        <v>263</v>
      </c>
      <c r="I1659" s="20" t="s">
        <v>162</v>
      </c>
      <c r="J1659" s="20" t="s">
        <v>163</v>
      </c>
      <c r="K1659" s="378" t="s">
        <v>264</v>
      </c>
      <c r="L1659" s="20" t="s">
        <v>165</v>
      </c>
      <c r="M1659" s="380">
        <v>2400</v>
      </c>
      <c r="N1659" s="380"/>
      <c r="O1659" s="380"/>
      <c r="P1659" s="380"/>
      <c r="Q1659" s="381" t="s">
        <v>2307</v>
      </c>
      <c r="R1659" s="381" t="s">
        <v>2122</v>
      </c>
      <c r="S1659" s="381" t="s">
        <v>964</v>
      </c>
      <c r="T1659" s="381"/>
      <c r="U1659" s="381"/>
      <c r="V1659" s="382">
        <v>320.20999999999998</v>
      </c>
      <c r="W1659" s="382">
        <v>0</v>
      </c>
      <c r="X1659" s="381">
        <v>0.13375000000000001</v>
      </c>
      <c r="Y1659" s="381">
        <v>0.13333333333333333</v>
      </c>
      <c r="Z1659" s="381">
        <v>8.7499999999999999E-5</v>
      </c>
      <c r="AA1659" s="381">
        <v>0</v>
      </c>
      <c r="AB1659" s="381">
        <v>0</v>
      </c>
      <c r="AC1659" s="382">
        <v>0.13342083333333332</v>
      </c>
      <c r="AD1659" s="382">
        <v>0</v>
      </c>
      <c r="AE1659" s="381" t="s">
        <v>168</v>
      </c>
    </row>
    <row r="1660" spans="1:31" ht="15" customHeight="1" x14ac:dyDescent="0.25">
      <c r="A1660" s="20" t="s">
        <v>156</v>
      </c>
      <c r="B1660" s="20" t="s">
        <v>2056</v>
      </c>
      <c r="C1660" s="20" t="s">
        <v>2057</v>
      </c>
      <c r="D1660" s="378" t="s">
        <v>2308</v>
      </c>
      <c r="E1660" s="379">
        <v>44525</v>
      </c>
      <c r="F1660" s="379">
        <v>46351</v>
      </c>
      <c r="G1660" s="378" t="s">
        <v>262</v>
      </c>
      <c r="H1660" s="20" t="s">
        <v>263</v>
      </c>
      <c r="I1660" s="20" t="s">
        <v>162</v>
      </c>
      <c r="J1660" s="20" t="s">
        <v>163</v>
      </c>
      <c r="K1660" s="378" t="s">
        <v>264</v>
      </c>
      <c r="L1660" s="20" t="s">
        <v>165</v>
      </c>
      <c r="M1660" s="380">
        <v>2400</v>
      </c>
      <c r="N1660" s="380"/>
      <c r="O1660" s="380"/>
      <c r="P1660" s="380"/>
      <c r="Q1660" s="381" t="s">
        <v>2307</v>
      </c>
      <c r="R1660" s="381" t="s">
        <v>2122</v>
      </c>
      <c r="S1660" s="381" t="s">
        <v>964</v>
      </c>
      <c r="T1660" s="381"/>
      <c r="U1660" s="381"/>
      <c r="V1660" s="382">
        <v>320.20999999999998</v>
      </c>
      <c r="W1660" s="382">
        <v>0</v>
      </c>
      <c r="X1660" s="381">
        <v>0.13375000000000001</v>
      </c>
      <c r="Y1660" s="381">
        <v>0.13333333333333333</v>
      </c>
      <c r="Z1660" s="381">
        <v>8.7499999999999999E-5</v>
      </c>
      <c r="AA1660" s="381">
        <v>0</v>
      </c>
      <c r="AB1660" s="381">
        <v>0</v>
      </c>
      <c r="AC1660" s="382">
        <v>0.13342083333333332</v>
      </c>
      <c r="AD1660" s="382">
        <v>0</v>
      </c>
      <c r="AE1660" s="381" t="s">
        <v>168</v>
      </c>
    </row>
    <row r="1661" spans="1:31" ht="15" customHeight="1" x14ac:dyDescent="0.25">
      <c r="A1661" s="20" t="s">
        <v>156</v>
      </c>
      <c r="B1661" s="20" t="s">
        <v>2056</v>
      </c>
      <c r="C1661" s="20" t="s">
        <v>2057</v>
      </c>
      <c r="D1661" s="378" t="s">
        <v>2309</v>
      </c>
      <c r="E1661" s="379">
        <v>45016</v>
      </c>
      <c r="F1661" s="379">
        <v>46843</v>
      </c>
      <c r="G1661" s="378" t="s">
        <v>179</v>
      </c>
      <c r="H1661" s="20" t="s">
        <v>202</v>
      </c>
      <c r="I1661" s="20" t="s">
        <v>162</v>
      </c>
      <c r="J1661" s="20" t="s">
        <v>163</v>
      </c>
      <c r="K1661" s="378" t="s">
        <v>203</v>
      </c>
      <c r="L1661" s="20" t="s">
        <v>165</v>
      </c>
      <c r="M1661" s="380">
        <v>2400</v>
      </c>
      <c r="N1661" s="380"/>
      <c r="O1661" s="380"/>
      <c r="P1661" s="380"/>
      <c r="Q1661" s="381">
        <v>295</v>
      </c>
      <c r="R1661" s="381">
        <v>294</v>
      </c>
      <c r="S1661" s="381">
        <v>0.21</v>
      </c>
      <c r="T1661" s="381"/>
      <c r="U1661" s="381"/>
      <c r="V1661" s="382">
        <v>294.20999999999998</v>
      </c>
      <c r="W1661" s="382">
        <v>0</v>
      </c>
      <c r="X1661" s="381">
        <v>0.12291666666666666</v>
      </c>
      <c r="Y1661" s="381">
        <v>0.1225</v>
      </c>
      <c r="Z1661" s="381">
        <v>8.7499999999999999E-5</v>
      </c>
      <c r="AA1661" s="381">
        <v>0</v>
      </c>
      <c r="AB1661" s="381">
        <v>0</v>
      </c>
      <c r="AC1661" s="382">
        <v>0.1225875</v>
      </c>
      <c r="AD1661" s="382">
        <v>0</v>
      </c>
      <c r="AE1661" s="381" t="s">
        <v>168</v>
      </c>
    </row>
    <row r="1662" spans="1:31" ht="15" customHeight="1" x14ac:dyDescent="0.25">
      <c r="A1662" s="20" t="s">
        <v>156</v>
      </c>
      <c r="B1662" s="20" t="s">
        <v>2056</v>
      </c>
      <c r="C1662" s="20" t="s">
        <v>2057</v>
      </c>
      <c r="D1662" s="378" t="s">
        <v>2310</v>
      </c>
      <c r="E1662" s="379">
        <v>45038</v>
      </c>
      <c r="F1662" s="379">
        <v>46865</v>
      </c>
      <c r="G1662" s="383" t="s">
        <v>193</v>
      </c>
      <c r="H1662" s="20" t="s">
        <v>229</v>
      </c>
      <c r="I1662" s="20" t="s">
        <v>162</v>
      </c>
      <c r="J1662" s="20" t="s">
        <v>163</v>
      </c>
      <c r="K1662" s="378" t="s">
        <v>230</v>
      </c>
      <c r="L1662" s="20" t="s">
        <v>165</v>
      </c>
      <c r="M1662" s="380">
        <v>2400</v>
      </c>
      <c r="N1662" s="380"/>
      <c r="O1662" s="380"/>
      <c r="P1662" s="380"/>
      <c r="Q1662" s="381" t="s">
        <v>1821</v>
      </c>
      <c r="R1662" s="381" t="s">
        <v>1582</v>
      </c>
      <c r="S1662" s="381" t="s">
        <v>967</v>
      </c>
      <c r="T1662" s="381"/>
      <c r="U1662" s="381"/>
      <c r="V1662" s="382">
        <v>289.22000000000003</v>
      </c>
      <c r="W1662" s="382">
        <v>0</v>
      </c>
      <c r="X1662" s="381">
        <v>0.12083333333333333</v>
      </c>
      <c r="Y1662" s="381">
        <v>0.12041666666666667</v>
      </c>
      <c r="Z1662" s="381">
        <v>9.1666666666666668E-5</v>
      </c>
      <c r="AA1662" s="381">
        <v>0</v>
      </c>
      <c r="AB1662" s="381">
        <v>0</v>
      </c>
      <c r="AC1662" s="382">
        <v>0.12050833333333334</v>
      </c>
      <c r="AD1662" s="382">
        <v>0</v>
      </c>
      <c r="AE1662" s="381" t="s">
        <v>168</v>
      </c>
    </row>
    <row r="1663" spans="1:31" ht="15" customHeight="1" x14ac:dyDescent="0.25">
      <c r="A1663" s="20" t="s">
        <v>156</v>
      </c>
      <c r="B1663" s="20" t="s">
        <v>2056</v>
      </c>
      <c r="C1663" s="20" t="s">
        <v>2057</v>
      </c>
      <c r="D1663" s="378" t="s">
        <v>2311</v>
      </c>
      <c r="E1663" s="379">
        <v>45038</v>
      </c>
      <c r="F1663" s="379">
        <v>46865</v>
      </c>
      <c r="G1663" s="383" t="s">
        <v>193</v>
      </c>
      <c r="H1663" s="20" t="s">
        <v>229</v>
      </c>
      <c r="I1663" s="20" t="s">
        <v>162</v>
      </c>
      <c r="J1663" s="20" t="s">
        <v>163</v>
      </c>
      <c r="K1663" s="378" t="s">
        <v>230</v>
      </c>
      <c r="L1663" s="20" t="s">
        <v>165</v>
      </c>
      <c r="M1663" s="380">
        <v>2400</v>
      </c>
      <c r="N1663" s="380"/>
      <c r="O1663" s="380"/>
      <c r="P1663" s="380"/>
      <c r="Q1663" s="381" t="s">
        <v>1821</v>
      </c>
      <c r="R1663" s="381" t="s">
        <v>1582</v>
      </c>
      <c r="S1663" s="381" t="s">
        <v>967</v>
      </c>
      <c r="T1663" s="381"/>
      <c r="U1663" s="381"/>
      <c r="V1663" s="382">
        <v>289.22000000000003</v>
      </c>
      <c r="W1663" s="382">
        <v>0</v>
      </c>
      <c r="X1663" s="381">
        <v>0.12083333333333333</v>
      </c>
      <c r="Y1663" s="381">
        <v>0.12041666666666667</v>
      </c>
      <c r="Z1663" s="381">
        <v>9.1666666666666668E-5</v>
      </c>
      <c r="AA1663" s="381">
        <v>0</v>
      </c>
      <c r="AB1663" s="381">
        <v>0</v>
      </c>
      <c r="AC1663" s="382">
        <v>0.12050833333333334</v>
      </c>
      <c r="AD1663" s="382">
        <v>0</v>
      </c>
      <c r="AE1663" s="381" t="s">
        <v>168</v>
      </c>
    </row>
    <row r="1664" spans="1:31" ht="15" customHeight="1" x14ac:dyDescent="0.25">
      <c r="A1664" s="20" t="s">
        <v>156</v>
      </c>
      <c r="B1664" s="20" t="s">
        <v>2056</v>
      </c>
      <c r="C1664" s="20" t="s">
        <v>2057</v>
      </c>
      <c r="D1664" s="378" t="s">
        <v>2312</v>
      </c>
      <c r="E1664" s="379">
        <v>45038</v>
      </c>
      <c r="F1664" s="379">
        <v>46865</v>
      </c>
      <c r="G1664" s="383" t="s">
        <v>193</v>
      </c>
      <c r="H1664" s="20" t="s">
        <v>229</v>
      </c>
      <c r="I1664" s="20" t="s">
        <v>162</v>
      </c>
      <c r="J1664" s="20" t="s">
        <v>163</v>
      </c>
      <c r="K1664" s="378" t="s">
        <v>230</v>
      </c>
      <c r="L1664" s="20" t="s">
        <v>165</v>
      </c>
      <c r="M1664" s="380">
        <v>2400</v>
      </c>
      <c r="N1664" s="380"/>
      <c r="O1664" s="380"/>
      <c r="P1664" s="380"/>
      <c r="Q1664" s="381" t="s">
        <v>1582</v>
      </c>
      <c r="R1664" s="381" t="s">
        <v>1509</v>
      </c>
      <c r="S1664" s="381" t="s">
        <v>967</v>
      </c>
      <c r="T1664" s="381"/>
      <c r="U1664" s="381"/>
      <c r="V1664" s="382">
        <v>288.22000000000003</v>
      </c>
      <c r="W1664" s="382">
        <v>0</v>
      </c>
      <c r="X1664" s="381">
        <v>0.12041666666666667</v>
      </c>
      <c r="Y1664" s="381">
        <v>0.12</v>
      </c>
      <c r="Z1664" s="381">
        <v>9.1666666666666668E-5</v>
      </c>
      <c r="AA1664" s="381">
        <v>0</v>
      </c>
      <c r="AB1664" s="381">
        <v>0</v>
      </c>
      <c r="AC1664" s="382">
        <v>0.12009166666666667</v>
      </c>
      <c r="AD1664" s="382">
        <v>0</v>
      </c>
      <c r="AE1664" s="381" t="s">
        <v>168</v>
      </c>
    </row>
    <row r="1665" spans="1:31" ht="15" customHeight="1" x14ac:dyDescent="0.25">
      <c r="A1665" s="20" t="s">
        <v>156</v>
      </c>
      <c r="B1665" s="20" t="s">
        <v>2056</v>
      </c>
      <c r="C1665" s="20" t="s">
        <v>2057</v>
      </c>
      <c r="D1665" s="378" t="s">
        <v>2313</v>
      </c>
      <c r="E1665" s="379">
        <v>44581</v>
      </c>
      <c r="F1665" s="379">
        <v>46407</v>
      </c>
      <c r="G1665" s="378" t="s">
        <v>237</v>
      </c>
      <c r="H1665" s="20" t="s">
        <v>238</v>
      </c>
      <c r="I1665" s="20" t="s">
        <v>162</v>
      </c>
      <c r="J1665" s="20" t="s">
        <v>163</v>
      </c>
      <c r="K1665" s="378" t="s">
        <v>239</v>
      </c>
      <c r="L1665" s="20" t="s">
        <v>165</v>
      </c>
      <c r="M1665" s="380">
        <v>2400</v>
      </c>
      <c r="N1665" s="380"/>
      <c r="O1665" s="380"/>
      <c r="P1665" s="380"/>
      <c r="Q1665" s="381" t="s">
        <v>1498</v>
      </c>
      <c r="R1665" s="381" t="s">
        <v>1803</v>
      </c>
      <c r="S1665" s="381" t="s">
        <v>967</v>
      </c>
      <c r="T1665" s="381"/>
      <c r="U1665" s="381"/>
      <c r="V1665" s="382">
        <v>286.22000000000003</v>
      </c>
      <c r="W1665" s="382">
        <v>0</v>
      </c>
      <c r="X1665" s="381">
        <v>0.11958333333333333</v>
      </c>
      <c r="Y1665" s="381">
        <v>0.11916666666666667</v>
      </c>
      <c r="Z1665" s="381">
        <v>9.1666666666666668E-5</v>
      </c>
      <c r="AA1665" s="381">
        <v>0</v>
      </c>
      <c r="AB1665" s="381">
        <v>0</v>
      </c>
      <c r="AC1665" s="382">
        <v>0.11925833333333334</v>
      </c>
      <c r="AD1665" s="382">
        <v>0</v>
      </c>
      <c r="AE1665" s="381" t="s">
        <v>168</v>
      </c>
    </row>
    <row r="1666" spans="1:31" ht="15" customHeight="1" x14ac:dyDescent="0.25">
      <c r="A1666" s="20" t="s">
        <v>156</v>
      </c>
      <c r="B1666" s="20" t="s">
        <v>2056</v>
      </c>
      <c r="C1666" s="20" t="s">
        <v>2057</v>
      </c>
      <c r="D1666" s="378" t="s">
        <v>2314</v>
      </c>
      <c r="E1666" s="384" t="s">
        <v>437</v>
      </c>
      <c r="F1666" s="384" t="s">
        <v>438</v>
      </c>
      <c r="G1666" s="378" t="s">
        <v>439</v>
      </c>
      <c r="H1666" s="20" t="s">
        <v>2315</v>
      </c>
      <c r="I1666" s="378" t="s">
        <v>441</v>
      </c>
      <c r="J1666" s="20" t="s">
        <v>163</v>
      </c>
      <c r="K1666" s="378" t="s">
        <v>2316</v>
      </c>
      <c r="L1666" s="378" t="s">
        <v>165</v>
      </c>
      <c r="M1666" s="380">
        <v>2384</v>
      </c>
      <c r="N1666" s="380" t="s">
        <v>443</v>
      </c>
      <c r="O1666" s="380" t="s">
        <v>443</v>
      </c>
      <c r="P1666" s="380" t="s">
        <v>443</v>
      </c>
      <c r="Q1666" s="381">
        <v>269</v>
      </c>
      <c r="R1666" s="381">
        <v>269</v>
      </c>
      <c r="S1666" s="381">
        <v>0.35699999999999998</v>
      </c>
      <c r="T1666" s="381">
        <v>0.27700000000000002</v>
      </c>
      <c r="U1666" s="381">
        <v>0</v>
      </c>
      <c r="V1666" s="382">
        <v>269.63400000000001</v>
      </c>
      <c r="W1666" s="382">
        <v>0</v>
      </c>
      <c r="X1666" s="381">
        <v>0.11283557046979865</v>
      </c>
      <c r="Y1666" s="381">
        <v>0.11283557046979865</v>
      </c>
      <c r="Z1666" s="381">
        <v>1.4974832214765101E-4</v>
      </c>
      <c r="AA1666" s="381">
        <v>1.1619127516778524E-4</v>
      </c>
      <c r="AB1666" s="381">
        <v>0</v>
      </c>
      <c r="AC1666" s="382">
        <v>0.11310151006711408</v>
      </c>
      <c r="AD1666" s="382">
        <v>0</v>
      </c>
      <c r="AE1666" s="381" t="s">
        <v>444</v>
      </c>
    </row>
    <row r="1667" spans="1:31" ht="15" customHeight="1" x14ac:dyDescent="0.25">
      <c r="A1667" s="20" t="s">
        <v>156</v>
      </c>
      <c r="B1667" s="20" t="s">
        <v>1450</v>
      </c>
      <c r="C1667" s="20" t="s">
        <v>2057</v>
      </c>
      <c r="D1667" s="378" t="s">
        <v>2317</v>
      </c>
      <c r="E1667" s="384" t="s">
        <v>437</v>
      </c>
      <c r="F1667" s="384" t="s">
        <v>438</v>
      </c>
      <c r="G1667" s="378" t="s">
        <v>439</v>
      </c>
      <c r="H1667" s="20" t="s">
        <v>2318</v>
      </c>
      <c r="I1667" s="378" t="s">
        <v>441</v>
      </c>
      <c r="J1667" s="20" t="s">
        <v>163</v>
      </c>
      <c r="K1667" s="378" t="s">
        <v>2319</v>
      </c>
      <c r="L1667" s="378" t="s">
        <v>165</v>
      </c>
      <c r="M1667" s="380">
        <v>2384</v>
      </c>
      <c r="N1667" s="380" t="s">
        <v>443</v>
      </c>
      <c r="O1667" s="380" t="s">
        <v>443</v>
      </c>
      <c r="P1667" s="380" t="s">
        <v>443</v>
      </c>
      <c r="Q1667" s="381">
        <v>205</v>
      </c>
      <c r="R1667" s="381">
        <v>205</v>
      </c>
      <c r="S1667" s="381">
        <v>0.27600000000000002</v>
      </c>
      <c r="T1667" s="381">
        <v>0.28199999999999997</v>
      </c>
      <c r="U1667" s="381">
        <v>0</v>
      </c>
      <c r="V1667" s="382">
        <v>205.55800000000002</v>
      </c>
      <c r="W1667" s="382">
        <v>0</v>
      </c>
      <c r="X1667" s="381">
        <v>8.5989932885906034E-2</v>
      </c>
      <c r="Y1667" s="381">
        <v>8.5989932885906034E-2</v>
      </c>
      <c r="Z1667" s="381">
        <v>1.1577181208053692E-4</v>
      </c>
      <c r="AA1667" s="381">
        <v>1.1828859060402683E-4</v>
      </c>
      <c r="AB1667" s="381">
        <v>0</v>
      </c>
      <c r="AC1667" s="382">
        <v>8.6223993288590609E-2</v>
      </c>
      <c r="AD1667" s="382">
        <v>0</v>
      </c>
      <c r="AE1667" s="381" t="s">
        <v>444</v>
      </c>
    </row>
    <row r="1668" spans="1:31" ht="15" customHeight="1" x14ac:dyDescent="0.25">
      <c r="A1668" s="20" t="s">
        <v>156</v>
      </c>
      <c r="B1668" s="20" t="s">
        <v>1450</v>
      </c>
      <c r="C1668" s="20" t="s">
        <v>2057</v>
      </c>
      <c r="D1668" s="378" t="s">
        <v>2320</v>
      </c>
      <c r="E1668" s="384" t="s">
        <v>437</v>
      </c>
      <c r="F1668" s="384" t="s">
        <v>438</v>
      </c>
      <c r="G1668" s="378" t="s">
        <v>439</v>
      </c>
      <c r="H1668" s="20" t="s">
        <v>2321</v>
      </c>
      <c r="I1668" s="378" t="s">
        <v>441</v>
      </c>
      <c r="J1668" s="20" t="s">
        <v>163</v>
      </c>
      <c r="K1668" s="378" t="s">
        <v>2322</v>
      </c>
      <c r="L1668" s="378" t="s">
        <v>165</v>
      </c>
      <c r="M1668" s="380">
        <v>2384</v>
      </c>
      <c r="N1668" s="380" t="s">
        <v>443</v>
      </c>
      <c r="O1668" s="380" t="s">
        <v>443</v>
      </c>
      <c r="P1668" s="380" t="s">
        <v>443</v>
      </c>
      <c r="Q1668" s="381">
        <v>223</v>
      </c>
      <c r="R1668" s="381">
        <v>222</v>
      </c>
      <c r="S1668" s="381">
        <v>0.252</v>
      </c>
      <c r="T1668" s="381">
        <v>0.28299999999999997</v>
      </c>
      <c r="U1668" s="381">
        <v>0</v>
      </c>
      <c r="V1668" s="382">
        <v>222.535</v>
      </c>
      <c r="W1668" s="382">
        <v>0</v>
      </c>
      <c r="X1668" s="381">
        <v>9.3540268456375836E-2</v>
      </c>
      <c r="Y1668" s="381">
        <v>9.3120805369127521E-2</v>
      </c>
      <c r="Z1668" s="381">
        <v>1.0570469798657718E-4</v>
      </c>
      <c r="AA1668" s="381">
        <v>1.1870805369127516E-4</v>
      </c>
      <c r="AB1668" s="381">
        <v>0</v>
      </c>
      <c r="AC1668" s="382">
        <v>9.3345218120805373E-2</v>
      </c>
      <c r="AD1668" s="382">
        <v>0</v>
      </c>
      <c r="AE1668" s="381" t="s">
        <v>444</v>
      </c>
    </row>
    <row r="1669" spans="1:31" ht="15" customHeight="1" x14ac:dyDescent="0.25">
      <c r="A1669" s="20" t="s">
        <v>156</v>
      </c>
      <c r="B1669" s="20" t="s">
        <v>1450</v>
      </c>
      <c r="C1669" s="20" t="s">
        <v>2057</v>
      </c>
      <c r="D1669" s="378" t="s">
        <v>2323</v>
      </c>
      <c r="E1669" s="384" t="s">
        <v>437</v>
      </c>
      <c r="F1669" s="384" t="s">
        <v>438</v>
      </c>
      <c r="G1669" s="378" t="s">
        <v>439</v>
      </c>
      <c r="H1669" s="20" t="s">
        <v>2324</v>
      </c>
      <c r="I1669" s="378" t="s">
        <v>441</v>
      </c>
      <c r="J1669" s="20" t="s">
        <v>163</v>
      </c>
      <c r="K1669" s="378" t="s">
        <v>2325</v>
      </c>
      <c r="L1669" s="378" t="s">
        <v>165</v>
      </c>
      <c r="M1669" s="380">
        <v>2384</v>
      </c>
      <c r="N1669" s="380" t="s">
        <v>443</v>
      </c>
      <c r="O1669" s="380" t="s">
        <v>443</v>
      </c>
      <c r="P1669" s="380" t="s">
        <v>443</v>
      </c>
      <c r="Q1669" s="381">
        <v>300</v>
      </c>
      <c r="R1669" s="381">
        <v>300</v>
      </c>
      <c r="S1669" s="381">
        <v>0.28199999999999997</v>
      </c>
      <c r="T1669" s="381">
        <v>0.28100000000000003</v>
      </c>
      <c r="U1669" s="381">
        <v>0</v>
      </c>
      <c r="V1669" s="382">
        <v>300.56299999999999</v>
      </c>
      <c r="W1669" s="382">
        <v>0</v>
      </c>
      <c r="X1669" s="381">
        <v>0.12583892617449666</v>
      </c>
      <c r="Y1669" s="381">
        <v>0.12583892617449666</v>
      </c>
      <c r="Z1669" s="381">
        <v>1.1828859060402683E-4</v>
      </c>
      <c r="AA1669" s="381">
        <v>1.1786912751677854E-4</v>
      </c>
      <c r="AB1669" s="381">
        <v>0</v>
      </c>
      <c r="AC1669" s="382">
        <v>0.12607508389261746</v>
      </c>
      <c r="AD1669" s="382">
        <v>0</v>
      </c>
      <c r="AE1669" s="381" t="s">
        <v>444</v>
      </c>
    </row>
    <row r="1670" spans="1:31" ht="15" customHeight="1" x14ac:dyDescent="0.25">
      <c r="A1670" s="20" t="s">
        <v>156</v>
      </c>
      <c r="B1670" s="20" t="s">
        <v>2056</v>
      </c>
      <c r="C1670" s="20" t="s">
        <v>2057</v>
      </c>
      <c r="D1670" s="378" t="s">
        <v>2326</v>
      </c>
      <c r="E1670" s="384" t="s">
        <v>437</v>
      </c>
      <c r="F1670" s="384" t="s">
        <v>438</v>
      </c>
      <c r="G1670" s="378" t="s">
        <v>439</v>
      </c>
      <c r="H1670" s="20" t="s">
        <v>2327</v>
      </c>
      <c r="I1670" s="378" t="s">
        <v>441</v>
      </c>
      <c r="J1670" s="20" t="s">
        <v>163</v>
      </c>
      <c r="K1670" s="378" t="s">
        <v>2328</v>
      </c>
      <c r="L1670" s="378" t="s">
        <v>165</v>
      </c>
      <c r="M1670" s="380">
        <v>2384</v>
      </c>
      <c r="N1670" s="380" t="s">
        <v>443</v>
      </c>
      <c r="O1670" s="380" t="s">
        <v>443</v>
      </c>
      <c r="P1670" s="380" t="s">
        <v>443</v>
      </c>
      <c r="Q1670" s="381">
        <v>363</v>
      </c>
      <c r="R1670" s="381">
        <v>363</v>
      </c>
      <c r="S1670" s="381">
        <v>0.33</v>
      </c>
      <c r="T1670" s="381">
        <v>0.27700000000000002</v>
      </c>
      <c r="U1670" s="381">
        <v>0</v>
      </c>
      <c r="V1670" s="382">
        <v>363.60699999999997</v>
      </c>
      <c r="W1670" s="382">
        <v>0</v>
      </c>
      <c r="X1670" s="381">
        <v>0.15226510067114093</v>
      </c>
      <c r="Y1670" s="381">
        <v>0.15226510067114093</v>
      </c>
      <c r="Z1670" s="381">
        <v>1.3842281879194632E-4</v>
      </c>
      <c r="AA1670" s="381">
        <v>1.1619127516778524E-4</v>
      </c>
      <c r="AB1670" s="381">
        <v>0</v>
      </c>
      <c r="AC1670" s="382">
        <v>0.15251971476510068</v>
      </c>
      <c r="AD1670" s="382">
        <v>0</v>
      </c>
      <c r="AE1670" s="381" t="s">
        <v>444</v>
      </c>
    </row>
    <row r="1671" spans="1:31" ht="15" customHeight="1" x14ac:dyDescent="0.25">
      <c r="A1671" s="20" t="s">
        <v>156</v>
      </c>
      <c r="B1671" s="20" t="s">
        <v>1450</v>
      </c>
      <c r="C1671" s="20" t="s">
        <v>2057</v>
      </c>
      <c r="D1671" s="378" t="s">
        <v>2329</v>
      </c>
      <c r="E1671" s="384" t="s">
        <v>437</v>
      </c>
      <c r="F1671" s="384" t="s">
        <v>438</v>
      </c>
      <c r="G1671" s="378" t="s">
        <v>439</v>
      </c>
      <c r="H1671" s="20" t="s">
        <v>2330</v>
      </c>
      <c r="I1671" s="378" t="s">
        <v>441</v>
      </c>
      <c r="J1671" s="20" t="s">
        <v>163</v>
      </c>
      <c r="K1671" s="378" t="s">
        <v>2331</v>
      </c>
      <c r="L1671" s="378" t="s">
        <v>165</v>
      </c>
      <c r="M1671" s="380">
        <v>2384</v>
      </c>
      <c r="N1671" s="380" t="s">
        <v>443</v>
      </c>
      <c r="O1671" s="380" t="s">
        <v>443</v>
      </c>
      <c r="P1671" s="380" t="s">
        <v>443</v>
      </c>
      <c r="Q1671" s="381">
        <v>276</v>
      </c>
      <c r="R1671" s="381">
        <v>275</v>
      </c>
      <c r="S1671" s="381">
        <v>0.24399999999999999</v>
      </c>
      <c r="T1671" s="381">
        <v>0.28399999999999997</v>
      </c>
      <c r="U1671" s="381">
        <v>0</v>
      </c>
      <c r="V1671" s="382">
        <v>275.52800000000002</v>
      </c>
      <c r="W1671" s="382">
        <v>0</v>
      </c>
      <c r="X1671" s="381">
        <v>0.11577181208053691</v>
      </c>
      <c r="Y1671" s="381">
        <v>0.11535234899328858</v>
      </c>
      <c r="Z1671" s="381">
        <v>1.023489932885906E-4</v>
      </c>
      <c r="AA1671" s="381">
        <v>1.1912751677852348E-4</v>
      </c>
      <c r="AB1671" s="381">
        <v>0</v>
      </c>
      <c r="AC1671" s="382">
        <v>0.1155738255033557</v>
      </c>
      <c r="AD1671" s="382">
        <v>0</v>
      </c>
      <c r="AE1671" s="381" t="s">
        <v>444</v>
      </c>
    </row>
    <row r="1672" spans="1:31" ht="15" customHeight="1" x14ac:dyDescent="0.25">
      <c r="A1672" s="20" t="s">
        <v>156</v>
      </c>
      <c r="B1672" s="20" t="s">
        <v>1450</v>
      </c>
      <c r="C1672" s="20" t="s">
        <v>2057</v>
      </c>
      <c r="D1672" s="378" t="s">
        <v>2332</v>
      </c>
      <c r="E1672" s="384" t="s">
        <v>437</v>
      </c>
      <c r="F1672" s="384" t="s">
        <v>438</v>
      </c>
      <c r="G1672" s="378" t="s">
        <v>439</v>
      </c>
      <c r="H1672" s="20" t="s">
        <v>2333</v>
      </c>
      <c r="I1672" s="378" t="s">
        <v>441</v>
      </c>
      <c r="J1672" s="20" t="s">
        <v>163</v>
      </c>
      <c r="K1672" s="378" t="s">
        <v>2334</v>
      </c>
      <c r="L1672" s="378" t="s">
        <v>165</v>
      </c>
      <c r="M1672" s="380">
        <v>2384</v>
      </c>
      <c r="N1672" s="380" t="s">
        <v>443</v>
      </c>
      <c r="O1672" s="380" t="s">
        <v>443</v>
      </c>
      <c r="P1672" s="380" t="s">
        <v>443</v>
      </c>
      <c r="Q1672" s="381">
        <v>256</v>
      </c>
      <c r="R1672" s="381">
        <v>256</v>
      </c>
      <c r="S1672" s="381">
        <v>0.26600000000000001</v>
      </c>
      <c r="T1672" s="381">
        <v>0.27</v>
      </c>
      <c r="U1672" s="381">
        <v>0</v>
      </c>
      <c r="V1672" s="382">
        <v>256.536</v>
      </c>
      <c r="W1672" s="382">
        <v>0</v>
      </c>
      <c r="X1672" s="381">
        <v>0.10738255033557047</v>
      </c>
      <c r="Y1672" s="381">
        <v>0.10738255033557047</v>
      </c>
      <c r="Z1672" s="381">
        <v>1.115771812080537E-4</v>
      </c>
      <c r="AA1672" s="381">
        <v>1.1325503355704699E-4</v>
      </c>
      <c r="AB1672" s="381">
        <v>0</v>
      </c>
      <c r="AC1672" s="382">
        <v>0.10760738255033557</v>
      </c>
      <c r="AD1672" s="382">
        <v>0</v>
      </c>
      <c r="AE1672" s="381" t="s">
        <v>444</v>
      </c>
    </row>
    <row r="1673" spans="1:31" ht="15" customHeight="1" x14ac:dyDescent="0.25">
      <c r="A1673" s="20" t="s">
        <v>156</v>
      </c>
      <c r="B1673" s="20" t="s">
        <v>2056</v>
      </c>
      <c r="C1673" s="20" t="s">
        <v>2057</v>
      </c>
      <c r="D1673" s="378" t="s">
        <v>2335</v>
      </c>
      <c r="E1673" s="384" t="s">
        <v>437</v>
      </c>
      <c r="F1673" s="384" t="s">
        <v>438</v>
      </c>
      <c r="G1673" s="378" t="s">
        <v>439</v>
      </c>
      <c r="H1673" s="20" t="s">
        <v>2336</v>
      </c>
      <c r="I1673" s="378" t="s">
        <v>441</v>
      </c>
      <c r="J1673" s="20" t="s">
        <v>163</v>
      </c>
      <c r="K1673" s="378" t="s">
        <v>2337</v>
      </c>
      <c r="L1673" s="378" t="s">
        <v>165</v>
      </c>
      <c r="M1673" s="380">
        <v>2384</v>
      </c>
      <c r="N1673" s="380" t="s">
        <v>443</v>
      </c>
      <c r="O1673" s="380" t="s">
        <v>443</v>
      </c>
      <c r="P1673" s="380" t="s">
        <v>443</v>
      </c>
      <c r="Q1673" s="381">
        <v>233</v>
      </c>
      <c r="R1673" s="381">
        <v>232</v>
      </c>
      <c r="S1673" s="381">
        <v>0.54800000000000004</v>
      </c>
      <c r="T1673" s="381">
        <v>0.28000000000000003</v>
      </c>
      <c r="U1673" s="381">
        <v>0</v>
      </c>
      <c r="V1673" s="382">
        <v>232.828</v>
      </c>
      <c r="W1673" s="382">
        <v>0</v>
      </c>
      <c r="X1673" s="381">
        <v>9.7734899328859065E-2</v>
      </c>
      <c r="Y1673" s="381">
        <v>9.7315436241610737E-2</v>
      </c>
      <c r="Z1673" s="381">
        <v>2.2986577181208055E-4</v>
      </c>
      <c r="AA1673" s="381">
        <v>1.1744966442953021E-4</v>
      </c>
      <c r="AB1673" s="381">
        <v>0</v>
      </c>
      <c r="AC1673" s="382">
        <v>9.766275167785235E-2</v>
      </c>
      <c r="AD1673" s="382">
        <v>0</v>
      </c>
      <c r="AE1673" s="381" t="s">
        <v>444</v>
      </c>
    </row>
    <row r="1674" spans="1:31" ht="15" customHeight="1" x14ac:dyDescent="0.25">
      <c r="A1674" s="20" t="s">
        <v>156</v>
      </c>
      <c r="B1674" s="20" t="s">
        <v>1450</v>
      </c>
      <c r="C1674" s="20" t="s">
        <v>2057</v>
      </c>
      <c r="D1674" s="378" t="s">
        <v>2338</v>
      </c>
      <c r="E1674" s="384" t="s">
        <v>437</v>
      </c>
      <c r="F1674" s="384" t="s">
        <v>438</v>
      </c>
      <c r="G1674" s="378" t="s">
        <v>439</v>
      </c>
      <c r="H1674" s="20" t="s">
        <v>2339</v>
      </c>
      <c r="I1674" s="378" t="s">
        <v>441</v>
      </c>
      <c r="J1674" s="20" t="s">
        <v>163</v>
      </c>
      <c r="K1674" s="378" t="s">
        <v>2340</v>
      </c>
      <c r="L1674" s="378" t="s">
        <v>165</v>
      </c>
      <c r="M1674" s="380">
        <v>2384</v>
      </c>
      <c r="N1674" s="380" t="s">
        <v>443</v>
      </c>
      <c r="O1674" s="380" t="s">
        <v>443</v>
      </c>
      <c r="P1674" s="380" t="s">
        <v>443</v>
      </c>
      <c r="Q1674" s="381">
        <v>305</v>
      </c>
      <c r="R1674" s="381">
        <v>304</v>
      </c>
      <c r="S1674" s="381">
        <v>0.25700000000000001</v>
      </c>
      <c r="T1674" s="381">
        <v>0.28399999999999997</v>
      </c>
      <c r="U1674" s="381">
        <v>0</v>
      </c>
      <c r="V1674" s="382">
        <v>304.541</v>
      </c>
      <c r="W1674" s="382">
        <v>0</v>
      </c>
      <c r="X1674" s="381">
        <v>0.12793624161073824</v>
      </c>
      <c r="Y1674" s="381">
        <v>0.12751677852348994</v>
      </c>
      <c r="Z1674" s="381">
        <v>1.078020134228188E-4</v>
      </c>
      <c r="AA1674" s="381">
        <v>1.1912751677852348E-4</v>
      </c>
      <c r="AB1674" s="381">
        <v>0</v>
      </c>
      <c r="AC1674" s="382">
        <v>0.12774370805369129</v>
      </c>
      <c r="AD1674" s="382">
        <v>0</v>
      </c>
      <c r="AE1674" s="381" t="s">
        <v>444</v>
      </c>
    </row>
    <row r="1675" spans="1:31" ht="15" customHeight="1" x14ac:dyDescent="0.25">
      <c r="A1675" s="20" t="s">
        <v>156</v>
      </c>
      <c r="B1675" s="20" t="s">
        <v>2056</v>
      </c>
      <c r="C1675" s="20" t="s">
        <v>2057</v>
      </c>
      <c r="D1675" s="378" t="s">
        <v>2341</v>
      </c>
      <c r="E1675" s="384" t="s">
        <v>437</v>
      </c>
      <c r="F1675" s="384" t="s">
        <v>438</v>
      </c>
      <c r="G1675" s="378" t="s">
        <v>439</v>
      </c>
      <c r="H1675" s="20" t="s">
        <v>2342</v>
      </c>
      <c r="I1675" s="378" t="s">
        <v>441</v>
      </c>
      <c r="J1675" s="20" t="s">
        <v>163</v>
      </c>
      <c r="K1675" s="378" t="s">
        <v>2343</v>
      </c>
      <c r="L1675" s="378" t="s">
        <v>165</v>
      </c>
      <c r="M1675" s="380">
        <v>2384</v>
      </c>
      <c r="N1675" s="380" t="s">
        <v>443</v>
      </c>
      <c r="O1675" s="380" t="s">
        <v>443</v>
      </c>
      <c r="P1675" s="380" t="s">
        <v>443</v>
      </c>
      <c r="Q1675" s="381">
        <v>388</v>
      </c>
      <c r="R1675" s="381">
        <v>387</v>
      </c>
      <c r="S1675" s="381">
        <v>0.28999999999999998</v>
      </c>
      <c r="T1675" s="381">
        <v>0.27900000000000003</v>
      </c>
      <c r="U1675" s="381">
        <v>0</v>
      </c>
      <c r="V1675" s="382">
        <v>387.56900000000002</v>
      </c>
      <c r="W1675" s="382">
        <v>0</v>
      </c>
      <c r="X1675" s="381">
        <v>0.16275167785234898</v>
      </c>
      <c r="Y1675" s="381">
        <v>0.16233221476510068</v>
      </c>
      <c r="Z1675" s="381">
        <v>1.2164429530201341E-4</v>
      </c>
      <c r="AA1675" s="381">
        <v>1.1703020134228189E-4</v>
      </c>
      <c r="AB1675" s="381">
        <v>0</v>
      </c>
      <c r="AC1675" s="382">
        <v>0.16257088926174498</v>
      </c>
      <c r="AD1675" s="382">
        <v>0</v>
      </c>
      <c r="AE1675" s="381" t="s">
        <v>444</v>
      </c>
    </row>
    <row r="1676" spans="1:31" ht="15" customHeight="1" x14ac:dyDescent="0.25">
      <c r="A1676" s="20" t="s">
        <v>156</v>
      </c>
      <c r="B1676" s="20" t="s">
        <v>1450</v>
      </c>
      <c r="C1676" s="20" t="s">
        <v>2057</v>
      </c>
      <c r="D1676" s="378" t="s">
        <v>2344</v>
      </c>
      <c r="E1676" s="384" t="s">
        <v>437</v>
      </c>
      <c r="F1676" s="384" t="s">
        <v>438</v>
      </c>
      <c r="G1676" s="378" t="s">
        <v>439</v>
      </c>
      <c r="H1676" s="20" t="s">
        <v>2345</v>
      </c>
      <c r="I1676" s="378" t="s">
        <v>441</v>
      </c>
      <c r="J1676" s="20" t="s">
        <v>163</v>
      </c>
      <c r="K1676" s="378" t="s">
        <v>2346</v>
      </c>
      <c r="L1676" s="378" t="s">
        <v>165</v>
      </c>
      <c r="M1676" s="380">
        <v>2384</v>
      </c>
      <c r="N1676" s="380" t="s">
        <v>443</v>
      </c>
      <c r="O1676" s="380" t="s">
        <v>443</v>
      </c>
      <c r="P1676" s="380" t="s">
        <v>443</v>
      </c>
      <c r="Q1676" s="381">
        <v>256</v>
      </c>
      <c r="R1676" s="381">
        <v>255</v>
      </c>
      <c r="S1676" s="381">
        <v>0.248</v>
      </c>
      <c r="T1676" s="381">
        <v>0.28399999999999997</v>
      </c>
      <c r="U1676" s="381">
        <v>0</v>
      </c>
      <c r="V1676" s="382">
        <v>255.53199999999998</v>
      </c>
      <c r="W1676" s="382">
        <v>0</v>
      </c>
      <c r="X1676" s="381">
        <v>0.10738255033557047</v>
      </c>
      <c r="Y1676" s="381">
        <v>0.10696308724832215</v>
      </c>
      <c r="Z1676" s="381">
        <v>1.0402684563758389E-4</v>
      </c>
      <c r="AA1676" s="381">
        <v>1.1912751677852348E-4</v>
      </c>
      <c r="AB1676" s="381">
        <v>0</v>
      </c>
      <c r="AC1676" s="382">
        <v>0.10718624161073825</v>
      </c>
      <c r="AD1676" s="382">
        <v>0</v>
      </c>
      <c r="AE1676" s="381" t="s">
        <v>444</v>
      </c>
    </row>
    <row r="1677" spans="1:31" ht="15" customHeight="1" x14ac:dyDescent="0.25">
      <c r="A1677" s="20" t="s">
        <v>156</v>
      </c>
      <c r="B1677" s="20" t="s">
        <v>2056</v>
      </c>
      <c r="C1677" s="20" t="s">
        <v>2057</v>
      </c>
      <c r="D1677" s="378" t="s">
        <v>2347</v>
      </c>
      <c r="E1677" s="384" t="s">
        <v>437</v>
      </c>
      <c r="F1677" s="384" t="s">
        <v>438</v>
      </c>
      <c r="G1677" s="378" t="s">
        <v>439</v>
      </c>
      <c r="H1677" s="20" t="s">
        <v>2348</v>
      </c>
      <c r="I1677" s="378" t="s">
        <v>441</v>
      </c>
      <c r="J1677" s="20" t="s">
        <v>163</v>
      </c>
      <c r="K1677" s="378" t="s">
        <v>2349</v>
      </c>
      <c r="L1677" s="378" t="s">
        <v>165</v>
      </c>
      <c r="M1677" s="380">
        <v>2384</v>
      </c>
      <c r="N1677" s="380" t="s">
        <v>443</v>
      </c>
      <c r="O1677" s="380" t="s">
        <v>443</v>
      </c>
      <c r="P1677" s="380" t="s">
        <v>443</v>
      </c>
      <c r="Q1677" s="381">
        <v>307</v>
      </c>
      <c r="R1677" s="381">
        <v>306</v>
      </c>
      <c r="S1677" s="381">
        <v>0.27200000000000002</v>
      </c>
      <c r="T1677" s="381">
        <v>0.28100000000000003</v>
      </c>
      <c r="U1677" s="381">
        <v>0</v>
      </c>
      <c r="V1677" s="382">
        <v>306.553</v>
      </c>
      <c r="W1677" s="382">
        <v>0</v>
      </c>
      <c r="X1677" s="381">
        <v>0.1287751677852349</v>
      </c>
      <c r="Y1677" s="381">
        <v>0.12835570469798657</v>
      </c>
      <c r="Z1677" s="381">
        <v>1.1409395973154363E-4</v>
      </c>
      <c r="AA1677" s="381">
        <v>1.1786912751677854E-4</v>
      </c>
      <c r="AB1677" s="381">
        <v>0</v>
      </c>
      <c r="AC1677" s="382">
        <v>0.12858766778523489</v>
      </c>
      <c r="AD1677" s="382">
        <v>0</v>
      </c>
      <c r="AE1677" s="381" t="s">
        <v>444</v>
      </c>
    </row>
    <row r="1678" spans="1:31" ht="15" customHeight="1" x14ac:dyDescent="0.25">
      <c r="A1678" s="20" t="s">
        <v>156</v>
      </c>
      <c r="B1678" s="20" t="s">
        <v>1450</v>
      </c>
      <c r="C1678" s="20" t="s">
        <v>2057</v>
      </c>
      <c r="D1678" s="378" t="s">
        <v>2350</v>
      </c>
      <c r="E1678" s="384" t="s">
        <v>437</v>
      </c>
      <c r="F1678" s="384" t="s">
        <v>438</v>
      </c>
      <c r="G1678" s="378" t="s">
        <v>439</v>
      </c>
      <c r="H1678" s="20" t="s">
        <v>2348</v>
      </c>
      <c r="I1678" s="378" t="s">
        <v>441</v>
      </c>
      <c r="J1678" s="20" t="s">
        <v>163</v>
      </c>
      <c r="K1678" s="378" t="s">
        <v>2351</v>
      </c>
      <c r="L1678" s="378" t="s">
        <v>165</v>
      </c>
      <c r="M1678" s="380">
        <v>2384</v>
      </c>
      <c r="N1678" s="380" t="s">
        <v>443</v>
      </c>
      <c r="O1678" s="380" t="s">
        <v>443</v>
      </c>
      <c r="P1678" s="380" t="s">
        <v>443</v>
      </c>
      <c r="Q1678" s="381">
        <v>291</v>
      </c>
      <c r="R1678" s="381">
        <v>290</v>
      </c>
      <c r="S1678" s="381">
        <v>0.28899999999999998</v>
      </c>
      <c r="T1678" s="381">
        <v>0.28599999999999998</v>
      </c>
      <c r="U1678" s="381">
        <v>0</v>
      </c>
      <c r="V1678" s="382">
        <v>290.57499999999999</v>
      </c>
      <c r="W1678" s="382">
        <v>0</v>
      </c>
      <c r="X1678" s="381">
        <v>0.12206375838926174</v>
      </c>
      <c r="Y1678" s="381">
        <v>0.12164429530201343</v>
      </c>
      <c r="Z1678" s="381">
        <v>1.2122483221476509E-4</v>
      </c>
      <c r="AA1678" s="381">
        <v>1.1996644295302013E-4</v>
      </c>
      <c r="AB1678" s="381">
        <v>0</v>
      </c>
      <c r="AC1678" s="382">
        <v>0.12188548657718121</v>
      </c>
      <c r="AD1678" s="382">
        <v>0</v>
      </c>
      <c r="AE1678" s="381" t="s">
        <v>444</v>
      </c>
    </row>
    <row r="1679" spans="1:31" ht="15" customHeight="1" x14ac:dyDescent="0.25">
      <c r="A1679" s="20" t="s">
        <v>156</v>
      </c>
      <c r="B1679" s="20" t="s">
        <v>2056</v>
      </c>
      <c r="C1679" s="20" t="s">
        <v>2057</v>
      </c>
      <c r="D1679" s="378" t="s">
        <v>2352</v>
      </c>
      <c r="E1679" s="384" t="s">
        <v>437</v>
      </c>
      <c r="F1679" s="384" t="s">
        <v>438</v>
      </c>
      <c r="G1679" s="378" t="s">
        <v>439</v>
      </c>
      <c r="H1679" s="20" t="s">
        <v>2353</v>
      </c>
      <c r="I1679" s="378" t="s">
        <v>441</v>
      </c>
      <c r="J1679" s="20" t="s">
        <v>163</v>
      </c>
      <c r="K1679" s="378" t="s">
        <v>2354</v>
      </c>
      <c r="L1679" s="378" t="s">
        <v>165</v>
      </c>
      <c r="M1679" s="380">
        <v>2384</v>
      </c>
      <c r="N1679" s="380" t="s">
        <v>443</v>
      </c>
      <c r="O1679" s="380" t="s">
        <v>443</v>
      </c>
      <c r="P1679" s="380" t="s">
        <v>443</v>
      </c>
      <c r="Q1679" s="381">
        <v>307</v>
      </c>
      <c r="R1679" s="381">
        <v>306</v>
      </c>
      <c r="S1679" s="381">
        <v>0.27200000000000002</v>
      </c>
      <c r="T1679" s="381">
        <v>0.28100000000000003</v>
      </c>
      <c r="U1679" s="381">
        <v>0</v>
      </c>
      <c r="V1679" s="382">
        <v>306.553</v>
      </c>
      <c r="W1679" s="382">
        <v>0</v>
      </c>
      <c r="X1679" s="381">
        <v>0.1287751677852349</v>
      </c>
      <c r="Y1679" s="381">
        <v>0.12835570469798657</v>
      </c>
      <c r="Z1679" s="381">
        <v>1.1409395973154363E-4</v>
      </c>
      <c r="AA1679" s="381">
        <v>1.1786912751677854E-4</v>
      </c>
      <c r="AB1679" s="381">
        <v>0</v>
      </c>
      <c r="AC1679" s="382">
        <v>0.12858766778523489</v>
      </c>
      <c r="AD1679" s="382">
        <v>0</v>
      </c>
      <c r="AE1679" s="381" t="s">
        <v>444</v>
      </c>
    </row>
    <row r="1680" spans="1:31" ht="15" customHeight="1" x14ac:dyDescent="0.25">
      <c r="A1680" s="20" t="s">
        <v>156</v>
      </c>
      <c r="B1680" s="20" t="s">
        <v>1450</v>
      </c>
      <c r="C1680" s="20" t="s">
        <v>2057</v>
      </c>
      <c r="D1680" s="378" t="s">
        <v>2355</v>
      </c>
      <c r="E1680" s="384" t="s">
        <v>437</v>
      </c>
      <c r="F1680" s="384" t="s">
        <v>438</v>
      </c>
      <c r="G1680" s="378" t="s">
        <v>439</v>
      </c>
      <c r="H1680" s="20" t="s">
        <v>2356</v>
      </c>
      <c r="I1680" s="378" t="s">
        <v>441</v>
      </c>
      <c r="J1680" s="20" t="s">
        <v>163</v>
      </c>
      <c r="K1680" s="378" t="s">
        <v>2357</v>
      </c>
      <c r="L1680" s="378" t="s">
        <v>165</v>
      </c>
      <c r="M1680" s="380">
        <v>2384</v>
      </c>
      <c r="N1680" s="380" t="s">
        <v>443</v>
      </c>
      <c r="O1680" s="380" t="s">
        <v>443</v>
      </c>
      <c r="P1680" s="380" t="s">
        <v>443</v>
      </c>
      <c r="Q1680" s="381">
        <v>247</v>
      </c>
      <c r="R1680" s="381">
        <v>246</v>
      </c>
      <c r="S1680" s="381">
        <v>0.33600000000000002</v>
      </c>
      <c r="T1680" s="381">
        <v>0.27800000000000002</v>
      </c>
      <c r="U1680" s="381">
        <v>0</v>
      </c>
      <c r="V1680" s="382">
        <v>246.614</v>
      </c>
      <c r="W1680" s="382">
        <v>0</v>
      </c>
      <c r="X1680" s="381">
        <v>0.10360738255033557</v>
      </c>
      <c r="Y1680" s="381">
        <v>0.10318791946308725</v>
      </c>
      <c r="Z1680" s="381">
        <v>1.4093959731543626E-4</v>
      </c>
      <c r="AA1680" s="381">
        <v>1.1661073825503357E-4</v>
      </c>
      <c r="AB1680" s="381">
        <v>0</v>
      </c>
      <c r="AC1680" s="382">
        <v>0.10344546979865772</v>
      </c>
      <c r="AD1680" s="382">
        <v>0</v>
      </c>
      <c r="AE1680" s="381" t="s">
        <v>444</v>
      </c>
    </row>
    <row r="1681" spans="1:31" ht="15" customHeight="1" x14ac:dyDescent="0.25">
      <c r="A1681" s="20" t="s">
        <v>156</v>
      </c>
      <c r="B1681" s="20" t="s">
        <v>2056</v>
      </c>
      <c r="C1681" s="20" t="s">
        <v>2057</v>
      </c>
      <c r="D1681" s="378" t="s">
        <v>2358</v>
      </c>
      <c r="E1681" s="384" t="s">
        <v>437</v>
      </c>
      <c r="F1681" s="384" t="s">
        <v>438</v>
      </c>
      <c r="G1681" s="378" t="s">
        <v>439</v>
      </c>
      <c r="H1681" s="20" t="s">
        <v>2359</v>
      </c>
      <c r="I1681" s="378" t="s">
        <v>441</v>
      </c>
      <c r="J1681" s="20" t="s">
        <v>163</v>
      </c>
      <c r="K1681" s="378" t="s">
        <v>2360</v>
      </c>
      <c r="L1681" s="378" t="s">
        <v>165</v>
      </c>
      <c r="M1681" s="380">
        <v>2384</v>
      </c>
      <c r="N1681" s="380" t="s">
        <v>443</v>
      </c>
      <c r="O1681" s="380" t="s">
        <v>443</v>
      </c>
      <c r="P1681" s="380" t="s">
        <v>443</v>
      </c>
      <c r="Q1681" s="381">
        <v>300</v>
      </c>
      <c r="R1681" s="381">
        <v>300</v>
      </c>
      <c r="S1681" s="381">
        <v>0.36399999999999999</v>
      </c>
      <c r="T1681" s="381">
        <v>0.246</v>
      </c>
      <c r="U1681" s="381">
        <v>0</v>
      </c>
      <c r="V1681" s="382">
        <v>300.60999999999996</v>
      </c>
      <c r="W1681" s="382">
        <v>0</v>
      </c>
      <c r="X1681" s="381">
        <v>0.12583892617449666</v>
      </c>
      <c r="Y1681" s="381">
        <v>0.12583892617449666</v>
      </c>
      <c r="Z1681" s="381">
        <v>1.5268456375838925E-4</v>
      </c>
      <c r="AA1681" s="381">
        <v>1.0318791946308725E-4</v>
      </c>
      <c r="AB1681" s="381">
        <v>0</v>
      </c>
      <c r="AC1681" s="382">
        <v>0.12609479865771814</v>
      </c>
      <c r="AD1681" s="382">
        <v>0</v>
      </c>
      <c r="AE1681" s="381" t="s">
        <v>444</v>
      </c>
    </row>
    <row r="1682" spans="1:31" ht="15" customHeight="1" x14ac:dyDescent="0.25">
      <c r="A1682" s="20" t="s">
        <v>156</v>
      </c>
      <c r="B1682" s="20" t="s">
        <v>2056</v>
      </c>
      <c r="C1682" s="20" t="s">
        <v>2057</v>
      </c>
      <c r="D1682" s="378" t="s">
        <v>2361</v>
      </c>
      <c r="E1682" s="384" t="s">
        <v>437</v>
      </c>
      <c r="F1682" s="384" t="s">
        <v>438</v>
      </c>
      <c r="G1682" s="378" t="s">
        <v>439</v>
      </c>
      <c r="H1682" s="20" t="s">
        <v>2362</v>
      </c>
      <c r="I1682" s="378" t="s">
        <v>441</v>
      </c>
      <c r="J1682" s="20" t="s">
        <v>163</v>
      </c>
      <c r="K1682" s="378" t="s">
        <v>2363</v>
      </c>
      <c r="L1682" s="378" t="s">
        <v>165</v>
      </c>
      <c r="M1682" s="380">
        <v>2384</v>
      </c>
      <c r="N1682" s="380" t="s">
        <v>443</v>
      </c>
      <c r="O1682" s="380" t="s">
        <v>443</v>
      </c>
      <c r="P1682" s="380" t="s">
        <v>443</v>
      </c>
      <c r="Q1682" s="381">
        <v>261</v>
      </c>
      <c r="R1682" s="381">
        <v>261</v>
      </c>
      <c r="S1682" s="381">
        <v>0.35499999999999998</v>
      </c>
      <c r="T1682" s="381">
        <v>0.27800000000000002</v>
      </c>
      <c r="U1682" s="381">
        <v>0</v>
      </c>
      <c r="V1682" s="382">
        <v>261.63300000000004</v>
      </c>
      <c r="W1682" s="382">
        <v>0</v>
      </c>
      <c r="X1682" s="381">
        <v>0.10947986577181208</v>
      </c>
      <c r="Y1682" s="381">
        <v>0.10947986577181208</v>
      </c>
      <c r="Z1682" s="381">
        <v>1.4890939597315435E-4</v>
      </c>
      <c r="AA1682" s="381">
        <v>1.1661073825503357E-4</v>
      </c>
      <c r="AB1682" s="381">
        <v>0</v>
      </c>
      <c r="AC1682" s="382">
        <v>0.10974538590604027</v>
      </c>
      <c r="AD1682" s="382">
        <v>0</v>
      </c>
      <c r="AE1682" s="381" t="s">
        <v>444</v>
      </c>
    </row>
    <row r="1683" spans="1:31" ht="15" customHeight="1" x14ac:dyDescent="0.25">
      <c r="A1683" s="20" t="s">
        <v>156</v>
      </c>
      <c r="B1683" s="20" t="s">
        <v>1450</v>
      </c>
      <c r="C1683" s="20" t="s">
        <v>2057</v>
      </c>
      <c r="D1683" s="378" t="s">
        <v>2364</v>
      </c>
      <c r="E1683" s="384" t="s">
        <v>437</v>
      </c>
      <c r="F1683" s="384" t="s">
        <v>438</v>
      </c>
      <c r="G1683" s="378" t="s">
        <v>439</v>
      </c>
      <c r="H1683" s="20" t="s">
        <v>2365</v>
      </c>
      <c r="I1683" s="378" t="s">
        <v>441</v>
      </c>
      <c r="J1683" s="20" t="s">
        <v>163</v>
      </c>
      <c r="K1683" s="378" t="s">
        <v>2366</v>
      </c>
      <c r="L1683" s="378" t="s">
        <v>165</v>
      </c>
      <c r="M1683" s="380">
        <v>2384</v>
      </c>
      <c r="N1683" s="380" t="s">
        <v>443</v>
      </c>
      <c r="O1683" s="380" t="s">
        <v>443</v>
      </c>
      <c r="P1683" s="380" t="s">
        <v>443</v>
      </c>
      <c r="Q1683" s="381">
        <v>281</v>
      </c>
      <c r="R1683" s="381">
        <v>280</v>
      </c>
      <c r="S1683" s="381">
        <v>0.28799999999999998</v>
      </c>
      <c r="T1683" s="381">
        <v>0.28199999999999997</v>
      </c>
      <c r="U1683" s="381">
        <v>0</v>
      </c>
      <c r="V1683" s="382">
        <v>280.57</v>
      </c>
      <c r="W1683" s="382">
        <v>0</v>
      </c>
      <c r="X1683" s="381">
        <v>0.11786912751677853</v>
      </c>
      <c r="Y1683" s="381">
        <v>0.1174496644295302</v>
      </c>
      <c r="Z1683" s="381">
        <v>1.2080536912751677E-4</v>
      </c>
      <c r="AA1683" s="381">
        <v>1.1828859060402683E-4</v>
      </c>
      <c r="AB1683" s="381">
        <v>0</v>
      </c>
      <c r="AC1683" s="382">
        <v>0.11768875838926175</v>
      </c>
      <c r="AD1683" s="382">
        <v>0</v>
      </c>
      <c r="AE1683" s="381" t="s">
        <v>444</v>
      </c>
    </row>
    <row r="1684" spans="1:31" ht="15" customHeight="1" x14ac:dyDescent="0.25">
      <c r="A1684" s="20" t="s">
        <v>156</v>
      </c>
      <c r="B1684" s="20" t="s">
        <v>1450</v>
      </c>
      <c r="C1684" s="20" t="s">
        <v>2057</v>
      </c>
      <c r="D1684" s="378" t="s">
        <v>2367</v>
      </c>
      <c r="E1684" s="384" t="s">
        <v>437</v>
      </c>
      <c r="F1684" s="384" t="s">
        <v>438</v>
      </c>
      <c r="G1684" s="378" t="s">
        <v>439</v>
      </c>
      <c r="H1684" s="20" t="s">
        <v>2368</v>
      </c>
      <c r="I1684" s="378" t="s">
        <v>441</v>
      </c>
      <c r="J1684" s="20" t="s">
        <v>163</v>
      </c>
      <c r="K1684" s="378" t="s">
        <v>2369</v>
      </c>
      <c r="L1684" s="378" t="s">
        <v>165</v>
      </c>
      <c r="M1684" s="380">
        <v>2384</v>
      </c>
      <c r="N1684" s="380" t="s">
        <v>443</v>
      </c>
      <c r="O1684" s="380" t="s">
        <v>443</v>
      </c>
      <c r="P1684" s="380" t="s">
        <v>443</v>
      </c>
      <c r="Q1684" s="381">
        <v>228</v>
      </c>
      <c r="R1684" s="381">
        <v>228</v>
      </c>
      <c r="S1684" s="381">
        <v>0.28000000000000003</v>
      </c>
      <c r="T1684" s="381">
        <v>0.27700000000000002</v>
      </c>
      <c r="U1684" s="381">
        <v>0</v>
      </c>
      <c r="V1684" s="382">
        <v>228.55699999999999</v>
      </c>
      <c r="W1684" s="382">
        <v>0</v>
      </c>
      <c r="X1684" s="381">
        <v>9.563758389261745E-2</v>
      </c>
      <c r="Y1684" s="381">
        <v>9.563758389261745E-2</v>
      </c>
      <c r="Z1684" s="381">
        <v>1.1744966442953021E-4</v>
      </c>
      <c r="AA1684" s="381">
        <v>1.1619127516778524E-4</v>
      </c>
      <c r="AB1684" s="381">
        <v>0</v>
      </c>
      <c r="AC1684" s="382">
        <v>9.587122483221476E-2</v>
      </c>
      <c r="AD1684" s="382">
        <v>0</v>
      </c>
      <c r="AE1684" s="381" t="s">
        <v>444</v>
      </c>
    </row>
    <row r="1685" spans="1:31" ht="15" customHeight="1" x14ac:dyDescent="0.25">
      <c r="A1685" s="20" t="s">
        <v>156</v>
      </c>
      <c r="B1685" s="20" t="s">
        <v>1450</v>
      </c>
      <c r="C1685" s="20" t="s">
        <v>2057</v>
      </c>
      <c r="D1685" s="378" t="s">
        <v>2370</v>
      </c>
      <c r="E1685" s="384" t="s">
        <v>437</v>
      </c>
      <c r="F1685" s="384" t="s">
        <v>438</v>
      </c>
      <c r="G1685" s="378" t="s">
        <v>439</v>
      </c>
      <c r="H1685" s="20" t="s">
        <v>2371</v>
      </c>
      <c r="I1685" s="378" t="s">
        <v>441</v>
      </c>
      <c r="J1685" s="20" t="s">
        <v>163</v>
      </c>
      <c r="K1685" s="378" t="s">
        <v>2372</v>
      </c>
      <c r="L1685" s="378" t="s">
        <v>165</v>
      </c>
      <c r="M1685" s="380">
        <v>2384</v>
      </c>
      <c r="N1685" s="380" t="s">
        <v>443</v>
      </c>
      <c r="O1685" s="380" t="s">
        <v>443</v>
      </c>
      <c r="P1685" s="380" t="s">
        <v>443</v>
      </c>
      <c r="Q1685" s="381">
        <v>256</v>
      </c>
      <c r="R1685" s="381">
        <v>255</v>
      </c>
      <c r="S1685" s="381">
        <v>0.38100000000000001</v>
      </c>
      <c r="T1685" s="381">
        <v>0.27300000000000002</v>
      </c>
      <c r="U1685" s="381">
        <v>0</v>
      </c>
      <c r="V1685" s="382">
        <v>255.654</v>
      </c>
      <c r="W1685" s="382">
        <v>0</v>
      </c>
      <c r="X1685" s="381">
        <v>0.10738255033557047</v>
      </c>
      <c r="Y1685" s="381">
        <v>0.10696308724832215</v>
      </c>
      <c r="Z1685" s="381">
        <v>1.5981543624161073E-4</v>
      </c>
      <c r="AA1685" s="381">
        <v>1.1451342281879196E-4</v>
      </c>
      <c r="AB1685" s="381">
        <v>0</v>
      </c>
      <c r="AC1685" s="382">
        <v>0.10723741610738255</v>
      </c>
      <c r="AD1685" s="382">
        <v>0</v>
      </c>
      <c r="AE1685" s="381" t="s">
        <v>444</v>
      </c>
    </row>
    <row r="1686" spans="1:31" ht="15" customHeight="1" x14ac:dyDescent="0.25">
      <c r="A1686" s="20" t="s">
        <v>156</v>
      </c>
      <c r="B1686" s="20" t="s">
        <v>1450</v>
      </c>
      <c r="C1686" s="20" t="s">
        <v>2057</v>
      </c>
      <c r="D1686" s="378" t="s">
        <v>2373</v>
      </c>
      <c r="E1686" s="384" t="s">
        <v>437</v>
      </c>
      <c r="F1686" s="384" t="s">
        <v>438</v>
      </c>
      <c r="G1686" s="378" t="s">
        <v>439</v>
      </c>
      <c r="H1686" s="20" t="s">
        <v>2374</v>
      </c>
      <c r="I1686" s="378" t="s">
        <v>441</v>
      </c>
      <c r="J1686" s="20" t="s">
        <v>163</v>
      </c>
      <c r="K1686" s="378" t="s">
        <v>2375</v>
      </c>
      <c r="L1686" s="378" t="s">
        <v>165</v>
      </c>
      <c r="M1686" s="380">
        <v>2384</v>
      </c>
      <c r="N1686" s="380" t="s">
        <v>443</v>
      </c>
      <c r="O1686" s="380" t="s">
        <v>443</v>
      </c>
      <c r="P1686" s="380" t="s">
        <v>443</v>
      </c>
      <c r="Q1686" s="381">
        <v>234</v>
      </c>
      <c r="R1686" s="381">
        <v>233</v>
      </c>
      <c r="S1686" s="381">
        <v>0.26900000000000002</v>
      </c>
      <c r="T1686" s="381">
        <v>0.28299999999999997</v>
      </c>
      <c r="U1686" s="381">
        <v>0</v>
      </c>
      <c r="V1686" s="382">
        <v>233.55199999999999</v>
      </c>
      <c r="W1686" s="382">
        <v>0</v>
      </c>
      <c r="X1686" s="381">
        <v>9.815436241610738E-2</v>
      </c>
      <c r="Y1686" s="381">
        <v>9.7734899328859065E-2</v>
      </c>
      <c r="Z1686" s="381">
        <v>1.1283557046979866E-4</v>
      </c>
      <c r="AA1686" s="381">
        <v>1.1870805369127516E-4</v>
      </c>
      <c r="AB1686" s="381">
        <v>0</v>
      </c>
      <c r="AC1686" s="382">
        <v>9.7966442953020136E-2</v>
      </c>
      <c r="AD1686" s="382">
        <v>0</v>
      </c>
      <c r="AE1686" s="381" t="s">
        <v>444</v>
      </c>
    </row>
    <row r="1687" spans="1:31" ht="15" customHeight="1" x14ac:dyDescent="0.25">
      <c r="A1687" s="20" t="s">
        <v>156</v>
      </c>
      <c r="B1687" s="20" t="s">
        <v>1450</v>
      </c>
      <c r="C1687" s="20" t="s">
        <v>2057</v>
      </c>
      <c r="D1687" s="378" t="s">
        <v>2376</v>
      </c>
      <c r="E1687" s="384" t="s">
        <v>437</v>
      </c>
      <c r="F1687" s="384" t="s">
        <v>438</v>
      </c>
      <c r="G1687" s="378" t="s">
        <v>439</v>
      </c>
      <c r="H1687" s="20" t="s">
        <v>2377</v>
      </c>
      <c r="I1687" s="378" t="s">
        <v>441</v>
      </c>
      <c r="J1687" s="20" t="s">
        <v>163</v>
      </c>
      <c r="K1687" s="378" t="s">
        <v>2378</v>
      </c>
      <c r="L1687" s="378" t="s">
        <v>165</v>
      </c>
      <c r="M1687" s="380">
        <v>2384</v>
      </c>
      <c r="N1687" s="380" t="s">
        <v>443</v>
      </c>
      <c r="O1687" s="380" t="s">
        <v>443</v>
      </c>
      <c r="P1687" s="380" t="s">
        <v>443</v>
      </c>
      <c r="Q1687" s="381">
        <v>202</v>
      </c>
      <c r="R1687" s="381">
        <v>202</v>
      </c>
      <c r="S1687" s="381">
        <v>0.27500000000000002</v>
      </c>
      <c r="T1687" s="381">
        <v>0.28299999999999997</v>
      </c>
      <c r="U1687" s="381">
        <v>0</v>
      </c>
      <c r="V1687" s="382">
        <v>202.55799999999999</v>
      </c>
      <c r="W1687" s="382">
        <v>0</v>
      </c>
      <c r="X1687" s="381">
        <v>8.4731543624161076E-2</v>
      </c>
      <c r="Y1687" s="381">
        <v>8.4731543624161076E-2</v>
      </c>
      <c r="Z1687" s="381">
        <v>1.153523489932886E-4</v>
      </c>
      <c r="AA1687" s="381">
        <v>1.1870805369127516E-4</v>
      </c>
      <c r="AB1687" s="381">
        <v>0</v>
      </c>
      <c r="AC1687" s="382">
        <v>8.4965604026845637E-2</v>
      </c>
      <c r="AD1687" s="382">
        <v>0</v>
      </c>
      <c r="AE1687" s="381" t="s">
        <v>444</v>
      </c>
    </row>
    <row r="1688" spans="1:31" ht="15" customHeight="1" x14ac:dyDescent="0.25">
      <c r="A1688" s="20" t="s">
        <v>156</v>
      </c>
      <c r="B1688" s="20" t="s">
        <v>1450</v>
      </c>
      <c r="C1688" s="20" t="s">
        <v>2057</v>
      </c>
      <c r="D1688" s="378" t="s">
        <v>2379</v>
      </c>
      <c r="E1688" s="384" t="s">
        <v>437</v>
      </c>
      <c r="F1688" s="384" t="s">
        <v>438</v>
      </c>
      <c r="G1688" s="378" t="s">
        <v>439</v>
      </c>
      <c r="H1688" s="20" t="s">
        <v>2380</v>
      </c>
      <c r="I1688" s="378" t="s">
        <v>441</v>
      </c>
      <c r="J1688" s="20" t="s">
        <v>163</v>
      </c>
      <c r="K1688" s="378" t="s">
        <v>2381</v>
      </c>
      <c r="L1688" s="378" t="s">
        <v>165</v>
      </c>
      <c r="M1688" s="380">
        <v>2384</v>
      </c>
      <c r="N1688" s="380" t="s">
        <v>443</v>
      </c>
      <c r="O1688" s="380" t="s">
        <v>443</v>
      </c>
      <c r="P1688" s="380" t="s">
        <v>443</v>
      </c>
      <c r="Q1688" s="381">
        <v>172</v>
      </c>
      <c r="R1688" s="381">
        <v>171</v>
      </c>
      <c r="S1688" s="381">
        <v>0.28199999999999997</v>
      </c>
      <c r="T1688" s="381">
        <v>0.28299999999999997</v>
      </c>
      <c r="U1688" s="381">
        <v>0</v>
      </c>
      <c r="V1688" s="382">
        <v>171.565</v>
      </c>
      <c r="W1688" s="382">
        <v>0</v>
      </c>
      <c r="X1688" s="381">
        <v>7.2147651006711416E-2</v>
      </c>
      <c r="Y1688" s="381">
        <v>7.1728187919463088E-2</v>
      </c>
      <c r="Z1688" s="381">
        <v>1.1828859060402683E-4</v>
      </c>
      <c r="AA1688" s="381">
        <v>1.1870805369127516E-4</v>
      </c>
      <c r="AB1688" s="381">
        <v>0</v>
      </c>
      <c r="AC1688" s="382">
        <v>7.1965184563758389E-2</v>
      </c>
      <c r="AD1688" s="382">
        <v>0</v>
      </c>
      <c r="AE1688" s="381" t="s">
        <v>444</v>
      </c>
    </row>
    <row r="1689" spans="1:31" ht="15" customHeight="1" x14ac:dyDescent="0.25">
      <c r="A1689" s="20" t="s">
        <v>156</v>
      </c>
      <c r="B1689" s="20" t="s">
        <v>1450</v>
      </c>
      <c r="C1689" s="20" t="s">
        <v>2057</v>
      </c>
      <c r="D1689" s="378" t="s">
        <v>2382</v>
      </c>
      <c r="E1689" s="384" t="s">
        <v>437</v>
      </c>
      <c r="F1689" s="384" t="s">
        <v>438</v>
      </c>
      <c r="G1689" s="378" t="s">
        <v>439</v>
      </c>
      <c r="H1689" s="20" t="s">
        <v>2383</v>
      </c>
      <c r="I1689" s="378" t="s">
        <v>441</v>
      </c>
      <c r="J1689" s="20" t="s">
        <v>163</v>
      </c>
      <c r="K1689" s="378" t="s">
        <v>2384</v>
      </c>
      <c r="L1689" s="378" t="s">
        <v>165</v>
      </c>
      <c r="M1689" s="380">
        <v>2384</v>
      </c>
      <c r="N1689" s="380" t="s">
        <v>443</v>
      </c>
      <c r="O1689" s="380" t="s">
        <v>443</v>
      </c>
      <c r="P1689" s="380" t="s">
        <v>443</v>
      </c>
      <c r="Q1689" s="381">
        <v>214</v>
      </c>
      <c r="R1689" s="381">
        <v>213</v>
      </c>
      <c r="S1689" s="381">
        <v>0.27800000000000002</v>
      </c>
      <c r="T1689" s="381">
        <v>0.27700000000000002</v>
      </c>
      <c r="U1689" s="381">
        <v>0</v>
      </c>
      <c r="V1689" s="382">
        <v>213.55499999999998</v>
      </c>
      <c r="W1689" s="382">
        <v>0</v>
      </c>
      <c r="X1689" s="381">
        <v>8.9765100671140935E-2</v>
      </c>
      <c r="Y1689" s="381">
        <v>8.934563758389262E-2</v>
      </c>
      <c r="Z1689" s="381">
        <v>1.1661073825503357E-4</v>
      </c>
      <c r="AA1689" s="381">
        <v>1.1619127516778524E-4</v>
      </c>
      <c r="AB1689" s="381">
        <v>0</v>
      </c>
      <c r="AC1689" s="382">
        <v>8.9578439597315429E-2</v>
      </c>
      <c r="AD1689" s="382">
        <v>0</v>
      </c>
      <c r="AE1689" s="381" t="s">
        <v>444</v>
      </c>
    </row>
    <row r="1690" spans="1:31" ht="15" customHeight="1" x14ac:dyDescent="0.25">
      <c r="A1690" s="20" t="s">
        <v>156</v>
      </c>
      <c r="B1690" s="20" t="s">
        <v>1450</v>
      </c>
      <c r="C1690" s="20" t="s">
        <v>2057</v>
      </c>
      <c r="D1690" s="378" t="s">
        <v>2385</v>
      </c>
      <c r="E1690" s="384" t="s">
        <v>437</v>
      </c>
      <c r="F1690" s="384" t="s">
        <v>438</v>
      </c>
      <c r="G1690" s="378" t="s">
        <v>439</v>
      </c>
      <c r="H1690" s="20" t="s">
        <v>2386</v>
      </c>
      <c r="I1690" s="378" t="s">
        <v>441</v>
      </c>
      <c r="J1690" s="20" t="s">
        <v>163</v>
      </c>
      <c r="K1690" s="378" t="s">
        <v>2387</v>
      </c>
      <c r="L1690" s="378" t="s">
        <v>165</v>
      </c>
      <c r="M1690" s="380">
        <v>2384</v>
      </c>
      <c r="N1690" s="380" t="s">
        <v>443</v>
      </c>
      <c r="O1690" s="380" t="s">
        <v>443</v>
      </c>
      <c r="P1690" s="380" t="s">
        <v>443</v>
      </c>
      <c r="Q1690" s="381">
        <v>239</v>
      </c>
      <c r="R1690" s="381">
        <v>238</v>
      </c>
      <c r="S1690" s="381">
        <v>0.379</v>
      </c>
      <c r="T1690" s="381">
        <v>0.27300000000000002</v>
      </c>
      <c r="U1690" s="381">
        <v>0</v>
      </c>
      <c r="V1690" s="382">
        <v>238.65199999999999</v>
      </c>
      <c r="W1690" s="382">
        <v>0</v>
      </c>
      <c r="X1690" s="381">
        <v>0.10025167785234899</v>
      </c>
      <c r="Y1690" s="381">
        <v>9.9832214765100666E-2</v>
      </c>
      <c r="Z1690" s="381">
        <v>1.5897651006711411E-4</v>
      </c>
      <c r="AA1690" s="381">
        <v>1.1451342281879196E-4</v>
      </c>
      <c r="AB1690" s="381">
        <v>0</v>
      </c>
      <c r="AC1690" s="382">
        <v>0.10010570469798658</v>
      </c>
      <c r="AD1690" s="382">
        <v>0</v>
      </c>
      <c r="AE1690" s="381" t="s">
        <v>444</v>
      </c>
    </row>
    <row r="1691" spans="1:31" ht="15" customHeight="1" x14ac:dyDescent="0.25">
      <c r="A1691" s="20" t="s">
        <v>156</v>
      </c>
      <c r="B1691" s="20" t="s">
        <v>1450</v>
      </c>
      <c r="C1691" s="20" t="s">
        <v>2057</v>
      </c>
      <c r="D1691" s="378" t="s">
        <v>2388</v>
      </c>
      <c r="E1691" s="384" t="s">
        <v>437</v>
      </c>
      <c r="F1691" s="384" t="s">
        <v>438</v>
      </c>
      <c r="G1691" s="378" t="s">
        <v>439</v>
      </c>
      <c r="H1691" s="20" t="s">
        <v>2389</v>
      </c>
      <c r="I1691" s="378" t="s">
        <v>441</v>
      </c>
      <c r="J1691" s="20" t="s">
        <v>163</v>
      </c>
      <c r="K1691" s="378" t="s">
        <v>2390</v>
      </c>
      <c r="L1691" s="378" t="s">
        <v>165</v>
      </c>
      <c r="M1691" s="380">
        <v>2384</v>
      </c>
      <c r="N1691" s="380" t="s">
        <v>443</v>
      </c>
      <c r="O1691" s="380" t="s">
        <v>443</v>
      </c>
      <c r="P1691" s="380" t="s">
        <v>443</v>
      </c>
      <c r="Q1691" s="381">
        <v>219</v>
      </c>
      <c r="R1691" s="381">
        <v>218</v>
      </c>
      <c r="S1691" s="381">
        <v>0.26700000000000002</v>
      </c>
      <c r="T1691" s="381">
        <v>0.28299999999999997</v>
      </c>
      <c r="U1691" s="381">
        <v>0</v>
      </c>
      <c r="V1691" s="382">
        <v>218.54999999999998</v>
      </c>
      <c r="W1691" s="382">
        <v>0</v>
      </c>
      <c r="X1691" s="381">
        <v>9.186241610738255E-2</v>
      </c>
      <c r="Y1691" s="381">
        <v>9.1442953020134235E-2</v>
      </c>
      <c r="Z1691" s="381">
        <v>1.1199664429530202E-4</v>
      </c>
      <c r="AA1691" s="381">
        <v>1.1870805369127516E-4</v>
      </c>
      <c r="AB1691" s="381">
        <v>0</v>
      </c>
      <c r="AC1691" s="382">
        <v>9.1673657718120805E-2</v>
      </c>
      <c r="AD1691" s="382">
        <v>0</v>
      </c>
      <c r="AE1691" s="381" t="s">
        <v>444</v>
      </c>
    </row>
    <row r="1692" spans="1:31" ht="15" customHeight="1" x14ac:dyDescent="0.25">
      <c r="A1692" s="20" t="s">
        <v>156</v>
      </c>
      <c r="B1692" s="20" t="s">
        <v>1450</v>
      </c>
      <c r="C1692" s="20" t="s">
        <v>2057</v>
      </c>
      <c r="D1692" s="378" t="s">
        <v>2391</v>
      </c>
      <c r="E1692" s="384" t="s">
        <v>437</v>
      </c>
      <c r="F1692" s="384" t="s">
        <v>438</v>
      </c>
      <c r="G1692" s="378" t="s">
        <v>439</v>
      </c>
      <c r="H1692" s="20" t="s">
        <v>2392</v>
      </c>
      <c r="I1692" s="378" t="s">
        <v>441</v>
      </c>
      <c r="J1692" s="20" t="s">
        <v>163</v>
      </c>
      <c r="K1692" s="378" t="s">
        <v>2393</v>
      </c>
      <c r="L1692" s="378" t="s">
        <v>165</v>
      </c>
      <c r="M1692" s="380">
        <v>2384</v>
      </c>
      <c r="N1692" s="380" t="s">
        <v>443</v>
      </c>
      <c r="O1692" s="380" t="s">
        <v>443</v>
      </c>
      <c r="P1692" s="380" t="s">
        <v>443</v>
      </c>
      <c r="Q1692" s="381">
        <v>191</v>
      </c>
      <c r="R1692" s="381">
        <v>190</v>
      </c>
      <c r="S1692" s="381">
        <v>0.27400000000000002</v>
      </c>
      <c r="T1692" s="381">
        <v>0.28299999999999997</v>
      </c>
      <c r="U1692" s="381">
        <v>0</v>
      </c>
      <c r="V1692" s="382">
        <v>190.55699999999999</v>
      </c>
      <c r="W1692" s="382">
        <v>0</v>
      </c>
      <c r="X1692" s="381">
        <v>8.0117449664429533E-2</v>
      </c>
      <c r="Y1692" s="381">
        <v>7.9697986577181204E-2</v>
      </c>
      <c r="Z1692" s="381">
        <v>1.1493288590604028E-4</v>
      </c>
      <c r="AA1692" s="381">
        <v>1.1870805369127516E-4</v>
      </c>
      <c r="AB1692" s="381">
        <v>0</v>
      </c>
      <c r="AC1692" s="382">
        <v>7.9931627516778514E-2</v>
      </c>
      <c r="AD1692" s="382">
        <v>0</v>
      </c>
      <c r="AE1692" s="381" t="s">
        <v>444</v>
      </c>
    </row>
    <row r="1693" spans="1:31" ht="15" customHeight="1" x14ac:dyDescent="0.25">
      <c r="A1693" s="20" t="s">
        <v>156</v>
      </c>
      <c r="B1693" s="20" t="s">
        <v>1450</v>
      </c>
      <c r="C1693" s="20" t="s">
        <v>2057</v>
      </c>
      <c r="D1693" s="378" t="s">
        <v>2394</v>
      </c>
      <c r="E1693" s="384" t="s">
        <v>437</v>
      </c>
      <c r="F1693" s="384" t="s">
        <v>438</v>
      </c>
      <c r="G1693" s="378" t="s">
        <v>439</v>
      </c>
      <c r="H1693" s="20" t="s">
        <v>2395</v>
      </c>
      <c r="I1693" s="378" t="s">
        <v>441</v>
      </c>
      <c r="J1693" s="20" t="s">
        <v>163</v>
      </c>
      <c r="K1693" s="378" t="s">
        <v>2396</v>
      </c>
      <c r="L1693" s="378" t="s">
        <v>165</v>
      </c>
      <c r="M1693" s="380">
        <v>2384</v>
      </c>
      <c r="N1693" s="380" t="s">
        <v>443</v>
      </c>
      <c r="O1693" s="380" t="s">
        <v>443</v>
      </c>
      <c r="P1693" s="380" t="s">
        <v>443</v>
      </c>
      <c r="Q1693" s="381">
        <v>164</v>
      </c>
      <c r="R1693" s="381">
        <v>163</v>
      </c>
      <c r="S1693" s="381">
        <v>0.28100000000000003</v>
      </c>
      <c r="T1693" s="381">
        <v>0.28299999999999997</v>
      </c>
      <c r="U1693" s="381">
        <v>0</v>
      </c>
      <c r="V1693" s="382">
        <v>163.56399999999999</v>
      </c>
      <c r="W1693" s="382">
        <v>0</v>
      </c>
      <c r="X1693" s="381">
        <v>6.879194630872483E-2</v>
      </c>
      <c r="Y1693" s="381">
        <v>6.8372483221476515E-2</v>
      </c>
      <c r="Z1693" s="381">
        <v>1.1786912751677854E-4</v>
      </c>
      <c r="AA1693" s="381">
        <v>1.1870805369127516E-4</v>
      </c>
      <c r="AB1693" s="381">
        <v>0</v>
      </c>
      <c r="AC1693" s="382">
        <v>6.8609060402684566E-2</v>
      </c>
      <c r="AD1693" s="382">
        <v>0</v>
      </c>
      <c r="AE1693" s="381" t="s">
        <v>444</v>
      </c>
    </row>
    <row r="1694" spans="1:31" ht="15" customHeight="1" x14ac:dyDescent="0.25">
      <c r="A1694" s="20" t="s">
        <v>156</v>
      </c>
      <c r="B1694" s="20" t="s">
        <v>2056</v>
      </c>
      <c r="C1694" s="20" t="s">
        <v>2057</v>
      </c>
      <c r="D1694" s="378" t="s">
        <v>2397</v>
      </c>
      <c r="E1694" s="384">
        <v>44613</v>
      </c>
      <c r="F1694" s="384">
        <v>46439</v>
      </c>
      <c r="G1694" s="378" t="s">
        <v>439</v>
      </c>
      <c r="H1694" s="20" t="s">
        <v>455</v>
      </c>
      <c r="I1694" s="378" t="s">
        <v>168</v>
      </c>
      <c r="J1694" s="20" t="s">
        <v>163</v>
      </c>
      <c r="K1694" s="378" t="s">
        <v>456</v>
      </c>
      <c r="L1694" s="378" t="s">
        <v>165</v>
      </c>
      <c r="M1694" s="380">
        <v>2400</v>
      </c>
      <c r="N1694" s="380" t="s">
        <v>443</v>
      </c>
      <c r="O1694" s="380" t="s">
        <v>443</v>
      </c>
      <c r="P1694" s="380" t="s">
        <v>443</v>
      </c>
      <c r="Q1694" s="381">
        <v>318</v>
      </c>
      <c r="R1694" s="381">
        <v>0</v>
      </c>
      <c r="S1694" s="381">
        <v>0</v>
      </c>
      <c r="T1694" s="381">
        <v>0</v>
      </c>
      <c r="U1694" s="381">
        <v>0</v>
      </c>
      <c r="V1694" s="382">
        <v>318</v>
      </c>
      <c r="W1694" s="382">
        <v>0</v>
      </c>
      <c r="X1694" s="381">
        <v>0.13250000000000001</v>
      </c>
      <c r="Y1694" s="381">
        <v>0</v>
      </c>
      <c r="Z1694" s="381">
        <v>0</v>
      </c>
      <c r="AA1694" s="381">
        <v>0</v>
      </c>
      <c r="AB1694" s="381">
        <v>0</v>
      </c>
      <c r="AC1694" s="382">
        <v>0.13250000000000001</v>
      </c>
      <c r="AD1694" s="382">
        <v>0</v>
      </c>
      <c r="AE1694" s="381" t="s">
        <v>444</v>
      </c>
    </row>
    <row r="1695" spans="1:31" ht="15" customHeight="1" x14ac:dyDescent="0.25">
      <c r="A1695" s="20" t="s">
        <v>156</v>
      </c>
      <c r="B1695" s="20" t="s">
        <v>2056</v>
      </c>
      <c r="C1695" s="20" t="s">
        <v>2057</v>
      </c>
      <c r="D1695" s="378" t="s">
        <v>2398</v>
      </c>
      <c r="E1695" s="384">
        <v>44613</v>
      </c>
      <c r="F1695" s="384">
        <v>46439</v>
      </c>
      <c r="G1695" s="378" t="s">
        <v>439</v>
      </c>
      <c r="H1695" s="20" t="s">
        <v>455</v>
      </c>
      <c r="I1695" s="378" t="s">
        <v>168</v>
      </c>
      <c r="J1695" s="20" t="s">
        <v>163</v>
      </c>
      <c r="K1695" s="378" t="s">
        <v>456</v>
      </c>
      <c r="L1695" s="378" t="s">
        <v>165</v>
      </c>
      <c r="M1695" s="380">
        <v>2400</v>
      </c>
      <c r="N1695" s="380" t="s">
        <v>443</v>
      </c>
      <c r="O1695" s="380" t="s">
        <v>443</v>
      </c>
      <c r="P1695" s="380" t="s">
        <v>443</v>
      </c>
      <c r="Q1695" s="381">
        <v>338</v>
      </c>
      <c r="R1695" s="381">
        <v>0</v>
      </c>
      <c r="S1695" s="381">
        <v>0</v>
      </c>
      <c r="T1695" s="381">
        <v>0</v>
      </c>
      <c r="U1695" s="381">
        <v>0</v>
      </c>
      <c r="V1695" s="382">
        <v>338</v>
      </c>
      <c r="W1695" s="382">
        <v>0</v>
      </c>
      <c r="X1695" s="381">
        <v>0.14083333333333334</v>
      </c>
      <c r="Y1695" s="381">
        <v>0</v>
      </c>
      <c r="Z1695" s="381">
        <v>0</v>
      </c>
      <c r="AA1695" s="381">
        <v>0</v>
      </c>
      <c r="AB1695" s="381">
        <v>0</v>
      </c>
      <c r="AC1695" s="382">
        <v>0.14083333333333334</v>
      </c>
      <c r="AD1695" s="382">
        <v>0</v>
      </c>
      <c r="AE1695" s="381" t="s">
        <v>444</v>
      </c>
    </row>
    <row r="1696" spans="1:31" ht="15" customHeight="1" x14ac:dyDescent="0.25">
      <c r="A1696" s="20" t="s">
        <v>156</v>
      </c>
      <c r="B1696" s="20" t="s">
        <v>2056</v>
      </c>
      <c r="C1696" s="20" t="s">
        <v>2057</v>
      </c>
      <c r="D1696" s="378" t="s">
        <v>2399</v>
      </c>
      <c r="E1696" s="384">
        <v>44613</v>
      </c>
      <c r="F1696" s="384">
        <v>46439</v>
      </c>
      <c r="G1696" s="378" t="s">
        <v>439</v>
      </c>
      <c r="H1696" s="20" t="s">
        <v>455</v>
      </c>
      <c r="I1696" s="378" t="s">
        <v>168</v>
      </c>
      <c r="J1696" s="20" t="s">
        <v>163</v>
      </c>
      <c r="K1696" s="378" t="s">
        <v>456</v>
      </c>
      <c r="L1696" s="378" t="s">
        <v>165</v>
      </c>
      <c r="M1696" s="380">
        <v>2400</v>
      </c>
      <c r="N1696" s="380" t="s">
        <v>443</v>
      </c>
      <c r="O1696" s="380" t="s">
        <v>443</v>
      </c>
      <c r="P1696" s="380" t="s">
        <v>443</v>
      </c>
      <c r="Q1696" s="381">
        <v>364</v>
      </c>
      <c r="R1696" s="381">
        <v>0</v>
      </c>
      <c r="S1696" s="381">
        <v>0</v>
      </c>
      <c r="T1696" s="381">
        <v>0</v>
      </c>
      <c r="U1696" s="381">
        <v>0</v>
      </c>
      <c r="V1696" s="382">
        <v>364</v>
      </c>
      <c r="W1696" s="382">
        <v>0</v>
      </c>
      <c r="X1696" s="381">
        <v>0.15166666666666667</v>
      </c>
      <c r="Y1696" s="381">
        <v>0</v>
      </c>
      <c r="Z1696" s="381">
        <v>0</v>
      </c>
      <c r="AA1696" s="381">
        <v>0</v>
      </c>
      <c r="AB1696" s="381">
        <v>0</v>
      </c>
      <c r="AC1696" s="382">
        <v>0.15166666666666667</v>
      </c>
      <c r="AD1696" s="382">
        <v>0</v>
      </c>
      <c r="AE1696" s="381" t="s">
        <v>444</v>
      </c>
    </row>
    <row r="1697" spans="1:31" ht="15" customHeight="1" x14ac:dyDescent="0.25">
      <c r="A1697" s="20" t="s">
        <v>156</v>
      </c>
      <c r="B1697" s="20" t="s">
        <v>2056</v>
      </c>
      <c r="C1697" s="20" t="s">
        <v>2057</v>
      </c>
      <c r="D1697" s="378" t="s">
        <v>2400</v>
      </c>
      <c r="E1697" s="384">
        <v>44613</v>
      </c>
      <c r="F1697" s="384">
        <v>46439</v>
      </c>
      <c r="G1697" s="378" t="s">
        <v>439</v>
      </c>
      <c r="H1697" s="20" t="s">
        <v>455</v>
      </c>
      <c r="I1697" s="378" t="s">
        <v>168</v>
      </c>
      <c r="J1697" s="20" t="s">
        <v>163</v>
      </c>
      <c r="K1697" s="378" t="s">
        <v>456</v>
      </c>
      <c r="L1697" s="378" t="s">
        <v>165</v>
      </c>
      <c r="M1697" s="380">
        <v>2400</v>
      </c>
      <c r="N1697" s="380" t="s">
        <v>443</v>
      </c>
      <c r="O1697" s="380" t="s">
        <v>443</v>
      </c>
      <c r="P1697" s="380" t="s">
        <v>443</v>
      </c>
      <c r="Q1697" s="381">
        <v>397</v>
      </c>
      <c r="R1697" s="381">
        <v>0</v>
      </c>
      <c r="S1697" s="381">
        <v>0</v>
      </c>
      <c r="T1697" s="381">
        <v>0</v>
      </c>
      <c r="U1697" s="381">
        <v>0</v>
      </c>
      <c r="V1697" s="382">
        <v>397</v>
      </c>
      <c r="W1697" s="382">
        <v>0</v>
      </c>
      <c r="X1697" s="381">
        <v>0.16541666666666666</v>
      </c>
      <c r="Y1697" s="381">
        <v>0</v>
      </c>
      <c r="Z1697" s="381">
        <v>0</v>
      </c>
      <c r="AA1697" s="381">
        <v>0</v>
      </c>
      <c r="AB1697" s="381">
        <v>0</v>
      </c>
      <c r="AC1697" s="382">
        <v>0.16541666666666666</v>
      </c>
      <c r="AD1697" s="382">
        <v>0</v>
      </c>
      <c r="AE1697" s="381" t="s">
        <v>444</v>
      </c>
    </row>
    <row r="1698" spans="1:31" ht="15" customHeight="1" x14ac:dyDescent="0.25">
      <c r="A1698" s="20" t="s">
        <v>156</v>
      </c>
      <c r="B1698" s="20" t="s">
        <v>2056</v>
      </c>
      <c r="C1698" s="20" t="s">
        <v>2057</v>
      </c>
      <c r="D1698" s="378" t="s">
        <v>2401</v>
      </c>
      <c r="E1698" s="384">
        <v>44613</v>
      </c>
      <c r="F1698" s="384">
        <v>46439</v>
      </c>
      <c r="G1698" s="378" t="s">
        <v>439</v>
      </c>
      <c r="H1698" s="20" t="s">
        <v>455</v>
      </c>
      <c r="I1698" s="378" t="s">
        <v>168</v>
      </c>
      <c r="J1698" s="20" t="s">
        <v>163</v>
      </c>
      <c r="K1698" s="378" t="s">
        <v>456</v>
      </c>
      <c r="L1698" s="378" t="s">
        <v>165</v>
      </c>
      <c r="M1698" s="380">
        <v>2400</v>
      </c>
      <c r="N1698" s="380" t="s">
        <v>443</v>
      </c>
      <c r="O1698" s="380" t="s">
        <v>443</v>
      </c>
      <c r="P1698" s="380" t="s">
        <v>443</v>
      </c>
      <c r="Q1698" s="381">
        <v>454</v>
      </c>
      <c r="R1698" s="381">
        <v>0</v>
      </c>
      <c r="S1698" s="381">
        <v>0</v>
      </c>
      <c r="T1698" s="381">
        <v>0</v>
      </c>
      <c r="U1698" s="381">
        <v>0</v>
      </c>
      <c r="V1698" s="382">
        <v>454</v>
      </c>
      <c r="W1698" s="382">
        <v>0</v>
      </c>
      <c r="X1698" s="381">
        <v>0.18916666666666668</v>
      </c>
      <c r="Y1698" s="381">
        <v>0</v>
      </c>
      <c r="Z1698" s="381">
        <v>0</v>
      </c>
      <c r="AA1698" s="381">
        <v>0</v>
      </c>
      <c r="AB1698" s="381">
        <v>0</v>
      </c>
      <c r="AC1698" s="382">
        <v>0.18916666666666668</v>
      </c>
      <c r="AD1698" s="382">
        <v>0</v>
      </c>
      <c r="AE1698" s="381" t="s">
        <v>444</v>
      </c>
    </row>
    <row r="1699" spans="1:31" ht="15" customHeight="1" x14ac:dyDescent="0.25">
      <c r="A1699" s="20" t="s">
        <v>156</v>
      </c>
      <c r="B1699" s="20" t="s">
        <v>2056</v>
      </c>
      <c r="C1699" s="20" t="s">
        <v>2057</v>
      </c>
      <c r="D1699" s="378" t="s">
        <v>2402</v>
      </c>
      <c r="E1699" s="384">
        <v>44613</v>
      </c>
      <c r="F1699" s="384">
        <v>46439</v>
      </c>
      <c r="G1699" s="378" t="s">
        <v>439</v>
      </c>
      <c r="H1699" s="20" t="s">
        <v>455</v>
      </c>
      <c r="I1699" s="378" t="s">
        <v>168</v>
      </c>
      <c r="J1699" s="20" t="s">
        <v>163</v>
      </c>
      <c r="K1699" s="378" t="s">
        <v>456</v>
      </c>
      <c r="L1699" s="378" t="s">
        <v>165</v>
      </c>
      <c r="M1699" s="380">
        <v>2400</v>
      </c>
      <c r="N1699" s="380" t="s">
        <v>443</v>
      </c>
      <c r="O1699" s="380" t="s">
        <v>443</v>
      </c>
      <c r="P1699" s="380" t="s">
        <v>443</v>
      </c>
      <c r="Q1699" s="381">
        <v>490</v>
      </c>
      <c r="R1699" s="381">
        <v>0</v>
      </c>
      <c r="S1699" s="381">
        <v>0</v>
      </c>
      <c r="T1699" s="381">
        <v>0</v>
      </c>
      <c r="U1699" s="381">
        <v>0</v>
      </c>
      <c r="V1699" s="382">
        <v>490</v>
      </c>
      <c r="W1699" s="382">
        <v>0</v>
      </c>
      <c r="X1699" s="381">
        <v>0.20416666666666666</v>
      </c>
      <c r="Y1699" s="381">
        <v>0</v>
      </c>
      <c r="Z1699" s="381">
        <v>0</v>
      </c>
      <c r="AA1699" s="381">
        <v>0</v>
      </c>
      <c r="AB1699" s="381">
        <v>0</v>
      </c>
      <c r="AC1699" s="382">
        <v>0.20416666666666666</v>
      </c>
      <c r="AD1699" s="382">
        <v>0</v>
      </c>
      <c r="AE1699" s="381" t="s">
        <v>444</v>
      </c>
    </row>
    <row r="1700" spans="1:31" ht="15" customHeight="1" x14ac:dyDescent="0.25">
      <c r="A1700" s="20" t="s">
        <v>156</v>
      </c>
      <c r="B1700" s="20" t="s">
        <v>2056</v>
      </c>
      <c r="C1700" s="20" t="s">
        <v>2057</v>
      </c>
      <c r="D1700" s="378" t="s">
        <v>2403</v>
      </c>
      <c r="E1700" s="384">
        <v>44613</v>
      </c>
      <c r="F1700" s="384">
        <v>46439</v>
      </c>
      <c r="G1700" s="378" t="s">
        <v>439</v>
      </c>
      <c r="H1700" s="20" t="s">
        <v>455</v>
      </c>
      <c r="I1700" s="378" t="s">
        <v>168</v>
      </c>
      <c r="J1700" s="20" t="s">
        <v>163</v>
      </c>
      <c r="K1700" s="378" t="s">
        <v>456</v>
      </c>
      <c r="L1700" s="378" t="s">
        <v>165</v>
      </c>
      <c r="M1700" s="380">
        <v>2400</v>
      </c>
      <c r="N1700" s="380" t="s">
        <v>443</v>
      </c>
      <c r="O1700" s="380" t="s">
        <v>443</v>
      </c>
      <c r="P1700" s="380" t="s">
        <v>443</v>
      </c>
      <c r="Q1700" s="381">
        <v>469</v>
      </c>
      <c r="R1700" s="381">
        <v>0</v>
      </c>
      <c r="S1700" s="381">
        <v>0</v>
      </c>
      <c r="T1700" s="381">
        <v>0</v>
      </c>
      <c r="U1700" s="381">
        <v>0</v>
      </c>
      <c r="V1700" s="382">
        <v>469</v>
      </c>
      <c r="W1700" s="382">
        <v>0</v>
      </c>
      <c r="X1700" s="381">
        <v>0.19541666666666666</v>
      </c>
      <c r="Y1700" s="381">
        <v>0</v>
      </c>
      <c r="Z1700" s="381">
        <v>0</v>
      </c>
      <c r="AA1700" s="381">
        <v>0</v>
      </c>
      <c r="AB1700" s="381">
        <v>0</v>
      </c>
      <c r="AC1700" s="382">
        <v>0.19541666666666666</v>
      </c>
      <c r="AD1700" s="382">
        <v>0</v>
      </c>
      <c r="AE1700" s="381" t="s">
        <v>444</v>
      </c>
    </row>
    <row r="1701" spans="1:31" ht="15" customHeight="1" x14ac:dyDescent="0.25">
      <c r="A1701" s="20" t="s">
        <v>156</v>
      </c>
      <c r="B1701" s="20" t="s">
        <v>2056</v>
      </c>
      <c r="C1701" s="20" t="s">
        <v>2057</v>
      </c>
      <c r="D1701" s="378" t="s">
        <v>2404</v>
      </c>
      <c r="E1701" s="384">
        <v>44613</v>
      </c>
      <c r="F1701" s="384">
        <v>46439</v>
      </c>
      <c r="G1701" s="378" t="s">
        <v>439</v>
      </c>
      <c r="H1701" s="20" t="s">
        <v>455</v>
      </c>
      <c r="I1701" s="378" t="s">
        <v>168</v>
      </c>
      <c r="J1701" s="20" t="s">
        <v>163</v>
      </c>
      <c r="K1701" s="378" t="s">
        <v>456</v>
      </c>
      <c r="L1701" s="378" t="s">
        <v>165</v>
      </c>
      <c r="M1701" s="380">
        <v>2400</v>
      </c>
      <c r="N1701" s="380" t="s">
        <v>443</v>
      </c>
      <c r="O1701" s="380" t="s">
        <v>443</v>
      </c>
      <c r="P1701" s="380" t="s">
        <v>443</v>
      </c>
      <c r="Q1701" s="381">
        <v>433</v>
      </c>
      <c r="R1701" s="381">
        <v>0</v>
      </c>
      <c r="S1701" s="381">
        <v>0</v>
      </c>
      <c r="T1701" s="381">
        <v>0</v>
      </c>
      <c r="U1701" s="381">
        <v>0</v>
      </c>
      <c r="V1701" s="382">
        <v>433</v>
      </c>
      <c r="W1701" s="382">
        <v>0</v>
      </c>
      <c r="X1701" s="381">
        <v>0.18041666666666667</v>
      </c>
      <c r="Y1701" s="381">
        <v>0</v>
      </c>
      <c r="Z1701" s="381">
        <v>0</v>
      </c>
      <c r="AA1701" s="381">
        <v>0</v>
      </c>
      <c r="AB1701" s="381">
        <v>0</v>
      </c>
      <c r="AC1701" s="382">
        <v>0.18041666666666667</v>
      </c>
      <c r="AD1701" s="382">
        <v>0</v>
      </c>
      <c r="AE1701" s="381" t="s">
        <v>444</v>
      </c>
    </row>
    <row r="1702" spans="1:31" ht="15" customHeight="1" x14ac:dyDescent="0.25">
      <c r="A1702" s="20" t="s">
        <v>156</v>
      </c>
      <c r="B1702" s="20" t="s">
        <v>2056</v>
      </c>
      <c r="C1702" s="20" t="s">
        <v>2057</v>
      </c>
      <c r="D1702" s="378" t="s">
        <v>2405</v>
      </c>
      <c r="E1702" s="384">
        <v>45596</v>
      </c>
      <c r="F1702" s="384">
        <v>46235</v>
      </c>
      <c r="G1702" s="378" t="s">
        <v>439</v>
      </c>
      <c r="H1702" s="20" t="s">
        <v>465</v>
      </c>
      <c r="I1702" s="378" t="s">
        <v>441</v>
      </c>
      <c r="J1702" s="20" t="s">
        <v>163</v>
      </c>
      <c r="K1702" s="378" t="s">
        <v>466</v>
      </c>
      <c r="L1702" s="378" t="s">
        <v>165</v>
      </c>
      <c r="M1702" s="380">
        <v>2400</v>
      </c>
      <c r="N1702" s="380" t="s">
        <v>443</v>
      </c>
      <c r="O1702" s="380" t="s">
        <v>443</v>
      </c>
      <c r="P1702" s="380" t="s">
        <v>443</v>
      </c>
      <c r="Q1702" s="381">
        <v>298</v>
      </c>
      <c r="R1702" s="381">
        <v>0</v>
      </c>
      <c r="S1702" s="381">
        <v>0</v>
      </c>
      <c r="T1702" s="381">
        <v>0</v>
      </c>
      <c r="U1702" s="381">
        <v>0</v>
      </c>
      <c r="V1702" s="382">
        <v>298</v>
      </c>
      <c r="W1702" s="382">
        <v>0</v>
      </c>
      <c r="X1702" s="381">
        <v>0.12416666666666666</v>
      </c>
      <c r="Y1702" s="381">
        <v>0</v>
      </c>
      <c r="Z1702" s="381">
        <v>0</v>
      </c>
      <c r="AA1702" s="381">
        <v>0</v>
      </c>
      <c r="AB1702" s="381">
        <v>0</v>
      </c>
      <c r="AC1702" s="382">
        <v>0.12416666666666666</v>
      </c>
      <c r="AD1702" s="382">
        <v>0</v>
      </c>
      <c r="AE1702" s="381" t="s">
        <v>444</v>
      </c>
    </row>
    <row r="1703" spans="1:31" ht="15" customHeight="1" x14ac:dyDescent="0.25">
      <c r="A1703" s="20" t="s">
        <v>156</v>
      </c>
      <c r="B1703" s="20" t="s">
        <v>2056</v>
      </c>
      <c r="C1703" s="20" t="s">
        <v>2057</v>
      </c>
      <c r="D1703" s="378" t="s">
        <v>2406</v>
      </c>
      <c r="E1703" s="384">
        <v>45596</v>
      </c>
      <c r="F1703" s="384">
        <v>46235</v>
      </c>
      <c r="G1703" s="378" t="s">
        <v>439</v>
      </c>
      <c r="H1703" s="20" t="s">
        <v>465</v>
      </c>
      <c r="I1703" s="378" t="s">
        <v>441</v>
      </c>
      <c r="J1703" s="20" t="s">
        <v>163</v>
      </c>
      <c r="K1703" s="378" t="s">
        <v>466</v>
      </c>
      <c r="L1703" s="378" t="s">
        <v>165</v>
      </c>
      <c r="M1703" s="380">
        <v>2400</v>
      </c>
      <c r="N1703" s="380" t="s">
        <v>443</v>
      </c>
      <c r="O1703" s="380" t="s">
        <v>443</v>
      </c>
      <c r="P1703" s="380" t="s">
        <v>443</v>
      </c>
      <c r="Q1703" s="381">
        <v>311</v>
      </c>
      <c r="R1703" s="381">
        <v>0</v>
      </c>
      <c r="S1703" s="381">
        <v>0</v>
      </c>
      <c r="T1703" s="381">
        <v>0</v>
      </c>
      <c r="U1703" s="381">
        <v>0</v>
      </c>
      <c r="V1703" s="382">
        <v>311</v>
      </c>
      <c r="W1703" s="382">
        <v>0</v>
      </c>
      <c r="X1703" s="381">
        <v>0.12958333333333333</v>
      </c>
      <c r="Y1703" s="381">
        <v>0</v>
      </c>
      <c r="Z1703" s="381">
        <v>0</v>
      </c>
      <c r="AA1703" s="381">
        <v>0</v>
      </c>
      <c r="AB1703" s="381">
        <v>0</v>
      </c>
      <c r="AC1703" s="382">
        <v>0.12958333333333333</v>
      </c>
      <c r="AD1703" s="382">
        <v>0</v>
      </c>
      <c r="AE1703" s="381" t="s">
        <v>444</v>
      </c>
    </row>
    <row r="1704" spans="1:31" ht="15" customHeight="1" x14ac:dyDescent="0.25">
      <c r="A1704" s="20" t="s">
        <v>156</v>
      </c>
      <c r="B1704" s="20" t="s">
        <v>2056</v>
      </c>
      <c r="C1704" s="20" t="s">
        <v>2057</v>
      </c>
      <c r="D1704" s="378" t="s">
        <v>2407</v>
      </c>
      <c r="E1704" s="384">
        <v>45596</v>
      </c>
      <c r="F1704" s="384">
        <v>46235</v>
      </c>
      <c r="G1704" s="378" t="s">
        <v>439</v>
      </c>
      <c r="H1704" s="20" t="s">
        <v>465</v>
      </c>
      <c r="I1704" s="378" t="s">
        <v>441</v>
      </c>
      <c r="J1704" s="20" t="s">
        <v>163</v>
      </c>
      <c r="K1704" s="378" t="s">
        <v>466</v>
      </c>
      <c r="L1704" s="378" t="s">
        <v>165</v>
      </c>
      <c r="M1704" s="380">
        <v>2400</v>
      </c>
      <c r="N1704" s="380" t="s">
        <v>443</v>
      </c>
      <c r="O1704" s="380" t="s">
        <v>443</v>
      </c>
      <c r="P1704" s="380" t="s">
        <v>443</v>
      </c>
      <c r="Q1704" s="381">
        <v>335</v>
      </c>
      <c r="R1704" s="381">
        <v>0</v>
      </c>
      <c r="S1704" s="381">
        <v>0</v>
      </c>
      <c r="T1704" s="381">
        <v>0</v>
      </c>
      <c r="U1704" s="381">
        <v>0</v>
      </c>
      <c r="V1704" s="382">
        <v>335</v>
      </c>
      <c r="W1704" s="382">
        <v>0</v>
      </c>
      <c r="X1704" s="381">
        <v>0.13958333333333334</v>
      </c>
      <c r="Y1704" s="381">
        <v>0</v>
      </c>
      <c r="Z1704" s="381">
        <v>0</v>
      </c>
      <c r="AA1704" s="381">
        <v>0</v>
      </c>
      <c r="AB1704" s="381">
        <v>0</v>
      </c>
      <c r="AC1704" s="382">
        <v>0.13958333333333334</v>
      </c>
      <c r="AD1704" s="382">
        <v>0</v>
      </c>
      <c r="AE1704" s="381" t="s">
        <v>444</v>
      </c>
    </row>
    <row r="1705" spans="1:31" ht="15" customHeight="1" x14ac:dyDescent="0.25">
      <c r="A1705" s="20" t="s">
        <v>156</v>
      </c>
      <c r="B1705" s="20" t="s">
        <v>2056</v>
      </c>
      <c r="C1705" s="20" t="s">
        <v>2057</v>
      </c>
      <c r="D1705" s="378" t="s">
        <v>2408</v>
      </c>
      <c r="E1705" s="384">
        <v>45596</v>
      </c>
      <c r="F1705" s="384">
        <v>46235</v>
      </c>
      <c r="G1705" s="378" t="s">
        <v>439</v>
      </c>
      <c r="H1705" s="20" t="s">
        <v>465</v>
      </c>
      <c r="I1705" s="378" t="s">
        <v>441</v>
      </c>
      <c r="J1705" s="20" t="s">
        <v>163</v>
      </c>
      <c r="K1705" s="378" t="s">
        <v>466</v>
      </c>
      <c r="L1705" s="378" t="s">
        <v>165</v>
      </c>
      <c r="M1705" s="380">
        <v>2400</v>
      </c>
      <c r="N1705" s="380" t="s">
        <v>443</v>
      </c>
      <c r="O1705" s="380" t="s">
        <v>443</v>
      </c>
      <c r="P1705" s="380" t="s">
        <v>443</v>
      </c>
      <c r="Q1705" s="381">
        <v>335</v>
      </c>
      <c r="R1705" s="381">
        <v>0</v>
      </c>
      <c r="S1705" s="381">
        <v>0</v>
      </c>
      <c r="T1705" s="381">
        <v>0</v>
      </c>
      <c r="U1705" s="381">
        <v>0</v>
      </c>
      <c r="V1705" s="382">
        <v>335</v>
      </c>
      <c r="W1705" s="382">
        <v>0</v>
      </c>
      <c r="X1705" s="381">
        <v>0.13958333333333334</v>
      </c>
      <c r="Y1705" s="381">
        <v>0</v>
      </c>
      <c r="Z1705" s="381">
        <v>0</v>
      </c>
      <c r="AA1705" s="381">
        <v>0</v>
      </c>
      <c r="AB1705" s="381">
        <v>0</v>
      </c>
      <c r="AC1705" s="382">
        <v>0.13958333333333334</v>
      </c>
      <c r="AD1705" s="382">
        <v>0</v>
      </c>
      <c r="AE1705" s="381" t="s">
        <v>444</v>
      </c>
    </row>
    <row r="1706" spans="1:31" ht="15" customHeight="1" x14ac:dyDescent="0.25">
      <c r="A1706" s="20" t="s">
        <v>156</v>
      </c>
      <c r="B1706" s="20" t="s">
        <v>2056</v>
      </c>
      <c r="C1706" s="20" t="s">
        <v>2057</v>
      </c>
      <c r="D1706" s="378" t="s">
        <v>2409</v>
      </c>
      <c r="E1706" s="384">
        <v>45596</v>
      </c>
      <c r="F1706" s="384">
        <v>46235</v>
      </c>
      <c r="G1706" s="378" t="s">
        <v>439</v>
      </c>
      <c r="H1706" s="20" t="s">
        <v>465</v>
      </c>
      <c r="I1706" s="378" t="s">
        <v>441</v>
      </c>
      <c r="J1706" s="20" t="s">
        <v>163</v>
      </c>
      <c r="K1706" s="378" t="s">
        <v>466</v>
      </c>
      <c r="L1706" s="378" t="s">
        <v>165</v>
      </c>
      <c r="M1706" s="380">
        <v>2400</v>
      </c>
      <c r="N1706" s="380" t="s">
        <v>443</v>
      </c>
      <c r="O1706" s="380" t="s">
        <v>443</v>
      </c>
      <c r="P1706" s="380" t="s">
        <v>443</v>
      </c>
      <c r="Q1706" s="381">
        <v>468</v>
      </c>
      <c r="R1706" s="381">
        <v>0</v>
      </c>
      <c r="S1706" s="381">
        <v>0</v>
      </c>
      <c r="T1706" s="381">
        <v>0</v>
      </c>
      <c r="U1706" s="381">
        <v>0</v>
      </c>
      <c r="V1706" s="382">
        <v>468</v>
      </c>
      <c r="W1706" s="382">
        <v>0</v>
      </c>
      <c r="X1706" s="381">
        <v>0.19500000000000001</v>
      </c>
      <c r="Y1706" s="381">
        <v>0</v>
      </c>
      <c r="Z1706" s="381">
        <v>0</v>
      </c>
      <c r="AA1706" s="381">
        <v>0</v>
      </c>
      <c r="AB1706" s="381">
        <v>0</v>
      </c>
      <c r="AC1706" s="382">
        <v>0.19500000000000001</v>
      </c>
      <c r="AD1706" s="382">
        <v>0</v>
      </c>
      <c r="AE1706" s="381" t="s">
        <v>444</v>
      </c>
    </row>
    <row r="1707" spans="1:31" ht="15" customHeight="1" x14ac:dyDescent="0.25">
      <c r="A1707" s="20" t="s">
        <v>156</v>
      </c>
      <c r="B1707" s="20" t="s">
        <v>2056</v>
      </c>
      <c r="C1707" s="20" t="s">
        <v>2057</v>
      </c>
      <c r="D1707" s="378" t="s">
        <v>2410</v>
      </c>
      <c r="E1707" s="384">
        <v>45596</v>
      </c>
      <c r="F1707" s="384">
        <v>46235</v>
      </c>
      <c r="G1707" s="378" t="s">
        <v>439</v>
      </c>
      <c r="H1707" s="20" t="s">
        <v>465</v>
      </c>
      <c r="I1707" s="378" t="s">
        <v>441</v>
      </c>
      <c r="J1707" s="20" t="s">
        <v>163</v>
      </c>
      <c r="K1707" s="378" t="s">
        <v>466</v>
      </c>
      <c r="L1707" s="378" t="s">
        <v>165</v>
      </c>
      <c r="M1707" s="380">
        <v>2400</v>
      </c>
      <c r="N1707" s="380" t="s">
        <v>443</v>
      </c>
      <c r="O1707" s="380" t="s">
        <v>443</v>
      </c>
      <c r="P1707" s="380" t="s">
        <v>443</v>
      </c>
      <c r="Q1707" s="381">
        <v>356</v>
      </c>
      <c r="R1707" s="381">
        <v>0</v>
      </c>
      <c r="S1707" s="381">
        <v>0</v>
      </c>
      <c r="T1707" s="381">
        <v>0</v>
      </c>
      <c r="U1707" s="381">
        <v>0</v>
      </c>
      <c r="V1707" s="382">
        <v>356</v>
      </c>
      <c r="W1707" s="382">
        <v>0</v>
      </c>
      <c r="X1707" s="381">
        <v>0.14833333333333334</v>
      </c>
      <c r="Y1707" s="381">
        <v>0</v>
      </c>
      <c r="Z1707" s="381">
        <v>0</v>
      </c>
      <c r="AA1707" s="381">
        <v>0</v>
      </c>
      <c r="AB1707" s="381">
        <v>0</v>
      </c>
      <c r="AC1707" s="382">
        <v>0.14833333333333334</v>
      </c>
      <c r="AD1707" s="382">
        <v>0</v>
      </c>
      <c r="AE1707" s="381" t="s">
        <v>444</v>
      </c>
    </row>
    <row r="1708" spans="1:31" ht="15" customHeight="1" x14ac:dyDescent="0.25">
      <c r="A1708" s="20" t="s">
        <v>156</v>
      </c>
      <c r="B1708" s="20" t="s">
        <v>2056</v>
      </c>
      <c r="C1708" s="20" t="s">
        <v>2057</v>
      </c>
      <c r="D1708" s="378" t="s">
        <v>2411</v>
      </c>
      <c r="E1708" s="384">
        <v>45321</v>
      </c>
      <c r="F1708" s="384">
        <v>46351</v>
      </c>
      <c r="G1708" s="378" t="s">
        <v>439</v>
      </c>
      <c r="H1708" s="20" t="s">
        <v>802</v>
      </c>
      <c r="I1708" s="378" t="s">
        <v>353</v>
      </c>
      <c r="J1708" s="20" t="s">
        <v>163</v>
      </c>
      <c r="K1708" s="378" t="s">
        <v>803</v>
      </c>
      <c r="L1708" s="378" t="s">
        <v>165</v>
      </c>
      <c r="M1708" s="380">
        <v>2400</v>
      </c>
      <c r="N1708" s="380" t="s">
        <v>443</v>
      </c>
      <c r="O1708" s="380" t="s">
        <v>443</v>
      </c>
      <c r="P1708" s="380" t="s">
        <v>443</v>
      </c>
      <c r="Q1708" s="381">
        <v>320</v>
      </c>
      <c r="R1708" s="381">
        <v>0</v>
      </c>
      <c r="S1708" s="381">
        <v>0</v>
      </c>
      <c r="T1708" s="381">
        <v>0</v>
      </c>
      <c r="U1708" s="381">
        <v>0</v>
      </c>
      <c r="V1708" s="382">
        <v>320</v>
      </c>
      <c r="W1708" s="382">
        <v>0</v>
      </c>
      <c r="X1708" s="381">
        <v>0.13333333333333333</v>
      </c>
      <c r="Y1708" s="381">
        <v>0</v>
      </c>
      <c r="Z1708" s="381">
        <v>0</v>
      </c>
      <c r="AA1708" s="381">
        <v>0</v>
      </c>
      <c r="AB1708" s="381">
        <v>0</v>
      </c>
      <c r="AC1708" s="382">
        <v>0.13333333333333333</v>
      </c>
      <c r="AD1708" s="382">
        <v>0</v>
      </c>
      <c r="AE1708" s="381" t="s">
        <v>444</v>
      </c>
    </row>
    <row r="1709" spans="1:31" ht="15" customHeight="1" x14ac:dyDescent="0.25">
      <c r="A1709" s="20" t="s">
        <v>156</v>
      </c>
      <c r="B1709" s="20" t="s">
        <v>2056</v>
      </c>
      <c r="C1709" s="20" t="s">
        <v>2057</v>
      </c>
      <c r="D1709" s="378" t="s">
        <v>2412</v>
      </c>
      <c r="E1709" s="384">
        <v>45321</v>
      </c>
      <c r="F1709" s="384">
        <v>46351</v>
      </c>
      <c r="G1709" s="378" t="s">
        <v>439</v>
      </c>
      <c r="H1709" s="20" t="s">
        <v>802</v>
      </c>
      <c r="I1709" s="378" t="s">
        <v>353</v>
      </c>
      <c r="J1709" s="20" t="s">
        <v>163</v>
      </c>
      <c r="K1709" s="378" t="s">
        <v>803</v>
      </c>
      <c r="L1709" s="378" t="s">
        <v>165</v>
      </c>
      <c r="M1709" s="380">
        <v>2400</v>
      </c>
      <c r="N1709" s="380" t="s">
        <v>443</v>
      </c>
      <c r="O1709" s="380" t="s">
        <v>443</v>
      </c>
      <c r="P1709" s="380" t="s">
        <v>443</v>
      </c>
      <c r="Q1709" s="381">
        <v>326</v>
      </c>
      <c r="R1709" s="381">
        <v>0</v>
      </c>
      <c r="S1709" s="381">
        <v>0</v>
      </c>
      <c r="T1709" s="381">
        <v>0</v>
      </c>
      <c r="U1709" s="381">
        <v>0</v>
      </c>
      <c r="V1709" s="382">
        <v>326</v>
      </c>
      <c r="W1709" s="382">
        <v>0</v>
      </c>
      <c r="X1709" s="381">
        <v>0.13583333333333333</v>
      </c>
      <c r="Y1709" s="381">
        <v>0</v>
      </c>
      <c r="Z1709" s="381">
        <v>0</v>
      </c>
      <c r="AA1709" s="381">
        <v>0</v>
      </c>
      <c r="AB1709" s="381">
        <v>0</v>
      </c>
      <c r="AC1709" s="382">
        <v>0.13583333333333333</v>
      </c>
      <c r="AD1709" s="382">
        <v>0</v>
      </c>
      <c r="AE1709" s="381" t="s">
        <v>444</v>
      </c>
    </row>
    <row r="1710" spans="1:31" ht="15" customHeight="1" x14ac:dyDescent="0.25">
      <c r="A1710" s="20" t="s">
        <v>156</v>
      </c>
      <c r="B1710" s="20" t="s">
        <v>2056</v>
      </c>
      <c r="C1710" s="20" t="s">
        <v>2057</v>
      </c>
      <c r="D1710" s="378" t="s">
        <v>2413</v>
      </c>
      <c r="E1710" s="384">
        <v>45321</v>
      </c>
      <c r="F1710" s="384">
        <v>46351</v>
      </c>
      <c r="G1710" s="378" t="s">
        <v>439</v>
      </c>
      <c r="H1710" s="20" t="s">
        <v>802</v>
      </c>
      <c r="I1710" s="378" t="s">
        <v>353</v>
      </c>
      <c r="J1710" s="20" t="s">
        <v>163</v>
      </c>
      <c r="K1710" s="378" t="s">
        <v>803</v>
      </c>
      <c r="L1710" s="378" t="s">
        <v>165</v>
      </c>
      <c r="M1710" s="380">
        <v>2400</v>
      </c>
      <c r="N1710" s="380" t="s">
        <v>443</v>
      </c>
      <c r="O1710" s="380" t="s">
        <v>443</v>
      </c>
      <c r="P1710" s="380" t="s">
        <v>443</v>
      </c>
      <c r="Q1710" s="381">
        <v>341</v>
      </c>
      <c r="R1710" s="381">
        <v>0</v>
      </c>
      <c r="S1710" s="381">
        <v>0</v>
      </c>
      <c r="T1710" s="381">
        <v>0</v>
      </c>
      <c r="U1710" s="381">
        <v>0</v>
      </c>
      <c r="V1710" s="382">
        <v>341</v>
      </c>
      <c r="W1710" s="382">
        <v>0</v>
      </c>
      <c r="X1710" s="381">
        <v>0.14208333333333334</v>
      </c>
      <c r="Y1710" s="381">
        <v>0</v>
      </c>
      <c r="Z1710" s="381">
        <v>0</v>
      </c>
      <c r="AA1710" s="381">
        <v>0</v>
      </c>
      <c r="AB1710" s="381">
        <v>0</v>
      </c>
      <c r="AC1710" s="382">
        <v>0.14208333333333334</v>
      </c>
      <c r="AD1710" s="382">
        <v>0</v>
      </c>
      <c r="AE1710" s="381" t="s">
        <v>444</v>
      </c>
    </row>
    <row r="1711" spans="1:31" ht="15" customHeight="1" x14ac:dyDescent="0.25">
      <c r="A1711" s="20" t="s">
        <v>156</v>
      </c>
      <c r="B1711" s="20" t="s">
        <v>2056</v>
      </c>
      <c r="C1711" s="20" t="s">
        <v>2057</v>
      </c>
      <c r="D1711" s="378" t="s">
        <v>2414</v>
      </c>
      <c r="E1711" s="384">
        <v>45321</v>
      </c>
      <c r="F1711" s="384">
        <v>46351</v>
      </c>
      <c r="G1711" s="378" t="s">
        <v>439</v>
      </c>
      <c r="H1711" s="20" t="s">
        <v>802</v>
      </c>
      <c r="I1711" s="378" t="s">
        <v>353</v>
      </c>
      <c r="J1711" s="20" t="s">
        <v>163</v>
      </c>
      <c r="K1711" s="378" t="s">
        <v>803</v>
      </c>
      <c r="L1711" s="378" t="s">
        <v>165</v>
      </c>
      <c r="M1711" s="380">
        <v>2400</v>
      </c>
      <c r="N1711" s="380" t="s">
        <v>443</v>
      </c>
      <c r="O1711" s="380" t="s">
        <v>443</v>
      </c>
      <c r="P1711" s="380" t="s">
        <v>443</v>
      </c>
      <c r="Q1711" s="381">
        <v>435</v>
      </c>
      <c r="R1711" s="381">
        <v>0</v>
      </c>
      <c r="S1711" s="381">
        <v>0</v>
      </c>
      <c r="T1711" s="381">
        <v>0</v>
      </c>
      <c r="U1711" s="381">
        <v>0</v>
      </c>
      <c r="V1711" s="382">
        <v>435</v>
      </c>
      <c r="W1711" s="382">
        <v>0</v>
      </c>
      <c r="X1711" s="381">
        <v>0.18124999999999999</v>
      </c>
      <c r="Y1711" s="381">
        <v>0</v>
      </c>
      <c r="Z1711" s="381">
        <v>0</v>
      </c>
      <c r="AA1711" s="381">
        <v>0</v>
      </c>
      <c r="AB1711" s="381">
        <v>0</v>
      </c>
      <c r="AC1711" s="382">
        <v>0.18124999999999999</v>
      </c>
      <c r="AD1711" s="382">
        <v>0</v>
      </c>
      <c r="AE1711" s="381" t="s">
        <v>444</v>
      </c>
    </row>
    <row r="1712" spans="1:31" ht="15" customHeight="1" x14ac:dyDescent="0.25">
      <c r="A1712" s="20" t="s">
        <v>156</v>
      </c>
      <c r="B1712" s="20" t="s">
        <v>2056</v>
      </c>
      <c r="C1712" s="20" t="s">
        <v>2057</v>
      </c>
      <c r="D1712" s="378" t="s">
        <v>2415</v>
      </c>
      <c r="E1712" s="384">
        <v>45321</v>
      </c>
      <c r="F1712" s="384">
        <v>46351</v>
      </c>
      <c r="G1712" s="378" t="s">
        <v>439</v>
      </c>
      <c r="H1712" s="20" t="s">
        <v>802</v>
      </c>
      <c r="I1712" s="378" t="s">
        <v>353</v>
      </c>
      <c r="J1712" s="20" t="s">
        <v>163</v>
      </c>
      <c r="K1712" s="378" t="s">
        <v>803</v>
      </c>
      <c r="L1712" s="378" t="s">
        <v>165</v>
      </c>
      <c r="M1712" s="380">
        <v>2400</v>
      </c>
      <c r="N1712" s="380" t="s">
        <v>443</v>
      </c>
      <c r="O1712" s="380" t="s">
        <v>443</v>
      </c>
      <c r="P1712" s="380" t="s">
        <v>443</v>
      </c>
      <c r="Q1712" s="381">
        <v>538</v>
      </c>
      <c r="R1712" s="381">
        <v>0</v>
      </c>
      <c r="S1712" s="381">
        <v>0</v>
      </c>
      <c r="T1712" s="381">
        <v>0</v>
      </c>
      <c r="U1712" s="381">
        <v>0</v>
      </c>
      <c r="V1712" s="382">
        <v>538</v>
      </c>
      <c r="W1712" s="382">
        <v>0</v>
      </c>
      <c r="X1712" s="381">
        <v>0.22416666666666665</v>
      </c>
      <c r="Y1712" s="381">
        <v>0</v>
      </c>
      <c r="Z1712" s="381">
        <v>0</v>
      </c>
      <c r="AA1712" s="381">
        <v>0</v>
      </c>
      <c r="AB1712" s="381">
        <v>0</v>
      </c>
      <c r="AC1712" s="382">
        <v>0.22416666666666665</v>
      </c>
      <c r="AD1712" s="382">
        <v>0</v>
      </c>
      <c r="AE1712" s="381" t="s">
        <v>444</v>
      </c>
    </row>
    <row r="1713" spans="1:31" ht="15" customHeight="1" x14ac:dyDescent="0.25">
      <c r="A1713" s="20" t="s">
        <v>156</v>
      </c>
      <c r="B1713" s="20" t="s">
        <v>2056</v>
      </c>
      <c r="C1713" s="20" t="s">
        <v>2057</v>
      </c>
      <c r="D1713" s="378" t="s">
        <v>2416</v>
      </c>
      <c r="E1713" s="384">
        <v>45321</v>
      </c>
      <c r="F1713" s="384">
        <v>46351</v>
      </c>
      <c r="G1713" s="378" t="s">
        <v>439</v>
      </c>
      <c r="H1713" s="20" t="s">
        <v>802</v>
      </c>
      <c r="I1713" s="378" t="s">
        <v>353</v>
      </c>
      <c r="J1713" s="20" t="s">
        <v>163</v>
      </c>
      <c r="K1713" s="378" t="s">
        <v>803</v>
      </c>
      <c r="L1713" s="378" t="s">
        <v>165</v>
      </c>
      <c r="M1713" s="380">
        <v>2400</v>
      </c>
      <c r="N1713" s="380" t="s">
        <v>443</v>
      </c>
      <c r="O1713" s="380" t="s">
        <v>443</v>
      </c>
      <c r="P1713" s="380" t="s">
        <v>443</v>
      </c>
      <c r="Q1713" s="381">
        <v>351</v>
      </c>
      <c r="R1713" s="381">
        <v>0</v>
      </c>
      <c r="S1713" s="381">
        <v>0</v>
      </c>
      <c r="T1713" s="381">
        <v>0</v>
      </c>
      <c r="U1713" s="381">
        <v>0</v>
      </c>
      <c r="V1713" s="382">
        <v>351</v>
      </c>
      <c r="W1713" s="382">
        <v>0</v>
      </c>
      <c r="X1713" s="381">
        <v>0.14624999999999999</v>
      </c>
      <c r="Y1713" s="381">
        <v>0</v>
      </c>
      <c r="Z1713" s="381">
        <v>0</v>
      </c>
      <c r="AA1713" s="381">
        <v>0</v>
      </c>
      <c r="AB1713" s="381">
        <v>0</v>
      </c>
      <c r="AC1713" s="382">
        <v>0.14624999999999999</v>
      </c>
      <c r="AD1713" s="382">
        <v>0</v>
      </c>
      <c r="AE1713" s="381" t="s">
        <v>444</v>
      </c>
    </row>
    <row r="1714" spans="1:31" ht="15" customHeight="1" x14ac:dyDescent="0.25">
      <c r="A1714" s="20" t="s">
        <v>156</v>
      </c>
      <c r="B1714" s="20" t="s">
        <v>2056</v>
      </c>
      <c r="C1714" s="20" t="s">
        <v>2057</v>
      </c>
      <c r="D1714" s="378" t="s">
        <v>2417</v>
      </c>
      <c r="E1714" s="384">
        <v>44803</v>
      </c>
      <c r="F1714" s="384">
        <v>46619</v>
      </c>
      <c r="G1714" s="378" t="s">
        <v>439</v>
      </c>
      <c r="H1714" s="20" t="s">
        <v>470</v>
      </c>
      <c r="I1714" s="378" t="s">
        <v>168</v>
      </c>
      <c r="J1714" s="20" t="s">
        <v>163</v>
      </c>
      <c r="K1714" s="378" t="s">
        <v>471</v>
      </c>
      <c r="L1714" s="378" t="s">
        <v>165</v>
      </c>
      <c r="M1714" s="380">
        <v>2400</v>
      </c>
      <c r="N1714" s="380" t="s">
        <v>443</v>
      </c>
      <c r="O1714" s="380" t="s">
        <v>443</v>
      </c>
      <c r="P1714" s="380" t="s">
        <v>443</v>
      </c>
      <c r="Q1714" s="381">
        <v>438</v>
      </c>
      <c r="R1714" s="381">
        <v>438</v>
      </c>
      <c r="S1714" s="381">
        <v>5.21E-2</v>
      </c>
      <c r="T1714" s="381">
        <v>0</v>
      </c>
      <c r="U1714" s="381">
        <v>0</v>
      </c>
      <c r="V1714" s="382">
        <v>438.0521</v>
      </c>
      <c r="W1714" s="382">
        <v>0</v>
      </c>
      <c r="X1714" s="381">
        <v>0.1825</v>
      </c>
      <c r="Y1714" s="381">
        <v>0.1825</v>
      </c>
      <c r="Z1714" s="381">
        <v>2.1708333333333334E-5</v>
      </c>
      <c r="AA1714" s="381">
        <v>0</v>
      </c>
      <c r="AB1714" s="381">
        <v>0</v>
      </c>
      <c r="AC1714" s="382">
        <v>0.18252170833333334</v>
      </c>
      <c r="AD1714" s="382">
        <v>0</v>
      </c>
      <c r="AE1714" s="381" t="s">
        <v>444</v>
      </c>
    </row>
    <row r="1715" spans="1:31" ht="15" customHeight="1" x14ac:dyDescent="0.25">
      <c r="A1715" s="20" t="s">
        <v>156</v>
      </c>
      <c r="B1715" s="20" t="s">
        <v>2056</v>
      </c>
      <c r="C1715" s="20" t="s">
        <v>2057</v>
      </c>
      <c r="D1715" s="378" t="s">
        <v>2418</v>
      </c>
      <c r="E1715" s="384">
        <v>44803</v>
      </c>
      <c r="F1715" s="384">
        <v>46619</v>
      </c>
      <c r="G1715" s="378" t="s">
        <v>439</v>
      </c>
      <c r="H1715" s="20" t="s">
        <v>470</v>
      </c>
      <c r="I1715" s="378" t="s">
        <v>168</v>
      </c>
      <c r="J1715" s="20" t="s">
        <v>163</v>
      </c>
      <c r="K1715" s="378" t="s">
        <v>471</v>
      </c>
      <c r="L1715" s="378" t="s">
        <v>165</v>
      </c>
      <c r="M1715" s="380">
        <v>2400</v>
      </c>
      <c r="N1715" s="380" t="s">
        <v>443</v>
      </c>
      <c r="O1715" s="380" t="s">
        <v>443</v>
      </c>
      <c r="P1715" s="380" t="s">
        <v>443</v>
      </c>
      <c r="Q1715" s="381">
        <v>418</v>
      </c>
      <c r="R1715" s="381">
        <v>418</v>
      </c>
      <c r="S1715" s="381">
        <v>6.0900000000000003E-2</v>
      </c>
      <c r="T1715" s="381">
        <v>0</v>
      </c>
      <c r="U1715" s="381">
        <v>0</v>
      </c>
      <c r="V1715" s="382">
        <v>418.0609</v>
      </c>
      <c r="W1715" s="382">
        <v>0</v>
      </c>
      <c r="X1715" s="381">
        <v>0.17416666666666666</v>
      </c>
      <c r="Y1715" s="381">
        <v>0.17416666666666666</v>
      </c>
      <c r="Z1715" s="381">
        <v>2.5375E-5</v>
      </c>
      <c r="AA1715" s="381">
        <v>0</v>
      </c>
      <c r="AB1715" s="381">
        <v>0</v>
      </c>
      <c r="AC1715" s="382">
        <v>0.17419204166666666</v>
      </c>
      <c r="AD1715" s="382">
        <v>0</v>
      </c>
      <c r="AE1715" s="381" t="s">
        <v>444</v>
      </c>
    </row>
    <row r="1716" spans="1:31" ht="15" customHeight="1" x14ac:dyDescent="0.25">
      <c r="A1716" s="20" t="s">
        <v>156</v>
      </c>
      <c r="B1716" s="20" t="s">
        <v>2056</v>
      </c>
      <c r="C1716" s="20" t="s">
        <v>2057</v>
      </c>
      <c r="D1716" s="378" t="s">
        <v>2419</v>
      </c>
      <c r="E1716" s="384">
        <v>44803</v>
      </c>
      <c r="F1716" s="384">
        <v>46619</v>
      </c>
      <c r="G1716" s="378" t="s">
        <v>439</v>
      </c>
      <c r="H1716" s="20" t="s">
        <v>470</v>
      </c>
      <c r="I1716" s="378" t="s">
        <v>168</v>
      </c>
      <c r="J1716" s="20" t="s">
        <v>163</v>
      </c>
      <c r="K1716" s="378" t="s">
        <v>471</v>
      </c>
      <c r="L1716" s="378" t="s">
        <v>165</v>
      </c>
      <c r="M1716" s="380">
        <v>2400</v>
      </c>
      <c r="N1716" s="380" t="s">
        <v>443</v>
      </c>
      <c r="O1716" s="380" t="s">
        <v>443</v>
      </c>
      <c r="P1716" s="380" t="s">
        <v>443</v>
      </c>
      <c r="Q1716" s="381">
        <v>307</v>
      </c>
      <c r="R1716" s="381">
        <v>307</v>
      </c>
      <c r="S1716" s="381">
        <v>8.6300000000000002E-2</v>
      </c>
      <c r="T1716" s="381">
        <v>0</v>
      </c>
      <c r="U1716" s="381">
        <v>0</v>
      </c>
      <c r="V1716" s="382">
        <v>307.08629999999999</v>
      </c>
      <c r="W1716" s="382">
        <v>0</v>
      </c>
      <c r="X1716" s="381">
        <v>0.12791666666666668</v>
      </c>
      <c r="Y1716" s="381">
        <v>0.12791666666666668</v>
      </c>
      <c r="Z1716" s="381">
        <v>3.5958333333333331E-5</v>
      </c>
      <c r="AA1716" s="381">
        <v>0</v>
      </c>
      <c r="AB1716" s="381">
        <v>0</v>
      </c>
      <c r="AC1716" s="382">
        <v>0.12795262500000001</v>
      </c>
      <c r="AD1716" s="382">
        <v>0</v>
      </c>
      <c r="AE1716" s="381" t="s">
        <v>444</v>
      </c>
    </row>
    <row r="1717" spans="1:31" ht="15" customHeight="1" x14ac:dyDescent="0.25">
      <c r="A1717" s="20" t="s">
        <v>156</v>
      </c>
      <c r="B1717" s="20" t="s">
        <v>2056</v>
      </c>
      <c r="C1717" s="20" t="s">
        <v>2057</v>
      </c>
      <c r="D1717" s="378" t="s">
        <v>2420</v>
      </c>
      <c r="E1717" s="384">
        <v>44803</v>
      </c>
      <c r="F1717" s="384">
        <v>46619</v>
      </c>
      <c r="G1717" s="378" t="s">
        <v>439</v>
      </c>
      <c r="H1717" s="20" t="s">
        <v>470</v>
      </c>
      <c r="I1717" s="378" t="s">
        <v>168</v>
      </c>
      <c r="J1717" s="20" t="s">
        <v>163</v>
      </c>
      <c r="K1717" s="378" t="s">
        <v>471</v>
      </c>
      <c r="L1717" s="378" t="s">
        <v>165</v>
      </c>
      <c r="M1717" s="380">
        <v>2400</v>
      </c>
      <c r="N1717" s="380" t="s">
        <v>443</v>
      </c>
      <c r="O1717" s="380" t="s">
        <v>443</v>
      </c>
      <c r="P1717" s="380" t="s">
        <v>443</v>
      </c>
      <c r="Q1717" s="381">
        <v>294</v>
      </c>
      <c r="R1717" s="381">
        <v>294</v>
      </c>
      <c r="S1717" s="381">
        <v>9.5200000000000007E-2</v>
      </c>
      <c r="T1717" s="381">
        <v>0</v>
      </c>
      <c r="U1717" s="381">
        <v>0</v>
      </c>
      <c r="V1717" s="382">
        <v>294.09519999999998</v>
      </c>
      <c r="W1717" s="382">
        <v>0</v>
      </c>
      <c r="X1717" s="381">
        <v>0.1225</v>
      </c>
      <c r="Y1717" s="381">
        <v>0.1225</v>
      </c>
      <c r="Z1717" s="381">
        <v>3.9666666666666671E-5</v>
      </c>
      <c r="AA1717" s="381">
        <v>0</v>
      </c>
      <c r="AB1717" s="381">
        <v>0</v>
      </c>
      <c r="AC1717" s="382">
        <v>0.12253966666666666</v>
      </c>
      <c r="AD1717" s="382">
        <v>0</v>
      </c>
      <c r="AE1717" s="381" t="s">
        <v>444</v>
      </c>
    </row>
    <row r="1718" spans="1:31" ht="15" customHeight="1" x14ac:dyDescent="0.25">
      <c r="A1718" s="20" t="s">
        <v>156</v>
      </c>
      <c r="B1718" s="20" t="s">
        <v>2056</v>
      </c>
      <c r="C1718" s="20" t="s">
        <v>2057</v>
      </c>
      <c r="D1718" s="378" t="s">
        <v>2421</v>
      </c>
      <c r="E1718" s="384">
        <v>44852</v>
      </c>
      <c r="F1718" s="384">
        <v>46678</v>
      </c>
      <c r="G1718" s="378" t="s">
        <v>439</v>
      </c>
      <c r="H1718" s="20" t="s">
        <v>813</v>
      </c>
      <c r="I1718" s="378" t="s">
        <v>814</v>
      </c>
      <c r="J1718" s="20" t="s">
        <v>163</v>
      </c>
      <c r="K1718" s="378" t="s">
        <v>815</v>
      </c>
      <c r="L1718" s="378" t="s">
        <v>165</v>
      </c>
      <c r="M1718" s="380">
        <v>2400</v>
      </c>
      <c r="N1718" s="380" t="s">
        <v>443</v>
      </c>
      <c r="O1718" s="380" t="s">
        <v>443</v>
      </c>
      <c r="P1718" s="380" t="s">
        <v>443</v>
      </c>
      <c r="Q1718" s="381">
        <v>280</v>
      </c>
      <c r="R1718" s="381">
        <v>0</v>
      </c>
      <c r="S1718" s="381">
        <v>0</v>
      </c>
      <c r="T1718" s="381">
        <v>0</v>
      </c>
      <c r="U1718" s="381">
        <v>0</v>
      </c>
      <c r="V1718" s="382">
        <v>280</v>
      </c>
      <c r="W1718" s="382">
        <v>0</v>
      </c>
      <c r="X1718" s="381">
        <v>0.11666666666666667</v>
      </c>
      <c r="Y1718" s="381">
        <v>0</v>
      </c>
      <c r="Z1718" s="381">
        <v>0</v>
      </c>
      <c r="AA1718" s="381">
        <v>0</v>
      </c>
      <c r="AB1718" s="381">
        <v>0</v>
      </c>
      <c r="AC1718" s="382">
        <v>0.11666666666666667</v>
      </c>
      <c r="AD1718" s="382">
        <v>0</v>
      </c>
      <c r="AE1718" s="381" t="s">
        <v>444</v>
      </c>
    </row>
    <row r="1719" spans="1:31" ht="15" customHeight="1" x14ac:dyDescent="0.25">
      <c r="A1719" s="20" t="s">
        <v>156</v>
      </c>
      <c r="B1719" s="20" t="s">
        <v>2056</v>
      </c>
      <c r="C1719" s="20" t="s">
        <v>2057</v>
      </c>
      <c r="D1719" s="378" t="s">
        <v>2422</v>
      </c>
      <c r="E1719" s="384">
        <v>44852</v>
      </c>
      <c r="F1719" s="384">
        <v>46678</v>
      </c>
      <c r="G1719" s="378" t="s">
        <v>439</v>
      </c>
      <c r="H1719" s="20" t="s">
        <v>813</v>
      </c>
      <c r="I1719" s="378" t="s">
        <v>814</v>
      </c>
      <c r="J1719" s="20" t="s">
        <v>163</v>
      </c>
      <c r="K1719" s="378" t="s">
        <v>815</v>
      </c>
      <c r="L1719" s="378" t="s">
        <v>165</v>
      </c>
      <c r="M1719" s="380">
        <v>2400</v>
      </c>
      <c r="N1719" s="380" t="s">
        <v>443</v>
      </c>
      <c r="O1719" s="380" t="s">
        <v>443</v>
      </c>
      <c r="P1719" s="380" t="s">
        <v>443</v>
      </c>
      <c r="Q1719" s="381">
        <v>288</v>
      </c>
      <c r="R1719" s="381">
        <v>0</v>
      </c>
      <c r="S1719" s="381">
        <v>0</v>
      </c>
      <c r="T1719" s="381">
        <v>0</v>
      </c>
      <c r="U1719" s="381">
        <v>0</v>
      </c>
      <c r="V1719" s="382">
        <v>288</v>
      </c>
      <c r="W1719" s="382">
        <v>0</v>
      </c>
      <c r="X1719" s="381">
        <v>0.12</v>
      </c>
      <c r="Y1719" s="381">
        <v>0</v>
      </c>
      <c r="Z1719" s="381">
        <v>0</v>
      </c>
      <c r="AA1719" s="381">
        <v>0</v>
      </c>
      <c r="AB1719" s="381">
        <v>0</v>
      </c>
      <c r="AC1719" s="382">
        <v>0.12</v>
      </c>
      <c r="AD1719" s="382">
        <v>0</v>
      </c>
      <c r="AE1719" s="381" t="s">
        <v>444</v>
      </c>
    </row>
    <row r="1720" spans="1:31" ht="15" customHeight="1" x14ac:dyDescent="0.25">
      <c r="A1720" s="20" t="s">
        <v>156</v>
      </c>
      <c r="B1720" s="20" t="s">
        <v>2056</v>
      </c>
      <c r="C1720" s="20" t="s">
        <v>2057</v>
      </c>
      <c r="D1720" s="378" t="s">
        <v>2423</v>
      </c>
      <c r="E1720" s="384">
        <v>44852</v>
      </c>
      <c r="F1720" s="384">
        <v>46678</v>
      </c>
      <c r="G1720" s="378" t="s">
        <v>439</v>
      </c>
      <c r="H1720" s="20" t="s">
        <v>813</v>
      </c>
      <c r="I1720" s="378" t="s">
        <v>814</v>
      </c>
      <c r="J1720" s="20" t="s">
        <v>163</v>
      </c>
      <c r="K1720" s="378" t="s">
        <v>815</v>
      </c>
      <c r="L1720" s="378" t="s">
        <v>165</v>
      </c>
      <c r="M1720" s="380">
        <v>2400</v>
      </c>
      <c r="N1720" s="380" t="s">
        <v>443</v>
      </c>
      <c r="O1720" s="380" t="s">
        <v>443</v>
      </c>
      <c r="P1720" s="380" t="s">
        <v>443</v>
      </c>
      <c r="Q1720" s="381">
        <v>381</v>
      </c>
      <c r="R1720" s="381">
        <v>0</v>
      </c>
      <c r="S1720" s="381">
        <v>0</v>
      </c>
      <c r="T1720" s="381">
        <v>0</v>
      </c>
      <c r="U1720" s="381">
        <v>0</v>
      </c>
      <c r="V1720" s="382">
        <v>381</v>
      </c>
      <c r="W1720" s="382">
        <v>0</v>
      </c>
      <c r="X1720" s="381">
        <v>0.15875</v>
      </c>
      <c r="Y1720" s="381">
        <v>0</v>
      </c>
      <c r="Z1720" s="381">
        <v>0</v>
      </c>
      <c r="AA1720" s="381">
        <v>0</v>
      </c>
      <c r="AB1720" s="381">
        <v>0</v>
      </c>
      <c r="AC1720" s="382">
        <v>0.15875</v>
      </c>
      <c r="AD1720" s="382">
        <v>0</v>
      </c>
      <c r="AE1720" s="381" t="s">
        <v>444</v>
      </c>
    </row>
    <row r="1721" spans="1:31" ht="15" customHeight="1" x14ac:dyDescent="0.25">
      <c r="A1721" s="20" t="s">
        <v>156</v>
      </c>
      <c r="B1721" s="20" t="s">
        <v>2056</v>
      </c>
      <c r="C1721" s="20" t="s">
        <v>2057</v>
      </c>
      <c r="D1721" s="378" t="s">
        <v>2424</v>
      </c>
      <c r="E1721" s="384">
        <v>44417</v>
      </c>
      <c r="F1721" s="384">
        <v>46357</v>
      </c>
      <c r="G1721" s="378" t="s">
        <v>439</v>
      </c>
      <c r="H1721" s="20" t="s">
        <v>817</v>
      </c>
      <c r="I1721" s="378" t="s">
        <v>814</v>
      </c>
      <c r="J1721" s="20" t="s">
        <v>163</v>
      </c>
      <c r="K1721" s="378" t="s">
        <v>818</v>
      </c>
      <c r="L1721" s="378" t="s">
        <v>165</v>
      </c>
      <c r="M1721" s="380">
        <v>2400</v>
      </c>
      <c r="N1721" s="380" t="s">
        <v>443</v>
      </c>
      <c r="O1721" s="380" t="s">
        <v>443</v>
      </c>
      <c r="P1721" s="380" t="s">
        <v>443</v>
      </c>
      <c r="Q1721" s="381">
        <v>399</v>
      </c>
      <c r="R1721" s="381">
        <v>0</v>
      </c>
      <c r="S1721" s="381">
        <v>0</v>
      </c>
      <c r="T1721" s="381">
        <v>0</v>
      </c>
      <c r="U1721" s="381">
        <v>0</v>
      </c>
      <c r="V1721" s="382">
        <v>399</v>
      </c>
      <c r="W1721" s="382">
        <v>0</v>
      </c>
      <c r="X1721" s="381">
        <v>0.16625000000000001</v>
      </c>
      <c r="Y1721" s="381">
        <v>0</v>
      </c>
      <c r="Z1721" s="381">
        <v>0</v>
      </c>
      <c r="AA1721" s="381">
        <v>0</v>
      </c>
      <c r="AB1721" s="381">
        <v>0</v>
      </c>
      <c r="AC1721" s="382">
        <v>0.16625000000000001</v>
      </c>
      <c r="AD1721" s="382">
        <v>0</v>
      </c>
      <c r="AE1721" s="381" t="s">
        <v>444</v>
      </c>
    </row>
    <row r="1722" spans="1:31" ht="15" customHeight="1" x14ac:dyDescent="0.25">
      <c r="A1722" s="20" t="s">
        <v>156</v>
      </c>
      <c r="B1722" s="20" t="s">
        <v>2056</v>
      </c>
      <c r="C1722" s="20" t="s">
        <v>2057</v>
      </c>
      <c r="D1722" s="378" t="s">
        <v>2425</v>
      </c>
      <c r="E1722" s="384">
        <v>44417</v>
      </c>
      <c r="F1722" s="384">
        <v>46357</v>
      </c>
      <c r="G1722" s="378" t="s">
        <v>439</v>
      </c>
      <c r="H1722" s="20" t="s">
        <v>817</v>
      </c>
      <c r="I1722" s="378" t="s">
        <v>814</v>
      </c>
      <c r="J1722" s="20" t="s">
        <v>163</v>
      </c>
      <c r="K1722" s="378" t="s">
        <v>818</v>
      </c>
      <c r="L1722" s="378" t="s">
        <v>165</v>
      </c>
      <c r="M1722" s="380">
        <v>2400</v>
      </c>
      <c r="N1722" s="380" t="s">
        <v>443</v>
      </c>
      <c r="O1722" s="380" t="s">
        <v>443</v>
      </c>
      <c r="P1722" s="380" t="s">
        <v>443</v>
      </c>
      <c r="Q1722" s="381">
        <v>287</v>
      </c>
      <c r="R1722" s="381">
        <v>0</v>
      </c>
      <c r="S1722" s="381">
        <v>0</v>
      </c>
      <c r="T1722" s="381">
        <v>0</v>
      </c>
      <c r="U1722" s="381">
        <v>0</v>
      </c>
      <c r="V1722" s="382">
        <v>287</v>
      </c>
      <c r="W1722" s="382">
        <v>0</v>
      </c>
      <c r="X1722" s="381">
        <v>0.11958333333333333</v>
      </c>
      <c r="Y1722" s="381">
        <v>0</v>
      </c>
      <c r="Z1722" s="381">
        <v>0</v>
      </c>
      <c r="AA1722" s="381">
        <v>0</v>
      </c>
      <c r="AB1722" s="381">
        <v>0</v>
      </c>
      <c r="AC1722" s="382">
        <v>0.11958333333333333</v>
      </c>
      <c r="AD1722" s="382">
        <v>0</v>
      </c>
      <c r="AE1722" s="381" t="s">
        <v>444</v>
      </c>
    </row>
    <row r="1723" spans="1:31" ht="15" customHeight="1" x14ac:dyDescent="0.25">
      <c r="A1723" s="20" t="s">
        <v>156</v>
      </c>
      <c r="B1723" s="20" t="s">
        <v>2056</v>
      </c>
      <c r="C1723" s="20" t="s">
        <v>2057</v>
      </c>
      <c r="D1723" s="378" t="s">
        <v>2426</v>
      </c>
      <c r="E1723" s="384">
        <v>44417</v>
      </c>
      <c r="F1723" s="384">
        <v>46357</v>
      </c>
      <c r="G1723" s="378" t="s">
        <v>439</v>
      </c>
      <c r="H1723" s="20" t="s">
        <v>817</v>
      </c>
      <c r="I1723" s="378" t="s">
        <v>814</v>
      </c>
      <c r="J1723" s="20" t="s">
        <v>163</v>
      </c>
      <c r="K1723" s="378" t="s">
        <v>818</v>
      </c>
      <c r="L1723" s="378" t="s">
        <v>165</v>
      </c>
      <c r="M1723" s="380">
        <v>2400</v>
      </c>
      <c r="N1723" s="380" t="s">
        <v>443</v>
      </c>
      <c r="O1723" s="380" t="s">
        <v>443</v>
      </c>
      <c r="P1723" s="380" t="s">
        <v>443</v>
      </c>
      <c r="Q1723" s="381">
        <v>402</v>
      </c>
      <c r="R1723" s="381">
        <v>0</v>
      </c>
      <c r="S1723" s="381">
        <v>0</v>
      </c>
      <c r="T1723" s="381">
        <v>0</v>
      </c>
      <c r="U1723" s="381">
        <v>0</v>
      </c>
      <c r="V1723" s="382">
        <v>402</v>
      </c>
      <c r="W1723" s="382">
        <v>0</v>
      </c>
      <c r="X1723" s="381">
        <v>0.16750000000000001</v>
      </c>
      <c r="Y1723" s="381">
        <v>0</v>
      </c>
      <c r="Z1723" s="381">
        <v>0</v>
      </c>
      <c r="AA1723" s="381">
        <v>0</v>
      </c>
      <c r="AB1723" s="381">
        <v>0</v>
      </c>
      <c r="AC1723" s="382">
        <v>0.16750000000000001</v>
      </c>
      <c r="AD1723" s="382">
        <v>0</v>
      </c>
      <c r="AE1723" s="381" t="s">
        <v>444</v>
      </c>
    </row>
    <row r="1724" spans="1:31" ht="15" customHeight="1" x14ac:dyDescent="0.25">
      <c r="A1724" s="20" t="s">
        <v>156</v>
      </c>
      <c r="B1724" s="20" t="s">
        <v>2056</v>
      </c>
      <c r="C1724" s="20" t="s">
        <v>2057</v>
      </c>
      <c r="D1724" s="378" t="s">
        <v>2427</v>
      </c>
      <c r="E1724" s="384">
        <v>44417</v>
      </c>
      <c r="F1724" s="384">
        <v>46357</v>
      </c>
      <c r="G1724" s="378" t="s">
        <v>439</v>
      </c>
      <c r="H1724" s="20" t="s">
        <v>817</v>
      </c>
      <c r="I1724" s="378" t="s">
        <v>814</v>
      </c>
      <c r="J1724" s="20" t="s">
        <v>163</v>
      </c>
      <c r="K1724" s="378" t="s">
        <v>818</v>
      </c>
      <c r="L1724" s="378" t="s">
        <v>165</v>
      </c>
      <c r="M1724" s="380">
        <v>2400</v>
      </c>
      <c r="N1724" s="380" t="s">
        <v>443</v>
      </c>
      <c r="O1724" s="380" t="s">
        <v>443</v>
      </c>
      <c r="P1724" s="380" t="s">
        <v>443</v>
      </c>
      <c r="Q1724" s="381">
        <v>397</v>
      </c>
      <c r="R1724" s="381">
        <v>0</v>
      </c>
      <c r="S1724" s="381">
        <v>0</v>
      </c>
      <c r="T1724" s="381">
        <v>0</v>
      </c>
      <c r="U1724" s="381">
        <v>0</v>
      </c>
      <c r="V1724" s="382">
        <v>397</v>
      </c>
      <c r="W1724" s="382">
        <v>0</v>
      </c>
      <c r="X1724" s="381">
        <v>0.16541666666666666</v>
      </c>
      <c r="Y1724" s="381">
        <v>0</v>
      </c>
      <c r="Z1724" s="381">
        <v>0</v>
      </c>
      <c r="AA1724" s="381">
        <v>0</v>
      </c>
      <c r="AB1724" s="381">
        <v>0</v>
      </c>
      <c r="AC1724" s="382">
        <v>0.16541666666666666</v>
      </c>
      <c r="AD1724" s="382">
        <v>0</v>
      </c>
      <c r="AE1724" s="381" t="s">
        <v>444</v>
      </c>
    </row>
    <row r="1725" spans="1:31" ht="15" customHeight="1" x14ac:dyDescent="0.25">
      <c r="A1725" s="20" t="s">
        <v>156</v>
      </c>
      <c r="B1725" s="20" t="s">
        <v>2056</v>
      </c>
      <c r="C1725" s="20" t="s">
        <v>2057</v>
      </c>
      <c r="D1725" s="378" t="s">
        <v>2428</v>
      </c>
      <c r="E1725" s="384">
        <v>44613</v>
      </c>
      <c r="F1725" s="384">
        <v>46439</v>
      </c>
      <c r="G1725" s="378" t="s">
        <v>439</v>
      </c>
      <c r="H1725" s="20" t="s">
        <v>455</v>
      </c>
      <c r="I1725" s="378" t="s">
        <v>162</v>
      </c>
      <c r="J1725" s="20" t="s">
        <v>163</v>
      </c>
      <c r="K1725" s="378" t="s">
        <v>476</v>
      </c>
      <c r="L1725" s="378" t="s">
        <v>165</v>
      </c>
      <c r="M1725" s="380">
        <v>2400</v>
      </c>
      <c r="N1725" s="380" t="s">
        <v>443</v>
      </c>
      <c r="O1725" s="380" t="s">
        <v>443</v>
      </c>
      <c r="P1725" s="380" t="s">
        <v>443</v>
      </c>
      <c r="Q1725" s="381">
        <v>320</v>
      </c>
      <c r="R1725" s="381">
        <v>0</v>
      </c>
      <c r="S1725" s="381">
        <v>0</v>
      </c>
      <c r="T1725" s="381">
        <v>0</v>
      </c>
      <c r="U1725" s="381">
        <v>0</v>
      </c>
      <c r="V1725" s="382">
        <v>320</v>
      </c>
      <c r="W1725" s="382">
        <v>0</v>
      </c>
      <c r="X1725" s="381">
        <v>0.13333333333333333</v>
      </c>
      <c r="Y1725" s="381">
        <v>0</v>
      </c>
      <c r="Z1725" s="381">
        <v>0</v>
      </c>
      <c r="AA1725" s="381">
        <v>0</v>
      </c>
      <c r="AB1725" s="381">
        <v>0</v>
      </c>
      <c r="AC1725" s="382">
        <v>0.13333333333333333</v>
      </c>
      <c r="AD1725" s="382">
        <v>0</v>
      </c>
      <c r="AE1725" s="381" t="s">
        <v>444</v>
      </c>
    </row>
    <row r="1726" spans="1:31" ht="15" customHeight="1" x14ac:dyDescent="0.25">
      <c r="A1726" s="20" t="s">
        <v>156</v>
      </c>
      <c r="B1726" s="20" t="s">
        <v>2056</v>
      </c>
      <c r="C1726" s="20" t="s">
        <v>2057</v>
      </c>
      <c r="D1726" s="378" t="s">
        <v>2429</v>
      </c>
      <c r="E1726" s="384">
        <v>44613</v>
      </c>
      <c r="F1726" s="384">
        <v>46439</v>
      </c>
      <c r="G1726" s="378" t="s">
        <v>439</v>
      </c>
      <c r="H1726" s="20" t="s">
        <v>455</v>
      </c>
      <c r="I1726" s="378" t="s">
        <v>162</v>
      </c>
      <c r="J1726" s="20" t="s">
        <v>163</v>
      </c>
      <c r="K1726" s="378" t="s">
        <v>476</v>
      </c>
      <c r="L1726" s="378" t="s">
        <v>165</v>
      </c>
      <c r="M1726" s="380">
        <v>2400</v>
      </c>
      <c r="N1726" s="380" t="s">
        <v>443</v>
      </c>
      <c r="O1726" s="380" t="s">
        <v>443</v>
      </c>
      <c r="P1726" s="380" t="s">
        <v>443</v>
      </c>
      <c r="Q1726" s="381">
        <v>336</v>
      </c>
      <c r="R1726" s="381">
        <v>0</v>
      </c>
      <c r="S1726" s="381">
        <v>0</v>
      </c>
      <c r="T1726" s="381">
        <v>0</v>
      </c>
      <c r="U1726" s="381">
        <v>0</v>
      </c>
      <c r="V1726" s="382">
        <v>336</v>
      </c>
      <c r="W1726" s="382">
        <v>0</v>
      </c>
      <c r="X1726" s="381">
        <v>0.14000000000000001</v>
      </c>
      <c r="Y1726" s="381">
        <v>0</v>
      </c>
      <c r="Z1726" s="381">
        <v>0</v>
      </c>
      <c r="AA1726" s="381">
        <v>0</v>
      </c>
      <c r="AB1726" s="381">
        <v>0</v>
      </c>
      <c r="AC1726" s="382">
        <v>0.14000000000000001</v>
      </c>
      <c r="AD1726" s="382">
        <v>0</v>
      </c>
      <c r="AE1726" s="381" t="s">
        <v>444</v>
      </c>
    </row>
    <row r="1727" spans="1:31" ht="15" customHeight="1" x14ac:dyDescent="0.25">
      <c r="A1727" s="20" t="s">
        <v>156</v>
      </c>
      <c r="B1727" s="20" t="s">
        <v>2056</v>
      </c>
      <c r="C1727" s="20" t="s">
        <v>2057</v>
      </c>
      <c r="D1727" s="378" t="s">
        <v>2430</v>
      </c>
      <c r="E1727" s="384">
        <v>44613</v>
      </c>
      <c r="F1727" s="384">
        <v>46439</v>
      </c>
      <c r="G1727" s="378" t="s">
        <v>439</v>
      </c>
      <c r="H1727" s="20" t="s">
        <v>455</v>
      </c>
      <c r="I1727" s="378" t="s">
        <v>162</v>
      </c>
      <c r="J1727" s="20" t="s">
        <v>163</v>
      </c>
      <c r="K1727" s="378" t="s">
        <v>476</v>
      </c>
      <c r="L1727" s="378" t="s">
        <v>165</v>
      </c>
      <c r="M1727" s="380">
        <v>2400</v>
      </c>
      <c r="N1727" s="380" t="s">
        <v>443</v>
      </c>
      <c r="O1727" s="380" t="s">
        <v>443</v>
      </c>
      <c r="P1727" s="380" t="s">
        <v>443</v>
      </c>
      <c r="Q1727" s="381">
        <v>413</v>
      </c>
      <c r="R1727" s="381">
        <v>0</v>
      </c>
      <c r="S1727" s="381">
        <v>0</v>
      </c>
      <c r="T1727" s="381">
        <v>0</v>
      </c>
      <c r="U1727" s="381">
        <v>0</v>
      </c>
      <c r="V1727" s="382">
        <v>413</v>
      </c>
      <c r="W1727" s="382">
        <v>0</v>
      </c>
      <c r="X1727" s="381">
        <v>0.17208333333333334</v>
      </c>
      <c r="Y1727" s="381">
        <v>0</v>
      </c>
      <c r="Z1727" s="381">
        <v>0</v>
      </c>
      <c r="AA1727" s="381">
        <v>0</v>
      </c>
      <c r="AB1727" s="381">
        <v>0</v>
      </c>
      <c r="AC1727" s="382">
        <v>0.17208333333333334</v>
      </c>
      <c r="AD1727" s="382">
        <v>0</v>
      </c>
      <c r="AE1727" s="381" t="s">
        <v>444</v>
      </c>
    </row>
    <row r="1728" spans="1:31" ht="15" customHeight="1" x14ac:dyDescent="0.25">
      <c r="A1728" s="20" t="s">
        <v>156</v>
      </c>
      <c r="B1728" s="20" t="s">
        <v>2056</v>
      </c>
      <c r="C1728" s="20" t="s">
        <v>2057</v>
      </c>
      <c r="D1728" s="378" t="s">
        <v>2431</v>
      </c>
      <c r="E1728" s="384">
        <v>44613</v>
      </c>
      <c r="F1728" s="384">
        <v>46439</v>
      </c>
      <c r="G1728" s="378" t="s">
        <v>439</v>
      </c>
      <c r="H1728" s="20" t="s">
        <v>455</v>
      </c>
      <c r="I1728" s="378" t="s">
        <v>162</v>
      </c>
      <c r="J1728" s="20" t="s">
        <v>163</v>
      </c>
      <c r="K1728" s="378" t="s">
        <v>476</v>
      </c>
      <c r="L1728" s="378" t="s">
        <v>165</v>
      </c>
      <c r="M1728" s="380">
        <v>2400</v>
      </c>
      <c r="N1728" s="380" t="s">
        <v>443</v>
      </c>
      <c r="O1728" s="380" t="s">
        <v>443</v>
      </c>
      <c r="P1728" s="380" t="s">
        <v>443</v>
      </c>
      <c r="Q1728" s="381">
        <v>463</v>
      </c>
      <c r="R1728" s="381">
        <v>0</v>
      </c>
      <c r="S1728" s="381">
        <v>0</v>
      </c>
      <c r="T1728" s="381">
        <v>0</v>
      </c>
      <c r="U1728" s="381">
        <v>0</v>
      </c>
      <c r="V1728" s="382">
        <v>463</v>
      </c>
      <c r="W1728" s="382">
        <v>0</v>
      </c>
      <c r="X1728" s="381">
        <v>0.19291666666666665</v>
      </c>
      <c r="Y1728" s="381">
        <v>0</v>
      </c>
      <c r="Z1728" s="381">
        <v>0</v>
      </c>
      <c r="AA1728" s="381">
        <v>0</v>
      </c>
      <c r="AB1728" s="381">
        <v>0</v>
      </c>
      <c r="AC1728" s="382">
        <v>0.19291666666666665</v>
      </c>
      <c r="AD1728" s="382">
        <v>0</v>
      </c>
      <c r="AE1728" s="381" t="s">
        <v>444</v>
      </c>
    </row>
    <row r="1729" spans="1:31" ht="15" customHeight="1" x14ac:dyDescent="0.25">
      <c r="A1729" s="20" t="s">
        <v>156</v>
      </c>
      <c r="B1729" s="20" t="s">
        <v>2056</v>
      </c>
      <c r="C1729" s="20" t="s">
        <v>2057</v>
      </c>
      <c r="D1729" s="378" t="s">
        <v>2432</v>
      </c>
      <c r="E1729" s="384">
        <v>44613</v>
      </c>
      <c r="F1729" s="384">
        <v>46439</v>
      </c>
      <c r="G1729" s="378" t="s">
        <v>439</v>
      </c>
      <c r="H1729" s="20" t="s">
        <v>455</v>
      </c>
      <c r="I1729" s="378" t="s">
        <v>162</v>
      </c>
      <c r="J1729" s="20" t="s">
        <v>163</v>
      </c>
      <c r="K1729" s="378" t="s">
        <v>476</v>
      </c>
      <c r="L1729" s="378" t="s">
        <v>165</v>
      </c>
      <c r="M1729" s="380">
        <v>2400</v>
      </c>
      <c r="N1729" s="380" t="s">
        <v>443</v>
      </c>
      <c r="O1729" s="380" t="s">
        <v>443</v>
      </c>
      <c r="P1729" s="380" t="s">
        <v>443</v>
      </c>
      <c r="Q1729" s="381">
        <v>364</v>
      </c>
      <c r="R1729" s="381">
        <v>0</v>
      </c>
      <c r="S1729" s="381">
        <v>0</v>
      </c>
      <c r="T1729" s="381">
        <v>0</v>
      </c>
      <c r="U1729" s="381">
        <v>0</v>
      </c>
      <c r="V1729" s="382">
        <v>364</v>
      </c>
      <c r="W1729" s="382">
        <v>0</v>
      </c>
      <c r="X1729" s="381">
        <v>0.15166666666666667</v>
      </c>
      <c r="Y1729" s="381">
        <v>0</v>
      </c>
      <c r="Z1729" s="381">
        <v>0</v>
      </c>
      <c r="AA1729" s="381">
        <v>0</v>
      </c>
      <c r="AB1729" s="381">
        <v>0</v>
      </c>
      <c r="AC1729" s="382">
        <v>0.15166666666666667</v>
      </c>
      <c r="AD1729" s="382">
        <v>0</v>
      </c>
      <c r="AE1729" s="381" t="s">
        <v>444</v>
      </c>
    </row>
    <row r="1730" spans="1:31" ht="15" customHeight="1" x14ac:dyDescent="0.25">
      <c r="A1730" s="20" t="s">
        <v>156</v>
      </c>
      <c r="B1730" s="20" t="s">
        <v>2056</v>
      </c>
      <c r="C1730" s="20" t="s">
        <v>2057</v>
      </c>
      <c r="D1730" s="378" t="s">
        <v>2433</v>
      </c>
      <c r="E1730" s="384">
        <v>44613</v>
      </c>
      <c r="F1730" s="384">
        <v>46439</v>
      </c>
      <c r="G1730" s="378" t="s">
        <v>439</v>
      </c>
      <c r="H1730" s="20" t="s">
        <v>455</v>
      </c>
      <c r="I1730" s="378" t="s">
        <v>162</v>
      </c>
      <c r="J1730" s="20" t="s">
        <v>163</v>
      </c>
      <c r="K1730" s="378" t="s">
        <v>476</v>
      </c>
      <c r="L1730" s="378" t="s">
        <v>165</v>
      </c>
      <c r="M1730" s="380">
        <v>2400</v>
      </c>
      <c r="N1730" s="380" t="s">
        <v>443</v>
      </c>
      <c r="O1730" s="380" t="s">
        <v>443</v>
      </c>
      <c r="P1730" s="380" t="s">
        <v>443</v>
      </c>
      <c r="Q1730" s="381">
        <v>485</v>
      </c>
      <c r="R1730" s="381">
        <v>0</v>
      </c>
      <c r="S1730" s="381">
        <v>0</v>
      </c>
      <c r="T1730" s="381">
        <v>0</v>
      </c>
      <c r="U1730" s="381">
        <v>0</v>
      </c>
      <c r="V1730" s="382">
        <v>485</v>
      </c>
      <c r="W1730" s="382">
        <v>0</v>
      </c>
      <c r="X1730" s="381">
        <v>0.20208333333333334</v>
      </c>
      <c r="Y1730" s="381">
        <v>0</v>
      </c>
      <c r="Z1730" s="381">
        <v>0</v>
      </c>
      <c r="AA1730" s="381">
        <v>0</v>
      </c>
      <c r="AB1730" s="381">
        <v>0</v>
      </c>
      <c r="AC1730" s="382">
        <v>0.20208333333333334</v>
      </c>
      <c r="AD1730" s="382">
        <v>0</v>
      </c>
      <c r="AE1730" s="381" t="s">
        <v>444</v>
      </c>
    </row>
    <row r="1731" spans="1:31" ht="15" customHeight="1" x14ac:dyDescent="0.25">
      <c r="A1731" s="20" t="s">
        <v>156</v>
      </c>
      <c r="B1731" s="20" t="s">
        <v>2056</v>
      </c>
      <c r="C1731" s="20" t="s">
        <v>2057</v>
      </c>
      <c r="D1731" s="378" t="s">
        <v>2434</v>
      </c>
      <c r="E1731" s="384">
        <v>44613</v>
      </c>
      <c r="F1731" s="384">
        <v>46439</v>
      </c>
      <c r="G1731" s="378" t="s">
        <v>439</v>
      </c>
      <c r="H1731" s="20" t="s">
        <v>455</v>
      </c>
      <c r="I1731" s="378" t="s">
        <v>162</v>
      </c>
      <c r="J1731" s="20" t="s">
        <v>163</v>
      </c>
      <c r="K1731" s="378" t="s">
        <v>476</v>
      </c>
      <c r="L1731" s="378" t="s">
        <v>165</v>
      </c>
      <c r="M1731" s="380">
        <v>2400</v>
      </c>
      <c r="N1731" s="380" t="s">
        <v>443</v>
      </c>
      <c r="O1731" s="380" t="s">
        <v>443</v>
      </c>
      <c r="P1731" s="380" t="s">
        <v>443</v>
      </c>
      <c r="Q1731" s="381">
        <v>414</v>
      </c>
      <c r="R1731" s="381">
        <v>0</v>
      </c>
      <c r="S1731" s="381">
        <v>0</v>
      </c>
      <c r="T1731" s="381">
        <v>0</v>
      </c>
      <c r="U1731" s="381">
        <v>0</v>
      </c>
      <c r="V1731" s="382">
        <v>414</v>
      </c>
      <c r="W1731" s="382">
        <v>0</v>
      </c>
      <c r="X1731" s="381">
        <v>0.17249999999999999</v>
      </c>
      <c r="Y1731" s="381">
        <v>0</v>
      </c>
      <c r="Z1731" s="381">
        <v>0</v>
      </c>
      <c r="AA1731" s="381">
        <v>0</v>
      </c>
      <c r="AB1731" s="381">
        <v>0</v>
      </c>
      <c r="AC1731" s="382">
        <v>0.17249999999999999</v>
      </c>
      <c r="AD1731" s="382">
        <v>0</v>
      </c>
      <c r="AE1731" s="381" t="s">
        <v>444</v>
      </c>
    </row>
    <row r="1732" spans="1:31" ht="15" customHeight="1" x14ac:dyDescent="0.25">
      <c r="A1732" s="20" t="s">
        <v>156</v>
      </c>
      <c r="B1732" s="20" t="s">
        <v>2056</v>
      </c>
      <c r="C1732" s="20" t="s">
        <v>2057</v>
      </c>
      <c r="D1732" s="378" t="s">
        <v>2435</v>
      </c>
      <c r="E1732" s="384">
        <v>44613</v>
      </c>
      <c r="F1732" s="384">
        <v>46439</v>
      </c>
      <c r="G1732" s="378" t="s">
        <v>439</v>
      </c>
      <c r="H1732" s="20" t="s">
        <v>455</v>
      </c>
      <c r="I1732" s="378" t="s">
        <v>162</v>
      </c>
      <c r="J1732" s="20" t="s">
        <v>163</v>
      </c>
      <c r="K1732" s="378" t="s">
        <v>476</v>
      </c>
      <c r="L1732" s="378" t="s">
        <v>165</v>
      </c>
      <c r="M1732" s="380">
        <v>2400</v>
      </c>
      <c r="N1732" s="380" t="s">
        <v>443</v>
      </c>
      <c r="O1732" s="380" t="s">
        <v>443</v>
      </c>
      <c r="P1732" s="380" t="s">
        <v>443</v>
      </c>
      <c r="Q1732" s="381">
        <v>444</v>
      </c>
      <c r="R1732" s="381">
        <v>0</v>
      </c>
      <c r="S1732" s="381">
        <v>0</v>
      </c>
      <c r="T1732" s="381">
        <v>0</v>
      </c>
      <c r="U1732" s="381">
        <v>0</v>
      </c>
      <c r="V1732" s="382">
        <v>444</v>
      </c>
      <c r="W1732" s="382">
        <v>0</v>
      </c>
      <c r="X1732" s="381">
        <v>0.185</v>
      </c>
      <c r="Y1732" s="381">
        <v>0</v>
      </c>
      <c r="Z1732" s="381">
        <v>0</v>
      </c>
      <c r="AA1732" s="381">
        <v>0</v>
      </c>
      <c r="AB1732" s="381">
        <v>0</v>
      </c>
      <c r="AC1732" s="382">
        <v>0.185</v>
      </c>
      <c r="AD1732" s="382">
        <v>0</v>
      </c>
      <c r="AE1732" s="381" t="s">
        <v>444</v>
      </c>
    </row>
    <row r="1733" spans="1:31" ht="15" customHeight="1" x14ac:dyDescent="0.25">
      <c r="A1733" s="20" t="s">
        <v>156</v>
      </c>
      <c r="B1733" s="20" t="s">
        <v>2056</v>
      </c>
      <c r="C1733" s="20" t="s">
        <v>2057</v>
      </c>
      <c r="D1733" s="378" t="s">
        <v>2436</v>
      </c>
      <c r="E1733" s="384">
        <v>44613</v>
      </c>
      <c r="F1733" s="384">
        <v>46439</v>
      </c>
      <c r="G1733" s="378" t="s">
        <v>439</v>
      </c>
      <c r="H1733" s="20" t="s">
        <v>455</v>
      </c>
      <c r="I1733" s="378" t="s">
        <v>162</v>
      </c>
      <c r="J1733" s="20" t="s">
        <v>163</v>
      </c>
      <c r="K1733" s="378" t="s">
        <v>476</v>
      </c>
      <c r="L1733" s="378" t="s">
        <v>165</v>
      </c>
      <c r="M1733" s="380">
        <v>2400</v>
      </c>
      <c r="N1733" s="380" t="s">
        <v>443</v>
      </c>
      <c r="O1733" s="380" t="s">
        <v>443</v>
      </c>
      <c r="P1733" s="380" t="s">
        <v>443</v>
      </c>
      <c r="Q1733" s="381">
        <v>309</v>
      </c>
      <c r="R1733" s="381">
        <v>0</v>
      </c>
      <c r="S1733" s="381">
        <v>0</v>
      </c>
      <c r="T1733" s="381">
        <v>0</v>
      </c>
      <c r="U1733" s="381">
        <v>0</v>
      </c>
      <c r="V1733" s="382">
        <v>309</v>
      </c>
      <c r="W1733" s="382">
        <v>0</v>
      </c>
      <c r="X1733" s="381">
        <v>0.12875</v>
      </c>
      <c r="Y1733" s="381">
        <v>0</v>
      </c>
      <c r="Z1733" s="381">
        <v>0</v>
      </c>
      <c r="AA1733" s="381">
        <v>0</v>
      </c>
      <c r="AB1733" s="381">
        <v>0</v>
      </c>
      <c r="AC1733" s="382">
        <v>0.12875</v>
      </c>
      <c r="AD1733" s="382">
        <v>0</v>
      </c>
      <c r="AE1733" s="381" t="s">
        <v>444</v>
      </c>
    </row>
    <row r="1734" spans="1:31" ht="15" customHeight="1" x14ac:dyDescent="0.25">
      <c r="A1734" s="20" t="s">
        <v>156</v>
      </c>
      <c r="B1734" s="20" t="s">
        <v>2056</v>
      </c>
      <c r="C1734" s="20" t="s">
        <v>2057</v>
      </c>
      <c r="D1734" s="378" t="s">
        <v>2437</v>
      </c>
      <c r="E1734" s="384">
        <v>44613</v>
      </c>
      <c r="F1734" s="384">
        <v>46439</v>
      </c>
      <c r="G1734" s="378" t="s">
        <v>439</v>
      </c>
      <c r="H1734" s="20" t="s">
        <v>455</v>
      </c>
      <c r="I1734" s="378" t="s">
        <v>162</v>
      </c>
      <c r="J1734" s="20" t="s">
        <v>163</v>
      </c>
      <c r="K1734" s="378" t="s">
        <v>476</v>
      </c>
      <c r="L1734" s="378" t="s">
        <v>165</v>
      </c>
      <c r="M1734" s="380">
        <v>2400</v>
      </c>
      <c r="N1734" s="380" t="s">
        <v>443</v>
      </c>
      <c r="O1734" s="380" t="s">
        <v>443</v>
      </c>
      <c r="P1734" s="380" t="s">
        <v>443</v>
      </c>
      <c r="Q1734" s="381">
        <v>410</v>
      </c>
      <c r="R1734" s="381">
        <v>0</v>
      </c>
      <c r="S1734" s="381">
        <v>0</v>
      </c>
      <c r="T1734" s="381">
        <v>0</v>
      </c>
      <c r="U1734" s="381">
        <v>0</v>
      </c>
      <c r="V1734" s="382">
        <v>410</v>
      </c>
      <c r="W1734" s="382">
        <v>0</v>
      </c>
      <c r="X1734" s="381">
        <v>0.17083333333333334</v>
      </c>
      <c r="Y1734" s="381">
        <v>0</v>
      </c>
      <c r="Z1734" s="381">
        <v>0</v>
      </c>
      <c r="AA1734" s="381">
        <v>0</v>
      </c>
      <c r="AB1734" s="381">
        <v>0</v>
      </c>
      <c r="AC1734" s="382">
        <v>0.17083333333333334</v>
      </c>
      <c r="AD1734" s="382">
        <v>0</v>
      </c>
      <c r="AE1734" s="381" t="s">
        <v>444</v>
      </c>
    </row>
    <row r="1735" spans="1:31" ht="15" customHeight="1" x14ac:dyDescent="0.25">
      <c r="A1735" s="20" t="s">
        <v>156</v>
      </c>
      <c r="B1735" s="20" t="s">
        <v>2056</v>
      </c>
      <c r="C1735" s="20" t="s">
        <v>2057</v>
      </c>
      <c r="D1735" s="378" t="s">
        <v>2438</v>
      </c>
      <c r="E1735" s="384">
        <v>44613</v>
      </c>
      <c r="F1735" s="384">
        <v>46439</v>
      </c>
      <c r="G1735" s="378" t="s">
        <v>439</v>
      </c>
      <c r="H1735" s="20" t="s">
        <v>455</v>
      </c>
      <c r="I1735" s="378" t="s">
        <v>162</v>
      </c>
      <c r="J1735" s="20" t="s">
        <v>163</v>
      </c>
      <c r="K1735" s="378" t="s">
        <v>476</v>
      </c>
      <c r="L1735" s="378" t="s">
        <v>165</v>
      </c>
      <c r="M1735" s="380">
        <v>2400</v>
      </c>
      <c r="N1735" s="380" t="s">
        <v>443</v>
      </c>
      <c r="O1735" s="380" t="s">
        <v>443</v>
      </c>
      <c r="P1735" s="380" t="s">
        <v>443</v>
      </c>
      <c r="Q1735" s="381">
        <v>311</v>
      </c>
      <c r="R1735" s="381">
        <v>0</v>
      </c>
      <c r="S1735" s="381">
        <v>0</v>
      </c>
      <c r="T1735" s="381">
        <v>0</v>
      </c>
      <c r="U1735" s="381">
        <v>0</v>
      </c>
      <c r="V1735" s="382">
        <v>311</v>
      </c>
      <c r="W1735" s="382">
        <v>0</v>
      </c>
      <c r="X1735" s="381">
        <v>0.12958333333333333</v>
      </c>
      <c r="Y1735" s="381">
        <v>0</v>
      </c>
      <c r="Z1735" s="381">
        <v>0</v>
      </c>
      <c r="AA1735" s="381">
        <v>0</v>
      </c>
      <c r="AB1735" s="381">
        <v>0</v>
      </c>
      <c r="AC1735" s="382">
        <v>0.12958333333333333</v>
      </c>
      <c r="AD1735" s="382">
        <v>0</v>
      </c>
      <c r="AE1735" s="381" t="s">
        <v>444</v>
      </c>
    </row>
    <row r="1736" spans="1:31" ht="15" customHeight="1" x14ac:dyDescent="0.25">
      <c r="A1736" s="20" t="s">
        <v>156</v>
      </c>
      <c r="B1736" s="20" t="s">
        <v>2056</v>
      </c>
      <c r="C1736" s="20" t="s">
        <v>2057</v>
      </c>
      <c r="D1736" s="378" t="s">
        <v>2439</v>
      </c>
      <c r="E1736" s="384">
        <v>44613</v>
      </c>
      <c r="F1736" s="384">
        <v>46439</v>
      </c>
      <c r="G1736" s="378" t="s">
        <v>439</v>
      </c>
      <c r="H1736" s="20" t="s">
        <v>455</v>
      </c>
      <c r="I1736" s="378" t="s">
        <v>162</v>
      </c>
      <c r="J1736" s="20" t="s">
        <v>163</v>
      </c>
      <c r="K1736" s="378" t="s">
        <v>476</v>
      </c>
      <c r="L1736" s="378" t="s">
        <v>165</v>
      </c>
      <c r="M1736" s="380">
        <v>2400</v>
      </c>
      <c r="N1736" s="380" t="s">
        <v>443</v>
      </c>
      <c r="O1736" s="380" t="s">
        <v>443</v>
      </c>
      <c r="P1736" s="380" t="s">
        <v>443</v>
      </c>
      <c r="Q1736" s="381">
        <v>336</v>
      </c>
      <c r="R1736" s="381">
        <v>0</v>
      </c>
      <c r="S1736" s="381">
        <v>0</v>
      </c>
      <c r="T1736" s="381">
        <v>0</v>
      </c>
      <c r="U1736" s="381">
        <v>0</v>
      </c>
      <c r="V1736" s="382">
        <v>336</v>
      </c>
      <c r="W1736" s="382">
        <v>0</v>
      </c>
      <c r="X1736" s="381">
        <v>0.14000000000000001</v>
      </c>
      <c r="Y1736" s="381">
        <v>0</v>
      </c>
      <c r="Z1736" s="381">
        <v>0</v>
      </c>
      <c r="AA1736" s="381">
        <v>0</v>
      </c>
      <c r="AB1736" s="381">
        <v>0</v>
      </c>
      <c r="AC1736" s="382">
        <v>0.14000000000000001</v>
      </c>
      <c r="AD1736" s="382">
        <v>0</v>
      </c>
      <c r="AE1736" s="381" t="s">
        <v>444</v>
      </c>
    </row>
    <row r="1737" spans="1:31" ht="15" customHeight="1" x14ac:dyDescent="0.25">
      <c r="A1737" s="20" t="s">
        <v>156</v>
      </c>
      <c r="B1737" s="20" t="s">
        <v>2056</v>
      </c>
      <c r="C1737" s="20" t="s">
        <v>2057</v>
      </c>
      <c r="D1737" s="378" t="s">
        <v>2440</v>
      </c>
      <c r="E1737" s="384">
        <v>44613</v>
      </c>
      <c r="F1737" s="384">
        <v>46439</v>
      </c>
      <c r="G1737" s="378" t="s">
        <v>439</v>
      </c>
      <c r="H1737" s="20" t="s">
        <v>455</v>
      </c>
      <c r="I1737" s="378" t="s">
        <v>162</v>
      </c>
      <c r="J1737" s="20" t="s">
        <v>163</v>
      </c>
      <c r="K1737" s="378" t="s">
        <v>476</v>
      </c>
      <c r="L1737" s="378" t="s">
        <v>165</v>
      </c>
      <c r="M1737" s="380">
        <v>2400</v>
      </c>
      <c r="N1737" s="380" t="s">
        <v>443</v>
      </c>
      <c r="O1737" s="380" t="s">
        <v>443</v>
      </c>
      <c r="P1737" s="380" t="s">
        <v>443</v>
      </c>
      <c r="Q1737" s="381">
        <v>457</v>
      </c>
      <c r="R1737" s="381">
        <v>0</v>
      </c>
      <c r="S1737" s="381">
        <v>0</v>
      </c>
      <c r="T1737" s="381">
        <v>0</v>
      </c>
      <c r="U1737" s="381">
        <v>0</v>
      </c>
      <c r="V1737" s="382">
        <v>457</v>
      </c>
      <c r="W1737" s="382">
        <v>0</v>
      </c>
      <c r="X1737" s="381">
        <v>0.19041666666666668</v>
      </c>
      <c r="Y1737" s="381">
        <v>0</v>
      </c>
      <c r="Z1737" s="381">
        <v>0</v>
      </c>
      <c r="AA1737" s="381">
        <v>0</v>
      </c>
      <c r="AB1737" s="381">
        <v>0</v>
      </c>
      <c r="AC1737" s="382">
        <v>0.19041666666666668</v>
      </c>
      <c r="AD1737" s="382">
        <v>0</v>
      </c>
      <c r="AE1737" s="381" t="s">
        <v>444</v>
      </c>
    </row>
    <row r="1738" spans="1:31" ht="15" customHeight="1" x14ac:dyDescent="0.25">
      <c r="A1738" s="20" t="s">
        <v>156</v>
      </c>
      <c r="B1738" s="20" t="s">
        <v>2056</v>
      </c>
      <c r="C1738" s="20" t="s">
        <v>2057</v>
      </c>
      <c r="D1738" s="378" t="s">
        <v>2441</v>
      </c>
      <c r="E1738" s="384">
        <v>44613</v>
      </c>
      <c r="F1738" s="384">
        <v>46439</v>
      </c>
      <c r="G1738" s="378" t="s">
        <v>439</v>
      </c>
      <c r="H1738" s="20" t="s">
        <v>455</v>
      </c>
      <c r="I1738" s="378" t="s">
        <v>162</v>
      </c>
      <c r="J1738" s="20" t="s">
        <v>163</v>
      </c>
      <c r="K1738" s="378" t="s">
        <v>476</v>
      </c>
      <c r="L1738" s="378" t="s">
        <v>165</v>
      </c>
      <c r="M1738" s="380">
        <v>2400</v>
      </c>
      <c r="N1738" s="380" t="s">
        <v>443</v>
      </c>
      <c r="O1738" s="380" t="s">
        <v>443</v>
      </c>
      <c r="P1738" s="380" t="s">
        <v>443</v>
      </c>
      <c r="Q1738" s="381">
        <v>398</v>
      </c>
      <c r="R1738" s="381">
        <v>0</v>
      </c>
      <c r="S1738" s="381">
        <v>0</v>
      </c>
      <c r="T1738" s="381">
        <v>0</v>
      </c>
      <c r="U1738" s="381">
        <v>0</v>
      </c>
      <c r="V1738" s="382">
        <v>398</v>
      </c>
      <c r="W1738" s="382">
        <v>0</v>
      </c>
      <c r="X1738" s="381">
        <v>0.16583333333333333</v>
      </c>
      <c r="Y1738" s="381">
        <v>0</v>
      </c>
      <c r="Z1738" s="381">
        <v>0</v>
      </c>
      <c r="AA1738" s="381">
        <v>0</v>
      </c>
      <c r="AB1738" s="381">
        <v>0</v>
      </c>
      <c r="AC1738" s="382">
        <v>0.16583333333333333</v>
      </c>
      <c r="AD1738" s="382">
        <v>0</v>
      </c>
      <c r="AE1738" s="381" t="s">
        <v>444</v>
      </c>
    </row>
    <row r="1739" spans="1:31" ht="15" customHeight="1" x14ac:dyDescent="0.25">
      <c r="A1739" s="20" t="s">
        <v>156</v>
      </c>
      <c r="B1739" s="20" t="s">
        <v>2056</v>
      </c>
      <c r="C1739" s="20" t="s">
        <v>2057</v>
      </c>
      <c r="D1739" s="378" t="s">
        <v>2428</v>
      </c>
      <c r="E1739" s="384">
        <v>44613</v>
      </c>
      <c r="F1739" s="384">
        <v>46439</v>
      </c>
      <c r="G1739" s="378" t="s">
        <v>439</v>
      </c>
      <c r="H1739" s="20" t="s">
        <v>455</v>
      </c>
      <c r="I1739" s="378" t="s">
        <v>162</v>
      </c>
      <c r="J1739" s="20" t="s">
        <v>163</v>
      </c>
      <c r="K1739" s="378" t="s">
        <v>476</v>
      </c>
      <c r="L1739" s="378" t="s">
        <v>165</v>
      </c>
      <c r="M1739" s="380">
        <v>2400</v>
      </c>
      <c r="N1739" s="380" t="s">
        <v>443</v>
      </c>
      <c r="O1739" s="380" t="s">
        <v>443</v>
      </c>
      <c r="P1739" s="380" t="s">
        <v>443</v>
      </c>
      <c r="Q1739" s="381">
        <v>320</v>
      </c>
      <c r="R1739" s="381">
        <v>0</v>
      </c>
      <c r="S1739" s="381">
        <v>0</v>
      </c>
      <c r="T1739" s="381">
        <v>0</v>
      </c>
      <c r="U1739" s="381">
        <v>0</v>
      </c>
      <c r="V1739" s="382">
        <v>320</v>
      </c>
      <c r="W1739" s="382">
        <v>0</v>
      </c>
      <c r="X1739" s="381">
        <v>0.13333333333333333</v>
      </c>
      <c r="Y1739" s="381">
        <v>0</v>
      </c>
      <c r="Z1739" s="381">
        <v>0</v>
      </c>
      <c r="AA1739" s="381">
        <v>0</v>
      </c>
      <c r="AB1739" s="381">
        <v>0</v>
      </c>
      <c r="AC1739" s="382">
        <v>0.13333333333333333</v>
      </c>
      <c r="AD1739" s="382">
        <v>0</v>
      </c>
      <c r="AE1739" s="381" t="s">
        <v>444</v>
      </c>
    </row>
    <row r="1740" spans="1:31" ht="15" customHeight="1" x14ac:dyDescent="0.25">
      <c r="A1740" s="20" t="s">
        <v>156</v>
      </c>
      <c r="B1740" s="20" t="s">
        <v>2056</v>
      </c>
      <c r="C1740" s="20" t="s">
        <v>2057</v>
      </c>
      <c r="D1740" s="378" t="s">
        <v>2429</v>
      </c>
      <c r="E1740" s="384">
        <v>44613</v>
      </c>
      <c r="F1740" s="384">
        <v>46439</v>
      </c>
      <c r="G1740" s="378" t="s">
        <v>439</v>
      </c>
      <c r="H1740" s="20" t="s">
        <v>455</v>
      </c>
      <c r="I1740" s="378" t="s">
        <v>162</v>
      </c>
      <c r="J1740" s="20" t="s">
        <v>163</v>
      </c>
      <c r="K1740" s="378" t="s">
        <v>476</v>
      </c>
      <c r="L1740" s="378" t="s">
        <v>165</v>
      </c>
      <c r="M1740" s="380">
        <v>2400</v>
      </c>
      <c r="N1740" s="380" t="s">
        <v>443</v>
      </c>
      <c r="O1740" s="380" t="s">
        <v>443</v>
      </c>
      <c r="P1740" s="380" t="s">
        <v>443</v>
      </c>
      <c r="Q1740" s="381">
        <v>336</v>
      </c>
      <c r="R1740" s="381">
        <v>0</v>
      </c>
      <c r="S1740" s="381">
        <v>0</v>
      </c>
      <c r="T1740" s="381">
        <v>0</v>
      </c>
      <c r="U1740" s="381">
        <v>0</v>
      </c>
      <c r="V1740" s="382">
        <v>336</v>
      </c>
      <c r="W1740" s="382">
        <v>0</v>
      </c>
      <c r="X1740" s="381">
        <v>0.14000000000000001</v>
      </c>
      <c r="Y1740" s="381">
        <v>0</v>
      </c>
      <c r="Z1740" s="381">
        <v>0</v>
      </c>
      <c r="AA1740" s="381">
        <v>0</v>
      </c>
      <c r="AB1740" s="381">
        <v>0</v>
      </c>
      <c r="AC1740" s="382">
        <v>0.14000000000000001</v>
      </c>
      <c r="AD1740" s="382">
        <v>0</v>
      </c>
      <c r="AE1740" s="381" t="s">
        <v>444</v>
      </c>
    </row>
    <row r="1741" spans="1:31" ht="15" customHeight="1" x14ac:dyDescent="0.25">
      <c r="A1741" s="20" t="s">
        <v>156</v>
      </c>
      <c r="B1741" s="20" t="s">
        <v>2056</v>
      </c>
      <c r="C1741" s="20" t="s">
        <v>2057</v>
      </c>
      <c r="D1741" s="378" t="s">
        <v>2430</v>
      </c>
      <c r="E1741" s="384">
        <v>44613</v>
      </c>
      <c r="F1741" s="384">
        <v>46439</v>
      </c>
      <c r="G1741" s="378" t="s">
        <v>439</v>
      </c>
      <c r="H1741" s="20" t="s">
        <v>455</v>
      </c>
      <c r="I1741" s="378" t="s">
        <v>162</v>
      </c>
      <c r="J1741" s="20" t="s">
        <v>163</v>
      </c>
      <c r="K1741" s="378" t="s">
        <v>476</v>
      </c>
      <c r="L1741" s="378" t="s">
        <v>165</v>
      </c>
      <c r="M1741" s="380">
        <v>2400</v>
      </c>
      <c r="N1741" s="380" t="s">
        <v>443</v>
      </c>
      <c r="O1741" s="380" t="s">
        <v>443</v>
      </c>
      <c r="P1741" s="380" t="s">
        <v>443</v>
      </c>
      <c r="Q1741" s="381">
        <v>413</v>
      </c>
      <c r="R1741" s="381">
        <v>0</v>
      </c>
      <c r="S1741" s="381">
        <v>0</v>
      </c>
      <c r="T1741" s="381">
        <v>0</v>
      </c>
      <c r="U1741" s="381">
        <v>0</v>
      </c>
      <c r="V1741" s="382">
        <v>413</v>
      </c>
      <c r="W1741" s="382">
        <v>0</v>
      </c>
      <c r="X1741" s="381">
        <v>0.17208333333333334</v>
      </c>
      <c r="Y1741" s="381">
        <v>0</v>
      </c>
      <c r="Z1741" s="381">
        <v>0</v>
      </c>
      <c r="AA1741" s="381">
        <v>0</v>
      </c>
      <c r="AB1741" s="381">
        <v>0</v>
      </c>
      <c r="AC1741" s="382">
        <v>0.17208333333333334</v>
      </c>
      <c r="AD1741" s="382">
        <v>0</v>
      </c>
      <c r="AE1741" s="381" t="s">
        <v>444</v>
      </c>
    </row>
    <row r="1742" spans="1:31" ht="15" customHeight="1" x14ac:dyDescent="0.25">
      <c r="A1742" s="20" t="s">
        <v>156</v>
      </c>
      <c r="B1742" s="20" t="s">
        <v>2056</v>
      </c>
      <c r="C1742" s="20" t="s">
        <v>2057</v>
      </c>
      <c r="D1742" s="378" t="s">
        <v>2431</v>
      </c>
      <c r="E1742" s="384">
        <v>44613</v>
      </c>
      <c r="F1742" s="384">
        <v>46439</v>
      </c>
      <c r="G1742" s="378" t="s">
        <v>439</v>
      </c>
      <c r="H1742" s="20" t="s">
        <v>455</v>
      </c>
      <c r="I1742" s="378" t="s">
        <v>162</v>
      </c>
      <c r="J1742" s="20" t="s">
        <v>163</v>
      </c>
      <c r="K1742" s="378" t="s">
        <v>476</v>
      </c>
      <c r="L1742" s="378" t="s">
        <v>165</v>
      </c>
      <c r="M1742" s="380">
        <v>2400</v>
      </c>
      <c r="N1742" s="380" t="s">
        <v>443</v>
      </c>
      <c r="O1742" s="380" t="s">
        <v>443</v>
      </c>
      <c r="P1742" s="380" t="s">
        <v>443</v>
      </c>
      <c r="Q1742" s="381">
        <v>463</v>
      </c>
      <c r="R1742" s="381">
        <v>0</v>
      </c>
      <c r="S1742" s="381">
        <v>0</v>
      </c>
      <c r="T1742" s="381">
        <v>0</v>
      </c>
      <c r="U1742" s="381">
        <v>0</v>
      </c>
      <c r="V1742" s="382">
        <v>463</v>
      </c>
      <c r="W1742" s="382">
        <v>0</v>
      </c>
      <c r="X1742" s="381">
        <v>0.19291666666666665</v>
      </c>
      <c r="Y1742" s="381">
        <v>0</v>
      </c>
      <c r="Z1742" s="381">
        <v>0</v>
      </c>
      <c r="AA1742" s="381">
        <v>0</v>
      </c>
      <c r="AB1742" s="381">
        <v>0</v>
      </c>
      <c r="AC1742" s="382">
        <v>0.19291666666666665</v>
      </c>
      <c r="AD1742" s="382">
        <v>0</v>
      </c>
      <c r="AE1742" s="381" t="s">
        <v>444</v>
      </c>
    </row>
    <row r="1743" spans="1:31" ht="15" customHeight="1" x14ac:dyDescent="0.25">
      <c r="A1743" s="20" t="s">
        <v>156</v>
      </c>
      <c r="B1743" s="20" t="s">
        <v>2056</v>
      </c>
      <c r="C1743" s="20" t="s">
        <v>2057</v>
      </c>
      <c r="D1743" s="378" t="s">
        <v>2432</v>
      </c>
      <c r="E1743" s="384">
        <v>44613</v>
      </c>
      <c r="F1743" s="384">
        <v>46439</v>
      </c>
      <c r="G1743" s="378" t="s">
        <v>439</v>
      </c>
      <c r="H1743" s="20" t="s">
        <v>455</v>
      </c>
      <c r="I1743" s="378" t="s">
        <v>162</v>
      </c>
      <c r="J1743" s="20" t="s">
        <v>163</v>
      </c>
      <c r="K1743" s="378" t="s">
        <v>476</v>
      </c>
      <c r="L1743" s="378" t="s">
        <v>165</v>
      </c>
      <c r="M1743" s="380">
        <v>2400</v>
      </c>
      <c r="N1743" s="380" t="s">
        <v>443</v>
      </c>
      <c r="O1743" s="380" t="s">
        <v>443</v>
      </c>
      <c r="P1743" s="380" t="s">
        <v>443</v>
      </c>
      <c r="Q1743" s="381">
        <v>364</v>
      </c>
      <c r="R1743" s="381">
        <v>0</v>
      </c>
      <c r="S1743" s="381">
        <v>0</v>
      </c>
      <c r="T1743" s="381">
        <v>0</v>
      </c>
      <c r="U1743" s="381">
        <v>0</v>
      </c>
      <c r="V1743" s="382">
        <v>364</v>
      </c>
      <c r="W1743" s="382">
        <v>0</v>
      </c>
      <c r="X1743" s="381">
        <v>0.15166666666666667</v>
      </c>
      <c r="Y1743" s="381">
        <v>0</v>
      </c>
      <c r="Z1743" s="381">
        <v>0</v>
      </c>
      <c r="AA1743" s="381">
        <v>0</v>
      </c>
      <c r="AB1743" s="381">
        <v>0</v>
      </c>
      <c r="AC1743" s="382">
        <v>0.15166666666666667</v>
      </c>
      <c r="AD1743" s="382">
        <v>0</v>
      </c>
      <c r="AE1743" s="381" t="s">
        <v>444</v>
      </c>
    </row>
    <row r="1744" spans="1:31" ht="15" customHeight="1" x14ac:dyDescent="0.25">
      <c r="A1744" s="20" t="s">
        <v>156</v>
      </c>
      <c r="B1744" s="20" t="s">
        <v>2056</v>
      </c>
      <c r="C1744" s="20" t="s">
        <v>2057</v>
      </c>
      <c r="D1744" s="378" t="s">
        <v>2433</v>
      </c>
      <c r="E1744" s="384">
        <v>44613</v>
      </c>
      <c r="F1744" s="384">
        <v>46439</v>
      </c>
      <c r="G1744" s="378" t="s">
        <v>439</v>
      </c>
      <c r="H1744" s="20" t="s">
        <v>455</v>
      </c>
      <c r="I1744" s="378" t="s">
        <v>162</v>
      </c>
      <c r="J1744" s="20" t="s">
        <v>163</v>
      </c>
      <c r="K1744" s="378" t="s">
        <v>476</v>
      </c>
      <c r="L1744" s="378" t="s">
        <v>165</v>
      </c>
      <c r="M1744" s="380">
        <v>2400</v>
      </c>
      <c r="N1744" s="380" t="s">
        <v>443</v>
      </c>
      <c r="O1744" s="380" t="s">
        <v>443</v>
      </c>
      <c r="P1744" s="380" t="s">
        <v>443</v>
      </c>
      <c r="Q1744" s="381">
        <v>485</v>
      </c>
      <c r="R1744" s="381">
        <v>0</v>
      </c>
      <c r="S1744" s="381">
        <v>0</v>
      </c>
      <c r="T1744" s="381">
        <v>0</v>
      </c>
      <c r="U1744" s="381">
        <v>0</v>
      </c>
      <c r="V1744" s="382">
        <v>485</v>
      </c>
      <c r="W1744" s="382">
        <v>0</v>
      </c>
      <c r="X1744" s="381">
        <v>0.20208333333333334</v>
      </c>
      <c r="Y1744" s="381">
        <v>0</v>
      </c>
      <c r="Z1744" s="381">
        <v>0</v>
      </c>
      <c r="AA1744" s="381">
        <v>0</v>
      </c>
      <c r="AB1744" s="381">
        <v>0</v>
      </c>
      <c r="AC1744" s="382">
        <v>0.20208333333333334</v>
      </c>
      <c r="AD1744" s="382">
        <v>0</v>
      </c>
      <c r="AE1744" s="381" t="s">
        <v>444</v>
      </c>
    </row>
    <row r="1745" spans="1:31" ht="15" customHeight="1" x14ac:dyDescent="0.25">
      <c r="A1745" s="20" t="s">
        <v>156</v>
      </c>
      <c r="B1745" s="20" t="s">
        <v>2056</v>
      </c>
      <c r="C1745" s="20" t="s">
        <v>2057</v>
      </c>
      <c r="D1745" s="378" t="s">
        <v>2434</v>
      </c>
      <c r="E1745" s="384">
        <v>44613</v>
      </c>
      <c r="F1745" s="384">
        <v>46439</v>
      </c>
      <c r="G1745" s="378" t="s">
        <v>439</v>
      </c>
      <c r="H1745" s="20" t="s">
        <v>455</v>
      </c>
      <c r="I1745" s="378" t="s">
        <v>162</v>
      </c>
      <c r="J1745" s="20" t="s">
        <v>163</v>
      </c>
      <c r="K1745" s="378" t="s">
        <v>476</v>
      </c>
      <c r="L1745" s="378" t="s">
        <v>165</v>
      </c>
      <c r="M1745" s="380">
        <v>2400</v>
      </c>
      <c r="N1745" s="380" t="s">
        <v>443</v>
      </c>
      <c r="O1745" s="380" t="s">
        <v>443</v>
      </c>
      <c r="P1745" s="380" t="s">
        <v>443</v>
      </c>
      <c r="Q1745" s="381">
        <v>414</v>
      </c>
      <c r="R1745" s="381">
        <v>0</v>
      </c>
      <c r="S1745" s="381">
        <v>0</v>
      </c>
      <c r="T1745" s="381">
        <v>0</v>
      </c>
      <c r="U1745" s="381">
        <v>0</v>
      </c>
      <c r="V1745" s="382">
        <v>414</v>
      </c>
      <c r="W1745" s="382">
        <v>0</v>
      </c>
      <c r="X1745" s="381">
        <v>0.17249999999999999</v>
      </c>
      <c r="Y1745" s="381">
        <v>0</v>
      </c>
      <c r="Z1745" s="381">
        <v>0</v>
      </c>
      <c r="AA1745" s="381">
        <v>0</v>
      </c>
      <c r="AB1745" s="381">
        <v>0</v>
      </c>
      <c r="AC1745" s="382">
        <v>0.17249999999999999</v>
      </c>
      <c r="AD1745" s="382">
        <v>0</v>
      </c>
      <c r="AE1745" s="381" t="s">
        <v>444</v>
      </c>
    </row>
    <row r="1746" spans="1:31" ht="15" customHeight="1" x14ac:dyDescent="0.25">
      <c r="A1746" s="20" t="s">
        <v>156</v>
      </c>
      <c r="B1746" s="20" t="s">
        <v>2056</v>
      </c>
      <c r="C1746" s="20" t="s">
        <v>2057</v>
      </c>
      <c r="D1746" s="378" t="s">
        <v>2435</v>
      </c>
      <c r="E1746" s="384">
        <v>44613</v>
      </c>
      <c r="F1746" s="384">
        <v>46439</v>
      </c>
      <c r="G1746" s="378" t="s">
        <v>439</v>
      </c>
      <c r="H1746" s="20" t="s">
        <v>455</v>
      </c>
      <c r="I1746" s="378" t="s">
        <v>162</v>
      </c>
      <c r="J1746" s="20" t="s">
        <v>163</v>
      </c>
      <c r="K1746" s="378" t="s">
        <v>476</v>
      </c>
      <c r="L1746" s="378" t="s">
        <v>165</v>
      </c>
      <c r="M1746" s="380">
        <v>2400</v>
      </c>
      <c r="N1746" s="380" t="s">
        <v>443</v>
      </c>
      <c r="O1746" s="380" t="s">
        <v>443</v>
      </c>
      <c r="P1746" s="380" t="s">
        <v>443</v>
      </c>
      <c r="Q1746" s="381">
        <v>444</v>
      </c>
      <c r="R1746" s="381">
        <v>0</v>
      </c>
      <c r="S1746" s="381">
        <v>0</v>
      </c>
      <c r="T1746" s="381">
        <v>0</v>
      </c>
      <c r="U1746" s="381">
        <v>0</v>
      </c>
      <c r="V1746" s="382">
        <v>444</v>
      </c>
      <c r="W1746" s="382">
        <v>0</v>
      </c>
      <c r="X1746" s="381">
        <v>0.185</v>
      </c>
      <c r="Y1746" s="381">
        <v>0</v>
      </c>
      <c r="Z1746" s="381">
        <v>0</v>
      </c>
      <c r="AA1746" s="381">
        <v>0</v>
      </c>
      <c r="AB1746" s="381">
        <v>0</v>
      </c>
      <c r="AC1746" s="382">
        <v>0.185</v>
      </c>
      <c r="AD1746" s="382">
        <v>0</v>
      </c>
      <c r="AE1746" s="381" t="s">
        <v>444</v>
      </c>
    </row>
    <row r="1747" spans="1:31" ht="15" customHeight="1" x14ac:dyDescent="0.25">
      <c r="A1747" s="20" t="s">
        <v>156</v>
      </c>
      <c r="B1747" s="20" t="s">
        <v>2056</v>
      </c>
      <c r="C1747" s="20" t="s">
        <v>2057</v>
      </c>
      <c r="D1747" s="378" t="s">
        <v>2436</v>
      </c>
      <c r="E1747" s="384">
        <v>44613</v>
      </c>
      <c r="F1747" s="384">
        <v>46439</v>
      </c>
      <c r="G1747" s="378" t="s">
        <v>439</v>
      </c>
      <c r="H1747" s="20" t="s">
        <v>455</v>
      </c>
      <c r="I1747" s="378" t="s">
        <v>162</v>
      </c>
      <c r="J1747" s="20" t="s">
        <v>163</v>
      </c>
      <c r="K1747" s="378" t="s">
        <v>476</v>
      </c>
      <c r="L1747" s="378" t="s">
        <v>165</v>
      </c>
      <c r="M1747" s="380">
        <v>2400</v>
      </c>
      <c r="N1747" s="380" t="s">
        <v>443</v>
      </c>
      <c r="O1747" s="380" t="s">
        <v>443</v>
      </c>
      <c r="P1747" s="380" t="s">
        <v>443</v>
      </c>
      <c r="Q1747" s="381">
        <v>309</v>
      </c>
      <c r="R1747" s="381">
        <v>0</v>
      </c>
      <c r="S1747" s="381">
        <v>0</v>
      </c>
      <c r="T1747" s="381">
        <v>0</v>
      </c>
      <c r="U1747" s="381">
        <v>0</v>
      </c>
      <c r="V1747" s="382">
        <v>309</v>
      </c>
      <c r="W1747" s="382">
        <v>0</v>
      </c>
      <c r="X1747" s="381">
        <v>0.12875</v>
      </c>
      <c r="Y1747" s="381">
        <v>0</v>
      </c>
      <c r="Z1747" s="381">
        <v>0</v>
      </c>
      <c r="AA1747" s="381">
        <v>0</v>
      </c>
      <c r="AB1747" s="381">
        <v>0</v>
      </c>
      <c r="AC1747" s="382">
        <v>0.12875</v>
      </c>
      <c r="AD1747" s="382">
        <v>0</v>
      </c>
      <c r="AE1747" s="381" t="s">
        <v>444</v>
      </c>
    </row>
    <row r="1748" spans="1:31" ht="15" customHeight="1" x14ac:dyDescent="0.25">
      <c r="A1748" s="20" t="s">
        <v>156</v>
      </c>
      <c r="B1748" s="20" t="s">
        <v>2056</v>
      </c>
      <c r="C1748" s="20" t="s">
        <v>2057</v>
      </c>
      <c r="D1748" s="378" t="s">
        <v>2437</v>
      </c>
      <c r="E1748" s="384">
        <v>44613</v>
      </c>
      <c r="F1748" s="384">
        <v>46439</v>
      </c>
      <c r="G1748" s="378" t="s">
        <v>439</v>
      </c>
      <c r="H1748" s="20" t="s">
        <v>455</v>
      </c>
      <c r="I1748" s="378" t="s">
        <v>162</v>
      </c>
      <c r="J1748" s="20" t="s">
        <v>163</v>
      </c>
      <c r="K1748" s="378" t="s">
        <v>476</v>
      </c>
      <c r="L1748" s="378" t="s">
        <v>165</v>
      </c>
      <c r="M1748" s="380">
        <v>2400</v>
      </c>
      <c r="N1748" s="380" t="s">
        <v>443</v>
      </c>
      <c r="O1748" s="380" t="s">
        <v>443</v>
      </c>
      <c r="P1748" s="380" t="s">
        <v>443</v>
      </c>
      <c r="Q1748" s="381">
        <v>410</v>
      </c>
      <c r="R1748" s="381">
        <v>0</v>
      </c>
      <c r="S1748" s="381">
        <v>0</v>
      </c>
      <c r="T1748" s="381">
        <v>0</v>
      </c>
      <c r="U1748" s="381">
        <v>0</v>
      </c>
      <c r="V1748" s="382">
        <v>410</v>
      </c>
      <c r="W1748" s="382">
        <v>0</v>
      </c>
      <c r="X1748" s="381">
        <v>0.17083333333333334</v>
      </c>
      <c r="Y1748" s="381">
        <v>0</v>
      </c>
      <c r="Z1748" s="381">
        <v>0</v>
      </c>
      <c r="AA1748" s="381">
        <v>0</v>
      </c>
      <c r="AB1748" s="381">
        <v>0</v>
      </c>
      <c r="AC1748" s="382">
        <v>0.17083333333333334</v>
      </c>
      <c r="AD1748" s="382">
        <v>0</v>
      </c>
      <c r="AE1748" s="381" t="s">
        <v>444</v>
      </c>
    </row>
    <row r="1749" spans="1:31" ht="15" customHeight="1" x14ac:dyDescent="0.25">
      <c r="A1749" s="20" t="s">
        <v>156</v>
      </c>
      <c r="B1749" s="20" t="s">
        <v>2056</v>
      </c>
      <c r="C1749" s="20" t="s">
        <v>2057</v>
      </c>
      <c r="D1749" s="378" t="s">
        <v>2438</v>
      </c>
      <c r="E1749" s="384">
        <v>44613</v>
      </c>
      <c r="F1749" s="384">
        <v>46439</v>
      </c>
      <c r="G1749" s="378" t="s">
        <v>439</v>
      </c>
      <c r="H1749" s="20" t="s">
        <v>455</v>
      </c>
      <c r="I1749" s="378" t="s">
        <v>162</v>
      </c>
      <c r="J1749" s="20" t="s">
        <v>163</v>
      </c>
      <c r="K1749" s="378" t="s">
        <v>476</v>
      </c>
      <c r="L1749" s="378" t="s">
        <v>165</v>
      </c>
      <c r="M1749" s="380">
        <v>2400</v>
      </c>
      <c r="N1749" s="380" t="s">
        <v>443</v>
      </c>
      <c r="O1749" s="380" t="s">
        <v>443</v>
      </c>
      <c r="P1749" s="380" t="s">
        <v>443</v>
      </c>
      <c r="Q1749" s="381">
        <v>311</v>
      </c>
      <c r="R1749" s="381">
        <v>0</v>
      </c>
      <c r="S1749" s="381">
        <v>0</v>
      </c>
      <c r="T1749" s="381">
        <v>0</v>
      </c>
      <c r="U1749" s="381">
        <v>0</v>
      </c>
      <c r="V1749" s="382">
        <v>311</v>
      </c>
      <c r="W1749" s="382">
        <v>0</v>
      </c>
      <c r="X1749" s="381">
        <v>0.12958333333333333</v>
      </c>
      <c r="Y1749" s="381">
        <v>0</v>
      </c>
      <c r="Z1749" s="381">
        <v>0</v>
      </c>
      <c r="AA1749" s="381">
        <v>0</v>
      </c>
      <c r="AB1749" s="381">
        <v>0</v>
      </c>
      <c r="AC1749" s="382">
        <v>0.12958333333333333</v>
      </c>
      <c r="AD1749" s="382">
        <v>0</v>
      </c>
      <c r="AE1749" s="381" t="s">
        <v>444</v>
      </c>
    </row>
    <row r="1750" spans="1:31" ht="15" customHeight="1" x14ac:dyDescent="0.25">
      <c r="A1750" s="20" t="s">
        <v>156</v>
      </c>
      <c r="B1750" s="20" t="s">
        <v>2056</v>
      </c>
      <c r="C1750" s="20" t="s">
        <v>2057</v>
      </c>
      <c r="D1750" s="378" t="s">
        <v>2439</v>
      </c>
      <c r="E1750" s="384">
        <v>44613</v>
      </c>
      <c r="F1750" s="384">
        <v>46439</v>
      </c>
      <c r="G1750" s="378" t="s">
        <v>439</v>
      </c>
      <c r="H1750" s="20" t="s">
        <v>455</v>
      </c>
      <c r="I1750" s="378" t="s">
        <v>162</v>
      </c>
      <c r="J1750" s="20" t="s">
        <v>163</v>
      </c>
      <c r="K1750" s="378" t="s">
        <v>476</v>
      </c>
      <c r="L1750" s="378" t="s">
        <v>165</v>
      </c>
      <c r="M1750" s="380">
        <v>2400</v>
      </c>
      <c r="N1750" s="380" t="s">
        <v>443</v>
      </c>
      <c r="O1750" s="380" t="s">
        <v>443</v>
      </c>
      <c r="P1750" s="380" t="s">
        <v>443</v>
      </c>
      <c r="Q1750" s="381">
        <v>336</v>
      </c>
      <c r="R1750" s="381">
        <v>0</v>
      </c>
      <c r="S1750" s="381">
        <v>0</v>
      </c>
      <c r="T1750" s="381">
        <v>0</v>
      </c>
      <c r="U1750" s="381">
        <v>0</v>
      </c>
      <c r="V1750" s="382">
        <v>336</v>
      </c>
      <c r="W1750" s="382">
        <v>0</v>
      </c>
      <c r="X1750" s="381">
        <v>0.14000000000000001</v>
      </c>
      <c r="Y1750" s="381">
        <v>0</v>
      </c>
      <c r="Z1750" s="381">
        <v>0</v>
      </c>
      <c r="AA1750" s="381">
        <v>0</v>
      </c>
      <c r="AB1750" s="381">
        <v>0</v>
      </c>
      <c r="AC1750" s="382">
        <v>0.14000000000000001</v>
      </c>
      <c r="AD1750" s="382">
        <v>0</v>
      </c>
      <c r="AE1750" s="381" t="s">
        <v>444</v>
      </c>
    </row>
    <row r="1751" spans="1:31" ht="15" customHeight="1" x14ac:dyDescent="0.25">
      <c r="A1751" s="20" t="s">
        <v>156</v>
      </c>
      <c r="B1751" s="20" t="s">
        <v>2056</v>
      </c>
      <c r="C1751" s="20" t="s">
        <v>2057</v>
      </c>
      <c r="D1751" s="378" t="s">
        <v>2440</v>
      </c>
      <c r="E1751" s="384">
        <v>44613</v>
      </c>
      <c r="F1751" s="384">
        <v>46439</v>
      </c>
      <c r="G1751" s="378" t="s">
        <v>439</v>
      </c>
      <c r="H1751" s="20" t="s">
        <v>455</v>
      </c>
      <c r="I1751" s="378" t="s">
        <v>162</v>
      </c>
      <c r="J1751" s="20" t="s">
        <v>163</v>
      </c>
      <c r="K1751" s="378" t="s">
        <v>476</v>
      </c>
      <c r="L1751" s="378" t="s">
        <v>165</v>
      </c>
      <c r="M1751" s="380">
        <v>2400</v>
      </c>
      <c r="N1751" s="380" t="s">
        <v>443</v>
      </c>
      <c r="O1751" s="380" t="s">
        <v>443</v>
      </c>
      <c r="P1751" s="380" t="s">
        <v>443</v>
      </c>
      <c r="Q1751" s="381">
        <v>457</v>
      </c>
      <c r="R1751" s="381">
        <v>0</v>
      </c>
      <c r="S1751" s="381">
        <v>0</v>
      </c>
      <c r="T1751" s="381">
        <v>0</v>
      </c>
      <c r="U1751" s="381">
        <v>0</v>
      </c>
      <c r="V1751" s="382">
        <v>457</v>
      </c>
      <c r="W1751" s="382">
        <v>0</v>
      </c>
      <c r="X1751" s="381">
        <v>0.19041666666666668</v>
      </c>
      <c r="Y1751" s="381">
        <v>0</v>
      </c>
      <c r="Z1751" s="381">
        <v>0</v>
      </c>
      <c r="AA1751" s="381">
        <v>0</v>
      </c>
      <c r="AB1751" s="381">
        <v>0</v>
      </c>
      <c r="AC1751" s="382">
        <v>0.19041666666666668</v>
      </c>
      <c r="AD1751" s="382">
        <v>0</v>
      </c>
      <c r="AE1751" s="381" t="s">
        <v>444</v>
      </c>
    </row>
    <row r="1752" spans="1:31" ht="15" customHeight="1" x14ac:dyDescent="0.25">
      <c r="A1752" s="20" t="s">
        <v>156</v>
      </c>
      <c r="B1752" s="20" t="s">
        <v>2056</v>
      </c>
      <c r="C1752" s="20" t="s">
        <v>2057</v>
      </c>
      <c r="D1752" s="378" t="s">
        <v>2441</v>
      </c>
      <c r="E1752" s="384">
        <v>44613</v>
      </c>
      <c r="F1752" s="384">
        <v>46439</v>
      </c>
      <c r="G1752" s="378" t="s">
        <v>439</v>
      </c>
      <c r="H1752" s="20" t="s">
        <v>455</v>
      </c>
      <c r="I1752" s="378" t="s">
        <v>162</v>
      </c>
      <c r="J1752" s="20" t="s">
        <v>163</v>
      </c>
      <c r="K1752" s="378" t="s">
        <v>476</v>
      </c>
      <c r="L1752" s="378" t="s">
        <v>165</v>
      </c>
      <c r="M1752" s="380">
        <v>2400</v>
      </c>
      <c r="N1752" s="380" t="s">
        <v>443</v>
      </c>
      <c r="O1752" s="380" t="s">
        <v>443</v>
      </c>
      <c r="P1752" s="380" t="s">
        <v>443</v>
      </c>
      <c r="Q1752" s="381">
        <v>398</v>
      </c>
      <c r="R1752" s="381">
        <v>0</v>
      </c>
      <c r="S1752" s="381">
        <v>0</v>
      </c>
      <c r="T1752" s="381">
        <v>0</v>
      </c>
      <c r="U1752" s="381">
        <v>0</v>
      </c>
      <c r="V1752" s="382">
        <v>398</v>
      </c>
      <c r="W1752" s="382">
        <v>0</v>
      </c>
      <c r="X1752" s="381">
        <v>0.16583333333333333</v>
      </c>
      <c r="Y1752" s="381">
        <v>0</v>
      </c>
      <c r="Z1752" s="381">
        <v>0</v>
      </c>
      <c r="AA1752" s="381">
        <v>0</v>
      </c>
      <c r="AB1752" s="381">
        <v>0</v>
      </c>
      <c r="AC1752" s="382">
        <v>0.16583333333333333</v>
      </c>
      <c r="AD1752" s="382">
        <v>0</v>
      </c>
      <c r="AE1752" s="381" t="s">
        <v>444</v>
      </c>
    </row>
    <row r="1753" spans="1:31" ht="15" customHeight="1" x14ac:dyDescent="0.25">
      <c r="A1753" s="20" t="s">
        <v>156</v>
      </c>
      <c r="B1753" s="20" t="s">
        <v>2056</v>
      </c>
      <c r="C1753" s="20" t="s">
        <v>2057</v>
      </c>
      <c r="D1753" s="378" t="s">
        <v>2428</v>
      </c>
      <c r="E1753" s="384">
        <v>44613</v>
      </c>
      <c r="F1753" s="384">
        <v>46439</v>
      </c>
      <c r="G1753" s="378" t="s">
        <v>439</v>
      </c>
      <c r="H1753" s="20" t="s">
        <v>455</v>
      </c>
      <c r="I1753" s="378" t="s">
        <v>162</v>
      </c>
      <c r="J1753" s="20" t="s">
        <v>163</v>
      </c>
      <c r="K1753" s="378" t="s">
        <v>476</v>
      </c>
      <c r="L1753" s="378" t="s">
        <v>165</v>
      </c>
      <c r="M1753" s="380">
        <v>2400</v>
      </c>
      <c r="N1753" s="380" t="s">
        <v>443</v>
      </c>
      <c r="O1753" s="380" t="s">
        <v>443</v>
      </c>
      <c r="P1753" s="380" t="s">
        <v>443</v>
      </c>
      <c r="Q1753" s="381">
        <v>320</v>
      </c>
      <c r="R1753" s="381">
        <v>0</v>
      </c>
      <c r="S1753" s="381">
        <v>0</v>
      </c>
      <c r="T1753" s="381">
        <v>0</v>
      </c>
      <c r="U1753" s="381">
        <v>0</v>
      </c>
      <c r="V1753" s="382">
        <v>320</v>
      </c>
      <c r="W1753" s="382">
        <v>0</v>
      </c>
      <c r="X1753" s="381">
        <v>0.13333333333333333</v>
      </c>
      <c r="Y1753" s="381">
        <v>0</v>
      </c>
      <c r="Z1753" s="381">
        <v>0</v>
      </c>
      <c r="AA1753" s="381">
        <v>0</v>
      </c>
      <c r="AB1753" s="381">
        <v>0</v>
      </c>
      <c r="AC1753" s="382">
        <v>0.13333333333333333</v>
      </c>
      <c r="AD1753" s="382">
        <v>0</v>
      </c>
      <c r="AE1753" s="381" t="s">
        <v>444</v>
      </c>
    </row>
    <row r="1754" spans="1:31" ht="15" customHeight="1" x14ac:dyDescent="0.25">
      <c r="A1754" s="20" t="s">
        <v>156</v>
      </c>
      <c r="B1754" s="20" t="s">
        <v>2056</v>
      </c>
      <c r="C1754" s="20" t="s">
        <v>2057</v>
      </c>
      <c r="D1754" s="378" t="s">
        <v>2429</v>
      </c>
      <c r="E1754" s="384">
        <v>44613</v>
      </c>
      <c r="F1754" s="384">
        <v>46439</v>
      </c>
      <c r="G1754" s="378" t="s">
        <v>439</v>
      </c>
      <c r="H1754" s="20" t="s">
        <v>455</v>
      </c>
      <c r="I1754" s="378" t="s">
        <v>162</v>
      </c>
      <c r="J1754" s="20" t="s">
        <v>163</v>
      </c>
      <c r="K1754" s="378" t="s">
        <v>476</v>
      </c>
      <c r="L1754" s="378" t="s">
        <v>165</v>
      </c>
      <c r="M1754" s="380">
        <v>2400</v>
      </c>
      <c r="N1754" s="380" t="s">
        <v>443</v>
      </c>
      <c r="O1754" s="380" t="s">
        <v>443</v>
      </c>
      <c r="P1754" s="380" t="s">
        <v>443</v>
      </c>
      <c r="Q1754" s="381">
        <v>336</v>
      </c>
      <c r="R1754" s="381">
        <v>0</v>
      </c>
      <c r="S1754" s="381">
        <v>0</v>
      </c>
      <c r="T1754" s="381">
        <v>0</v>
      </c>
      <c r="U1754" s="381">
        <v>0</v>
      </c>
      <c r="V1754" s="382">
        <v>336</v>
      </c>
      <c r="W1754" s="382">
        <v>0</v>
      </c>
      <c r="X1754" s="381">
        <v>0.14000000000000001</v>
      </c>
      <c r="Y1754" s="381">
        <v>0</v>
      </c>
      <c r="Z1754" s="381">
        <v>0</v>
      </c>
      <c r="AA1754" s="381">
        <v>0</v>
      </c>
      <c r="AB1754" s="381">
        <v>0</v>
      </c>
      <c r="AC1754" s="382">
        <v>0.14000000000000001</v>
      </c>
      <c r="AD1754" s="382">
        <v>0</v>
      </c>
      <c r="AE1754" s="381" t="s">
        <v>444</v>
      </c>
    </row>
    <row r="1755" spans="1:31" ht="15" customHeight="1" x14ac:dyDescent="0.25">
      <c r="A1755" s="20" t="s">
        <v>156</v>
      </c>
      <c r="B1755" s="20" t="s">
        <v>2056</v>
      </c>
      <c r="C1755" s="20" t="s">
        <v>2057</v>
      </c>
      <c r="D1755" s="378" t="s">
        <v>2430</v>
      </c>
      <c r="E1755" s="384">
        <v>44613</v>
      </c>
      <c r="F1755" s="384">
        <v>46439</v>
      </c>
      <c r="G1755" s="378" t="s">
        <v>439</v>
      </c>
      <c r="H1755" s="20" t="s">
        <v>455</v>
      </c>
      <c r="I1755" s="378" t="s">
        <v>162</v>
      </c>
      <c r="J1755" s="20" t="s">
        <v>163</v>
      </c>
      <c r="K1755" s="378" t="s">
        <v>476</v>
      </c>
      <c r="L1755" s="378" t="s">
        <v>165</v>
      </c>
      <c r="M1755" s="380">
        <v>2400</v>
      </c>
      <c r="N1755" s="380" t="s">
        <v>443</v>
      </c>
      <c r="O1755" s="380" t="s">
        <v>443</v>
      </c>
      <c r="P1755" s="380" t="s">
        <v>443</v>
      </c>
      <c r="Q1755" s="381">
        <v>413</v>
      </c>
      <c r="R1755" s="381">
        <v>0</v>
      </c>
      <c r="S1755" s="381">
        <v>0</v>
      </c>
      <c r="T1755" s="381">
        <v>0</v>
      </c>
      <c r="U1755" s="381">
        <v>0</v>
      </c>
      <c r="V1755" s="382">
        <v>413</v>
      </c>
      <c r="W1755" s="382">
        <v>0</v>
      </c>
      <c r="X1755" s="381">
        <v>0.17208333333333334</v>
      </c>
      <c r="Y1755" s="381">
        <v>0</v>
      </c>
      <c r="Z1755" s="381">
        <v>0</v>
      </c>
      <c r="AA1755" s="381">
        <v>0</v>
      </c>
      <c r="AB1755" s="381">
        <v>0</v>
      </c>
      <c r="AC1755" s="382">
        <v>0.17208333333333334</v>
      </c>
      <c r="AD1755" s="382">
        <v>0</v>
      </c>
      <c r="AE1755" s="381" t="s">
        <v>444</v>
      </c>
    </row>
    <row r="1756" spans="1:31" ht="15" customHeight="1" x14ac:dyDescent="0.25">
      <c r="A1756" s="20" t="s">
        <v>156</v>
      </c>
      <c r="B1756" s="20" t="s">
        <v>2056</v>
      </c>
      <c r="C1756" s="20" t="s">
        <v>2057</v>
      </c>
      <c r="D1756" s="378" t="s">
        <v>2431</v>
      </c>
      <c r="E1756" s="384">
        <v>44613</v>
      </c>
      <c r="F1756" s="384">
        <v>46439</v>
      </c>
      <c r="G1756" s="378" t="s">
        <v>439</v>
      </c>
      <c r="H1756" s="20" t="s">
        <v>455</v>
      </c>
      <c r="I1756" s="378" t="s">
        <v>162</v>
      </c>
      <c r="J1756" s="20" t="s">
        <v>163</v>
      </c>
      <c r="K1756" s="378" t="s">
        <v>476</v>
      </c>
      <c r="L1756" s="378" t="s">
        <v>165</v>
      </c>
      <c r="M1756" s="380">
        <v>2400</v>
      </c>
      <c r="N1756" s="380" t="s">
        <v>443</v>
      </c>
      <c r="O1756" s="380" t="s">
        <v>443</v>
      </c>
      <c r="P1756" s="380" t="s">
        <v>443</v>
      </c>
      <c r="Q1756" s="381">
        <v>463</v>
      </c>
      <c r="R1756" s="381">
        <v>0</v>
      </c>
      <c r="S1756" s="381">
        <v>0</v>
      </c>
      <c r="T1756" s="381">
        <v>0</v>
      </c>
      <c r="U1756" s="381">
        <v>0</v>
      </c>
      <c r="V1756" s="382">
        <v>463</v>
      </c>
      <c r="W1756" s="382">
        <v>0</v>
      </c>
      <c r="X1756" s="381">
        <v>0.19291666666666665</v>
      </c>
      <c r="Y1756" s="381">
        <v>0</v>
      </c>
      <c r="Z1756" s="381">
        <v>0</v>
      </c>
      <c r="AA1756" s="381">
        <v>0</v>
      </c>
      <c r="AB1756" s="381">
        <v>0</v>
      </c>
      <c r="AC1756" s="382">
        <v>0.19291666666666665</v>
      </c>
      <c r="AD1756" s="382">
        <v>0</v>
      </c>
      <c r="AE1756" s="381" t="s">
        <v>444</v>
      </c>
    </row>
    <row r="1757" spans="1:31" ht="15" customHeight="1" x14ac:dyDescent="0.25">
      <c r="A1757" s="20" t="s">
        <v>156</v>
      </c>
      <c r="B1757" s="20" t="s">
        <v>2056</v>
      </c>
      <c r="C1757" s="20" t="s">
        <v>2057</v>
      </c>
      <c r="D1757" s="378" t="s">
        <v>2432</v>
      </c>
      <c r="E1757" s="384">
        <v>44613</v>
      </c>
      <c r="F1757" s="384">
        <v>46439</v>
      </c>
      <c r="G1757" s="378" t="s">
        <v>439</v>
      </c>
      <c r="H1757" s="20" t="s">
        <v>455</v>
      </c>
      <c r="I1757" s="378" t="s">
        <v>162</v>
      </c>
      <c r="J1757" s="20" t="s">
        <v>163</v>
      </c>
      <c r="K1757" s="378" t="s">
        <v>476</v>
      </c>
      <c r="L1757" s="378" t="s">
        <v>165</v>
      </c>
      <c r="M1757" s="380">
        <v>2400</v>
      </c>
      <c r="N1757" s="380" t="s">
        <v>443</v>
      </c>
      <c r="O1757" s="380" t="s">
        <v>443</v>
      </c>
      <c r="P1757" s="380" t="s">
        <v>443</v>
      </c>
      <c r="Q1757" s="381">
        <v>364</v>
      </c>
      <c r="R1757" s="381">
        <v>0</v>
      </c>
      <c r="S1757" s="381">
        <v>0</v>
      </c>
      <c r="T1757" s="381">
        <v>0</v>
      </c>
      <c r="U1757" s="381">
        <v>0</v>
      </c>
      <c r="V1757" s="382">
        <v>364</v>
      </c>
      <c r="W1757" s="382">
        <v>0</v>
      </c>
      <c r="X1757" s="381">
        <v>0.15166666666666667</v>
      </c>
      <c r="Y1757" s="381">
        <v>0</v>
      </c>
      <c r="Z1757" s="381">
        <v>0</v>
      </c>
      <c r="AA1757" s="381">
        <v>0</v>
      </c>
      <c r="AB1757" s="381">
        <v>0</v>
      </c>
      <c r="AC1757" s="382">
        <v>0.15166666666666667</v>
      </c>
      <c r="AD1757" s="382">
        <v>0</v>
      </c>
      <c r="AE1757" s="381" t="s">
        <v>444</v>
      </c>
    </row>
    <row r="1758" spans="1:31" ht="15" customHeight="1" x14ac:dyDescent="0.25">
      <c r="A1758" s="20" t="s">
        <v>156</v>
      </c>
      <c r="B1758" s="20" t="s">
        <v>2056</v>
      </c>
      <c r="C1758" s="20" t="s">
        <v>2057</v>
      </c>
      <c r="D1758" s="378" t="s">
        <v>2433</v>
      </c>
      <c r="E1758" s="384">
        <v>44613</v>
      </c>
      <c r="F1758" s="384">
        <v>46439</v>
      </c>
      <c r="G1758" s="378" t="s">
        <v>439</v>
      </c>
      <c r="H1758" s="20" t="s">
        <v>455</v>
      </c>
      <c r="I1758" s="378" t="s">
        <v>162</v>
      </c>
      <c r="J1758" s="20" t="s">
        <v>163</v>
      </c>
      <c r="K1758" s="378" t="s">
        <v>476</v>
      </c>
      <c r="L1758" s="378" t="s">
        <v>165</v>
      </c>
      <c r="M1758" s="380">
        <v>2400</v>
      </c>
      <c r="N1758" s="380" t="s">
        <v>443</v>
      </c>
      <c r="O1758" s="380" t="s">
        <v>443</v>
      </c>
      <c r="P1758" s="380" t="s">
        <v>443</v>
      </c>
      <c r="Q1758" s="381">
        <v>485</v>
      </c>
      <c r="R1758" s="381">
        <v>0</v>
      </c>
      <c r="S1758" s="381">
        <v>0</v>
      </c>
      <c r="T1758" s="381">
        <v>0</v>
      </c>
      <c r="U1758" s="381">
        <v>0</v>
      </c>
      <c r="V1758" s="382">
        <v>485</v>
      </c>
      <c r="W1758" s="382">
        <v>0</v>
      </c>
      <c r="X1758" s="381">
        <v>0.20208333333333334</v>
      </c>
      <c r="Y1758" s="381">
        <v>0</v>
      </c>
      <c r="Z1758" s="381">
        <v>0</v>
      </c>
      <c r="AA1758" s="381">
        <v>0</v>
      </c>
      <c r="AB1758" s="381">
        <v>0</v>
      </c>
      <c r="AC1758" s="382">
        <v>0.20208333333333334</v>
      </c>
      <c r="AD1758" s="382">
        <v>0</v>
      </c>
      <c r="AE1758" s="381" t="s">
        <v>444</v>
      </c>
    </row>
    <row r="1759" spans="1:31" ht="15" customHeight="1" x14ac:dyDescent="0.25">
      <c r="A1759" s="20" t="s">
        <v>156</v>
      </c>
      <c r="B1759" s="20" t="s">
        <v>2056</v>
      </c>
      <c r="C1759" s="20" t="s">
        <v>2057</v>
      </c>
      <c r="D1759" s="378" t="s">
        <v>2434</v>
      </c>
      <c r="E1759" s="384">
        <v>44613</v>
      </c>
      <c r="F1759" s="384">
        <v>46439</v>
      </c>
      <c r="G1759" s="378" t="s">
        <v>439</v>
      </c>
      <c r="H1759" s="20" t="s">
        <v>455</v>
      </c>
      <c r="I1759" s="378" t="s">
        <v>162</v>
      </c>
      <c r="J1759" s="20" t="s">
        <v>163</v>
      </c>
      <c r="K1759" s="378" t="s">
        <v>476</v>
      </c>
      <c r="L1759" s="378" t="s">
        <v>165</v>
      </c>
      <c r="M1759" s="380">
        <v>2400</v>
      </c>
      <c r="N1759" s="380" t="s">
        <v>443</v>
      </c>
      <c r="O1759" s="380" t="s">
        <v>443</v>
      </c>
      <c r="P1759" s="380" t="s">
        <v>443</v>
      </c>
      <c r="Q1759" s="381">
        <v>414</v>
      </c>
      <c r="R1759" s="381">
        <v>0</v>
      </c>
      <c r="S1759" s="381">
        <v>0</v>
      </c>
      <c r="T1759" s="381">
        <v>0</v>
      </c>
      <c r="U1759" s="381">
        <v>0</v>
      </c>
      <c r="V1759" s="382">
        <v>414</v>
      </c>
      <c r="W1759" s="382">
        <v>0</v>
      </c>
      <c r="X1759" s="381">
        <v>0.17249999999999999</v>
      </c>
      <c r="Y1759" s="381">
        <v>0</v>
      </c>
      <c r="Z1759" s="381">
        <v>0</v>
      </c>
      <c r="AA1759" s="381">
        <v>0</v>
      </c>
      <c r="AB1759" s="381">
        <v>0</v>
      </c>
      <c r="AC1759" s="382">
        <v>0.17249999999999999</v>
      </c>
      <c r="AD1759" s="382">
        <v>0</v>
      </c>
      <c r="AE1759" s="381" t="s">
        <v>444</v>
      </c>
    </row>
    <row r="1760" spans="1:31" ht="15" customHeight="1" x14ac:dyDescent="0.25">
      <c r="A1760" s="20" t="s">
        <v>156</v>
      </c>
      <c r="B1760" s="20" t="s">
        <v>2056</v>
      </c>
      <c r="C1760" s="20" t="s">
        <v>2057</v>
      </c>
      <c r="D1760" s="378" t="s">
        <v>2435</v>
      </c>
      <c r="E1760" s="384">
        <v>44613</v>
      </c>
      <c r="F1760" s="384">
        <v>46439</v>
      </c>
      <c r="G1760" s="378" t="s">
        <v>439</v>
      </c>
      <c r="H1760" s="20" t="s">
        <v>455</v>
      </c>
      <c r="I1760" s="378" t="s">
        <v>162</v>
      </c>
      <c r="J1760" s="20" t="s">
        <v>163</v>
      </c>
      <c r="K1760" s="378" t="s">
        <v>476</v>
      </c>
      <c r="L1760" s="378" t="s">
        <v>165</v>
      </c>
      <c r="M1760" s="380">
        <v>2400</v>
      </c>
      <c r="N1760" s="380" t="s">
        <v>443</v>
      </c>
      <c r="O1760" s="380" t="s">
        <v>443</v>
      </c>
      <c r="P1760" s="380" t="s">
        <v>443</v>
      </c>
      <c r="Q1760" s="381">
        <v>444</v>
      </c>
      <c r="R1760" s="381">
        <v>0</v>
      </c>
      <c r="S1760" s="381">
        <v>0</v>
      </c>
      <c r="T1760" s="381">
        <v>0</v>
      </c>
      <c r="U1760" s="381">
        <v>0</v>
      </c>
      <c r="V1760" s="382">
        <v>444</v>
      </c>
      <c r="W1760" s="382">
        <v>0</v>
      </c>
      <c r="X1760" s="381">
        <v>0.185</v>
      </c>
      <c r="Y1760" s="381">
        <v>0</v>
      </c>
      <c r="Z1760" s="381">
        <v>0</v>
      </c>
      <c r="AA1760" s="381">
        <v>0</v>
      </c>
      <c r="AB1760" s="381">
        <v>0</v>
      </c>
      <c r="AC1760" s="382">
        <v>0.185</v>
      </c>
      <c r="AD1760" s="382">
        <v>0</v>
      </c>
      <c r="AE1760" s="381" t="s">
        <v>444</v>
      </c>
    </row>
    <row r="1761" spans="1:31" ht="15" customHeight="1" x14ac:dyDescent="0.25">
      <c r="A1761" s="20" t="s">
        <v>156</v>
      </c>
      <c r="B1761" s="20" t="s">
        <v>2056</v>
      </c>
      <c r="C1761" s="20" t="s">
        <v>2057</v>
      </c>
      <c r="D1761" s="378" t="s">
        <v>2436</v>
      </c>
      <c r="E1761" s="384">
        <v>44613</v>
      </c>
      <c r="F1761" s="384">
        <v>46439</v>
      </c>
      <c r="G1761" s="378" t="s">
        <v>439</v>
      </c>
      <c r="H1761" s="20" t="s">
        <v>455</v>
      </c>
      <c r="I1761" s="378" t="s">
        <v>162</v>
      </c>
      <c r="J1761" s="20" t="s">
        <v>163</v>
      </c>
      <c r="K1761" s="378" t="s">
        <v>476</v>
      </c>
      <c r="L1761" s="378" t="s">
        <v>165</v>
      </c>
      <c r="M1761" s="380">
        <v>2400</v>
      </c>
      <c r="N1761" s="380" t="s">
        <v>443</v>
      </c>
      <c r="O1761" s="380" t="s">
        <v>443</v>
      </c>
      <c r="P1761" s="380" t="s">
        <v>443</v>
      </c>
      <c r="Q1761" s="381">
        <v>309</v>
      </c>
      <c r="R1761" s="381">
        <v>0</v>
      </c>
      <c r="S1761" s="381">
        <v>0</v>
      </c>
      <c r="T1761" s="381">
        <v>0</v>
      </c>
      <c r="U1761" s="381">
        <v>0</v>
      </c>
      <c r="V1761" s="382">
        <v>309</v>
      </c>
      <c r="W1761" s="382">
        <v>0</v>
      </c>
      <c r="X1761" s="381">
        <v>0.12875</v>
      </c>
      <c r="Y1761" s="381">
        <v>0</v>
      </c>
      <c r="Z1761" s="381">
        <v>0</v>
      </c>
      <c r="AA1761" s="381">
        <v>0</v>
      </c>
      <c r="AB1761" s="381">
        <v>0</v>
      </c>
      <c r="AC1761" s="382">
        <v>0.12875</v>
      </c>
      <c r="AD1761" s="382">
        <v>0</v>
      </c>
      <c r="AE1761" s="381" t="s">
        <v>444</v>
      </c>
    </row>
    <row r="1762" spans="1:31" ht="15" customHeight="1" x14ac:dyDescent="0.25">
      <c r="A1762" s="20" t="s">
        <v>156</v>
      </c>
      <c r="B1762" s="20" t="s">
        <v>2056</v>
      </c>
      <c r="C1762" s="20" t="s">
        <v>2057</v>
      </c>
      <c r="D1762" s="378" t="s">
        <v>2437</v>
      </c>
      <c r="E1762" s="384">
        <v>44613</v>
      </c>
      <c r="F1762" s="384">
        <v>46439</v>
      </c>
      <c r="G1762" s="378" t="s">
        <v>439</v>
      </c>
      <c r="H1762" s="20" t="s">
        <v>455</v>
      </c>
      <c r="I1762" s="378" t="s">
        <v>162</v>
      </c>
      <c r="J1762" s="20" t="s">
        <v>163</v>
      </c>
      <c r="K1762" s="378" t="s">
        <v>476</v>
      </c>
      <c r="L1762" s="378" t="s">
        <v>165</v>
      </c>
      <c r="M1762" s="380">
        <v>2400</v>
      </c>
      <c r="N1762" s="380" t="s">
        <v>443</v>
      </c>
      <c r="O1762" s="380" t="s">
        <v>443</v>
      </c>
      <c r="P1762" s="380" t="s">
        <v>443</v>
      </c>
      <c r="Q1762" s="381">
        <v>410</v>
      </c>
      <c r="R1762" s="381">
        <v>0</v>
      </c>
      <c r="S1762" s="381">
        <v>0</v>
      </c>
      <c r="T1762" s="381">
        <v>0</v>
      </c>
      <c r="U1762" s="381">
        <v>0</v>
      </c>
      <c r="V1762" s="382">
        <v>410</v>
      </c>
      <c r="W1762" s="382">
        <v>0</v>
      </c>
      <c r="X1762" s="381">
        <v>0.17083333333333334</v>
      </c>
      <c r="Y1762" s="381">
        <v>0</v>
      </c>
      <c r="Z1762" s="381">
        <v>0</v>
      </c>
      <c r="AA1762" s="381">
        <v>0</v>
      </c>
      <c r="AB1762" s="381">
        <v>0</v>
      </c>
      <c r="AC1762" s="382">
        <v>0.17083333333333334</v>
      </c>
      <c r="AD1762" s="382">
        <v>0</v>
      </c>
      <c r="AE1762" s="381" t="s">
        <v>444</v>
      </c>
    </row>
    <row r="1763" spans="1:31" ht="15" customHeight="1" x14ac:dyDescent="0.25">
      <c r="A1763" s="20" t="s">
        <v>156</v>
      </c>
      <c r="B1763" s="20" t="s">
        <v>2056</v>
      </c>
      <c r="C1763" s="20" t="s">
        <v>2057</v>
      </c>
      <c r="D1763" s="378" t="s">
        <v>2438</v>
      </c>
      <c r="E1763" s="384">
        <v>44613</v>
      </c>
      <c r="F1763" s="384">
        <v>46439</v>
      </c>
      <c r="G1763" s="378" t="s">
        <v>439</v>
      </c>
      <c r="H1763" s="20" t="s">
        <v>455</v>
      </c>
      <c r="I1763" s="378" t="s">
        <v>162</v>
      </c>
      <c r="J1763" s="20" t="s">
        <v>163</v>
      </c>
      <c r="K1763" s="378" t="s">
        <v>476</v>
      </c>
      <c r="L1763" s="378" t="s">
        <v>165</v>
      </c>
      <c r="M1763" s="380">
        <v>2400</v>
      </c>
      <c r="N1763" s="380" t="s">
        <v>443</v>
      </c>
      <c r="O1763" s="380" t="s">
        <v>443</v>
      </c>
      <c r="P1763" s="380" t="s">
        <v>443</v>
      </c>
      <c r="Q1763" s="381">
        <v>311</v>
      </c>
      <c r="R1763" s="381">
        <v>0</v>
      </c>
      <c r="S1763" s="381">
        <v>0</v>
      </c>
      <c r="T1763" s="381">
        <v>0</v>
      </c>
      <c r="U1763" s="381">
        <v>0</v>
      </c>
      <c r="V1763" s="382">
        <v>311</v>
      </c>
      <c r="W1763" s="382">
        <v>0</v>
      </c>
      <c r="X1763" s="381">
        <v>0.12958333333333333</v>
      </c>
      <c r="Y1763" s="381">
        <v>0</v>
      </c>
      <c r="Z1763" s="381">
        <v>0</v>
      </c>
      <c r="AA1763" s="381">
        <v>0</v>
      </c>
      <c r="AB1763" s="381">
        <v>0</v>
      </c>
      <c r="AC1763" s="382">
        <v>0.12958333333333333</v>
      </c>
      <c r="AD1763" s="382">
        <v>0</v>
      </c>
      <c r="AE1763" s="381" t="s">
        <v>444</v>
      </c>
    </row>
    <row r="1764" spans="1:31" ht="15" customHeight="1" x14ac:dyDescent="0.25">
      <c r="A1764" s="20" t="s">
        <v>156</v>
      </c>
      <c r="B1764" s="20" t="s">
        <v>2056</v>
      </c>
      <c r="C1764" s="20" t="s">
        <v>2057</v>
      </c>
      <c r="D1764" s="378" t="s">
        <v>2439</v>
      </c>
      <c r="E1764" s="384">
        <v>44613</v>
      </c>
      <c r="F1764" s="384">
        <v>46439</v>
      </c>
      <c r="G1764" s="378" t="s">
        <v>439</v>
      </c>
      <c r="H1764" s="20" t="s">
        <v>455</v>
      </c>
      <c r="I1764" s="378" t="s">
        <v>162</v>
      </c>
      <c r="J1764" s="20" t="s">
        <v>163</v>
      </c>
      <c r="K1764" s="378" t="s">
        <v>476</v>
      </c>
      <c r="L1764" s="378" t="s">
        <v>165</v>
      </c>
      <c r="M1764" s="380">
        <v>2400</v>
      </c>
      <c r="N1764" s="380" t="s">
        <v>443</v>
      </c>
      <c r="O1764" s="380" t="s">
        <v>443</v>
      </c>
      <c r="P1764" s="380" t="s">
        <v>443</v>
      </c>
      <c r="Q1764" s="381">
        <v>336</v>
      </c>
      <c r="R1764" s="381">
        <v>0</v>
      </c>
      <c r="S1764" s="381">
        <v>0</v>
      </c>
      <c r="T1764" s="381">
        <v>0</v>
      </c>
      <c r="U1764" s="381">
        <v>0</v>
      </c>
      <c r="V1764" s="382">
        <v>336</v>
      </c>
      <c r="W1764" s="382">
        <v>0</v>
      </c>
      <c r="X1764" s="381">
        <v>0.14000000000000001</v>
      </c>
      <c r="Y1764" s="381">
        <v>0</v>
      </c>
      <c r="Z1764" s="381">
        <v>0</v>
      </c>
      <c r="AA1764" s="381">
        <v>0</v>
      </c>
      <c r="AB1764" s="381">
        <v>0</v>
      </c>
      <c r="AC1764" s="382">
        <v>0.14000000000000001</v>
      </c>
      <c r="AD1764" s="382">
        <v>0</v>
      </c>
      <c r="AE1764" s="381" t="s">
        <v>444</v>
      </c>
    </row>
    <row r="1765" spans="1:31" ht="15" customHeight="1" x14ac:dyDescent="0.25">
      <c r="A1765" s="20" t="s">
        <v>156</v>
      </c>
      <c r="B1765" s="20" t="s">
        <v>2056</v>
      </c>
      <c r="C1765" s="20" t="s">
        <v>2057</v>
      </c>
      <c r="D1765" s="378" t="s">
        <v>2440</v>
      </c>
      <c r="E1765" s="384">
        <v>44613</v>
      </c>
      <c r="F1765" s="384">
        <v>46439</v>
      </c>
      <c r="G1765" s="378" t="s">
        <v>439</v>
      </c>
      <c r="H1765" s="20" t="s">
        <v>455</v>
      </c>
      <c r="I1765" s="378" t="s">
        <v>162</v>
      </c>
      <c r="J1765" s="20" t="s">
        <v>163</v>
      </c>
      <c r="K1765" s="378" t="s">
        <v>476</v>
      </c>
      <c r="L1765" s="378" t="s">
        <v>165</v>
      </c>
      <c r="M1765" s="380">
        <v>2400</v>
      </c>
      <c r="N1765" s="380" t="s">
        <v>443</v>
      </c>
      <c r="O1765" s="380" t="s">
        <v>443</v>
      </c>
      <c r="P1765" s="380" t="s">
        <v>443</v>
      </c>
      <c r="Q1765" s="381">
        <v>457</v>
      </c>
      <c r="R1765" s="381">
        <v>0</v>
      </c>
      <c r="S1765" s="381">
        <v>0</v>
      </c>
      <c r="T1765" s="381">
        <v>0</v>
      </c>
      <c r="U1765" s="381">
        <v>0</v>
      </c>
      <c r="V1765" s="382">
        <v>457</v>
      </c>
      <c r="W1765" s="382">
        <v>0</v>
      </c>
      <c r="X1765" s="381">
        <v>0.19041666666666668</v>
      </c>
      <c r="Y1765" s="381">
        <v>0</v>
      </c>
      <c r="Z1765" s="381">
        <v>0</v>
      </c>
      <c r="AA1765" s="381">
        <v>0</v>
      </c>
      <c r="AB1765" s="381">
        <v>0</v>
      </c>
      <c r="AC1765" s="382">
        <v>0.19041666666666668</v>
      </c>
      <c r="AD1765" s="382">
        <v>0</v>
      </c>
      <c r="AE1765" s="381" t="s">
        <v>444</v>
      </c>
    </row>
    <row r="1766" spans="1:31" ht="15" customHeight="1" x14ac:dyDescent="0.25">
      <c r="A1766" s="20" t="s">
        <v>156</v>
      </c>
      <c r="B1766" s="20" t="s">
        <v>2056</v>
      </c>
      <c r="C1766" s="20" t="s">
        <v>2057</v>
      </c>
      <c r="D1766" s="378" t="s">
        <v>2441</v>
      </c>
      <c r="E1766" s="384">
        <v>44613</v>
      </c>
      <c r="F1766" s="384">
        <v>46439</v>
      </c>
      <c r="G1766" s="378" t="s">
        <v>439</v>
      </c>
      <c r="H1766" s="20" t="s">
        <v>455</v>
      </c>
      <c r="I1766" s="378" t="s">
        <v>162</v>
      </c>
      <c r="J1766" s="20" t="s">
        <v>163</v>
      </c>
      <c r="K1766" s="378" t="s">
        <v>476</v>
      </c>
      <c r="L1766" s="378" t="s">
        <v>165</v>
      </c>
      <c r="M1766" s="380">
        <v>2400</v>
      </c>
      <c r="N1766" s="380" t="s">
        <v>443</v>
      </c>
      <c r="O1766" s="380" t="s">
        <v>443</v>
      </c>
      <c r="P1766" s="380" t="s">
        <v>443</v>
      </c>
      <c r="Q1766" s="381">
        <v>398</v>
      </c>
      <c r="R1766" s="381">
        <v>0</v>
      </c>
      <c r="S1766" s="381">
        <v>0</v>
      </c>
      <c r="T1766" s="381">
        <v>0</v>
      </c>
      <c r="U1766" s="381">
        <v>0</v>
      </c>
      <c r="V1766" s="382">
        <v>398</v>
      </c>
      <c r="W1766" s="382">
        <v>0</v>
      </c>
      <c r="X1766" s="381">
        <v>0.16583333333333333</v>
      </c>
      <c r="Y1766" s="381">
        <v>0</v>
      </c>
      <c r="Z1766" s="381">
        <v>0</v>
      </c>
      <c r="AA1766" s="381">
        <v>0</v>
      </c>
      <c r="AB1766" s="381">
        <v>0</v>
      </c>
      <c r="AC1766" s="382">
        <v>0.16583333333333333</v>
      </c>
      <c r="AD1766" s="382">
        <v>0</v>
      </c>
      <c r="AE1766" s="381" t="s">
        <v>444</v>
      </c>
    </row>
    <row r="1767" spans="1:31" ht="15" customHeight="1" x14ac:dyDescent="0.25">
      <c r="A1767" s="20" t="s">
        <v>156</v>
      </c>
      <c r="B1767" s="20" t="s">
        <v>2056</v>
      </c>
      <c r="C1767" s="20" t="s">
        <v>2057</v>
      </c>
      <c r="D1767" s="378" t="s">
        <v>2428</v>
      </c>
      <c r="E1767" s="384">
        <v>44613</v>
      </c>
      <c r="F1767" s="384">
        <v>46439</v>
      </c>
      <c r="G1767" s="378" t="s">
        <v>439</v>
      </c>
      <c r="H1767" s="20" t="s">
        <v>455</v>
      </c>
      <c r="I1767" s="378" t="s">
        <v>162</v>
      </c>
      <c r="J1767" s="20" t="s">
        <v>163</v>
      </c>
      <c r="K1767" s="378" t="s">
        <v>476</v>
      </c>
      <c r="L1767" s="378" t="s">
        <v>165</v>
      </c>
      <c r="M1767" s="380">
        <v>2400</v>
      </c>
      <c r="N1767" s="380" t="s">
        <v>443</v>
      </c>
      <c r="O1767" s="380" t="s">
        <v>443</v>
      </c>
      <c r="P1767" s="380" t="s">
        <v>443</v>
      </c>
      <c r="Q1767" s="381">
        <v>320</v>
      </c>
      <c r="R1767" s="381">
        <v>0</v>
      </c>
      <c r="S1767" s="381">
        <v>0</v>
      </c>
      <c r="T1767" s="381">
        <v>0</v>
      </c>
      <c r="U1767" s="381">
        <v>0</v>
      </c>
      <c r="V1767" s="382">
        <v>320</v>
      </c>
      <c r="W1767" s="382">
        <v>0</v>
      </c>
      <c r="X1767" s="381">
        <v>0.13333333333333333</v>
      </c>
      <c r="Y1767" s="381">
        <v>0</v>
      </c>
      <c r="Z1767" s="381">
        <v>0</v>
      </c>
      <c r="AA1767" s="381">
        <v>0</v>
      </c>
      <c r="AB1767" s="381">
        <v>0</v>
      </c>
      <c r="AC1767" s="382">
        <v>0.13333333333333333</v>
      </c>
      <c r="AD1767" s="382">
        <v>0</v>
      </c>
      <c r="AE1767" s="381" t="s">
        <v>444</v>
      </c>
    </row>
    <row r="1768" spans="1:31" ht="15" customHeight="1" x14ac:dyDescent="0.25">
      <c r="A1768" s="20" t="s">
        <v>156</v>
      </c>
      <c r="B1768" s="20" t="s">
        <v>2056</v>
      </c>
      <c r="C1768" s="20" t="s">
        <v>2057</v>
      </c>
      <c r="D1768" s="378" t="s">
        <v>2429</v>
      </c>
      <c r="E1768" s="384">
        <v>44613</v>
      </c>
      <c r="F1768" s="384">
        <v>46439</v>
      </c>
      <c r="G1768" s="378" t="s">
        <v>439</v>
      </c>
      <c r="H1768" s="20" t="s">
        <v>455</v>
      </c>
      <c r="I1768" s="378" t="s">
        <v>162</v>
      </c>
      <c r="J1768" s="20" t="s">
        <v>163</v>
      </c>
      <c r="K1768" s="378" t="s">
        <v>476</v>
      </c>
      <c r="L1768" s="378" t="s">
        <v>165</v>
      </c>
      <c r="M1768" s="380">
        <v>2400</v>
      </c>
      <c r="N1768" s="380" t="s">
        <v>443</v>
      </c>
      <c r="O1768" s="380" t="s">
        <v>443</v>
      </c>
      <c r="P1768" s="380" t="s">
        <v>443</v>
      </c>
      <c r="Q1768" s="381">
        <v>336</v>
      </c>
      <c r="R1768" s="381">
        <v>0</v>
      </c>
      <c r="S1768" s="381">
        <v>0</v>
      </c>
      <c r="T1768" s="381">
        <v>0</v>
      </c>
      <c r="U1768" s="381">
        <v>0</v>
      </c>
      <c r="V1768" s="382">
        <v>336</v>
      </c>
      <c r="W1768" s="382">
        <v>0</v>
      </c>
      <c r="X1768" s="381">
        <v>0.14000000000000001</v>
      </c>
      <c r="Y1768" s="381">
        <v>0</v>
      </c>
      <c r="Z1768" s="381">
        <v>0</v>
      </c>
      <c r="AA1768" s="381">
        <v>0</v>
      </c>
      <c r="AB1768" s="381">
        <v>0</v>
      </c>
      <c r="AC1768" s="382">
        <v>0.14000000000000001</v>
      </c>
      <c r="AD1768" s="382">
        <v>0</v>
      </c>
      <c r="AE1768" s="381" t="s">
        <v>444</v>
      </c>
    </row>
    <row r="1769" spans="1:31" ht="15" customHeight="1" x14ac:dyDescent="0.25">
      <c r="A1769" s="20" t="s">
        <v>156</v>
      </c>
      <c r="B1769" s="20" t="s">
        <v>2056</v>
      </c>
      <c r="C1769" s="20" t="s">
        <v>2057</v>
      </c>
      <c r="D1769" s="378" t="s">
        <v>2430</v>
      </c>
      <c r="E1769" s="384">
        <v>44613</v>
      </c>
      <c r="F1769" s="384">
        <v>46439</v>
      </c>
      <c r="G1769" s="378" t="s">
        <v>439</v>
      </c>
      <c r="H1769" s="20" t="s">
        <v>455</v>
      </c>
      <c r="I1769" s="378" t="s">
        <v>162</v>
      </c>
      <c r="J1769" s="20" t="s">
        <v>163</v>
      </c>
      <c r="K1769" s="378" t="s">
        <v>476</v>
      </c>
      <c r="L1769" s="378" t="s">
        <v>165</v>
      </c>
      <c r="M1769" s="380">
        <v>2400</v>
      </c>
      <c r="N1769" s="380" t="s">
        <v>443</v>
      </c>
      <c r="O1769" s="380" t="s">
        <v>443</v>
      </c>
      <c r="P1769" s="380" t="s">
        <v>443</v>
      </c>
      <c r="Q1769" s="381">
        <v>413</v>
      </c>
      <c r="R1769" s="381">
        <v>0</v>
      </c>
      <c r="S1769" s="381">
        <v>0</v>
      </c>
      <c r="T1769" s="381">
        <v>0</v>
      </c>
      <c r="U1769" s="381">
        <v>0</v>
      </c>
      <c r="V1769" s="382">
        <v>413</v>
      </c>
      <c r="W1769" s="382">
        <v>0</v>
      </c>
      <c r="X1769" s="381">
        <v>0.17208333333333334</v>
      </c>
      <c r="Y1769" s="381">
        <v>0</v>
      </c>
      <c r="Z1769" s="381">
        <v>0</v>
      </c>
      <c r="AA1769" s="381">
        <v>0</v>
      </c>
      <c r="AB1769" s="381">
        <v>0</v>
      </c>
      <c r="AC1769" s="382">
        <v>0.17208333333333334</v>
      </c>
      <c r="AD1769" s="382">
        <v>0</v>
      </c>
      <c r="AE1769" s="381" t="s">
        <v>444</v>
      </c>
    </row>
    <row r="1770" spans="1:31" ht="15" customHeight="1" x14ac:dyDescent="0.25">
      <c r="A1770" s="20" t="s">
        <v>156</v>
      </c>
      <c r="B1770" s="20" t="s">
        <v>2056</v>
      </c>
      <c r="C1770" s="20" t="s">
        <v>2057</v>
      </c>
      <c r="D1770" s="378" t="s">
        <v>2431</v>
      </c>
      <c r="E1770" s="384">
        <v>44613</v>
      </c>
      <c r="F1770" s="384">
        <v>46439</v>
      </c>
      <c r="G1770" s="378" t="s">
        <v>439</v>
      </c>
      <c r="H1770" s="20" t="s">
        <v>455</v>
      </c>
      <c r="I1770" s="378" t="s">
        <v>162</v>
      </c>
      <c r="J1770" s="20" t="s">
        <v>163</v>
      </c>
      <c r="K1770" s="378" t="s">
        <v>476</v>
      </c>
      <c r="L1770" s="378" t="s">
        <v>165</v>
      </c>
      <c r="M1770" s="380">
        <v>2400</v>
      </c>
      <c r="N1770" s="380" t="s">
        <v>443</v>
      </c>
      <c r="O1770" s="380" t="s">
        <v>443</v>
      </c>
      <c r="P1770" s="380" t="s">
        <v>443</v>
      </c>
      <c r="Q1770" s="381">
        <v>463</v>
      </c>
      <c r="R1770" s="381">
        <v>0</v>
      </c>
      <c r="S1770" s="381">
        <v>0</v>
      </c>
      <c r="T1770" s="381">
        <v>0</v>
      </c>
      <c r="U1770" s="381">
        <v>0</v>
      </c>
      <c r="V1770" s="382">
        <v>463</v>
      </c>
      <c r="W1770" s="382">
        <v>0</v>
      </c>
      <c r="X1770" s="381">
        <v>0.19291666666666665</v>
      </c>
      <c r="Y1770" s="381">
        <v>0</v>
      </c>
      <c r="Z1770" s="381">
        <v>0</v>
      </c>
      <c r="AA1770" s="381">
        <v>0</v>
      </c>
      <c r="AB1770" s="381">
        <v>0</v>
      </c>
      <c r="AC1770" s="382">
        <v>0.19291666666666665</v>
      </c>
      <c r="AD1770" s="382">
        <v>0</v>
      </c>
      <c r="AE1770" s="381" t="s">
        <v>444</v>
      </c>
    </row>
    <row r="1771" spans="1:31" ht="15" customHeight="1" x14ac:dyDescent="0.25">
      <c r="A1771" s="20" t="s">
        <v>156</v>
      </c>
      <c r="B1771" s="20" t="s">
        <v>2056</v>
      </c>
      <c r="C1771" s="20" t="s">
        <v>2057</v>
      </c>
      <c r="D1771" s="378" t="s">
        <v>2432</v>
      </c>
      <c r="E1771" s="384">
        <v>44613</v>
      </c>
      <c r="F1771" s="384">
        <v>46439</v>
      </c>
      <c r="G1771" s="378" t="s">
        <v>439</v>
      </c>
      <c r="H1771" s="20" t="s">
        <v>455</v>
      </c>
      <c r="I1771" s="378" t="s">
        <v>162</v>
      </c>
      <c r="J1771" s="20" t="s">
        <v>163</v>
      </c>
      <c r="K1771" s="378" t="s">
        <v>476</v>
      </c>
      <c r="L1771" s="378" t="s">
        <v>165</v>
      </c>
      <c r="M1771" s="380">
        <v>2400</v>
      </c>
      <c r="N1771" s="380" t="s">
        <v>443</v>
      </c>
      <c r="O1771" s="380" t="s">
        <v>443</v>
      </c>
      <c r="P1771" s="380" t="s">
        <v>443</v>
      </c>
      <c r="Q1771" s="381">
        <v>364</v>
      </c>
      <c r="R1771" s="381">
        <v>0</v>
      </c>
      <c r="S1771" s="381">
        <v>0</v>
      </c>
      <c r="T1771" s="381">
        <v>0</v>
      </c>
      <c r="U1771" s="381">
        <v>0</v>
      </c>
      <c r="V1771" s="382">
        <v>364</v>
      </c>
      <c r="W1771" s="382">
        <v>0</v>
      </c>
      <c r="X1771" s="381">
        <v>0.15166666666666667</v>
      </c>
      <c r="Y1771" s="381">
        <v>0</v>
      </c>
      <c r="Z1771" s="381">
        <v>0</v>
      </c>
      <c r="AA1771" s="381">
        <v>0</v>
      </c>
      <c r="AB1771" s="381">
        <v>0</v>
      </c>
      <c r="AC1771" s="382">
        <v>0.15166666666666667</v>
      </c>
      <c r="AD1771" s="382">
        <v>0</v>
      </c>
      <c r="AE1771" s="381" t="s">
        <v>444</v>
      </c>
    </row>
    <row r="1772" spans="1:31" ht="15" customHeight="1" x14ac:dyDescent="0.25">
      <c r="A1772" s="20" t="s">
        <v>156</v>
      </c>
      <c r="B1772" s="20" t="s">
        <v>2056</v>
      </c>
      <c r="C1772" s="20" t="s">
        <v>2057</v>
      </c>
      <c r="D1772" s="378" t="s">
        <v>2433</v>
      </c>
      <c r="E1772" s="384">
        <v>44613</v>
      </c>
      <c r="F1772" s="384">
        <v>46439</v>
      </c>
      <c r="G1772" s="378" t="s">
        <v>439</v>
      </c>
      <c r="H1772" s="20" t="s">
        <v>455</v>
      </c>
      <c r="I1772" s="378" t="s">
        <v>162</v>
      </c>
      <c r="J1772" s="20" t="s">
        <v>163</v>
      </c>
      <c r="K1772" s="378" t="s">
        <v>476</v>
      </c>
      <c r="L1772" s="378" t="s">
        <v>165</v>
      </c>
      <c r="M1772" s="380">
        <v>2400</v>
      </c>
      <c r="N1772" s="380" t="s">
        <v>443</v>
      </c>
      <c r="O1772" s="380" t="s">
        <v>443</v>
      </c>
      <c r="P1772" s="380" t="s">
        <v>443</v>
      </c>
      <c r="Q1772" s="381">
        <v>485</v>
      </c>
      <c r="R1772" s="381">
        <v>0</v>
      </c>
      <c r="S1772" s="381">
        <v>0</v>
      </c>
      <c r="T1772" s="381">
        <v>0</v>
      </c>
      <c r="U1772" s="381">
        <v>0</v>
      </c>
      <c r="V1772" s="382">
        <v>485</v>
      </c>
      <c r="W1772" s="382">
        <v>0</v>
      </c>
      <c r="X1772" s="381">
        <v>0.20208333333333334</v>
      </c>
      <c r="Y1772" s="381">
        <v>0</v>
      </c>
      <c r="Z1772" s="381">
        <v>0</v>
      </c>
      <c r="AA1772" s="381">
        <v>0</v>
      </c>
      <c r="AB1772" s="381">
        <v>0</v>
      </c>
      <c r="AC1772" s="382">
        <v>0.20208333333333334</v>
      </c>
      <c r="AD1772" s="382">
        <v>0</v>
      </c>
      <c r="AE1772" s="381" t="s">
        <v>444</v>
      </c>
    </row>
    <row r="1773" spans="1:31" ht="15" customHeight="1" x14ac:dyDescent="0.25">
      <c r="A1773" s="20" t="s">
        <v>156</v>
      </c>
      <c r="B1773" s="20" t="s">
        <v>2056</v>
      </c>
      <c r="C1773" s="20" t="s">
        <v>2057</v>
      </c>
      <c r="D1773" s="378" t="s">
        <v>2434</v>
      </c>
      <c r="E1773" s="384">
        <v>44613</v>
      </c>
      <c r="F1773" s="384">
        <v>46439</v>
      </c>
      <c r="G1773" s="378" t="s">
        <v>439</v>
      </c>
      <c r="H1773" s="20" t="s">
        <v>455</v>
      </c>
      <c r="I1773" s="378" t="s">
        <v>162</v>
      </c>
      <c r="J1773" s="20" t="s">
        <v>163</v>
      </c>
      <c r="K1773" s="378" t="s">
        <v>476</v>
      </c>
      <c r="L1773" s="378" t="s">
        <v>165</v>
      </c>
      <c r="M1773" s="380">
        <v>2400</v>
      </c>
      <c r="N1773" s="380" t="s">
        <v>443</v>
      </c>
      <c r="O1773" s="380" t="s">
        <v>443</v>
      </c>
      <c r="P1773" s="380" t="s">
        <v>443</v>
      </c>
      <c r="Q1773" s="381">
        <v>414</v>
      </c>
      <c r="R1773" s="381">
        <v>0</v>
      </c>
      <c r="S1773" s="381">
        <v>0</v>
      </c>
      <c r="T1773" s="381">
        <v>0</v>
      </c>
      <c r="U1773" s="381">
        <v>0</v>
      </c>
      <c r="V1773" s="382">
        <v>414</v>
      </c>
      <c r="W1773" s="382">
        <v>0</v>
      </c>
      <c r="X1773" s="381">
        <v>0.17249999999999999</v>
      </c>
      <c r="Y1773" s="381">
        <v>0</v>
      </c>
      <c r="Z1773" s="381">
        <v>0</v>
      </c>
      <c r="AA1773" s="381">
        <v>0</v>
      </c>
      <c r="AB1773" s="381">
        <v>0</v>
      </c>
      <c r="AC1773" s="382">
        <v>0.17249999999999999</v>
      </c>
      <c r="AD1773" s="382">
        <v>0</v>
      </c>
      <c r="AE1773" s="381" t="s">
        <v>444</v>
      </c>
    </row>
    <row r="1774" spans="1:31" ht="15" customHeight="1" x14ac:dyDescent="0.25">
      <c r="A1774" s="20" t="s">
        <v>156</v>
      </c>
      <c r="B1774" s="20" t="s">
        <v>2056</v>
      </c>
      <c r="C1774" s="20" t="s">
        <v>2057</v>
      </c>
      <c r="D1774" s="378" t="s">
        <v>2435</v>
      </c>
      <c r="E1774" s="384">
        <v>44613</v>
      </c>
      <c r="F1774" s="384">
        <v>46439</v>
      </c>
      <c r="G1774" s="378" t="s">
        <v>439</v>
      </c>
      <c r="H1774" s="20" t="s">
        <v>455</v>
      </c>
      <c r="I1774" s="378" t="s">
        <v>162</v>
      </c>
      <c r="J1774" s="20" t="s">
        <v>163</v>
      </c>
      <c r="K1774" s="378" t="s">
        <v>476</v>
      </c>
      <c r="L1774" s="378" t="s">
        <v>165</v>
      </c>
      <c r="M1774" s="380">
        <v>2400</v>
      </c>
      <c r="N1774" s="380" t="s">
        <v>443</v>
      </c>
      <c r="O1774" s="380" t="s">
        <v>443</v>
      </c>
      <c r="P1774" s="380" t="s">
        <v>443</v>
      </c>
      <c r="Q1774" s="381">
        <v>444</v>
      </c>
      <c r="R1774" s="381">
        <v>0</v>
      </c>
      <c r="S1774" s="381">
        <v>0</v>
      </c>
      <c r="T1774" s="381">
        <v>0</v>
      </c>
      <c r="U1774" s="381">
        <v>0</v>
      </c>
      <c r="V1774" s="382">
        <v>444</v>
      </c>
      <c r="W1774" s="382">
        <v>0</v>
      </c>
      <c r="X1774" s="381">
        <v>0.185</v>
      </c>
      <c r="Y1774" s="381">
        <v>0</v>
      </c>
      <c r="Z1774" s="381">
        <v>0</v>
      </c>
      <c r="AA1774" s="381">
        <v>0</v>
      </c>
      <c r="AB1774" s="381">
        <v>0</v>
      </c>
      <c r="AC1774" s="382">
        <v>0.185</v>
      </c>
      <c r="AD1774" s="382">
        <v>0</v>
      </c>
      <c r="AE1774" s="381" t="s">
        <v>444</v>
      </c>
    </row>
    <row r="1775" spans="1:31" ht="15" customHeight="1" x14ac:dyDescent="0.25">
      <c r="A1775" s="20" t="s">
        <v>156</v>
      </c>
      <c r="B1775" s="20" t="s">
        <v>2056</v>
      </c>
      <c r="C1775" s="20" t="s">
        <v>2057</v>
      </c>
      <c r="D1775" s="378" t="s">
        <v>2436</v>
      </c>
      <c r="E1775" s="384">
        <v>44613</v>
      </c>
      <c r="F1775" s="384">
        <v>46439</v>
      </c>
      <c r="G1775" s="378" t="s">
        <v>439</v>
      </c>
      <c r="H1775" s="20" t="s">
        <v>455</v>
      </c>
      <c r="I1775" s="378" t="s">
        <v>162</v>
      </c>
      <c r="J1775" s="20" t="s">
        <v>163</v>
      </c>
      <c r="K1775" s="378" t="s">
        <v>476</v>
      </c>
      <c r="L1775" s="378" t="s">
        <v>165</v>
      </c>
      <c r="M1775" s="380">
        <v>2400</v>
      </c>
      <c r="N1775" s="380" t="s">
        <v>443</v>
      </c>
      <c r="O1775" s="380" t="s">
        <v>443</v>
      </c>
      <c r="P1775" s="380" t="s">
        <v>443</v>
      </c>
      <c r="Q1775" s="381">
        <v>309</v>
      </c>
      <c r="R1775" s="381">
        <v>0</v>
      </c>
      <c r="S1775" s="381">
        <v>0</v>
      </c>
      <c r="T1775" s="381">
        <v>0</v>
      </c>
      <c r="U1775" s="381">
        <v>0</v>
      </c>
      <c r="V1775" s="382">
        <v>309</v>
      </c>
      <c r="W1775" s="382">
        <v>0</v>
      </c>
      <c r="X1775" s="381">
        <v>0.12875</v>
      </c>
      <c r="Y1775" s="381">
        <v>0</v>
      </c>
      <c r="Z1775" s="381">
        <v>0</v>
      </c>
      <c r="AA1775" s="381">
        <v>0</v>
      </c>
      <c r="AB1775" s="381">
        <v>0</v>
      </c>
      <c r="AC1775" s="382">
        <v>0.12875</v>
      </c>
      <c r="AD1775" s="382">
        <v>0</v>
      </c>
      <c r="AE1775" s="381" t="s">
        <v>444</v>
      </c>
    </row>
    <row r="1776" spans="1:31" ht="15" customHeight="1" x14ac:dyDescent="0.25">
      <c r="A1776" s="20" t="s">
        <v>156</v>
      </c>
      <c r="B1776" s="20" t="s">
        <v>2056</v>
      </c>
      <c r="C1776" s="20" t="s">
        <v>2057</v>
      </c>
      <c r="D1776" s="378" t="s">
        <v>2437</v>
      </c>
      <c r="E1776" s="384">
        <v>44613</v>
      </c>
      <c r="F1776" s="384">
        <v>46439</v>
      </c>
      <c r="G1776" s="378" t="s">
        <v>439</v>
      </c>
      <c r="H1776" s="20" t="s">
        <v>455</v>
      </c>
      <c r="I1776" s="378" t="s">
        <v>162</v>
      </c>
      <c r="J1776" s="20" t="s">
        <v>163</v>
      </c>
      <c r="K1776" s="378" t="s">
        <v>476</v>
      </c>
      <c r="L1776" s="378" t="s">
        <v>165</v>
      </c>
      <c r="M1776" s="380">
        <v>2400</v>
      </c>
      <c r="N1776" s="380" t="s">
        <v>443</v>
      </c>
      <c r="O1776" s="380" t="s">
        <v>443</v>
      </c>
      <c r="P1776" s="380" t="s">
        <v>443</v>
      </c>
      <c r="Q1776" s="381">
        <v>410</v>
      </c>
      <c r="R1776" s="381">
        <v>0</v>
      </c>
      <c r="S1776" s="381">
        <v>0</v>
      </c>
      <c r="T1776" s="381">
        <v>0</v>
      </c>
      <c r="U1776" s="381">
        <v>0</v>
      </c>
      <c r="V1776" s="382">
        <v>410</v>
      </c>
      <c r="W1776" s="382">
        <v>0</v>
      </c>
      <c r="X1776" s="381">
        <v>0.17083333333333334</v>
      </c>
      <c r="Y1776" s="381">
        <v>0</v>
      </c>
      <c r="Z1776" s="381">
        <v>0</v>
      </c>
      <c r="AA1776" s="381">
        <v>0</v>
      </c>
      <c r="AB1776" s="381">
        <v>0</v>
      </c>
      <c r="AC1776" s="382">
        <v>0.17083333333333334</v>
      </c>
      <c r="AD1776" s="382">
        <v>0</v>
      </c>
      <c r="AE1776" s="381" t="s">
        <v>444</v>
      </c>
    </row>
    <row r="1777" spans="1:31" ht="15" customHeight="1" x14ac:dyDescent="0.25">
      <c r="A1777" s="20" t="s">
        <v>156</v>
      </c>
      <c r="B1777" s="20" t="s">
        <v>2056</v>
      </c>
      <c r="C1777" s="20" t="s">
        <v>2057</v>
      </c>
      <c r="D1777" s="378" t="s">
        <v>2436</v>
      </c>
      <c r="E1777" s="384">
        <v>44613</v>
      </c>
      <c r="F1777" s="384">
        <v>46439</v>
      </c>
      <c r="G1777" s="378" t="s">
        <v>439</v>
      </c>
      <c r="H1777" s="20" t="s">
        <v>455</v>
      </c>
      <c r="I1777" s="378" t="s">
        <v>162</v>
      </c>
      <c r="J1777" s="20" t="s">
        <v>163</v>
      </c>
      <c r="K1777" s="378" t="s">
        <v>476</v>
      </c>
      <c r="L1777" s="378" t="s">
        <v>165</v>
      </c>
      <c r="M1777" s="380">
        <v>2400</v>
      </c>
      <c r="N1777" s="380" t="s">
        <v>443</v>
      </c>
      <c r="O1777" s="380" t="s">
        <v>443</v>
      </c>
      <c r="P1777" s="380" t="s">
        <v>443</v>
      </c>
      <c r="Q1777" s="381">
        <v>309</v>
      </c>
      <c r="R1777" s="381">
        <v>0</v>
      </c>
      <c r="S1777" s="381">
        <v>0</v>
      </c>
      <c r="T1777" s="381">
        <v>0</v>
      </c>
      <c r="U1777" s="381">
        <v>0</v>
      </c>
      <c r="V1777" s="382">
        <v>309</v>
      </c>
      <c r="W1777" s="382">
        <v>0</v>
      </c>
      <c r="X1777" s="381">
        <v>0.12875</v>
      </c>
      <c r="Y1777" s="381">
        <v>0</v>
      </c>
      <c r="Z1777" s="381">
        <v>0</v>
      </c>
      <c r="AA1777" s="381">
        <v>0</v>
      </c>
      <c r="AB1777" s="381">
        <v>0</v>
      </c>
      <c r="AC1777" s="382">
        <v>0.12875</v>
      </c>
      <c r="AD1777" s="382">
        <v>0</v>
      </c>
      <c r="AE1777" s="381" t="s">
        <v>444</v>
      </c>
    </row>
    <row r="1778" spans="1:31" ht="15" customHeight="1" x14ac:dyDescent="0.25">
      <c r="A1778" s="20" t="s">
        <v>156</v>
      </c>
      <c r="B1778" s="20" t="s">
        <v>2056</v>
      </c>
      <c r="C1778" s="20" t="s">
        <v>2057</v>
      </c>
      <c r="D1778" s="378" t="s">
        <v>2439</v>
      </c>
      <c r="E1778" s="384">
        <v>44613</v>
      </c>
      <c r="F1778" s="384">
        <v>46439</v>
      </c>
      <c r="G1778" s="378" t="s">
        <v>439</v>
      </c>
      <c r="H1778" s="20" t="s">
        <v>455</v>
      </c>
      <c r="I1778" s="378" t="s">
        <v>162</v>
      </c>
      <c r="J1778" s="20" t="s">
        <v>163</v>
      </c>
      <c r="K1778" s="378" t="s">
        <v>476</v>
      </c>
      <c r="L1778" s="378" t="s">
        <v>165</v>
      </c>
      <c r="M1778" s="380">
        <v>2400</v>
      </c>
      <c r="N1778" s="380" t="s">
        <v>443</v>
      </c>
      <c r="O1778" s="380" t="s">
        <v>443</v>
      </c>
      <c r="P1778" s="380" t="s">
        <v>443</v>
      </c>
      <c r="Q1778" s="381">
        <v>336</v>
      </c>
      <c r="R1778" s="381">
        <v>0</v>
      </c>
      <c r="S1778" s="381">
        <v>0</v>
      </c>
      <c r="T1778" s="381">
        <v>0</v>
      </c>
      <c r="U1778" s="381">
        <v>0</v>
      </c>
      <c r="V1778" s="382">
        <v>336</v>
      </c>
      <c r="W1778" s="382">
        <v>0</v>
      </c>
      <c r="X1778" s="381">
        <v>0.14000000000000001</v>
      </c>
      <c r="Y1778" s="381">
        <v>0</v>
      </c>
      <c r="Z1778" s="381">
        <v>0</v>
      </c>
      <c r="AA1778" s="381">
        <v>0</v>
      </c>
      <c r="AB1778" s="381">
        <v>0</v>
      </c>
      <c r="AC1778" s="382">
        <v>0.14000000000000001</v>
      </c>
      <c r="AD1778" s="382">
        <v>0</v>
      </c>
      <c r="AE1778" s="381" t="s">
        <v>444</v>
      </c>
    </row>
    <row r="1779" spans="1:31" ht="15" customHeight="1" x14ac:dyDescent="0.25">
      <c r="A1779" s="20" t="s">
        <v>156</v>
      </c>
      <c r="B1779" s="20" t="s">
        <v>2056</v>
      </c>
      <c r="C1779" s="20" t="s">
        <v>2057</v>
      </c>
      <c r="D1779" s="378" t="s">
        <v>2440</v>
      </c>
      <c r="E1779" s="384">
        <v>44613</v>
      </c>
      <c r="F1779" s="384">
        <v>46439</v>
      </c>
      <c r="G1779" s="378" t="s">
        <v>439</v>
      </c>
      <c r="H1779" s="20" t="s">
        <v>455</v>
      </c>
      <c r="I1779" s="378" t="s">
        <v>162</v>
      </c>
      <c r="J1779" s="20" t="s">
        <v>163</v>
      </c>
      <c r="K1779" s="378" t="s">
        <v>476</v>
      </c>
      <c r="L1779" s="378" t="s">
        <v>165</v>
      </c>
      <c r="M1779" s="380">
        <v>2400</v>
      </c>
      <c r="N1779" s="380" t="s">
        <v>443</v>
      </c>
      <c r="O1779" s="380" t="s">
        <v>443</v>
      </c>
      <c r="P1779" s="380" t="s">
        <v>443</v>
      </c>
      <c r="Q1779" s="381">
        <v>457</v>
      </c>
      <c r="R1779" s="381">
        <v>0</v>
      </c>
      <c r="S1779" s="381">
        <v>0</v>
      </c>
      <c r="T1779" s="381">
        <v>0</v>
      </c>
      <c r="U1779" s="381">
        <v>0</v>
      </c>
      <c r="V1779" s="382">
        <v>457</v>
      </c>
      <c r="W1779" s="382">
        <v>0</v>
      </c>
      <c r="X1779" s="381">
        <v>0.19041666666666668</v>
      </c>
      <c r="Y1779" s="381">
        <v>0</v>
      </c>
      <c r="Z1779" s="381">
        <v>0</v>
      </c>
      <c r="AA1779" s="381">
        <v>0</v>
      </c>
      <c r="AB1779" s="381">
        <v>0</v>
      </c>
      <c r="AC1779" s="382">
        <v>0.19041666666666668</v>
      </c>
      <c r="AD1779" s="382">
        <v>0</v>
      </c>
      <c r="AE1779" s="381" t="s">
        <v>444</v>
      </c>
    </row>
    <row r="1780" spans="1:31" ht="15" customHeight="1" x14ac:dyDescent="0.25">
      <c r="A1780" s="20" t="s">
        <v>156</v>
      </c>
      <c r="B1780" s="20" t="s">
        <v>2056</v>
      </c>
      <c r="C1780" s="20" t="s">
        <v>2057</v>
      </c>
      <c r="D1780" s="378" t="s">
        <v>2441</v>
      </c>
      <c r="E1780" s="384">
        <v>44613</v>
      </c>
      <c r="F1780" s="384">
        <v>46439</v>
      </c>
      <c r="G1780" s="378" t="s">
        <v>439</v>
      </c>
      <c r="H1780" s="20" t="s">
        <v>455</v>
      </c>
      <c r="I1780" s="378" t="s">
        <v>162</v>
      </c>
      <c r="J1780" s="20" t="s">
        <v>163</v>
      </c>
      <c r="K1780" s="378" t="s">
        <v>476</v>
      </c>
      <c r="L1780" s="378" t="s">
        <v>165</v>
      </c>
      <c r="M1780" s="380">
        <v>2400</v>
      </c>
      <c r="N1780" s="380" t="s">
        <v>443</v>
      </c>
      <c r="O1780" s="380" t="s">
        <v>443</v>
      </c>
      <c r="P1780" s="380" t="s">
        <v>443</v>
      </c>
      <c r="Q1780" s="381">
        <v>398</v>
      </c>
      <c r="R1780" s="381">
        <v>0</v>
      </c>
      <c r="S1780" s="381">
        <v>0</v>
      </c>
      <c r="T1780" s="381">
        <v>0</v>
      </c>
      <c r="U1780" s="381">
        <v>0</v>
      </c>
      <c r="V1780" s="382">
        <v>398</v>
      </c>
      <c r="W1780" s="382">
        <v>0</v>
      </c>
      <c r="X1780" s="381">
        <v>0.16583333333333333</v>
      </c>
      <c r="Y1780" s="381">
        <v>0</v>
      </c>
      <c r="Z1780" s="381">
        <v>0</v>
      </c>
      <c r="AA1780" s="381">
        <v>0</v>
      </c>
      <c r="AB1780" s="381">
        <v>0</v>
      </c>
      <c r="AC1780" s="382">
        <v>0.16583333333333333</v>
      </c>
      <c r="AD1780" s="382">
        <v>0</v>
      </c>
      <c r="AE1780" s="381" t="s">
        <v>444</v>
      </c>
    </row>
    <row r="1781" spans="1:31" ht="15" customHeight="1" x14ac:dyDescent="0.25">
      <c r="A1781" s="20" t="s">
        <v>156</v>
      </c>
      <c r="B1781" s="20" t="s">
        <v>2056</v>
      </c>
      <c r="C1781" s="20" t="s">
        <v>2057</v>
      </c>
      <c r="D1781" s="378" t="s">
        <v>2428</v>
      </c>
      <c r="E1781" s="384">
        <v>44613</v>
      </c>
      <c r="F1781" s="384">
        <v>46439</v>
      </c>
      <c r="G1781" s="378" t="s">
        <v>439</v>
      </c>
      <c r="H1781" s="20" t="s">
        <v>455</v>
      </c>
      <c r="I1781" s="378" t="s">
        <v>162</v>
      </c>
      <c r="J1781" s="20" t="s">
        <v>163</v>
      </c>
      <c r="K1781" s="378" t="s">
        <v>476</v>
      </c>
      <c r="L1781" s="378" t="s">
        <v>165</v>
      </c>
      <c r="M1781" s="380">
        <v>2400</v>
      </c>
      <c r="N1781" s="380" t="s">
        <v>443</v>
      </c>
      <c r="O1781" s="380" t="s">
        <v>443</v>
      </c>
      <c r="P1781" s="380" t="s">
        <v>443</v>
      </c>
      <c r="Q1781" s="381">
        <v>320</v>
      </c>
      <c r="R1781" s="381">
        <v>0</v>
      </c>
      <c r="S1781" s="381">
        <v>0</v>
      </c>
      <c r="T1781" s="381">
        <v>0</v>
      </c>
      <c r="U1781" s="381">
        <v>0</v>
      </c>
      <c r="V1781" s="382">
        <v>320</v>
      </c>
      <c r="W1781" s="382">
        <v>0</v>
      </c>
      <c r="X1781" s="381">
        <v>0.13333333333333333</v>
      </c>
      <c r="Y1781" s="381">
        <v>0</v>
      </c>
      <c r="Z1781" s="381">
        <v>0</v>
      </c>
      <c r="AA1781" s="381">
        <v>0</v>
      </c>
      <c r="AB1781" s="381">
        <v>0</v>
      </c>
      <c r="AC1781" s="382">
        <v>0.13333333333333333</v>
      </c>
      <c r="AD1781" s="382">
        <v>0</v>
      </c>
      <c r="AE1781" s="381" t="s">
        <v>444</v>
      </c>
    </row>
    <row r="1782" spans="1:31" ht="15" customHeight="1" x14ac:dyDescent="0.25">
      <c r="A1782" s="20" t="s">
        <v>156</v>
      </c>
      <c r="B1782" s="20" t="s">
        <v>2056</v>
      </c>
      <c r="C1782" s="20" t="s">
        <v>2057</v>
      </c>
      <c r="D1782" s="378" t="s">
        <v>2429</v>
      </c>
      <c r="E1782" s="384">
        <v>44613</v>
      </c>
      <c r="F1782" s="384">
        <v>46439</v>
      </c>
      <c r="G1782" s="378" t="s">
        <v>439</v>
      </c>
      <c r="H1782" s="20" t="s">
        <v>455</v>
      </c>
      <c r="I1782" s="378" t="s">
        <v>162</v>
      </c>
      <c r="J1782" s="20" t="s">
        <v>163</v>
      </c>
      <c r="K1782" s="378" t="s">
        <v>476</v>
      </c>
      <c r="L1782" s="378" t="s">
        <v>165</v>
      </c>
      <c r="M1782" s="380">
        <v>2400</v>
      </c>
      <c r="N1782" s="380" t="s">
        <v>443</v>
      </c>
      <c r="O1782" s="380" t="s">
        <v>443</v>
      </c>
      <c r="P1782" s="380" t="s">
        <v>443</v>
      </c>
      <c r="Q1782" s="381">
        <v>336</v>
      </c>
      <c r="R1782" s="381">
        <v>0</v>
      </c>
      <c r="S1782" s="381">
        <v>0</v>
      </c>
      <c r="T1782" s="381">
        <v>0</v>
      </c>
      <c r="U1782" s="381">
        <v>0</v>
      </c>
      <c r="V1782" s="382">
        <v>336</v>
      </c>
      <c r="W1782" s="382">
        <v>0</v>
      </c>
      <c r="X1782" s="381">
        <v>0.14000000000000001</v>
      </c>
      <c r="Y1782" s="381">
        <v>0</v>
      </c>
      <c r="Z1782" s="381">
        <v>0</v>
      </c>
      <c r="AA1782" s="381">
        <v>0</v>
      </c>
      <c r="AB1782" s="381">
        <v>0</v>
      </c>
      <c r="AC1782" s="382">
        <v>0.14000000000000001</v>
      </c>
      <c r="AD1782" s="382">
        <v>0</v>
      </c>
      <c r="AE1782" s="381" t="s">
        <v>444</v>
      </c>
    </row>
    <row r="1783" spans="1:31" ht="15" customHeight="1" x14ac:dyDescent="0.25">
      <c r="A1783" s="20" t="s">
        <v>156</v>
      </c>
      <c r="B1783" s="20" t="s">
        <v>2056</v>
      </c>
      <c r="C1783" s="20" t="s">
        <v>2057</v>
      </c>
      <c r="D1783" s="378" t="s">
        <v>2430</v>
      </c>
      <c r="E1783" s="384">
        <v>44613</v>
      </c>
      <c r="F1783" s="384">
        <v>46439</v>
      </c>
      <c r="G1783" s="378" t="s">
        <v>439</v>
      </c>
      <c r="H1783" s="20" t="s">
        <v>455</v>
      </c>
      <c r="I1783" s="378" t="s">
        <v>162</v>
      </c>
      <c r="J1783" s="20" t="s">
        <v>163</v>
      </c>
      <c r="K1783" s="378" t="s">
        <v>476</v>
      </c>
      <c r="L1783" s="378" t="s">
        <v>165</v>
      </c>
      <c r="M1783" s="380">
        <v>2400</v>
      </c>
      <c r="N1783" s="380" t="s">
        <v>443</v>
      </c>
      <c r="O1783" s="380" t="s">
        <v>443</v>
      </c>
      <c r="P1783" s="380" t="s">
        <v>443</v>
      </c>
      <c r="Q1783" s="381">
        <v>413</v>
      </c>
      <c r="R1783" s="381">
        <v>0</v>
      </c>
      <c r="S1783" s="381">
        <v>0</v>
      </c>
      <c r="T1783" s="381">
        <v>0</v>
      </c>
      <c r="U1783" s="381">
        <v>0</v>
      </c>
      <c r="V1783" s="382">
        <v>413</v>
      </c>
      <c r="W1783" s="382">
        <v>0</v>
      </c>
      <c r="X1783" s="381">
        <v>0.17208333333333334</v>
      </c>
      <c r="Y1783" s="381">
        <v>0</v>
      </c>
      <c r="Z1783" s="381">
        <v>0</v>
      </c>
      <c r="AA1783" s="381">
        <v>0</v>
      </c>
      <c r="AB1783" s="381">
        <v>0</v>
      </c>
      <c r="AC1783" s="382">
        <v>0.17208333333333334</v>
      </c>
      <c r="AD1783" s="382">
        <v>0</v>
      </c>
      <c r="AE1783" s="381" t="s">
        <v>444</v>
      </c>
    </row>
    <row r="1784" spans="1:31" ht="15" customHeight="1" x14ac:dyDescent="0.25">
      <c r="A1784" s="20" t="s">
        <v>156</v>
      </c>
      <c r="B1784" s="20" t="s">
        <v>2056</v>
      </c>
      <c r="C1784" s="20" t="s">
        <v>2057</v>
      </c>
      <c r="D1784" s="378" t="s">
        <v>2431</v>
      </c>
      <c r="E1784" s="384">
        <v>44613</v>
      </c>
      <c r="F1784" s="384">
        <v>46439</v>
      </c>
      <c r="G1784" s="378" t="s">
        <v>439</v>
      </c>
      <c r="H1784" s="20" t="s">
        <v>455</v>
      </c>
      <c r="I1784" s="378" t="s">
        <v>162</v>
      </c>
      <c r="J1784" s="20" t="s">
        <v>163</v>
      </c>
      <c r="K1784" s="378" t="s">
        <v>476</v>
      </c>
      <c r="L1784" s="378" t="s">
        <v>165</v>
      </c>
      <c r="M1784" s="380">
        <v>2400</v>
      </c>
      <c r="N1784" s="380" t="s">
        <v>443</v>
      </c>
      <c r="O1784" s="380" t="s">
        <v>443</v>
      </c>
      <c r="P1784" s="380" t="s">
        <v>443</v>
      </c>
      <c r="Q1784" s="381">
        <v>463</v>
      </c>
      <c r="R1784" s="381">
        <v>0</v>
      </c>
      <c r="S1784" s="381">
        <v>0</v>
      </c>
      <c r="T1784" s="381">
        <v>0</v>
      </c>
      <c r="U1784" s="381">
        <v>0</v>
      </c>
      <c r="V1784" s="382">
        <v>463</v>
      </c>
      <c r="W1784" s="382">
        <v>0</v>
      </c>
      <c r="X1784" s="381">
        <v>0.19291666666666665</v>
      </c>
      <c r="Y1784" s="381">
        <v>0</v>
      </c>
      <c r="Z1784" s="381">
        <v>0</v>
      </c>
      <c r="AA1784" s="381">
        <v>0</v>
      </c>
      <c r="AB1784" s="381">
        <v>0</v>
      </c>
      <c r="AC1784" s="382">
        <v>0.19291666666666665</v>
      </c>
      <c r="AD1784" s="382">
        <v>0</v>
      </c>
      <c r="AE1784" s="381" t="s">
        <v>444</v>
      </c>
    </row>
    <row r="1785" spans="1:31" ht="15" customHeight="1" x14ac:dyDescent="0.25">
      <c r="A1785" s="20" t="s">
        <v>156</v>
      </c>
      <c r="B1785" s="20" t="s">
        <v>2056</v>
      </c>
      <c r="C1785" s="20" t="s">
        <v>2057</v>
      </c>
      <c r="D1785" s="378" t="s">
        <v>2432</v>
      </c>
      <c r="E1785" s="384">
        <v>44613</v>
      </c>
      <c r="F1785" s="384">
        <v>46439</v>
      </c>
      <c r="G1785" s="378" t="s">
        <v>439</v>
      </c>
      <c r="H1785" s="20" t="s">
        <v>455</v>
      </c>
      <c r="I1785" s="378" t="s">
        <v>162</v>
      </c>
      <c r="J1785" s="20" t="s">
        <v>163</v>
      </c>
      <c r="K1785" s="378" t="s">
        <v>476</v>
      </c>
      <c r="L1785" s="378" t="s">
        <v>165</v>
      </c>
      <c r="M1785" s="380">
        <v>2400</v>
      </c>
      <c r="N1785" s="380" t="s">
        <v>443</v>
      </c>
      <c r="O1785" s="380" t="s">
        <v>443</v>
      </c>
      <c r="P1785" s="380" t="s">
        <v>443</v>
      </c>
      <c r="Q1785" s="381">
        <v>364</v>
      </c>
      <c r="R1785" s="381">
        <v>0</v>
      </c>
      <c r="S1785" s="381">
        <v>0</v>
      </c>
      <c r="T1785" s="381">
        <v>0</v>
      </c>
      <c r="U1785" s="381">
        <v>0</v>
      </c>
      <c r="V1785" s="382">
        <v>364</v>
      </c>
      <c r="W1785" s="382">
        <v>0</v>
      </c>
      <c r="X1785" s="381">
        <v>0.15166666666666667</v>
      </c>
      <c r="Y1785" s="381">
        <v>0</v>
      </c>
      <c r="Z1785" s="381">
        <v>0</v>
      </c>
      <c r="AA1785" s="381">
        <v>0</v>
      </c>
      <c r="AB1785" s="381">
        <v>0</v>
      </c>
      <c r="AC1785" s="382">
        <v>0.15166666666666667</v>
      </c>
      <c r="AD1785" s="382">
        <v>0</v>
      </c>
      <c r="AE1785" s="381" t="s">
        <v>444</v>
      </c>
    </row>
    <row r="1786" spans="1:31" ht="15" customHeight="1" x14ac:dyDescent="0.25">
      <c r="A1786" s="20" t="s">
        <v>156</v>
      </c>
      <c r="B1786" s="20" t="s">
        <v>2056</v>
      </c>
      <c r="C1786" s="20" t="s">
        <v>2057</v>
      </c>
      <c r="D1786" s="378" t="s">
        <v>2433</v>
      </c>
      <c r="E1786" s="384">
        <v>44613</v>
      </c>
      <c r="F1786" s="384">
        <v>46439</v>
      </c>
      <c r="G1786" s="378" t="s">
        <v>439</v>
      </c>
      <c r="H1786" s="20" t="s">
        <v>455</v>
      </c>
      <c r="I1786" s="378" t="s">
        <v>162</v>
      </c>
      <c r="J1786" s="20" t="s">
        <v>163</v>
      </c>
      <c r="K1786" s="378" t="s">
        <v>476</v>
      </c>
      <c r="L1786" s="378" t="s">
        <v>165</v>
      </c>
      <c r="M1786" s="380">
        <v>2400</v>
      </c>
      <c r="N1786" s="380" t="s">
        <v>443</v>
      </c>
      <c r="O1786" s="380" t="s">
        <v>443</v>
      </c>
      <c r="P1786" s="380" t="s">
        <v>443</v>
      </c>
      <c r="Q1786" s="381">
        <v>485</v>
      </c>
      <c r="R1786" s="381">
        <v>0</v>
      </c>
      <c r="S1786" s="381">
        <v>0</v>
      </c>
      <c r="T1786" s="381">
        <v>0</v>
      </c>
      <c r="U1786" s="381">
        <v>0</v>
      </c>
      <c r="V1786" s="382">
        <v>485</v>
      </c>
      <c r="W1786" s="382">
        <v>0</v>
      </c>
      <c r="X1786" s="381">
        <v>0.20208333333333334</v>
      </c>
      <c r="Y1786" s="381">
        <v>0</v>
      </c>
      <c r="Z1786" s="381">
        <v>0</v>
      </c>
      <c r="AA1786" s="381">
        <v>0</v>
      </c>
      <c r="AB1786" s="381">
        <v>0</v>
      </c>
      <c r="AC1786" s="382">
        <v>0.20208333333333334</v>
      </c>
      <c r="AD1786" s="382">
        <v>0</v>
      </c>
      <c r="AE1786" s="381" t="s">
        <v>444</v>
      </c>
    </row>
    <row r="1787" spans="1:31" ht="15" customHeight="1" x14ac:dyDescent="0.25">
      <c r="A1787" s="20" t="s">
        <v>156</v>
      </c>
      <c r="B1787" s="20" t="s">
        <v>2056</v>
      </c>
      <c r="C1787" s="20" t="s">
        <v>2057</v>
      </c>
      <c r="D1787" s="378" t="s">
        <v>2434</v>
      </c>
      <c r="E1787" s="384">
        <v>44613</v>
      </c>
      <c r="F1787" s="384">
        <v>46439</v>
      </c>
      <c r="G1787" s="378" t="s">
        <v>439</v>
      </c>
      <c r="H1787" s="20" t="s">
        <v>455</v>
      </c>
      <c r="I1787" s="378" t="s">
        <v>162</v>
      </c>
      <c r="J1787" s="20" t="s">
        <v>163</v>
      </c>
      <c r="K1787" s="378" t="s">
        <v>476</v>
      </c>
      <c r="L1787" s="378" t="s">
        <v>165</v>
      </c>
      <c r="M1787" s="380">
        <v>2400</v>
      </c>
      <c r="N1787" s="380" t="s">
        <v>443</v>
      </c>
      <c r="O1787" s="380" t="s">
        <v>443</v>
      </c>
      <c r="P1787" s="380" t="s">
        <v>443</v>
      </c>
      <c r="Q1787" s="381">
        <v>414</v>
      </c>
      <c r="R1787" s="381">
        <v>0</v>
      </c>
      <c r="S1787" s="381">
        <v>0</v>
      </c>
      <c r="T1787" s="381">
        <v>0</v>
      </c>
      <c r="U1787" s="381">
        <v>0</v>
      </c>
      <c r="V1787" s="382">
        <v>414</v>
      </c>
      <c r="W1787" s="382">
        <v>0</v>
      </c>
      <c r="X1787" s="381">
        <v>0.17249999999999999</v>
      </c>
      <c r="Y1787" s="381">
        <v>0</v>
      </c>
      <c r="Z1787" s="381">
        <v>0</v>
      </c>
      <c r="AA1787" s="381">
        <v>0</v>
      </c>
      <c r="AB1787" s="381">
        <v>0</v>
      </c>
      <c r="AC1787" s="382">
        <v>0.17249999999999999</v>
      </c>
      <c r="AD1787" s="382">
        <v>0</v>
      </c>
      <c r="AE1787" s="381" t="s">
        <v>444</v>
      </c>
    </row>
    <row r="1788" spans="1:31" ht="15" customHeight="1" x14ac:dyDescent="0.25">
      <c r="A1788" s="20" t="s">
        <v>156</v>
      </c>
      <c r="B1788" s="20" t="s">
        <v>2056</v>
      </c>
      <c r="C1788" s="20" t="s">
        <v>2057</v>
      </c>
      <c r="D1788" s="378" t="s">
        <v>2435</v>
      </c>
      <c r="E1788" s="384">
        <v>44613</v>
      </c>
      <c r="F1788" s="384">
        <v>46439</v>
      </c>
      <c r="G1788" s="378" t="s">
        <v>439</v>
      </c>
      <c r="H1788" s="20" t="s">
        <v>455</v>
      </c>
      <c r="I1788" s="378" t="s">
        <v>162</v>
      </c>
      <c r="J1788" s="20" t="s">
        <v>163</v>
      </c>
      <c r="K1788" s="378" t="s">
        <v>476</v>
      </c>
      <c r="L1788" s="378" t="s">
        <v>165</v>
      </c>
      <c r="M1788" s="380">
        <v>2400</v>
      </c>
      <c r="N1788" s="380" t="s">
        <v>443</v>
      </c>
      <c r="O1788" s="380" t="s">
        <v>443</v>
      </c>
      <c r="P1788" s="380" t="s">
        <v>443</v>
      </c>
      <c r="Q1788" s="381">
        <v>444</v>
      </c>
      <c r="R1788" s="381">
        <v>0</v>
      </c>
      <c r="S1788" s="381">
        <v>0</v>
      </c>
      <c r="T1788" s="381">
        <v>0</v>
      </c>
      <c r="U1788" s="381">
        <v>0</v>
      </c>
      <c r="V1788" s="382">
        <v>444</v>
      </c>
      <c r="W1788" s="382">
        <v>0</v>
      </c>
      <c r="X1788" s="381">
        <v>0.185</v>
      </c>
      <c r="Y1788" s="381">
        <v>0</v>
      </c>
      <c r="Z1788" s="381">
        <v>0</v>
      </c>
      <c r="AA1788" s="381">
        <v>0</v>
      </c>
      <c r="AB1788" s="381">
        <v>0</v>
      </c>
      <c r="AC1788" s="382">
        <v>0.185</v>
      </c>
      <c r="AD1788" s="382">
        <v>0</v>
      </c>
      <c r="AE1788" s="381" t="s">
        <v>444</v>
      </c>
    </row>
    <row r="1789" spans="1:31" ht="15" customHeight="1" x14ac:dyDescent="0.25">
      <c r="A1789" s="20" t="s">
        <v>156</v>
      </c>
      <c r="B1789" s="20" t="s">
        <v>2056</v>
      </c>
      <c r="C1789" s="20" t="s">
        <v>2057</v>
      </c>
      <c r="D1789" s="378" t="s">
        <v>2442</v>
      </c>
      <c r="E1789" s="384">
        <v>44613</v>
      </c>
      <c r="F1789" s="384">
        <v>46439</v>
      </c>
      <c r="G1789" s="378" t="s">
        <v>439</v>
      </c>
      <c r="H1789" s="20" t="s">
        <v>455</v>
      </c>
      <c r="I1789" s="378" t="s">
        <v>162</v>
      </c>
      <c r="J1789" s="20" t="s">
        <v>163</v>
      </c>
      <c r="K1789" s="378" t="s">
        <v>476</v>
      </c>
      <c r="L1789" s="378" t="s">
        <v>165</v>
      </c>
      <c r="M1789" s="380">
        <v>2400</v>
      </c>
      <c r="N1789" s="380" t="s">
        <v>443</v>
      </c>
      <c r="O1789" s="380" t="s">
        <v>443</v>
      </c>
      <c r="P1789" s="380" t="s">
        <v>443</v>
      </c>
      <c r="Q1789" s="381">
        <v>311</v>
      </c>
      <c r="R1789" s="381">
        <v>0</v>
      </c>
      <c r="S1789" s="381">
        <v>0</v>
      </c>
      <c r="T1789" s="381">
        <v>0</v>
      </c>
      <c r="U1789" s="381">
        <v>0</v>
      </c>
      <c r="V1789" s="382">
        <v>311</v>
      </c>
      <c r="W1789" s="382">
        <v>0</v>
      </c>
      <c r="X1789" s="381">
        <v>0.12958333333333333</v>
      </c>
      <c r="Y1789" s="381">
        <v>0</v>
      </c>
      <c r="Z1789" s="381">
        <v>0</v>
      </c>
      <c r="AA1789" s="381">
        <v>0</v>
      </c>
      <c r="AB1789" s="381">
        <v>0</v>
      </c>
      <c r="AC1789" s="382">
        <v>0.12958333333333333</v>
      </c>
      <c r="AD1789" s="382">
        <v>0</v>
      </c>
      <c r="AE1789" s="381" t="s">
        <v>444</v>
      </c>
    </row>
    <row r="1790" spans="1:31" ht="15" customHeight="1" x14ac:dyDescent="0.25">
      <c r="A1790" s="20" t="s">
        <v>156</v>
      </c>
      <c r="B1790" s="20" t="s">
        <v>2056</v>
      </c>
      <c r="C1790" s="20" t="s">
        <v>2057</v>
      </c>
      <c r="D1790" s="378" t="s">
        <v>2438</v>
      </c>
      <c r="E1790" s="384">
        <v>44613</v>
      </c>
      <c r="F1790" s="384">
        <v>46439</v>
      </c>
      <c r="G1790" s="378" t="s">
        <v>439</v>
      </c>
      <c r="H1790" s="20" t="s">
        <v>455</v>
      </c>
      <c r="I1790" s="378" t="s">
        <v>162</v>
      </c>
      <c r="J1790" s="20" t="s">
        <v>163</v>
      </c>
      <c r="K1790" s="378" t="s">
        <v>476</v>
      </c>
      <c r="L1790" s="378" t="s">
        <v>165</v>
      </c>
      <c r="M1790" s="380">
        <v>2400</v>
      </c>
      <c r="N1790" s="380" t="s">
        <v>443</v>
      </c>
      <c r="O1790" s="380" t="s">
        <v>443</v>
      </c>
      <c r="P1790" s="380" t="s">
        <v>443</v>
      </c>
      <c r="Q1790" s="381">
        <v>311</v>
      </c>
      <c r="R1790" s="381">
        <v>0</v>
      </c>
      <c r="S1790" s="381">
        <v>0</v>
      </c>
      <c r="T1790" s="381">
        <v>0</v>
      </c>
      <c r="U1790" s="381">
        <v>0</v>
      </c>
      <c r="V1790" s="382">
        <v>311</v>
      </c>
      <c r="W1790" s="382">
        <v>0</v>
      </c>
      <c r="X1790" s="381">
        <v>0.12958333333333333</v>
      </c>
      <c r="Y1790" s="381">
        <v>0</v>
      </c>
      <c r="Z1790" s="381">
        <v>0</v>
      </c>
      <c r="AA1790" s="381">
        <v>0</v>
      </c>
      <c r="AB1790" s="381">
        <v>0</v>
      </c>
      <c r="AC1790" s="382">
        <v>0.12958333333333333</v>
      </c>
      <c r="AD1790" s="382">
        <v>0</v>
      </c>
      <c r="AE1790" s="381" t="s">
        <v>444</v>
      </c>
    </row>
    <row r="1791" spans="1:31" ht="15" customHeight="1" x14ac:dyDescent="0.25">
      <c r="A1791" s="20" t="s">
        <v>156</v>
      </c>
      <c r="B1791" s="20" t="s">
        <v>2056</v>
      </c>
      <c r="C1791" s="20" t="s">
        <v>2057</v>
      </c>
      <c r="D1791" s="378" t="s">
        <v>2436</v>
      </c>
      <c r="E1791" s="384">
        <v>44613</v>
      </c>
      <c r="F1791" s="384">
        <v>46439</v>
      </c>
      <c r="G1791" s="378" t="s">
        <v>439</v>
      </c>
      <c r="H1791" s="20" t="s">
        <v>455</v>
      </c>
      <c r="I1791" s="378" t="s">
        <v>162</v>
      </c>
      <c r="J1791" s="20" t="s">
        <v>163</v>
      </c>
      <c r="K1791" s="378" t="s">
        <v>476</v>
      </c>
      <c r="L1791" s="378" t="s">
        <v>165</v>
      </c>
      <c r="M1791" s="380">
        <v>2400</v>
      </c>
      <c r="N1791" s="380" t="s">
        <v>443</v>
      </c>
      <c r="O1791" s="380" t="s">
        <v>443</v>
      </c>
      <c r="P1791" s="380" t="s">
        <v>443</v>
      </c>
      <c r="Q1791" s="381">
        <v>309</v>
      </c>
      <c r="R1791" s="381">
        <v>0</v>
      </c>
      <c r="S1791" s="381">
        <v>0</v>
      </c>
      <c r="T1791" s="381">
        <v>0</v>
      </c>
      <c r="U1791" s="381">
        <v>0</v>
      </c>
      <c r="V1791" s="382">
        <v>309</v>
      </c>
      <c r="W1791" s="382">
        <v>0</v>
      </c>
      <c r="X1791" s="381">
        <v>0.12875</v>
      </c>
      <c r="Y1791" s="381">
        <v>0</v>
      </c>
      <c r="Z1791" s="381">
        <v>0</v>
      </c>
      <c r="AA1791" s="381">
        <v>0</v>
      </c>
      <c r="AB1791" s="381">
        <v>0</v>
      </c>
      <c r="AC1791" s="382">
        <v>0.12875</v>
      </c>
      <c r="AD1791" s="382">
        <v>0</v>
      </c>
      <c r="AE1791" s="381" t="s">
        <v>444</v>
      </c>
    </row>
    <row r="1792" spans="1:31" ht="15" customHeight="1" x14ac:dyDescent="0.25">
      <c r="A1792" s="20" t="s">
        <v>156</v>
      </c>
      <c r="B1792" s="20" t="s">
        <v>2056</v>
      </c>
      <c r="C1792" s="20" t="s">
        <v>2057</v>
      </c>
      <c r="D1792" s="378" t="s">
        <v>2439</v>
      </c>
      <c r="E1792" s="384">
        <v>44613</v>
      </c>
      <c r="F1792" s="384">
        <v>46439</v>
      </c>
      <c r="G1792" s="378" t="s">
        <v>439</v>
      </c>
      <c r="H1792" s="20" t="s">
        <v>455</v>
      </c>
      <c r="I1792" s="378" t="s">
        <v>162</v>
      </c>
      <c r="J1792" s="20" t="s">
        <v>163</v>
      </c>
      <c r="K1792" s="378" t="s">
        <v>476</v>
      </c>
      <c r="L1792" s="378" t="s">
        <v>165</v>
      </c>
      <c r="M1792" s="380">
        <v>2400</v>
      </c>
      <c r="N1792" s="380" t="s">
        <v>443</v>
      </c>
      <c r="O1792" s="380" t="s">
        <v>443</v>
      </c>
      <c r="P1792" s="380" t="s">
        <v>443</v>
      </c>
      <c r="Q1792" s="381">
        <v>336</v>
      </c>
      <c r="R1792" s="381">
        <v>0</v>
      </c>
      <c r="S1792" s="381">
        <v>0</v>
      </c>
      <c r="T1792" s="381">
        <v>0</v>
      </c>
      <c r="U1792" s="381">
        <v>0</v>
      </c>
      <c r="V1792" s="382">
        <v>336</v>
      </c>
      <c r="W1792" s="382">
        <v>0</v>
      </c>
      <c r="X1792" s="381">
        <v>0.14000000000000001</v>
      </c>
      <c r="Y1792" s="381">
        <v>0</v>
      </c>
      <c r="Z1792" s="381">
        <v>0</v>
      </c>
      <c r="AA1792" s="381">
        <v>0</v>
      </c>
      <c r="AB1792" s="381">
        <v>0</v>
      </c>
      <c r="AC1792" s="382">
        <v>0.14000000000000001</v>
      </c>
      <c r="AD1792" s="382">
        <v>0</v>
      </c>
      <c r="AE1792" s="381" t="s">
        <v>444</v>
      </c>
    </row>
    <row r="1793" spans="1:31" ht="15" customHeight="1" x14ac:dyDescent="0.25">
      <c r="A1793" s="20" t="s">
        <v>156</v>
      </c>
      <c r="B1793" s="20" t="s">
        <v>2056</v>
      </c>
      <c r="C1793" s="20" t="s">
        <v>2057</v>
      </c>
      <c r="D1793" s="378" t="s">
        <v>2440</v>
      </c>
      <c r="E1793" s="384">
        <v>44613</v>
      </c>
      <c r="F1793" s="384">
        <v>46439</v>
      </c>
      <c r="G1793" s="378" t="s">
        <v>439</v>
      </c>
      <c r="H1793" s="20" t="s">
        <v>455</v>
      </c>
      <c r="I1793" s="378" t="s">
        <v>162</v>
      </c>
      <c r="J1793" s="20" t="s">
        <v>163</v>
      </c>
      <c r="K1793" s="378" t="s">
        <v>476</v>
      </c>
      <c r="L1793" s="378" t="s">
        <v>165</v>
      </c>
      <c r="M1793" s="380">
        <v>2400</v>
      </c>
      <c r="N1793" s="380" t="s">
        <v>443</v>
      </c>
      <c r="O1793" s="380" t="s">
        <v>443</v>
      </c>
      <c r="P1793" s="380" t="s">
        <v>443</v>
      </c>
      <c r="Q1793" s="381">
        <v>457</v>
      </c>
      <c r="R1793" s="381">
        <v>0</v>
      </c>
      <c r="S1793" s="381">
        <v>0</v>
      </c>
      <c r="T1793" s="381">
        <v>0</v>
      </c>
      <c r="U1793" s="381">
        <v>0</v>
      </c>
      <c r="V1793" s="382">
        <v>457</v>
      </c>
      <c r="W1793" s="382">
        <v>0</v>
      </c>
      <c r="X1793" s="381">
        <v>0.19041666666666668</v>
      </c>
      <c r="Y1793" s="381">
        <v>0</v>
      </c>
      <c r="Z1793" s="381">
        <v>0</v>
      </c>
      <c r="AA1793" s="381">
        <v>0</v>
      </c>
      <c r="AB1793" s="381">
        <v>0</v>
      </c>
      <c r="AC1793" s="382">
        <v>0.19041666666666668</v>
      </c>
      <c r="AD1793" s="382">
        <v>0</v>
      </c>
      <c r="AE1793" s="381" t="s">
        <v>444</v>
      </c>
    </row>
    <row r="1794" spans="1:31" ht="15" customHeight="1" x14ac:dyDescent="0.25">
      <c r="A1794" s="20" t="s">
        <v>156</v>
      </c>
      <c r="B1794" s="20" t="s">
        <v>2056</v>
      </c>
      <c r="C1794" s="20" t="s">
        <v>2057</v>
      </c>
      <c r="D1794" s="378" t="s">
        <v>2441</v>
      </c>
      <c r="E1794" s="384">
        <v>44613</v>
      </c>
      <c r="F1794" s="384">
        <v>46439</v>
      </c>
      <c r="G1794" s="378" t="s">
        <v>439</v>
      </c>
      <c r="H1794" s="20" t="s">
        <v>455</v>
      </c>
      <c r="I1794" s="378" t="s">
        <v>162</v>
      </c>
      <c r="J1794" s="20" t="s">
        <v>163</v>
      </c>
      <c r="K1794" s="378" t="s">
        <v>476</v>
      </c>
      <c r="L1794" s="378" t="s">
        <v>165</v>
      </c>
      <c r="M1794" s="380">
        <v>2400</v>
      </c>
      <c r="N1794" s="380" t="s">
        <v>443</v>
      </c>
      <c r="O1794" s="380" t="s">
        <v>443</v>
      </c>
      <c r="P1794" s="380" t="s">
        <v>443</v>
      </c>
      <c r="Q1794" s="381">
        <v>398</v>
      </c>
      <c r="R1794" s="381">
        <v>0</v>
      </c>
      <c r="S1794" s="381">
        <v>0</v>
      </c>
      <c r="T1794" s="381">
        <v>0</v>
      </c>
      <c r="U1794" s="381">
        <v>0</v>
      </c>
      <c r="V1794" s="382">
        <v>398</v>
      </c>
      <c r="W1794" s="382">
        <v>0</v>
      </c>
      <c r="X1794" s="381">
        <v>0.16583333333333333</v>
      </c>
      <c r="Y1794" s="381">
        <v>0</v>
      </c>
      <c r="Z1794" s="381">
        <v>0</v>
      </c>
      <c r="AA1794" s="381">
        <v>0</v>
      </c>
      <c r="AB1794" s="381">
        <v>0</v>
      </c>
      <c r="AC1794" s="382">
        <v>0.16583333333333333</v>
      </c>
      <c r="AD1794" s="382">
        <v>0</v>
      </c>
      <c r="AE1794" s="381" t="s">
        <v>444</v>
      </c>
    </row>
    <row r="1795" spans="1:31" ht="15" customHeight="1" x14ac:dyDescent="0.25">
      <c r="A1795" s="20" t="s">
        <v>156</v>
      </c>
      <c r="B1795" s="20" t="s">
        <v>2056</v>
      </c>
      <c r="C1795" s="20" t="s">
        <v>2057</v>
      </c>
      <c r="D1795" s="378" t="s">
        <v>2428</v>
      </c>
      <c r="E1795" s="384">
        <v>44613</v>
      </c>
      <c r="F1795" s="384">
        <v>46439</v>
      </c>
      <c r="G1795" s="378" t="s">
        <v>439</v>
      </c>
      <c r="H1795" s="20" t="s">
        <v>455</v>
      </c>
      <c r="I1795" s="378" t="s">
        <v>162</v>
      </c>
      <c r="J1795" s="20" t="s">
        <v>163</v>
      </c>
      <c r="K1795" s="378" t="s">
        <v>476</v>
      </c>
      <c r="L1795" s="378" t="s">
        <v>165</v>
      </c>
      <c r="M1795" s="380">
        <v>2400</v>
      </c>
      <c r="N1795" s="380" t="s">
        <v>443</v>
      </c>
      <c r="O1795" s="380" t="s">
        <v>443</v>
      </c>
      <c r="P1795" s="380" t="s">
        <v>443</v>
      </c>
      <c r="Q1795" s="381">
        <v>320</v>
      </c>
      <c r="R1795" s="381">
        <v>0</v>
      </c>
      <c r="S1795" s="381">
        <v>0</v>
      </c>
      <c r="T1795" s="381">
        <v>0</v>
      </c>
      <c r="U1795" s="381">
        <v>0</v>
      </c>
      <c r="V1795" s="382">
        <v>320</v>
      </c>
      <c r="W1795" s="382">
        <v>0</v>
      </c>
      <c r="X1795" s="381">
        <v>0.13333333333333333</v>
      </c>
      <c r="Y1795" s="381">
        <v>0</v>
      </c>
      <c r="Z1795" s="381">
        <v>0</v>
      </c>
      <c r="AA1795" s="381">
        <v>0</v>
      </c>
      <c r="AB1795" s="381">
        <v>0</v>
      </c>
      <c r="AC1795" s="382">
        <v>0.13333333333333333</v>
      </c>
      <c r="AD1795" s="382">
        <v>0</v>
      </c>
      <c r="AE1795" s="381" t="s">
        <v>444</v>
      </c>
    </row>
    <row r="1796" spans="1:31" ht="15" customHeight="1" x14ac:dyDescent="0.25">
      <c r="A1796" s="20" t="s">
        <v>156</v>
      </c>
      <c r="B1796" s="20" t="s">
        <v>2056</v>
      </c>
      <c r="C1796" s="20" t="s">
        <v>2057</v>
      </c>
      <c r="D1796" s="378" t="s">
        <v>2429</v>
      </c>
      <c r="E1796" s="384">
        <v>44613</v>
      </c>
      <c r="F1796" s="384">
        <v>46439</v>
      </c>
      <c r="G1796" s="378" t="s">
        <v>439</v>
      </c>
      <c r="H1796" s="20" t="s">
        <v>455</v>
      </c>
      <c r="I1796" s="378" t="s">
        <v>162</v>
      </c>
      <c r="J1796" s="20" t="s">
        <v>163</v>
      </c>
      <c r="K1796" s="378" t="s">
        <v>476</v>
      </c>
      <c r="L1796" s="378" t="s">
        <v>165</v>
      </c>
      <c r="M1796" s="380">
        <v>2400</v>
      </c>
      <c r="N1796" s="380" t="s">
        <v>443</v>
      </c>
      <c r="O1796" s="380" t="s">
        <v>443</v>
      </c>
      <c r="P1796" s="380" t="s">
        <v>443</v>
      </c>
      <c r="Q1796" s="381">
        <v>336</v>
      </c>
      <c r="R1796" s="381">
        <v>0</v>
      </c>
      <c r="S1796" s="381">
        <v>0</v>
      </c>
      <c r="T1796" s="381">
        <v>0</v>
      </c>
      <c r="U1796" s="381">
        <v>0</v>
      </c>
      <c r="V1796" s="382">
        <v>336</v>
      </c>
      <c r="W1796" s="382">
        <v>0</v>
      </c>
      <c r="X1796" s="381">
        <v>0.14000000000000001</v>
      </c>
      <c r="Y1796" s="381">
        <v>0</v>
      </c>
      <c r="Z1796" s="381">
        <v>0</v>
      </c>
      <c r="AA1796" s="381">
        <v>0</v>
      </c>
      <c r="AB1796" s="381">
        <v>0</v>
      </c>
      <c r="AC1796" s="382">
        <v>0.14000000000000001</v>
      </c>
      <c r="AD1796" s="382">
        <v>0</v>
      </c>
      <c r="AE1796" s="381" t="s">
        <v>444</v>
      </c>
    </row>
    <row r="1797" spans="1:31" ht="15" customHeight="1" x14ac:dyDescent="0.25">
      <c r="A1797" s="20" t="s">
        <v>156</v>
      </c>
      <c r="B1797" s="20" t="s">
        <v>2056</v>
      </c>
      <c r="C1797" s="20" t="s">
        <v>2057</v>
      </c>
      <c r="D1797" s="378" t="s">
        <v>2430</v>
      </c>
      <c r="E1797" s="384">
        <v>44613</v>
      </c>
      <c r="F1797" s="384">
        <v>46439</v>
      </c>
      <c r="G1797" s="378" t="s">
        <v>439</v>
      </c>
      <c r="H1797" s="20" t="s">
        <v>455</v>
      </c>
      <c r="I1797" s="378" t="s">
        <v>162</v>
      </c>
      <c r="J1797" s="20" t="s">
        <v>163</v>
      </c>
      <c r="K1797" s="378" t="s">
        <v>476</v>
      </c>
      <c r="L1797" s="378" t="s">
        <v>165</v>
      </c>
      <c r="M1797" s="380">
        <v>2400</v>
      </c>
      <c r="N1797" s="380" t="s">
        <v>443</v>
      </c>
      <c r="O1797" s="380" t="s">
        <v>443</v>
      </c>
      <c r="P1797" s="380" t="s">
        <v>443</v>
      </c>
      <c r="Q1797" s="381">
        <v>413</v>
      </c>
      <c r="R1797" s="381">
        <v>0</v>
      </c>
      <c r="S1797" s="381">
        <v>0</v>
      </c>
      <c r="T1797" s="381">
        <v>0</v>
      </c>
      <c r="U1797" s="381">
        <v>0</v>
      </c>
      <c r="V1797" s="382">
        <v>413</v>
      </c>
      <c r="W1797" s="382">
        <v>0</v>
      </c>
      <c r="X1797" s="381">
        <v>0.17208333333333334</v>
      </c>
      <c r="Y1797" s="381">
        <v>0</v>
      </c>
      <c r="Z1797" s="381">
        <v>0</v>
      </c>
      <c r="AA1797" s="381">
        <v>0</v>
      </c>
      <c r="AB1797" s="381">
        <v>0</v>
      </c>
      <c r="AC1797" s="382">
        <v>0.17208333333333334</v>
      </c>
      <c r="AD1797" s="382">
        <v>0</v>
      </c>
      <c r="AE1797" s="381" t="s">
        <v>444</v>
      </c>
    </row>
    <row r="1798" spans="1:31" ht="15" customHeight="1" x14ac:dyDescent="0.25">
      <c r="A1798" s="20" t="s">
        <v>156</v>
      </c>
      <c r="B1798" s="20" t="s">
        <v>2056</v>
      </c>
      <c r="C1798" s="20" t="s">
        <v>2057</v>
      </c>
      <c r="D1798" s="378" t="s">
        <v>2431</v>
      </c>
      <c r="E1798" s="384">
        <v>44613</v>
      </c>
      <c r="F1798" s="384">
        <v>46439</v>
      </c>
      <c r="G1798" s="378" t="s">
        <v>439</v>
      </c>
      <c r="H1798" s="20" t="s">
        <v>455</v>
      </c>
      <c r="I1798" s="378" t="s">
        <v>162</v>
      </c>
      <c r="J1798" s="20" t="s">
        <v>163</v>
      </c>
      <c r="K1798" s="378" t="s">
        <v>476</v>
      </c>
      <c r="L1798" s="378" t="s">
        <v>165</v>
      </c>
      <c r="M1798" s="380">
        <v>2400</v>
      </c>
      <c r="N1798" s="380" t="s">
        <v>443</v>
      </c>
      <c r="O1798" s="380" t="s">
        <v>443</v>
      </c>
      <c r="P1798" s="380" t="s">
        <v>443</v>
      </c>
      <c r="Q1798" s="381">
        <v>463</v>
      </c>
      <c r="R1798" s="381">
        <v>0</v>
      </c>
      <c r="S1798" s="381">
        <v>0</v>
      </c>
      <c r="T1798" s="381">
        <v>0</v>
      </c>
      <c r="U1798" s="381">
        <v>0</v>
      </c>
      <c r="V1798" s="382">
        <v>463</v>
      </c>
      <c r="W1798" s="382">
        <v>0</v>
      </c>
      <c r="X1798" s="381">
        <v>0.19291666666666665</v>
      </c>
      <c r="Y1798" s="381">
        <v>0</v>
      </c>
      <c r="Z1798" s="381">
        <v>0</v>
      </c>
      <c r="AA1798" s="381">
        <v>0</v>
      </c>
      <c r="AB1798" s="381">
        <v>0</v>
      </c>
      <c r="AC1798" s="382">
        <v>0.19291666666666665</v>
      </c>
      <c r="AD1798" s="382">
        <v>0</v>
      </c>
      <c r="AE1798" s="381" t="s">
        <v>444</v>
      </c>
    </row>
    <row r="1799" spans="1:31" ht="15" customHeight="1" x14ac:dyDescent="0.25">
      <c r="A1799" s="20" t="s">
        <v>156</v>
      </c>
      <c r="B1799" s="20" t="s">
        <v>2056</v>
      </c>
      <c r="C1799" s="20" t="s">
        <v>2057</v>
      </c>
      <c r="D1799" s="378" t="s">
        <v>2432</v>
      </c>
      <c r="E1799" s="384">
        <v>44613</v>
      </c>
      <c r="F1799" s="384">
        <v>46439</v>
      </c>
      <c r="G1799" s="378" t="s">
        <v>439</v>
      </c>
      <c r="H1799" s="20" t="s">
        <v>455</v>
      </c>
      <c r="I1799" s="378" t="s">
        <v>162</v>
      </c>
      <c r="J1799" s="20" t="s">
        <v>163</v>
      </c>
      <c r="K1799" s="378" t="s">
        <v>476</v>
      </c>
      <c r="L1799" s="378" t="s">
        <v>165</v>
      </c>
      <c r="M1799" s="380">
        <v>2400</v>
      </c>
      <c r="N1799" s="380" t="s">
        <v>443</v>
      </c>
      <c r="O1799" s="380" t="s">
        <v>443</v>
      </c>
      <c r="P1799" s="380" t="s">
        <v>443</v>
      </c>
      <c r="Q1799" s="381">
        <v>364</v>
      </c>
      <c r="R1799" s="381">
        <v>0</v>
      </c>
      <c r="S1799" s="381">
        <v>0</v>
      </c>
      <c r="T1799" s="381">
        <v>0</v>
      </c>
      <c r="U1799" s="381">
        <v>0</v>
      </c>
      <c r="V1799" s="382">
        <v>364</v>
      </c>
      <c r="W1799" s="382">
        <v>0</v>
      </c>
      <c r="X1799" s="381">
        <v>0.15166666666666667</v>
      </c>
      <c r="Y1799" s="381">
        <v>0</v>
      </c>
      <c r="Z1799" s="381">
        <v>0</v>
      </c>
      <c r="AA1799" s="381">
        <v>0</v>
      </c>
      <c r="AB1799" s="381">
        <v>0</v>
      </c>
      <c r="AC1799" s="382">
        <v>0.15166666666666667</v>
      </c>
      <c r="AD1799" s="382">
        <v>0</v>
      </c>
      <c r="AE1799" s="381" t="s">
        <v>444</v>
      </c>
    </row>
    <row r="1800" spans="1:31" ht="15" customHeight="1" x14ac:dyDescent="0.25">
      <c r="A1800" s="20" t="s">
        <v>156</v>
      </c>
      <c r="B1800" s="20" t="s">
        <v>2056</v>
      </c>
      <c r="C1800" s="20" t="s">
        <v>2057</v>
      </c>
      <c r="D1800" s="378" t="s">
        <v>2433</v>
      </c>
      <c r="E1800" s="384">
        <v>44613</v>
      </c>
      <c r="F1800" s="384">
        <v>46439</v>
      </c>
      <c r="G1800" s="378" t="s">
        <v>439</v>
      </c>
      <c r="H1800" s="20" t="s">
        <v>455</v>
      </c>
      <c r="I1800" s="378" t="s">
        <v>162</v>
      </c>
      <c r="J1800" s="20" t="s">
        <v>163</v>
      </c>
      <c r="K1800" s="378" t="s">
        <v>476</v>
      </c>
      <c r="L1800" s="378" t="s">
        <v>165</v>
      </c>
      <c r="M1800" s="380">
        <v>2400</v>
      </c>
      <c r="N1800" s="380" t="s">
        <v>443</v>
      </c>
      <c r="O1800" s="380" t="s">
        <v>443</v>
      </c>
      <c r="P1800" s="380" t="s">
        <v>443</v>
      </c>
      <c r="Q1800" s="381">
        <v>485</v>
      </c>
      <c r="R1800" s="381">
        <v>0</v>
      </c>
      <c r="S1800" s="381">
        <v>0</v>
      </c>
      <c r="T1800" s="381">
        <v>0</v>
      </c>
      <c r="U1800" s="381">
        <v>0</v>
      </c>
      <c r="V1800" s="382">
        <v>485</v>
      </c>
      <c r="W1800" s="382">
        <v>0</v>
      </c>
      <c r="X1800" s="381">
        <v>0.20208333333333334</v>
      </c>
      <c r="Y1800" s="381">
        <v>0</v>
      </c>
      <c r="Z1800" s="381">
        <v>0</v>
      </c>
      <c r="AA1800" s="381">
        <v>0</v>
      </c>
      <c r="AB1800" s="381">
        <v>0</v>
      </c>
      <c r="AC1800" s="382">
        <v>0.20208333333333334</v>
      </c>
      <c r="AD1800" s="382">
        <v>0</v>
      </c>
      <c r="AE1800" s="381" t="s">
        <v>444</v>
      </c>
    </row>
    <row r="1801" spans="1:31" ht="15" customHeight="1" x14ac:dyDescent="0.25">
      <c r="A1801" s="20" t="s">
        <v>156</v>
      </c>
      <c r="B1801" s="20" t="s">
        <v>2056</v>
      </c>
      <c r="C1801" s="20" t="s">
        <v>2057</v>
      </c>
      <c r="D1801" s="378" t="s">
        <v>2434</v>
      </c>
      <c r="E1801" s="384">
        <v>44613</v>
      </c>
      <c r="F1801" s="384">
        <v>46439</v>
      </c>
      <c r="G1801" s="378" t="s">
        <v>439</v>
      </c>
      <c r="H1801" s="20" t="s">
        <v>455</v>
      </c>
      <c r="I1801" s="378" t="s">
        <v>162</v>
      </c>
      <c r="J1801" s="20" t="s">
        <v>163</v>
      </c>
      <c r="K1801" s="378" t="s">
        <v>476</v>
      </c>
      <c r="L1801" s="378" t="s">
        <v>165</v>
      </c>
      <c r="M1801" s="380">
        <v>2400</v>
      </c>
      <c r="N1801" s="380" t="s">
        <v>443</v>
      </c>
      <c r="O1801" s="380" t="s">
        <v>443</v>
      </c>
      <c r="P1801" s="380" t="s">
        <v>443</v>
      </c>
      <c r="Q1801" s="381">
        <v>414</v>
      </c>
      <c r="R1801" s="381">
        <v>0</v>
      </c>
      <c r="S1801" s="381">
        <v>0</v>
      </c>
      <c r="T1801" s="381">
        <v>0</v>
      </c>
      <c r="U1801" s="381">
        <v>0</v>
      </c>
      <c r="V1801" s="382">
        <v>414</v>
      </c>
      <c r="W1801" s="382">
        <v>0</v>
      </c>
      <c r="X1801" s="381">
        <v>0.17249999999999999</v>
      </c>
      <c r="Y1801" s="381">
        <v>0</v>
      </c>
      <c r="Z1801" s="381">
        <v>0</v>
      </c>
      <c r="AA1801" s="381">
        <v>0</v>
      </c>
      <c r="AB1801" s="381">
        <v>0</v>
      </c>
      <c r="AC1801" s="382">
        <v>0.17249999999999999</v>
      </c>
      <c r="AD1801" s="382">
        <v>0</v>
      </c>
      <c r="AE1801" s="381" t="s">
        <v>444</v>
      </c>
    </row>
    <row r="1802" spans="1:31" ht="15" customHeight="1" x14ac:dyDescent="0.25">
      <c r="A1802" s="20" t="s">
        <v>156</v>
      </c>
      <c r="B1802" s="20" t="s">
        <v>2056</v>
      </c>
      <c r="C1802" s="20" t="s">
        <v>2057</v>
      </c>
      <c r="D1802" s="378" t="s">
        <v>2435</v>
      </c>
      <c r="E1802" s="384">
        <v>44613</v>
      </c>
      <c r="F1802" s="384">
        <v>46439</v>
      </c>
      <c r="G1802" s="378" t="s">
        <v>439</v>
      </c>
      <c r="H1802" s="20" t="s">
        <v>455</v>
      </c>
      <c r="I1802" s="378" t="s">
        <v>162</v>
      </c>
      <c r="J1802" s="20" t="s">
        <v>163</v>
      </c>
      <c r="K1802" s="378" t="s">
        <v>476</v>
      </c>
      <c r="L1802" s="378" t="s">
        <v>165</v>
      </c>
      <c r="M1802" s="380">
        <v>2400</v>
      </c>
      <c r="N1802" s="380" t="s">
        <v>443</v>
      </c>
      <c r="O1802" s="380" t="s">
        <v>443</v>
      </c>
      <c r="P1802" s="380" t="s">
        <v>443</v>
      </c>
      <c r="Q1802" s="381">
        <v>444</v>
      </c>
      <c r="R1802" s="381">
        <v>0</v>
      </c>
      <c r="S1802" s="381">
        <v>0</v>
      </c>
      <c r="T1802" s="381">
        <v>0</v>
      </c>
      <c r="U1802" s="381">
        <v>0</v>
      </c>
      <c r="V1802" s="382">
        <v>444</v>
      </c>
      <c r="W1802" s="382">
        <v>0</v>
      </c>
      <c r="X1802" s="381">
        <v>0.185</v>
      </c>
      <c r="Y1802" s="381">
        <v>0</v>
      </c>
      <c r="Z1802" s="381">
        <v>0</v>
      </c>
      <c r="AA1802" s="381">
        <v>0</v>
      </c>
      <c r="AB1802" s="381">
        <v>0</v>
      </c>
      <c r="AC1802" s="382">
        <v>0.185</v>
      </c>
      <c r="AD1802" s="382">
        <v>0</v>
      </c>
      <c r="AE1802" s="381" t="s">
        <v>444</v>
      </c>
    </row>
    <row r="1803" spans="1:31" ht="15" customHeight="1" x14ac:dyDescent="0.25">
      <c r="A1803" s="20" t="s">
        <v>156</v>
      </c>
      <c r="B1803" s="20" t="s">
        <v>2056</v>
      </c>
      <c r="C1803" s="20" t="s">
        <v>2057</v>
      </c>
      <c r="D1803" s="378" t="s">
        <v>2436</v>
      </c>
      <c r="E1803" s="384">
        <v>44613</v>
      </c>
      <c r="F1803" s="384">
        <v>46439</v>
      </c>
      <c r="G1803" s="378" t="s">
        <v>439</v>
      </c>
      <c r="H1803" s="20" t="s">
        <v>455</v>
      </c>
      <c r="I1803" s="378" t="s">
        <v>162</v>
      </c>
      <c r="J1803" s="20" t="s">
        <v>163</v>
      </c>
      <c r="K1803" s="378" t="s">
        <v>476</v>
      </c>
      <c r="L1803" s="378" t="s">
        <v>165</v>
      </c>
      <c r="M1803" s="380">
        <v>2400</v>
      </c>
      <c r="N1803" s="380" t="s">
        <v>443</v>
      </c>
      <c r="O1803" s="380" t="s">
        <v>443</v>
      </c>
      <c r="P1803" s="380" t="s">
        <v>443</v>
      </c>
      <c r="Q1803" s="381">
        <v>309</v>
      </c>
      <c r="R1803" s="381">
        <v>0</v>
      </c>
      <c r="S1803" s="381">
        <v>0</v>
      </c>
      <c r="T1803" s="381">
        <v>0</v>
      </c>
      <c r="U1803" s="381">
        <v>0</v>
      </c>
      <c r="V1803" s="382">
        <v>309</v>
      </c>
      <c r="W1803" s="382">
        <v>0</v>
      </c>
      <c r="X1803" s="381">
        <v>0.12875</v>
      </c>
      <c r="Y1803" s="381">
        <v>0</v>
      </c>
      <c r="Z1803" s="381">
        <v>0</v>
      </c>
      <c r="AA1803" s="381">
        <v>0</v>
      </c>
      <c r="AB1803" s="381">
        <v>0</v>
      </c>
      <c r="AC1803" s="382">
        <v>0.12875</v>
      </c>
      <c r="AD1803" s="382">
        <v>0</v>
      </c>
      <c r="AE1803" s="381" t="s">
        <v>444</v>
      </c>
    </row>
    <row r="1804" spans="1:31" ht="15" customHeight="1" x14ac:dyDescent="0.25">
      <c r="A1804" s="20" t="s">
        <v>156</v>
      </c>
      <c r="B1804" s="20" t="s">
        <v>2056</v>
      </c>
      <c r="C1804" s="20" t="s">
        <v>2057</v>
      </c>
      <c r="D1804" s="378" t="s">
        <v>2437</v>
      </c>
      <c r="E1804" s="384">
        <v>44613</v>
      </c>
      <c r="F1804" s="384">
        <v>46439</v>
      </c>
      <c r="G1804" s="378" t="s">
        <v>439</v>
      </c>
      <c r="H1804" s="20" t="s">
        <v>455</v>
      </c>
      <c r="I1804" s="378" t="s">
        <v>162</v>
      </c>
      <c r="J1804" s="20" t="s">
        <v>163</v>
      </c>
      <c r="K1804" s="378" t="s">
        <v>476</v>
      </c>
      <c r="L1804" s="378" t="s">
        <v>165</v>
      </c>
      <c r="M1804" s="380">
        <v>2400</v>
      </c>
      <c r="N1804" s="380" t="s">
        <v>443</v>
      </c>
      <c r="O1804" s="380" t="s">
        <v>443</v>
      </c>
      <c r="P1804" s="380" t="s">
        <v>443</v>
      </c>
      <c r="Q1804" s="381">
        <v>410</v>
      </c>
      <c r="R1804" s="381">
        <v>0</v>
      </c>
      <c r="S1804" s="381">
        <v>0</v>
      </c>
      <c r="T1804" s="381">
        <v>0</v>
      </c>
      <c r="U1804" s="381">
        <v>0</v>
      </c>
      <c r="V1804" s="382">
        <v>410</v>
      </c>
      <c r="W1804" s="382">
        <v>0</v>
      </c>
      <c r="X1804" s="381">
        <v>0.17083333333333334</v>
      </c>
      <c r="Y1804" s="381">
        <v>0</v>
      </c>
      <c r="Z1804" s="381">
        <v>0</v>
      </c>
      <c r="AA1804" s="381">
        <v>0</v>
      </c>
      <c r="AB1804" s="381">
        <v>0</v>
      </c>
      <c r="AC1804" s="382">
        <v>0.17083333333333334</v>
      </c>
      <c r="AD1804" s="382">
        <v>0</v>
      </c>
      <c r="AE1804" s="381" t="s">
        <v>444</v>
      </c>
    </row>
    <row r="1805" spans="1:31" ht="15" customHeight="1" x14ac:dyDescent="0.25">
      <c r="A1805" s="20" t="s">
        <v>156</v>
      </c>
      <c r="B1805" s="20" t="s">
        <v>2056</v>
      </c>
      <c r="C1805" s="20" t="s">
        <v>2057</v>
      </c>
      <c r="D1805" s="378" t="s">
        <v>2438</v>
      </c>
      <c r="E1805" s="384">
        <v>44613</v>
      </c>
      <c r="F1805" s="384">
        <v>46439</v>
      </c>
      <c r="G1805" s="378" t="s">
        <v>439</v>
      </c>
      <c r="H1805" s="20" t="s">
        <v>455</v>
      </c>
      <c r="I1805" s="378" t="s">
        <v>162</v>
      </c>
      <c r="J1805" s="20" t="s">
        <v>163</v>
      </c>
      <c r="K1805" s="378" t="s">
        <v>476</v>
      </c>
      <c r="L1805" s="378" t="s">
        <v>165</v>
      </c>
      <c r="M1805" s="380">
        <v>2400</v>
      </c>
      <c r="N1805" s="380" t="s">
        <v>443</v>
      </c>
      <c r="O1805" s="380" t="s">
        <v>443</v>
      </c>
      <c r="P1805" s="380" t="s">
        <v>443</v>
      </c>
      <c r="Q1805" s="381">
        <v>311</v>
      </c>
      <c r="R1805" s="381">
        <v>0</v>
      </c>
      <c r="S1805" s="381">
        <v>0</v>
      </c>
      <c r="T1805" s="381">
        <v>0</v>
      </c>
      <c r="U1805" s="381">
        <v>0</v>
      </c>
      <c r="V1805" s="382">
        <v>311</v>
      </c>
      <c r="W1805" s="382">
        <v>0</v>
      </c>
      <c r="X1805" s="381">
        <v>0.12958333333333333</v>
      </c>
      <c r="Y1805" s="381">
        <v>0</v>
      </c>
      <c r="Z1805" s="381">
        <v>0</v>
      </c>
      <c r="AA1805" s="381">
        <v>0</v>
      </c>
      <c r="AB1805" s="381">
        <v>0</v>
      </c>
      <c r="AC1805" s="382">
        <v>0.12958333333333333</v>
      </c>
      <c r="AD1805" s="382">
        <v>0</v>
      </c>
      <c r="AE1805" s="381" t="s">
        <v>444</v>
      </c>
    </row>
    <row r="1806" spans="1:31" ht="15" customHeight="1" x14ac:dyDescent="0.25">
      <c r="A1806" s="20" t="s">
        <v>156</v>
      </c>
      <c r="B1806" s="20" t="s">
        <v>2056</v>
      </c>
      <c r="C1806" s="20" t="s">
        <v>2057</v>
      </c>
      <c r="D1806" s="378" t="s">
        <v>2439</v>
      </c>
      <c r="E1806" s="384">
        <v>44613</v>
      </c>
      <c r="F1806" s="384">
        <v>46439</v>
      </c>
      <c r="G1806" s="378" t="s">
        <v>439</v>
      </c>
      <c r="H1806" s="20" t="s">
        <v>455</v>
      </c>
      <c r="I1806" s="378" t="s">
        <v>162</v>
      </c>
      <c r="J1806" s="20" t="s">
        <v>163</v>
      </c>
      <c r="K1806" s="378" t="s">
        <v>476</v>
      </c>
      <c r="L1806" s="378" t="s">
        <v>165</v>
      </c>
      <c r="M1806" s="380">
        <v>2400</v>
      </c>
      <c r="N1806" s="380" t="s">
        <v>443</v>
      </c>
      <c r="O1806" s="380" t="s">
        <v>443</v>
      </c>
      <c r="P1806" s="380" t="s">
        <v>443</v>
      </c>
      <c r="Q1806" s="381">
        <v>336</v>
      </c>
      <c r="R1806" s="381">
        <v>0</v>
      </c>
      <c r="S1806" s="381">
        <v>0</v>
      </c>
      <c r="T1806" s="381">
        <v>0</v>
      </c>
      <c r="U1806" s="381">
        <v>0</v>
      </c>
      <c r="V1806" s="382">
        <v>336</v>
      </c>
      <c r="W1806" s="382">
        <v>0</v>
      </c>
      <c r="X1806" s="381">
        <v>0.14000000000000001</v>
      </c>
      <c r="Y1806" s="381">
        <v>0</v>
      </c>
      <c r="Z1806" s="381">
        <v>0</v>
      </c>
      <c r="AA1806" s="381">
        <v>0</v>
      </c>
      <c r="AB1806" s="381">
        <v>0</v>
      </c>
      <c r="AC1806" s="382">
        <v>0.14000000000000001</v>
      </c>
      <c r="AD1806" s="382">
        <v>0</v>
      </c>
      <c r="AE1806" s="381" t="s">
        <v>444</v>
      </c>
    </row>
    <row r="1807" spans="1:31" ht="15" customHeight="1" x14ac:dyDescent="0.25">
      <c r="A1807" s="20" t="s">
        <v>156</v>
      </c>
      <c r="B1807" s="20" t="s">
        <v>2056</v>
      </c>
      <c r="C1807" s="20" t="s">
        <v>2057</v>
      </c>
      <c r="D1807" s="378" t="s">
        <v>2440</v>
      </c>
      <c r="E1807" s="384">
        <v>44613</v>
      </c>
      <c r="F1807" s="384">
        <v>46439</v>
      </c>
      <c r="G1807" s="378" t="s">
        <v>439</v>
      </c>
      <c r="H1807" s="20" t="s">
        <v>455</v>
      </c>
      <c r="I1807" s="378" t="s">
        <v>162</v>
      </c>
      <c r="J1807" s="20" t="s">
        <v>163</v>
      </c>
      <c r="K1807" s="378" t="s">
        <v>476</v>
      </c>
      <c r="L1807" s="378" t="s">
        <v>165</v>
      </c>
      <c r="M1807" s="380">
        <v>2400</v>
      </c>
      <c r="N1807" s="380" t="s">
        <v>443</v>
      </c>
      <c r="O1807" s="380" t="s">
        <v>443</v>
      </c>
      <c r="P1807" s="380" t="s">
        <v>443</v>
      </c>
      <c r="Q1807" s="381">
        <v>457</v>
      </c>
      <c r="R1807" s="381">
        <v>0</v>
      </c>
      <c r="S1807" s="381">
        <v>0</v>
      </c>
      <c r="T1807" s="381">
        <v>0</v>
      </c>
      <c r="U1807" s="381">
        <v>0</v>
      </c>
      <c r="V1807" s="382">
        <v>457</v>
      </c>
      <c r="W1807" s="382">
        <v>0</v>
      </c>
      <c r="X1807" s="381">
        <v>0.19041666666666668</v>
      </c>
      <c r="Y1807" s="381">
        <v>0</v>
      </c>
      <c r="Z1807" s="381">
        <v>0</v>
      </c>
      <c r="AA1807" s="381">
        <v>0</v>
      </c>
      <c r="AB1807" s="381">
        <v>0</v>
      </c>
      <c r="AC1807" s="382">
        <v>0.19041666666666668</v>
      </c>
      <c r="AD1807" s="382">
        <v>0</v>
      </c>
      <c r="AE1807" s="381" t="s">
        <v>444</v>
      </c>
    </row>
    <row r="1808" spans="1:31" ht="15" customHeight="1" x14ac:dyDescent="0.25">
      <c r="A1808" s="20" t="s">
        <v>156</v>
      </c>
      <c r="B1808" s="20" t="s">
        <v>2056</v>
      </c>
      <c r="C1808" s="20" t="s">
        <v>2057</v>
      </c>
      <c r="D1808" s="378" t="s">
        <v>2441</v>
      </c>
      <c r="E1808" s="384">
        <v>44613</v>
      </c>
      <c r="F1808" s="384">
        <v>46439</v>
      </c>
      <c r="G1808" s="378" t="s">
        <v>439</v>
      </c>
      <c r="H1808" s="20" t="s">
        <v>455</v>
      </c>
      <c r="I1808" s="378" t="s">
        <v>162</v>
      </c>
      <c r="J1808" s="20" t="s">
        <v>163</v>
      </c>
      <c r="K1808" s="378" t="s">
        <v>476</v>
      </c>
      <c r="L1808" s="378" t="s">
        <v>165</v>
      </c>
      <c r="M1808" s="380">
        <v>2400</v>
      </c>
      <c r="N1808" s="380" t="s">
        <v>443</v>
      </c>
      <c r="O1808" s="380" t="s">
        <v>443</v>
      </c>
      <c r="P1808" s="380" t="s">
        <v>443</v>
      </c>
      <c r="Q1808" s="381">
        <v>398</v>
      </c>
      <c r="R1808" s="381">
        <v>0</v>
      </c>
      <c r="S1808" s="381">
        <v>0</v>
      </c>
      <c r="T1808" s="381">
        <v>0</v>
      </c>
      <c r="U1808" s="381">
        <v>0</v>
      </c>
      <c r="V1808" s="382">
        <v>398</v>
      </c>
      <c r="W1808" s="382">
        <v>0</v>
      </c>
      <c r="X1808" s="381">
        <v>0.16583333333333333</v>
      </c>
      <c r="Y1808" s="381">
        <v>0</v>
      </c>
      <c r="Z1808" s="381">
        <v>0</v>
      </c>
      <c r="AA1808" s="381">
        <v>0</v>
      </c>
      <c r="AB1808" s="381">
        <v>0</v>
      </c>
      <c r="AC1808" s="382">
        <v>0.16583333333333333</v>
      </c>
      <c r="AD1808" s="382">
        <v>0</v>
      </c>
      <c r="AE1808" s="381" t="s">
        <v>444</v>
      </c>
    </row>
    <row r="1809" spans="1:31" ht="15" customHeight="1" x14ac:dyDescent="0.25">
      <c r="A1809" s="20" t="s">
        <v>156</v>
      </c>
      <c r="B1809" s="20" t="s">
        <v>2056</v>
      </c>
      <c r="C1809" s="20" t="s">
        <v>2057</v>
      </c>
      <c r="D1809" s="378" t="s">
        <v>2428</v>
      </c>
      <c r="E1809" s="384">
        <v>44613</v>
      </c>
      <c r="F1809" s="384">
        <v>46439</v>
      </c>
      <c r="G1809" s="378" t="s">
        <v>439</v>
      </c>
      <c r="H1809" s="20" t="s">
        <v>455</v>
      </c>
      <c r="I1809" s="378" t="s">
        <v>162</v>
      </c>
      <c r="J1809" s="20" t="s">
        <v>163</v>
      </c>
      <c r="K1809" s="378" t="s">
        <v>476</v>
      </c>
      <c r="L1809" s="378" t="s">
        <v>165</v>
      </c>
      <c r="M1809" s="380">
        <v>2400</v>
      </c>
      <c r="N1809" s="380" t="s">
        <v>443</v>
      </c>
      <c r="O1809" s="380" t="s">
        <v>443</v>
      </c>
      <c r="P1809" s="380" t="s">
        <v>443</v>
      </c>
      <c r="Q1809" s="381">
        <v>320</v>
      </c>
      <c r="R1809" s="381">
        <v>0</v>
      </c>
      <c r="S1809" s="381">
        <v>0</v>
      </c>
      <c r="T1809" s="381">
        <v>0</v>
      </c>
      <c r="U1809" s="381">
        <v>0</v>
      </c>
      <c r="V1809" s="382">
        <v>320</v>
      </c>
      <c r="W1809" s="382">
        <v>0</v>
      </c>
      <c r="X1809" s="381">
        <v>0.13333333333333333</v>
      </c>
      <c r="Y1809" s="381">
        <v>0</v>
      </c>
      <c r="Z1809" s="381">
        <v>0</v>
      </c>
      <c r="AA1809" s="381">
        <v>0</v>
      </c>
      <c r="AB1809" s="381">
        <v>0</v>
      </c>
      <c r="AC1809" s="382">
        <v>0.13333333333333333</v>
      </c>
      <c r="AD1809" s="382">
        <v>0</v>
      </c>
      <c r="AE1809" s="381" t="s">
        <v>444</v>
      </c>
    </row>
    <row r="1810" spans="1:31" ht="15" customHeight="1" x14ac:dyDescent="0.25">
      <c r="A1810" s="20" t="s">
        <v>156</v>
      </c>
      <c r="B1810" s="20" t="s">
        <v>2056</v>
      </c>
      <c r="C1810" s="20" t="s">
        <v>2057</v>
      </c>
      <c r="D1810" s="378" t="s">
        <v>2429</v>
      </c>
      <c r="E1810" s="384">
        <v>44613</v>
      </c>
      <c r="F1810" s="384">
        <v>46439</v>
      </c>
      <c r="G1810" s="378" t="s">
        <v>439</v>
      </c>
      <c r="H1810" s="20" t="s">
        <v>455</v>
      </c>
      <c r="I1810" s="378" t="s">
        <v>162</v>
      </c>
      <c r="J1810" s="20" t="s">
        <v>163</v>
      </c>
      <c r="K1810" s="378" t="s">
        <v>476</v>
      </c>
      <c r="L1810" s="378" t="s">
        <v>165</v>
      </c>
      <c r="M1810" s="380">
        <v>2400</v>
      </c>
      <c r="N1810" s="380" t="s">
        <v>443</v>
      </c>
      <c r="O1810" s="380" t="s">
        <v>443</v>
      </c>
      <c r="P1810" s="380" t="s">
        <v>443</v>
      </c>
      <c r="Q1810" s="381">
        <v>336</v>
      </c>
      <c r="R1810" s="381">
        <v>0</v>
      </c>
      <c r="S1810" s="381">
        <v>0</v>
      </c>
      <c r="T1810" s="381">
        <v>0</v>
      </c>
      <c r="U1810" s="381">
        <v>0</v>
      </c>
      <c r="V1810" s="382">
        <v>336</v>
      </c>
      <c r="W1810" s="382">
        <v>0</v>
      </c>
      <c r="X1810" s="381">
        <v>0.14000000000000001</v>
      </c>
      <c r="Y1810" s="381">
        <v>0</v>
      </c>
      <c r="Z1810" s="381">
        <v>0</v>
      </c>
      <c r="AA1810" s="381">
        <v>0</v>
      </c>
      <c r="AB1810" s="381">
        <v>0</v>
      </c>
      <c r="AC1810" s="382">
        <v>0.14000000000000001</v>
      </c>
      <c r="AD1810" s="382">
        <v>0</v>
      </c>
      <c r="AE1810" s="381" t="s">
        <v>444</v>
      </c>
    </row>
    <row r="1811" spans="1:31" ht="15" customHeight="1" x14ac:dyDescent="0.25">
      <c r="A1811" s="20" t="s">
        <v>156</v>
      </c>
      <c r="B1811" s="20" t="s">
        <v>2056</v>
      </c>
      <c r="C1811" s="20" t="s">
        <v>2057</v>
      </c>
      <c r="D1811" s="378" t="s">
        <v>2430</v>
      </c>
      <c r="E1811" s="384">
        <v>44613</v>
      </c>
      <c r="F1811" s="384">
        <v>46439</v>
      </c>
      <c r="G1811" s="378" t="s">
        <v>439</v>
      </c>
      <c r="H1811" s="20" t="s">
        <v>455</v>
      </c>
      <c r="I1811" s="378" t="s">
        <v>162</v>
      </c>
      <c r="J1811" s="20" t="s">
        <v>163</v>
      </c>
      <c r="K1811" s="378" t="s">
        <v>476</v>
      </c>
      <c r="L1811" s="378" t="s">
        <v>165</v>
      </c>
      <c r="M1811" s="380">
        <v>2400</v>
      </c>
      <c r="N1811" s="380" t="s">
        <v>443</v>
      </c>
      <c r="O1811" s="380" t="s">
        <v>443</v>
      </c>
      <c r="P1811" s="380" t="s">
        <v>443</v>
      </c>
      <c r="Q1811" s="381">
        <v>413</v>
      </c>
      <c r="R1811" s="381">
        <v>0</v>
      </c>
      <c r="S1811" s="381">
        <v>0</v>
      </c>
      <c r="T1811" s="381">
        <v>0</v>
      </c>
      <c r="U1811" s="381">
        <v>0</v>
      </c>
      <c r="V1811" s="382">
        <v>413</v>
      </c>
      <c r="W1811" s="382">
        <v>0</v>
      </c>
      <c r="X1811" s="381">
        <v>0.17208333333333334</v>
      </c>
      <c r="Y1811" s="381">
        <v>0</v>
      </c>
      <c r="Z1811" s="381">
        <v>0</v>
      </c>
      <c r="AA1811" s="381">
        <v>0</v>
      </c>
      <c r="AB1811" s="381">
        <v>0</v>
      </c>
      <c r="AC1811" s="382">
        <v>0.17208333333333334</v>
      </c>
      <c r="AD1811" s="382">
        <v>0</v>
      </c>
      <c r="AE1811" s="381" t="s">
        <v>444</v>
      </c>
    </row>
    <row r="1812" spans="1:31" ht="15" customHeight="1" x14ac:dyDescent="0.25">
      <c r="A1812" s="20" t="s">
        <v>156</v>
      </c>
      <c r="B1812" s="20" t="s">
        <v>2056</v>
      </c>
      <c r="C1812" s="20" t="s">
        <v>2057</v>
      </c>
      <c r="D1812" s="378" t="s">
        <v>2431</v>
      </c>
      <c r="E1812" s="384">
        <v>44613</v>
      </c>
      <c r="F1812" s="384">
        <v>46439</v>
      </c>
      <c r="G1812" s="378" t="s">
        <v>439</v>
      </c>
      <c r="H1812" s="20" t="s">
        <v>455</v>
      </c>
      <c r="I1812" s="378" t="s">
        <v>162</v>
      </c>
      <c r="J1812" s="20" t="s">
        <v>163</v>
      </c>
      <c r="K1812" s="378" t="s">
        <v>476</v>
      </c>
      <c r="L1812" s="378" t="s">
        <v>165</v>
      </c>
      <c r="M1812" s="380">
        <v>2400</v>
      </c>
      <c r="N1812" s="380" t="s">
        <v>443</v>
      </c>
      <c r="O1812" s="380" t="s">
        <v>443</v>
      </c>
      <c r="P1812" s="380" t="s">
        <v>443</v>
      </c>
      <c r="Q1812" s="381">
        <v>463</v>
      </c>
      <c r="R1812" s="381">
        <v>0</v>
      </c>
      <c r="S1812" s="381">
        <v>0</v>
      </c>
      <c r="T1812" s="381">
        <v>0</v>
      </c>
      <c r="U1812" s="381">
        <v>0</v>
      </c>
      <c r="V1812" s="382">
        <v>463</v>
      </c>
      <c r="W1812" s="382">
        <v>0</v>
      </c>
      <c r="X1812" s="381">
        <v>0.19291666666666665</v>
      </c>
      <c r="Y1812" s="381">
        <v>0</v>
      </c>
      <c r="Z1812" s="381">
        <v>0</v>
      </c>
      <c r="AA1812" s="381">
        <v>0</v>
      </c>
      <c r="AB1812" s="381">
        <v>0</v>
      </c>
      <c r="AC1812" s="382">
        <v>0.19291666666666665</v>
      </c>
      <c r="AD1812" s="382">
        <v>0</v>
      </c>
      <c r="AE1812" s="381" t="s">
        <v>444</v>
      </c>
    </row>
    <row r="1813" spans="1:31" ht="15" customHeight="1" x14ac:dyDescent="0.25">
      <c r="A1813" s="20" t="s">
        <v>156</v>
      </c>
      <c r="B1813" s="20" t="s">
        <v>2056</v>
      </c>
      <c r="C1813" s="20" t="s">
        <v>2057</v>
      </c>
      <c r="D1813" s="378" t="s">
        <v>2432</v>
      </c>
      <c r="E1813" s="384">
        <v>44613</v>
      </c>
      <c r="F1813" s="384">
        <v>46439</v>
      </c>
      <c r="G1813" s="378" t="s">
        <v>439</v>
      </c>
      <c r="H1813" s="20" t="s">
        <v>455</v>
      </c>
      <c r="I1813" s="378" t="s">
        <v>162</v>
      </c>
      <c r="J1813" s="20" t="s">
        <v>163</v>
      </c>
      <c r="K1813" s="378" t="s">
        <v>476</v>
      </c>
      <c r="L1813" s="378" t="s">
        <v>165</v>
      </c>
      <c r="M1813" s="380">
        <v>2400</v>
      </c>
      <c r="N1813" s="380" t="s">
        <v>443</v>
      </c>
      <c r="O1813" s="380" t="s">
        <v>443</v>
      </c>
      <c r="P1813" s="380" t="s">
        <v>443</v>
      </c>
      <c r="Q1813" s="381">
        <v>364</v>
      </c>
      <c r="R1813" s="381">
        <v>0</v>
      </c>
      <c r="S1813" s="381">
        <v>0</v>
      </c>
      <c r="T1813" s="381">
        <v>0</v>
      </c>
      <c r="U1813" s="381">
        <v>0</v>
      </c>
      <c r="V1813" s="382">
        <v>364</v>
      </c>
      <c r="W1813" s="382">
        <v>0</v>
      </c>
      <c r="X1813" s="381">
        <v>0.15166666666666667</v>
      </c>
      <c r="Y1813" s="381">
        <v>0</v>
      </c>
      <c r="Z1813" s="381">
        <v>0</v>
      </c>
      <c r="AA1813" s="381">
        <v>0</v>
      </c>
      <c r="AB1813" s="381">
        <v>0</v>
      </c>
      <c r="AC1813" s="382">
        <v>0.15166666666666667</v>
      </c>
      <c r="AD1813" s="382">
        <v>0</v>
      </c>
      <c r="AE1813" s="381" t="s">
        <v>444</v>
      </c>
    </row>
    <row r="1814" spans="1:31" ht="15" customHeight="1" x14ac:dyDescent="0.25">
      <c r="A1814" s="20" t="s">
        <v>156</v>
      </c>
      <c r="B1814" s="20" t="s">
        <v>2056</v>
      </c>
      <c r="C1814" s="20" t="s">
        <v>2057</v>
      </c>
      <c r="D1814" s="378" t="s">
        <v>2433</v>
      </c>
      <c r="E1814" s="384">
        <v>44613</v>
      </c>
      <c r="F1814" s="384">
        <v>46439</v>
      </c>
      <c r="G1814" s="378" t="s">
        <v>439</v>
      </c>
      <c r="H1814" s="20" t="s">
        <v>455</v>
      </c>
      <c r="I1814" s="378" t="s">
        <v>162</v>
      </c>
      <c r="J1814" s="20" t="s">
        <v>163</v>
      </c>
      <c r="K1814" s="378" t="s">
        <v>476</v>
      </c>
      <c r="L1814" s="378" t="s">
        <v>165</v>
      </c>
      <c r="M1814" s="380">
        <v>2400</v>
      </c>
      <c r="N1814" s="380" t="s">
        <v>443</v>
      </c>
      <c r="O1814" s="380" t="s">
        <v>443</v>
      </c>
      <c r="P1814" s="380" t="s">
        <v>443</v>
      </c>
      <c r="Q1814" s="381">
        <v>485</v>
      </c>
      <c r="R1814" s="381">
        <v>0</v>
      </c>
      <c r="S1814" s="381">
        <v>0</v>
      </c>
      <c r="T1814" s="381">
        <v>0</v>
      </c>
      <c r="U1814" s="381">
        <v>0</v>
      </c>
      <c r="V1814" s="382">
        <v>485</v>
      </c>
      <c r="W1814" s="382">
        <v>0</v>
      </c>
      <c r="X1814" s="381">
        <v>0.20208333333333334</v>
      </c>
      <c r="Y1814" s="381">
        <v>0</v>
      </c>
      <c r="Z1814" s="381">
        <v>0</v>
      </c>
      <c r="AA1814" s="381">
        <v>0</v>
      </c>
      <c r="AB1814" s="381">
        <v>0</v>
      </c>
      <c r="AC1814" s="382">
        <v>0.20208333333333334</v>
      </c>
      <c r="AD1814" s="382">
        <v>0</v>
      </c>
      <c r="AE1814" s="381" t="s">
        <v>444</v>
      </c>
    </row>
    <row r="1815" spans="1:31" ht="15" customHeight="1" x14ac:dyDescent="0.25">
      <c r="A1815" s="20" t="s">
        <v>156</v>
      </c>
      <c r="B1815" s="20" t="s">
        <v>2056</v>
      </c>
      <c r="C1815" s="20" t="s">
        <v>2057</v>
      </c>
      <c r="D1815" s="378" t="s">
        <v>2434</v>
      </c>
      <c r="E1815" s="384">
        <v>44613</v>
      </c>
      <c r="F1815" s="384">
        <v>46439</v>
      </c>
      <c r="G1815" s="378" t="s">
        <v>439</v>
      </c>
      <c r="H1815" s="20" t="s">
        <v>455</v>
      </c>
      <c r="I1815" s="378" t="s">
        <v>162</v>
      </c>
      <c r="J1815" s="20" t="s">
        <v>163</v>
      </c>
      <c r="K1815" s="378" t="s">
        <v>476</v>
      </c>
      <c r="L1815" s="378" t="s">
        <v>165</v>
      </c>
      <c r="M1815" s="380">
        <v>2400</v>
      </c>
      <c r="N1815" s="380" t="s">
        <v>443</v>
      </c>
      <c r="O1815" s="380" t="s">
        <v>443</v>
      </c>
      <c r="P1815" s="380" t="s">
        <v>443</v>
      </c>
      <c r="Q1815" s="381">
        <v>414</v>
      </c>
      <c r="R1815" s="381">
        <v>0</v>
      </c>
      <c r="S1815" s="381">
        <v>0</v>
      </c>
      <c r="T1815" s="381">
        <v>0</v>
      </c>
      <c r="U1815" s="381">
        <v>0</v>
      </c>
      <c r="V1815" s="382">
        <v>414</v>
      </c>
      <c r="W1815" s="382">
        <v>0</v>
      </c>
      <c r="X1815" s="381">
        <v>0.17249999999999999</v>
      </c>
      <c r="Y1815" s="381">
        <v>0</v>
      </c>
      <c r="Z1815" s="381">
        <v>0</v>
      </c>
      <c r="AA1815" s="381">
        <v>0</v>
      </c>
      <c r="AB1815" s="381">
        <v>0</v>
      </c>
      <c r="AC1815" s="382">
        <v>0.17249999999999999</v>
      </c>
      <c r="AD1815" s="382">
        <v>0</v>
      </c>
      <c r="AE1815" s="381" t="s">
        <v>444</v>
      </c>
    </row>
    <row r="1816" spans="1:31" ht="15" customHeight="1" x14ac:dyDescent="0.25">
      <c r="A1816" s="20" t="s">
        <v>156</v>
      </c>
      <c r="B1816" s="20" t="s">
        <v>2056</v>
      </c>
      <c r="C1816" s="20" t="s">
        <v>2057</v>
      </c>
      <c r="D1816" s="378" t="s">
        <v>2435</v>
      </c>
      <c r="E1816" s="384">
        <v>44613</v>
      </c>
      <c r="F1816" s="384">
        <v>46439</v>
      </c>
      <c r="G1816" s="378" t="s">
        <v>439</v>
      </c>
      <c r="H1816" s="20" t="s">
        <v>455</v>
      </c>
      <c r="I1816" s="378" t="s">
        <v>162</v>
      </c>
      <c r="J1816" s="20" t="s">
        <v>163</v>
      </c>
      <c r="K1816" s="378" t="s">
        <v>476</v>
      </c>
      <c r="L1816" s="378" t="s">
        <v>165</v>
      </c>
      <c r="M1816" s="380">
        <v>2400</v>
      </c>
      <c r="N1816" s="380" t="s">
        <v>443</v>
      </c>
      <c r="O1816" s="380" t="s">
        <v>443</v>
      </c>
      <c r="P1816" s="380" t="s">
        <v>443</v>
      </c>
      <c r="Q1816" s="381">
        <v>444</v>
      </c>
      <c r="R1816" s="381">
        <v>0</v>
      </c>
      <c r="S1816" s="381">
        <v>0</v>
      </c>
      <c r="T1816" s="381">
        <v>0</v>
      </c>
      <c r="U1816" s="381">
        <v>0</v>
      </c>
      <c r="V1816" s="382">
        <v>444</v>
      </c>
      <c r="W1816" s="382">
        <v>0</v>
      </c>
      <c r="X1816" s="381">
        <v>0.185</v>
      </c>
      <c r="Y1816" s="381">
        <v>0</v>
      </c>
      <c r="Z1816" s="381">
        <v>0</v>
      </c>
      <c r="AA1816" s="381">
        <v>0</v>
      </c>
      <c r="AB1816" s="381">
        <v>0</v>
      </c>
      <c r="AC1816" s="382">
        <v>0.185</v>
      </c>
      <c r="AD1816" s="382">
        <v>0</v>
      </c>
      <c r="AE1816" s="381" t="s">
        <v>444</v>
      </c>
    </row>
    <row r="1817" spans="1:31" ht="15" customHeight="1" x14ac:dyDescent="0.25">
      <c r="A1817" s="20" t="s">
        <v>156</v>
      </c>
      <c r="B1817" s="20" t="s">
        <v>2056</v>
      </c>
      <c r="C1817" s="20" t="s">
        <v>2057</v>
      </c>
      <c r="D1817" s="378" t="s">
        <v>2436</v>
      </c>
      <c r="E1817" s="384">
        <v>44613</v>
      </c>
      <c r="F1817" s="384">
        <v>46439</v>
      </c>
      <c r="G1817" s="378" t="s">
        <v>439</v>
      </c>
      <c r="H1817" s="20" t="s">
        <v>455</v>
      </c>
      <c r="I1817" s="378" t="s">
        <v>162</v>
      </c>
      <c r="J1817" s="20" t="s">
        <v>163</v>
      </c>
      <c r="K1817" s="378" t="s">
        <v>476</v>
      </c>
      <c r="L1817" s="378" t="s">
        <v>165</v>
      </c>
      <c r="M1817" s="380">
        <v>2400</v>
      </c>
      <c r="N1817" s="380" t="s">
        <v>443</v>
      </c>
      <c r="O1817" s="380" t="s">
        <v>443</v>
      </c>
      <c r="P1817" s="380" t="s">
        <v>443</v>
      </c>
      <c r="Q1817" s="381">
        <v>309</v>
      </c>
      <c r="R1817" s="381">
        <v>0</v>
      </c>
      <c r="S1817" s="381">
        <v>0</v>
      </c>
      <c r="T1817" s="381">
        <v>0</v>
      </c>
      <c r="U1817" s="381">
        <v>0</v>
      </c>
      <c r="V1817" s="382">
        <v>309</v>
      </c>
      <c r="W1817" s="382">
        <v>0</v>
      </c>
      <c r="X1817" s="381">
        <v>0.12875</v>
      </c>
      <c r="Y1817" s="381">
        <v>0</v>
      </c>
      <c r="Z1817" s="381">
        <v>0</v>
      </c>
      <c r="AA1817" s="381">
        <v>0</v>
      </c>
      <c r="AB1817" s="381">
        <v>0</v>
      </c>
      <c r="AC1817" s="382">
        <v>0.12875</v>
      </c>
      <c r="AD1817" s="382">
        <v>0</v>
      </c>
      <c r="AE1817" s="381" t="s">
        <v>444</v>
      </c>
    </row>
    <row r="1818" spans="1:31" ht="15" customHeight="1" x14ac:dyDescent="0.25">
      <c r="A1818" s="20" t="s">
        <v>156</v>
      </c>
      <c r="B1818" s="20" t="s">
        <v>2056</v>
      </c>
      <c r="C1818" s="20" t="s">
        <v>2057</v>
      </c>
      <c r="D1818" s="378" t="s">
        <v>2437</v>
      </c>
      <c r="E1818" s="384">
        <v>44613</v>
      </c>
      <c r="F1818" s="384">
        <v>46439</v>
      </c>
      <c r="G1818" s="378" t="s">
        <v>439</v>
      </c>
      <c r="H1818" s="20" t="s">
        <v>455</v>
      </c>
      <c r="I1818" s="378" t="s">
        <v>162</v>
      </c>
      <c r="J1818" s="20" t="s">
        <v>163</v>
      </c>
      <c r="K1818" s="378" t="s">
        <v>476</v>
      </c>
      <c r="L1818" s="378" t="s">
        <v>165</v>
      </c>
      <c r="M1818" s="380">
        <v>2400</v>
      </c>
      <c r="N1818" s="380" t="s">
        <v>443</v>
      </c>
      <c r="O1818" s="380" t="s">
        <v>443</v>
      </c>
      <c r="P1818" s="380" t="s">
        <v>443</v>
      </c>
      <c r="Q1818" s="381">
        <v>410</v>
      </c>
      <c r="R1818" s="381">
        <v>0</v>
      </c>
      <c r="S1818" s="381">
        <v>0</v>
      </c>
      <c r="T1818" s="381">
        <v>0</v>
      </c>
      <c r="U1818" s="381">
        <v>0</v>
      </c>
      <c r="V1818" s="382">
        <v>410</v>
      </c>
      <c r="W1818" s="382">
        <v>0</v>
      </c>
      <c r="X1818" s="381">
        <v>0.17083333333333334</v>
      </c>
      <c r="Y1818" s="381">
        <v>0</v>
      </c>
      <c r="Z1818" s="381">
        <v>0</v>
      </c>
      <c r="AA1818" s="381">
        <v>0</v>
      </c>
      <c r="AB1818" s="381">
        <v>0</v>
      </c>
      <c r="AC1818" s="382">
        <v>0.17083333333333334</v>
      </c>
      <c r="AD1818" s="382">
        <v>0</v>
      </c>
      <c r="AE1818" s="381" t="s">
        <v>444</v>
      </c>
    </row>
    <row r="1819" spans="1:31" ht="15" customHeight="1" x14ac:dyDescent="0.25">
      <c r="A1819" s="20" t="s">
        <v>156</v>
      </c>
      <c r="B1819" s="20" t="s">
        <v>2056</v>
      </c>
      <c r="C1819" s="20" t="s">
        <v>2057</v>
      </c>
      <c r="D1819" s="378" t="s">
        <v>2438</v>
      </c>
      <c r="E1819" s="384">
        <v>44613</v>
      </c>
      <c r="F1819" s="384">
        <v>46439</v>
      </c>
      <c r="G1819" s="378" t="s">
        <v>439</v>
      </c>
      <c r="H1819" s="20" t="s">
        <v>455</v>
      </c>
      <c r="I1819" s="378" t="s">
        <v>162</v>
      </c>
      <c r="J1819" s="20" t="s">
        <v>163</v>
      </c>
      <c r="K1819" s="378" t="s">
        <v>476</v>
      </c>
      <c r="L1819" s="378" t="s">
        <v>165</v>
      </c>
      <c r="M1819" s="380">
        <v>2400</v>
      </c>
      <c r="N1819" s="380" t="s">
        <v>443</v>
      </c>
      <c r="O1819" s="380" t="s">
        <v>443</v>
      </c>
      <c r="P1819" s="380" t="s">
        <v>443</v>
      </c>
      <c r="Q1819" s="381">
        <v>311</v>
      </c>
      <c r="R1819" s="381">
        <v>0</v>
      </c>
      <c r="S1819" s="381">
        <v>0</v>
      </c>
      <c r="T1819" s="381">
        <v>0</v>
      </c>
      <c r="U1819" s="381">
        <v>0</v>
      </c>
      <c r="V1819" s="382">
        <v>311</v>
      </c>
      <c r="W1819" s="382">
        <v>0</v>
      </c>
      <c r="X1819" s="381">
        <v>0.12958333333333333</v>
      </c>
      <c r="Y1819" s="381">
        <v>0</v>
      </c>
      <c r="Z1819" s="381">
        <v>0</v>
      </c>
      <c r="AA1819" s="381">
        <v>0</v>
      </c>
      <c r="AB1819" s="381">
        <v>0</v>
      </c>
      <c r="AC1819" s="382">
        <v>0.12958333333333333</v>
      </c>
      <c r="AD1819" s="382">
        <v>0</v>
      </c>
      <c r="AE1819" s="381" t="s">
        <v>444</v>
      </c>
    </row>
    <row r="1820" spans="1:31" ht="15" customHeight="1" x14ac:dyDescent="0.25">
      <c r="A1820" s="20" t="s">
        <v>156</v>
      </c>
      <c r="B1820" s="20" t="s">
        <v>2056</v>
      </c>
      <c r="C1820" s="20" t="s">
        <v>2057</v>
      </c>
      <c r="D1820" s="378" t="s">
        <v>2439</v>
      </c>
      <c r="E1820" s="384">
        <v>44613</v>
      </c>
      <c r="F1820" s="384">
        <v>46439</v>
      </c>
      <c r="G1820" s="378" t="s">
        <v>439</v>
      </c>
      <c r="H1820" s="20" t="s">
        <v>455</v>
      </c>
      <c r="I1820" s="378" t="s">
        <v>162</v>
      </c>
      <c r="J1820" s="20" t="s">
        <v>163</v>
      </c>
      <c r="K1820" s="378" t="s">
        <v>476</v>
      </c>
      <c r="L1820" s="378" t="s">
        <v>165</v>
      </c>
      <c r="M1820" s="380">
        <v>2400</v>
      </c>
      <c r="N1820" s="380" t="s">
        <v>443</v>
      </c>
      <c r="O1820" s="380" t="s">
        <v>443</v>
      </c>
      <c r="P1820" s="380" t="s">
        <v>443</v>
      </c>
      <c r="Q1820" s="381">
        <v>336</v>
      </c>
      <c r="R1820" s="381">
        <v>0</v>
      </c>
      <c r="S1820" s="381">
        <v>0</v>
      </c>
      <c r="T1820" s="381">
        <v>0</v>
      </c>
      <c r="U1820" s="381">
        <v>0</v>
      </c>
      <c r="V1820" s="382">
        <v>336</v>
      </c>
      <c r="W1820" s="382">
        <v>0</v>
      </c>
      <c r="X1820" s="381">
        <v>0.14000000000000001</v>
      </c>
      <c r="Y1820" s="381">
        <v>0</v>
      </c>
      <c r="Z1820" s="381">
        <v>0</v>
      </c>
      <c r="AA1820" s="381">
        <v>0</v>
      </c>
      <c r="AB1820" s="381">
        <v>0</v>
      </c>
      <c r="AC1820" s="382">
        <v>0.14000000000000001</v>
      </c>
      <c r="AD1820" s="382">
        <v>0</v>
      </c>
      <c r="AE1820" s="381" t="s">
        <v>444</v>
      </c>
    </row>
    <row r="1821" spans="1:31" ht="15" customHeight="1" x14ac:dyDescent="0.25">
      <c r="A1821" s="20" t="s">
        <v>156</v>
      </c>
      <c r="B1821" s="20" t="s">
        <v>2056</v>
      </c>
      <c r="C1821" s="20" t="s">
        <v>2057</v>
      </c>
      <c r="D1821" s="378" t="s">
        <v>2440</v>
      </c>
      <c r="E1821" s="384">
        <v>44613</v>
      </c>
      <c r="F1821" s="384">
        <v>46439</v>
      </c>
      <c r="G1821" s="378" t="s">
        <v>439</v>
      </c>
      <c r="H1821" s="20" t="s">
        <v>455</v>
      </c>
      <c r="I1821" s="378" t="s">
        <v>162</v>
      </c>
      <c r="J1821" s="20" t="s">
        <v>163</v>
      </c>
      <c r="K1821" s="378" t="s">
        <v>476</v>
      </c>
      <c r="L1821" s="378" t="s">
        <v>165</v>
      </c>
      <c r="M1821" s="380">
        <v>2400</v>
      </c>
      <c r="N1821" s="380" t="s">
        <v>443</v>
      </c>
      <c r="O1821" s="380" t="s">
        <v>443</v>
      </c>
      <c r="P1821" s="380" t="s">
        <v>443</v>
      </c>
      <c r="Q1821" s="381">
        <v>457</v>
      </c>
      <c r="R1821" s="381">
        <v>0</v>
      </c>
      <c r="S1821" s="381">
        <v>0</v>
      </c>
      <c r="T1821" s="381">
        <v>0</v>
      </c>
      <c r="U1821" s="381">
        <v>0</v>
      </c>
      <c r="V1821" s="382">
        <v>457</v>
      </c>
      <c r="W1821" s="382">
        <v>0</v>
      </c>
      <c r="X1821" s="381">
        <v>0.19041666666666668</v>
      </c>
      <c r="Y1821" s="381">
        <v>0</v>
      </c>
      <c r="Z1821" s="381">
        <v>0</v>
      </c>
      <c r="AA1821" s="381">
        <v>0</v>
      </c>
      <c r="AB1821" s="381">
        <v>0</v>
      </c>
      <c r="AC1821" s="382">
        <v>0.19041666666666668</v>
      </c>
      <c r="AD1821" s="382">
        <v>0</v>
      </c>
      <c r="AE1821" s="381" t="s">
        <v>444</v>
      </c>
    </row>
    <row r="1822" spans="1:31" ht="15" customHeight="1" x14ac:dyDescent="0.25">
      <c r="A1822" s="20" t="s">
        <v>156</v>
      </c>
      <c r="B1822" s="20" t="s">
        <v>2056</v>
      </c>
      <c r="C1822" s="20" t="s">
        <v>2057</v>
      </c>
      <c r="D1822" s="378" t="s">
        <v>2441</v>
      </c>
      <c r="E1822" s="384">
        <v>44613</v>
      </c>
      <c r="F1822" s="384">
        <v>46439</v>
      </c>
      <c r="G1822" s="378" t="s">
        <v>439</v>
      </c>
      <c r="H1822" s="20" t="s">
        <v>455</v>
      </c>
      <c r="I1822" s="378" t="s">
        <v>162</v>
      </c>
      <c r="J1822" s="20" t="s">
        <v>163</v>
      </c>
      <c r="K1822" s="378" t="s">
        <v>476</v>
      </c>
      <c r="L1822" s="378" t="s">
        <v>165</v>
      </c>
      <c r="M1822" s="380">
        <v>2400</v>
      </c>
      <c r="N1822" s="380" t="s">
        <v>443</v>
      </c>
      <c r="O1822" s="380" t="s">
        <v>443</v>
      </c>
      <c r="P1822" s="380" t="s">
        <v>443</v>
      </c>
      <c r="Q1822" s="381">
        <v>398</v>
      </c>
      <c r="R1822" s="381">
        <v>0</v>
      </c>
      <c r="S1822" s="381">
        <v>0</v>
      </c>
      <c r="T1822" s="381">
        <v>0</v>
      </c>
      <c r="U1822" s="381">
        <v>0</v>
      </c>
      <c r="V1822" s="382">
        <v>398</v>
      </c>
      <c r="W1822" s="382">
        <v>0</v>
      </c>
      <c r="X1822" s="381">
        <v>0.16583333333333333</v>
      </c>
      <c r="Y1822" s="381">
        <v>0</v>
      </c>
      <c r="Z1822" s="381">
        <v>0</v>
      </c>
      <c r="AA1822" s="381">
        <v>0</v>
      </c>
      <c r="AB1822" s="381">
        <v>0</v>
      </c>
      <c r="AC1822" s="382">
        <v>0.16583333333333333</v>
      </c>
      <c r="AD1822" s="382">
        <v>0</v>
      </c>
      <c r="AE1822" s="381" t="s">
        <v>444</v>
      </c>
    </row>
    <row r="1823" spans="1:31" ht="15" customHeight="1" x14ac:dyDescent="0.25">
      <c r="A1823" s="20" t="s">
        <v>156</v>
      </c>
      <c r="B1823" s="20" t="s">
        <v>2056</v>
      </c>
      <c r="C1823" s="20" t="s">
        <v>2057</v>
      </c>
      <c r="D1823" s="378" t="s">
        <v>2443</v>
      </c>
      <c r="E1823" s="384">
        <v>45292</v>
      </c>
      <c r="F1823" s="384">
        <v>47119</v>
      </c>
      <c r="G1823" s="378" t="s">
        <v>439</v>
      </c>
      <c r="H1823" s="20" t="s">
        <v>2444</v>
      </c>
      <c r="I1823" s="378" t="s">
        <v>441</v>
      </c>
      <c r="J1823" s="20" t="s">
        <v>163</v>
      </c>
      <c r="K1823" s="378" t="s">
        <v>2445</v>
      </c>
      <c r="L1823" s="378" t="s">
        <v>165</v>
      </c>
      <c r="M1823" s="380" t="s">
        <v>488</v>
      </c>
      <c r="N1823" s="380" t="s">
        <v>443</v>
      </c>
      <c r="O1823" s="380" t="s">
        <v>443</v>
      </c>
      <c r="P1823" s="380" t="s">
        <v>443</v>
      </c>
      <c r="Q1823" s="381">
        <v>428.72782000000001</v>
      </c>
      <c r="R1823" s="381">
        <v>421.36279999999999</v>
      </c>
      <c r="S1823" s="381">
        <v>7.3649884999999999</v>
      </c>
      <c r="T1823" s="381">
        <v>2.6569829E-5</v>
      </c>
      <c r="U1823" s="381">
        <v>0</v>
      </c>
      <c r="V1823" s="382">
        <v>428.72781506982898</v>
      </c>
      <c r="W1823" s="382">
        <v>0</v>
      </c>
      <c r="X1823" s="381">
        <v>0.17863659166666668</v>
      </c>
      <c r="Y1823" s="381">
        <v>0.17556783333333334</v>
      </c>
      <c r="Z1823" s="381">
        <v>3.0687452083333331E-3</v>
      </c>
      <c r="AA1823" s="381">
        <v>1.1070762083333334E-8</v>
      </c>
      <c r="AB1823" s="381">
        <v>0</v>
      </c>
      <c r="AC1823" s="382">
        <v>0.17863658961242876</v>
      </c>
      <c r="AD1823" s="382">
        <v>0</v>
      </c>
      <c r="AE1823" s="381" t="s">
        <v>444</v>
      </c>
    </row>
    <row r="1824" spans="1:31" ht="15" customHeight="1" x14ac:dyDescent="0.25">
      <c r="A1824" s="20" t="s">
        <v>156</v>
      </c>
      <c r="B1824" s="20" t="s">
        <v>2056</v>
      </c>
      <c r="C1824" s="20" t="s">
        <v>2057</v>
      </c>
      <c r="D1824" s="378" t="s">
        <v>2446</v>
      </c>
      <c r="E1824" s="384">
        <v>45292</v>
      </c>
      <c r="F1824" s="384">
        <v>47119</v>
      </c>
      <c r="G1824" s="378" t="s">
        <v>439</v>
      </c>
      <c r="H1824" s="20" t="s">
        <v>2447</v>
      </c>
      <c r="I1824" s="378" t="s">
        <v>441</v>
      </c>
      <c r="J1824" s="20" t="s">
        <v>163</v>
      </c>
      <c r="K1824" s="378" t="s">
        <v>2448</v>
      </c>
      <c r="L1824" s="378" t="s">
        <v>165</v>
      </c>
      <c r="M1824" s="380" t="s">
        <v>488</v>
      </c>
      <c r="N1824" s="380" t="s">
        <v>443</v>
      </c>
      <c r="O1824" s="380" t="s">
        <v>443</v>
      </c>
      <c r="P1824" s="380" t="s">
        <v>443</v>
      </c>
      <c r="Q1824" s="381">
        <v>432.55016000000001</v>
      </c>
      <c r="R1824" s="381">
        <v>425.22082999999998</v>
      </c>
      <c r="S1824" s="381">
        <v>7.2226004000000001</v>
      </c>
      <c r="T1824" s="381">
        <v>0.10673283</v>
      </c>
      <c r="U1824" s="381">
        <v>0</v>
      </c>
      <c r="V1824" s="382">
        <v>432.55016322999995</v>
      </c>
      <c r="W1824" s="382">
        <v>0</v>
      </c>
      <c r="X1824" s="381">
        <v>0.18022923333333332</v>
      </c>
      <c r="Y1824" s="381">
        <v>0.17717534583333333</v>
      </c>
      <c r="Z1824" s="381">
        <v>3.0094168333333333E-3</v>
      </c>
      <c r="AA1824" s="381">
        <v>4.4472012500000001E-5</v>
      </c>
      <c r="AB1824" s="381">
        <v>0</v>
      </c>
      <c r="AC1824" s="382">
        <v>0.18022923467916666</v>
      </c>
      <c r="AD1824" s="382">
        <v>0</v>
      </c>
      <c r="AE1824" s="381" t="s">
        <v>444</v>
      </c>
    </row>
    <row r="1825" spans="1:31" ht="15" customHeight="1" x14ac:dyDescent="0.25">
      <c r="A1825" s="20" t="s">
        <v>156</v>
      </c>
      <c r="B1825" s="20" t="s">
        <v>2056</v>
      </c>
      <c r="C1825" s="20" t="s">
        <v>2057</v>
      </c>
      <c r="D1825" s="378" t="s">
        <v>2449</v>
      </c>
      <c r="E1825" s="384">
        <v>45292</v>
      </c>
      <c r="F1825" s="384">
        <v>47119</v>
      </c>
      <c r="G1825" s="378" t="s">
        <v>439</v>
      </c>
      <c r="H1825" s="20" t="s">
        <v>2450</v>
      </c>
      <c r="I1825" s="378" t="s">
        <v>441</v>
      </c>
      <c r="J1825" s="20" t="s">
        <v>163</v>
      </c>
      <c r="K1825" s="378" t="s">
        <v>2451</v>
      </c>
      <c r="L1825" s="378" t="s">
        <v>165</v>
      </c>
      <c r="M1825" s="380" t="s">
        <v>488</v>
      </c>
      <c r="N1825" s="380" t="s">
        <v>443</v>
      </c>
      <c r="O1825" s="380" t="s">
        <v>443</v>
      </c>
      <c r="P1825" s="380" t="s">
        <v>443</v>
      </c>
      <c r="Q1825" s="381">
        <v>467.26150999999999</v>
      </c>
      <c r="R1825" s="381">
        <v>466.74862000000002</v>
      </c>
      <c r="S1825" s="381">
        <v>0.51055616999999998</v>
      </c>
      <c r="T1825" s="381">
        <v>2.3370667999999999E-3</v>
      </c>
      <c r="U1825" s="381">
        <v>0</v>
      </c>
      <c r="V1825" s="382">
        <v>467.2615132368</v>
      </c>
      <c r="W1825" s="382">
        <v>0</v>
      </c>
      <c r="X1825" s="381">
        <v>0.19469229583333333</v>
      </c>
      <c r="Y1825" s="381">
        <v>0.19447859166666667</v>
      </c>
      <c r="Z1825" s="381">
        <v>2.127317375E-4</v>
      </c>
      <c r="AA1825" s="381">
        <v>9.7377783333333335E-7</v>
      </c>
      <c r="AB1825" s="381">
        <v>0</v>
      </c>
      <c r="AC1825" s="382">
        <v>0.19469229718200001</v>
      </c>
      <c r="AD1825" s="382">
        <v>0</v>
      </c>
      <c r="AE1825" s="381" t="s">
        <v>444</v>
      </c>
    </row>
    <row r="1826" spans="1:31" ht="15" customHeight="1" x14ac:dyDescent="0.25">
      <c r="A1826" s="20" t="s">
        <v>156</v>
      </c>
      <c r="B1826" s="20" t="s">
        <v>2056</v>
      </c>
      <c r="C1826" s="20" t="s">
        <v>2057</v>
      </c>
      <c r="D1826" s="378" t="s">
        <v>2452</v>
      </c>
      <c r="E1826" s="384">
        <v>45292</v>
      </c>
      <c r="F1826" s="384">
        <v>47119</v>
      </c>
      <c r="G1826" s="378" t="s">
        <v>439</v>
      </c>
      <c r="H1826" s="20" t="s">
        <v>2453</v>
      </c>
      <c r="I1826" s="378" t="s">
        <v>441</v>
      </c>
      <c r="J1826" s="20" t="s">
        <v>163</v>
      </c>
      <c r="K1826" s="378" t="s">
        <v>2454</v>
      </c>
      <c r="L1826" s="378" t="s">
        <v>165</v>
      </c>
      <c r="M1826" s="380" t="s">
        <v>488</v>
      </c>
      <c r="N1826" s="380" t="s">
        <v>443</v>
      </c>
      <c r="O1826" s="380" t="s">
        <v>443</v>
      </c>
      <c r="P1826" s="380" t="s">
        <v>443</v>
      </c>
      <c r="Q1826" s="381">
        <v>432.01900999999998</v>
      </c>
      <c r="R1826" s="381">
        <v>431.5172</v>
      </c>
      <c r="S1826" s="381">
        <v>0.4965252</v>
      </c>
      <c r="T1826" s="381">
        <v>5.2890226999999998E-3</v>
      </c>
      <c r="U1826" s="381">
        <v>0</v>
      </c>
      <c r="V1826" s="382">
        <v>432.01901422270004</v>
      </c>
      <c r="W1826" s="382">
        <v>0</v>
      </c>
      <c r="X1826" s="381">
        <v>0.18000792083333333</v>
      </c>
      <c r="Y1826" s="381">
        <v>0.17979883333333332</v>
      </c>
      <c r="Z1826" s="381">
        <v>2.068855E-4</v>
      </c>
      <c r="AA1826" s="381">
        <v>2.2037594583333334E-6</v>
      </c>
      <c r="AB1826" s="381">
        <v>0</v>
      </c>
      <c r="AC1826" s="382">
        <v>0.18000792259279166</v>
      </c>
      <c r="AD1826" s="382">
        <v>0</v>
      </c>
      <c r="AE1826" s="381" t="s">
        <v>444</v>
      </c>
    </row>
    <row r="1827" spans="1:31" ht="15" customHeight="1" x14ac:dyDescent="0.25">
      <c r="A1827" s="20" t="s">
        <v>156</v>
      </c>
      <c r="B1827" s="20" t="s">
        <v>2056</v>
      </c>
      <c r="C1827" s="20" t="s">
        <v>2057</v>
      </c>
      <c r="D1827" s="378" t="s">
        <v>2455</v>
      </c>
      <c r="E1827" s="384">
        <v>45292</v>
      </c>
      <c r="F1827" s="384">
        <v>47119</v>
      </c>
      <c r="G1827" s="378" t="s">
        <v>439</v>
      </c>
      <c r="H1827" s="20" t="s">
        <v>2456</v>
      </c>
      <c r="I1827" s="378" t="s">
        <v>441</v>
      </c>
      <c r="J1827" s="20" t="s">
        <v>163</v>
      </c>
      <c r="K1827" s="378" t="s">
        <v>2457</v>
      </c>
      <c r="L1827" s="378" t="s">
        <v>165</v>
      </c>
      <c r="M1827" s="380" t="s">
        <v>488</v>
      </c>
      <c r="N1827" s="380" t="s">
        <v>443</v>
      </c>
      <c r="O1827" s="380" t="s">
        <v>443</v>
      </c>
      <c r="P1827" s="380" t="s">
        <v>443</v>
      </c>
      <c r="Q1827" s="381">
        <v>428.88285999999999</v>
      </c>
      <c r="R1827" s="381">
        <v>428.38139999999999</v>
      </c>
      <c r="S1827" s="381">
        <v>0.49615849000000001</v>
      </c>
      <c r="T1827" s="381">
        <v>5.2990136000000002E-3</v>
      </c>
      <c r="U1827" s="381">
        <v>0</v>
      </c>
      <c r="V1827" s="382">
        <v>428.88285750360001</v>
      </c>
      <c r="W1827" s="382">
        <v>0</v>
      </c>
      <c r="X1827" s="381">
        <v>0.17870119166666668</v>
      </c>
      <c r="Y1827" s="381">
        <v>0.17849224999999999</v>
      </c>
      <c r="Z1827" s="381">
        <v>2.0673270416666668E-4</v>
      </c>
      <c r="AA1827" s="381">
        <v>2.2079223333333334E-6</v>
      </c>
      <c r="AB1827" s="381">
        <v>0</v>
      </c>
      <c r="AC1827" s="382">
        <v>0.17870119062649997</v>
      </c>
      <c r="AD1827" s="382">
        <v>0</v>
      </c>
      <c r="AE1827" s="381" t="s">
        <v>444</v>
      </c>
    </row>
    <row r="1828" spans="1:31" ht="15" customHeight="1" x14ac:dyDescent="0.25">
      <c r="A1828" s="20" t="s">
        <v>156</v>
      </c>
      <c r="B1828" s="20" t="s">
        <v>2056</v>
      </c>
      <c r="C1828" s="20" t="s">
        <v>2057</v>
      </c>
      <c r="D1828" s="378" t="s">
        <v>2458</v>
      </c>
      <c r="E1828" s="384">
        <v>45292</v>
      </c>
      <c r="F1828" s="384">
        <v>47119</v>
      </c>
      <c r="G1828" s="378" t="s">
        <v>439</v>
      </c>
      <c r="H1828" s="20" t="s">
        <v>2459</v>
      </c>
      <c r="I1828" s="378" t="s">
        <v>441</v>
      </c>
      <c r="J1828" s="20" t="s">
        <v>163</v>
      </c>
      <c r="K1828" s="378" t="s">
        <v>2460</v>
      </c>
      <c r="L1828" s="378" t="s">
        <v>165</v>
      </c>
      <c r="M1828" s="380" t="s">
        <v>488</v>
      </c>
      <c r="N1828" s="380" t="s">
        <v>443</v>
      </c>
      <c r="O1828" s="380" t="s">
        <v>443</v>
      </c>
      <c r="P1828" s="380" t="s">
        <v>443</v>
      </c>
      <c r="Q1828" s="381">
        <v>430.00222000000002</v>
      </c>
      <c r="R1828" s="381">
        <v>429.50213000000002</v>
      </c>
      <c r="S1828" s="381">
        <v>0.49478464999999999</v>
      </c>
      <c r="T1828" s="381">
        <v>5.3068511999999997E-3</v>
      </c>
      <c r="U1828" s="381">
        <v>0</v>
      </c>
      <c r="V1828" s="382">
        <v>430.00222150119998</v>
      </c>
      <c r="W1828" s="382">
        <v>0</v>
      </c>
      <c r="X1828" s="381">
        <v>0.17916759166666668</v>
      </c>
      <c r="Y1828" s="381">
        <v>0.17895922083333335</v>
      </c>
      <c r="Z1828" s="381">
        <v>2.0616027083333332E-4</v>
      </c>
      <c r="AA1828" s="381">
        <v>2.2111879999999998E-6</v>
      </c>
      <c r="AB1828" s="381">
        <v>0</v>
      </c>
      <c r="AC1828" s="382">
        <v>0.17916759229216669</v>
      </c>
      <c r="AD1828" s="382">
        <v>0</v>
      </c>
      <c r="AE1828" s="381" t="s">
        <v>444</v>
      </c>
    </row>
    <row r="1829" spans="1:31" ht="15" customHeight="1" x14ac:dyDescent="0.25">
      <c r="A1829" s="20" t="s">
        <v>156</v>
      </c>
      <c r="B1829" s="20" t="s">
        <v>2056</v>
      </c>
      <c r="C1829" s="20" t="s">
        <v>2057</v>
      </c>
      <c r="D1829" s="378" t="s">
        <v>2461</v>
      </c>
      <c r="E1829" s="384">
        <v>45292</v>
      </c>
      <c r="F1829" s="384">
        <v>47119</v>
      </c>
      <c r="G1829" s="378" t="s">
        <v>439</v>
      </c>
      <c r="H1829" s="20" t="s">
        <v>2462</v>
      </c>
      <c r="I1829" s="378" t="s">
        <v>441</v>
      </c>
      <c r="J1829" s="20" t="s">
        <v>163</v>
      </c>
      <c r="K1829" s="378" t="s">
        <v>2463</v>
      </c>
      <c r="L1829" s="378" t="s">
        <v>165</v>
      </c>
      <c r="M1829" s="380" t="s">
        <v>488</v>
      </c>
      <c r="N1829" s="380" t="s">
        <v>443</v>
      </c>
      <c r="O1829" s="380" t="s">
        <v>443</v>
      </c>
      <c r="P1829" s="380" t="s">
        <v>443</v>
      </c>
      <c r="Q1829" s="381">
        <v>436.76315</v>
      </c>
      <c r="R1829" s="381">
        <v>436.27855</v>
      </c>
      <c r="S1829" s="381">
        <v>0.48238590999999997</v>
      </c>
      <c r="T1829" s="381">
        <v>2.2188212999999998E-3</v>
      </c>
      <c r="U1829" s="381">
        <v>0</v>
      </c>
      <c r="V1829" s="382">
        <v>436.76315473130001</v>
      </c>
      <c r="W1829" s="382">
        <v>0</v>
      </c>
      <c r="X1829" s="381">
        <v>0.18198464583333332</v>
      </c>
      <c r="Y1829" s="381">
        <v>0.18178272916666666</v>
      </c>
      <c r="Z1829" s="381">
        <v>2.0099412916666667E-4</v>
      </c>
      <c r="AA1829" s="381">
        <v>9.245088749999999E-7</v>
      </c>
      <c r="AB1829" s="381">
        <v>0</v>
      </c>
      <c r="AC1829" s="382">
        <v>0.18198464780470833</v>
      </c>
      <c r="AD1829" s="382">
        <v>0</v>
      </c>
      <c r="AE1829" s="381" t="s">
        <v>444</v>
      </c>
    </row>
    <row r="1830" spans="1:31" ht="15" customHeight="1" x14ac:dyDescent="0.25">
      <c r="A1830" s="20" t="s">
        <v>156</v>
      </c>
      <c r="B1830" s="20" t="s">
        <v>2056</v>
      </c>
      <c r="C1830" s="20" t="s">
        <v>2057</v>
      </c>
      <c r="D1830" s="378" t="s">
        <v>2464</v>
      </c>
      <c r="E1830" s="384">
        <v>45292</v>
      </c>
      <c r="F1830" s="384">
        <v>47119</v>
      </c>
      <c r="G1830" s="378" t="s">
        <v>439</v>
      </c>
      <c r="H1830" s="20" t="s">
        <v>2465</v>
      </c>
      <c r="I1830" s="378" t="s">
        <v>441</v>
      </c>
      <c r="J1830" s="20" t="s">
        <v>163</v>
      </c>
      <c r="K1830" s="378" t="s">
        <v>2466</v>
      </c>
      <c r="L1830" s="378" t="s">
        <v>165</v>
      </c>
      <c r="M1830" s="380" t="s">
        <v>488</v>
      </c>
      <c r="N1830" s="380" t="s">
        <v>443</v>
      </c>
      <c r="O1830" s="380" t="s">
        <v>443</v>
      </c>
      <c r="P1830" s="380" t="s">
        <v>443</v>
      </c>
      <c r="Q1830" s="381">
        <v>429.78728999999998</v>
      </c>
      <c r="R1830" s="381">
        <v>429.32862</v>
      </c>
      <c r="S1830" s="381">
        <v>0.45382083000000001</v>
      </c>
      <c r="T1830" s="381">
        <v>4.8586692000000004E-3</v>
      </c>
      <c r="U1830" s="381">
        <v>0</v>
      </c>
      <c r="V1830" s="382">
        <v>429.7872994992</v>
      </c>
      <c r="W1830" s="382">
        <v>0</v>
      </c>
      <c r="X1830" s="381">
        <v>0.17907803749999998</v>
      </c>
      <c r="Y1830" s="381">
        <v>0.178886925</v>
      </c>
      <c r="Z1830" s="381">
        <v>1.890920125E-4</v>
      </c>
      <c r="AA1830" s="381">
        <v>2.0244455000000004E-6</v>
      </c>
      <c r="AB1830" s="381">
        <v>0</v>
      </c>
      <c r="AC1830" s="382">
        <v>0.17907804145799999</v>
      </c>
      <c r="AD1830" s="382">
        <v>0</v>
      </c>
      <c r="AE1830" s="381" t="s">
        <v>444</v>
      </c>
    </row>
    <row r="1831" spans="1:31" ht="15" customHeight="1" x14ac:dyDescent="0.25">
      <c r="A1831" s="20" t="s">
        <v>156</v>
      </c>
      <c r="B1831" s="20" t="s">
        <v>2056</v>
      </c>
      <c r="C1831" s="20" t="s">
        <v>2057</v>
      </c>
      <c r="D1831" s="378" t="s">
        <v>2467</v>
      </c>
      <c r="E1831" s="384">
        <v>45292</v>
      </c>
      <c r="F1831" s="384">
        <v>47119</v>
      </c>
      <c r="G1831" s="378" t="s">
        <v>439</v>
      </c>
      <c r="H1831" s="20" t="s">
        <v>2468</v>
      </c>
      <c r="I1831" s="378" t="s">
        <v>441</v>
      </c>
      <c r="J1831" s="20" t="s">
        <v>163</v>
      </c>
      <c r="K1831" s="378" t="s">
        <v>2469</v>
      </c>
      <c r="L1831" s="378" t="s">
        <v>165</v>
      </c>
      <c r="M1831" s="380" t="s">
        <v>488</v>
      </c>
      <c r="N1831" s="380" t="s">
        <v>443</v>
      </c>
      <c r="O1831" s="380" t="s">
        <v>443</v>
      </c>
      <c r="P1831" s="380" t="s">
        <v>443</v>
      </c>
      <c r="Q1831" s="381">
        <v>426.64963999999998</v>
      </c>
      <c r="R1831" s="381">
        <v>426.19141000000002</v>
      </c>
      <c r="S1831" s="381">
        <v>0.45336518999999997</v>
      </c>
      <c r="T1831" s="381">
        <v>4.8677633999999999E-3</v>
      </c>
      <c r="U1831" s="381">
        <v>0</v>
      </c>
      <c r="V1831" s="382">
        <v>426.64964295340002</v>
      </c>
      <c r="W1831" s="382">
        <v>0</v>
      </c>
      <c r="X1831" s="381">
        <v>0.17777068333333332</v>
      </c>
      <c r="Y1831" s="381">
        <v>0.17757975416666669</v>
      </c>
      <c r="Z1831" s="381">
        <v>1.8890216249999999E-4</v>
      </c>
      <c r="AA1831" s="381">
        <v>2.02823475E-6</v>
      </c>
      <c r="AB1831" s="381">
        <v>0</v>
      </c>
      <c r="AC1831" s="382">
        <v>0.1777706845639167</v>
      </c>
      <c r="AD1831" s="382">
        <v>0</v>
      </c>
      <c r="AE1831" s="381" t="s">
        <v>444</v>
      </c>
    </row>
    <row r="1832" spans="1:31" ht="15" customHeight="1" x14ac:dyDescent="0.25">
      <c r="A1832" s="20" t="s">
        <v>156</v>
      </c>
      <c r="B1832" s="20" t="s">
        <v>2056</v>
      </c>
      <c r="C1832" s="20" t="s">
        <v>2057</v>
      </c>
      <c r="D1832" s="378" t="s">
        <v>2470</v>
      </c>
      <c r="E1832" s="384">
        <v>45292</v>
      </c>
      <c r="F1832" s="384">
        <v>47119</v>
      </c>
      <c r="G1832" s="378" t="s">
        <v>439</v>
      </c>
      <c r="H1832" s="20" t="s">
        <v>2471</v>
      </c>
      <c r="I1832" s="378" t="s">
        <v>441</v>
      </c>
      <c r="J1832" s="20" t="s">
        <v>163</v>
      </c>
      <c r="K1832" s="378" t="s">
        <v>2472</v>
      </c>
      <c r="L1832" s="378" t="s">
        <v>165</v>
      </c>
      <c r="M1832" s="380" t="s">
        <v>488</v>
      </c>
      <c r="N1832" s="380" t="s">
        <v>443</v>
      </c>
      <c r="O1832" s="380" t="s">
        <v>443</v>
      </c>
      <c r="P1832" s="380" t="s">
        <v>443</v>
      </c>
      <c r="Q1832" s="381">
        <v>427.76416</v>
      </c>
      <c r="R1832" s="381">
        <v>427.30736999999999</v>
      </c>
      <c r="S1832" s="381">
        <v>0.45192336</v>
      </c>
      <c r="T1832" s="381">
        <v>4.8749160999999996E-3</v>
      </c>
      <c r="U1832" s="381">
        <v>0</v>
      </c>
      <c r="V1832" s="382">
        <v>427.76416827610001</v>
      </c>
      <c r="W1832" s="382">
        <v>0</v>
      </c>
      <c r="X1832" s="381">
        <v>0.17823506666666666</v>
      </c>
      <c r="Y1832" s="381">
        <v>0.17804473749999999</v>
      </c>
      <c r="Z1832" s="381">
        <v>1.8830139999999999E-4</v>
      </c>
      <c r="AA1832" s="381">
        <v>2.0312150416666666E-6</v>
      </c>
      <c r="AB1832" s="381">
        <v>0</v>
      </c>
      <c r="AC1832" s="382">
        <v>0.17823507011504167</v>
      </c>
      <c r="AD1832" s="382">
        <v>0</v>
      </c>
      <c r="AE1832" s="381" t="s">
        <v>444</v>
      </c>
    </row>
    <row r="1833" spans="1:31" ht="15" customHeight="1" x14ac:dyDescent="0.25">
      <c r="A1833" s="20" t="s">
        <v>156</v>
      </c>
      <c r="B1833" s="20" t="s">
        <v>2056</v>
      </c>
      <c r="C1833" s="20" t="s">
        <v>2057</v>
      </c>
      <c r="D1833" s="378" t="s">
        <v>2473</v>
      </c>
      <c r="E1833" s="384">
        <v>45292</v>
      </c>
      <c r="F1833" s="384">
        <v>47119</v>
      </c>
      <c r="G1833" s="378" t="s">
        <v>439</v>
      </c>
      <c r="H1833" s="20" t="s">
        <v>2474</v>
      </c>
      <c r="I1833" s="378" t="s">
        <v>441</v>
      </c>
      <c r="J1833" s="20" t="s">
        <v>163</v>
      </c>
      <c r="K1833" s="378" t="s">
        <v>2475</v>
      </c>
      <c r="L1833" s="378" t="s">
        <v>165</v>
      </c>
      <c r="M1833" s="380" t="s">
        <v>488</v>
      </c>
      <c r="N1833" s="380" t="s">
        <v>443</v>
      </c>
      <c r="O1833" s="380" t="s">
        <v>443</v>
      </c>
      <c r="P1833" s="380" t="s">
        <v>443</v>
      </c>
      <c r="Q1833" s="381">
        <v>446.68418000000003</v>
      </c>
      <c r="R1833" s="381">
        <v>446.24040000000002</v>
      </c>
      <c r="S1833" s="381">
        <v>0.44220837000000002</v>
      </c>
      <c r="T1833" s="381">
        <v>1.5667666E-3</v>
      </c>
      <c r="U1833" s="381">
        <v>0</v>
      </c>
      <c r="V1833" s="382">
        <v>446.6841751366</v>
      </c>
      <c r="W1833" s="382">
        <v>0</v>
      </c>
      <c r="X1833" s="381">
        <v>0.18611840833333335</v>
      </c>
      <c r="Y1833" s="381">
        <v>0.1859335</v>
      </c>
      <c r="Z1833" s="381">
        <v>1.842534875E-4</v>
      </c>
      <c r="AA1833" s="381">
        <v>6.5281941666666664E-7</v>
      </c>
      <c r="AB1833" s="381">
        <v>0</v>
      </c>
      <c r="AC1833" s="382">
        <v>0.18611840630691667</v>
      </c>
      <c r="AD1833" s="382">
        <v>0</v>
      </c>
      <c r="AE1833" s="381" t="s">
        <v>444</v>
      </c>
    </row>
    <row r="1834" spans="1:31" ht="15" customHeight="1" x14ac:dyDescent="0.25">
      <c r="A1834" s="20" t="s">
        <v>156</v>
      </c>
      <c r="B1834" s="20" t="s">
        <v>2056</v>
      </c>
      <c r="C1834" s="20" t="s">
        <v>2057</v>
      </c>
      <c r="D1834" s="378" t="s">
        <v>2476</v>
      </c>
      <c r="E1834" s="384">
        <v>45292</v>
      </c>
      <c r="F1834" s="384">
        <v>47119</v>
      </c>
      <c r="G1834" s="378" t="s">
        <v>439</v>
      </c>
      <c r="H1834" s="20" t="s">
        <v>2477</v>
      </c>
      <c r="I1834" s="378" t="s">
        <v>441</v>
      </c>
      <c r="J1834" s="20" t="s">
        <v>163</v>
      </c>
      <c r="K1834" s="378" t="s">
        <v>2478</v>
      </c>
      <c r="L1834" s="378" t="s">
        <v>165</v>
      </c>
      <c r="M1834" s="380" t="s">
        <v>488</v>
      </c>
      <c r="N1834" s="380" t="s">
        <v>443</v>
      </c>
      <c r="O1834" s="380" t="s">
        <v>443</v>
      </c>
      <c r="P1834" s="380" t="s">
        <v>443</v>
      </c>
      <c r="Q1834" s="381">
        <v>417.41917000000001</v>
      </c>
      <c r="R1834" s="381">
        <v>417.00078999999999</v>
      </c>
      <c r="S1834" s="381">
        <v>0.41689652999999999</v>
      </c>
      <c r="T1834" s="381">
        <v>1.4865013E-3</v>
      </c>
      <c r="U1834" s="381">
        <v>0</v>
      </c>
      <c r="V1834" s="382">
        <v>417.41917303129998</v>
      </c>
      <c r="W1834" s="382">
        <v>0</v>
      </c>
      <c r="X1834" s="381">
        <v>0.17392465416666666</v>
      </c>
      <c r="Y1834" s="381">
        <v>0.17375032916666666</v>
      </c>
      <c r="Z1834" s="381">
        <v>1.7370688749999998E-4</v>
      </c>
      <c r="AA1834" s="381">
        <v>6.1937554166666665E-7</v>
      </c>
      <c r="AB1834" s="381">
        <v>0</v>
      </c>
      <c r="AC1834" s="382">
        <v>0.17392465542970834</v>
      </c>
      <c r="AD1834" s="382">
        <v>0</v>
      </c>
      <c r="AE1834" s="381" t="s">
        <v>444</v>
      </c>
    </row>
    <row r="1835" spans="1:31" ht="15" customHeight="1" x14ac:dyDescent="0.25">
      <c r="A1835" s="20" t="s">
        <v>156</v>
      </c>
      <c r="B1835" s="20" t="s">
        <v>2056</v>
      </c>
      <c r="C1835" s="20" t="s">
        <v>2057</v>
      </c>
      <c r="D1835" s="378" t="s">
        <v>2479</v>
      </c>
      <c r="E1835" s="384">
        <v>45292</v>
      </c>
      <c r="F1835" s="384">
        <v>47119</v>
      </c>
      <c r="G1835" s="378" t="s">
        <v>439</v>
      </c>
      <c r="H1835" s="20" t="s">
        <v>2480</v>
      </c>
      <c r="I1835" s="378" t="s">
        <v>441</v>
      </c>
      <c r="J1835" s="20" t="s">
        <v>163</v>
      </c>
      <c r="K1835" s="378" t="s">
        <v>2481</v>
      </c>
      <c r="L1835" s="378" t="s">
        <v>165</v>
      </c>
      <c r="M1835" s="380" t="s">
        <v>488</v>
      </c>
      <c r="N1835" s="380" t="s">
        <v>443</v>
      </c>
      <c r="O1835" s="380" t="s">
        <v>443</v>
      </c>
      <c r="P1835" s="380" t="s">
        <v>443</v>
      </c>
      <c r="Q1835" s="381">
        <v>257.22751</v>
      </c>
      <c r="R1835" s="381">
        <v>256.91705000000002</v>
      </c>
      <c r="S1835" s="381">
        <v>0.30889569</v>
      </c>
      <c r="T1835" s="381">
        <v>1.5702775000000001E-3</v>
      </c>
      <c r="U1835" s="381">
        <v>0</v>
      </c>
      <c r="V1835" s="382">
        <v>257.22751596749998</v>
      </c>
      <c r="W1835" s="382">
        <v>0</v>
      </c>
      <c r="X1835" s="381">
        <v>0.10717812916666666</v>
      </c>
      <c r="Y1835" s="381">
        <v>0.10704877083333333</v>
      </c>
      <c r="Z1835" s="381">
        <v>1.2870653749999999E-4</v>
      </c>
      <c r="AA1835" s="381">
        <v>6.5428229166666666E-7</v>
      </c>
      <c r="AB1835" s="381">
        <v>0</v>
      </c>
      <c r="AC1835" s="382">
        <v>0.10717813165312499</v>
      </c>
      <c r="AD1835" s="382">
        <v>0</v>
      </c>
      <c r="AE1835" s="381" t="s">
        <v>444</v>
      </c>
    </row>
    <row r="1836" spans="1:31" ht="15" customHeight="1" x14ac:dyDescent="0.25">
      <c r="A1836" s="20" t="s">
        <v>156</v>
      </c>
      <c r="B1836" s="20" t="s">
        <v>2056</v>
      </c>
      <c r="C1836" s="20" t="s">
        <v>2057</v>
      </c>
      <c r="D1836" s="378" t="s">
        <v>2482</v>
      </c>
      <c r="E1836" s="384">
        <v>45292</v>
      </c>
      <c r="F1836" s="384">
        <v>47119</v>
      </c>
      <c r="G1836" s="378" t="s">
        <v>439</v>
      </c>
      <c r="H1836" s="20" t="s">
        <v>2483</v>
      </c>
      <c r="I1836" s="378" t="s">
        <v>441</v>
      </c>
      <c r="J1836" s="20" t="s">
        <v>163</v>
      </c>
      <c r="K1836" s="378" t="s">
        <v>2484</v>
      </c>
      <c r="L1836" s="378" t="s">
        <v>165</v>
      </c>
      <c r="M1836" s="380" t="s">
        <v>488</v>
      </c>
      <c r="N1836" s="380" t="s">
        <v>443</v>
      </c>
      <c r="O1836" s="380" t="s">
        <v>443</v>
      </c>
      <c r="P1836" s="380" t="s">
        <v>443</v>
      </c>
      <c r="Q1836" s="381">
        <v>255.99100000000001</v>
      </c>
      <c r="R1836" s="381">
        <v>255.68279000000001</v>
      </c>
      <c r="S1836" s="381">
        <v>0.30663647999999999</v>
      </c>
      <c r="T1836" s="381">
        <v>1.5750785999999999E-3</v>
      </c>
      <c r="U1836" s="381">
        <v>0</v>
      </c>
      <c r="V1836" s="382">
        <v>255.99100155860003</v>
      </c>
      <c r="W1836" s="382">
        <v>0</v>
      </c>
      <c r="X1836" s="381">
        <v>0.10666291666666668</v>
      </c>
      <c r="Y1836" s="381">
        <v>0.10653449583333334</v>
      </c>
      <c r="Z1836" s="381">
        <v>1.2776519999999999E-4</v>
      </c>
      <c r="AA1836" s="381">
        <v>6.5628274999999997E-7</v>
      </c>
      <c r="AB1836" s="381">
        <v>0</v>
      </c>
      <c r="AC1836" s="382">
        <v>0.10666291731608335</v>
      </c>
      <c r="AD1836" s="382">
        <v>0</v>
      </c>
      <c r="AE1836" s="381" t="s">
        <v>444</v>
      </c>
    </row>
    <row r="1837" spans="1:31" ht="15" customHeight="1" x14ac:dyDescent="0.25">
      <c r="A1837" s="20" t="s">
        <v>156</v>
      </c>
      <c r="B1837" s="20" t="s">
        <v>2056</v>
      </c>
      <c r="C1837" s="20" t="s">
        <v>2057</v>
      </c>
      <c r="D1837" s="378" t="s">
        <v>2485</v>
      </c>
      <c r="E1837" s="384">
        <v>45292</v>
      </c>
      <c r="F1837" s="384">
        <v>47119</v>
      </c>
      <c r="G1837" s="378" t="s">
        <v>439</v>
      </c>
      <c r="H1837" s="20" t="s">
        <v>2486</v>
      </c>
      <c r="I1837" s="378" t="s">
        <v>441</v>
      </c>
      <c r="J1837" s="20" t="s">
        <v>163</v>
      </c>
      <c r="K1837" s="378" t="s">
        <v>2487</v>
      </c>
      <c r="L1837" s="378" t="s">
        <v>165</v>
      </c>
      <c r="M1837" s="380" t="s">
        <v>488</v>
      </c>
      <c r="N1837" s="380" t="s">
        <v>443</v>
      </c>
      <c r="O1837" s="380" t="s">
        <v>443</v>
      </c>
      <c r="P1837" s="380" t="s">
        <v>443</v>
      </c>
      <c r="Q1837" s="381">
        <v>256.64735000000002</v>
      </c>
      <c r="R1837" s="381">
        <v>256.35064999999997</v>
      </c>
      <c r="S1837" s="381">
        <v>0.29531046</v>
      </c>
      <c r="T1837" s="381">
        <v>1.3956647E-3</v>
      </c>
      <c r="U1837" s="381">
        <v>0</v>
      </c>
      <c r="V1837" s="382">
        <v>256.64735612469997</v>
      </c>
      <c r="W1837" s="382">
        <v>0</v>
      </c>
      <c r="X1837" s="381">
        <v>0.10693639583333334</v>
      </c>
      <c r="Y1837" s="381">
        <v>0.10681277083333332</v>
      </c>
      <c r="Z1837" s="381">
        <v>1.2304602500000001E-4</v>
      </c>
      <c r="AA1837" s="381">
        <v>5.8152695833333332E-7</v>
      </c>
      <c r="AB1837" s="381">
        <v>0</v>
      </c>
      <c r="AC1837" s="382">
        <v>0.10693639838529166</v>
      </c>
      <c r="AD1837" s="382">
        <v>0</v>
      </c>
      <c r="AE1837" s="381" t="s">
        <v>444</v>
      </c>
    </row>
    <row r="1838" spans="1:31" ht="15" customHeight="1" x14ac:dyDescent="0.25">
      <c r="A1838" s="20" t="s">
        <v>156</v>
      </c>
      <c r="B1838" s="20" t="s">
        <v>2056</v>
      </c>
      <c r="C1838" s="20" t="s">
        <v>2057</v>
      </c>
      <c r="D1838" s="378" t="s">
        <v>2488</v>
      </c>
      <c r="E1838" s="384">
        <v>45292</v>
      </c>
      <c r="F1838" s="384">
        <v>47119</v>
      </c>
      <c r="G1838" s="378" t="s">
        <v>439</v>
      </c>
      <c r="H1838" s="20" t="s">
        <v>2489</v>
      </c>
      <c r="I1838" s="378" t="s">
        <v>441</v>
      </c>
      <c r="J1838" s="20" t="s">
        <v>163</v>
      </c>
      <c r="K1838" s="378" t="s">
        <v>2490</v>
      </c>
      <c r="L1838" s="378" t="s">
        <v>165</v>
      </c>
      <c r="M1838" s="380" t="s">
        <v>488</v>
      </c>
      <c r="N1838" s="380" t="s">
        <v>443</v>
      </c>
      <c r="O1838" s="380" t="s">
        <v>443</v>
      </c>
      <c r="P1838" s="380" t="s">
        <v>443</v>
      </c>
      <c r="Q1838" s="381">
        <v>255.40967000000001</v>
      </c>
      <c r="R1838" s="381">
        <v>255.11527000000001</v>
      </c>
      <c r="S1838" s="381">
        <v>0.29300134999999999</v>
      </c>
      <c r="T1838" s="381">
        <v>1.3998241000000001E-3</v>
      </c>
      <c r="U1838" s="381">
        <v>0</v>
      </c>
      <c r="V1838" s="382">
        <v>255.4096711741</v>
      </c>
      <c r="W1838" s="382">
        <v>0</v>
      </c>
      <c r="X1838" s="381">
        <v>0.10642069583333334</v>
      </c>
      <c r="Y1838" s="381">
        <v>0.10629802916666667</v>
      </c>
      <c r="Z1838" s="381">
        <v>1.2208389583333334E-4</v>
      </c>
      <c r="AA1838" s="381">
        <v>5.8326004166666669E-7</v>
      </c>
      <c r="AB1838" s="381">
        <v>0</v>
      </c>
      <c r="AC1838" s="382">
        <v>0.10642069632254167</v>
      </c>
      <c r="AD1838" s="382">
        <v>0</v>
      </c>
      <c r="AE1838" s="381" t="s">
        <v>444</v>
      </c>
    </row>
    <row r="1839" spans="1:31" ht="15" customHeight="1" x14ac:dyDescent="0.25">
      <c r="A1839" s="20" t="s">
        <v>156</v>
      </c>
      <c r="B1839" s="20" t="s">
        <v>2056</v>
      </c>
      <c r="C1839" s="20" t="s">
        <v>2057</v>
      </c>
      <c r="D1839" s="378" t="s">
        <v>2491</v>
      </c>
      <c r="E1839" s="384">
        <v>45292</v>
      </c>
      <c r="F1839" s="384">
        <v>47119</v>
      </c>
      <c r="G1839" s="378" t="s">
        <v>439</v>
      </c>
      <c r="H1839" s="20" t="s">
        <v>2492</v>
      </c>
      <c r="I1839" s="378" t="s">
        <v>441</v>
      </c>
      <c r="J1839" s="20" t="s">
        <v>163</v>
      </c>
      <c r="K1839" s="378" t="s">
        <v>2493</v>
      </c>
      <c r="L1839" s="378" t="s">
        <v>165</v>
      </c>
      <c r="M1839" s="380" t="s">
        <v>488</v>
      </c>
      <c r="N1839" s="380" t="s">
        <v>443</v>
      </c>
      <c r="O1839" s="380" t="s">
        <v>443</v>
      </c>
      <c r="P1839" s="380" t="s">
        <v>443</v>
      </c>
      <c r="Q1839" s="381">
        <v>392.04187000000002</v>
      </c>
      <c r="R1839" s="381">
        <v>391.79575999999997</v>
      </c>
      <c r="S1839" s="381">
        <v>0.12427323999999999</v>
      </c>
      <c r="T1839" s="381">
        <v>0.12183379</v>
      </c>
      <c r="U1839" s="381">
        <v>0</v>
      </c>
      <c r="V1839" s="382">
        <v>392.04186702999993</v>
      </c>
      <c r="W1839" s="382">
        <v>0</v>
      </c>
      <c r="X1839" s="381">
        <v>0.16335077916666668</v>
      </c>
      <c r="Y1839" s="381">
        <v>0.16324823333333333</v>
      </c>
      <c r="Z1839" s="381">
        <v>5.1780516666666667E-5</v>
      </c>
      <c r="AA1839" s="381">
        <v>5.0764079166666668E-5</v>
      </c>
      <c r="AB1839" s="381">
        <v>0</v>
      </c>
      <c r="AC1839" s="382">
        <v>0.16335077792916664</v>
      </c>
      <c r="AD1839" s="382">
        <v>0</v>
      </c>
      <c r="AE1839" s="381" t="s">
        <v>444</v>
      </c>
    </row>
    <row r="1840" spans="1:31" ht="15" customHeight="1" x14ac:dyDescent="0.25">
      <c r="A1840" s="20" t="s">
        <v>156</v>
      </c>
      <c r="B1840" s="20" t="s">
        <v>2056</v>
      </c>
      <c r="C1840" s="20" t="s">
        <v>2057</v>
      </c>
      <c r="D1840" s="378" t="s">
        <v>2494</v>
      </c>
      <c r="E1840" s="384">
        <v>45292</v>
      </c>
      <c r="F1840" s="384">
        <v>47119</v>
      </c>
      <c r="G1840" s="378" t="s">
        <v>439</v>
      </c>
      <c r="H1840" s="20" t="s">
        <v>2495</v>
      </c>
      <c r="I1840" s="378" t="s">
        <v>441</v>
      </c>
      <c r="J1840" s="20" t="s">
        <v>163</v>
      </c>
      <c r="K1840" s="378" t="s">
        <v>2496</v>
      </c>
      <c r="L1840" s="378" t="s">
        <v>165</v>
      </c>
      <c r="M1840" s="380" t="s">
        <v>488</v>
      </c>
      <c r="N1840" s="380" t="s">
        <v>443</v>
      </c>
      <c r="O1840" s="380" t="s">
        <v>443</v>
      </c>
      <c r="P1840" s="380" t="s">
        <v>443</v>
      </c>
      <c r="Q1840" s="381">
        <v>286.43961000000002</v>
      </c>
      <c r="R1840" s="381">
        <v>286.22561999999999</v>
      </c>
      <c r="S1840" s="381">
        <v>0.13604279999999999</v>
      </c>
      <c r="T1840" s="381">
        <v>7.7944610999999997E-2</v>
      </c>
      <c r="U1840" s="381">
        <v>0</v>
      </c>
      <c r="V1840" s="382">
        <v>286.439607411</v>
      </c>
      <c r="W1840" s="382">
        <v>0</v>
      </c>
      <c r="X1840" s="381">
        <v>0.1193498375</v>
      </c>
      <c r="Y1840" s="381">
        <v>0.119260675</v>
      </c>
      <c r="Z1840" s="381">
        <v>5.6684499999999996E-5</v>
      </c>
      <c r="AA1840" s="381">
        <v>3.2476921249999997E-5</v>
      </c>
      <c r="AB1840" s="381">
        <v>0</v>
      </c>
      <c r="AC1840" s="382">
        <v>0.11934983642124999</v>
      </c>
      <c r="AD1840" s="382">
        <v>0</v>
      </c>
      <c r="AE1840" s="381" t="s">
        <v>444</v>
      </c>
    </row>
    <row r="1841" spans="1:31" ht="15" customHeight="1" x14ac:dyDescent="0.25">
      <c r="A1841" s="20" t="s">
        <v>156</v>
      </c>
      <c r="B1841" s="20" t="s">
        <v>2056</v>
      </c>
      <c r="C1841" s="20" t="s">
        <v>2057</v>
      </c>
      <c r="D1841" s="378" t="s">
        <v>2497</v>
      </c>
      <c r="E1841" s="384">
        <v>45292</v>
      </c>
      <c r="F1841" s="384">
        <v>47119</v>
      </c>
      <c r="G1841" s="378" t="s">
        <v>439</v>
      </c>
      <c r="H1841" s="20" t="s">
        <v>2498</v>
      </c>
      <c r="I1841" s="378" t="s">
        <v>441</v>
      </c>
      <c r="J1841" s="20" t="s">
        <v>163</v>
      </c>
      <c r="K1841" s="378" t="s">
        <v>2499</v>
      </c>
      <c r="L1841" s="378" t="s">
        <v>165</v>
      </c>
      <c r="M1841" s="380" t="s">
        <v>488</v>
      </c>
      <c r="N1841" s="380" t="s">
        <v>443</v>
      </c>
      <c r="O1841" s="380" t="s">
        <v>443</v>
      </c>
      <c r="P1841" s="380" t="s">
        <v>443</v>
      </c>
      <c r="Q1841" s="381">
        <v>354.48406</v>
      </c>
      <c r="R1841" s="381">
        <v>354.29430000000002</v>
      </c>
      <c r="S1841" s="381">
        <v>0.15129132000000001</v>
      </c>
      <c r="T1841" s="381">
        <v>3.8469322E-2</v>
      </c>
      <c r="U1841" s="381">
        <v>0</v>
      </c>
      <c r="V1841" s="382">
        <v>354.48406064200003</v>
      </c>
      <c r="W1841" s="382">
        <v>0</v>
      </c>
      <c r="X1841" s="381">
        <v>0.14770169166666666</v>
      </c>
      <c r="Y1841" s="381">
        <v>0.14762262500000001</v>
      </c>
      <c r="Z1841" s="381">
        <v>6.3038050000000005E-5</v>
      </c>
      <c r="AA1841" s="381">
        <v>1.6028884166666666E-5</v>
      </c>
      <c r="AB1841" s="381">
        <v>0</v>
      </c>
      <c r="AC1841" s="382">
        <v>0.14770169193416666</v>
      </c>
      <c r="AD1841" s="382">
        <v>0</v>
      </c>
      <c r="AE1841" s="381" t="s">
        <v>444</v>
      </c>
    </row>
    <row r="1842" spans="1:31" ht="15" customHeight="1" x14ac:dyDescent="0.25">
      <c r="A1842" s="20" t="s">
        <v>156</v>
      </c>
      <c r="B1842" s="20" t="s">
        <v>2056</v>
      </c>
      <c r="C1842" s="20" t="s">
        <v>2057</v>
      </c>
      <c r="D1842" s="378" t="s">
        <v>2500</v>
      </c>
      <c r="E1842" s="384">
        <v>45292</v>
      </c>
      <c r="F1842" s="384">
        <v>47119</v>
      </c>
      <c r="G1842" s="378" t="s">
        <v>439</v>
      </c>
      <c r="H1842" s="20" t="s">
        <v>2501</v>
      </c>
      <c r="I1842" s="378" t="s">
        <v>441</v>
      </c>
      <c r="J1842" s="20" t="s">
        <v>163</v>
      </c>
      <c r="K1842" s="378" t="s">
        <v>2502</v>
      </c>
      <c r="L1842" s="378" t="s">
        <v>165</v>
      </c>
      <c r="M1842" s="380" t="s">
        <v>488</v>
      </c>
      <c r="N1842" s="380" t="s">
        <v>443</v>
      </c>
      <c r="O1842" s="380" t="s">
        <v>443</v>
      </c>
      <c r="P1842" s="380" t="s">
        <v>443</v>
      </c>
      <c r="Q1842" s="381">
        <v>370.79212000000001</v>
      </c>
      <c r="R1842" s="381">
        <v>370.60282000000001</v>
      </c>
      <c r="S1842" s="381">
        <v>0.18928982999999999</v>
      </c>
      <c r="T1842" s="381">
        <v>1.7214052E-5</v>
      </c>
      <c r="U1842" s="381">
        <v>0</v>
      </c>
      <c r="V1842" s="382">
        <v>370.79212704405199</v>
      </c>
      <c r="W1842" s="382">
        <v>0</v>
      </c>
      <c r="X1842" s="381">
        <v>0.15449671666666667</v>
      </c>
      <c r="Y1842" s="381">
        <v>0.15441784166666667</v>
      </c>
      <c r="Z1842" s="381">
        <v>7.8870762499999998E-5</v>
      </c>
      <c r="AA1842" s="381">
        <v>7.1725216666666666E-9</v>
      </c>
      <c r="AB1842" s="381">
        <v>0</v>
      </c>
      <c r="AC1842" s="382">
        <v>0.15449671960168831</v>
      </c>
      <c r="AD1842" s="382">
        <v>0</v>
      </c>
      <c r="AE1842" s="381" t="s">
        <v>444</v>
      </c>
    </row>
    <row r="1843" spans="1:31" ht="15" customHeight="1" x14ac:dyDescent="0.25">
      <c r="A1843" s="20" t="s">
        <v>156</v>
      </c>
      <c r="B1843" s="20" t="s">
        <v>2056</v>
      </c>
      <c r="C1843" s="20" t="s">
        <v>2057</v>
      </c>
      <c r="D1843" s="378" t="s">
        <v>2503</v>
      </c>
      <c r="E1843" s="384">
        <v>45292</v>
      </c>
      <c r="F1843" s="384">
        <v>47119</v>
      </c>
      <c r="G1843" s="378" t="s">
        <v>439</v>
      </c>
      <c r="H1843" s="20" t="s">
        <v>2504</v>
      </c>
      <c r="I1843" s="378" t="s">
        <v>441</v>
      </c>
      <c r="J1843" s="20" t="s">
        <v>163</v>
      </c>
      <c r="K1843" s="378" t="s">
        <v>2505</v>
      </c>
      <c r="L1843" s="378" t="s">
        <v>165</v>
      </c>
      <c r="M1843" s="380" t="s">
        <v>488</v>
      </c>
      <c r="N1843" s="380" t="s">
        <v>443</v>
      </c>
      <c r="O1843" s="380" t="s">
        <v>443</v>
      </c>
      <c r="P1843" s="380" t="s">
        <v>443</v>
      </c>
      <c r="Q1843" s="381">
        <v>308.13290999999998</v>
      </c>
      <c r="R1843" s="381">
        <v>307.95263</v>
      </c>
      <c r="S1843" s="381">
        <v>0.14760297999999999</v>
      </c>
      <c r="T1843" s="381">
        <v>3.2681076000000003E-2</v>
      </c>
      <c r="U1843" s="381">
        <v>0</v>
      </c>
      <c r="V1843" s="382">
        <v>308.132914056</v>
      </c>
      <c r="W1843" s="382">
        <v>0</v>
      </c>
      <c r="X1843" s="381">
        <v>0.1283887125</v>
      </c>
      <c r="Y1843" s="381">
        <v>0.12831359583333332</v>
      </c>
      <c r="Z1843" s="381">
        <v>6.1501241666666665E-5</v>
      </c>
      <c r="AA1843" s="381">
        <v>1.3617115000000002E-5</v>
      </c>
      <c r="AB1843" s="381">
        <v>0</v>
      </c>
      <c r="AC1843" s="382">
        <v>0.12838871419</v>
      </c>
      <c r="AD1843" s="382">
        <v>0</v>
      </c>
      <c r="AE1843" s="381" t="s">
        <v>444</v>
      </c>
    </row>
    <row r="1844" spans="1:31" ht="15" customHeight="1" x14ac:dyDescent="0.25">
      <c r="A1844" s="20" t="s">
        <v>156</v>
      </c>
      <c r="B1844" s="20" t="s">
        <v>2056</v>
      </c>
      <c r="C1844" s="20" t="s">
        <v>2057</v>
      </c>
      <c r="D1844" s="378" t="s">
        <v>2506</v>
      </c>
      <c r="E1844" s="384">
        <v>45292</v>
      </c>
      <c r="F1844" s="384">
        <v>47119</v>
      </c>
      <c r="G1844" s="378" t="s">
        <v>439</v>
      </c>
      <c r="H1844" s="20" t="s">
        <v>2507</v>
      </c>
      <c r="I1844" s="378" t="s">
        <v>441</v>
      </c>
      <c r="J1844" s="20" t="s">
        <v>163</v>
      </c>
      <c r="K1844" s="378" t="s">
        <v>2508</v>
      </c>
      <c r="L1844" s="378" t="s">
        <v>165</v>
      </c>
      <c r="M1844" s="380" t="s">
        <v>488</v>
      </c>
      <c r="N1844" s="380" t="s">
        <v>443</v>
      </c>
      <c r="O1844" s="380" t="s">
        <v>443</v>
      </c>
      <c r="P1844" s="380" t="s">
        <v>443</v>
      </c>
      <c r="Q1844" s="381">
        <v>370.84437000000003</v>
      </c>
      <c r="R1844" s="381">
        <v>370.66545000000002</v>
      </c>
      <c r="S1844" s="381">
        <v>0.13874891</v>
      </c>
      <c r="T1844" s="381">
        <v>4.0164128E-2</v>
      </c>
      <c r="U1844" s="381">
        <v>0</v>
      </c>
      <c r="V1844" s="382">
        <v>370.84436303800004</v>
      </c>
      <c r="W1844" s="382">
        <v>0</v>
      </c>
      <c r="X1844" s="381">
        <v>0.15451848750000002</v>
      </c>
      <c r="Y1844" s="381">
        <v>0.15444393750000002</v>
      </c>
      <c r="Z1844" s="381">
        <v>5.7812045833333332E-5</v>
      </c>
      <c r="AA1844" s="381">
        <v>1.6735053333333333E-5</v>
      </c>
      <c r="AB1844" s="381">
        <v>0</v>
      </c>
      <c r="AC1844" s="382">
        <v>0.15451848459916667</v>
      </c>
      <c r="AD1844" s="382">
        <v>0</v>
      </c>
      <c r="AE1844" s="381" t="s">
        <v>444</v>
      </c>
    </row>
    <row r="1845" spans="1:31" ht="15" customHeight="1" x14ac:dyDescent="0.25">
      <c r="A1845" s="20" t="s">
        <v>156</v>
      </c>
      <c r="B1845" s="20" t="s">
        <v>2056</v>
      </c>
      <c r="C1845" s="20" t="s">
        <v>2057</v>
      </c>
      <c r="D1845" s="378" t="s">
        <v>2509</v>
      </c>
      <c r="E1845" s="384">
        <v>45292</v>
      </c>
      <c r="F1845" s="384">
        <v>47119</v>
      </c>
      <c r="G1845" s="378" t="s">
        <v>439</v>
      </c>
      <c r="H1845" s="20" t="s">
        <v>2510</v>
      </c>
      <c r="I1845" s="378" t="s">
        <v>441</v>
      </c>
      <c r="J1845" s="20" t="s">
        <v>163</v>
      </c>
      <c r="K1845" s="378" t="s">
        <v>2511</v>
      </c>
      <c r="L1845" s="378" t="s">
        <v>165</v>
      </c>
      <c r="M1845" s="380" t="s">
        <v>488</v>
      </c>
      <c r="N1845" s="380" t="s">
        <v>443</v>
      </c>
      <c r="O1845" s="380" t="s">
        <v>443</v>
      </c>
      <c r="P1845" s="380" t="s">
        <v>443</v>
      </c>
      <c r="Q1845" s="381">
        <v>340.45263999999997</v>
      </c>
      <c r="R1845" s="381">
        <v>340.27944000000002</v>
      </c>
      <c r="S1845" s="381">
        <v>0.13724689000000001</v>
      </c>
      <c r="T1845" s="381">
        <v>3.5951873000000002E-2</v>
      </c>
      <c r="U1845" s="381">
        <v>0</v>
      </c>
      <c r="V1845" s="382">
        <v>340.45263876299998</v>
      </c>
      <c r="W1845" s="382">
        <v>0</v>
      </c>
      <c r="X1845" s="381">
        <v>0.14185526666666665</v>
      </c>
      <c r="Y1845" s="381">
        <v>0.14178310000000002</v>
      </c>
      <c r="Z1845" s="381">
        <v>5.7186204166666671E-5</v>
      </c>
      <c r="AA1845" s="381">
        <v>1.4979947083333335E-5</v>
      </c>
      <c r="AB1845" s="381">
        <v>0</v>
      </c>
      <c r="AC1845" s="382">
        <v>0.14185526615125002</v>
      </c>
      <c r="AD1845" s="382">
        <v>0</v>
      </c>
      <c r="AE1845" s="381" t="s">
        <v>444</v>
      </c>
    </row>
    <row r="1846" spans="1:31" ht="15" customHeight="1" x14ac:dyDescent="0.25">
      <c r="A1846" s="20" t="s">
        <v>156</v>
      </c>
      <c r="B1846" s="20" t="s">
        <v>2056</v>
      </c>
      <c r="C1846" s="20" t="s">
        <v>2057</v>
      </c>
      <c r="D1846" s="378" t="s">
        <v>2512</v>
      </c>
      <c r="E1846" s="384">
        <v>45292</v>
      </c>
      <c r="F1846" s="384">
        <v>47119</v>
      </c>
      <c r="G1846" s="378" t="s">
        <v>439</v>
      </c>
      <c r="H1846" s="20" t="s">
        <v>2513</v>
      </c>
      <c r="I1846" s="378" t="s">
        <v>441</v>
      </c>
      <c r="J1846" s="20" t="s">
        <v>163</v>
      </c>
      <c r="K1846" s="378" t="s">
        <v>2514</v>
      </c>
      <c r="L1846" s="378" t="s">
        <v>165</v>
      </c>
      <c r="M1846" s="380" t="s">
        <v>488</v>
      </c>
      <c r="N1846" s="380" t="s">
        <v>443</v>
      </c>
      <c r="O1846" s="380" t="s">
        <v>443</v>
      </c>
      <c r="P1846" s="380" t="s">
        <v>443</v>
      </c>
      <c r="Q1846" s="381">
        <v>320.83891</v>
      </c>
      <c r="R1846" s="381">
        <v>320.66613999999998</v>
      </c>
      <c r="S1846" s="381">
        <v>0.13969245999999999</v>
      </c>
      <c r="T1846" s="381">
        <v>3.3080682E-2</v>
      </c>
      <c r="U1846" s="381">
        <v>0</v>
      </c>
      <c r="V1846" s="382">
        <v>320.83891314199997</v>
      </c>
      <c r="W1846" s="382">
        <v>0</v>
      </c>
      <c r="X1846" s="381">
        <v>0.13368287916666666</v>
      </c>
      <c r="Y1846" s="381">
        <v>0.13361089166666665</v>
      </c>
      <c r="Z1846" s="381">
        <v>5.8205191666666665E-5</v>
      </c>
      <c r="AA1846" s="381">
        <v>1.3783617500000001E-5</v>
      </c>
      <c r="AB1846" s="381">
        <v>0</v>
      </c>
      <c r="AC1846" s="382">
        <v>0.13368288047583332</v>
      </c>
      <c r="AD1846" s="382">
        <v>0</v>
      </c>
      <c r="AE1846" s="381" t="s">
        <v>444</v>
      </c>
    </row>
    <row r="1847" spans="1:31" ht="15" customHeight="1" x14ac:dyDescent="0.25">
      <c r="A1847" s="20" t="s">
        <v>156</v>
      </c>
      <c r="B1847" s="20" t="s">
        <v>2056</v>
      </c>
      <c r="C1847" s="20" t="s">
        <v>2057</v>
      </c>
      <c r="D1847" s="378" t="s">
        <v>2515</v>
      </c>
      <c r="E1847" s="384">
        <v>45292</v>
      </c>
      <c r="F1847" s="384">
        <v>47119</v>
      </c>
      <c r="G1847" s="378" t="s">
        <v>439</v>
      </c>
      <c r="H1847" s="20" t="s">
        <v>2516</v>
      </c>
      <c r="I1847" s="378" t="s">
        <v>441</v>
      </c>
      <c r="J1847" s="20" t="s">
        <v>163</v>
      </c>
      <c r="K1847" s="378" t="s">
        <v>2517</v>
      </c>
      <c r="L1847" s="378" t="s">
        <v>165</v>
      </c>
      <c r="M1847" s="380" t="s">
        <v>488</v>
      </c>
      <c r="N1847" s="380" t="s">
        <v>443</v>
      </c>
      <c r="O1847" s="380" t="s">
        <v>443</v>
      </c>
      <c r="P1847" s="380" t="s">
        <v>443</v>
      </c>
      <c r="Q1847" s="381">
        <v>282.28086999999999</v>
      </c>
      <c r="R1847" s="381">
        <v>282.14679000000001</v>
      </c>
      <c r="S1847" s="381">
        <v>0.13405773000000001</v>
      </c>
      <c r="T1847" s="381">
        <v>2.0875947999999999E-5</v>
      </c>
      <c r="U1847" s="381">
        <v>0</v>
      </c>
      <c r="V1847" s="382">
        <v>282.280868605948</v>
      </c>
      <c r="W1847" s="382">
        <v>0</v>
      </c>
      <c r="X1847" s="381">
        <v>0.11761702916666666</v>
      </c>
      <c r="Y1847" s="381">
        <v>0.11756116250000001</v>
      </c>
      <c r="Z1847" s="381">
        <v>5.5857387500000007E-5</v>
      </c>
      <c r="AA1847" s="381">
        <v>8.6983116666666657E-9</v>
      </c>
      <c r="AB1847" s="381">
        <v>0</v>
      </c>
      <c r="AC1847" s="382">
        <v>0.11761702858581168</v>
      </c>
      <c r="AD1847" s="382">
        <v>0</v>
      </c>
      <c r="AE1847" s="381" t="s">
        <v>444</v>
      </c>
    </row>
    <row r="1848" spans="1:31" ht="15" customHeight="1" x14ac:dyDescent="0.25">
      <c r="A1848" s="20" t="s">
        <v>156</v>
      </c>
      <c r="B1848" s="20" t="s">
        <v>2056</v>
      </c>
      <c r="C1848" s="20" t="s">
        <v>2057</v>
      </c>
      <c r="D1848" s="378" t="s">
        <v>2518</v>
      </c>
      <c r="E1848" s="384">
        <v>45292</v>
      </c>
      <c r="F1848" s="384">
        <v>47119</v>
      </c>
      <c r="G1848" s="378" t="s">
        <v>439</v>
      </c>
      <c r="H1848" s="20" t="s">
        <v>2519</v>
      </c>
      <c r="I1848" s="378" t="s">
        <v>441</v>
      </c>
      <c r="J1848" s="20" t="s">
        <v>163</v>
      </c>
      <c r="K1848" s="378" t="s">
        <v>2520</v>
      </c>
      <c r="L1848" s="378" t="s">
        <v>165</v>
      </c>
      <c r="M1848" s="380" t="s">
        <v>488</v>
      </c>
      <c r="N1848" s="380" t="s">
        <v>443</v>
      </c>
      <c r="O1848" s="380" t="s">
        <v>443</v>
      </c>
      <c r="P1848" s="380" t="s">
        <v>443</v>
      </c>
      <c r="Q1848" s="381">
        <v>297.01542000000001</v>
      </c>
      <c r="R1848" s="381">
        <v>296.89503999999999</v>
      </c>
      <c r="S1848" s="381">
        <v>0.11820954</v>
      </c>
      <c r="T1848" s="381">
        <v>2.1751971999999999E-3</v>
      </c>
      <c r="U1848" s="381">
        <v>0</v>
      </c>
      <c r="V1848" s="382">
        <v>297.01542473720002</v>
      </c>
      <c r="W1848" s="382">
        <v>0</v>
      </c>
      <c r="X1848" s="381">
        <v>0.123756425</v>
      </c>
      <c r="Y1848" s="381">
        <v>0.12370626666666666</v>
      </c>
      <c r="Z1848" s="381">
        <v>4.9253974999999998E-5</v>
      </c>
      <c r="AA1848" s="381">
        <v>9.0633216666666661E-7</v>
      </c>
      <c r="AB1848" s="381">
        <v>0</v>
      </c>
      <c r="AC1848" s="382">
        <v>0.12375642697383332</v>
      </c>
      <c r="AD1848" s="382">
        <v>0</v>
      </c>
      <c r="AE1848" s="381" t="s">
        <v>444</v>
      </c>
    </row>
    <row r="1849" spans="1:31" ht="15" customHeight="1" x14ac:dyDescent="0.25">
      <c r="A1849" s="20" t="s">
        <v>156</v>
      </c>
      <c r="B1849" s="20" t="s">
        <v>2056</v>
      </c>
      <c r="C1849" s="20" t="s">
        <v>2057</v>
      </c>
      <c r="D1849" s="378" t="s">
        <v>2521</v>
      </c>
      <c r="E1849" s="384">
        <v>45292</v>
      </c>
      <c r="F1849" s="384">
        <v>47119</v>
      </c>
      <c r="G1849" s="378" t="s">
        <v>439</v>
      </c>
      <c r="H1849" s="20" t="s">
        <v>2522</v>
      </c>
      <c r="I1849" s="378" t="s">
        <v>441</v>
      </c>
      <c r="J1849" s="20" t="s">
        <v>163</v>
      </c>
      <c r="K1849" s="378" t="s">
        <v>2523</v>
      </c>
      <c r="L1849" s="378" t="s">
        <v>165</v>
      </c>
      <c r="M1849" s="380" t="s">
        <v>488</v>
      </c>
      <c r="N1849" s="380" t="s">
        <v>443</v>
      </c>
      <c r="O1849" s="380" t="s">
        <v>443</v>
      </c>
      <c r="P1849" s="380" t="s">
        <v>443</v>
      </c>
      <c r="Q1849" s="381">
        <v>520.47567000000004</v>
      </c>
      <c r="R1849" s="381">
        <v>520.35694999999998</v>
      </c>
      <c r="S1849" s="381">
        <v>0.11530723</v>
      </c>
      <c r="T1849" s="381">
        <v>3.4204042999999998E-3</v>
      </c>
      <c r="U1849" s="381">
        <v>0</v>
      </c>
      <c r="V1849" s="382">
        <v>520.47567763429993</v>
      </c>
      <c r="W1849" s="382">
        <v>0</v>
      </c>
      <c r="X1849" s="381">
        <v>0.21686486250000001</v>
      </c>
      <c r="Y1849" s="381">
        <v>0.21681539583333331</v>
      </c>
      <c r="Z1849" s="381">
        <v>4.8044679166666668E-5</v>
      </c>
      <c r="AA1849" s="381">
        <v>1.4251684583333332E-6</v>
      </c>
      <c r="AB1849" s="381">
        <v>0</v>
      </c>
      <c r="AC1849" s="382">
        <v>0.21686486568095831</v>
      </c>
      <c r="AD1849" s="382">
        <v>0</v>
      </c>
      <c r="AE1849" s="381" t="s">
        <v>444</v>
      </c>
    </row>
    <row r="1850" spans="1:31" ht="15" customHeight="1" x14ac:dyDescent="0.25">
      <c r="A1850" s="20" t="s">
        <v>156</v>
      </c>
      <c r="B1850" s="20" t="s">
        <v>2056</v>
      </c>
      <c r="C1850" s="20" t="s">
        <v>2057</v>
      </c>
      <c r="D1850" s="378" t="s">
        <v>2524</v>
      </c>
      <c r="E1850" s="384">
        <v>45292</v>
      </c>
      <c r="F1850" s="384">
        <v>47119</v>
      </c>
      <c r="G1850" s="378" t="s">
        <v>439</v>
      </c>
      <c r="H1850" s="20" t="s">
        <v>2525</v>
      </c>
      <c r="I1850" s="378" t="s">
        <v>441</v>
      </c>
      <c r="J1850" s="20" t="s">
        <v>163</v>
      </c>
      <c r="K1850" s="378" t="s">
        <v>2526</v>
      </c>
      <c r="L1850" s="378" t="s">
        <v>165</v>
      </c>
      <c r="M1850" s="380" t="s">
        <v>488</v>
      </c>
      <c r="N1850" s="380" t="s">
        <v>443</v>
      </c>
      <c r="O1850" s="380" t="s">
        <v>443</v>
      </c>
      <c r="P1850" s="380" t="s">
        <v>443</v>
      </c>
      <c r="Q1850" s="381">
        <v>238.03969000000001</v>
      </c>
      <c r="R1850" s="381">
        <v>237.92457999999999</v>
      </c>
      <c r="S1850" s="381">
        <v>8.2034721000000005E-2</v>
      </c>
      <c r="T1850" s="381">
        <v>3.3071328999999997E-2</v>
      </c>
      <c r="U1850" s="381">
        <v>0</v>
      </c>
      <c r="V1850" s="382">
        <v>238.03968605</v>
      </c>
      <c r="W1850" s="382">
        <v>0</v>
      </c>
      <c r="X1850" s="381">
        <v>9.9183204166666664E-2</v>
      </c>
      <c r="Y1850" s="381">
        <v>9.9135241666666665E-2</v>
      </c>
      <c r="Z1850" s="381">
        <v>3.4181133750000004E-5</v>
      </c>
      <c r="AA1850" s="381">
        <v>1.3779720416666665E-5</v>
      </c>
      <c r="AB1850" s="381">
        <v>0</v>
      </c>
      <c r="AC1850" s="382">
        <v>9.9183202520833333E-2</v>
      </c>
      <c r="AD1850" s="382">
        <v>0</v>
      </c>
      <c r="AE1850" s="381" t="s">
        <v>444</v>
      </c>
    </row>
    <row r="1851" spans="1:31" ht="15" customHeight="1" x14ac:dyDescent="0.25">
      <c r="A1851" s="20" t="s">
        <v>156</v>
      </c>
      <c r="B1851" s="20" t="s">
        <v>2056</v>
      </c>
      <c r="C1851" s="20" t="s">
        <v>2057</v>
      </c>
      <c r="D1851" s="378" t="s">
        <v>2527</v>
      </c>
      <c r="E1851" s="384">
        <v>45292</v>
      </c>
      <c r="F1851" s="384">
        <v>47119</v>
      </c>
      <c r="G1851" s="378" t="s">
        <v>439</v>
      </c>
      <c r="H1851" s="20" t="s">
        <v>2528</v>
      </c>
      <c r="I1851" s="378" t="s">
        <v>441</v>
      </c>
      <c r="J1851" s="20" t="s">
        <v>163</v>
      </c>
      <c r="K1851" s="378" t="s">
        <v>2529</v>
      </c>
      <c r="L1851" s="378" t="s">
        <v>165</v>
      </c>
      <c r="M1851" s="380" t="s">
        <v>488</v>
      </c>
      <c r="N1851" s="380" t="s">
        <v>443</v>
      </c>
      <c r="O1851" s="380" t="s">
        <v>443</v>
      </c>
      <c r="P1851" s="380" t="s">
        <v>443</v>
      </c>
      <c r="Q1851" s="381">
        <v>296.43567999999999</v>
      </c>
      <c r="R1851" s="381">
        <v>296.32909000000001</v>
      </c>
      <c r="S1851" s="381">
        <v>0.10459606</v>
      </c>
      <c r="T1851" s="381">
        <v>2.0002206999999998E-3</v>
      </c>
      <c r="U1851" s="381">
        <v>0</v>
      </c>
      <c r="V1851" s="382">
        <v>296.4356862807</v>
      </c>
      <c r="W1851" s="382">
        <v>0</v>
      </c>
      <c r="X1851" s="381">
        <v>0.12351486666666667</v>
      </c>
      <c r="Y1851" s="381">
        <v>0.12347045416666667</v>
      </c>
      <c r="Z1851" s="381">
        <v>4.3581691666666672E-5</v>
      </c>
      <c r="AA1851" s="381">
        <v>8.3342529166666658E-7</v>
      </c>
      <c r="AB1851" s="381">
        <v>0</v>
      </c>
      <c r="AC1851" s="382">
        <v>0.12351486928362501</v>
      </c>
      <c r="AD1851" s="382">
        <v>0</v>
      </c>
      <c r="AE1851" s="381" t="s">
        <v>444</v>
      </c>
    </row>
    <row r="1852" spans="1:31" ht="15" customHeight="1" x14ac:dyDescent="0.25">
      <c r="A1852" s="20" t="s">
        <v>156</v>
      </c>
      <c r="B1852" s="20" t="s">
        <v>2056</v>
      </c>
      <c r="C1852" s="20" t="s">
        <v>2057</v>
      </c>
      <c r="D1852" s="378" t="s">
        <v>2530</v>
      </c>
      <c r="E1852" s="384">
        <v>45292</v>
      </c>
      <c r="F1852" s="384">
        <v>47119</v>
      </c>
      <c r="G1852" s="378" t="s">
        <v>439</v>
      </c>
      <c r="H1852" s="20" t="s">
        <v>2531</v>
      </c>
      <c r="I1852" s="378" t="s">
        <v>441</v>
      </c>
      <c r="J1852" s="20" t="s">
        <v>163</v>
      </c>
      <c r="K1852" s="378" t="s">
        <v>2532</v>
      </c>
      <c r="L1852" s="378" t="s">
        <v>165</v>
      </c>
      <c r="M1852" s="380" t="s">
        <v>488</v>
      </c>
      <c r="N1852" s="380" t="s">
        <v>443</v>
      </c>
      <c r="O1852" s="380" t="s">
        <v>443</v>
      </c>
      <c r="P1852" s="380" t="s">
        <v>443</v>
      </c>
      <c r="Q1852" s="381">
        <v>427.60257999999999</v>
      </c>
      <c r="R1852" s="381">
        <v>427.51967000000002</v>
      </c>
      <c r="S1852" s="381">
        <v>6.6399747999999995E-2</v>
      </c>
      <c r="T1852" s="381">
        <v>1.6512083E-2</v>
      </c>
      <c r="U1852" s="381">
        <v>0</v>
      </c>
      <c r="V1852" s="382">
        <v>427.60258183100001</v>
      </c>
      <c r="W1852" s="382">
        <v>0</v>
      </c>
      <c r="X1852" s="381">
        <v>0.17816774166666666</v>
      </c>
      <c r="Y1852" s="381">
        <v>0.17813319583333334</v>
      </c>
      <c r="Z1852" s="381">
        <v>2.7666561666666663E-5</v>
      </c>
      <c r="AA1852" s="381">
        <v>6.8800345833333337E-6</v>
      </c>
      <c r="AB1852" s="381">
        <v>0</v>
      </c>
      <c r="AC1852" s="382">
        <v>0.17816774242958333</v>
      </c>
      <c r="AD1852" s="382">
        <v>0</v>
      </c>
      <c r="AE1852" s="381" t="s">
        <v>444</v>
      </c>
    </row>
    <row r="1853" spans="1:31" ht="15" customHeight="1" x14ac:dyDescent="0.25">
      <c r="A1853" s="20" t="s">
        <v>156</v>
      </c>
      <c r="B1853" s="20" t="s">
        <v>2056</v>
      </c>
      <c r="C1853" s="20" t="s">
        <v>2057</v>
      </c>
      <c r="D1853" s="378" t="s">
        <v>2533</v>
      </c>
      <c r="E1853" s="384">
        <v>45292</v>
      </c>
      <c r="F1853" s="384">
        <v>47119</v>
      </c>
      <c r="G1853" s="378" t="s">
        <v>439</v>
      </c>
      <c r="H1853" s="20" t="s">
        <v>2534</v>
      </c>
      <c r="I1853" s="378" t="s">
        <v>441</v>
      </c>
      <c r="J1853" s="20" t="s">
        <v>163</v>
      </c>
      <c r="K1853" s="378" t="s">
        <v>2535</v>
      </c>
      <c r="L1853" s="378" t="s">
        <v>165</v>
      </c>
      <c r="M1853" s="380" t="s">
        <v>488</v>
      </c>
      <c r="N1853" s="380" t="s">
        <v>443</v>
      </c>
      <c r="O1853" s="380" t="s">
        <v>443</v>
      </c>
      <c r="P1853" s="380" t="s">
        <v>443</v>
      </c>
      <c r="Q1853" s="381">
        <v>497.72</v>
      </c>
      <c r="R1853" s="381">
        <v>497.65174999999999</v>
      </c>
      <c r="S1853" s="381">
        <v>6.5612250999999996E-2</v>
      </c>
      <c r="T1853" s="381">
        <v>2.6380674000000002E-3</v>
      </c>
      <c r="U1853" s="381">
        <v>0</v>
      </c>
      <c r="V1853" s="382">
        <v>497.72000031840003</v>
      </c>
      <c r="W1853" s="382">
        <v>0</v>
      </c>
      <c r="X1853" s="381">
        <v>0.20738333333333334</v>
      </c>
      <c r="Y1853" s="381">
        <v>0.20735489583333333</v>
      </c>
      <c r="Z1853" s="381">
        <v>2.7338437916666665E-5</v>
      </c>
      <c r="AA1853" s="381">
        <v>1.09919475E-6</v>
      </c>
      <c r="AB1853" s="381">
        <v>0</v>
      </c>
      <c r="AC1853" s="382">
        <v>0.20738333346599999</v>
      </c>
      <c r="AD1853" s="382">
        <v>0</v>
      </c>
      <c r="AE1853" s="381" t="s">
        <v>444</v>
      </c>
    </row>
    <row r="1854" spans="1:31" ht="15" customHeight="1" x14ac:dyDescent="0.25">
      <c r="A1854" s="20" t="s">
        <v>156</v>
      </c>
      <c r="B1854" s="20" t="s">
        <v>2056</v>
      </c>
      <c r="C1854" s="20" t="s">
        <v>2057</v>
      </c>
      <c r="D1854" s="378" t="s">
        <v>2536</v>
      </c>
      <c r="E1854" s="384">
        <v>45292</v>
      </c>
      <c r="F1854" s="384">
        <v>47119</v>
      </c>
      <c r="G1854" s="378" t="s">
        <v>439</v>
      </c>
      <c r="H1854" s="20" t="s">
        <v>2537</v>
      </c>
      <c r="I1854" s="378" t="s">
        <v>441</v>
      </c>
      <c r="J1854" s="20" t="s">
        <v>163</v>
      </c>
      <c r="K1854" s="378" t="s">
        <v>2538</v>
      </c>
      <c r="L1854" s="378" t="s">
        <v>165</v>
      </c>
      <c r="M1854" s="380" t="s">
        <v>488</v>
      </c>
      <c r="N1854" s="380" t="s">
        <v>443</v>
      </c>
      <c r="O1854" s="380" t="s">
        <v>443</v>
      </c>
      <c r="P1854" s="380" t="s">
        <v>443</v>
      </c>
      <c r="Q1854" s="381">
        <v>426.45841000000001</v>
      </c>
      <c r="R1854" s="381">
        <v>426.39393000000001</v>
      </c>
      <c r="S1854" s="381">
        <v>4.8554039E-2</v>
      </c>
      <c r="T1854" s="381">
        <v>1.5930577000000001E-2</v>
      </c>
      <c r="U1854" s="381">
        <v>0</v>
      </c>
      <c r="V1854" s="382">
        <v>426.45841461600003</v>
      </c>
      <c r="W1854" s="382">
        <v>0</v>
      </c>
      <c r="X1854" s="381">
        <v>0.17769100416666667</v>
      </c>
      <c r="Y1854" s="381">
        <v>0.17766413750000001</v>
      </c>
      <c r="Z1854" s="381">
        <v>2.0230849583333332E-5</v>
      </c>
      <c r="AA1854" s="381">
        <v>6.6377404166666675E-6</v>
      </c>
      <c r="AB1854" s="381">
        <v>0</v>
      </c>
      <c r="AC1854" s="382">
        <v>0.17769100609000002</v>
      </c>
      <c r="AD1854" s="382">
        <v>0</v>
      </c>
      <c r="AE1854" s="381" t="s">
        <v>444</v>
      </c>
    </row>
    <row r="1855" spans="1:31" ht="15" customHeight="1" x14ac:dyDescent="0.25">
      <c r="A1855" s="20" t="s">
        <v>156</v>
      </c>
      <c r="B1855" s="20" t="s">
        <v>2539</v>
      </c>
      <c r="C1855" s="20" t="s">
        <v>2540</v>
      </c>
      <c r="D1855" s="378" t="s">
        <v>2541</v>
      </c>
      <c r="E1855" s="379">
        <v>44588</v>
      </c>
      <c r="F1855" s="379">
        <v>46414</v>
      </c>
      <c r="G1855" s="378" t="s">
        <v>160</v>
      </c>
      <c r="H1855" s="20" t="s">
        <v>161</v>
      </c>
      <c r="I1855" s="20" t="s">
        <v>162</v>
      </c>
      <c r="J1855" s="20" t="s">
        <v>163</v>
      </c>
      <c r="K1855" s="378" t="s">
        <v>164</v>
      </c>
      <c r="L1855" s="20" t="s">
        <v>165</v>
      </c>
      <c r="M1855" s="380">
        <v>2400</v>
      </c>
      <c r="N1855" s="380"/>
      <c r="O1855" s="380"/>
      <c r="P1855" s="380"/>
      <c r="Q1855" s="381" t="s">
        <v>2542</v>
      </c>
      <c r="R1855" s="381">
        <v>355</v>
      </c>
      <c r="S1855" s="381" t="s">
        <v>2543</v>
      </c>
      <c r="T1855" s="381"/>
      <c r="U1855" s="381"/>
      <c r="V1855" s="382">
        <v>355.4</v>
      </c>
      <c r="W1855" s="382">
        <v>0</v>
      </c>
      <c r="X1855" s="381">
        <v>0.14791666666666667</v>
      </c>
      <c r="Y1855" s="381">
        <v>0.14791666666666667</v>
      </c>
      <c r="Z1855" s="381">
        <v>1.6666666666666669E-4</v>
      </c>
      <c r="AA1855" s="381">
        <v>0</v>
      </c>
      <c r="AB1855" s="381">
        <v>0</v>
      </c>
      <c r="AC1855" s="382">
        <v>0.14808333333333334</v>
      </c>
      <c r="AD1855" s="382">
        <v>0</v>
      </c>
      <c r="AE1855" s="381" t="s">
        <v>168</v>
      </c>
    </row>
    <row r="1856" spans="1:31" ht="15" customHeight="1" x14ac:dyDescent="0.25">
      <c r="A1856" s="20" t="s">
        <v>156</v>
      </c>
      <c r="B1856" s="20" t="s">
        <v>2539</v>
      </c>
      <c r="C1856" s="20" t="s">
        <v>2540</v>
      </c>
      <c r="D1856" s="378" t="s">
        <v>2544</v>
      </c>
      <c r="E1856" s="379">
        <v>44588</v>
      </c>
      <c r="F1856" s="379">
        <v>46414</v>
      </c>
      <c r="G1856" s="378" t="s">
        <v>160</v>
      </c>
      <c r="H1856" s="20" t="s">
        <v>161</v>
      </c>
      <c r="I1856" s="20" t="s">
        <v>162</v>
      </c>
      <c r="J1856" s="20" t="s">
        <v>163</v>
      </c>
      <c r="K1856" s="378" t="s">
        <v>164</v>
      </c>
      <c r="L1856" s="20" t="s">
        <v>165</v>
      </c>
      <c r="M1856" s="380">
        <v>2400</v>
      </c>
      <c r="N1856" s="380"/>
      <c r="O1856" s="380"/>
      <c r="P1856" s="380"/>
      <c r="Q1856" s="381" t="s">
        <v>2545</v>
      </c>
      <c r="R1856" s="381">
        <v>339</v>
      </c>
      <c r="S1856" s="381" t="s">
        <v>1463</v>
      </c>
      <c r="T1856" s="381"/>
      <c r="U1856" s="381"/>
      <c r="V1856" s="382">
        <v>339.35</v>
      </c>
      <c r="W1856" s="382">
        <v>0</v>
      </c>
      <c r="X1856" s="381">
        <v>0.14124999999999999</v>
      </c>
      <c r="Y1856" s="381">
        <v>0.14124999999999999</v>
      </c>
      <c r="Z1856" s="381">
        <v>1.4583333333333332E-4</v>
      </c>
      <c r="AA1856" s="381">
        <v>0</v>
      </c>
      <c r="AB1856" s="381">
        <v>0</v>
      </c>
      <c r="AC1856" s="382">
        <v>0.14139583333333333</v>
      </c>
      <c r="AD1856" s="382">
        <v>0</v>
      </c>
      <c r="AE1856" s="381" t="s">
        <v>168</v>
      </c>
    </row>
    <row r="1857" spans="1:31" ht="15" customHeight="1" x14ac:dyDescent="0.25">
      <c r="A1857" s="20" t="s">
        <v>156</v>
      </c>
      <c r="B1857" s="20" t="s">
        <v>2539</v>
      </c>
      <c r="C1857" s="20" t="s">
        <v>2540</v>
      </c>
      <c r="D1857" s="378" t="s">
        <v>2546</v>
      </c>
      <c r="E1857" s="379">
        <v>44588</v>
      </c>
      <c r="F1857" s="379">
        <v>46414</v>
      </c>
      <c r="G1857" s="378" t="s">
        <v>160</v>
      </c>
      <c r="H1857" s="20" t="s">
        <v>161</v>
      </c>
      <c r="I1857" s="20" t="s">
        <v>162</v>
      </c>
      <c r="J1857" s="20" t="s">
        <v>163</v>
      </c>
      <c r="K1857" s="378" t="s">
        <v>164</v>
      </c>
      <c r="L1857" s="20" t="s">
        <v>165</v>
      </c>
      <c r="M1857" s="380">
        <v>2400</v>
      </c>
      <c r="N1857" s="380"/>
      <c r="O1857" s="380"/>
      <c r="P1857" s="380"/>
      <c r="Q1857" s="381" t="s">
        <v>2074</v>
      </c>
      <c r="R1857" s="381">
        <v>340</v>
      </c>
      <c r="S1857" s="381" t="s">
        <v>1463</v>
      </c>
      <c r="T1857" s="381"/>
      <c r="U1857" s="381"/>
      <c r="V1857" s="382">
        <v>340.35</v>
      </c>
      <c r="W1857" s="382">
        <v>0</v>
      </c>
      <c r="X1857" s="381">
        <v>0.14166666666666666</v>
      </c>
      <c r="Y1857" s="381">
        <v>0.14166666666666666</v>
      </c>
      <c r="Z1857" s="381">
        <v>1.4583333333333332E-4</v>
      </c>
      <c r="AA1857" s="381">
        <v>0</v>
      </c>
      <c r="AB1857" s="381">
        <v>0</v>
      </c>
      <c r="AC1857" s="382">
        <v>0.14181250000000001</v>
      </c>
      <c r="AD1857" s="382">
        <v>0</v>
      </c>
      <c r="AE1857" s="381" t="s">
        <v>168</v>
      </c>
    </row>
    <row r="1858" spans="1:31" ht="15" customHeight="1" x14ac:dyDescent="0.25">
      <c r="A1858" s="20" t="s">
        <v>156</v>
      </c>
      <c r="B1858" s="20" t="s">
        <v>2539</v>
      </c>
      <c r="C1858" s="20" t="s">
        <v>2540</v>
      </c>
      <c r="D1858" s="378" t="s">
        <v>2547</v>
      </c>
      <c r="E1858" s="379">
        <v>45016</v>
      </c>
      <c r="F1858" s="379">
        <v>46843</v>
      </c>
      <c r="G1858" s="378" t="s">
        <v>179</v>
      </c>
      <c r="H1858" s="20" t="s">
        <v>202</v>
      </c>
      <c r="I1858" s="20" t="s">
        <v>162</v>
      </c>
      <c r="J1858" s="20" t="s">
        <v>163</v>
      </c>
      <c r="K1858" s="378" t="s">
        <v>203</v>
      </c>
      <c r="L1858" s="20" t="s">
        <v>165</v>
      </c>
      <c r="M1858" s="380">
        <v>2400</v>
      </c>
      <c r="N1858" s="380"/>
      <c r="O1858" s="380"/>
      <c r="P1858" s="380"/>
      <c r="Q1858" s="381">
        <v>372</v>
      </c>
      <c r="R1858" s="381">
        <v>372</v>
      </c>
      <c r="S1858" s="381">
        <v>0.35</v>
      </c>
      <c r="T1858" s="381"/>
      <c r="U1858" s="381"/>
      <c r="V1858" s="382">
        <v>372.35</v>
      </c>
      <c r="W1858" s="382">
        <v>0</v>
      </c>
      <c r="X1858" s="381">
        <v>0.155</v>
      </c>
      <c r="Y1858" s="381">
        <v>0.155</v>
      </c>
      <c r="Z1858" s="381">
        <v>1.4583333333333332E-4</v>
      </c>
      <c r="AA1858" s="381">
        <v>0</v>
      </c>
      <c r="AB1858" s="381">
        <v>0</v>
      </c>
      <c r="AC1858" s="382">
        <v>0.15514583333333334</v>
      </c>
      <c r="AD1858" s="382">
        <v>0</v>
      </c>
      <c r="AE1858" s="381" t="s">
        <v>168</v>
      </c>
    </row>
    <row r="1859" spans="1:31" ht="15" customHeight="1" x14ac:dyDescent="0.25">
      <c r="A1859" s="20" t="s">
        <v>156</v>
      </c>
      <c r="B1859" s="20" t="s">
        <v>2539</v>
      </c>
      <c r="C1859" s="20" t="s">
        <v>2540</v>
      </c>
      <c r="D1859" s="378" t="s">
        <v>2548</v>
      </c>
      <c r="E1859" s="379">
        <v>44573</v>
      </c>
      <c r="F1859" s="379">
        <v>46656</v>
      </c>
      <c r="G1859" s="378" t="s">
        <v>179</v>
      </c>
      <c r="H1859" s="20" t="s">
        <v>180</v>
      </c>
      <c r="I1859" s="20" t="s">
        <v>162</v>
      </c>
      <c r="J1859" s="20" t="s">
        <v>163</v>
      </c>
      <c r="K1859" s="378" t="s">
        <v>181</v>
      </c>
      <c r="L1859" s="20" t="s">
        <v>165</v>
      </c>
      <c r="M1859" s="380">
        <v>2400</v>
      </c>
      <c r="N1859" s="380"/>
      <c r="O1859" s="380"/>
      <c r="P1859" s="380"/>
      <c r="Q1859" s="381" t="s">
        <v>2549</v>
      </c>
      <c r="R1859" s="381" t="s">
        <v>2549</v>
      </c>
      <c r="S1859" s="381" t="s">
        <v>538</v>
      </c>
      <c r="T1859" s="381"/>
      <c r="U1859" s="381"/>
      <c r="V1859" s="382">
        <v>344.32</v>
      </c>
      <c r="W1859" s="382">
        <v>0</v>
      </c>
      <c r="X1859" s="381">
        <v>0.14333333333333334</v>
      </c>
      <c r="Y1859" s="381">
        <v>0.14333333333333334</v>
      </c>
      <c r="Z1859" s="381">
        <v>1.3333333333333334E-4</v>
      </c>
      <c r="AA1859" s="381">
        <v>0</v>
      </c>
      <c r="AB1859" s="381">
        <v>0</v>
      </c>
      <c r="AC1859" s="382">
        <v>0.14346666666666669</v>
      </c>
      <c r="AD1859" s="382">
        <v>0</v>
      </c>
      <c r="AE1859" s="381" t="s">
        <v>168</v>
      </c>
    </row>
    <row r="1860" spans="1:31" ht="15" customHeight="1" x14ac:dyDescent="0.25">
      <c r="A1860" s="20" t="s">
        <v>156</v>
      </c>
      <c r="B1860" s="20" t="s">
        <v>2539</v>
      </c>
      <c r="C1860" s="20" t="s">
        <v>2540</v>
      </c>
      <c r="D1860" s="378" t="s">
        <v>2550</v>
      </c>
      <c r="E1860" s="379">
        <v>44581</v>
      </c>
      <c r="F1860" s="379">
        <v>46407</v>
      </c>
      <c r="G1860" s="378" t="s">
        <v>237</v>
      </c>
      <c r="H1860" s="20" t="s">
        <v>238</v>
      </c>
      <c r="I1860" s="20" t="s">
        <v>162</v>
      </c>
      <c r="J1860" s="20" t="s">
        <v>163</v>
      </c>
      <c r="K1860" s="378" t="s">
        <v>239</v>
      </c>
      <c r="L1860" s="20" t="s">
        <v>165</v>
      </c>
      <c r="M1860" s="380">
        <v>2400</v>
      </c>
      <c r="N1860" s="380"/>
      <c r="O1860" s="380"/>
      <c r="P1860" s="380"/>
      <c r="Q1860" s="381" t="s">
        <v>2084</v>
      </c>
      <c r="R1860" s="381" t="s">
        <v>2084</v>
      </c>
      <c r="S1860" s="381" t="s">
        <v>183</v>
      </c>
      <c r="T1860" s="381"/>
      <c r="U1860" s="381"/>
      <c r="V1860" s="382">
        <v>353.26</v>
      </c>
      <c r="W1860" s="382">
        <v>0</v>
      </c>
      <c r="X1860" s="381">
        <v>0.14708333333333334</v>
      </c>
      <c r="Y1860" s="381">
        <v>0.14708333333333334</v>
      </c>
      <c r="Z1860" s="381">
        <v>1.0833333333333334E-4</v>
      </c>
      <c r="AA1860" s="381">
        <v>0</v>
      </c>
      <c r="AB1860" s="381">
        <v>0</v>
      </c>
      <c r="AC1860" s="382">
        <v>0.14719166666666667</v>
      </c>
      <c r="AD1860" s="382">
        <v>0</v>
      </c>
      <c r="AE1860" s="381" t="s">
        <v>168</v>
      </c>
    </row>
    <row r="1861" spans="1:31" ht="15" customHeight="1" x14ac:dyDescent="0.25">
      <c r="A1861" s="20" t="s">
        <v>156</v>
      </c>
      <c r="B1861" s="20" t="s">
        <v>2539</v>
      </c>
      <c r="C1861" s="20" t="s">
        <v>2540</v>
      </c>
      <c r="D1861" s="378" t="s">
        <v>2551</v>
      </c>
      <c r="E1861" s="379">
        <v>44581</v>
      </c>
      <c r="F1861" s="379">
        <v>46407</v>
      </c>
      <c r="G1861" s="378" t="s">
        <v>237</v>
      </c>
      <c r="H1861" s="20" t="s">
        <v>238</v>
      </c>
      <c r="I1861" s="20" t="s">
        <v>162</v>
      </c>
      <c r="J1861" s="20" t="s">
        <v>163</v>
      </c>
      <c r="K1861" s="378" t="s">
        <v>239</v>
      </c>
      <c r="L1861" s="20" t="s">
        <v>165</v>
      </c>
      <c r="M1861" s="380">
        <v>2400</v>
      </c>
      <c r="N1861" s="380"/>
      <c r="O1861" s="380"/>
      <c r="P1861" s="380"/>
      <c r="Q1861" s="381" t="s">
        <v>2542</v>
      </c>
      <c r="R1861" s="381" t="s">
        <v>2542</v>
      </c>
      <c r="S1861" s="381" t="s">
        <v>183</v>
      </c>
      <c r="T1861" s="381"/>
      <c r="U1861" s="381"/>
      <c r="V1861" s="382">
        <v>355.26</v>
      </c>
      <c r="W1861" s="382">
        <v>0</v>
      </c>
      <c r="X1861" s="381">
        <v>0.14791666666666667</v>
      </c>
      <c r="Y1861" s="381">
        <v>0.14791666666666667</v>
      </c>
      <c r="Z1861" s="381">
        <v>1.0833333333333334E-4</v>
      </c>
      <c r="AA1861" s="381">
        <v>0</v>
      </c>
      <c r="AB1861" s="381">
        <v>0</v>
      </c>
      <c r="AC1861" s="382">
        <v>0.14802499999999999</v>
      </c>
      <c r="AD1861" s="382">
        <v>0</v>
      </c>
      <c r="AE1861" s="381" t="s">
        <v>168</v>
      </c>
    </row>
    <row r="1862" spans="1:31" ht="15" customHeight="1" x14ac:dyDescent="0.25">
      <c r="A1862" s="20" t="s">
        <v>156</v>
      </c>
      <c r="B1862" s="20" t="s">
        <v>2539</v>
      </c>
      <c r="C1862" s="20" t="s">
        <v>2540</v>
      </c>
      <c r="D1862" s="378" t="s">
        <v>2552</v>
      </c>
      <c r="E1862" s="379">
        <v>45038</v>
      </c>
      <c r="F1862" s="379">
        <v>46865</v>
      </c>
      <c r="G1862" s="383" t="s">
        <v>193</v>
      </c>
      <c r="H1862" s="20" t="s">
        <v>229</v>
      </c>
      <c r="I1862" s="20" t="s">
        <v>162</v>
      </c>
      <c r="J1862" s="20" t="s">
        <v>163</v>
      </c>
      <c r="K1862" s="378" t="s">
        <v>230</v>
      </c>
      <c r="L1862" s="20" t="s">
        <v>165</v>
      </c>
      <c r="M1862" s="380">
        <v>2400</v>
      </c>
      <c r="N1862" s="380"/>
      <c r="O1862" s="380"/>
      <c r="P1862" s="380"/>
      <c r="Q1862" s="381" t="s">
        <v>2553</v>
      </c>
      <c r="R1862" s="381" t="s">
        <v>2553</v>
      </c>
      <c r="S1862" s="381" t="s">
        <v>957</v>
      </c>
      <c r="T1862" s="381"/>
      <c r="U1862" s="381"/>
      <c r="V1862" s="382">
        <v>348.25</v>
      </c>
      <c r="W1862" s="382">
        <v>0</v>
      </c>
      <c r="X1862" s="381">
        <v>0.14499999999999999</v>
      </c>
      <c r="Y1862" s="381">
        <v>0.14499999999999999</v>
      </c>
      <c r="Z1862" s="381">
        <v>1.0416666666666667E-4</v>
      </c>
      <c r="AA1862" s="381">
        <v>0</v>
      </c>
      <c r="AB1862" s="381">
        <v>0</v>
      </c>
      <c r="AC1862" s="382">
        <v>0.14510416666666665</v>
      </c>
      <c r="AD1862" s="382">
        <v>0</v>
      </c>
      <c r="AE1862" s="381" t="s">
        <v>168</v>
      </c>
    </row>
    <row r="1863" spans="1:31" ht="15" customHeight="1" x14ac:dyDescent="0.25">
      <c r="A1863" s="20" t="s">
        <v>156</v>
      </c>
      <c r="B1863" s="20" t="s">
        <v>2539</v>
      </c>
      <c r="C1863" s="20" t="s">
        <v>2540</v>
      </c>
      <c r="D1863" s="378" t="s">
        <v>2554</v>
      </c>
      <c r="E1863" s="379">
        <v>44581</v>
      </c>
      <c r="F1863" s="379">
        <v>46407</v>
      </c>
      <c r="G1863" s="378" t="s">
        <v>237</v>
      </c>
      <c r="H1863" s="20" t="s">
        <v>238</v>
      </c>
      <c r="I1863" s="20" t="s">
        <v>162</v>
      </c>
      <c r="J1863" s="20" t="s">
        <v>163</v>
      </c>
      <c r="K1863" s="378" t="s">
        <v>239</v>
      </c>
      <c r="L1863" s="20" t="s">
        <v>165</v>
      </c>
      <c r="M1863" s="380">
        <v>2400</v>
      </c>
      <c r="N1863" s="380"/>
      <c r="O1863" s="380"/>
      <c r="P1863" s="380"/>
      <c r="Q1863" s="381" t="s">
        <v>2555</v>
      </c>
      <c r="R1863" s="381" t="s">
        <v>2555</v>
      </c>
      <c r="S1863" s="381" t="s">
        <v>967</v>
      </c>
      <c r="T1863" s="381"/>
      <c r="U1863" s="381"/>
      <c r="V1863" s="382">
        <v>370.22</v>
      </c>
      <c r="W1863" s="382">
        <v>0</v>
      </c>
      <c r="X1863" s="381">
        <v>0.15416666666666667</v>
      </c>
      <c r="Y1863" s="381">
        <v>0.15416666666666667</v>
      </c>
      <c r="Z1863" s="381">
        <v>9.1666666666666668E-5</v>
      </c>
      <c r="AA1863" s="381">
        <v>0</v>
      </c>
      <c r="AB1863" s="381">
        <v>0</v>
      </c>
      <c r="AC1863" s="382">
        <v>0.15425833333333333</v>
      </c>
      <c r="AD1863" s="382">
        <v>0</v>
      </c>
      <c r="AE1863" s="381" t="s">
        <v>168</v>
      </c>
    </row>
    <row r="1864" spans="1:31" ht="15" customHeight="1" x14ac:dyDescent="0.25">
      <c r="A1864" s="20" t="s">
        <v>156</v>
      </c>
      <c r="B1864" s="20" t="s">
        <v>2539</v>
      </c>
      <c r="C1864" s="20" t="s">
        <v>2540</v>
      </c>
      <c r="D1864" s="378" t="s">
        <v>2556</v>
      </c>
      <c r="E1864" s="379">
        <v>44581</v>
      </c>
      <c r="F1864" s="379">
        <v>46407</v>
      </c>
      <c r="G1864" s="378" t="s">
        <v>237</v>
      </c>
      <c r="H1864" s="20" t="s">
        <v>238</v>
      </c>
      <c r="I1864" s="20" t="s">
        <v>162</v>
      </c>
      <c r="J1864" s="20" t="s">
        <v>163</v>
      </c>
      <c r="K1864" s="378" t="s">
        <v>239</v>
      </c>
      <c r="L1864" s="20" t="s">
        <v>165</v>
      </c>
      <c r="M1864" s="380">
        <v>2400</v>
      </c>
      <c r="N1864" s="380"/>
      <c r="O1864" s="380"/>
      <c r="P1864" s="380"/>
      <c r="Q1864" s="381" t="s">
        <v>2557</v>
      </c>
      <c r="R1864" s="381" t="s">
        <v>2557</v>
      </c>
      <c r="S1864" s="381" t="s">
        <v>964</v>
      </c>
      <c r="T1864" s="381"/>
      <c r="U1864" s="381"/>
      <c r="V1864" s="382">
        <v>369.21</v>
      </c>
      <c r="W1864" s="382">
        <v>0</v>
      </c>
      <c r="X1864" s="381">
        <v>0.15375</v>
      </c>
      <c r="Y1864" s="381">
        <v>0.15375</v>
      </c>
      <c r="Z1864" s="381">
        <v>8.7499999999999999E-5</v>
      </c>
      <c r="AA1864" s="381">
        <v>0</v>
      </c>
      <c r="AB1864" s="381">
        <v>0</v>
      </c>
      <c r="AC1864" s="382">
        <v>0.15383749999999999</v>
      </c>
      <c r="AD1864" s="382">
        <v>0</v>
      </c>
      <c r="AE1864" s="381" t="s">
        <v>168</v>
      </c>
    </row>
    <row r="1865" spans="1:31" ht="15" customHeight="1" x14ac:dyDescent="0.25">
      <c r="A1865" s="20" t="s">
        <v>156</v>
      </c>
      <c r="B1865" s="20" t="s">
        <v>2558</v>
      </c>
      <c r="C1865" s="20" t="s">
        <v>2540</v>
      </c>
      <c r="D1865" s="378" t="s">
        <v>2559</v>
      </c>
      <c r="E1865" s="379">
        <v>44573</v>
      </c>
      <c r="F1865" s="379">
        <v>46656</v>
      </c>
      <c r="G1865" s="378" t="s">
        <v>179</v>
      </c>
      <c r="H1865" s="20" t="s">
        <v>180</v>
      </c>
      <c r="I1865" s="20" t="s">
        <v>162</v>
      </c>
      <c r="J1865" s="20" t="s">
        <v>163</v>
      </c>
      <c r="K1865" s="378" t="s">
        <v>181</v>
      </c>
      <c r="L1865" s="20" t="s">
        <v>165</v>
      </c>
      <c r="M1865" s="380">
        <v>2400</v>
      </c>
      <c r="N1865" s="380"/>
      <c r="O1865" s="380"/>
      <c r="P1865" s="380"/>
      <c r="Q1865" s="381" t="s">
        <v>1582</v>
      </c>
      <c r="R1865" s="381" t="s">
        <v>1582</v>
      </c>
      <c r="S1865" s="381" t="s">
        <v>189</v>
      </c>
      <c r="T1865" s="381"/>
      <c r="U1865" s="381"/>
      <c r="V1865" s="382">
        <v>289.16000000000003</v>
      </c>
      <c r="W1865" s="382">
        <v>0</v>
      </c>
      <c r="X1865" s="381">
        <v>0.12041666666666667</v>
      </c>
      <c r="Y1865" s="381">
        <v>0.12041666666666667</v>
      </c>
      <c r="Z1865" s="381">
        <v>6.666666666666667E-5</v>
      </c>
      <c r="AA1865" s="381">
        <v>0</v>
      </c>
      <c r="AB1865" s="381">
        <v>0</v>
      </c>
      <c r="AC1865" s="382">
        <v>0.12048333333333335</v>
      </c>
      <c r="AD1865" s="382">
        <v>0</v>
      </c>
      <c r="AE1865" s="381" t="s">
        <v>168</v>
      </c>
    </row>
    <row r="1866" spans="1:31" ht="15" customHeight="1" x14ac:dyDescent="0.25">
      <c r="A1866" s="20" t="s">
        <v>156</v>
      </c>
      <c r="B1866" s="20" t="s">
        <v>2558</v>
      </c>
      <c r="C1866" s="20" t="s">
        <v>2540</v>
      </c>
      <c r="D1866" s="378" t="s">
        <v>2559</v>
      </c>
      <c r="E1866" s="379">
        <v>44573</v>
      </c>
      <c r="F1866" s="379">
        <v>46656</v>
      </c>
      <c r="G1866" s="378" t="s">
        <v>179</v>
      </c>
      <c r="H1866" s="20" t="s">
        <v>180</v>
      </c>
      <c r="I1866" s="20" t="s">
        <v>162</v>
      </c>
      <c r="J1866" s="20" t="s">
        <v>163</v>
      </c>
      <c r="K1866" s="378" t="s">
        <v>181</v>
      </c>
      <c r="L1866" s="20" t="s">
        <v>165</v>
      </c>
      <c r="M1866" s="380">
        <v>2400</v>
      </c>
      <c r="N1866" s="380"/>
      <c r="O1866" s="380"/>
      <c r="P1866" s="380"/>
      <c r="Q1866" s="381" t="s">
        <v>1582</v>
      </c>
      <c r="R1866" s="381" t="s">
        <v>1582</v>
      </c>
      <c r="S1866" s="381" t="s">
        <v>189</v>
      </c>
      <c r="T1866" s="381"/>
      <c r="U1866" s="381"/>
      <c r="V1866" s="382">
        <v>289.16000000000003</v>
      </c>
      <c r="W1866" s="382">
        <v>0</v>
      </c>
      <c r="X1866" s="381">
        <v>0.12041666666666667</v>
      </c>
      <c r="Y1866" s="381">
        <v>0.12041666666666667</v>
      </c>
      <c r="Z1866" s="381">
        <v>6.666666666666667E-5</v>
      </c>
      <c r="AA1866" s="381">
        <v>0</v>
      </c>
      <c r="AB1866" s="381">
        <v>0</v>
      </c>
      <c r="AC1866" s="382">
        <v>0.12048333333333335</v>
      </c>
      <c r="AD1866" s="382">
        <v>0</v>
      </c>
      <c r="AE1866" s="381" t="s">
        <v>168</v>
      </c>
    </row>
    <row r="1867" spans="1:31" ht="15" customHeight="1" x14ac:dyDescent="0.25">
      <c r="A1867" s="20" t="s">
        <v>156</v>
      </c>
      <c r="B1867" s="20" t="s">
        <v>2539</v>
      </c>
      <c r="C1867" s="20" t="s">
        <v>2540</v>
      </c>
      <c r="D1867" s="378" t="s">
        <v>2560</v>
      </c>
      <c r="E1867" s="379">
        <v>45016</v>
      </c>
      <c r="F1867" s="379">
        <v>46843</v>
      </c>
      <c r="G1867" s="378" t="s">
        <v>179</v>
      </c>
      <c r="H1867" s="20" t="s">
        <v>202</v>
      </c>
      <c r="I1867" s="20" t="s">
        <v>162</v>
      </c>
      <c r="J1867" s="20" t="s">
        <v>163</v>
      </c>
      <c r="K1867" s="378" t="s">
        <v>203</v>
      </c>
      <c r="L1867" s="20" t="s">
        <v>165</v>
      </c>
      <c r="M1867" s="380">
        <v>2400</v>
      </c>
      <c r="N1867" s="380"/>
      <c r="O1867" s="380"/>
      <c r="P1867" s="380"/>
      <c r="Q1867" s="381">
        <v>369</v>
      </c>
      <c r="R1867" s="381">
        <v>369</v>
      </c>
      <c r="S1867" s="381">
        <v>0.19</v>
      </c>
      <c r="T1867" s="381"/>
      <c r="U1867" s="381"/>
      <c r="V1867" s="382">
        <v>369.19</v>
      </c>
      <c r="W1867" s="382">
        <v>0</v>
      </c>
      <c r="X1867" s="381">
        <v>0.15375</v>
      </c>
      <c r="Y1867" s="381">
        <v>0.15375</v>
      </c>
      <c r="Z1867" s="381">
        <v>7.9166666666666662E-5</v>
      </c>
      <c r="AA1867" s="381">
        <v>0</v>
      </c>
      <c r="AB1867" s="381">
        <v>0</v>
      </c>
      <c r="AC1867" s="382">
        <v>0.15382916666666666</v>
      </c>
      <c r="AD1867" s="382">
        <v>0</v>
      </c>
      <c r="AE1867" s="381" t="s">
        <v>168</v>
      </c>
    </row>
    <row r="1868" spans="1:31" ht="15" customHeight="1" x14ac:dyDescent="0.25">
      <c r="A1868" s="20" t="s">
        <v>156</v>
      </c>
      <c r="B1868" s="20" t="s">
        <v>2561</v>
      </c>
      <c r="C1868" s="20" t="s">
        <v>2540</v>
      </c>
      <c r="D1868" s="378" t="s">
        <v>2562</v>
      </c>
      <c r="E1868" s="379">
        <v>45016</v>
      </c>
      <c r="F1868" s="379">
        <v>46843</v>
      </c>
      <c r="G1868" s="378" t="s">
        <v>281</v>
      </c>
      <c r="H1868" s="20" t="s">
        <v>282</v>
      </c>
      <c r="I1868" s="20" t="s">
        <v>162</v>
      </c>
      <c r="J1868" s="20" t="s">
        <v>163</v>
      </c>
      <c r="K1868" s="378" t="s">
        <v>283</v>
      </c>
      <c r="L1868" s="20" t="s">
        <v>165</v>
      </c>
      <c r="M1868" s="380">
        <v>2400</v>
      </c>
      <c r="N1868" s="380"/>
      <c r="O1868" s="380"/>
      <c r="P1868" s="380"/>
      <c r="Q1868" s="381">
        <v>349.87</v>
      </c>
      <c r="R1868" s="381">
        <v>349.83</v>
      </c>
      <c r="S1868" s="381">
        <v>4.3299999999999998E-2</v>
      </c>
      <c r="T1868" s="381"/>
      <c r="U1868" s="381"/>
      <c r="V1868" s="382">
        <v>349.87329999999997</v>
      </c>
      <c r="W1868" s="382">
        <v>0</v>
      </c>
      <c r="X1868" s="381">
        <v>0.14577916666666668</v>
      </c>
      <c r="Y1868" s="381">
        <v>0.14576249999999999</v>
      </c>
      <c r="Z1868" s="381">
        <v>1.8041666666666667E-5</v>
      </c>
      <c r="AA1868" s="381">
        <v>0</v>
      </c>
      <c r="AB1868" s="381">
        <v>0</v>
      </c>
      <c r="AC1868" s="382">
        <v>0.14578054166666665</v>
      </c>
      <c r="AD1868" s="382">
        <v>0</v>
      </c>
      <c r="AE1868" s="381" t="s">
        <v>168</v>
      </c>
    </row>
    <row r="1869" spans="1:31" ht="15" customHeight="1" x14ac:dyDescent="0.25">
      <c r="A1869" s="20" t="s">
        <v>156</v>
      </c>
      <c r="B1869" s="20" t="s">
        <v>2539</v>
      </c>
      <c r="C1869" s="20" t="s">
        <v>2540</v>
      </c>
      <c r="D1869" s="378" t="s">
        <v>2563</v>
      </c>
      <c r="E1869" s="379">
        <v>44412</v>
      </c>
      <c r="F1869" s="379">
        <v>46238</v>
      </c>
      <c r="G1869" s="378" t="s">
        <v>179</v>
      </c>
      <c r="H1869" s="20" t="s">
        <v>332</v>
      </c>
      <c r="I1869" s="20" t="s">
        <v>162</v>
      </c>
      <c r="J1869" s="20" t="s">
        <v>163</v>
      </c>
      <c r="K1869" s="378" t="s">
        <v>333</v>
      </c>
      <c r="L1869" s="20" t="s">
        <v>165</v>
      </c>
      <c r="M1869" s="380">
        <v>2400</v>
      </c>
      <c r="N1869" s="380"/>
      <c r="O1869" s="380"/>
      <c r="P1869" s="380"/>
      <c r="Q1869" s="381" t="s">
        <v>2564</v>
      </c>
      <c r="R1869" s="381"/>
      <c r="S1869" s="381"/>
      <c r="T1869" s="381"/>
      <c r="U1869" s="381"/>
      <c r="V1869" s="382">
        <v>409.54</v>
      </c>
      <c r="W1869" s="382">
        <v>0</v>
      </c>
      <c r="X1869" s="381">
        <v>0.17064166666666666</v>
      </c>
      <c r="Y1869" s="381">
        <v>0</v>
      </c>
      <c r="Z1869" s="381">
        <v>0</v>
      </c>
      <c r="AA1869" s="381">
        <v>0</v>
      </c>
      <c r="AB1869" s="381">
        <v>0</v>
      </c>
      <c r="AC1869" s="382">
        <v>0.17064166666666666</v>
      </c>
      <c r="AD1869" s="382">
        <v>0</v>
      </c>
      <c r="AE1869" s="381" t="s">
        <v>168</v>
      </c>
    </row>
    <row r="1870" spans="1:31" ht="15" customHeight="1" x14ac:dyDescent="0.25">
      <c r="A1870" s="20" t="s">
        <v>156</v>
      </c>
      <c r="B1870" s="20" t="s">
        <v>2558</v>
      </c>
      <c r="C1870" s="20" t="s">
        <v>2540</v>
      </c>
      <c r="D1870" s="378" t="s">
        <v>2565</v>
      </c>
      <c r="E1870" s="379">
        <v>44412</v>
      </c>
      <c r="F1870" s="379">
        <v>46238</v>
      </c>
      <c r="G1870" s="378" t="s">
        <v>179</v>
      </c>
      <c r="H1870" s="20" t="s">
        <v>332</v>
      </c>
      <c r="I1870" s="20" t="s">
        <v>162</v>
      </c>
      <c r="J1870" s="20" t="s">
        <v>163</v>
      </c>
      <c r="K1870" s="378" t="s">
        <v>333</v>
      </c>
      <c r="L1870" s="20" t="s">
        <v>165</v>
      </c>
      <c r="M1870" s="380">
        <v>2400</v>
      </c>
      <c r="N1870" s="380"/>
      <c r="O1870" s="380"/>
      <c r="P1870" s="380"/>
      <c r="Q1870" s="381" t="s">
        <v>2566</v>
      </c>
      <c r="R1870" s="380"/>
      <c r="S1870" s="381"/>
      <c r="T1870" s="381"/>
      <c r="U1870" s="381"/>
      <c r="V1870" s="382">
        <v>303.35000000000002</v>
      </c>
      <c r="W1870" s="382">
        <v>0</v>
      </c>
      <c r="X1870" s="381">
        <v>0.12639583333333335</v>
      </c>
      <c r="Y1870" s="381">
        <v>0</v>
      </c>
      <c r="Z1870" s="381">
        <v>0</v>
      </c>
      <c r="AA1870" s="381">
        <v>0</v>
      </c>
      <c r="AB1870" s="381">
        <v>0</v>
      </c>
      <c r="AC1870" s="382">
        <v>0.12639583333333335</v>
      </c>
      <c r="AD1870" s="382">
        <v>0</v>
      </c>
      <c r="AE1870" s="381" t="s">
        <v>168</v>
      </c>
    </row>
    <row r="1871" spans="1:31" ht="15" customHeight="1" x14ac:dyDescent="0.25">
      <c r="A1871" s="20" t="s">
        <v>156</v>
      </c>
      <c r="B1871" s="20" t="s">
        <v>2539</v>
      </c>
      <c r="C1871" s="20" t="s">
        <v>2540</v>
      </c>
      <c r="D1871" s="378" t="s">
        <v>2567</v>
      </c>
      <c r="E1871" s="379">
        <v>44788</v>
      </c>
      <c r="F1871" s="379">
        <v>46113</v>
      </c>
      <c r="G1871" s="378" t="s">
        <v>320</v>
      </c>
      <c r="H1871" s="20" t="s">
        <v>352</v>
      </c>
      <c r="I1871" s="20" t="s">
        <v>353</v>
      </c>
      <c r="J1871" s="20" t="s">
        <v>163</v>
      </c>
      <c r="K1871" s="378" t="s">
        <v>354</v>
      </c>
      <c r="L1871" s="20" t="s">
        <v>165</v>
      </c>
      <c r="M1871" s="380">
        <v>2400</v>
      </c>
      <c r="N1871" s="380"/>
      <c r="O1871" s="380"/>
      <c r="P1871" s="380"/>
      <c r="Q1871" s="381">
        <v>492</v>
      </c>
      <c r="R1871" s="381"/>
      <c r="S1871" s="381"/>
      <c r="T1871" s="381"/>
      <c r="U1871" s="381"/>
      <c r="V1871" s="382">
        <v>492</v>
      </c>
      <c r="W1871" s="382">
        <v>0</v>
      </c>
      <c r="X1871" s="381">
        <v>0.20499999999999999</v>
      </c>
      <c r="Y1871" s="381">
        <v>0</v>
      </c>
      <c r="Z1871" s="381">
        <v>0</v>
      </c>
      <c r="AA1871" s="381">
        <v>0</v>
      </c>
      <c r="AB1871" s="381">
        <v>0</v>
      </c>
      <c r="AC1871" s="382">
        <v>0.20499999999999999</v>
      </c>
      <c r="AD1871" s="382">
        <v>0</v>
      </c>
      <c r="AE1871" s="381" t="s">
        <v>168</v>
      </c>
    </row>
    <row r="1872" spans="1:31" ht="15" customHeight="1" x14ac:dyDescent="0.25">
      <c r="A1872" s="20" t="s">
        <v>156</v>
      </c>
      <c r="B1872" s="20" t="s">
        <v>2539</v>
      </c>
      <c r="C1872" s="20" t="s">
        <v>2540</v>
      </c>
      <c r="D1872" s="378" t="s">
        <v>2568</v>
      </c>
      <c r="E1872" s="379">
        <v>44788</v>
      </c>
      <c r="F1872" s="379">
        <v>46113</v>
      </c>
      <c r="G1872" s="378" t="s">
        <v>320</v>
      </c>
      <c r="H1872" s="20" t="s">
        <v>352</v>
      </c>
      <c r="I1872" s="20" t="s">
        <v>353</v>
      </c>
      <c r="J1872" s="20" t="s">
        <v>163</v>
      </c>
      <c r="K1872" s="378" t="s">
        <v>354</v>
      </c>
      <c r="L1872" s="20" t="s">
        <v>165</v>
      </c>
      <c r="M1872" s="380">
        <v>2400</v>
      </c>
      <c r="N1872" s="380"/>
      <c r="O1872" s="380"/>
      <c r="P1872" s="380"/>
      <c r="Q1872" s="381">
        <v>333</v>
      </c>
      <c r="R1872" s="381"/>
      <c r="S1872" s="381"/>
      <c r="T1872" s="381"/>
      <c r="U1872" s="381"/>
      <c r="V1872" s="382">
        <v>333</v>
      </c>
      <c r="W1872" s="382">
        <v>0</v>
      </c>
      <c r="X1872" s="381">
        <v>0.13875000000000001</v>
      </c>
      <c r="Y1872" s="381">
        <v>0</v>
      </c>
      <c r="Z1872" s="381">
        <v>0</v>
      </c>
      <c r="AA1872" s="381">
        <v>0</v>
      </c>
      <c r="AB1872" s="381">
        <v>0</v>
      </c>
      <c r="AC1872" s="382">
        <v>0.13875000000000001</v>
      </c>
      <c r="AD1872" s="382">
        <v>0</v>
      </c>
      <c r="AE1872" s="381" t="s">
        <v>168</v>
      </c>
    </row>
    <row r="1873" spans="1:31" ht="15" customHeight="1" x14ac:dyDescent="0.25">
      <c r="A1873" s="20" t="s">
        <v>156</v>
      </c>
      <c r="B1873" s="20" t="s">
        <v>2539</v>
      </c>
      <c r="C1873" s="20" t="s">
        <v>2540</v>
      </c>
      <c r="D1873" s="378" t="s">
        <v>2569</v>
      </c>
      <c r="E1873" s="379">
        <v>44788</v>
      </c>
      <c r="F1873" s="379">
        <v>46113</v>
      </c>
      <c r="G1873" s="378" t="s">
        <v>320</v>
      </c>
      <c r="H1873" s="20" t="s">
        <v>352</v>
      </c>
      <c r="I1873" s="20" t="s">
        <v>353</v>
      </c>
      <c r="J1873" s="20" t="s">
        <v>163</v>
      </c>
      <c r="K1873" s="378" t="s">
        <v>354</v>
      </c>
      <c r="L1873" s="20" t="s">
        <v>165</v>
      </c>
      <c r="M1873" s="380">
        <v>2400</v>
      </c>
      <c r="N1873" s="380"/>
      <c r="O1873" s="380"/>
      <c r="P1873" s="380"/>
      <c r="Q1873" s="381">
        <v>477</v>
      </c>
      <c r="R1873" s="381"/>
      <c r="S1873" s="381"/>
      <c r="T1873" s="381"/>
      <c r="U1873" s="381"/>
      <c r="V1873" s="382">
        <v>477</v>
      </c>
      <c r="W1873" s="382">
        <v>0</v>
      </c>
      <c r="X1873" s="381">
        <v>0.19875000000000001</v>
      </c>
      <c r="Y1873" s="381">
        <v>0</v>
      </c>
      <c r="Z1873" s="381">
        <v>0</v>
      </c>
      <c r="AA1873" s="381">
        <v>0</v>
      </c>
      <c r="AB1873" s="381">
        <v>0</v>
      </c>
      <c r="AC1873" s="382">
        <v>0.19875000000000001</v>
      </c>
      <c r="AD1873" s="382">
        <v>0</v>
      </c>
      <c r="AE1873" s="381" t="s">
        <v>168</v>
      </c>
    </row>
    <row r="1874" spans="1:31" ht="15" customHeight="1" x14ac:dyDescent="0.25">
      <c r="A1874" s="20" t="s">
        <v>156</v>
      </c>
      <c r="B1874" s="20" t="s">
        <v>2539</v>
      </c>
      <c r="C1874" s="20" t="s">
        <v>2540</v>
      </c>
      <c r="D1874" s="378" t="s">
        <v>2570</v>
      </c>
      <c r="E1874" s="379">
        <v>44788</v>
      </c>
      <c r="F1874" s="379">
        <v>46113</v>
      </c>
      <c r="G1874" s="378" t="s">
        <v>362</v>
      </c>
      <c r="H1874" s="20" t="s">
        <v>352</v>
      </c>
      <c r="I1874" s="20" t="s">
        <v>353</v>
      </c>
      <c r="J1874" s="20" t="s">
        <v>163</v>
      </c>
      <c r="K1874" s="378" t="s">
        <v>354</v>
      </c>
      <c r="L1874" s="20" t="s">
        <v>165</v>
      </c>
      <c r="M1874" s="380">
        <v>2400</v>
      </c>
      <c r="N1874" s="380"/>
      <c r="O1874" s="380"/>
      <c r="P1874" s="380"/>
      <c r="Q1874" s="381">
        <v>343</v>
      </c>
      <c r="R1874" s="381"/>
      <c r="S1874" s="381"/>
      <c r="T1874" s="381"/>
      <c r="U1874" s="381"/>
      <c r="V1874" s="382">
        <v>343</v>
      </c>
      <c r="W1874" s="382">
        <v>0</v>
      </c>
      <c r="X1874" s="381">
        <v>0.14291666666666666</v>
      </c>
      <c r="Y1874" s="381">
        <v>0</v>
      </c>
      <c r="Z1874" s="381">
        <v>0</v>
      </c>
      <c r="AA1874" s="381">
        <v>0</v>
      </c>
      <c r="AB1874" s="381">
        <v>0</v>
      </c>
      <c r="AC1874" s="382">
        <v>0.14291666666666666</v>
      </c>
      <c r="AD1874" s="382">
        <v>0</v>
      </c>
      <c r="AE1874" s="381" t="s">
        <v>168</v>
      </c>
    </row>
    <row r="1875" spans="1:31" ht="15" customHeight="1" x14ac:dyDescent="0.25">
      <c r="A1875" s="20" t="s">
        <v>156</v>
      </c>
      <c r="B1875" s="20" t="s">
        <v>2539</v>
      </c>
      <c r="C1875" s="20" t="s">
        <v>2540</v>
      </c>
      <c r="D1875" s="378" t="s">
        <v>2571</v>
      </c>
      <c r="E1875" s="379">
        <v>44788</v>
      </c>
      <c r="F1875" s="379">
        <v>46113</v>
      </c>
      <c r="G1875" s="378" t="s">
        <v>362</v>
      </c>
      <c r="H1875" s="20" t="s">
        <v>352</v>
      </c>
      <c r="I1875" s="20" t="s">
        <v>353</v>
      </c>
      <c r="J1875" s="20" t="s">
        <v>163</v>
      </c>
      <c r="K1875" s="378" t="s">
        <v>354</v>
      </c>
      <c r="L1875" s="20" t="s">
        <v>165</v>
      </c>
      <c r="M1875" s="380">
        <v>2400</v>
      </c>
      <c r="N1875" s="380"/>
      <c r="O1875" s="380"/>
      <c r="P1875" s="380"/>
      <c r="Q1875" s="381">
        <v>472</v>
      </c>
      <c r="R1875" s="381"/>
      <c r="S1875" s="381"/>
      <c r="T1875" s="381"/>
      <c r="U1875" s="381"/>
      <c r="V1875" s="382">
        <v>472</v>
      </c>
      <c r="W1875" s="382">
        <v>0</v>
      </c>
      <c r="X1875" s="381">
        <v>0.19666666666666666</v>
      </c>
      <c r="Y1875" s="381">
        <v>0</v>
      </c>
      <c r="Z1875" s="381">
        <v>0</v>
      </c>
      <c r="AA1875" s="381">
        <v>0</v>
      </c>
      <c r="AB1875" s="381">
        <v>0</v>
      </c>
      <c r="AC1875" s="382">
        <v>0.19666666666666666</v>
      </c>
      <c r="AD1875" s="382">
        <v>0</v>
      </c>
      <c r="AE1875" s="381" t="s">
        <v>168</v>
      </c>
    </row>
    <row r="1876" spans="1:31" ht="15" customHeight="1" x14ac:dyDescent="0.25">
      <c r="A1876" s="20" t="s">
        <v>156</v>
      </c>
      <c r="B1876" s="20" t="s">
        <v>2539</v>
      </c>
      <c r="C1876" s="20" t="s">
        <v>2540</v>
      </c>
      <c r="D1876" s="378" t="s">
        <v>2572</v>
      </c>
      <c r="E1876" s="379">
        <v>44788</v>
      </c>
      <c r="F1876" s="379">
        <v>46113</v>
      </c>
      <c r="G1876" s="378" t="s">
        <v>362</v>
      </c>
      <c r="H1876" s="20" t="s">
        <v>352</v>
      </c>
      <c r="I1876" s="20" t="s">
        <v>353</v>
      </c>
      <c r="J1876" s="20" t="s">
        <v>163</v>
      </c>
      <c r="K1876" s="378" t="s">
        <v>354</v>
      </c>
      <c r="L1876" s="20" t="s">
        <v>165</v>
      </c>
      <c r="M1876" s="380">
        <v>2400</v>
      </c>
      <c r="N1876" s="380"/>
      <c r="O1876" s="380"/>
      <c r="P1876" s="380"/>
      <c r="Q1876" s="381">
        <v>379</v>
      </c>
      <c r="R1876" s="381"/>
      <c r="S1876" s="381"/>
      <c r="T1876" s="381"/>
      <c r="U1876" s="381"/>
      <c r="V1876" s="382">
        <v>379</v>
      </c>
      <c r="W1876" s="382">
        <v>0</v>
      </c>
      <c r="X1876" s="381">
        <v>0.15791666666666668</v>
      </c>
      <c r="Y1876" s="381">
        <v>0</v>
      </c>
      <c r="Z1876" s="381">
        <v>0</v>
      </c>
      <c r="AA1876" s="381">
        <v>0</v>
      </c>
      <c r="AB1876" s="381">
        <v>0</v>
      </c>
      <c r="AC1876" s="382">
        <v>0.15791666666666668</v>
      </c>
      <c r="AD1876" s="382">
        <v>0</v>
      </c>
      <c r="AE1876" s="381" t="s">
        <v>168</v>
      </c>
    </row>
    <row r="1877" spans="1:31" ht="15" customHeight="1" x14ac:dyDescent="0.25">
      <c r="A1877" s="20" t="s">
        <v>156</v>
      </c>
      <c r="B1877" s="20" t="s">
        <v>2539</v>
      </c>
      <c r="C1877" s="20" t="s">
        <v>2540</v>
      </c>
      <c r="D1877" s="378" t="s">
        <v>2573</v>
      </c>
      <c r="E1877" s="379">
        <v>44788</v>
      </c>
      <c r="F1877" s="379">
        <v>46113</v>
      </c>
      <c r="G1877" s="378" t="s">
        <v>219</v>
      </c>
      <c r="H1877" s="20" t="s">
        <v>352</v>
      </c>
      <c r="I1877" s="20" t="s">
        <v>353</v>
      </c>
      <c r="J1877" s="20" t="s">
        <v>163</v>
      </c>
      <c r="K1877" s="378" t="s">
        <v>354</v>
      </c>
      <c r="L1877" s="20" t="s">
        <v>165</v>
      </c>
      <c r="M1877" s="380">
        <v>2400</v>
      </c>
      <c r="N1877" s="380"/>
      <c r="O1877" s="380"/>
      <c r="P1877" s="380"/>
      <c r="Q1877" s="381">
        <v>379</v>
      </c>
      <c r="R1877" s="381"/>
      <c r="S1877" s="381"/>
      <c r="T1877" s="381"/>
      <c r="U1877" s="381"/>
      <c r="V1877" s="382">
        <v>379</v>
      </c>
      <c r="W1877" s="382">
        <v>0</v>
      </c>
      <c r="X1877" s="381">
        <v>0.15791666666666668</v>
      </c>
      <c r="Y1877" s="381">
        <v>0</v>
      </c>
      <c r="Z1877" s="381">
        <v>0</v>
      </c>
      <c r="AA1877" s="381">
        <v>0</v>
      </c>
      <c r="AB1877" s="381">
        <v>0</v>
      </c>
      <c r="AC1877" s="382">
        <v>0.15791666666666668</v>
      </c>
      <c r="AD1877" s="382">
        <v>0</v>
      </c>
      <c r="AE1877" s="381" t="s">
        <v>168</v>
      </c>
    </row>
    <row r="1878" spans="1:31" ht="15" customHeight="1" x14ac:dyDescent="0.25">
      <c r="A1878" s="20" t="s">
        <v>156</v>
      </c>
      <c r="B1878" s="20" t="s">
        <v>2539</v>
      </c>
      <c r="C1878" s="20" t="s">
        <v>2540</v>
      </c>
      <c r="D1878" s="378" t="s">
        <v>2574</v>
      </c>
      <c r="E1878" s="379">
        <v>44788</v>
      </c>
      <c r="F1878" s="379">
        <v>46113</v>
      </c>
      <c r="G1878" s="378" t="s">
        <v>219</v>
      </c>
      <c r="H1878" s="20" t="s">
        <v>352</v>
      </c>
      <c r="I1878" s="20" t="s">
        <v>353</v>
      </c>
      <c r="J1878" s="20" t="s">
        <v>163</v>
      </c>
      <c r="K1878" s="378" t="s">
        <v>354</v>
      </c>
      <c r="L1878" s="20" t="s">
        <v>165</v>
      </c>
      <c r="M1878" s="380">
        <v>2400</v>
      </c>
      <c r="N1878" s="380"/>
      <c r="O1878" s="380"/>
      <c r="P1878" s="380"/>
      <c r="Q1878" s="381">
        <v>343</v>
      </c>
      <c r="R1878" s="381"/>
      <c r="S1878" s="381"/>
      <c r="T1878" s="381"/>
      <c r="U1878" s="381"/>
      <c r="V1878" s="382">
        <v>343</v>
      </c>
      <c r="W1878" s="382">
        <v>0</v>
      </c>
      <c r="X1878" s="381">
        <v>0.14291666666666666</v>
      </c>
      <c r="Y1878" s="381">
        <v>0</v>
      </c>
      <c r="Z1878" s="381">
        <v>0</v>
      </c>
      <c r="AA1878" s="381">
        <v>0</v>
      </c>
      <c r="AB1878" s="381">
        <v>0</v>
      </c>
      <c r="AC1878" s="382">
        <v>0.14291666666666666</v>
      </c>
      <c r="AD1878" s="382">
        <v>0</v>
      </c>
      <c r="AE1878" s="381" t="s">
        <v>168</v>
      </c>
    </row>
    <row r="1879" spans="1:31" ht="15" customHeight="1" x14ac:dyDescent="0.25">
      <c r="A1879" s="20" t="s">
        <v>156</v>
      </c>
      <c r="B1879" s="20" t="s">
        <v>2539</v>
      </c>
      <c r="C1879" s="20" t="s">
        <v>2540</v>
      </c>
      <c r="D1879" s="378" t="s">
        <v>2575</v>
      </c>
      <c r="E1879" s="379">
        <v>44788</v>
      </c>
      <c r="F1879" s="379">
        <v>46113</v>
      </c>
      <c r="G1879" s="378" t="s">
        <v>219</v>
      </c>
      <c r="H1879" s="20" t="s">
        <v>352</v>
      </c>
      <c r="I1879" s="20" t="s">
        <v>353</v>
      </c>
      <c r="J1879" s="20" t="s">
        <v>163</v>
      </c>
      <c r="K1879" s="378" t="s">
        <v>354</v>
      </c>
      <c r="L1879" s="20" t="s">
        <v>165</v>
      </c>
      <c r="M1879" s="380">
        <v>2400</v>
      </c>
      <c r="N1879" s="380"/>
      <c r="O1879" s="380"/>
      <c r="P1879" s="380"/>
      <c r="Q1879" s="381">
        <v>379</v>
      </c>
      <c r="R1879" s="381"/>
      <c r="S1879" s="381"/>
      <c r="T1879" s="381"/>
      <c r="U1879" s="381"/>
      <c r="V1879" s="382">
        <v>379</v>
      </c>
      <c r="W1879" s="382">
        <v>0</v>
      </c>
      <c r="X1879" s="381">
        <v>0.15791666666666668</v>
      </c>
      <c r="Y1879" s="381">
        <v>0</v>
      </c>
      <c r="Z1879" s="381">
        <v>0</v>
      </c>
      <c r="AA1879" s="381">
        <v>0</v>
      </c>
      <c r="AB1879" s="381">
        <v>0</v>
      </c>
      <c r="AC1879" s="382">
        <v>0.15791666666666668</v>
      </c>
      <c r="AD1879" s="382">
        <v>0</v>
      </c>
      <c r="AE1879" s="381" t="s">
        <v>168</v>
      </c>
    </row>
    <row r="1880" spans="1:31" ht="15" customHeight="1" x14ac:dyDescent="0.25">
      <c r="A1880" s="20" t="s">
        <v>156</v>
      </c>
      <c r="B1880" s="20" t="s">
        <v>2539</v>
      </c>
      <c r="C1880" s="20" t="s">
        <v>2540</v>
      </c>
      <c r="D1880" s="378" t="s">
        <v>2576</v>
      </c>
      <c r="E1880" s="379">
        <v>44788</v>
      </c>
      <c r="F1880" s="379">
        <v>46113</v>
      </c>
      <c r="G1880" s="378" t="s">
        <v>378</v>
      </c>
      <c r="H1880" s="20" t="s">
        <v>352</v>
      </c>
      <c r="I1880" s="20" t="s">
        <v>353</v>
      </c>
      <c r="J1880" s="20" t="s">
        <v>163</v>
      </c>
      <c r="K1880" s="378" t="s">
        <v>354</v>
      </c>
      <c r="L1880" s="20" t="s">
        <v>165</v>
      </c>
      <c r="M1880" s="380">
        <v>2400</v>
      </c>
      <c r="N1880" s="380"/>
      <c r="O1880" s="380"/>
      <c r="P1880" s="380"/>
      <c r="Q1880" s="381">
        <v>327</v>
      </c>
      <c r="R1880" s="381"/>
      <c r="S1880" s="381"/>
      <c r="T1880" s="381"/>
      <c r="U1880" s="381"/>
      <c r="V1880" s="382">
        <v>327</v>
      </c>
      <c r="W1880" s="382">
        <v>0</v>
      </c>
      <c r="X1880" s="381">
        <v>0.13625000000000001</v>
      </c>
      <c r="Y1880" s="381">
        <v>0</v>
      </c>
      <c r="Z1880" s="381">
        <v>0</v>
      </c>
      <c r="AA1880" s="381">
        <v>0</v>
      </c>
      <c r="AB1880" s="381">
        <v>0</v>
      </c>
      <c r="AC1880" s="382">
        <v>0.13625000000000001</v>
      </c>
      <c r="AD1880" s="382">
        <v>0</v>
      </c>
      <c r="AE1880" s="381" t="s">
        <v>168</v>
      </c>
    </row>
    <row r="1881" spans="1:31" ht="15" customHeight="1" x14ac:dyDescent="0.25">
      <c r="A1881" s="20" t="s">
        <v>156</v>
      </c>
      <c r="B1881" s="20" t="s">
        <v>2539</v>
      </c>
      <c r="C1881" s="20" t="s">
        <v>2540</v>
      </c>
      <c r="D1881" s="378" t="s">
        <v>2577</v>
      </c>
      <c r="E1881" s="379">
        <v>44788</v>
      </c>
      <c r="F1881" s="379">
        <v>46113</v>
      </c>
      <c r="G1881" s="378" t="s">
        <v>378</v>
      </c>
      <c r="H1881" s="20" t="s">
        <v>352</v>
      </c>
      <c r="I1881" s="20" t="s">
        <v>353</v>
      </c>
      <c r="J1881" s="20" t="s">
        <v>163</v>
      </c>
      <c r="K1881" s="378" t="s">
        <v>354</v>
      </c>
      <c r="L1881" s="20" t="s">
        <v>165</v>
      </c>
      <c r="M1881" s="380">
        <v>2400</v>
      </c>
      <c r="N1881" s="380"/>
      <c r="O1881" s="380"/>
      <c r="P1881" s="380"/>
      <c r="Q1881" s="381">
        <v>499</v>
      </c>
      <c r="R1881" s="381"/>
      <c r="S1881" s="381"/>
      <c r="T1881" s="381"/>
      <c r="U1881" s="381"/>
      <c r="V1881" s="382">
        <v>499</v>
      </c>
      <c r="W1881" s="382">
        <v>0</v>
      </c>
      <c r="X1881" s="381">
        <v>0.20791666666666667</v>
      </c>
      <c r="Y1881" s="381">
        <v>0</v>
      </c>
      <c r="Z1881" s="381">
        <v>0</v>
      </c>
      <c r="AA1881" s="381">
        <v>0</v>
      </c>
      <c r="AB1881" s="381">
        <v>0</v>
      </c>
      <c r="AC1881" s="382">
        <v>0.20791666666666667</v>
      </c>
      <c r="AD1881" s="382">
        <v>0</v>
      </c>
      <c r="AE1881" s="381" t="s">
        <v>168</v>
      </c>
    </row>
    <row r="1882" spans="1:31" ht="15" customHeight="1" x14ac:dyDescent="0.25">
      <c r="A1882" s="20" t="s">
        <v>156</v>
      </c>
      <c r="B1882" s="20" t="s">
        <v>2539</v>
      </c>
      <c r="C1882" s="20" t="s">
        <v>2540</v>
      </c>
      <c r="D1882" s="378" t="s">
        <v>2578</v>
      </c>
      <c r="E1882" s="379">
        <v>44788</v>
      </c>
      <c r="F1882" s="379">
        <v>46113</v>
      </c>
      <c r="G1882" s="378" t="s">
        <v>378</v>
      </c>
      <c r="H1882" s="20" t="s">
        <v>352</v>
      </c>
      <c r="I1882" s="20" t="s">
        <v>353</v>
      </c>
      <c r="J1882" s="20" t="s">
        <v>163</v>
      </c>
      <c r="K1882" s="378" t="s">
        <v>354</v>
      </c>
      <c r="L1882" s="20" t="s">
        <v>165</v>
      </c>
      <c r="M1882" s="380">
        <v>2400</v>
      </c>
      <c r="N1882" s="380"/>
      <c r="O1882" s="380"/>
      <c r="P1882" s="380"/>
      <c r="Q1882" s="381">
        <v>471</v>
      </c>
      <c r="R1882" s="381"/>
      <c r="S1882" s="381"/>
      <c r="T1882" s="381"/>
      <c r="U1882" s="381"/>
      <c r="V1882" s="382">
        <v>471</v>
      </c>
      <c r="W1882" s="382">
        <v>0</v>
      </c>
      <c r="X1882" s="381">
        <v>0.19625000000000001</v>
      </c>
      <c r="Y1882" s="381">
        <v>0</v>
      </c>
      <c r="Z1882" s="381">
        <v>0</v>
      </c>
      <c r="AA1882" s="381">
        <v>0</v>
      </c>
      <c r="AB1882" s="381">
        <v>0</v>
      </c>
      <c r="AC1882" s="382">
        <v>0.19625000000000001</v>
      </c>
      <c r="AD1882" s="382">
        <v>0</v>
      </c>
      <c r="AE1882" s="381" t="s">
        <v>168</v>
      </c>
    </row>
    <row r="1883" spans="1:31" ht="15" customHeight="1" x14ac:dyDescent="0.25">
      <c r="A1883" s="20" t="s">
        <v>156</v>
      </c>
      <c r="B1883" s="20" t="s">
        <v>2539</v>
      </c>
      <c r="C1883" s="20" t="s">
        <v>2540</v>
      </c>
      <c r="D1883" s="378" t="s">
        <v>2579</v>
      </c>
      <c r="E1883" s="379">
        <v>44484</v>
      </c>
      <c r="F1883" s="379">
        <v>46143</v>
      </c>
      <c r="G1883" s="378" t="s">
        <v>387</v>
      </c>
      <c r="H1883" s="20" t="s">
        <v>388</v>
      </c>
      <c r="I1883" s="20">
        <v>0</v>
      </c>
      <c r="J1883" s="20" t="s">
        <v>163</v>
      </c>
      <c r="K1883" s="378" t="s">
        <v>389</v>
      </c>
      <c r="L1883" s="20" t="s">
        <v>165</v>
      </c>
      <c r="M1883" s="380">
        <v>2400</v>
      </c>
      <c r="N1883" s="380"/>
      <c r="O1883" s="380"/>
      <c r="P1883" s="380"/>
      <c r="Q1883" s="381">
        <v>608</v>
      </c>
      <c r="R1883" s="381"/>
      <c r="S1883" s="381"/>
      <c r="T1883" s="381"/>
      <c r="U1883" s="381"/>
      <c r="V1883" s="382">
        <v>608</v>
      </c>
      <c r="W1883" s="382">
        <v>0</v>
      </c>
      <c r="X1883" s="381">
        <v>0.25333333333333335</v>
      </c>
      <c r="Y1883" s="381">
        <v>0</v>
      </c>
      <c r="Z1883" s="381">
        <v>0</v>
      </c>
      <c r="AA1883" s="381">
        <v>0</v>
      </c>
      <c r="AB1883" s="381">
        <v>0</v>
      </c>
      <c r="AC1883" s="382">
        <v>0.25333333333333335</v>
      </c>
      <c r="AD1883" s="382">
        <v>0</v>
      </c>
      <c r="AE1883" s="381" t="s">
        <v>168</v>
      </c>
    </row>
    <row r="1884" spans="1:31" ht="15" customHeight="1" x14ac:dyDescent="0.25">
      <c r="A1884" s="20" t="s">
        <v>156</v>
      </c>
      <c r="B1884" s="20" t="s">
        <v>2539</v>
      </c>
      <c r="C1884" s="20" t="s">
        <v>2540</v>
      </c>
      <c r="D1884" s="378" t="s">
        <v>2580</v>
      </c>
      <c r="E1884" s="379">
        <v>44484</v>
      </c>
      <c r="F1884" s="379">
        <v>46143</v>
      </c>
      <c r="G1884" s="378" t="s">
        <v>391</v>
      </c>
      <c r="H1884" s="20" t="s">
        <v>388</v>
      </c>
      <c r="I1884" s="20">
        <v>0</v>
      </c>
      <c r="J1884" s="20" t="s">
        <v>163</v>
      </c>
      <c r="K1884" s="378" t="s">
        <v>389</v>
      </c>
      <c r="L1884" s="20" t="s">
        <v>165</v>
      </c>
      <c r="M1884" s="380">
        <v>2400</v>
      </c>
      <c r="N1884" s="380"/>
      <c r="O1884" s="380"/>
      <c r="P1884" s="380"/>
      <c r="Q1884" s="381">
        <v>593</v>
      </c>
      <c r="R1884" s="381"/>
      <c r="S1884" s="381"/>
      <c r="T1884" s="381"/>
      <c r="U1884" s="381"/>
      <c r="V1884" s="382">
        <v>593</v>
      </c>
      <c r="W1884" s="382">
        <v>0</v>
      </c>
      <c r="X1884" s="381">
        <v>0.24708333333333332</v>
      </c>
      <c r="Y1884" s="381">
        <v>0</v>
      </c>
      <c r="Z1884" s="381">
        <v>0</v>
      </c>
      <c r="AA1884" s="381">
        <v>0</v>
      </c>
      <c r="AB1884" s="381">
        <v>0</v>
      </c>
      <c r="AC1884" s="382">
        <v>0.24708333333333332</v>
      </c>
      <c r="AD1884" s="382">
        <v>0</v>
      </c>
      <c r="AE1884" s="381" t="s">
        <v>168</v>
      </c>
    </row>
    <row r="1885" spans="1:31" ht="15" customHeight="1" x14ac:dyDescent="0.25">
      <c r="A1885" s="20" t="s">
        <v>156</v>
      </c>
      <c r="B1885" s="20" t="s">
        <v>2539</v>
      </c>
      <c r="C1885" s="20" t="s">
        <v>2540</v>
      </c>
      <c r="D1885" s="378" t="s">
        <v>2581</v>
      </c>
      <c r="E1885" s="379">
        <v>44620</v>
      </c>
      <c r="F1885" s="379">
        <v>46446</v>
      </c>
      <c r="G1885" s="378" t="s">
        <v>173</v>
      </c>
      <c r="H1885" s="20" t="s">
        <v>393</v>
      </c>
      <c r="I1885" s="20"/>
      <c r="J1885" s="20" t="s">
        <v>163</v>
      </c>
      <c r="K1885" s="378" t="s">
        <v>394</v>
      </c>
      <c r="L1885" s="20" t="s">
        <v>165</v>
      </c>
      <c r="M1885" s="380">
        <v>2400</v>
      </c>
      <c r="N1885" s="380"/>
      <c r="O1885" s="380"/>
      <c r="P1885" s="380"/>
      <c r="Q1885" s="381">
        <v>274</v>
      </c>
      <c r="R1885" s="381"/>
      <c r="S1885" s="381"/>
      <c r="T1885" s="381"/>
      <c r="U1885" s="381"/>
      <c r="V1885" s="382">
        <v>274</v>
      </c>
      <c r="W1885" s="382">
        <v>0</v>
      </c>
      <c r="X1885" s="381">
        <v>0.11416666666666667</v>
      </c>
      <c r="Y1885" s="381">
        <v>0</v>
      </c>
      <c r="Z1885" s="381">
        <v>0</v>
      </c>
      <c r="AA1885" s="381">
        <v>0</v>
      </c>
      <c r="AB1885" s="381">
        <v>0</v>
      </c>
      <c r="AC1885" s="382">
        <v>0.11416666666666667</v>
      </c>
      <c r="AD1885" s="382">
        <v>0</v>
      </c>
      <c r="AE1885" s="381" t="s">
        <v>168</v>
      </c>
    </row>
    <row r="1886" spans="1:31" ht="15" customHeight="1" x14ac:dyDescent="0.25">
      <c r="A1886" s="20" t="s">
        <v>156</v>
      </c>
      <c r="B1886" s="20" t="s">
        <v>2539</v>
      </c>
      <c r="C1886" s="20" t="s">
        <v>2540</v>
      </c>
      <c r="D1886" s="378" t="s">
        <v>2582</v>
      </c>
      <c r="E1886" s="379">
        <v>44620</v>
      </c>
      <c r="F1886" s="379">
        <v>46446</v>
      </c>
      <c r="G1886" s="378" t="s">
        <v>173</v>
      </c>
      <c r="H1886" s="20" t="s">
        <v>393</v>
      </c>
      <c r="I1886" s="20"/>
      <c r="J1886" s="20" t="s">
        <v>163</v>
      </c>
      <c r="K1886" s="378" t="s">
        <v>394</v>
      </c>
      <c r="L1886" s="20" t="s">
        <v>165</v>
      </c>
      <c r="M1886" s="380">
        <v>2400</v>
      </c>
      <c r="N1886" s="380"/>
      <c r="O1886" s="380"/>
      <c r="P1886" s="380"/>
      <c r="Q1886" s="381">
        <v>539</v>
      </c>
      <c r="R1886" s="381"/>
      <c r="S1886" s="381"/>
      <c r="T1886" s="381"/>
      <c r="U1886" s="381"/>
      <c r="V1886" s="382">
        <v>539</v>
      </c>
      <c r="W1886" s="382">
        <v>0</v>
      </c>
      <c r="X1886" s="381">
        <v>0.22458333333333333</v>
      </c>
      <c r="Y1886" s="381">
        <v>0</v>
      </c>
      <c r="Z1886" s="381">
        <v>0</v>
      </c>
      <c r="AA1886" s="381">
        <v>0</v>
      </c>
      <c r="AB1886" s="381">
        <v>0</v>
      </c>
      <c r="AC1886" s="382">
        <v>0.22458333333333333</v>
      </c>
      <c r="AD1886" s="382">
        <v>0</v>
      </c>
      <c r="AE1886" s="381" t="s">
        <v>168</v>
      </c>
    </row>
    <row r="1887" spans="1:31" ht="15" customHeight="1" x14ac:dyDescent="0.25">
      <c r="A1887" s="20" t="s">
        <v>156</v>
      </c>
      <c r="B1887" s="20" t="s">
        <v>2539</v>
      </c>
      <c r="C1887" s="20" t="s">
        <v>2540</v>
      </c>
      <c r="D1887" s="378" t="s">
        <v>2583</v>
      </c>
      <c r="E1887" s="379">
        <v>44620</v>
      </c>
      <c r="F1887" s="379">
        <v>46446</v>
      </c>
      <c r="G1887" s="378" t="s">
        <v>173</v>
      </c>
      <c r="H1887" s="20" t="s">
        <v>393</v>
      </c>
      <c r="I1887" s="20"/>
      <c r="J1887" s="20" t="s">
        <v>163</v>
      </c>
      <c r="K1887" s="378" t="s">
        <v>394</v>
      </c>
      <c r="L1887" s="20" t="s">
        <v>165</v>
      </c>
      <c r="M1887" s="380">
        <v>2400</v>
      </c>
      <c r="N1887" s="380"/>
      <c r="O1887" s="380"/>
      <c r="P1887" s="380"/>
      <c r="Q1887" s="381">
        <v>285</v>
      </c>
      <c r="R1887" s="381"/>
      <c r="S1887" s="381"/>
      <c r="T1887" s="381"/>
      <c r="U1887" s="381"/>
      <c r="V1887" s="382">
        <v>285</v>
      </c>
      <c r="W1887" s="382">
        <v>0</v>
      </c>
      <c r="X1887" s="381">
        <v>0.11874999999999999</v>
      </c>
      <c r="Y1887" s="381">
        <v>0</v>
      </c>
      <c r="Z1887" s="381">
        <v>0</v>
      </c>
      <c r="AA1887" s="381">
        <v>0</v>
      </c>
      <c r="AB1887" s="381">
        <v>0</v>
      </c>
      <c r="AC1887" s="382">
        <v>0.11874999999999999</v>
      </c>
      <c r="AD1887" s="382">
        <v>0</v>
      </c>
      <c r="AE1887" s="381" t="s">
        <v>168</v>
      </c>
    </row>
    <row r="1888" spans="1:31" ht="15" customHeight="1" x14ac:dyDescent="0.25">
      <c r="A1888" s="20" t="s">
        <v>156</v>
      </c>
      <c r="B1888" s="20" t="s">
        <v>2539</v>
      </c>
      <c r="C1888" s="20" t="s">
        <v>2540</v>
      </c>
      <c r="D1888" s="378" t="s">
        <v>2584</v>
      </c>
      <c r="E1888" s="379">
        <v>44620</v>
      </c>
      <c r="F1888" s="379">
        <v>46446</v>
      </c>
      <c r="G1888" s="378" t="s">
        <v>173</v>
      </c>
      <c r="H1888" s="20" t="s">
        <v>393</v>
      </c>
      <c r="I1888" s="20"/>
      <c r="J1888" s="20" t="s">
        <v>163</v>
      </c>
      <c r="K1888" s="378" t="s">
        <v>394</v>
      </c>
      <c r="L1888" s="20" t="s">
        <v>165</v>
      </c>
      <c r="M1888" s="380">
        <v>2400</v>
      </c>
      <c r="N1888" s="380"/>
      <c r="O1888" s="380"/>
      <c r="P1888" s="380"/>
      <c r="Q1888" s="381">
        <v>298</v>
      </c>
      <c r="R1888" s="381"/>
      <c r="S1888" s="381"/>
      <c r="T1888" s="381"/>
      <c r="U1888" s="381"/>
      <c r="V1888" s="382">
        <v>298</v>
      </c>
      <c r="W1888" s="382">
        <v>0</v>
      </c>
      <c r="X1888" s="381">
        <v>0.12416666666666666</v>
      </c>
      <c r="Y1888" s="381">
        <v>0</v>
      </c>
      <c r="Z1888" s="381">
        <v>0</v>
      </c>
      <c r="AA1888" s="381">
        <v>0</v>
      </c>
      <c r="AB1888" s="381">
        <v>0</v>
      </c>
      <c r="AC1888" s="382">
        <v>0.12416666666666666</v>
      </c>
      <c r="AD1888" s="382">
        <v>0</v>
      </c>
      <c r="AE1888" s="381" t="s">
        <v>168</v>
      </c>
    </row>
    <row r="1889" spans="1:31" ht="15" customHeight="1" x14ac:dyDescent="0.25">
      <c r="A1889" s="20" t="s">
        <v>156</v>
      </c>
      <c r="B1889" s="20" t="s">
        <v>2539</v>
      </c>
      <c r="C1889" s="20" t="s">
        <v>2540</v>
      </c>
      <c r="D1889" s="378" t="s">
        <v>2585</v>
      </c>
      <c r="E1889" s="379">
        <v>44620</v>
      </c>
      <c r="F1889" s="379">
        <v>46446</v>
      </c>
      <c r="G1889" s="378" t="s">
        <v>396</v>
      </c>
      <c r="H1889" s="20" t="s">
        <v>393</v>
      </c>
      <c r="I1889" s="20"/>
      <c r="J1889" s="20" t="s">
        <v>163</v>
      </c>
      <c r="K1889" s="378" t="s">
        <v>397</v>
      </c>
      <c r="L1889" s="20" t="s">
        <v>165</v>
      </c>
      <c r="M1889" s="380">
        <v>2400</v>
      </c>
      <c r="N1889" s="380"/>
      <c r="O1889" s="380"/>
      <c r="P1889" s="380"/>
      <c r="Q1889" s="381">
        <v>277</v>
      </c>
      <c r="R1889" s="381"/>
      <c r="S1889" s="381"/>
      <c r="T1889" s="381"/>
      <c r="U1889" s="381"/>
      <c r="V1889" s="382">
        <v>277</v>
      </c>
      <c r="W1889" s="382">
        <v>0</v>
      </c>
      <c r="X1889" s="381">
        <v>0.11541666666666667</v>
      </c>
      <c r="Y1889" s="381">
        <v>0</v>
      </c>
      <c r="Z1889" s="381">
        <v>0</v>
      </c>
      <c r="AA1889" s="381">
        <v>0</v>
      </c>
      <c r="AB1889" s="381">
        <v>0</v>
      </c>
      <c r="AC1889" s="382">
        <v>0.11541666666666667</v>
      </c>
      <c r="AD1889" s="382">
        <v>0</v>
      </c>
      <c r="AE1889" s="381" t="s">
        <v>168</v>
      </c>
    </row>
    <row r="1890" spans="1:31" ht="15" customHeight="1" x14ac:dyDescent="0.25">
      <c r="A1890" s="20" t="s">
        <v>156</v>
      </c>
      <c r="B1890" s="20" t="s">
        <v>2539</v>
      </c>
      <c r="C1890" s="20" t="s">
        <v>2540</v>
      </c>
      <c r="D1890" s="378" t="s">
        <v>2586</v>
      </c>
      <c r="E1890" s="379">
        <v>44620</v>
      </c>
      <c r="F1890" s="379">
        <v>46446</v>
      </c>
      <c r="G1890" s="378" t="s">
        <v>396</v>
      </c>
      <c r="H1890" s="20" t="s">
        <v>393</v>
      </c>
      <c r="I1890" s="20"/>
      <c r="J1890" s="20" t="s">
        <v>163</v>
      </c>
      <c r="K1890" s="378" t="s">
        <v>397</v>
      </c>
      <c r="L1890" s="20" t="s">
        <v>165</v>
      </c>
      <c r="M1890" s="380">
        <v>2400</v>
      </c>
      <c r="N1890" s="380"/>
      <c r="O1890" s="380"/>
      <c r="P1890" s="380"/>
      <c r="Q1890" s="381">
        <v>357</v>
      </c>
      <c r="R1890" s="381"/>
      <c r="S1890" s="381"/>
      <c r="T1890" s="381"/>
      <c r="U1890" s="381"/>
      <c r="V1890" s="382">
        <v>357</v>
      </c>
      <c r="W1890" s="382">
        <v>0</v>
      </c>
      <c r="X1890" s="381">
        <v>0.14874999999999999</v>
      </c>
      <c r="Y1890" s="381">
        <v>0</v>
      </c>
      <c r="Z1890" s="381">
        <v>0</v>
      </c>
      <c r="AA1890" s="381">
        <v>0</v>
      </c>
      <c r="AB1890" s="381">
        <v>0</v>
      </c>
      <c r="AC1890" s="382">
        <v>0.14874999999999999</v>
      </c>
      <c r="AD1890" s="382">
        <v>0</v>
      </c>
      <c r="AE1890" s="381" t="s">
        <v>168</v>
      </c>
    </row>
    <row r="1891" spans="1:31" ht="15" customHeight="1" x14ac:dyDescent="0.25">
      <c r="A1891" s="20" t="s">
        <v>156</v>
      </c>
      <c r="B1891" s="20" t="s">
        <v>2539</v>
      </c>
      <c r="C1891" s="20" t="s">
        <v>2540</v>
      </c>
      <c r="D1891" s="378" t="s">
        <v>2587</v>
      </c>
      <c r="E1891" s="379">
        <v>44620</v>
      </c>
      <c r="F1891" s="379">
        <v>46446</v>
      </c>
      <c r="G1891" s="378" t="s">
        <v>396</v>
      </c>
      <c r="H1891" s="20" t="s">
        <v>393</v>
      </c>
      <c r="I1891" s="20"/>
      <c r="J1891" s="20" t="s">
        <v>163</v>
      </c>
      <c r="K1891" s="378" t="s">
        <v>397</v>
      </c>
      <c r="L1891" s="20" t="s">
        <v>165</v>
      </c>
      <c r="M1891" s="380">
        <v>2400</v>
      </c>
      <c r="N1891" s="380"/>
      <c r="O1891" s="380"/>
      <c r="P1891" s="380"/>
      <c r="Q1891" s="381">
        <v>400</v>
      </c>
      <c r="R1891" s="381"/>
      <c r="S1891" s="381"/>
      <c r="T1891" s="381"/>
      <c r="U1891" s="381"/>
      <c r="V1891" s="382">
        <v>400</v>
      </c>
      <c r="W1891" s="382">
        <v>0</v>
      </c>
      <c r="X1891" s="381">
        <v>0.16666666666666666</v>
      </c>
      <c r="Y1891" s="381">
        <v>0</v>
      </c>
      <c r="Z1891" s="381">
        <v>0</v>
      </c>
      <c r="AA1891" s="381">
        <v>0</v>
      </c>
      <c r="AB1891" s="381">
        <v>0</v>
      </c>
      <c r="AC1891" s="382">
        <v>0.16666666666666666</v>
      </c>
      <c r="AD1891" s="382">
        <v>0</v>
      </c>
      <c r="AE1891" s="381" t="s">
        <v>168</v>
      </c>
    </row>
    <row r="1892" spans="1:31" ht="15" customHeight="1" x14ac:dyDescent="0.25">
      <c r="A1892" s="20" t="s">
        <v>156</v>
      </c>
      <c r="B1892" s="20" t="s">
        <v>2588</v>
      </c>
      <c r="C1892" s="20" t="s">
        <v>2540</v>
      </c>
      <c r="D1892" s="378" t="s">
        <v>2589</v>
      </c>
      <c r="E1892" s="379">
        <v>45016</v>
      </c>
      <c r="F1892" s="379">
        <v>46843</v>
      </c>
      <c r="G1892" s="378" t="s">
        <v>281</v>
      </c>
      <c r="H1892" s="20" t="s">
        <v>282</v>
      </c>
      <c r="I1892" s="20" t="s">
        <v>162</v>
      </c>
      <c r="J1892" s="20" t="s">
        <v>163</v>
      </c>
      <c r="K1892" s="378" t="s">
        <v>283</v>
      </c>
      <c r="L1892" s="20" t="s">
        <v>165</v>
      </c>
      <c r="M1892" s="380">
        <v>2400</v>
      </c>
      <c r="N1892" s="380"/>
      <c r="O1892" s="380"/>
      <c r="P1892" s="380"/>
      <c r="Q1892" s="381">
        <v>370.85</v>
      </c>
      <c r="R1892" s="381">
        <v>370.8</v>
      </c>
      <c r="S1892" s="381">
        <v>4.5999999999999999E-2</v>
      </c>
      <c r="T1892" s="381"/>
      <c r="U1892" s="381"/>
      <c r="V1892" s="382">
        <v>370.846</v>
      </c>
      <c r="W1892" s="382">
        <v>0</v>
      </c>
      <c r="X1892" s="381">
        <v>0.15452083333333333</v>
      </c>
      <c r="Y1892" s="381">
        <v>0.1545</v>
      </c>
      <c r="Z1892" s="381">
        <v>1.9166666666666667E-5</v>
      </c>
      <c r="AA1892" s="381">
        <v>0</v>
      </c>
      <c r="AB1892" s="381">
        <v>0</v>
      </c>
      <c r="AC1892" s="382">
        <v>0.15451916666666665</v>
      </c>
      <c r="AD1892" s="382">
        <v>0</v>
      </c>
      <c r="AE1892" s="381" t="s">
        <v>168</v>
      </c>
    </row>
    <row r="1893" spans="1:31" ht="15" customHeight="1" x14ac:dyDescent="0.25">
      <c r="A1893" s="20" t="s">
        <v>156</v>
      </c>
      <c r="B1893" s="20" t="s">
        <v>2539</v>
      </c>
      <c r="C1893" s="20" t="s">
        <v>2540</v>
      </c>
      <c r="D1893" s="378" t="s">
        <v>2590</v>
      </c>
      <c r="E1893" s="379">
        <v>45016</v>
      </c>
      <c r="F1893" s="379">
        <v>46843</v>
      </c>
      <c r="G1893" s="378" t="s">
        <v>281</v>
      </c>
      <c r="H1893" s="20" t="s">
        <v>282</v>
      </c>
      <c r="I1893" s="20" t="s">
        <v>162</v>
      </c>
      <c r="J1893" s="20" t="s">
        <v>163</v>
      </c>
      <c r="K1893" s="378" t="s">
        <v>283</v>
      </c>
      <c r="L1893" s="20" t="s">
        <v>165</v>
      </c>
      <c r="M1893" s="380">
        <v>2400</v>
      </c>
      <c r="N1893" s="380"/>
      <c r="O1893" s="380"/>
      <c r="P1893" s="380"/>
      <c r="Q1893" s="381">
        <v>495.1</v>
      </c>
      <c r="R1893" s="381">
        <v>495.08</v>
      </c>
      <c r="S1893" s="381">
        <v>1.0800000000000001E-2</v>
      </c>
      <c r="T1893" s="381"/>
      <c r="U1893" s="381"/>
      <c r="V1893" s="382">
        <v>495.0908</v>
      </c>
      <c r="W1893" s="382">
        <v>0</v>
      </c>
      <c r="X1893" s="381">
        <v>0.20629166666666668</v>
      </c>
      <c r="Y1893" s="381">
        <v>0.20628333333333332</v>
      </c>
      <c r="Z1893" s="381">
        <v>4.5000000000000001E-6</v>
      </c>
      <c r="AA1893" s="381">
        <v>0</v>
      </c>
      <c r="AB1893" s="381">
        <v>0</v>
      </c>
      <c r="AC1893" s="382">
        <v>0.20628783333333331</v>
      </c>
      <c r="AD1893" s="382">
        <v>0</v>
      </c>
      <c r="AE1893" s="381" t="s">
        <v>168</v>
      </c>
    </row>
    <row r="1894" spans="1:31" ht="15" customHeight="1" x14ac:dyDescent="0.25">
      <c r="A1894" s="20" t="s">
        <v>156</v>
      </c>
      <c r="B1894" s="20" t="s">
        <v>2539</v>
      </c>
      <c r="C1894" s="20" t="s">
        <v>2540</v>
      </c>
      <c r="D1894" s="378" t="s">
        <v>2591</v>
      </c>
      <c r="E1894" s="379">
        <v>45038</v>
      </c>
      <c r="F1894" s="379">
        <v>46865</v>
      </c>
      <c r="G1894" s="383" t="s">
        <v>193</v>
      </c>
      <c r="H1894" s="20" t="s">
        <v>229</v>
      </c>
      <c r="I1894" s="20" t="s">
        <v>162</v>
      </c>
      <c r="J1894" s="20" t="s">
        <v>163</v>
      </c>
      <c r="K1894" s="378" t="s">
        <v>230</v>
      </c>
      <c r="L1894" s="20" t="s">
        <v>165</v>
      </c>
      <c r="M1894" s="380">
        <v>2400</v>
      </c>
      <c r="N1894" s="380"/>
      <c r="O1894" s="380"/>
      <c r="P1894" s="380"/>
      <c r="Q1894" s="381" t="s">
        <v>2074</v>
      </c>
      <c r="R1894" s="381" t="s">
        <v>2545</v>
      </c>
      <c r="S1894" s="381" t="s">
        <v>545</v>
      </c>
      <c r="T1894" s="381"/>
      <c r="U1894" s="381"/>
      <c r="V1894" s="382">
        <v>339.27</v>
      </c>
      <c r="W1894" s="382">
        <v>0</v>
      </c>
      <c r="X1894" s="381">
        <v>0.14166666666666666</v>
      </c>
      <c r="Y1894" s="381">
        <v>0.14124999999999999</v>
      </c>
      <c r="Z1894" s="381">
        <v>1.1250000000000001E-4</v>
      </c>
      <c r="AA1894" s="381">
        <v>0</v>
      </c>
      <c r="AB1894" s="381">
        <v>0</v>
      </c>
      <c r="AC1894" s="382">
        <v>0.14136249999999997</v>
      </c>
      <c r="AD1894" s="382">
        <v>0</v>
      </c>
      <c r="AE1894" s="381" t="s">
        <v>168</v>
      </c>
    </row>
    <row r="1895" spans="1:31" ht="15" customHeight="1" x14ac:dyDescent="0.25">
      <c r="A1895" s="20" t="s">
        <v>156</v>
      </c>
      <c r="B1895" s="20" t="s">
        <v>2539</v>
      </c>
      <c r="C1895" s="20" t="s">
        <v>2540</v>
      </c>
      <c r="D1895" s="378" t="s">
        <v>2592</v>
      </c>
      <c r="E1895" s="384" t="s">
        <v>437</v>
      </c>
      <c r="F1895" s="384" t="s">
        <v>438</v>
      </c>
      <c r="G1895" s="378" t="s">
        <v>439</v>
      </c>
      <c r="H1895" s="20" t="s">
        <v>2593</v>
      </c>
      <c r="I1895" s="378" t="s">
        <v>441</v>
      </c>
      <c r="J1895" s="20" t="s">
        <v>163</v>
      </c>
      <c r="K1895" s="378" t="s">
        <v>2594</v>
      </c>
      <c r="L1895" s="378" t="s">
        <v>165</v>
      </c>
      <c r="M1895" s="380">
        <v>2384</v>
      </c>
      <c r="N1895" s="380" t="s">
        <v>443</v>
      </c>
      <c r="O1895" s="380" t="s">
        <v>443</v>
      </c>
      <c r="P1895" s="380" t="s">
        <v>443</v>
      </c>
      <c r="Q1895" s="381">
        <v>314</v>
      </c>
      <c r="R1895" s="381">
        <v>313</v>
      </c>
      <c r="S1895" s="381">
        <v>0.39900000000000002</v>
      </c>
      <c r="T1895" s="381">
        <v>0.27500000000000002</v>
      </c>
      <c r="U1895" s="381">
        <v>0</v>
      </c>
      <c r="V1895" s="382">
        <v>313.67399999999998</v>
      </c>
      <c r="W1895" s="382">
        <v>0</v>
      </c>
      <c r="X1895" s="381">
        <v>0.13171140939597314</v>
      </c>
      <c r="Y1895" s="381">
        <v>0.13129194630872484</v>
      </c>
      <c r="Z1895" s="381">
        <v>1.6736577181208055E-4</v>
      </c>
      <c r="AA1895" s="381">
        <v>1.153523489932886E-4</v>
      </c>
      <c r="AB1895" s="381">
        <v>0</v>
      </c>
      <c r="AC1895" s="382">
        <v>0.13157466442953022</v>
      </c>
      <c r="AD1895" s="382">
        <v>0</v>
      </c>
      <c r="AE1895" s="381" t="s">
        <v>444</v>
      </c>
    </row>
    <row r="1896" spans="1:31" ht="15" customHeight="1" x14ac:dyDescent="0.25">
      <c r="A1896" s="20" t="s">
        <v>156</v>
      </c>
      <c r="B1896" s="20" t="s">
        <v>2539</v>
      </c>
      <c r="C1896" s="20" t="s">
        <v>2540</v>
      </c>
      <c r="D1896" s="378" t="s">
        <v>2595</v>
      </c>
      <c r="E1896" s="384" t="s">
        <v>437</v>
      </c>
      <c r="F1896" s="384" t="s">
        <v>438</v>
      </c>
      <c r="G1896" s="378" t="s">
        <v>439</v>
      </c>
      <c r="H1896" s="20" t="s">
        <v>2596</v>
      </c>
      <c r="I1896" s="378" t="s">
        <v>441</v>
      </c>
      <c r="J1896" s="20" t="s">
        <v>163</v>
      </c>
      <c r="K1896" s="378" t="s">
        <v>2597</v>
      </c>
      <c r="L1896" s="378" t="s">
        <v>165</v>
      </c>
      <c r="M1896" s="380">
        <v>2384</v>
      </c>
      <c r="N1896" s="380" t="s">
        <v>443</v>
      </c>
      <c r="O1896" s="380" t="s">
        <v>443</v>
      </c>
      <c r="P1896" s="380" t="s">
        <v>443</v>
      </c>
      <c r="Q1896" s="381">
        <v>346</v>
      </c>
      <c r="R1896" s="381">
        <v>345</v>
      </c>
      <c r="S1896" s="381">
        <v>0.47</v>
      </c>
      <c r="T1896" s="381">
        <v>0.28100000000000003</v>
      </c>
      <c r="U1896" s="381">
        <v>0</v>
      </c>
      <c r="V1896" s="382">
        <v>345.75100000000003</v>
      </c>
      <c r="W1896" s="382">
        <v>0</v>
      </c>
      <c r="X1896" s="381">
        <v>0.14513422818791946</v>
      </c>
      <c r="Y1896" s="381">
        <v>0.14471476510067113</v>
      </c>
      <c r="Z1896" s="381">
        <v>1.971476510067114E-4</v>
      </c>
      <c r="AA1896" s="381">
        <v>1.1786912751677854E-4</v>
      </c>
      <c r="AB1896" s="381">
        <v>0</v>
      </c>
      <c r="AC1896" s="382">
        <v>0.1450297818791946</v>
      </c>
      <c r="AD1896" s="382">
        <v>0</v>
      </c>
      <c r="AE1896" s="381" t="s">
        <v>444</v>
      </c>
    </row>
    <row r="1897" spans="1:31" ht="15" customHeight="1" x14ac:dyDescent="0.25">
      <c r="A1897" s="20" t="s">
        <v>156</v>
      </c>
      <c r="B1897" s="20" t="s">
        <v>2539</v>
      </c>
      <c r="C1897" s="20" t="s">
        <v>2540</v>
      </c>
      <c r="D1897" s="378" t="s">
        <v>2598</v>
      </c>
      <c r="E1897" s="384" t="s">
        <v>437</v>
      </c>
      <c r="F1897" s="384" t="s">
        <v>438</v>
      </c>
      <c r="G1897" s="378" t="s">
        <v>439</v>
      </c>
      <c r="H1897" s="20" t="s">
        <v>2599</v>
      </c>
      <c r="I1897" s="378" t="s">
        <v>441</v>
      </c>
      <c r="J1897" s="20" t="s">
        <v>163</v>
      </c>
      <c r="K1897" s="378" t="s">
        <v>2600</v>
      </c>
      <c r="L1897" s="378" t="s">
        <v>165</v>
      </c>
      <c r="M1897" s="380">
        <v>2384</v>
      </c>
      <c r="N1897" s="380" t="s">
        <v>443</v>
      </c>
      <c r="O1897" s="380" t="s">
        <v>443</v>
      </c>
      <c r="P1897" s="380" t="s">
        <v>443</v>
      </c>
      <c r="Q1897" s="381">
        <v>354</v>
      </c>
      <c r="R1897" s="381">
        <v>353</v>
      </c>
      <c r="S1897" s="381">
        <v>0.374</v>
      </c>
      <c r="T1897" s="381">
        <v>0.245</v>
      </c>
      <c r="U1897" s="381">
        <v>0</v>
      </c>
      <c r="V1897" s="382">
        <v>353.61900000000003</v>
      </c>
      <c r="W1897" s="382">
        <v>0</v>
      </c>
      <c r="X1897" s="381">
        <v>0.14848993288590603</v>
      </c>
      <c r="Y1897" s="381">
        <v>0.14807046979865771</v>
      </c>
      <c r="Z1897" s="381">
        <v>1.5687919463087249E-4</v>
      </c>
      <c r="AA1897" s="381">
        <v>1.0276845637583892E-4</v>
      </c>
      <c r="AB1897" s="381">
        <v>0</v>
      </c>
      <c r="AC1897" s="382">
        <v>0.1483301174496644</v>
      </c>
      <c r="AD1897" s="382">
        <v>0</v>
      </c>
      <c r="AE1897" s="381" t="s">
        <v>444</v>
      </c>
    </row>
    <row r="1898" spans="1:31" ht="15" customHeight="1" x14ac:dyDescent="0.25">
      <c r="A1898" s="20" t="s">
        <v>156</v>
      </c>
      <c r="B1898" s="20" t="s">
        <v>2539</v>
      </c>
      <c r="C1898" s="20" t="s">
        <v>2540</v>
      </c>
      <c r="D1898" s="378" t="s">
        <v>2601</v>
      </c>
      <c r="E1898" s="384">
        <v>44613</v>
      </c>
      <c r="F1898" s="384">
        <v>46439</v>
      </c>
      <c r="G1898" s="378" t="s">
        <v>439</v>
      </c>
      <c r="H1898" s="20" t="s">
        <v>455</v>
      </c>
      <c r="I1898" s="378" t="s">
        <v>168</v>
      </c>
      <c r="J1898" s="20" t="s">
        <v>163</v>
      </c>
      <c r="K1898" s="378" t="s">
        <v>456</v>
      </c>
      <c r="L1898" s="378" t="s">
        <v>165</v>
      </c>
      <c r="M1898" s="380">
        <v>2400</v>
      </c>
      <c r="N1898" s="380" t="s">
        <v>443</v>
      </c>
      <c r="O1898" s="380" t="s">
        <v>443</v>
      </c>
      <c r="P1898" s="380" t="s">
        <v>443</v>
      </c>
      <c r="Q1898" s="381">
        <v>383</v>
      </c>
      <c r="R1898" s="381">
        <v>0</v>
      </c>
      <c r="S1898" s="381">
        <v>0</v>
      </c>
      <c r="T1898" s="381">
        <v>0</v>
      </c>
      <c r="U1898" s="381">
        <v>0</v>
      </c>
      <c r="V1898" s="382">
        <v>383</v>
      </c>
      <c r="W1898" s="382">
        <v>0</v>
      </c>
      <c r="X1898" s="381">
        <v>0.15958333333333333</v>
      </c>
      <c r="Y1898" s="381">
        <v>0</v>
      </c>
      <c r="Z1898" s="381">
        <v>0</v>
      </c>
      <c r="AA1898" s="381">
        <v>0</v>
      </c>
      <c r="AB1898" s="381">
        <v>0</v>
      </c>
      <c r="AC1898" s="382">
        <v>0.15958333333333333</v>
      </c>
      <c r="AD1898" s="382">
        <v>0</v>
      </c>
      <c r="AE1898" s="381" t="s">
        <v>444</v>
      </c>
    </row>
    <row r="1899" spans="1:31" ht="15" customHeight="1" x14ac:dyDescent="0.25">
      <c r="A1899" s="20" t="s">
        <v>156</v>
      </c>
      <c r="B1899" s="20" t="s">
        <v>2539</v>
      </c>
      <c r="C1899" s="20" t="s">
        <v>2540</v>
      </c>
      <c r="D1899" s="378" t="s">
        <v>2602</v>
      </c>
      <c r="E1899" s="384">
        <v>45596</v>
      </c>
      <c r="F1899" s="384">
        <v>46235</v>
      </c>
      <c r="G1899" s="378" t="s">
        <v>439</v>
      </c>
      <c r="H1899" s="20" t="s">
        <v>465</v>
      </c>
      <c r="I1899" s="378" t="s">
        <v>441</v>
      </c>
      <c r="J1899" s="20" t="s">
        <v>163</v>
      </c>
      <c r="K1899" s="378" t="s">
        <v>466</v>
      </c>
      <c r="L1899" s="378" t="s">
        <v>165</v>
      </c>
      <c r="M1899" s="380">
        <v>2400</v>
      </c>
      <c r="N1899" s="380" t="s">
        <v>443</v>
      </c>
      <c r="O1899" s="380" t="s">
        <v>443</v>
      </c>
      <c r="P1899" s="380" t="s">
        <v>443</v>
      </c>
      <c r="Q1899" s="381">
        <v>363</v>
      </c>
      <c r="R1899" s="381">
        <v>0</v>
      </c>
      <c r="S1899" s="381">
        <v>0</v>
      </c>
      <c r="T1899" s="381">
        <v>0</v>
      </c>
      <c r="U1899" s="381">
        <v>0</v>
      </c>
      <c r="V1899" s="382">
        <v>363</v>
      </c>
      <c r="W1899" s="382">
        <v>0</v>
      </c>
      <c r="X1899" s="381">
        <v>0.15125</v>
      </c>
      <c r="Y1899" s="381">
        <v>0</v>
      </c>
      <c r="Z1899" s="381">
        <v>0</v>
      </c>
      <c r="AA1899" s="381">
        <v>0</v>
      </c>
      <c r="AB1899" s="381">
        <v>0</v>
      </c>
      <c r="AC1899" s="382">
        <v>0.15125</v>
      </c>
      <c r="AD1899" s="382">
        <v>0</v>
      </c>
      <c r="AE1899" s="381" t="s">
        <v>444</v>
      </c>
    </row>
    <row r="1900" spans="1:31" ht="15" customHeight="1" x14ac:dyDescent="0.25">
      <c r="A1900" s="20" t="s">
        <v>156</v>
      </c>
      <c r="B1900" s="20" t="s">
        <v>2539</v>
      </c>
      <c r="C1900" s="20" t="s">
        <v>2540</v>
      </c>
      <c r="D1900" s="378" t="s">
        <v>2603</v>
      </c>
      <c r="E1900" s="384">
        <v>45596</v>
      </c>
      <c r="F1900" s="384">
        <v>46235</v>
      </c>
      <c r="G1900" s="378" t="s">
        <v>439</v>
      </c>
      <c r="H1900" s="20" t="s">
        <v>465</v>
      </c>
      <c r="I1900" s="378" t="s">
        <v>441</v>
      </c>
      <c r="J1900" s="20" t="s">
        <v>163</v>
      </c>
      <c r="K1900" s="378" t="s">
        <v>466</v>
      </c>
      <c r="L1900" s="378" t="s">
        <v>165</v>
      </c>
      <c r="M1900" s="380">
        <v>2400</v>
      </c>
      <c r="N1900" s="380" t="s">
        <v>443</v>
      </c>
      <c r="O1900" s="380" t="s">
        <v>443</v>
      </c>
      <c r="P1900" s="380" t="s">
        <v>443</v>
      </c>
      <c r="Q1900" s="381">
        <v>362</v>
      </c>
      <c r="R1900" s="381">
        <v>0</v>
      </c>
      <c r="S1900" s="381">
        <v>0</v>
      </c>
      <c r="T1900" s="381">
        <v>0</v>
      </c>
      <c r="U1900" s="381">
        <v>0</v>
      </c>
      <c r="V1900" s="382">
        <v>362</v>
      </c>
      <c r="W1900" s="382">
        <v>0</v>
      </c>
      <c r="X1900" s="381">
        <v>0.15083333333333335</v>
      </c>
      <c r="Y1900" s="381">
        <v>0</v>
      </c>
      <c r="Z1900" s="381">
        <v>0</v>
      </c>
      <c r="AA1900" s="381">
        <v>0</v>
      </c>
      <c r="AB1900" s="381">
        <v>0</v>
      </c>
      <c r="AC1900" s="382">
        <v>0.15083333333333335</v>
      </c>
      <c r="AD1900" s="382">
        <v>0</v>
      </c>
      <c r="AE1900" s="381" t="s">
        <v>444</v>
      </c>
    </row>
    <row r="1901" spans="1:31" ht="15" customHeight="1" x14ac:dyDescent="0.25">
      <c r="A1901" s="20" t="s">
        <v>156</v>
      </c>
      <c r="B1901" s="20" t="s">
        <v>2539</v>
      </c>
      <c r="C1901" s="20" t="s">
        <v>2540</v>
      </c>
      <c r="D1901" s="378" t="s">
        <v>2604</v>
      </c>
      <c r="E1901" s="384">
        <v>45596</v>
      </c>
      <c r="F1901" s="384">
        <v>46235</v>
      </c>
      <c r="G1901" s="378" t="s">
        <v>439</v>
      </c>
      <c r="H1901" s="20" t="s">
        <v>465</v>
      </c>
      <c r="I1901" s="378" t="s">
        <v>441</v>
      </c>
      <c r="J1901" s="20" t="s">
        <v>163</v>
      </c>
      <c r="K1901" s="378" t="s">
        <v>466</v>
      </c>
      <c r="L1901" s="378" t="s">
        <v>165</v>
      </c>
      <c r="M1901" s="380">
        <v>2400</v>
      </c>
      <c r="N1901" s="380" t="s">
        <v>443</v>
      </c>
      <c r="O1901" s="380" t="s">
        <v>443</v>
      </c>
      <c r="P1901" s="380" t="s">
        <v>443</v>
      </c>
      <c r="Q1901" s="381">
        <v>386</v>
      </c>
      <c r="R1901" s="381">
        <v>0</v>
      </c>
      <c r="S1901" s="381">
        <v>0</v>
      </c>
      <c r="T1901" s="381">
        <v>0</v>
      </c>
      <c r="U1901" s="381">
        <v>0</v>
      </c>
      <c r="V1901" s="382">
        <v>386</v>
      </c>
      <c r="W1901" s="382">
        <v>0</v>
      </c>
      <c r="X1901" s="381">
        <v>0.16083333333333333</v>
      </c>
      <c r="Y1901" s="381">
        <v>0</v>
      </c>
      <c r="Z1901" s="381">
        <v>0</v>
      </c>
      <c r="AA1901" s="381">
        <v>0</v>
      </c>
      <c r="AB1901" s="381">
        <v>0</v>
      </c>
      <c r="AC1901" s="382">
        <v>0.16083333333333333</v>
      </c>
      <c r="AD1901" s="382">
        <v>0</v>
      </c>
      <c r="AE1901" s="381" t="s">
        <v>444</v>
      </c>
    </row>
    <row r="1902" spans="1:31" ht="15" customHeight="1" x14ac:dyDescent="0.25">
      <c r="A1902" s="20" t="s">
        <v>156</v>
      </c>
      <c r="B1902" s="20" t="s">
        <v>2539</v>
      </c>
      <c r="C1902" s="20" t="s">
        <v>2540</v>
      </c>
      <c r="D1902" s="378" t="s">
        <v>2605</v>
      </c>
      <c r="E1902" s="384">
        <v>45321</v>
      </c>
      <c r="F1902" s="384">
        <v>46351</v>
      </c>
      <c r="G1902" s="378" t="s">
        <v>439</v>
      </c>
      <c r="H1902" s="20" t="s">
        <v>802</v>
      </c>
      <c r="I1902" s="378" t="s">
        <v>353</v>
      </c>
      <c r="J1902" s="20" t="s">
        <v>163</v>
      </c>
      <c r="K1902" s="378" t="s">
        <v>803</v>
      </c>
      <c r="L1902" s="378" t="s">
        <v>165</v>
      </c>
      <c r="M1902" s="380">
        <v>2400</v>
      </c>
      <c r="N1902" s="380" t="s">
        <v>443</v>
      </c>
      <c r="O1902" s="380" t="s">
        <v>443</v>
      </c>
      <c r="P1902" s="380" t="s">
        <v>443</v>
      </c>
      <c r="Q1902" s="381">
        <v>362</v>
      </c>
      <c r="R1902" s="381">
        <v>0</v>
      </c>
      <c r="S1902" s="381">
        <v>0</v>
      </c>
      <c r="T1902" s="381">
        <v>0</v>
      </c>
      <c r="U1902" s="381">
        <v>0</v>
      </c>
      <c r="V1902" s="382">
        <v>362</v>
      </c>
      <c r="W1902" s="382">
        <v>0</v>
      </c>
      <c r="X1902" s="381">
        <v>0.15083333333333335</v>
      </c>
      <c r="Y1902" s="381">
        <v>0</v>
      </c>
      <c r="Z1902" s="381">
        <v>0</v>
      </c>
      <c r="AA1902" s="381">
        <v>0</v>
      </c>
      <c r="AB1902" s="381">
        <v>0</v>
      </c>
      <c r="AC1902" s="382">
        <v>0.15083333333333335</v>
      </c>
      <c r="AD1902" s="382">
        <v>0</v>
      </c>
      <c r="AE1902" s="381" t="s">
        <v>444</v>
      </c>
    </row>
    <row r="1903" spans="1:31" ht="15" customHeight="1" x14ac:dyDescent="0.25">
      <c r="A1903" s="20" t="s">
        <v>156</v>
      </c>
      <c r="B1903" s="20" t="s">
        <v>2539</v>
      </c>
      <c r="C1903" s="20" t="s">
        <v>2540</v>
      </c>
      <c r="D1903" s="378" t="s">
        <v>2606</v>
      </c>
      <c r="E1903" s="384">
        <v>44803</v>
      </c>
      <c r="F1903" s="384">
        <v>46619</v>
      </c>
      <c r="G1903" s="378" t="s">
        <v>439</v>
      </c>
      <c r="H1903" s="20" t="s">
        <v>470</v>
      </c>
      <c r="I1903" s="378" t="s">
        <v>168</v>
      </c>
      <c r="J1903" s="20" t="s">
        <v>163</v>
      </c>
      <c r="K1903" s="378" t="s">
        <v>471</v>
      </c>
      <c r="L1903" s="378" t="s">
        <v>165</v>
      </c>
      <c r="M1903" s="380">
        <v>2400</v>
      </c>
      <c r="N1903" s="380" t="s">
        <v>443</v>
      </c>
      <c r="O1903" s="380" t="s">
        <v>443</v>
      </c>
      <c r="P1903" s="380" t="s">
        <v>443</v>
      </c>
      <c r="Q1903" s="381">
        <v>305</v>
      </c>
      <c r="R1903" s="381">
        <v>305</v>
      </c>
      <c r="S1903" s="381">
        <v>9.8000000000000004E-2</v>
      </c>
      <c r="T1903" s="381">
        <v>0</v>
      </c>
      <c r="U1903" s="381">
        <v>0</v>
      </c>
      <c r="V1903" s="382">
        <v>305.09800000000001</v>
      </c>
      <c r="W1903" s="382">
        <v>0</v>
      </c>
      <c r="X1903" s="381">
        <v>0.12708333333333333</v>
      </c>
      <c r="Y1903" s="381">
        <v>0.12708333333333333</v>
      </c>
      <c r="Z1903" s="381">
        <v>4.0833333333333334E-5</v>
      </c>
      <c r="AA1903" s="381">
        <v>0</v>
      </c>
      <c r="AB1903" s="381">
        <v>0</v>
      </c>
      <c r="AC1903" s="382">
        <v>0.12712416666666665</v>
      </c>
      <c r="AD1903" s="382">
        <v>0</v>
      </c>
      <c r="AE1903" s="381" t="s">
        <v>444</v>
      </c>
    </row>
    <row r="1904" spans="1:31" ht="15" customHeight="1" x14ac:dyDescent="0.25">
      <c r="A1904" s="20" t="s">
        <v>156</v>
      </c>
      <c r="B1904" s="20" t="s">
        <v>2539</v>
      </c>
      <c r="C1904" s="20" t="s">
        <v>2540</v>
      </c>
      <c r="D1904" s="378" t="s">
        <v>2607</v>
      </c>
      <c r="E1904" s="384">
        <v>44852</v>
      </c>
      <c r="F1904" s="384">
        <v>46678</v>
      </c>
      <c r="G1904" s="378" t="s">
        <v>439</v>
      </c>
      <c r="H1904" s="20" t="s">
        <v>813</v>
      </c>
      <c r="I1904" s="378" t="s">
        <v>814</v>
      </c>
      <c r="J1904" s="20" t="s">
        <v>163</v>
      </c>
      <c r="K1904" s="378" t="s">
        <v>815</v>
      </c>
      <c r="L1904" s="378" t="s">
        <v>165</v>
      </c>
      <c r="M1904" s="380">
        <v>2400</v>
      </c>
      <c r="N1904" s="380" t="s">
        <v>443</v>
      </c>
      <c r="O1904" s="380" t="s">
        <v>443</v>
      </c>
      <c r="P1904" s="380" t="s">
        <v>443</v>
      </c>
      <c r="Q1904" s="381">
        <v>339</v>
      </c>
      <c r="R1904" s="381">
        <v>0</v>
      </c>
      <c r="S1904" s="381">
        <v>0</v>
      </c>
      <c r="T1904" s="381">
        <v>0</v>
      </c>
      <c r="U1904" s="381">
        <v>0</v>
      </c>
      <c r="V1904" s="382">
        <v>339</v>
      </c>
      <c r="W1904" s="382">
        <v>0</v>
      </c>
      <c r="X1904" s="381">
        <v>0.14124999999999999</v>
      </c>
      <c r="Y1904" s="381">
        <v>0</v>
      </c>
      <c r="Z1904" s="381">
        <v>0</v>
      </c>
      <c r="AA1904" s="381">
        <v>0</v>
      </c>
      <c r="AB1904" s="381">
        <v>0</v>
      </c>
      <c r="AC1904" s="382">
        <v>0.14124999999999999</v>
      </c>
      <c r="AD1904" s="382">
        <v>0</v>
      </c>
      <c r="AE1904" s="381" t="s">
        <v>444</v>
      </c>
    </row>
    <row r="1905" spans="1:31" ht="15" customHeight="1" x14ac:dyDescent="0.25">
      <c r="A1905" s="20" t="s">
        <v>156</v>
      </c>
      <c r="B1905" s="20" t="s">
        <v>2539</v>
      </c>
      <c r="C1905" s="20" t="s">
        <v>2540</v>
      </c>
      <c r="D1905" s="378" t="s">
        <v>2608</v>
      </c>
      <c r="E1905" s="384">
        <v>44417</v>
      </c>
      <c r="F1905" s="384">
        <v>46357</v>
      </c>
      <c r="G1905" s="378" t="s">
        <v>439</v>
      </c>
      <c r="H1905" s="20" t="s">
        <v>817</v>
      </c>
      <c r="I1905" s="378" t="s">
        <v>814</v>
      </c>
      <c r="J1905" s="20" t="s">
        <v>163</v>
      </c>
      <c r="K1905" s="378" t="s">
        <v>818</v>
      </c>
      <c r="L1905" s="378" t="s">
        <v>165</v>
      </c>
      <c r="M1905" s="380">
        <v>2400</v>
      </c>
      <c r="N1905" s="380" t="s">
        <v>443</v>
      </c>
      <c r="O1905" s="380" t="s">
        <v>443</v>
      </c>
      <c r="P1905" s="380" t="s">
        <v>443</v>
      </c>
      <c r="Q1905" s="381">
        <v>418</v>
      </c>
      <c r="R1905" s="381">
        <v>0</v>
      </c>
      <c r="S1905" s="381">
        <v>0</v>
      </c>
      <c r="T1905" s="381">
        <v>0</v>
      </c>
      <c r="U1905" s="381">
        <v>0</v>
      </c>
      <c r="V1905" s="382">
        <v>418</v>
      </c>
      <c r="W1905" s="382">
        <v>0</v>
      </c>
      <c r="X1905" s="381">
        <v>0.17416666666666666</v>
      </c>
      <c r="Y1905" s="381">
        <v>0</v>
      </c>
      <c r="Z1905" s="381">
        <v>0</v>
      </c>
      <c r="AA1905" s="381">
        <v>0</v>
      </c>
      <c r="AB1905" s="381">
        <v>0</v>
      </c>
      <c r="AC1905" s="382">
        <v>0.17416666666666666</v>
      </c>
      <c r="AD1905" s="382">
        <v>0</v>
      </c>
      <c r="AE1905" s="381" t="s">
        <v>444</v>
      </c>
    </row>
    <row r="1906" spans="1:31" ht="15" customHeight="1" x14ac:dyDescent="0.25">
      <c r="A1906" s="20" t="s">
        <v>156</v>
      </c>
      <c r="B1906" s="20" t="s">
        <v>2539</v>
      </c>
      <c r="C1906" s="20" t="s">
        <v>2540</v>
      </c>
      <c r="D1906" s="378" t="s">
        <v>2609</v>
      </c>
      <c r="E1906" s="384">
        <v>44417</v>
      </c>
      <c r="F1906" s="384">
        <v>46357</v>
      </c>
      <c r="G1906" s="378" t="s">
        <v>439</v>
      </c>
      <c r="H1906" s="20" t="s">
        <v>817</v>
      </c>
      <c r="I1906" s="378" t="s">
        <v>814</v>
      </c>
      <c r="J1906" s="20" t="s">
        <v>163</v>
      </c>
      <c r="K1906" s="378" t="s">
        <v>818</v>
      </c>
      <c r="L1906" s="378" t="s">
        <v>165</v>
      </c>
      <c r="M1906" s="380">
        <v>2400</v>
      </c>
      <c r="N1906" s="380" t="s">
        <v>443</v>
      </c>
      <c r="O1906" s="380" t="s">
        <v>443</v>
      </c>
      <c r="P1906" s="380" t="s">
        <v>443</v>
      </c>
      <c r="Q1906" s="381">
        <v>392</v>
      </c>
      <c r="R1906" s="381">
        <v>0</v>
      </c>
      <c r="S1906" s="381">
        <v>0</v>
      </c>
      <c r="T1906" s="381">
        <v>0</v>
      </c>
      <c r="U1906" s="381">
        <v>0</v>
      </c>
      <c r="V1906" s="382">
        <v>392</v>
      </c>
      <c r="W1906" s="382">
        <v>0</v>
      </c>
      <c r="X1906" s="381">
        <v>0.16333333333333333</v>
      </c>
      <c r="Y1906" s="381">
        <v>0</v>
      </c>
      <c r="Z1906" s="381">
        <v>0</v>
      </c>
      <c r="AA1906" s="381">
        <v>0</v>
      </c>
      <c r="AB1906" s="381">
        <v>0</v>
      </c>
      <c r="AC1906" s="382">
        <v>0.16333333333333333</v>
      </c>
      <c r="AD1906" s="382">
        <v>0</v>
      </c>
      <c r="AE1906" s="381" t="s">
        <v>444</v>
      </c>
    </row>
    <row r="1907" spans="1:31" ht="15" customHeight="1" x14ac:dyDescent="0.25">
      <c r="A1907" s="20" t="s">
        <v>156</v>
      </c>
      <c r="B1907" s="20" t="s">
        <v>2539</v>
      </c>
      <c r="C1907" s="20" t="s">
        <v>2540</v>
      </c>
      <c r="D1907" s="378" t="s">
        <v>2610</v>
      </c>
      <c r="E1907" s="384">
        <v>44417</v>
      </c>
      <c r="F1907" s="384">
        <v>46357</v>
      </c>
      <c r="G1907" s="378" t="s">
        <v>439</v>
      </c>
      <c r="H1907" s="20" t="s">
        <v>817</v>
      </c>
      <c r="I1907" s="378" t="s">
        <v>814</v>
      </c>
      <c r="J1907" s="20" t="s">
        <v>163</v>
      </c>
      <c r="K1907" s="378" t="s">
        <v>818</v>
      </c>
      <c r="L1907" s="378" t="s">
        <v>165</v>
      </c>
      <c r="M1907" s="380">
        <v>2400</v>
      </c>
      <c r="N1907" s="380" t="s">
        <v>443</v>
      </c>
      <c r="O1907" s="380" t="s">
        <v>443</v>
      </c>
      <c r="P1907" s="380" t="s">
        <v>443</v>
      </c>
      <c r="Q1907" s="381">
        <v>403</v>
      </c>
      <c r="R1907" s="381">
        <v>0</v>
      </c>
      <c r="S1907" s="381">
        <v>0</v>
      </c>
      <c r="T1907" s="381">
        <v>0</v>
      </c>
      <c r="U1907" s="381">
        <v>0</v>
      </c>
      <c r="V1907" s="382">
        <v>403</v>
      </c>
      <c r="W1907" s="382">
        <v>0</v>
      </c>
      <c r="X1907" s="381">
        <v>0.16791666666666666</v>
      </c>
      <c r="Y1907" s="381">
        <v>0</v>
      </c>
      <c r="Z1907" s="381">
        <v>0</v>
      </c>
      <c r="AA1907" s="381">
        <v>0</v>
      </c>
      <c r="AB1907" s="381">
        <v>0</v>
      </c>
      <c r="AC1907" s="382">
        <v>0.16791666666666666</v>
      </c>
      <c r="AD1907" s="382">
        <v>0</v>
      </c>
      <c r="AE1907" s="381" t="s">
        <v>444</v>
      </c>
    </row>
    <row r="1908" spans="1:31" ht="15" customHeight="1" x14ac:dyDescent="0.25">
      <c r="A1908" s="20" t="s">
        <v>156</v>
      </c>
      <c r="B1908" s="20" t="s">
        <v>2539</v>
      </c>
      <c r="C1908" s="20" t="s">
        <v>2540</v>
      </c>
      <c r="D1908" s="378" t="s">
        <v>2611</v>
      </c>
      <c r="E1908" s="384">
        <v>44417</v>
      </c>
      <c r="F1908" s="384">
        <v>46357</v>
      </c>
      <c r="G1908" s="378" t="s">
        <v>439</v>
      </c>
      <c r="H1908" s="20" t="s">
        <v>817</v>
      </c>
      <c r="I1908" s="378" t="s">
        <v>814</v>
      </c>
      <c r="J1908" s="20" t="s">
        <v>163</v>
      </c>
      <c r="K1908" s="378" t="s">
        <v>818</v>
      </c>
      <c r="L1908" s="378" t="s">
        <v>165</v>
      </c>
      <c r="M1908" s="380">
        <v>2400</v>
      </c>
      <c r="N1908" s="380" t="s">
        <v>443</v>
      </c>
      <c r="O1908" s="380" t="s">
        <v>443</v>
      </c>
      <c r="P1908" s="380" t="s">
        <v>443</v>
      </c>
      <c r="Q1908" s="381">
        <v>397</v>
      </c>
      <c r="R1908" s="381">
        <v>0</v>
      </c>
      <c r="S1908" s="381">
        <v>0</v>
      </c>
      <c r="T1908" s="381">
        <v>0</v>
      </c>
      <c r="U1908" s="381">
        <v>0</v>
      </c>
      <c r="V1908" s="382">
        <v>397</v>
      </c>
      <c r="W1908" s="382">
        <v>0</v>
      </c>
      <c r="X1908" s="381">
        <v>0.16541666666666666</v>
      </c>
      <c r="Y1908" s="381">
        <v>0</v>
      </c>
      <c r="Z1908" s="381">
        <v>0</v>
      </c>
      <c r="AA1908" s="381">
        <v>0</v>
      </c>
      <c r="AB1908" s="381">
        <v>0</v>
      </c>
      <c r="AC1908" s="382">
        <v>0.16541666666666666</v>
      </c>
      <c r="AD1908" s="382">
        <v>0</v>
      </c>
      <c r="AE1908" s="381" t="s">
        <v>444</v>
      </c>
    </row>
    <row r="1909" spans="1:31" ht="15" customHeight="1" x14ac:dyDescent="0.25">
      <c r="A1909" s="20" t="s">
        <v>156</v>
      </c>
      <c r="B1909" s="20" t="s">
        <v>2539</v>
      </c>
      <c r="C1909" s="20" t="s">
        <v>2540</v>
      </c>
      <c r="D1909" s="378" t="s">
        <v>2612</v>
      </c>
      <c r="E1909" s="384">
        <v>44613</v>
      </c>
      <c r="F1909" s="384">
        <v>46439</v>
      </c>
      <c r="G1909" s="378" t="s">
        <v>439</v>
      </c>
      <c r="H1909" s="20" t="s">
        <v>455</v>
      </c>
      <c r="I1909" s="378" t="s">
        <v>162</v>
      </c>
      <c r="J1909" s="20" t="s">
        <v>163</v>
      </c>
      <c r="K1909" s="378" t="s">
        <v>476</v>
      </c>
      <c r="L1909" s="378" t="s">
        <v>165</v>
      </c>
      <c r="M1909" s="380">
        <v>2400</v>
      </c>
      <c r="N1909" s="380" t="s">
        <v>443</v>
      </c>
      <c r="O1909" s="380" t="s">
        <v>443</v>
      </c>
      <c r="P1909" s="380" t="s">
        <v>443</v>
      </c>
      <c r="Q1909" s="381">
        <v>379</v>
      </c>
      <c r="R1909" s="381">
        <v>0</v>
      </c>
      <c r="S1909" s="381">
        <v>0</v>
      </c>
      <c r="T1909" s="381">
        <v>0</v>
      </c>
      <c r="U1909" s="381">
        <v>0</v>
      </c>
      <c r="V1909" s="382">
        <v>379</v>
      </c>
      <c r="W1909" s="382">
        <v>0</v>
      </c>
      <c r="X1909" s="381">
        <v>0.15791666666666668</v>
      </c>
      <c r="Y1909" s="381">
        <v>0</v>
      </c>
      <c r="Z1909" s="381">
        <v>0</v>
      </c>
      <c r="AA1909" s="381">
        <v>0</v>
      </c>
      <c r="AB1909" s="381">
        <v>0</v>
      </c>
      <c r="AC1909" s="382">
        <v>0.15791666666666668</v>
      </c>
      <c r="AD1909" s="382">
        <v>0</v>
      </c>
      <c r="AE1909" s="381" t="s">
        <v>444</v>
      </c>
    </row>
    <row r="1910" spans="1:31" ht="15" customHeight="1" x14ac:dyDescent="0.25">
      <c r="A1910" s="20" t="s">
        <v>156</v>
      </c>
      <c r="B1910" s="20" t="s">
        <v>2539</v>
      </c>
      <c r="C1910" s="20" t="s">
        <v>2540</v>
      </c>
      <c r="D1910" s="378" t="s">
        <v>2613</v>
      </c>
      <c r="E1910" s="384">
        <v>44613</v>
      </c>
      <c r="F1910" s="384">
        <v>46439</v>
      </c>
      <c r="G1910" s="378" t="s">
        <v>439</v>
      </c>
      <c r="H1910" s="20" t="s">
        <v>455</v>
      </c>
      <c r="I1910" s="378" t="s">
        <v>162</v>
      </c>
      <c r="J1910" s="20" t="s">
        <v>163</v>
      </c>
      <c r="K1910" s="378" t="s">
        <v>476</v>
      </c>
      <c r="L1910" s="378" t="s">
        <v>165</v>
      </c>
      <c r="M1910" s="380">
        <v>2400</v>
      </c>
      <c r="N1910" s="380" t="s">
        <v>443</v>
      </c>
      <c r="O1910" s="380" t="s">
        <v>443</v>
      </c>
      <c r="P1910" s="380" t="s">
        <v>443</v>
      </c>
      <c r="Q1910" s="381">
        <v>480</v>
      </c>
      <c r="R1910" s="381">
        <v>0</v>
      </c>
      <c r="S1910" s="381">
        <v>0</v>
      </c>
      <c r="T1910" s="381">
        <v>0</v>
      </c>
      <c r="U1910" s="381">
        <v>0</v>
      </c>
      <c r="V1910" s="382">
        <v>480</v>
      </c>
      <c r="W1910" s="382">
        <v>0</v>
      </c>
      <c r="X1910" s="381">
        <v>0.2</v>
      </c>
      <c r="Y1910" s="381">
        <v>0</v>
      </c>
      <c r="Z1910" s="381">
        <v>0</v>
      </c>
      <c r="AA1910" s="381">
        <v>0</v>
      </c>
      <c r="AB1910" s="381">
        <v>0</v>
      </c>
      <c r="AC1910" s="382">
        <v>0.2</v>
      </c>
      <c r="AD1910" s="382">
        <v>0</v>
      </c>
      <c r="AE1910" s="381" t="s">
        <v>444</v>
      </c>
    </row>
    <row r="1911" spans="1:31" ht="15" customHeight="1" x14ac:dyDescent="0.25">
      <c r="A1911" s="20" t="s">
        <v>156</v>
      </c>
      <c r="B1911" s="20" t="s">
        <v>2539</v>
      </c>
      <c r="C1911" s="20" t="s">
        <v>2540</v>
      </c>
      <c r="D1911" s="378" t="s">
        <v>2612</v>
      </c>
      <c r="E1911" s="384">
        <v>44613</v>
      </c>
      <c r="F1911" s="384">
        <v>46439</v>
      </c>
      <c r="G1911" s="378" t="s">
        <v>439</v>
      </c>
      <c r="H1911" s="20" t="s">
        <v>455</v>
      </c>
      <c r="I1911" s="378" t="s">
        <v>162</v>
      </c>
      <c r="J1911" s="20" t="s">
        <v>163</v>
      </c>
      <c r="K1911" s="378" t="s">
        <v>476</v>
      </c>
      <c r="L1911" s="378" t="s">
        <v>165</v>
      </c>
      <c r="M1911" s="380">
        <v>2400</v>
      </c>
      <c r="N1911" s="380" t="s">
        <v>443</v>
      </c>
      <c r="O1911" s="380" t="s">
        <v>443</v>
      </c>
      <c r="P1911" s="380" t="s">
        <v>443</v>
      </c>
      <c r="Q1911" s="381">
        <v>379</v>
      </c>
      <c r="R1911" s="381">
        <v>0</v>
      </c>
      <c r="S1911" s="381">
        <v>0</v>
      </c>
      <c r="T1911" s="381">
        <v>0</v>
      </c>
      <c r="U1911" s="381">
        <v>0</v>
      </c>
      <c r="V1911" s="382">
        <v>379</v>
      </c>
      <c r="W1911" s="382">
        <v>0</v>
      </c>
      <c r="X1911" s="381">
        <v>0.15791666666666668</v>
      </c>
      <c r="Y1911" s="381">
        <v>0</v>
      </c>
      <c r="Z1911" s="381">
        <v>0</v>
      </c>
      <c r="AA1911" s="381">
        <v>0</v>
      </c>
      <c r="AB1911" s="381">
        <v>0</v>
      </c>
      <c r="AC1911" s="382">
        <v>0.15791666666666668</v>
      </c>
      <c r="AD1911" s="382">
        <v>0</v>
      </c>
      <c r="AE1911" s="381" t="s">
        <v>444</v>
      </c>
    </row>
    <row r="1912" spans="1:31" ht="15" customHeight="1" x14ac:dyDescent="0.25">
      <c r="A1912" s="20" t="s">
        <v>156</v>
      </c>
      <c r="B1912" s="20" t="s">
        <v>2539</v>
      </c>
      <c r="C1912" s="20" t="s">
        <v>2540</v>
      </c>
      <c r="D1912" s="378" t="s">
        <v>2613</v>
      </c>
      <c r="E1912" s="384">
        <v>44613</v>
      </c>
      <c r="F1912" s="384">
        <v>46439</v>
      </c>
      <c r="G1912" s="378" t="s">
        <v>439</v>
      </c>
      <c r="H1912" s="20" t="s">
        <v>455</v>
      </c>
      <c r="I1912" s="378" t="s">
        <v>162</v>
      </c>
      <c r="J1912" s="20" t="s">
        <v>163</v>
      </c>
      <c r="K1912" s="378" t="s">
        <v>476</v>
      </c>
      <c r="L1912" s="378" t="s">
        <v>165</v>
      </c>
      <c r="M1912" s="380">
        <v>2400</v>
      </c>
      <c r="N1912" s="380" t="s">
        <v>443</v>
      </c>
      <c r="O1912" s="380" t="s">
        <v>443</v>
      </c>
      <c r="P1912" s="380" t="s">
        <v>443</v>
      </c>
      <c r="Q1912" s="381">
        <v>480</v>
      </c>
      <c r="R1912" s="381">
        <v>0</v>
      </c>
      <c r="S1912" s="381">
        <v>0</v>
      </c>
      <c r="T1912" s="381">
        <v>0</v>
      </c>
      <c r="U1912" s="381">
        <v>0</v>
      </c>
      <c r="V1912" s="382">
        <v>480</v>
      </c>
      <c r="W1912" s="382">
        <v>0</v>
      </c>
      <c r="X1912" s="381">
        <v>0.2</v>
      </c>
      <c r="Y1912" s="381">
        <v>0</v>
      </c>
      <c r="Z1912" s="381">
        <v>0</v>
      </c>
      <c r="AA1912" s="381">
        <v>0</v>
      </c>
      <c r="AB1912" s="381">
        <v>0</v>
      </c>
      <c r="AC1912" s="382">
        <v>0.2</v>
      </c>
      <c r="AD1912" s="382">
        <v>0</v>
      </c>
      <c r="AE1912" s="381" t="s">
        <v>444</v>
      </c>
    </row>
    <row r="1913" spans="1:31" ht="15" customHeight="1" x14ac:dyDescent="0.25">
      <c r="A1913" s="20" t="s">
        <v>156</v>
      </c>
      <c r="B1913" s="20" t="s">
        <v>2539</v>
      </c>
      <c r="C1913" s="20" t="s">
        <v>2540</v>
      </c>
      <c r="D1913" s="378" t="s">
        <v>2612</v>
      </c>
      <c r="E1913" s="384">
        <v>44613</v>
      </c>
      <c r="F1913" s="384">
        <v>46439</v>
      </c>
      <c r="G1913" s="378" t="s">
        <v>439</v>
      </c>
      <c r="H1913" s="20" t="s">
        <v>455</v>
      </c>
      <c r="I1913" s="378" t="s">
        <v>162</v>
      </c>
      <c r="J1913" s="20" t="s">
        <v>163</v>
      </c>
      <c r="K1913" s="378" t="s">
        <v>476</v>
      </c>
      <c r="L1913" s="378" t="s">
        <v>165</v>
      </c>
      <c r="M1913" s="380">
        <v>2400</v>
      </c>
      <c r="N1913" s="380" t="s">
        <v>443</v>
      </c>
      <c r="O1913" s="380" t="s">
        <v>443</v>
      </c>
      <c r="P1913" s="380" t="s">
        <v>443</v>
      </c>
      <c r="Q1913" s="381">
        <v>379</v>
      </c>
      <c r="R1913" s="381">
        <v>0</v>
      </c>
      <c r="S1913" s="381">
        <v>0</v>
      </c>
      <c r="T1913" s="381">
        <v>0</v>
      </c>
      <c r="U1913" s="381">
        <v>0</v>
      </c>
      <c r="V1913" s="382">
        <v>379</v>
      </c>
      <c r="W1913" s="382">
        <v>0</v>
      </c>
      <c r="X1913" s="381">
        <v>0.15791666666666668</v>
      </c>
      <c r="Y1913" s="381">
        <v>0</v>
      </c>
      <c r="Z1913" s="381">
        <v>0</v>
      </c>
      <c r="AA1913" s="381">
        <v>0</v>
      </c>
      <c r="AB1913" s="381">
        <v>0</v>
      </c>
      <c r="AC1913" s="382">
        <v>0.15791666666666668</v>
      </c>
      <c r="AD1913" s="382">
        <v>0</v>
      </c>
      <c r="AE1913" s="381" t="s">
        <v>444</v>
      </c>
    </row>
    <row r="1914" spans="1:31" ht="15" customHeight="1" x14ac:dyDescent="0.25">
      <c r="A1914" s="20" t="s">
        <v>156</v>
      </c>
      <c r="B1914" s="20" t="s">
        <v>2539</v>
      </c>
      <c r="C1914" s="20" t="s">
        <v>2540</v>
      </c>
      <c r="D1914" s="378" t="s">
        <v>2613</v>
      </c>
      <c r="E1914" s="384">
        <v>44613</v>
      </c>
      <c r="F1914" s="384">
        <v>46439</v>
      </c>
      <c r="G1914" s="378" t="s">
        <v>439</v>
      </c>
      <c r="H1914" s="20" t="s">
        <v>455</v>
      </c>
      <c r="I1914" s="378" t="s">
        <v>162</v>
      </c>
      <c r="J1914" s="20" t="s">
        <v>163</v>
      </c>
      <c r="K1914" s="378" t="s">
        <v>476</v>
      </c>
      <c r="L1914" s="378" t="s">
        <v>165</v>
      </c>
      <c r="M1914" s="380">
        <v>2400</v>
      </c>
      <c r="N1914" s="380" t="s">
        <v>443</v>
      </c>
      <c r="O1914" s="380" t="s">
        <v>443</v>
      </c>
      <c r="P1914" s="380" t="s">
        <v>443</v>
      </c>
      <c r="Q1914" s="381">
        <v>480</v>
      </c>
      <c r="R1914" s="381">
        <v>0</v>
      </c>
      <c r="S1914" s="381">
        <v>0</v>
      </c>
      <c r="T1914" s="381">
        <v>0</v>
      </c>
      <c r="U1914" s="381">
        <v>0</v>
      </c>
      <c r="V1914" s="382">
        <v>480</v>
      </c>
      <c r="W1914" s="382">
        <v>0</v>
      </c>
      <c r="X1914" s="381">
        <v>0.2</v>
      </c>
      <c r="Y1914" s="381">
        <v>0</v>
      </c>
      <c r="Z1914" s="381">
        <v>0</v>
      </c>
      <c r="AA1914" s="381">
        <v>0</v>
      </c>
      <c r="AB1914" s="381">
        <v>0</v>
      </c>
      <c r="AC1914" s="382">
        <v>0.2</v>
      </c>
      <c r="AD1914" s="382">
        <v>0</v>
      </c>
      <c r="AE1914" s="381" t="s">
        <v>444</v>
      </c>
    </row>
    <row r="1915" spans="1:31" ht="15" customHeight="1" x14ac:dyDescent="0.25">
      <c r="A1915" s="20" t="s">
        <v>156</v>
      </c>
      <c r="B1915" s="20" t="s">
        <v>2539</v>
      </c>
      <c r="C1915" s="20" t="s">
        <v>2540</v>
      </c>
      <c r="D1915" s="378" t="s">
        <v>2612</v>
      </c>
      <c r="E1915" s="384">
        <v>44613</v>
      </c>
      <c r="F1915" s="384">
        <v>46439</v>
      </c>
      <c r="G1915" s="378" t="s">
        <v>439</v>
      </c>
      <c r="H1915" s="20" t="s">
        <v>455</v>
      </c>
      <c r="I1915" s="378" t="s">
        <v>162</v>
      </c>
      <c r="J1915" s="20" t="s">
        <v>163</v>
      </c>
      <c r="K1915" s="378" t="s">
        <v>476</v>
      </c>
      <c r="L1915" s="378" t="s">
        <v>165</v>
      </c>
      <c r="M1915" s="380">
        <v>2400</v>
      </c>
      <c r="N1915" s="380" t="s">
        <v>443</v>
      </c>
      <c r="O1915" s="380" t="s">
        <v>443</v>
      </c>
      <c r="P1915" s="380" t="s">
        <v>443</v>
      </c>
      <c r="Q1915" s="381">
        <v>379</v>
      </c>
      <c r="R1915" s="381">
        <v>0</v>
      </c>
      <c r="S1915" s="381">
        <v>0</v>
      </c>
      <c r="T1915" s="381">
        <v>0</v>
      </c>
      <c r="U1915" s="381">
        <v>0</v>
      </c>
      <c r="V1915" s="382">
        <v>379</v>
      </c>
      <c r="W1915" s="382">
        <v>0</v>
      </c>
      <c r="X1915" s="381">
        <v>0.15791666666666668</v>
      </c>
      <c r="Y1915" s="381">
        <v>0</v>
      </c>
      <c r="Z1915" s="381">
        <v>0</v>
      </c>
      <c r="AA1915" s="381">
        <v>0</v>
      </c>
      <c r="AB1915" s="381">
        <v>0</v>
      </c>
      <c r="AC1915" s="382">
        <v>0.15791666666666668</v>
      </c>
      <c r="AD1915" s="382">
        <v>0</v>
      </c>
      <c r="AE1915" s="381" t="s">
        <v>444</v>
      </c>
    </row>
    <row r="1916" spans="1:31" ht="15" customHeight="1" x14ac:dyDescent="0.25">
      <c r="A1916" s="20" t="s">
        <v>156</v>
      </c>
      <c r="B1916" s="20" t="s">
        <v>2539</v>
      </c>
      <c r="C1916" s="20" t="s">
        <v>2540</v>
      </c>
      <c r="D1916" s="378" t="s">
        <v>2613</v>
      </c>
      <c r="E1916" s="384">
        <v>44613</v>
      </c>
      <c r="F1916" s="384">
        <v>46439</v>
      </c>
      <c r="G1916" s="378" t="s">
        <v>439</v>
      </c>
      <c r="H1916" s="20" t="s">
        <v>455</v>
      </c>
      <c r="I1916" s="378" t="s">
        <v>162</v>
      </c>
      <c r="J1916" s="20" t="s">
        <v>163</v>
      </c>
      <c r="K1916" s="378" t="s">
        <v>476</v>
      </c>
      <c r="L1916" s="378" t="s">
        <v>165</v>
      </c>
      <c r="M1916" s="380">
        <v>2400</v>
      </c>
      <c r="N1916" s="380" t="s">
        <v>443</v>
      </c>
      <c r="O1916" s="380" t="s">
        <v>443</v>
      </c>
      <c r="P1916" s="380" t="s">
        <v>443</v>
      </c>
      <c r="Q1916" s="381">
        <v>480</v>
      </c>
      <c r="R1916" s="381">
        <v>0</v>
      </c>
      <c r="S1916" s="381">
        <v>0</v>
      </c>
      <c r="T1916" s="381">
        <v>0</v>
      </c>
      <c r="U1916" s="381">
        <v>0</v>
      </c>
      <c r="V1916" s="382">
        <v>480</v>
      </c>
      <c r="W1916" s="382">
        <v>0</v>
      </c>
      <c r="X1916" s="381">
        <v>0.2</v>
      </c>
      <c r="Y1916" s="381">
        <v>0</v>
      </c>
      <c r="Z1916" s="381">
        <v>0</v>
      </c>
      <c r="AA1916" s="381">
        <v>0</v>
      </c>
      <c r="AB1916" s="381">
        <v>0</v>
      </c>
      <c r="AC1916" s="382">
        <v>0.2</v>
      </c>
      <c r="AD1916" s="382">
        <v>0</v>
      </c>
      <c r="AE1916" s="381" t="s">
        <v>444</v>
      </c>
    </row>
    <row r="1917" spans="1:31" ht="15" customHeight="1" x14ac:dyDescent="0.25">
      <c r="A1917" s="20" t="s">
        <v>156</v>
      </c>
      <c r="B1917" s="20" t="s">
        <v>2539</v>
      </c>
      <c r="C1917" s="20" t="s">
        <v>2540</v>
      </c>
      <c r="D1917" s="378" t="s">
        <v>2612</v>
      </c>
      <c r="E1917" s="384">
        <v>44613</v>
      </c>
      <c r="F1917" s="384">
        <v>46439</v>
      </c>
      <c r="G1917" s="378" t="s">
        <v>439</v>
      </c>
      <c r="H1917" s="20" t="s">
        <v>455</v>
      </c>
      <c r="I1917" s="378" t="s">
        <v>162</v>
      </c>
      <c r="J1917" s="20" t="s">
        <v>163</v>
      </c>
      <c r="K1917" s="378" t="s">
        <v>476</v>
      </c>
      <c r="L1917" s="378" t="s">
        <v>165</v>
      </c>
      <c r="M1917" s="380">
        <v>2400</v>
      </c>
      <c r="N1917" s="380" t="s">
        <v>443</v>
      </c>
      <c r="O1917" s="380" t="s">
        <v>443</v>
      </c>
      <c r="P1917" s="380" t="s">
        <v>443</v>
      </c>
      <c r="Q1917" s="381">
        <v>379</v>
      </c>
      <c r="R1917" s="381">
        <v>0</v>
      </c>
      <c r="S1917" s="381">
        <v>0</v>
      </c>
      <c r="T1917" s="381">
        <v>0</v>
      </c>
      <c r="U1917" s="381">
        <v>0</v>
      </c>
      <c r="V1917" s="382">
        <v>379</v>
      </c>
      <c r="W1917" s="382">
        <v>0</v>
      </c>
      <c r="X1917" s="381">
        <v>0.15791666666666668</v>
      </c>
      <c r="Y1917" s="381">
        <v>0</v>
      </c>
      <c r="Z1917" s="381">
        <v>0</v>
      </c>
      <c r="AA1917" s="381">
        <v>0</v>
      </c>
      <c r="AB1917" s="381">
        <v>0</v>
      </c>
      <c r="AC1917" s="382">
        <v>0.15791666666666668</v>
      </c>
      <c r="AD1917" s="382">
        <v>0</v>
      </c>
      <c r="AE1917" s="381" t="s">
        <v>444</v>
      </c>
    </row>
    <row r="1918" spans="1:31" ht="15" customHeight="1" x14ac:dyDescent="0.25">
      <c r="A1918" s="20" t="s">
        <v>156</v>
      </c>
      <c r="B1918" s="20" t="s">
        <v>2539</v>
      </c>
      <c r="C1918" s="20" t="s">
        <v>2540</v>
      </c>
      <c r="D1918" s="378" t="s">
        <v>2613</v>
      </c>
      <c r="E1918" s="384">
        <v>44613</v>
      </c>
      <c r="F1918" s="384">
        <v>46439</v>
      </c>
      <c r="G1918" s="378" t="s">
        <v>439</v>
      </c>
      <c r="H1918" s="20" t="s">
        <v>455</v>
      </c>
      <c r="I1918" s="378" t="s">
        <v>162</v>
      </c>
      <c r="J1918" s="20" t="s">
        <v>163</v>
      </c>
      <c r="K1918" s="378" t="s">
        <v>476</v>
      </c>
      <c r="L1918" s="378" t="s">
        <v>165</v>
      </c>
      <c r="M1918" s="380">
        <v>2400</v>
      </c>
      <c r="N1918" s="380" t="s">
        <v>443</v>
      </c>
      <c r="O1918" s="380" t="s">
        <v>443</v>
      </c>
      <c r="P1918" s="380" t="s">
        <v>443</v>
      </c>
      <c r="Q1918" s="381">
        <v>480</v>
      </c>
      <c r="R1918" s="381">
        <v>0</v>
      </c>
      <c r="S1918" s="381">
        <v>0</v>
      </c>
      <c r="T1918" s="381">
        <v>0</v>
      </c>
      <c r="U1918" s="381">
        <v>0</v>
      </c>
      <c r="V1918" s="382">
        <v>480</v>
      </c>
      <c r="W1918" s="382">
        <v>0</v>
      </c>
      <c r="X1918" s="381">
        <v>0.2</v>
      </c>
      <c r="Y1918" s="381">
        <v>0</v>
      </c>
      <c r="Z1918" s="381">
        <v>0</v>
      </c>
      <c r="AA1918" s="381">
        <v>0</v>
      </c>
      <c r="AB1918" s="381">
        <v>0</v>
      </c>
      <c r="AC1918" s="382">
        <v>0.2</v>
      </c>
      <c r="AD1918" s="382">
        <v>0</v>
      </c>
      <c r="AE1918" s="381" t="s">
        <v>444</v>
      </c>
    </row>
    <row r="1919" spans="1:31" ht="15" customHeight="1" x14ac:dyDescent="0.25">
      <c r="A1919" s="20" t="s">
        <v>156</v>
      </c>
      <c r="B1919" s="20" t="s">
        <v>2539</v>
      </c>
      <c r="C1919" s="20" t="s">
        <v>2540</v>
      </c>
      <c r="D1919" s="378" t="s">
        <v>2612</v>
      </c>
      <c r="E1919" s="384">
        <v>44613</v>
      </c>
      <c r="F1919" s="384">
        <v>46439</v>
      </c>
      <c r="G1919" s="378" t="s">
        <v>439</v>
      </c>
      <c r="H1919" s="20" t="s">
        <v>455</v>
      </c>
      <c r="I1919" s="378" t="s">
        <v>162</v>
      </c>
      <c r="J1919" s="20" t="s">
        <v>163</v>
      </c>
      <c r="K1919" s="378" t="s">
        <v>476</v>
      </c>
      <c r="L1919" s="378" t="s">
        <v>165</v>
      </c>
      <c r="M1919" s="380">
        <v>2400</v>
      </c>
      <c r="N1919" s="380" t="s">
        <v>443</v>
      </c>
      <c r="O1919" s="380" t="s">
        <v>443</v>
      </c>
      <c r="P1919" s="380" t="s">
        <v>443</v>
      </c>
      <c r="Q1919" s="381">
        <v>379</v>
      </c>
      <c r="R1919" s="381">
        <v>0</v>
      </c>
      <c r="S1919" s="381">
        <v>0</v>
      </c>
      <c r="T1919" s="381">
        <v>0</v>
      </c>
      <c r="U1919" s="381">
        <v>0</v>
      </c>
      <c r="V1919" s="382">
        <v>379</v>
      </c>
      <c r="W1919" s="382">
        <v>0</v>
      </c>
      <c r="X1919" s="381">
        <v>0.15791666666666668</v>
      </c>
      <c r="Y1919" s="381">
        <v>0</v>
      </c>
      <c r="Z1919" s="381">
        <v>0</v>
      </c>
      <c r="AA1919" s="381">
        <v>0</v>
      </c>
      <c r="AB1919" s="381">
        <v>0</v>
      </c>
      <c r="AC1919" s="382">
        <v>0.15791666666666668</v>
      </c>
      <c r="AD1919" s="382">
        <v>0</v>
      </c>
      <c r="AE1919" s="381" t="s">
        <v>444</v>
      </c>
    </row>
    <row r="1920" spans="1:31" ht="15" customHeight="1" x14ac:dyDescent="0.25">
      <c r="A1920" s="20" t="s">
        <v>156</v>
      </c>
      <c r="B1920" s="20" t="s">
        <v>2539</v>
      </c>
      <c r="C1920" s="20" t="s">
        <v>2540</v>
      </c>
      <c r="D1920" s="378" t="s">
        <v>2613</v>
      </c>
      <c r="E1920" s="384">
        <v>44613</v>
      </c>
      <c r="F1920" s="384">
        <v>46439</v>
      </c>
      <c r="G1920" s="378" t="s">
        <v>439</v>
      </c>
      <c r="H1920" s="20" t="s">
        <v>455</v>
      </c>
      <c r="I1920" s="378" t="s">
        <v>162</v>
      </c>
      <c r="J1920" s="20" t="s">
        <v>163</v>
      </c>
      <c r="K1920" s="378" t="s">
        <v>476</v>
      </c>
      <c r="L1920" s="378" t="s">
        <v>165</v>
      </c>
      <c r="M1920" s="380">
        <v>2400</v>
      </c>
      <c r="N1920" s="380" t="s">
        <v>443</v>
      </c>
      <c r="O1920" s="380" t="s">
        <v>443</v>
      </c>
      <c r="P1920" s="380" t="s">
        <v>443</v>
      </c>
      <c r="Q1920" s="381">
        <v>480</v>
      </c>
      <c r="R1920" s="381">
        <v>0</v>
      </c>
      <c r="S1920" s="381">
        <v>0</v>
      </c>
      <c r="T1920" s="381">
        <v>0</v>
      </c>
      <c r="U1920" s="381">
        <v>0</v>
      </c>
      <c r="V1920" s="382">
        <v>480</v>
      </c>
      <c r="W1920" s="382">
        <v>0</v>
      </c>
      <c r="X1920" s="381">
        <v>0.2</v>
      </c>
      <c r="Y1920" s="381">
        <v>0</v>
      </c>
      <c r="Z1920" s="381">
        <v>0</v>
      </c>
      <c r="AA1920" s="381">
        <v>0</v>
      </c>
      <c r="AB1920" s="381">
        <v>0</v>
      </c>
      <c r="AC1920" s="382">
        <v>0.2</v>
      </c>
      <c r="AD1920" s="382">
        <v>0</v>
      </c>
      <c r="AE1920" s="381" t="s">
        <v>444</v>
      </c>
    </row>
    <row r="1921" spans="1:31" ht="15" customHeight="1" x14ac:dyDescent="0.25">
      <c r="A1921" s="20" t="s">
        <v>156</v>
      </c>
      <c r="B1921" s="20" t="s">
        <v>2539</v>
      </c>
      <c r="C1921" s="20" t="s">
        <v>2540</v>
      </c>
      <c r="D1921" s="378" t="s">
        <v>2612</v>
      </c>
      <c r="E1921" s="384">
        <v>44613</v>
      </c>
      <c r="F1921" s="384">
        <v>46439</v>
      </c>
      <c r="G1921" s="378" t="s">
        <v>439</v>
      </c>
      <c r="H1921" s="20" t="s">
        <v>455</v>
      </c>
      <c r="I1921" s="378" t="s">
        <v>162</v>
      </c>
      <c r="J1921" s="20" t="s">
        <v>163</v>
      </c>
      <c r="K1921" s="378" t="s">
        <v>476</v>
      </c>
      <c r="L1921" s="378" t="s">
        <v>165</v>
      </c>
      <c r="M1921" s="380">
        <v>2400</v>
      </c>
      <c r="N1921" s="380" t="s">
        <v>443</v>
      </c>
      <c r="O1921" s="380" t="s">
        <v>443</v>
      </c>
      <c r="P1921" s="380" t="s">
        <v>443</v>
      </c>
      <c r="Q1921" s="381">
        <v>379</v>
      </c>
      <c r="R1921" s="381">
        <v>0</v>
      </c>
      <c r="S1921" s="381">
        <v>0</v>
      </c>
      <c r="T1921" s="381">
        <v>0</v>
      </c>
      <c r="U1921" s="381">
        <v>0</v>
      </c>
      <c r="V1921" s="382">
        <v>379</v>
      </c>
      <c r="W1921" s="382">
        <v>0</v>
      </c>
      <c r="X1921" s="381">
        <v>0.15791666666666668</v>
      </c>
      <c r="Y1921" s="381">
        <v>0</v>
      </c>
      <c r="Z1921" s="381">
        <v>0</v>
      </c>
      <c r="AA1921" s="381">
        <v>0</v>
      </c>
      <c r="AB1921" s="381">
        <v>0</v>
      </c>
      <c r="AC1921" s="382">
        <v>0.15791666666666668</v>
      </c>
      <c r="AD1921" s="382">
        <v>0</v>
      </c>
      <c r="AE1921" s="381" t="s">
        <v>444</v>
      </c>
    </row>
    <row r="1922" spans="1:31" ht="15" customHeight="1" x14ac:dyDescent="0.25">
      <c r="A1922" s="20" t="s">
        <v>156</v>
      </c>
      <c r="B1922" s="20" t="s">
        <v>2539</v>
      </c>
      <c r="C1922" s="20" t="s">
        <v>2540</v>
      </c>
      <c r="D1922" s="378" t="s">
        <v>2613</v>
      </c>
      <c r="E1922" s="384">
        <v>44613</v>
      </c>
      <c r="F1922" s="384">
        <v>46439</v>
      </c>
      <c r="G1922" s="378" t="s">
        <v>439</v>
      </c>
      <c r="H1922" s="20" t="s">
        <v>455</v>
      </c>
      <c r="I1922" s="378" t="s">
        <v>162</v>
      </c>
      <c r="J1922" s="20" t="s">
        <v>163</v>
      </c>
      <c r="K1922" s="378" t="s">
        <v>476</v>
      </c>
      <c r="L1922" s="378" t="s">
        <v>165</v>
      </c>
      <c r="M1922" s="380">
        <v>2400</v>
      </c>
      <c r="N1922" s="380" t="s">
        <v>443</v>
      </c>
      <c r="O1922" s="380" t="s">
        <v>443</v>
      </c>
      <c r="P1922" s="380" t="s">
        <v>443</v>
      </c>
      <c r="Q1922" s="381">
        <v>480</v>
      </c>
      <c r="R1922" s="381">
        <v>0</v>
      </c>
      <c r="S1922" s="381">
        <v>0</v>
      </c>
      <c r="T1922" s="381">
        <v>0</v>
      </c>
      <c r="U1922" s="381">
        <v>0</v>
      </c>
      <c r="V1922" s="382">
        <v>480</v>
      </c>
      <c r="W1922" s="382">
        <v>0</v>
      </c>
      <c r="X1922" s="381">
        <v>0.2</v>
      </c>
      <c r="Y1922" s="381">
        <v>0</v>
      </c>
      <c r="Z1922" s="381">
        <v>0</v>
      </c>
      <c r="AA1922" s="381">
        <v>0</v>
      </c>
      <c r="AB1922" s="381">
        <v>0</v>
      </c>
      <c r="AC1922" s="382">
        <v>0.2</v>
      </c>
      <c r="AD1922" s="382">
        <v>0</v>
      </c>
      <c r="AE1922" s="381" t="s">
        <v>444</v>
      </c>
    </row>
    <row r="1923" spans="1:31" ht="15" customHeight="1" x14ac:dyDescent="0.25">
      <c r="A1923" s="20" t="s">
        <v>156</v>
      </c>
      <c r="B1923" s="20" t="s">
        <v>2539</v>
      </c>
      <c r="C1923" s="20" t="s">
        <v>2540</v>
      </c>
      <c r="D1923" s="378" t="s">
        <v>2614</v>
      </c>
      <c r="E1923" s="384">
        <v>45292</v>
      </c>
      <c r="F1923" s="384">
        <v>47119</v>
      </c>
      <c r="G1923" s="378" t="s">
        <v>439</v>
      </c>
      <c r="H1923" s="20" t="s">
        <v>2615</v>
      </c>
      <c r="I1923" s="378" t="s">
        <v>441</v>
      </c>
      <c r="J1923" s="20" t="s">
        <v>163</v>
      </c>
      <c r="K1923" s="378" t="s">
        <v>2616</v>
      </c>
      <c r="L1923" s="378" t="s">
        <v>165</v>
      </c>
      <c r="M1923" s="380" t="s">
        <v>488</v>
      </c>
      <c r="N1923" s="380" t="s">
        <v>443</v>
      </c>
      <c r="O1923" s="380" t="s">
        <v>443</v>
      </c>
      <c r="P1923" s="380" t="s">
        <v>443</v>
      </c>
      <c r="Q1923" s="381">
        <v>525.19361000000004</v>
      </c>
      <c r="R1923" s="381">
        <v>524.55336999999997</v>
      </c>
      <c r="S1923" s="381">
        <v>0.63399203999999998</v>
      </c>
      <c r="T1923" s="381">
        <v>6.2523429999999996E-3</v>
      </c>
      <c r="U1923" s="381">
        <v>0</v>
      </c>
      <c r="V1923" s="382">
        <v>525.19361438299995</v>
      </c>
      <c r="W1923" s="382">
        <v>0</v>
      </c>
      <c r="X1923" s="381">
        <v>0.21883067083333335</v>
      </c>
      <c r="Y1923" s="381">
        <v>0.21856390416666666</v>
      </c>
      <c r="Z1923" s="381">
        <v>2.6416335E-4</v>
      </c>
      <c r="AA1923" s="381">
        <v>2.6051429166666667E-6</v>
      </c>
      <c r="AB1923" s="381">
        <v>0</v>
      </c>
      <c r="AC1923" s="382">
        <v>0.21883067265958334</v>
      </c>
      <c r="AD1923" s="382">
        <v>0</v>
      </c>
      <c r="AE1923" s="381" t="s">
        <v>444</v>
      </c>
    </row>
    <row r="1924" spans="1:31" ht="15" customHeight="1" x14ac:dyDescent="0.25">
      <c r="A1924" s="20" t="s">
        <v>156</v>
      </c>
      <c r="B1924" s="20" t="s">
        <v>2539</v>
      </c>
      <c r="C1924" s="20" t="s">
        <v>2540</v>
      </c>
      <c r="D1924" s="378" t="s">
        <v>2617</v>
      </c>
      <c r="E1924" s="384">
        <v>45292</v>
      </c>
      <c r="F1924" s="384">
        <v>47119</v>
      </c>
      <c r="G1924" s="378" t="s">
        <v>439</v>
      </c>
      <c r="H1924" s="20" t="s">
        <v>2618</v>
      </c>
      <c r="I1924" s="378" t="s">
        <v>441</v>
      </c>
      <c r="J1924" s="20" t="s">
        <v>163</v>
      </c>
      <c r="K1924" s="378" t="s">
        <v>2619</v>
      </c>
      <c r="L1924" s="378" t="s">
        <v>165</v>
      </c>
      <c r="M1924" s="380" t="s">
        <v>488</v>
      </c>
      <c r="N1924" s="380" t="s">
        <v>443</v>
      </c>
      <c r="O1924" s="380" t="s">
        <v>443</v>
      </c>
      <c r="P1924" s="380" t="s">
        <v>443</v>
      </c>
      <c r="Q1924" s="381">
        <v>521.92040999999995</v>
      </c>
      <c r="R1924" s="381">
        <v>521.28030999999999</v>
      </c>
      <c r="S1924" s="381">
        <v>0.63382866000000004</v>
      </c>
      <c r="T1924" s="381">
        <v>6.2641891999999999E-3</v>
      </c>
      <c r="U1924" s="381">
        <v>0</v>
      </c>
      <c r="V1924" s="382">
        <v>521.92040284919995</v>
      </c>
      <c r="W1924" s="382">
        <v>0</v>
      </c>
      <c r="X1924" s="381">
        <v>0.21746683749999998</v>
      </c>
      <c r="Y1924" s="381">
        <v>0.21720012916666667</v>
      </c>
      <c r="Z1924" s="381">
        <v>2.6409527500000004E-4</v>
      </c>
      <c r="AA1924" s="381">
        <v>2.6100788333333333E-6</v>
      </c>
      <c r="AB1924" s="381">
        <v>0</v>
      </c>
      <c r="AC1924" s="382">
        <v>0.2174668345205</v>
      </c>
      <c r="AD1924" s="382">
        <v>0</v>
      </c>
      <c r="AE1924" s="381" t="s">
        <v>444</v>
      </c>
    </row>
    <row r="1925" spans="1:31" ht="15" customHeight="1" x14ac:dyDescent="0.25">
      <c r="A1925" s="20" t="s">
        <v>156</v>
      </c>
      <c r="B1925" s="20" t="s">
        <v>2539</v>
      </c>
      <c r="C1925" s="20" t="s">
        <v>2540</v>
      </c>
      <c r="D1925" s="378" t="s">
        <v>2620</v>
      </c>
      <c r="E1925" s="384">
        <v>45292</v>
      </c>
      <c r="F1925" s="384">
        <v>47119</v>
      </c>
      <c r="G1925" s="378" t="s">
        <v>439</v>
      </c>
      <c r="H1925" s="20" t="s">
        <v>2621</v>
      </c>
      <c r="I1925" s="378" t="s">
        <v>441</v>
      </c>
      <c r="J1925" s="20" t="s">
        <v>163</v>
      </c>
      <c r="K1925" s="378" t="s">
        <v>2622</v>
      </c>
      <c r="L1925" s="378" t="s">
        <v>165</v>
      </c>
      <c r="M1925" s="380" t="s">
        <v>488</v>
      </c>
      <c r="N1925" s="380" t="s">
        <v>443</v>
      </c>
      <c r="O1925" s="380" t="s">
        <v>443</v>
      </c>
      <c r="P1925" s="380" t="s">
        <v>443</v>
      </c>
      <c r="Q1925" s="381">
        <v>523.13702000000001</v>
      </c>
      <c r="R1925" s="381">
        <v>522.49807999999996</v>
      </c>
      <c r="S1925" s="381">
        <v>0.63267017999999997</v>
      </c>
      <c r="T1925" s="381">
        <v>6.2735346999999997E-3</v>
      </c>
      <c r="U1925" s="381">
        <v>0</v>
      </c>
      <c r="V1925" s="382">
        <v>523.13702371469992</v>
      </c>
      <c r="W1925" s="382">
        <v>0</v>
      </c>
      <c r="X1925" s="381">
        <v>0.21797375833333332</v>
      </c>
      <c r="Y1925" s="381">
        <v>0.21770753333333331</v>
      </c>
      <c r="Z1925" s="381">
        <v>2.6361257499999996E-4</v>
      </c>
      <c r="AA1925" s="381">
        <v>2.6139727916666666E-6</v>
      </c>
      <c r="AB1925" s="381">
        <v>0</v>
      </c>
      <c r="AC1925" s="382">
        <v>0.21797375988112497</v>
      </c>
      <c r="AD1925" s="382">
        <v>0</v>
      </c>
      <c r="AE1925" s="381" t="s">
        <v>444</v>
      </c>
    </row>
    <row r="1926" spans="1:31" ht="15" customHeight="1" x14ac:dyDescent="0.25">
      <c r="A1926" s="20" t="s">
        <v>156</v>
      </c>
      <c r="B1926" s="20" t="s">
        <v>2539</v>
      </c>
      <c r="C1926" s="20" t="s">
        <v>2540</v>
      </c>
      <c r="D1926" s="378" t="s">
        <v>2623</v>
      </c>
      <c r="E1926" s="384">
        <v>45292</v>
      </c>
      <c r="F1926" s="384">
        <v>47119</v>
      </c>
      <c r="G1926" s="378" t="s">
        <v>439</v>
      </c>
      <c r="H1926" s="20" t="s">
        <v>2624</v>
      </c>
      <c r="I1926" s="378" t="s">
        <v>441</v>
      </c>
      <c r="J1926" s="20" t="s">
        <v>163</v>
      </c>
      <c r="K1926" s="378" t="s">
        <v>2625</v>
      </c>
      <c r="L1926" s="378" t="s">
        <v>165</v>
      </c>
      <c r="M1926" s="380" t="s">
        <v>488</v>
      </c>
      <c r="N1926" s="380" t="s">
        <v>443</v>
      </c>
      <c r="O1926" s="380" t="s">
        <v>443</v>
      </c>
      <c r="P1926" s="380" t="s">
        <v>443</v>
      </c>
      <c r="Q1926" s="381">
        <v>501.90757000000002</v>
      </c>
      <c r="R1926" s="381">
        <v>501.33330999999998</v>
      </c>
      <c r="S1926" s="381">
        <v>0.57150224000000005</v>
      </c>
      <c r="T1926" s="381">
        <v>2.7567167E-3</v>
      </c>
      <c r="U1926" s="381">
        <v>0</v>
      </c>
      <c r="V1926" s="382">
        <v>501.90756895669995</v>
      </c>
      <c r="W1926" s="382">
        <v>0</v>
      </c>
      <c r="X1926" s="381">
        <v>0.20912815416666666</v>
      </c>
      <c r="Y1926" s="381">
        <v>0.20888887916666665</v>
      </c>
      <c r="Z1926" s="381">
        <v>2.3812593333333336E-4</v>
      </c>
      <c r="AA1926" s="381">
        <v>1.1486319583333333E-6</v>
      </c>
      <c r="AB1926" s="381">
        <v>0</v>
      </c>
      <c r="AC1926" s="382">
        <v>0.20912815373195831</v>
      </c>
      <c r="AD1926" s="382">
        <v>0</v>
      </c>
      <c r="AE1926" s="381" t="s">
        <v>444</v>
      </c>
    </row>
    <row r="1927" spans="1:31" ht="15" customHeight="1" x14ac:dyDescent="0.25">
      <c r="A1927" s="20" t="s">
        <v>156</v>
      </c>
      <c r="B1927" s="20" t="s">
        <v>2539</v>
      </c>
      <c r="C1927" s="20" t="s">
        <v>2540</v>
      </c>
      <c r="D1927" s="378" t="s">
        <v>2626</v>
      </c>
      <c r="E1927" s="384">
        <v>45292</v>
      </c>
      <c r="F1927" s="384">
        <v>47119</v>
      </c>
      <c r="G1927" s="378" t="s">
        <v>439</v>
      </c>
      <c r="H1927" s="20" t="s">
        <v>2627</v>
      </c>
      <c r="I1927" s="378" t="s">
        <v>441</v>
      </c>
      <c r="J1927" s="20" t="s">
        <v>163</v>
      </c>
      <c r="K1927" s="378" t="s">
        <v>2628</v>
      </c>
      <c r="L1927" s="378" t="s">
        <v>165</v>
      </c>
      <c r="M1927" s="380" t="s">
        <v>488</v>
      </c>
      <c r="N1927" s="380" t="s">
        <v>443</v>
      </c>
      <c r="O1927" s="380" t="s">
        <v>443</v>
      </c>
      <c r="P1927" s="380" t="s">
        <v>443</v>
      </c>
      <c r="Q1927" s="381">
        <v>470.51312999999999</v>
      </c>
      <c r="R1927" s="381">
        <v>469.97063000000003</v>
      </c>
      <c r="S1927" s="381">
        <v>0.53988342</v>
      </c>
      <c r="T1927" s="381">
        <v>2.6183491999999999E-3</v>
      </c>
      <c r="U1927" s="381">
        <v>0</v>
      </c>
      <c r="V1927" s="382">
        <v>470.51313176920007</v>
      </c>
      <c r="W1927" s="382">
        <v>0</v>
      </c>
      <c r="X1927" s="381">
        <v>0.1960471375</v>
      </c>
      <c r="Y1927" s="381">
        <v>0.19582109583333335</v>
      </c>
      <c r="Z1927" s="381">
        <v>2.2495142499999999E-4</v>
      </c>
      <c r="AA1927" s="381">
        <v>1.0909788333333333E-6</v>
      </c>
      <c r="AB1927" s="381">
        <v>0</v>
      </c>
      <c r="AC1927" s="382">
        <v>0.19604713823716668</v>
      </c>
      <c r="AD1927" s="382">
        <v>0</v>
      </c>
      <c r="AE1927" s="381" t="s">
        <v>444</v>
      </c>
    </row>
    <row r="1928" spans="1:31" ht="15" customHeight="1" x14ac:dyDescent="0.25">
      <c r="A1928" s="20" t="s">
        <v>156</v>
      </c>
      <c r="B1928" s="20" t="s">
        <v>2539</v>
      </c>
      <c r="C1928" s="20" t="s">
        <v>2540</v>
      </c>
      <c r="D1928" s="378" t="s">
        <v>2629</v>
      </c>
      <c r="E1928" s="384">
        <v>45292</v>
      </c>
      <c r="F1928" s="384">
        <v>47119</v>
      </c>
      <c r="G1928" s="378" t="s">
        <v>439</v>
      </c>
      <c r="H1928" s="20" t="s">
        <v>2630</v>
      </c>
      <c r="I1928" s="378" t="s">
        <v>441</v>
      </c>
      <c r="J1928" s="20" t="s">
        <v>163</v>
      </c>
      <c r="K1928" s="378" t="s">
        <v>2631</v>
      </c>
      <c r="L1928" s="378" t="s">
        <v>165</v>
      </c>
      <c r="M1928" s="380" t="s">
        <v>488</v>
      </c>
      <c r="N1928" s="380" t="s">
        <v>443</v>
      </c>
      <c r="O1928" s="380" t="s">
        <v>443</v>
      </c>
      <c r="P1928" s="380" t="s">
        <v>443</v>
      </c>
      <c r="Q1928" s="381">
        <v>515.60763999999995</v>
      </c>
      <c r="R1928" s="381">
        <v>515.09074999999996</v>
      </c>
      <c r="S1928" s="381">
        <v>0.51501828000000005</v>
      </c>
      <c r="T1928" s="381">
        <v>1.8753067E-3</v>
      </c>
      <c r="U1928" s="381">
        <v>0</v>
      </c>
      <c r="V1928" s="382">
        <v>515.60764358669996</v>
      </c>
      <c r="W1928" s="382">
        <v>0</v>
      </c>
      <c r="X1928" s="381">
        <v>0.21483651666666664</v>
      </c>
      <c r="Y1928" s="381">
        <v>0.2146211458333333</v>
      </c>
      <c r="Z1928" s="381">
        <v>2.1459095000000002E-4</v>
      </c>
      <c r="AA1928" s="381">
        <v>7.8137779166666666E-7</v>
      </c>
      <c r="AB1928" s="381">
        <v>0</v>
      </c>
      <c r="AC1928" s="382">
        <v>0.21483651816112498</v>
      </c>
      <c r="AD1928" s="382">
        <v>0</v>
      </c>
      <c r="AE1928" s="381" t="s">
        <v>444</v>
      </c>
    </row>
    <row r="1929" spans="1:31" ht="15" customHeight="1" x14ac:dyDescent="0.25">
      <c r="A1929" s="20" t="s">
        <v>156</v>
      </c>
      <c r="B1929" s="20" t="s">
        <v>2539</v>
      </c>
      <c r="C1929" s="20" t="s">
        <v>2540</v>
      </c>
      <c r="D1929" s="378" t="s">
        <v>2632</v>
      </c>
      <c r="E1929" s="384">
        <v>45292</v>
      </c>
      <c r="F1929" s="384">
        <v>47119</v>
      </c>
      <c r="G1929" s="378" t="s">
        <v>439</v>
      </c>
      <c r="H1929" s="20" t="s">
        <v>2633</v>
      </c>
      <c r="I1929" s="378" t="s">
        <v>441</v>
      </c>
      <c r="J1929" s="20" t="s">
        <v>163</v>
      </c>
      <c r="K1929" s="378" t="s">
        <v>2634</v>
      </c>
      <c r="L1929" s="378" t="s">
        <v>165</v>
      </c>
      <c r="M1929" s="380" t="s">
        <v>488</v>
      </c>
      <c r="N1929" s="380" t="s">
        <v>443</v>
      </c>
      <c r="O1929" s="380" t="s">
        <v>443</v>
      </c>
      <c r="P1929" s="380" t="s">
        <v>443</v>
      </c>
      <c r="Q1929" s="381">
        <v>484.15161999999998</v>
      </c>
      <c r="R1929" s="381">
        <v>483.66311999999999</v>
      </c>
      <c r="S1929" s="381">
        <v>0.48671658000000001</v>
      </c>
      <c r="T1929" s="381">
        <v>1.7803827000000001E-3</v>
      </c>
      <c r="U1929" s="381">
        <v>0</v>
      </c>
      <c r="V1929" s="382">
        <v>484.15161696270002</v>
      </c>
      <c r="W1929" s="382">
        <v>0</v>
      </c>
      <c r="X1929" s="381">
        <v>0.20172984166666666</v>
      </c>
      <c r="Y1929" s="381">
        <v>0.20152629999999999</v>
      </c>
      <c r="Z1929" s="381">
        <v>2.02798575E-4</v>
      </c>
      <c r="AA1929" s="381">
        <v>7.4182612500000004E-7</v>
      </c>
      <c r="AB1929" s="381">
        <v>0</v>
      </c>
      <c r="AC1929" s="382">
        <v>0.20172984040112499</v>
      </c>
      <c r="AD1929" s="382">
        <v>0</v>
      </c>
      <c r="AE1929" s="381" t="s">
        <v>444</v>
      </c>
    </row>
    <row r="1930" spans="1:31" ht="15" customHeight="1" x14ac:dyDescent="0.25">
      <c r="A1930" s="20" t="s">
        <v>156</v>
      </c>
      <c r="B1930" s="20" t="s">
        <v>2539</v>
      </c>
      <c r="C1930" s="20" t="s">
        <v>2540</v>
      </c>
      <c r="D1930" s="378" t="s">
        <v>2635</v>
      </c>
      <c r="E1930" s="384">
        <v>45292</v>
      </c>
      <c r="F1930" s="384">
        <v>47119</v>
      </c>
      <c r="G1930" s="378" t="s">
        <v>439</v>
      </c>
      <c r="H1930" s="20" t="s">
        <v>2636</v>
      </c>
      <c r="I1930" s="378" t="s">
        <v>441</v>
      </c>
      <c r="J1930" s="20" t="s">
        <v>163</v>
      </c>
      <c r="K1930" s="378" t="s">
        <v>2637</v>
      </c>
      <c r="L1930" s="378" t="s">
        <v>165</v>
      </c>
      <c r="M1930" s="380" t="s">
        <v>488</v>
      </c>
      <c r="N1930" s="380" t="s">
        <v>443</v>
      </c>
      <c r="O1930" s="380" t="s">
        <v>443</v>
      </c>
      <c r="P1930" s="380" t="s">
        <v>443</v>
      </c>
      <c r="Q1930" s="381">
        <v>447.08623</v>
      </c>
      <c r="R1930" s="381">
        <v>446.82404000000002</v>
      </c>
      <c r="S1930" s="381">
        <v>0.22906990999999999</v>
      </c>
      <c r="T1930" s="381">
        <v>3.3124796999999997E-2</v>
      </c>
      <c r="U1930" s="381">
        <v>0</v>
      </c>
      <c r="V1930" s="382">
        <v>447.08623470700007</v>
      </c>
      <c r="W1930" s="382">
        <v>0</v>
      </c>
      <c r="X1930" s="381">
        <v>0.18628592916666667</v>
      </c>
      <c r="Y1930" s="381">
        <v>0.18617668333333334</v>
      </c>
      <c r="Z1930" s="381">
        <v>9.5445795833333334E-5</v>
      </c>
      <c r="AA1930" s="381">
        <v>1.3801998749999999E-5</v>
      </c>
      <c r="AB1930" s="381">
        <v>0</v>
      </c>
      <c r="AC1930" s="382">
        <v>0.18628593112791669</v>
      </c>
      <c r="AD1930" s="382">
        <v>0</v>
      </c>
      <c r="AE1930" s="381" t="s">
        <v>444</v>
      </c>
    </row>
    <row r="1931" spans="1:31" ht="15" customHeight="1" x14ac:dyDescent="0.25">
      <c r="A1931" s="20" t="s">
        <v>156</v>
      </c>
      <c r="B1931" s="20" t="s">
        <v>2539</v>
      </c>
      <c r="C1931" s="20" t="s">
        <v>2540</v>
      </c>
      <c r="D1931" s="378" t="s">
        <v>2638</v>
      </c>
      <c r="E1931" s="384">
        <v>45292</v>
      </c>
      <c r="F1931" s="384">
        <v>47119</v>
      </c>
      <c r="G1931" s="378" t="s">
        <v>439</v>
      </c>
      <c r="H1931" s="20" t="s">
        <v>2639</v>
      </c>
      <c r="I1931" s="378" t="s">
        <v>441</v>
      </c>
      <c r="J1931" s="20" t="s">
        <v>163</v>
      </c>
      <c r="K1931" s="378" t="s">
        <v>2640</v>
      </c>
      <c r="L1931" s="378" t="s">
        <v>165</v>
      </c>
      <c r="M1931" s="380" t="s">
        <v>488</v>
      </c>
      <c r="N1931" s="380" t="s">
        <v>443</v>
      </c>
      <c r="O1931" s="380" t="s">
        <v>443</v>
      </c>
      <c r="P1931" s="380" t="s">
        <v>443</v>
      </c>
      <c r="Q1931" s="381">
        <v>448.49835999999999</v>
      </c>
      <c r="R1931" s="381">
        <v>448.34037000000001</v>
      </c>
      <c r="S1931" s="381">
        <v>0.11231998</v>
      </c>
      <c r="T1931" s="381">
        <v>4.5663358000000001E-2</v>
      </c>
      <c r="U1931" s="381">
        <v>0</v>
      </c>
      <c r="V1931" s="382">
        <v>448.49835333800002</v>
      </c>
      <c r="W1931" s="382">
        <v>0</v>
      </c>
      <c r="X1931" s="381">
        <v>0.18687431666666665</v>
      </c>
      <c r="Y1931" s="381">
        <v>0.18680848750000001</v>
      </c>
      <c r="Z1931" s="381">
        <v>4.6799991666666667E-5</v>
      </c>
      <c r="AA1931" s="381">
        <v>1.9026399166666667E-5</v>
      </c>
      <c r="AB1931" s="381">
        <v>0</v>
      </c>
      <c r="AC1931" s="382">
        <v>0.18687431389083337</v>
      </c>
      <c r="AD1931" s="382">
        <v>0</v>
      </c>
      <c r="AE1931" s="381" t="s">
        <v>444</v>
      </c>
    </row>
    <row r="1932" spans="1:31" ht="15" customHeight="1" x14ac:dyDescent="0.25">
      <c r="A1932" s="20" t="s">
        <v>156</v>
      </c>
      <c r="B1932" s="20" t="s">
        <v>2539</v>
      </c>
      <c r="C1932" s="20" t="s">
        <v>2540</v>
      </c>
      <c r="D1932" s="378" t="s">
        <v>2641</v>
      </c>
      <c r="E1932" s="384">
        <v>45292</v>
      </c>
      <c r="F1932" s="384">
        <v>47119</v>
      </c>
      <c r="G1932" s="378" t="s">
        <v>439</v>
      </c>
      <c r="H1932" s="20" t="s">
        <v>2642</v>
      </c>
      <c r="I1932" s="378" t="s">
        <v>441</v>
      </c>
      <c r="J1932" s="20" t="s">
        <v>163</v>
      </c>
      <c r="K1932" s="378" t="s">
        <v>2643</v>
      </c>
      <c r="L1932" s="378" t="s">
        <v>165</v>
      </c>
      <c r="M1932" s="380" t="s">
        <v>488</v>
      </c>
      <c r="N1932" s="380" t="s">
        <v>443</v>
      </c>
      <c r="O1932" s="380" t="s">
        <v>443</v>
      </c>
      <c r="P1932" s="380" t="s">
        <v>443</v>
      </c>
      <c r="Q1932" s="381">
        <v>448.36277000000001</v>
      </c>
      <c r="R1932" s="381">
        <v>448.20492999999999</v>
      </c>
      <c r="S1932" s="381">
        <v>0.11217277</v>
      </c>
      <c r="T1932" s="381">
        <v>4.5663309999999999E-2</v>
      </c>
      <c r="U1932" s="381">
        <v>0</v>
      </c>
      <c r="V1932" s="382">
        <v>448.36276607999997</v>
      </c>
      <c r="W1932" s="382">
        <v>0</v>
      </c>
      <c r="X1932" s="381">
        <v>0.18681782083333334</v>
      </c>
      <c r="Y1932" s="381">
        <v>0.18675205416666665</v>
      </c>
      <c r="Z1932" s="381">
        <v>4.6738654166666669E-5</v>
      </c>
      <c r="AA1932" s="381">
        <v>1.9026379166666665E-5</v>
      </c>
      <c r="AB1932" s="381">
        <v>0</v>
      </c>
      <c r="AC1932" s="382">
        <v>0.18681781919999998</v>
      </c>
      <c r="AD1932" s="382">
        <v>0</v>
      </c>
      <c r="AE1932" s="381" t="s">
        <v>444</v>
      </c>
    </row>
    <row r="1933" spans="1:31" ht="15" customHeight="1" x14ac:dyDescent="0.25">
      <c r="A1933" s="20" t="s">
        <v>156</v>
      </c>
      <c r="B1933" s="20" t="s">
        <v>2539</v>
      </c>
      <c r="C1933" s="20" t="s">
        <v>2540</v>
      </c>
      <c r="D1933" s="378" t="s">
        <v>2644</v>
      </c>
      <c r="E1933" s="384">
        <v>45292</v>
      </c>
      <c r="F1933" s="384">
        <v>47119</v>
      </c>
      <c r="G1933" s="378" t="s">
        <v>439</v>
      </c>
      <c r="H1933" s="20" t="s">
        <v>2645</v>
      </c>
      <c r="I1933" s="378" t="s">
        <v>441</v>
      </c>
      <c r="J1933" s="20" t="s">
        <v>163</v>
      </c>
      <c r="K1933" s="378" t="s">
        <v>2646</v>
      </c>
      <c r="L1933" s="378" t="s">
        <v>165</v>
      </c>
      <c r="M1933" s="380" t="s">
        <v>488</v>
      </c>
      <c r="N1933" s="380" t="s">
        <v>443</v>
      </c>
      <c r="O1933" s="380" t="s">
        <v>443</v>
      </c>
      <c r="P1933" s="380" t="s">
        <v>443</v>
      </c>
      <c r="Q1933" s="381">
        <v>279.00625000000002</v>
      </c>
      <c r="R1933" s="381">
        <v>278.85309999999998</v>
      </c>
      <c r="S1933" s="381">
        <v>0.1192453</v>
      </c>
      <c r="T1933" s="381">
        <v>3.3909675E-2</v>
      </c>
      <c r="U1933" s="381">
        <v>0</v>
      </c>
      <c r="V1933" s="382">
        <v>279.00625497499999</v>
      </c>
      <c r="W1933" s="382">
        <v>0</v>
      </c>
      <c r="X1933" s="381">
        <v>0.11625260416666668</v>
      </c>
      <c r="Y1933" s="381">
        <v>0.11618879166666667</v>
      </c>
      <c r="Z1933" s="381">
        <v>4.9685541666666669E-5</v>
      </c>
      <c r="AA1933" s="381">
        <v>1.412903125E-5</v>
      </c>
      <c r="AB1933" s="381">
        <v>0</v>
      </c>
      <c r="AC1933" s="382">
        <v>0.11625260623958333</v>
      </c>
      <c r="AD1933" s="382">
        <v>0</v>
      </c>
      <c r="AE1933" s="381" t="s">
        <v>444</v>
      </c>
    </row>
    <row r="1934" spans="1:31" ht="15" customHeight="1" x14ac:dyDescent="0.25">
      <c r="A1934" s="20" t="s">
        <v>156</v>
      </c>
      <c r="B1934" s="20" t="s">
        <v>2539</v>
      </c>
      <c r="C1934" s="20" t="s">
        <v>2540</v>
      </c>
      <c r="D1934" s="378" t="s">
        <v>2647</v>
      </c>
      <c r="E1934" s="384">
        <v>45292</v>
      </c>
      <c r="F1934" s="384">
        <v>47119</v>
      </c>
      <c r="G1934" s="378" t="s">
        <v>439</v>
      </c>
      <c r="H1934" s="20" t="s">
        <v>2648</v>
      </c>
      <c r="I1934" s="378" t="s">
        <v>441</v>
      </c>
      <c r="J1934" s="20" t="s">
        <v>163</v>
      </c>
      <c r="K1934" s="378" t="s">
        <v>2649</v>
      </c>
      <c r="L1934" s="378" t="s">
        <v>165</v>
      </c>
      <c r="M1934" s="380" t="s">
        <v>488</v>
      </c>
      <c r="N1934" s="380" t="s">
        <v>443</v>
      </c>
      <c r="O1934" s="380" t="s">
        <v>443</v>
      </c>
      <c r="P1934" s="380" t="s">
        <v>443</v>
      </c>
      <c r="Q1934" s="381">
        <v>425.22154</v>
      </c>
      <c r="R1934" s="381">
        <v>425.07105999999999</v>
      </c>
      <c r="S1934" s="381">
        <v>0.10655692</v>
      </c>
      <c r="T1934" s="381">
        <v>4.3925575000000001E-2</v>
      </c>
      <c r="U1934" s="381">
        <v>0</v>
      </c>
      <c r="V1934" s="382">
        <v>425.22154249499999</v>
      </c>
      <c r="W1934" s="382">
        <v>0</v>
      </c>
      <c r="X1934" s="381">
        <v>0.17717564166666666</v>
      </c>
      <c r="Y1934" s="381">
        <v>0.17711294166666666</v>
      </c>
      <c r="Z1934" s="381">
        <v>4.4398716666666669E-5</v>
      </c>
      <c r="AA1934" s="381">
        <v>1.8302322916666668E-5</v>
      </c>
      <c r="AB1934" s="381">
        <v>0</v>
      </c>
      <c r="AC1934" s="382">
        <v>0.17717564270625</v>
      </c>
      <c r="AD1934" s="382">
        <v>0</v>
      </c>
      <c r="AE1934" s="381" t="s">
        <v>444</v>
      </c>
    </row>
    <row r="1935" spans="1:31" ht="15" customHeight="1" x14ac:dyDescent="0.25">
      <c r="A1935" s="20" t="s">
        <v>156</v>
      </c>
      <c r="B1935" s="20" t="s">
        <v>2539</v>
      </c>
      <c r="C1935" s="20" t="s">
        <v>2540</v>
      </c>
      <c r="D1935" s="378" t="s">
        <v>2650</v>
      </c>
      <c r="E1935" s="384">
        <v>45292</v>
      </c>
      <c r="F1935" s="384">
        <v>47119</v>
      </c>
      <c r="G1935" s="378" t="s">
        <v>439</v>
      </c>
      <c r="H1935" s="20" t="s">
        <v>2651</v>
      </c>
      <c r="I1935" s="378" t="s">
        <v>441</v>
      </c>
      <c r="J1935" s="20" t="s">
        <v>163</v>
      </c>
      <c r="K1935" s="378" t="s">
        <v>2652</v>
      </c>
      <c r="L1935" s="378" t="s">
        <v>165</v>
      </c>
      <c r="M1935" s="380" t="s">
        <v>488</v>
      </c>
      <c r="N1935" s="380" t="s">
        <v>443</v>
      </c>
      <c r="O1935" s="380" t="s">
        <v>443</v>
      </c>
      <c r="P1935" s="380" t="s">
        <v>443</v>
      </c>
      <c r="Q1935" s="381">
        <v>561.67983000000004</v>
      </c>
      <c r="R1935" s="381">
        <v>561.53453999999999</v>
      </c>
      <c r="S1935" s="381">
        <v>0.14137084999999999</v>
      </c>
      <c r="T1935" s="381">
        <v>3.9219477000000001E-3</v>
      </c>
      <c r="U1935" s="381">
        <v>0</v>
      </c>
      <c r="V1935" s="382">
        <v>561.67983279769999</v>
      </c>
      <c r="W1935" s="382">
        <v>0</v>
      </c>
      <c r="X1935" s="381">
        <v>0.23403326250000001</v>
      </c>
      <c r="Y1935" s="381">
        <v>0.23397272499999999</v>
      </c>
      <c r="Z1935" s="381">
        <v>5.8904520833333327E-5</v>
      </c>
      <c r="AA1935" s="381">
        <v>1.634144875E-6</v>
      </c>
      <c r="AB1935" s="381">
        <v>0</v>
      </c>
      <c r="AC1935" s="382">
        <v>0.23403326366570834</v>
      </c>
      <c r="AD1935" s="382">
        <v>0</v>
      </c>
      <c r="AE1935" s="381" t="s">
        <v>444</v>
      </c>
    </row>
    <row r="1936" spans="1:31" ht="15" customHeight="1" x14ac:dyDescent="0.25">
      <c r="A1936" s="20" t="s">
        <v>156</v>
      </c>
      <c r="B1936" s="20" t="s">
        <v>2539</v>
      </c>
      <c r="C1936" s="20" t="s">
        <v>2540</v>
      </c>
      <c r="D1936" s="378" t="s">
        <v>2653</v>
      </c>
      <c r="E1936" s="384">
        <v>45292</v>
      </c>
      <c r="F1936" s="384">
        <v>47119</v>
      </c>
      <c r="G1936" s="378" t="s">
        <v>439</v>
      </c>
      <c r="H1936" s="20" t="s">
        <v>2654</v>
      </c>
      <c r="I1936" s="378" t="s">
        <v>441</v>
      </c>
      <c r="J1936" s="20" t="s">
        <v>163</v>
      </c>
      <c r="K1936" s="378" t="s">
        <v>2655</v>
      </c>
      <c r="L1936" s="378" t="s">
        <v>165</v>
      </c>
      <c r="M1936" s="380" t="s">
        <v>488</v>
      </c>
      <c r="N1936" s="380" t="s">
        <v>443</v>
      </c>
      <c r="O1936" s="380" t="s">
        <v>443</v>
      </c>
      <c r="P1936" s="380" t="s">
        <v>443</v>
      </c>
      <c r="Q1936" s="381">
        <v>578.94581000000005</v>
      </c>
      <c r="R1936" s="381">
        <v>578.87005999999997</v>
      </c>
      <c r="S1936" s="381">
        <v>7.2610367999999995E-2</v>
      </c>
      <c r="T1936" s="381">
        <v>3.1365834999999998E-3</v>
      </c>
      <c r="U1936" s="381">
        <v>0</v>
      </c>
      <c r="V1936" s="382">
        <v>578.9458069515</v>
      </c>
      <c r="W1936" s="382">
        <v>0</v>
      </c>
      <c r="X1936" s="381">
        <v>0.24122742083333334</v>
      </c>
      <c r="Y1936" s="381">
        <v>0.24119585833333332</v>
      </c>
      <c r="Z1936" s="381">
        <v>3.0254319999999997E-5</v>
      </c>
      <c r="AA1936" s="381">
        <v>1.3069097916666666E-6</v>
      </c>
      <c r="AB1936" s="381">
        <v>0</v>
      </c>
      <c r="AC1936" s="382">
        <v>0.24122741956312499</v>
      </c>
      <c r="AD1936" s="382">
        <v>0</v>
      </c>
      <c r="AE1936" s="381" t="s">
        <v>444</v>
      </c>
    </row>
    <row r="1937" spans="1:31" ht="15" customHeight="1" x14ac:dyDescent="0.25">
      <c r="A1937" s="20" t="s">
        <v>156</v>
      </c>
      <c r="B1937" s="20" t="s">
        <v>2656</v>
      </c>
      <c r="C1937" s="20" t="s">
        <v>2657</v>
      </c>
      <c r="D1937" s="378" t="s">
        <v>2658</v>
      </c>
      <c r="E1937" s="379">
        <v>44573</v>
      </c>
      <c r="F1937" s="379">
        <v>46656</v>
      </c>
      <c r="G1937" s="378" t="s">
        <v>179</v>
      </c>
      <c r="H1937" s="20" t="s">
        <v>180</v>
      </c>
      <c r="I1937" s="20" t="s">
        <v>162</v>
      </c>
      <c r="J1937" s="20" t="s">
        <v>163</v>
      </c>
      <c r="K1937" s="378" t="s">
        <v>181</v>
      </c>
      <c r="L1937" s="20" t="s">
        <v>165</v>
      </c>
      <c r="M1937" s="380">
        <v>2400</v>
      </c>
      <c r="N1937" s="380"/>
      <c r="O1937" s="380"/>
      <c r="P1937" s="380"/>
      <c r="Q1937" s="381" t="s">
        <v>2659</v>
      </c>
      <c r="R1937" s="381" t="s">
        <v>2659</v>
      </c>
      <c r="S1937" s="381" t="s">
        <v>2075</v>
      </c>
      <c r="T1937" s="381"/>
      <c r="U1937" s="381"/>
      <c r="V1937" s="382">
        <v>408.36</v>
      </c>
      <c r="W1937" s="382">
        <v>0</v>
      </c>
      <c r="X1937" s="381">
        <v>0.17</v>
      </c>
      <c r="Y1937" s="381">
        <v>0.17</v>
      </c>
      <c r="Z1937" s="381">
        <v>1.4999999999999999E-4</v>
      </c>
      <c r="AA1937" s="381">
        <v>0</v>
      </c>
      <c r="AB1937" s="381">
        <v>0</v>
      </c>
      <c r="AC1937" s="382">
        <v>0.17015000000000002</v>
      </c>
      <c r="AD1937" s="382">
        <v>0</v>
      </c>
      <c r="AE1937" s="381" t="s">
        <v>168</v>
      </c>
    </row>
    <row r="1938" spans="1:31" ht="15" customHeight="1" x14ac:dyDescent="0.25">
      <c r="A1938" s="20" t="s">
        <v>156</v>
      </c>
      <c r="B1938" s="20" t="s">
        <v>2656</v>
      </c>
      <c r="C1938" s="20" t="s">
        <v>2657</v>
      </c>
      <c r="D1938" s="378" t="s">
        <v>2660</v>
      </c>
      <c r="E1938" s="379">
        <v>45016</v>
      </c>
      <c r="F1938" s="379">
        <v>46843</v>
      </c>
      <c r="G1938" s="378" t="s">
        <v>179</v>
      </c>
      <c r="H1938" s="20" t="s">
        <v>202</v>
      </c>
      <c r="I1938" s="20" t="s">
        <v>162</v>
      </c>
      <c r="J1938" s="20" t="s">
        <v>163</v>
      </c>
      <c r="K1938" s="378" t="s">
        <v>203</v>
      </c>
      <c r="L1938" s="20" t="s">
        <v>165</v>
      </c>
      <c r="M1938" s="380">
        <v>2400</v>
      </c>
      <c r="N1938" s="380"/>
      <c r="O1938" s="380"/>
      <c r="P1938" s="380"/>
      <c r="Q1938" s="381">
        <v>406</v>
      </c>
      <c r="R1938" s="381">
        <v>406</v>
      </c>
      <c r="S1938" s="381">
        <v>0.33</v>
      </c>
      <c r="T1938" s="381"/>
      <c r="U1938" s="381"/>
      <c r="V1938" s="382">
        <v>406.33</v>
      </c>
      <c r="W1938" s="382">
        <v>0</v>
      </c>
      <c r="X1938" s="381">
        <v>0.16916666666666666</v>
      </c>
      <c r="Y1938" s="381">
        <v>0.16916666666666666</v>
      </c>
      <c r="Z1938" s="381">
        <v>1.3750000000000001E-4</v>
      </c>
      <c r="AA1938" s="381">
        <v>0</v>
      </c>
      <c r="AB1938" s="381">
        <v>0</v>
      </c>
      <c r="AC1938" s="382">
        <v>0.16930416666666667</v>
      </c>
      <c r="AD1938" s="382">
        <v>0</v>
      </c>
      <c r="AE1938" s="381" t="s">
        <v>168</v>
      </c>
    </row>
    <row r="1939" spans="1:31" ht="15" customHeight="1" x14ac:dyDescent="0.25">
      <c r="A1939" s="20" t="s">
        <v>156</v>
      </c>
      <c r="B1939" s="20" t="s">
        <v>2656</v>
      </c>
      <c r="C1939" s="20" t="s">
        <v>2657</v>
      </c>
      <c r="D1939" s="378" t="s">
        <v>2661</v>
      </c>
      <c r="E1939" s="379">
        <v>45038</v>
      </c>
      <c r="F1939" s="379">
        <v>46865</v>
      </c>
      <c r="G1939" s="383" t="s">
        <v>193</v>
      </c>
      <c r="H1939" s="20" t="s">
        <v>229</v>
      </c>
      <c r="I1939" s="20" t="s">
        <v>162</v>
      </c>
      <c r="J1939" s="20" t="s">
        <v>163</v>
      </c>
      <c r="K1939" s="378" t="s">
        <v>230</v>
      </c>
      <c r="L1939" s="20" t="s">
        <v>165</v>
      </c>
      <c r="M1939" s="380">
        <v>2400</v>
      </c>
      <c r="N1939" s="380"/>
      <c r="O1939" s="380"/>
      <c r="P1939" s="380"/>
      <c r="Q1939" s="381" t="s">
        <v>2662</v>
      </c>
      <c r="R1939" s="381" t="s">
        <v>2662</v>
      </c>
      <c r="S1939" s="381" t="s">
        <v>755</v>
      </c>
      <c r="T1939" s="381"/>
      <c r="U1939" s="381"/>
      <c r="V1939" s="382">
        <v>432.33</v>
      </c>
      <c r="W1939" s="382">
        <v>0</v>
      </c>
      <c r="X1939" s="381">
        <v>0.18</v>
      </c>
      <c r="Y1939" s="381">
        <v>0.18</v>
      </c>
      <c r="Z1939" s="381">
        <v>1.3750000000000001E-4</v>
      </c>
      <c r="AA1939" s="381">
        <v>0</v>
      </c>
      <c r="AB1939" s="381">
        <v>0</v>
      </c>
      <c r="AC1939" s="382">
        <v>0.18013750000000001</v>
      </c>
      <c r="AD1939" s="382">
        <v>0</v>
      </c>
      <c r="AE1939" s="381" t="s">
        <v>168</v>
      </c>
    </row>
    <row r="1940" spans="1:31" ht="15" customHeight="1" x14ac:dyDescent="0.25">
      <c r="A1940" s="20" t="s">
        <v>156</v>
      </c>
      <c r="B1940" s="20" t="s">
        <v>2656</v>
      </c>
      <c r="C1940" s="20" t="s">
        <v>2657</v>
      </c>
      <c r="D1940" s="378" t="s">
        <v>2663</v>
      </c>
      <c r="E1940" s="379">
        <v>44581</v>
      </c>
      <c r="F1940" s="379">
        <v>46407</v>
      </c>
      <c r="G1940" s="378" t="s">
        <v>237</v>
      </c>
      <c r="H1940" s="20" t="s">
        <v>238</v>
      </c>
      <c r="I1940" s="20" t="s">
        <v>162</v>
      </c>
      <c r="J1940" s="20" t="s">
        <v>163</v>
      </c>
      <c r="K1940" s="378" t="s">
        <v>239</v>
      </c>
      <c r="L1940" s="20" t="s">
        <v>165</v>
      </c>
      <c r="M1940" s="380">
        <v>2400</v>
      </c>
      <c r="N1940" s="380"/>
      <c r="O1940" s="380"/>
      <c r="P1940" s="380"/>
      <c r="Q1940" s="381" t="s">
        <v>2664</v>
      </c>
      <c r="R1940" s="381" t="s">
        <v>2664</v>
      </c>
      <c r="S1940" s="381" t="s">
        <v>171</v>
      </c>
      <c r="T1940" s="381"/>
      <c r="U1940" s="381"/>
      <c r="V1940" s="382">
        <v>419.31</v>
      </c>
      <c r="W1940" s="382">
        <v>0</v>
      </c>
      <c r="X1940" s="381">
        <v>0.17458333333333334</v>
      </c>
      <c r="Y1940" s="381">
        <v>0.17458333333333334</v>
      </c>
      <c r="Z1940" s="381">
        <v>1.2916666666666667E-4</v>
      </c>
      <c r="AA1940" s="381">
        <v>0</v>
      </c>
      <c r="AB1940" s="381">
        <v>0</v>
      </c>
      <c r="AC1940" s="382">
        <v>0.17471250000000002</v>
      </c>
      <c r="AD1940" s="382">
        <v>0</v>
      </c>
      <c r="AE1940" s="381" t="s">
        <v>168</v>
      </c>
    </row>
    <row r="1941" spans="1:31" ht="15" customHeight="1" x14ac:dyDescent="0.25">
      <c r="A1941" s="20" t="s">
        <v>156</v>
      </c>
      <c r="B1941" s="20" t="s">
        <v>2656</v>
      </c>
      <c r="C1941" s="20" t="s">
        <v>2657</v>
      </c>
      <c r="D1941" s="378" t="s">
        <v>2665</v>
      </c>
      <c r="E1941" s="379">
        <v>44581</v>
      </c>
      <c r="F1941" s="379">
        <v>46407</v>
      </c>
      <c r="G1941" s="378" t="s">
        <v>237</v>
      </c>
      <c r="H1941" s="20" t="s">
        <v>238</v>
      </c>
      <c r="I1941" s="20" t="s">
        <v>162</v>
      </c>
      <c r="J1941" s="20" t="s">
        <v>163</v>
      </c>
      <c r="K1941" s="378" t="s">
        <v>239</v>
      </c>
      <c r="L1941" s="20" t="s">
        <v>165</v>
      </c>
      <c r="M1941" s="380">
        <v>2400</v>
      </c>
      <c r="N1941" s="380"/>
      <c r="O1941" s="380"/>
      <c r="P1941" s="380"/>
      <c r="Q1941" s="381" t="s">
        <v>2666</v>
      </c>
      <c r="R1941" s="381" t="s">
        <v>2666</v>
      </c>
      <c r="S1941" s="381" t="s">
        <v>171</v>
      </c>
      <c r="T1941" s="381"/>
      <c r="U1941" s="381"/>
      <c r="V1941" s="382">
        <v>421.31</v>
      </c>
      <c r="W1941" s="382">
        <v>0</v>
      </c>
      <c r="X1941" s="381">
        <v>0.17541666666666667</v>
      </c>
      <c r="Y1941" s="381">
        <v>0.17541666666666667</v>
      </c>
      <c r="Z1941" s="381">
        <v>1.2916666666666667E-4</v>
      </c>
      <c r="AA1941" s="381">
        <v>0</v>
      </c>
      <c r="AB1941" s="381">
        <v>0</v>
      </c>
      <c r="AC1941" s="382">
        <v>0.17554583333333335</v>
      </c>
      <c r="AD1941" s="382">
        <v>0</v>
      </c>
      <c r="AE1941" s="381" t="s">
        <v>168</v>
      </c>
    </row>
    <row r="1942" spans="1:31" ht="15" customHeight="1" x14ac:dyDescent="0.25">
      <c r="A1942" s="20" t="s">
        <v>156</v>
      </c>
      <c r="B1942" s="20" t="s">
        <v>2656</v>
      </c>
      <c r="C1942" s="20" t="s">
        <v>2657</v>
      </c>
      <c r="D1942" s="378" t="s">
        <v>2667</v>
      </c>
      <c r="E1942" s="379">
        <v>44788</v>
      </c>
      <c r="F1942" s="379">
        <v>46113</v>
      </c>
      <c r="G1942" s="378" t="s">
        <v>320</v>
      </c>
      <c r="H1942" s="20" t="s">
        <v>352</v>
      </c>
      <c r="I1942" s="20" t="s">
        <v>353</v>
      </c>
      <c r="J1942" s="20" t="s">
        <v>163</v>
      </c>
      <c r="K1942" s="378" t="s">
        <v>354</v>
      </c>
      <c r="L1942" s="20" t="s">
        <v>165</v>
      </c>
      <c r="M1942" s="380">
        <v>2400</v>
      </c>
      <c r="N1942" s="380"/>
      <c r="O1942" s="380"/>
      <c r="P1942" s="380"/>
      <c r="Q1942" s="381">
        <v>433</v>
      </c>
      <c r="R1942" s="381"/>
      <c r="S1942" s="381"/>
      <c r="T1942" s="381"/>
      <c r="U1942" s="381"/>
      <c r="V1942" s="382">
        <v>433</v>
      </c>
      <c r="W1942" s="382">
        <v>0</v>
      </c>
      <c r="X1942" s="381">
        <v>0.18041666666666667</v>
      </c>
      <c r="Y1942" s="381">
        <v>0</v>
      </c>
      <c r="Z1942" s="381">
        <v>0</v>
      </c>
      <c r="AA1942" s="381">
        <v>0</v>
      </c>
      <c r="AB1942" s="381">
        <v>0</v>
      </c>
      <c r="AC1942" s="382">
        <v>0.18041666666666667</v>
      </c>
      <c r="AD1942" s="382">
        <v>0</v>
      </c>
      <c r="AE1942" s="381" t="s">
        <v>168</v>
      </c>
    </row>
    <row r="1943" spans="1:31" ht="15" customHeight="1" x14ac:dyDescent="0.25">
      <c r="A1943" s="20" t="s">
        <v>156</v>
      </c>
      <c r="B1943" s="20" t="s">
        <v>2656</v>
      </c>
      <c r="C1943" s="20" t="s">
        <v>2657</v>
      </c>
      <c r="D1943" s="378" t="s">
        <v>2668</v>
      </c>
      <c r="E1943" s="379">
        <v>44788</v>
      </c>
      <c r="F1943" s="379">
        <v>46113</v>
      </c>
      <c r="G1943" s="378" t="s">
        <v>320</v>
      </c>
      <c r="H1943" s="20" t="s">
        <v>352</v>
      </c>
      <c r="I1943" s="20" t="s">
        <v>353</v>
      </c>
      <c r="J1943" s="20" t="s">
        <v>163</v>
      </c>
      <c r="K1943" s="378" t="s">
        <v>354</v>
      </c>
      <c r="L1943" s="20" t="s">
        <v>165</v>
      </c>
      <c r="M1943" s="380">
        <v>2400</v>
      </c>
      <c r="N1943" s="380"/>
      <c r="O1943" s="380"/>
      <c r="P1943" s="380"/>
      <c r="Q1943" s="381">
        <v>520</v>
      </c>
      <c r="R1943" s="381"/>
      <c r="S1943" s="381"/>
      <c r="T1943" s="381"/>
      <c r="U1943" s="381"/>
      <c r="V1943" s="382">
        <v>520</v>
      </c>
      <c r="W1943" s="382">
        <v>0</v>
      </c>
      <c r="X1943" s="381">
        <v>0.21666666666666667</v>
      </c>
      <c r="Y1943" s="381">
        <v>0</v>
      </c>
      <c r="Z1943" s="381">
        <v>0</v>
      </c>
      <c r="AA1943" s="381">
        <v>0</v>
      </c>
      <c r="AB1943" s="381">
        <v>0</v>
      </c>
      <c r="AC1943" s="382">
        <v>0.21666666666666667</v>
      </c>
      <c r="AD1943" s="382">
        <v>0</v>
      </c>
      <c r="AE1943" s="381" t="s">
        <v>168</v>
      </c>
    </row>
    <row r="1944" spans="1:31" ht="15" customHeight="1" x14ac:dyDescent="0.25">
      <c r="A1944" s="20" t="s">
        <v>156</v>
      </c>
      <c r="B1944" s="20" t="s">
        <v>2656</v>
      </c>
      <c r="C1944" s="20" t="s">
        <v>2657</v>
      </c>
      <c r="D1944" s="378" t="s">
        <v>2669</v>
      </c>
      <c r="E1944" s="379">
        <v>44788</v>
      </c>
      <c r="F1944" s="379">
        <v>46113</v>
      </c>
      <c r="G1944" s="378" t="s">
        <v>362</v>
      </c>
      <c r="H1944" s="20" t="s">
        <v>352</v>
      </c>
      <c r="I1944" s="20" t="s">
        <v>353</v>
      </c>
      <c r="J1944" s="20" t="s">
        <v>163</v>
      </c>
      <c r="K1944" s="378" t="s">
        <v>354</v>
      </c>
      <c r="L1944" s="20" t="s">
        <v>165</v>
      </c>
      <c r="M1944" s="380">
        <v>2400</v>
      </c>
      <c r="N1944" s="380"/>
      <c r="O1944" s="380"/>
      <c r="P1944" s="380"/>
      <c r="Q1944" s="381">
        <v>422</v>
      </c>
      <c r="R1944" s="381"/>
      <c r="S1944" s="381"/>
      <c r="T1944" s="381"/>
      <c r="U1944" s="381"/>
      <c r="V1944" s="382">
        <v>422</v>
      </c>
      <c r="W1944" s="382">
        <v>0</v>
      </c>
      <c r="X1944" s="381">
        <v>0.17583333333333334</v>
      </c>
      <c r="Y1944" s="381">
        <v>0</v>
      </c>
      <c r="Z1944" s="381">
        <v>0</v>
      </c>
      <c r="AA1944" s="381">
        <v>0</v>
      </c>
      <c r="AB1944" s="381">
        <v>0</v>
      </c>
      <c r="AC1944" s="382">
        <v>0.17583333333333334</v>
      </c>
      <c r="AD1944" s="382">
        <v>0</v>
      </c>
      <c r="AE1944" s="381" t="s">
        <v>168</v>
      </c>
    </row>
    <row r="1945" spans="1:31" ht="15" customHeight="1" x14ac:dyDescent="0.25">
      <c r="A1945" s="20" t="s">
        <v>156</v>
      </c>
      <c r="B1945" s="20" t="s">
        <v>2656</v>
      </c>
      <c r="C1945" s="20" t="s">
        <v>2657</v>
      </c>
      <c r="D1945" s="378" t="s">
        <v>2670</v>
      </c>
      <c r="E1945" s="379">
        <v>44788</v>
      </c>
      <c r="F1945" s="379">
        <v>46113</v>
      </c>
      <c r="G1945" s="378" t="s">
        <v>362</v>
      </c>
      <c r="H1945" s="20" t="s">
        <v>352</v>
      </c>
      <c r="I1945" s="20" t="s">
        <v>353</v>
      </c>
      <c r="J1945" s="20" t="s">
        <v>163</v>
      </c>
      <c r="K1945" s="378" t="s">
        <v>354</v>
      </c>
      <c r="L1945" s="20" t="s">
        <v>165</v>
      </c>
      <c r="M1945" s="380">
        <v>2400</v>
      </c>
      <c r="N1945" s="380"/>
      <c r="O1945" s="380"/>
      <c r="P1945" s="380"/>
      <c r="Q1945" s="381">
        <v>485</v>
      </c>
      <c r="R1945" s="381"/>
      <c r="S1945" s="381"/>
      <c r="T1945" s="381"/>
      <c r="U1945" s="381"/>
      <c r="V1945" s="382">
        <v>485</v>
      </c>
      <c r="W1945" s="382">
        <v>0</v>
      </c>
      <c r="X1945" s="381">
        <v>0.20208333333333334</v>
      </c>
      <c r="Y1945" s="381">
        <v>0</v>
      </c>
      <c r="Z1945" s="381">
        <v>0</v>
      </c>
      <c r="AA1945" s="381">
        <v>0</v>
      </c>
      <c r="AB1945" s="381">
        <v>0</v>
      </c>
      <c r="AC1945" s="382">
        <v>0.20208333333333334</v>
      </c>
      <c r="AD1945" s="382">
        <v>0</v>
      </c>
      <c r="AE1945" s="381" t="s">
        <v>168</v>
      </c>
    </row>
    <row r="1946" spans="1:31" ht="15" customHeight="1" x14ac:dyDescent="0.25">
      <c r="A1946" s="20" t="s">
        <v>156</v>
      </c>
      <c r="B1946" s="20" t="s">
        <v>2656</v>
      </c>
      <c r="C1946" s="20" t="s">
        <v>2657</v>
      </c>
      <c r="D1946" s="378" t="s">
        <v>2671</v>
      </c>
      <c r="E1946" s="379">
        <v>44788</v>
      </c>
      <c r="F1946" s="379">
        <v>46113</v>
      </c>
      <c r="G1946" s="378" t="s">
        <v>219</v>
      </c>
      <c r="H1946" s="20" t="s">
        <v>352</v>
      </c>
      <c r="I1946" s="20" t="s">
        <v>353</v>
      </c>
      <c r="J1946" s="20" t="s">
        <v>163</v>
      </c>
      <c r="K1946" s="378" t="s">
        <v>354</v>
      </c>
      <c r="L1946" s="20" t="s">
        <v>165</v>
      </c>
      <c r="M1946" s="380">
        <v>2400</v>
      </c>
      <c r="N1946" s="380"/>
      <c r="O1946" s="380"/>
      <c r="P1946" s="380"/>
      <c r="Q1946" s="381">
        <v>385</v>
      </c>
      <c r="R1946" s="381"/>
      <c r="S1946" s="381"/>
      <c r="T1946" s="381"/>
      <c r="U1946" s="381"/>
      <c r="V1946" s="382">
        <v>385</v>
      </c>
      <c r="W1946" s="382">
        <v>0</v>
      </c>
      <c r="X1946" s="381">
        <v>0.16041666666666668</v>
      </c>
      <c r="Y1946" s="381">
        <v>0</v>
      </c>
      <c r="Z1946" s="381">
        <v>0</v>
      </c>
      <c r="AA1946" s="381">
        <v>0</v>
      </c>
      <c r="AB1946" s="381">
        <v>0</v>
      </c>
      <c r="AC1946" s="382">
        <v>0.16041666666666668</v>
      </c>
      <c r="AD1946" s="382">
        <v>0</v>
      </c>
      <c r="AE1946" s="381" t="s">
        <v>168</v>
      </c>
    </row>
    <row r="1947" spans="1:31" ht="15" customHeight="1" x14ac:dyDescent="0.25">
      <c r="A1947" s="20" t="s">
        <v>156</v>
      </c>
      <c r="B1947" s="20" t="s">
        <v>2656</v>
      </c>
      <c r="C1947" s="20" t="s">
        <v>2657</v>
      </c>
      <c r="D1947" s="378" t="s">
        <v>2672</v>
      </c>
      <c r="E1947" s="379">
        <v>44788</v>
      </c>
      <c r="F1947" s="379">
        <v>46113</v>
      </c>
      <c r="G1947" s="378" t="s">
        <v>219</v>
      </c>
      <c r="H1947" s="20" t="s">
        <v>352</v>
      </c>
      <c r="I1947" s="20" t="s">
        <v>353</v>
      </c>
      <c r="J1947" s="20" t="s">
        <v>163</v>
      </c>
      <c r="K1947" s="378" t="s">
        <v>354</v>
      </c>
      <c r="L1947" s="20" t="s">
        <v>165</v>
      </c>
      <c r="M1947" s="380">
        <v>2400</v>
      </c>
      <c r="N1947" s="380"/>
      <c r="O1947" s="380"/>
      <c r="P1947" s="380"/>
      <c r="Q1947" s="381">
        <v>422</v>
      </c>
      <c r="R1947" s="381"/>
      <c r="S1947" s="381"/>
      <c r="T1947" s="381"/>
      <c r="U1947" s="381"/>
      <c r="V1947" s="382">
        <v>422</v>
      </c>
      <c r="W1947" s="382">
        <v>0</v>
      </c>
      <c r="X1947" s="381">
        <v>0.17583333333333334</v>
      </c>
      <c r="Y1947" s="381">
        <v>0</v>
      </c>
      <c r="Z1947" s="381">
        <v>0</v>
      </c>
      <c r="AA1947" s="381">
        <v>0</v>
      </c>
      <c r="AB1947" s="381">
        <v>0</v>
      </c>
      <c r="AC1947" s="382">
        <v>0.17583333333333334</v>
      </c>
      <c r="AD1947" s="382">
        <v>0</v>
      </c>
      <c r="AE1947" s="381" t="s">
        <v>168</v>
      </c>
    </row>
    <row r="1948" spans="1:31" ht="15" customHeight="1" x14ac:dyDescent="0.25">
      <c r="A1948" s="20" t="s">
        <v>156</v>
      </c>
      <c r="B1948" s="20" t="s">
        <v>2656</v>
      </c>
      <c r="C1948" s="20" t="s">
        <v>2657</v>
      </c>
      <c r="D1948" s="378" t="s">
        <v>2673</v>
      </c>
      <c r="E1948" s="379">
        <v>44788</v>
      </c>
      <c r="F1948" s="379">
        <v>46113</v>
      </c>
      <c r="G1948" s="378" t="s">
        <v>378</v>
      </c>
      <c r="H1948" s="20" t="s">
        <v>352</v>
      </c>
      <c r="I1948" s="20" t="s">
        <v>353</v>
      </c>
      <c r="J1948" s="20" t="s">
        <v>163</v>
      </c>
      <c r="K1948" s="378" t="s">
        <v>354</v>
      </c>
      <c r="L1948" s="20" t="s">
        <v>165</v>
      </c>
      <c r="M1948" s="380">
        <v>2400</v>
      </c>
      <c r="N1948" s="380"/>
      <c r="O1948" s="380"/>
      <c r="P1948" s="380"/>
      <c r="Q1948" s="381">
        <v>426</v>
      </c>
      <c r="R1948" s="381"/>
      <c r="S1948" s="381"/>
      <c r="T1948" s="381"/>
      <c r="U1948" s="381"/>
      <c r="V1948" s="382">
        <v>426</v>
      </c>
      <c r="W1948" s="382">
        <v>0</v>
      </c>
      <c r="X1948" s="381">
        <v>0.17749999999999999</v>
      </c>
      <c r="Y1948" s="381">
        <v>0</v>
      </c>
      <c r="Z1948" s="381">
        <v>0</v>
      </c>
      <c r="AA1948" s="381">
        <v>0</v>
      </c>
      <c r="AB1948" s="381">
        <v>0</v>
      </c>
      <c r="AC1948" s="382">
        <v>0.17749999999999999</v>
      </c>
      <c r="AD1948" s="382">
        <v>0</v>
      </c>
      <c r="AE1948" s="381" t="s">
        <v>168</v>
      </c>
    </row>
    <row r="1949" spans="1:31" ht="15" customHeight="1" x14ac:dyDescent="0.25">
      <c r="A1949" s="20" t="s">
        <v>156</v>
      </c>
      <c r="B1949" s="20" t="s">
        <v>2656</v>
      </c>
      <c r="C1949" s="20" t="s">
        <v>2657</v>
      </c>
      <c r="D1949" s="378" t="s">
        <v>2674</v>
      </c>
      <c r="E1949" s="379">
        <v>44788</v>
      </c>
      <c r="F1949" s="379">
        <v>46113</v>
      </c>
      <c r="G1949" s="378" t="s">
        <v>378</v>
      </c>
      <c r="H1949" s="20" t="s">
        <v>352</v>
      </c>
      <c r="I1949" s="20" t="s">
        <v>353</v>
      </c>
      <c r="J1949" s="20" t="s">
        <v>163</v>
      </c>
      <c r="K1949" s="378" t="s">
        <v>354</v>
      </c>
      <c r="L1949" s="20" t="s">
        <v>165</v>
      </c>
      <c r="M1949" s="380">
        <v>2400</v>
      </c>
      <c r="N1949" s="380"/>
      <c r="O1949" s="380"/>
      <c r="P1949" s="380"/>
      <c r="Q1949" s="381">
        <v>529</v>
      </c>
      <c r="R1949" s="381"/>
      <c r="S1949" s="381"/>
      <c r="T1949" s="381"/>
      <c r="U1949" s="381"/>
      <c r="V1949" s="382">
        <v>529</v>
      </c>
      <c r="W1949" s="382">
        <v>0</v>
      </c>
      <c r="X1949" s="381">
        <v>0.22041666666666668</v>
      </c>
      <c r="Y1949" s="381">
        <v>0</v>
      </c>
      <c r="Z1949" s="381">
        <v>0</v>
      </c>
      <c r="AA1949" s="381">
        <v>0</v>
      </c>
      <c r="AB1949" s="381">
        <v>0</v>
      </c>
      <c r="AC1949" s="382">
        <v>0.22041666666666668</v>
      </c>
      <c r="AD1949" s="382">
        <v>0</v>
      </c>
      <c r="AE1949" s="381" t="s">
        <v>168</v>
      </c>
    </row>
    <row r="1950" spans="1:31" ht="15" customHeight="1" x14ac:dyDescent="0.25">
      <c r="A1950" s="20" t="s">
        <v>156</v>
      </c>
      <c r="B1950" s="20" t="s">
        <v>2656</v>
      </c>
      <c r="C1950" s="20" t="s">
        <v>2657</v>
      </c>
      <c r="D1950" s="378" t="s">
        <v>2675</v>
      </c>
      <c r="E1950" s="379">
        <v>44620</v>
      </c>
      <c r="F1950" s="379">
        <v>46446</v>
      </c>
      <c r="G1950" s="378" t="s">
        <v>396</v>
      </c>
      <c r="H1950" s="20" t="s">
        <v>393</v>
      </c>
      <c r="I1950" s="20"/>
      <c r="J1950" s="20" t="s">
        <v>163</v>
      </c>
      <c r="K1950" s="378" t="s">
        <v>397</v>
      </c>
      <c r="L1950" s="20" t="s">
        <v>165</v>
      </c>
      <c r="M1950" s="380">
        <v>2400</v>
      </c>
      <c r="N1950" s="380"/>
      <c r="O1950" s="380"/>
      <c r="P1950" s="380"/>
      <c r="Q1950" s="381">
        <v>301</v>
      </c>
      <c r="R1950" s="381"/>
      <c r="S1950" s="381"/>
      <c r="T1950" s="381"/>
      <c r="U1950" s="381"/>
      <c r="V1950" s="382">
        <v>301</v>
      </c>
      <c r="W1950" s="382">
        <v>0</v>
      </c>
      <c r="X1950" s="381">
        <v>0.12541666666666668</v>
      </c>
      <c r="Y1950" s="381">
        <v>0</v>
      </c>
      <c r="Z1950" s="381">
        <v>0</v>
      </c>
      <c r="AA1950" s="381">
        <v>0</v>
      </c>
      <c r="AB1950" s="381">
        <v>0</v>
      </c>
      <c r="AC1950" s="382">
        <v>0.12541666666666668</v>
      </c>
      <c r="AD1950" s="382">
        <v>0</v>
      </c>
      <c r="AE1950" s="381" t="s">
        <v>168</v>
      </c>
    </row>
    <row r="1951" spans="1:31" ht="15" customHeight="1" x14ac:dyDescent="0.25">
      <c r="A1951" s="20" t="s">
        <v>156</v>
      </c>
      <c r="B1951" s="20" t="s">
        <v>2656</v>
      </c>
      <c r="C1951" s="20" t="s">
        <v>2657</v>
      </c>
      <c r="D1951" s="378" t="s">
        <v>2676</v>
      </c>
      <c r="E1951" s="379">
        <v>44620</v>
      </c>
      <c r="F1951" s="379">
        <v>46446</v>
      </c>
      <c r="G1951" s="378" t="s">
        <v>396</v>
      </c>
      <c r="H1951" s="20" t="s">
        <v>393</v>
      </c>
      <c r="I1951" s="20"/>
      <c r="J1951" s="20" t="s">
        <v>163</v>
      </c>
      <c r="K1951" s="378" t="s">
        <v>397</v>
      </c>
      <c r="L1951" s="20" t="s">
        <v>165</v>
      </c>
      <c r="M1951" s="380">
        <v>2400</v>
      </c>
      <c r="N1951" s="380"/>
      <c r="O1951" s="380"/>
      <c r="P1951" s="380"/>
      <c r="Q1951" s="381">
        <v>413</v>
      </c>
      <c r="R1951" s="381"/>
      <c r="S1951" s="381"/>
      <c r="T1951" s="381"/>
      <c r="U1951" s="381"/>
      <c r="V1951" s="382">
        <v>413</v>
      </c>
      <c r="W1951" s="382">
        <v>0</v>
      </c>
      <c r="X1951" s="381">
        <v>0.17208333333333334</v>
      </c>
      <c r="Y1951" s="381">
        <v>0</v>
      </c>
      <c r="Z1951" s="381">
        <v>0</v>
      </c>
      <c r="AA1951" s="381">
        <v>0</v>
      </c>
      <c r="AB1951" s="381">
        <v>0</v>
      </c>
      <c r="AC1951" s="382">
        <v>0.17208333333333334</v>
      </c>
      <c r="AD1951" s="382">
        <v>0</v>
      </c>
      <c r="AE1951" s="381" t="s">
        <v>168</v>
      </c>
    </row>
    <row r="1952" spans="1:31" ht="15" customHeight="1" x14ac:dyDescent="0.25">
      <c r="A1952" s="20" t="s">
        <v>156</v>
      </c>
      <c r="B1952" s="20" t="s">
        <v>2656</v>
      </c>
      <c r="C1952" s="20" t="s">
        <v>2657</v>
      </c>
      <c r="D1952" s="378" t="s">
        <v>2677</v>
      </c>
      <c r="E1952" s="379">
        <v>44294</v>
      </c>
      <c r="F1952" s="379">
        <v>46120</v>
      </c>
      <c r="G1952" s="378" t="s">
        <v>219</v>
      </c>
      <c r="H1952" s="20" t="s">
        <v>220</v>
      </c>
      <c r="I1952" s="20" t="s">
        <v>162</v>
      </c>
      <c r="J1952" s="20" t="s">
        <v>163</v>
      </c>
      <c r="K1952" s="378" t="s">
        <v>221</v>
      </c>
      <c r="L1952" s="20" t="s">
        <v>165</v>
      </c>
      <c r="M1952" s="380">
        <v>2400</v>
      </c>
      <c r="N1952" s="380"/>
      <c r="O1952" s="380"/>
      <c r="P1952" s="380"/>
      <c r="Q1952" s="381" t="s">
        <v>2678</v>
      </c>
      <c r="R1952" s="380" t="s">
        <v>2679</v>
      </c>
      <c r="S1952" s="381" t="s">
        <v>2680</v>
      </c>
      <c r="T1952" s="381"/>
      <c r="U1952" s="381"/>
      <c r="V1952" s="382">
        <v>391.38</v>
      </c>
      <c r="W1952" s="382">
        <v>0</v>
      </c>
      <c r="X1952" s="381">
        <v>0.16333333333333333</v>
      </c>
      <c r="Y1952" s="381">
        <v>0.16250000000000001</v>
      </c>
      <c r="Z1952" s="381">
        <v>5.7499999999999999E-4</v>
      </c>
      <c r="AA1952" s="381">
        <v>0</v>
      </c>
      <c r="AB1952" s="381">
        <v>0</v>
      </c>
      <c r="AC1952" s="382">
        <v>0.163075</v>
      </c>
      <c r="AD1952" s="382">
        <v>0</v>
      </c>
      <c r="AE1952" s="381" t="s">
        <v>168</v>
      </c>
    </row>
    <row r="1953" spans="1:31" ht="15" customHeight="1" x14ac:dyDescent="0.25">
      <c r="A1953" s="20" t="s">
        <v>156</v>
      </c>
      <c r="B1953" s="20" t="s">
        <v>2656</v>
      </c>
      <c r="C1953" s="20" t="s">
        <v>2657</v>
      </c>
      <c r="D1953" s="378" t="s">
        <v>2681</v>
      </c>
      <c r="E1953" s="379">
        <v>45038</v>
      </c>
      <c r="F1953" s="379">
        <v>46865</v>
      </c>
      <c r="G1953" s="383" t="s">
        <v>193</v>
      </c>
      <c r="H1953" s="20" t="s">
        <v>229</v>
      </c>
      <c r="I1953" s="20" t="s">
        <v>162</v>
      </c>
      <c r="J1953" s="20" t="s">
        <v>163</v>
      </c>
      <c r="K1953" s="378" t="s">
        <v>230</v>
      </c>
      <c r="L1953" s="20" t="s">
        <v>165</v>
      </c>
      <c r="M1953" s="380">
        <v>2400</v>
      </c>
      <c r="N1953" s="380"/>
      <c r="O1953" s="380"/>
      <c r="P1953" s="380"/>
      <c r="Q1953" s="381" t="s">
        <v>2682</v>
      </c>
      <c r="R1953" s="381" t="s">
        <v>2683</v>
      </c>
      <c r="S1953" s="381" t="s">
        <v>171</v>
      </c>
      <c r="T1953" s="381"/>
      <c r="U1953" s="381"/>
      <c r="V1953" s="382">
        <v>417.31</v>
      </c>
      <c r="W1953" s="382">
        <v>0</v>
      </c>
      <c r="X1953" s="381">
        <v>0.17416666666666666</v>
      </c>
      <c r="Y1953" s="381">
        <v>0.17374999999999999</v>
      </c>
      <c r="Z1953" s="381">
        <v>1.2916666666666667E-4</v>
      </c>
      <c r="AA1953" s="381">
        <v>0</v>
      </c>
      <c r="AB1953" s="381">
        <v>0</v>
      </c>
      <c r="AC1953" s="382">
        <v>0.17387916666666667</v>
      </c>
      <c r="AD1953" s="382">
        <v>0</v>
      </c>
      <c r="AE1953" s="381" t="s">
        <v>168</v>
      </c>
    </row>
    <row r="1954" spans="1:31" ht="15" customHeight="1" x14ac:dyDescent="0.25">
      <c r="A1954" s="20" t="s">
        <v>156</v>
      </c>
      <c r="B1954" s="20" t="s">
        <v>2656</v>
      </c>
      <c r="C1954" s="20" t="s">
        <v>2657</v>
      </c>
      <c r="D1954" s="378" t="s">
        <v>2684</v>
      </c>
      <c r="E1954" s="379">
        <v>45016</v>
      </c>
      <c r="F1954" s="379">
        <v>46843</v>
      </c>
      <c r="G1954" s="378" t="s">
        <v>179</v>
      </c>
      <c r="H1954" s="20" t="s">
        <v>202</v>
      </c>
      <c r="I1954" s="20" t="s">
        <v>162</v>
      </c>
      <c r="J1954" s="20" t="s">
        <v>163</v>
      </c>
      <c r="K1954" s="378" t="s">
        <v>203</v>
      </c>
      <c r="L1954" s="20" t="s">
        <v>165</v>
      </c>
      <c r="M1954" s="380">
        <v>2400</v>
      </c>
      <c r="N1954" s="380"/>
      <c r="O1954" s="380"/>
      <c r="P1954" s="380"/>
      <c r="Q1954" s="381">
        <v>452</v>
      </c>
      <c r="R1954" s="381">
        <v>451</v>
      </c>
      <c r="S1954" s="381">
        <v>0.22</v>
      </c>
      <c r="T1954" s="381"/>
      <c r="U1954" s="381"/>
      <c r="V1954" s="382">
        <v>451.22</v>
      </c>
      <c r="W1954" s="382">
        <v>0</v>
      </c>
      <c r="X1954" s="381">
        <v>0.18833333333333332</v>
      </c>
      <c r="Y1954" s="381">
        <v>0.18791666666666668</v>
      </c>
      <c r="Z1954" s="381">
        <v>9.1666666666666668E-5</v>
      </c>
      <c r="AA1954" s="381">
        <v>0</v>
      </c>
      <c r="AB1954" s="381">
        <v>0</v>
      </c>
      <c r="AC1954" s="382">
        <v>0.18800833333333333</v>
      </c>
      <c r="AD1954" s="382">
        <v>0</v>
      </c>
      <c r="AE1954" s="381" t="s">
        <v>168</v>
      </c>
    </row>
    <row r="1955" spans="1:31" ht="15" customHeight="1" x14ac:dyDescent="0.25">
      <c r="A1955" s="20" t="s">
        <v>156</v>
      </c>
      <c r="B1955" s="20" t="s">
        <v>2656</v>
      </c>
      <c r="C1955" s="20" t="s">
        <v>2657</v>
      </c>
      <c r="D1955" s="378" t="s">
        <v>2685</v>
      </c>
      <c r="E1955" s="384" t="s">
        <v>437</v>
      </c>
      <c r="F1955" s="384" t="s">
        <v>438</v>
      </c>
      <c r="G1955" s="378" t="s">
        <v>439</v>
      </c>
      <c r="H1955" s="20" t="s">
        <v>2686</v>
      </c>
      <c r="I1955" s="378" t="s">
        <v>441</v>
      </c>
      <c r="J1955" s="20" t="s">
        <v>163</v>
      </c>
      <c r="K1955" s="378" t="s">
        <v>2687</v>
      </c>
      <c r="L1955" s="378" t="s">
        <v>165</v>
      </c>
      <c r="M1955" s="380">
        <v>2384</v>
      </c>
      <c r="N1955" s="380" t="s">
        <v>443</v>
      </c>
      <c r="O1955" s="380" t="s">
        <v>443</v>
      </c>
      <c r="P1955" s="380" t="s">
        <v>443</v>
      </c>
      <c r="Q1955" s="381">
        <v>376</v>
      </c>
      <c r="R1955" s="381">
        <v>375</v>
      </c>
      <c r="S1955" s="381">
        <v>0.47</v>
      </c>
      <c r="T1955" s="381">
        <v>0.27200000000000002</v>
      </c>
      <c r="U1955" s="381">
        <v>0</v>
      </c>
      <c r="V1955" s="382">
        <v>375.74200000000002</v>
      </c>
      <c r="W1955" s="382">
        <v>0</v>
      </c>
      <c r="X1955" s="381">
        <v>0.15771812080536912</v>
      </c>
      <c r="Y1955" s="381">
        <v>0.15729865771812079</v>
      </c>
      <c r="Z1955" s="381">
        <v>1.971476510067114E-4</v>
      </c>
      <c r="AA1955" s="381">
        <v>1.1409395973154363E-4</v>
      </c>
      <c r="AB1955" s="381">
        <v>0</v>
      </c>
      <c r="AC1955" s="382">
        <v>0.15760989932885905</v>
      </c>
      <c r="AD1955" s="382">
        <v>0</v>
      </c>
      <c r="AE1955" s="381" t="s">
        <v>444</v>
      </c>
    </row>
    <row r="1956" spans="1:31" ht="15" customHeight="1" x14ac:dyDescent="0.25">
      <c r="A1956" s="20" t="s">
        <v>156</v>
      </c>
      <c r="B1956" s="20" t="s">
        <v>2656</v>
      </c>
      <c r="C1956" s="20" t="s">
        <v>2657</v>
      </c>
      <c r="D1956" s="378" t="s">
        <v>2688</v>
      </c>
      <c r="E1956" s="384" t="s">
        <v>437</v>
      </c>
      <c r="F1956" s="384" t="s">
        <v>438</v>
      </c>
      <c r="G1956" s="378" t="s">
        <v>439</v>
      </c>
      <c r="H1956" s="20" t="s">
        <v>2689</v>
      </c>
      <c r="I1956" s="378" t="s">
        <v>441</v>
      </c>
      <c r="J1956" s="20" t="s">
        <v>163</v>
      </c>
      <c r="K1956" s="378" t="s">
        <v>2690</v>
      </c>
      <c r="L1956" s="378" t="s">
        <v>165</v>
      </c>
      <c r="M1956" s="380">
        <v>2384</v>
      </c>
      <c r="N1956" s="380" t="s">
        <v>443</v>
      </c>
      <c r="O1956" s="380" t="s">
        <v>443</v>
      </c>
      <c r="P1956" s="380" t="s">
        <v>443</v>
      </c>
      <c r="Q1956" s="381">
        <v>452</v>
      </c>
      <c r="R1956" s="381">
        <v>452</v>
      </c>
      <c r="S1956" s="381">
        <v>0.45200000000000001</v>
      </c>
      <c r="T1956" s="381">
        <v>0.23699999999999999</v>
      </c>
      <c r="U1956" s="381">
        <v>0</v>
      </c>
      <c r="V1956" s="382">
        <v>452.68900000000002</v>
      </c>
      <c r="W1956" s="382">
        <v>0</v>
      </c>
      <c r="X1956" s="381">
        <v>0.18959731543624161</v>
      </c>
      <c r="Y1956" s="381">
        <v>0.18959731543624161</v>
      </c>
      <c r="Z1956" s="381">
        <v>1.8959731543624161E-4</v>
      </c>
      <c r="AA1956" s="381">
        <v>9.9412751677852343E-5</v>
      </c>
      <c r="AB1956" s="381">
        <v>0</v>
      </c>
      <c r="AC1956" s="382">
        <v>0.18988632550335571</v>
      </c>
      <c r="AD1956" s="382">
        <v>0</v>
      </c>
      <c r="AE1956" s="381" t="s">
        <v>444</v>
      </c>
    </row>
    <row r="1957" spans="1:31" ht="15" customHeight="1" x14ac:dyDescent="0.25">
      <c r="A1957" s="20" t="s">
        <v>156</v>
      </c>
      <c r="B1957" s="20" t="s">
        <v>2656</v>
      </c>
      <c r="C1957" s="20" t="s">
        <v>2657</v>
      </c>
      <c r="D1957" s="378" t="s">
        <v>2691</v>
      </c>
      <c r="E1957" s="384">
        <v>45321</v>
      </c>
      <c r="F1957" s="384">
        <v>46351</v>
      </c>
      <c r="G1957" s="378" t="s">
        <v>439</v>
      </c>
      <c r="H1957" s="20" t="s">
        <v>802</v>
      </c>
      <c r="I1957" s="378" t="s">
        <v>353</v>
      </c>
      <c r="J1957" s="20" t="s">
        <v>163</v>
      </c>
      <c r="K1957" s="378" t="s">
        <v>803</v>
      </c>
      <c r="L1957" s="378" t="s">
        <v>165</v>
      </c>
      <c r="M1957" s="380">
        <v>2400</v>
      </c>
      <c r="N1957" s="380" t="s">
        <v>443</v>
      </c>
      <c r="O1957" s="380" t="s">
        <v>443</v>
      </c>
      <c r="P1957" s="380" t="s">
        <v>443</v>
      </c>
      <c r="Q1957" s="381">
        <v>457</v>
      </c>
      <c r="R1957" s="381">
        <v>0</v>
      </c>
      <c r="S1957" s="381">
        <v>0</v>
      </c>
      <c r="T1957" s="381">
        <v>0</v>
      </c>
      <c r="U1957" s="381">
        <v>0</v>
      </c>
      <c r="V1957" s="382">
        <v>457</v>
      </c>
      <c r="W1957" s="382">
        <v>0</v>
      </c>
      <c r="X1957" s="381">
        <v>0.19041666666666668</v>
      </c>
      <c r="Y1957" s="381">
        <v>0</v>
      </c>
      <c r="Z1957" s="381">
        <v>0</v>
      </c>
      <c r="AA1957" s="381">
        <v>0</v>
      </c>
      <c r="AB1957" s="381">
        <v>0</v>
      </c>
      <c r="AC1957" s="382">
        <v>0.19041666666666668</v>
      </c>
      <c r="AD1957" s="382">
        <v>0</v>
      </c>
      <c r="AE1957" s="381" t="s">
        <v>444</v>
      </c>
    </row>
    <row r="1958" spans="1:31" ht="15" customHeight="1" x14ac:dyDescent="0.25">
      <c r="A1958" s="20" t="s">
        <v>156</v>
      </c>
      <c r="B1958" s="20" t="s">
        <v>2656</v>
      </c>
      <c r="C1958" s="20" t="s">
        <v>2657</v>
      </c>
      <c r="D1958" s="378" t="s">
        <v>2692</v>
      </c>
      <c r="E1958" s="384">
        <v>45321</v>
      </c>
      <c r="F1958" s="384">
        <v>46351</v>
      </c>
      <c r="G1958" s="378" t="s">
        <v>439</v>
      </c>
      <c r="H1958" s="20" t="s">
        <v>802</v>
      </c>
      <c r="I1958" s="378" t="s">
        <v>353</v>
      </c>
      <c r="J1958" s="20" t="s">
        <v>163</v>
      </c>
      <c r="K1958" s="378" t="s">
        <v>803</v>
      </c>
      <c r="L1958" s="378" t="s">
        <v>165</v>
      </c>
      <c r="M1958" s="380">
        <v>2400</v>
      </c>
      <c r="N1958" s="380" t="s">
        <v>443</v>
      </c>
      <c r="O1958" s="380" t="s">
        <v>443</v>
      </c>
      <c r="P1958" s="380" t="s">
        <v>443</v>
      </c>
      <c r="Q1958" s="381">
        <v>559</v>
      </c>
      <c r="R1958" s="381">
        <v>0</v>
      </c>
      <c r="S1958" s="381">
        <v>0</v>
      </c>
      <c r="T1958" s="381">
        <v>0</v>
      </c>
      <c r="U1958" s="381">
        <v>0</v>
      </c>
      <c r="V1958" s="382">
        <v>559</v>
      </c>
      <c r="W1958" s="382">
        <v>0</v>
      </c>
      <c r="X1958" s="381">
        <v>0.23291666666666666</v>
      </c>
      <c r="Y1958" s="381">
        <v>0</v>
      </c>
      <c r="Z1958" s="381">
        <v>0</v>
      </c>
      <c r="AA1958" s="381">
        <v>0</v>
      </c>
      <c r="AB1958" s="381">
        <v>0</v>
      </c>
      <c r="AC1958" s="382">
        <v>0.23291666666666666</v>
      </c>
      <c r="AD1958" s="382">
        <v>0</v>
      </c>
      <c r="AE1958" s="381" t="s">
        <v>444</v>
      </c>
    </row>
    <row r="1959" spans="1:31" ht="15" customHeight="1" x14ac:dyDescent="0.25">
      <c r="A1959" s="20" t="s">
        <v>156</v>
      </c>
      <c r="B1959" s="20" t="s">
        <v>2656</v>
      </c>
      <c r="C1959" s="20" t="s">
        <v>2657</v>
      </c>
      <c r="D1959" s="378" t="s">
        <v>2693</v>
      </c>
      <c r="E1959" s="384">
        <v>44803</v>
      </c>
      <c r="F1959" s="384">
        <v>46619</v>
      </c>
      <c r="G1959" s="378" t="s">
        <v>439</v>
      </c>
      <c r="H1959" s="20" t="s">
        <v>470</v>
      </c>
      <c r="I1959" s="378" t="s">
        <v>168</v>
      </c>
      <c r="J1959" s="20" t="s">
        <v>163</v>
      </c>
      <c r="K1959" s="378" t="s">
        <v>471</v>
      </c>
      <c r="L1959" s="378" t="s">
        <v>165</v>
      </c>
      <c r="M1959" s="380">
        <v>2400</v>
      </c>
      <c r="N1959" s="380" t="s">
        <v>443</v>
      </c>
      <c r="O1959" s="380" t="s">
        <v>443</v>
      </c>
      <c r="P1959" s="380" t="s">
        <v>443</v>
      </c>
      <c r="Q1959" s="381">
        <v>320</v>
      </c>
      <c r="R1959" s="381">
        <v>319</v>
      </c>
      <c r="S1959" s="381">
        <v>0.76600000000000001</v>
      </c>
      <c r="T1959" s="381">
        <v>0</v>
      </c>
      <c r="U1959" s="381">
        <v>0</v>
      </c>
      <c r="V1959" s="382">
        <v>319.76600000000002</v>
      </c>
      <c r="W1959" s="382">
        <v>0</v>
      </c>
      <c r="X1959" s="381">
        <v>0.13333333333333333</v>
      </c>
      <c r="Y1959" s="381">
        <v>0.13291666666666666</v>
      </c>
      <c r="Z1959" s="381">
        <v>3.1916666666666665E-4</v>
      </c>
      <c r="AA1959" s="381">
        <v>0</v>
      </c>
      <c r="AB1959" s="381">
        <v>0</v>
      </c>
      <c r="AC1959" s="382">
        <v>0.13323583333333333</v>
      </c>
      <c r="AD1959" s="382">
        <v>0</v>
      </c>
      <c r="AE1959" s="381" t="s">
        <v>444</v>
      </c>
    </row>
    <row r="1960" spans="1:31" ht="15" customHeight="1" x14ac:dyDescent="0.25">
      <c r="A1960" s="20" t="s">
        <v>156</v>
      </c>
      <c r="B1960" s="20" t="s">
        <v>2656</v>
      </c>
      <c r="C1960" s="20" t="s">
        <v>2657</v>
      </c>
      <c r="D1960" s="378" t="s">
        <v>2694</v>
      </c>
      <c r="E1960" s="384">
        <v>44852</v>
      </c>
      <c r="F1960" s="384">
        <v>46678</v>
      </c>
      <c r="G1960" s="378" t="s">
        <v>439</v>
      </c>
      <c r="H1960" s="20" t="s">
        <v>813</v>
      </c>
      <c r="I1960" s="378" t="s">
        <v>814</v>
      </c>
      <c r="J1960" s="20" t="s">
        <v>163</v>
      </c>
      <c r="K1960" s="378" t="s">
        <v>815</v>
      </c>
      <c r="L1960" s="378" t="s">
        <v>165</v>
      </c>
      <c r="M1960" s="380">
        <v>2400</v>
      </c>
      <c r="N1960" s="380" t="s">
        <v>443</v>
      </c>
      <c r="O1960" s="380" t="s">
        <v>443</v>
      </c>
      <c r="P1960" s="380" t="s">
        <v>443</v>
      </c>
      <c r="Q1960" s="381">
        <v>408</v>
      </c>
      <c r="R1960" s="381">
        <v>0</v>
      </c>
      <c r="S1960" s="381">
        <v>0</v>
      </c>
      <c r="T1960" s="381">
        <v>0</v>
      </c>
      <c r="U1960" s="381">
        <v>0</v>
      </c>
      <c r="V1960" s="382">
        <v>408</v>
      </c>
      <c r="W1960" s="382">
        <v>0</v>
      </c>
      <c r="X1960" s="381">
        <v>0.17</v>
      </c>
      <c r="Y1960" s="381">
        <v>0</v>
      </c>
      <c r="Z1960" s="381">
        <v>0</v>
      </c>
      <c r="AA1960" s="381">
        <v>0</v>
      </c>
      <c r="AB1960" s="381">
        <v>0</v>
      </c>
      <c r="AC1960" s="382">
        <v>0.17</v>
      </c>
      <c r="AD1960" s="382">
        <v>0</v>
      </c>
      <c r="AE1960" s="381" t="s">
        <v>444</v>
      </c>
    </row>
    <row r="1961" spans="1:31" ht="15" customHeight="1" x14ac:dyDescent="0.25">
      <c r="A1961" s="20" t="s">
        <v>156</v>
      </c>
      <c r="B1961" s="20" t="s">
        <v>2656</v>
      </c>
      <c r="C1961" s="20" t="s">
        <v>2657</v>
      </c>
      <c r="D1961" s="378" t="s">
        <v>2695</v>
      </c>
      <c r="E1961" s="384">
        <v>44852</v>
      </c>
      <c r="F1961" s="384">
        <v>46678</v>
      </c>
      <c r="G1961" s="378" t="s">
        <v>439</v>
      </c>
      <c r="H1961" s="20" t="s">
        <v>813</v>
      </c>
      <c r="I1961" s="378" t="s">
        <v>814</v>
      </c>
      <c r="J1961" s="20" t="s">
        <v>163</v>
      </c>
      <c r="K1961" s="378" t="s">
        <v>815</v>
      </c>
      <c r="L1961" s="378" t="s">
        <v>165</v>
      </c>
      <c r="M1961" s="380">
        <v>2400</v>
      </c>
      <c r="N1961" s="380" t="s">
        <v>443</v>
      </c>
      <c r="O1961" s="380" t="s">
        <v>443</v>
      </c>
      <c r="P1961" s="380" t="s">
        <v>443</v>
      </c>
      <c r="Q1961" s="381">
        <v>570</v>
      </c>
      <c r="R1961" s="381">
        <v>0</v>
      </c>
      <c r="S1961" s="381">
        <v>0</v>
      </c>
      <c r="T1961" s="381">
        <v>0</v>
      </c>
      <c r="U1961" s="381">
        <v>0</v>
      </c>
      <c r="V1961" s="382">
        <v>570</v>
      </c>
      <c r="W1961" s="382">
        <v>0</v>
      </c>
      <c r="X1961" s="381">
        <v>0.23749999999999999</v>
      </c>
      <c r="Y1961" s="381">
        <v>0</v>
      </c>
      <c r="Z1961" s="381">
        <v>0</v>
      </c>
      <c r="AA1961" s="381">
        <v>0</v>
      </c>
      <c r="AB1961" s="381">
        <v>0</v>
      </c>
      <c r="AC1961" s="382">
        <v>0.23749999999999999</v>
      </c>
      <c r="AD1961" s="382">
        <v>0</v>
      </c>
      <c r="AE1961" s="381" t="s">
        <v>444</v>
      </c>
    </row>
    <row r="1962" spans="1:31" ht="15" customHeight="1" x14ac:dyDescent="0.25">
      <c r="A1962" s="20" t="s">
        <v>156</v>
      </c>
      <c r="B1962" s="20" t="s">
        <v>2656</v>
      </c>
      <c r="C1962" s="20" t="s">
        <v>2657</v>
      </c>
      <c r="D1962" s="378" t="s">
        <v>2696</v>
      </c>
      <c r="E1962" s="384">
        <v>44417</v>
      </c>
      <c r="F1962" s="384">
        <v>46357</v>
      </c>
      <c r="G1962" s="378" t="s">
        <v>439</v>
      </c>
      <c r="H1962" s="20" t="s">
        <v>817</v>
      </c>
      <c r="I1962" s="378" t="s">
        <v>814</v>
      </c>
      <c r="J1962" s="20" t="s">
        <v>163</v>
      </c>
      <c r="K1962" s="378" t="s">
        <v>818</v>
      </c>
      <c r="L1962" s="378" t="s">
        <v>165</v>
      </c>
      <c r="M1962" s="380">
        <v>2400</v>
      </c>
      <c r="N1962" s="380" t="s">
        <v>443</v>
      </c>
      <c r="O1962" s="380" t="s">
        <v>443</v>
      </c>
      <c r="P1962" s="380" t="s">
        <v>443</v>
      </c>
      <c r="Q1962" s="381">
        <v>424</v>
      </c>
      <c r="R1962" s="381">
        <v>0</v>
      </c>
      <c r="S1962" s="381">
        <v>0</v>
      </c>
      <c r="T1962" s="381">
        <v>0</v>
      </c>
      <c r="U1962" s="381">
        <v>0</v>
      </c>
      <c r="V1962" s="382">
        <v>424</v>
      </c>
      <c r="W1962" s="382">
        <v>0</v>
      </c>
      <c r="X1962" s="381">
        <v>0.17666666666666667</v>
      </c>
      <c r="Y1962" s="381">
        <v>0</v>
      </c>
      <c r="Z1962" s="381">
        <v>0</v>
      </c>
      <c r="AA1962" s="381">
        <v>0</v>
      </c>
      <c r="AB1962" s="381">
        <v>0</v>
      </c>
      <c r="AC1962" s="382">
        <v>0.17666666666666667</v>
      </c>
      <c r="AD1962" s="382">
        <v>0</v>
      </c>
      <c r="AE1962" s="381" t="s">
        <v>444</v>
      </c>
    </row>
    <row r="1963" spans="1:31" ht="15" customHeight="1" x14ac:dyDescent="0.25">
      <c r="A1963" s="20" t="s">
        <v>156</v>
      </c>
      <c r="B1963" s="20" t="s">
        <v>2656</v>
      </c>
      <c r="C1963" s="20" t="s">
        <v>2657</v>
      </c>
      <c r="D1963" s="378" t="s">
        <v>2697</v>
      </c>
      <c r="E1963" s="384">
        <v>44417</v>
      </c>
      <c r="F1963" s="384">
        <v>46357</v>
      </c>
      <c r="G1963" s="378" t="s">
        <v>439</v>
      </c>
      <c r="H1963" s="20" t="s">
        <v>817</v>
      </c>
      <c r="I1963" s="378" t="s">
        <v>814</v>
      </c>
      <c r="J1963" s="20" t="s">
        <v>163</v>
      </c>
      <c r="K1963" s="378" t="s">
        <v>818</v>
      </c>
      <c r="L1963" s="378" t="s">
        <v>165</v>
      </c>
      <c r="M1963" s="380">
        <v>2400</v>
      </c>
      <c r="N1963" s="380" t="s">
        <v>443</v>
      </c>
      <c r="O1963" s="380" t="s">
        <v>443</v>
      </c>
      <c r="P1963" s="380" t="s">
        <v>443</v>
      </c>
      <c r="Q1963" s="381">
        <v>318</v>
      </c>
      <c r="R1963" s="381">
        <v>0</v>
      </c>
      <c r="S1963" s="381">
        <v>0</v>
      </c>
      <c r="T1963" s="381">
        <v>0</v>
      </c>
      <c r="U1963" s="381">
        <v>0</v>
      </c>
      <c r="V1963" s="382">
        <v>318</v>
      </c>
      <c r="W1963" s="382">
        <v>0</v>
      </c>
      <c r="X1963" s="381">
        <v>0.13250000000000001</v>
      </c>
      <c r="Y1963" s="381">
        <v>0</v>
      </c>
      <c r="Z1963" s="381">
        <v>0</v>
      </c>
      <c r="AA1963" s="381">
        <v>0</v>
      </c>
      <c r="AB1963" s="381">
        <v>0</v>
      </c>
      <c r="AC1963" s="382">
        <v>0.13250000000000001</v>
      </c>
      <c r="AD1963" s="382">
        <v>0</v>
      </c>
      <c r="AE1963" s="381" t="s">
        <v>444</v>
      </c>
    </row>
    <row r="1964" spans="1:31" ht="15" customHeight="1" x14ac:dyDescent="0.25">
      <c r="A1964" s="20" t="s">
        <v>156</v>
      </c>
      <c r="B1964" s="20" t="s">
        <v>2656</v>
      </c>
      <c r="C1964" s="20" t="s">
        <v>2657</v>
      </c>
      <c r="D1964" s="378" t="s">
        <v>2698</v>
      </c>
      <c r="E1964" s="384">
        <v>44417</v>
      </c>
      <c r="F1964" s="384">
        <v>46357</v>
      </c>
      <c r="G1964" s="378" t="s">
        <v>439</v>
      </c>
      <c r="H1964" s="20" t="s">
        <v>817</v>
      </c>
      <c r="I1964" s="378" t="s">
        <v>814</v>
      </c>
      <c r="J1964" s="20" t="s">
        <v>163</v>
      </c>
      <c r="K1964" s="378" t="s">
        <v>818</v>
      </c>
      <c r="L1964" s="378" t="s">
        <v>165</v>
      </c>
      <c r="M1964" s="380">
        <v>2400</v>
      </c>
      <c r="N1964" s="380" t="s">
        <v>443</v>
      </c>
      <c r="O1964" s="380" t="s">
        <v>443</v>
      </c>
      <c r="P1964" s="380" t="s">
        <v>443</v>
      </c>
      <c r="Q1964" s="381">
        <v>415</v>
      </c>
      <c r="R1964" s="381">
        <v>0</v>
      </c>
      <c r="S1964" s="381">
        <v>0</v>
      </c>
      <c r="T1964" s="381">
        <v>0</v>
      </c>
      <c r="U1964" s="381">
        <v>0</v>
      </c>
      <c r="V1964" s="382">
        <v>415</v>
      </c>
      <c r="W1964" s="382">
        <v>0</v>
      </c>
      <c r="X1964" s="381">
        <v>0.17291666666666666</v>
      </c>
      <c r="Y1964" s="381">
        <v>0</v>
      </c>
      <c r="Z1964" s="381">
        <v>0</v>
      </c>
      <c r="AA1964" s="381">
        <v>0</v>
      </c>
      <c r="AB1964" s="381">
        <v>0</v>
      </c>
      <c r="AC1964" s="382">
        <v>0.17291666666666666</v>
      </c>
      <c r="AD1964" s="382">
        <v>0</v>
      </c>
      <c r="AE1964" s="381" t="s">
        <v>444</v>
      </c>
    </row>
    <row r="1965" spans="1:31" ht="15" customHeight="1" x14ac:dyDescent="0.25">
      <c r="A1965" s="20" t="s">
        <v>156</v>
      </c>
      <c r="B1965" s="20" t="s">
        <v>2656</v>
      </c>
      <c r="C1965" s="20" t="s">
        <v>2657</v>
      </c>
      <c r="D1965" s="378" t="s">
        <v>2699</v>
      </c>
      <c r="E1965" s="384">
        <v>44417</v>
      </c>
      <c r="F1965" s="384">
        <v>46357</v>
      </c>
      <c r="G1965" s="378" t="s">
        <v>439</v>
      </c>
      <c r="H1965" s="20" t="s">
        <v>817</v>
      </c>
      <c r="I1965" s="378" t="s">
        <v>814</v>
      </c>
      <c r="J1965" s="20" t="s">
        <v>163</v>
      </c>
      <c r="K1965" s="378" t="s">
        <v>818</v>
      </c>
      <c r="L1965" s="378" t="s">
        <v>165</v>
      </c>
      <c r="M1965" s="380">
        <v>2400</v>
      </c>
      <c r="N1965" s="380" t="s">
        <v>443</v>
      </c>
      <c r="O1965" s="380" t="s">
        <v>443</v>
      </c>
      <c r="P1965" s="380" t="s">
        <v>443</v>
      </c>
      <c r="Q1965" s="381">
        <v>657</v>
      </c>
      <c r="R1965" s="381">
        <v>0</v>
      </c>
      <c r="S1965" s="381">
        <v>0</v>
      </c>
      <c r="T1965" s="381">
        <v>0</v>
      </c>
      <c r="U1965" s="381">
        <v>0</v>
      </c>
      <c r="V1965" s="382">
        <v>657</v>
      </c>
      <c r="W1965" s="382">
        <v>0</v>
      </c>
      <c r="X1965" s="381">
        <v>0.27374999999999999</v>
      </c>
      <c r="Y1965" s="381">
        <v>0</v>
      </c>
      <c r="Z1965" s="381">
        <v>0</v>
      </c>
      <c r="AA1965" s="381">
        <v>0</v>
      </c>
      <c r="AB1965" s="381">
        <v>0</v>
      </c>
      <c r="AC1965" s="382">
        <v>0.27374999999999999</v>
      </c>
      <c r="AD1965" s="382">
        <v>0</v>
      </c>
      <c r="AE1965" s="381" t="s">
        <v>444</v>
      </c>
    </row>
    <row r="1966" spans="1:31" ht="15" customHeight="1" x14ac:dyDescent="0.25">
      <c r="A1966" s="20" t="s">
        <v>156</v>
      </c>
      <c r="B1966" s="20" t="s">
        <v>2656</v>
      </c>
      <c r="C1966" s="20" t="s">
        <v>2657</v>
      </c>
      <c r="D1966" s="378" t="s">
        <v>2700</v>
      </c>
      <c r="E1966" s="384">
        <v>44417</v>
      </c>
      <c r="F1966" s="384">
        <v>46357</v>
      </c>
      <c r="G1966" s="378" t="s">
        <v>439</v>
      </c>
      <c r="H1966" s="20" t="s">
        <v>817</v>
      </c>
      <c r="I1966" s="378" t="s">
        <v>814</v>
      </c>
      <c r="J1966" s="20" t="s">
        <v>163</v>
      </c>
      <c r="K1966" s="378" t="s">
        <v>818</v>
      </c>
      <c r="L1966" s="378" t="s">
        <v>165</v>
      </c>
      <c r="M1966" s="380">
        <v>2400</v>
      </c>
      <c r="N1966" s="380" t="s">
        <v>443</v>
      </c>
      <c r="O1966" s="380" t="s">
        <v>443</v>
      </c>
      <c r="P1966" s="380" t="s">
        <v>443</v>
      </c>
      <c r="Q1966" s="381">
        <v>496</v>
      </c>
      <c r="R1966" s="381">
        <v>0</v>
      </c>
      <c r="S1966" s="381">
        <v>0</v>
      </c>
      <c r="T1966" s="381">
        <v>0</v>
      </c>
      <c r="U1966" s="381">
        <v>0</v>
      </c>
      <c r="V1966" s="382">
        <v>496</v>
      </c>
      <c r="W1966" s="382">
        <v>0</v>
      </c>
      <c r="X1966" s="381">
        <v>0.20666666666666667</v>
      </c>
      <c r="Y1966" s="381">
        <v>0</v>
      </c>
      <c r="Z1966" s="381">
        <v>0</v>
      </c>
      <c r="AA1966" s="381">
        <v>0</v>
      </c>
      <c r="AB1966" s="381">
        <v>0</v>
      </c>
      <c r="AC1966" s="382">
        <v>0.20666666666666667</v>
      </c>
      <c r="AD1966" s="382">
        <v>0</v>
      </c>
      <c r="AE1966" s="381" t="s">
        <v>444</v>
      </c>
    </row>
    <row r="1967" spans="1:31" ht="15" customHeight="1" x14ac:dyDescent="0.25">
      <c r="A1967" s="20" t="s">
        <v>156</v>
      </c>
      <c r="B1967" s="20" t="s">
        <v>2656</v>
      </c>
      <c r="C1967" s="20" t="s">
        <v>2657</v>
      </c>
      <c r="D1967" s="378" t="s">
        <v>2701</v>
      </c>
      <c r="E1967" s="384">
        <v>44613</v>
      </c>
      <c r="F1967" s="384">
        <v>46439</v>
      </c>
      <c r="G1967" s="378" t="s">
        <v>439</v>
      </c>
      <c r="H1967" s="20" t="s">
        <v>455</v>
      </c>
      <c r="I1967" s="378" t="s">
        <v>162</v>
      </c>
      <c r="J1967" s="20" t="s">
        <v>163</v>
      </c>
      <c r="K1967" s="378" t="s">
        <v>476</v>
      </c>
      <c r="L1967" s="378" t="s">
        <v>165</v>
      </c>
      <c r="M1967" s="380">
        <v>2400</v>
      </c>
      <c r="N1967" s="380" t="s">
        <v>443</v>
      </c>
      <c r="O1967" s="380" t="s">
        <v>443</v>
      </c>
      <c r="P1967" s="380" t="s">
        <v>443</v>
      </c>
      <c r="Q1967" s="381">
        <v>507</v>
      </c>
      <c r="R1967" s="381">
        <v>0</v>
      </c>
      <c r="S1967" s="381">
        <v>0</v>
      </c>
      <c r="T1967" s="381">
        <v>0</v>
      </c>
      <c r="U1967" s="381">
        <v>0</v>
      </c>
      <c r="V1967" s="382">
        <v>507</v>
      </c>
      <c r="W1967" s="382">
        <v>0</v>
      </c>
      <c r="X1967" s="381">
        <v>0.21124999999999999</v>
      </c>
      <c r="Y1967" s="381">
        <v>0</v>
      </c>
      <c r="Z1967" s="381">
        <v>0</v>
      </c>
      <c r="AA1967" s="381">
        <v>0</v>
      </c>
      <c r="AB1967" s="381">
        <v>0</v>
      </c>
      <c r="AC1967" s="382">
        <v>0.21124999999999999</v>
      </c>
      <c r="AD1967" s="382">
        <v>0</v>
      </c>
      <c r="AE1967" s="381" t="s">
        <v>444</v>
      </c>
    </row>
    <row r="1968" spans="1:31" ht="15" customHeight="1" x14ac:dyDescent="0.25">
      <c r="A1968" s="20" t="s">
        <v>156</v>
      </c>
      <c r="B1968" s="20" t="s">
        <v>2656</v>
      </c>
      <c r="C1968" s="20" t="s">
        <v>2657</v>
      </c>
      <c r="D1968" s="378" t="s">
        <v>2701</v>
      </c>
      <c r="E1968" s="384">
        <v>44613</v>
      </c>
      <c r="F1968" s="384">
        <v>46439</v>
      </c>
      <c r="G1968" s="378" t="s">
        <v>439</v>
      </c>
      <c r="H1968" s="20" t="s">
        <v>455</v>
      </c>
      <c r="I1968" s="378" t="s">
        <v>162</v>
      </c>
      <c r="J1968" s="20" t="s">
        <v>163</v>
      </c>
      <c r="K1968" s="378" t="s">
        <v>476</v>
      </c>
      <c r="L1968" s="378" t="s">
        <v>165</v>
      </c>
      <c r="M1968" s="380">
        <v>2400</v>
      </c>
      <c r="N1968" s="380" t="s">
        <v>443</v>
      </c>
      <c r="O1968" s="380" t="s">
        <v>443</v>
      </c>
      <c r="P1968" s="380" t="s">
        <v>443</v>
      </c>
      <c r="Q1968" s="381">
        <v>507</v>
      </c>
      <c r="R1968" s="381">
        <v>0</v>
      </c>
      <c r="S1968" s="381">
        <v>0</v>
      </c>
      <c r="T1968" s="381">
        <v>0</v>
      </c>
      <c r="U1968" s="381">
        <v>0</v>
      </c>
      <c r="V1968" s="382">
        <v>507</v>
      </c>
      <c r="W1968" s="382">
        <v>0</v>
      </c>
      <c r="X1968" s="381">
        <v>0.21124999999999999</v>
      </c>
      <c r="Y1968" s="381">
        <v>0</v>
      </c>
      <c r="Z1968" s="381">
        <v>0</v>
      </c>
      <c r="AA1968" s="381">
        <v>0</v>
      </c>
      <c r="AB1968" s="381">
        <v>0</v>
      </c>
      <c r="AC1968" s="382">
        <v>0.21124999999999999</v>
      </c>
      <c r="AD1968" s="382">
        <v>0</v>
      </c>
      <c r="AE1968" s="381" t="s">
        <v>444</v>
      </c>
    </row>
    <row r="1969" spans="1:31" ht="15" customHeight="1" x14ac:dyDescent="0.25">
      <c r="A1969" s="20" t="s">
        <v>156</v>
      </c>
      <c r="B1969" s="20" t="s">
        <v>2656</v>
      </c>
      <c r="C1969" s="20" t="s">
        <v>2657</v>
      </c>
      <c r="D1969" s="378" t="s">
        <v>2701</v>
      </c>
      <c r="E1969" s="384">
        <v>44613</v>
      </c>
      <c r="F1969" s="384">
        <v>46439</v>
      </c>
      <c r="G1969" s="378" t="s">
        <v>439</v>
      </c>
      <c r="H1969" s="20" t="s">
        <v>455</v>
      </c>
      <c r="I1969" s="378" t="s">
        <v>162</v>
      </c>
      <c r="J1969" s="20" t="s">
        <v>163</v>
      </c>
      <c r="K1969" s="378" t="s">
        <v>476</v>
      </c>
      <c r="L1969" s="378" t="s">
        <v>165</v>
      </c>
      <c r="M1969" s="380">
        <v>2400</v>
      </c>
      <c r="N1969" s="380" t="s">
        <v>443</v>
      </c>
      <c r="O1969" s="380" t="s">
        <v>443</v>
      </c>
      <c r="P1969" s="380" t="s">
        <v>443</v>
      </c>
      <c r="Q1969" s="381">
        <v>507</v>
      </c>
      <c r="R1969" s="381">
        <v>0</v>
      </c>
      <c r="S1969" s="381">
        <v>0</v>
      </c>
      <c r="T1969" s="381">
        <v>0</v>
      </c>
      <c r="U1969" s="381">
        <v>0</v>
      </c>
      <c r="V1969" s="382">
        <v>507</v>
      </c>
      <c r="W1969" s="382">
        <v>0</v>
      </c>
      <c r="X1969" s="381">
        <v>0.21124999999999999</v>
      </c>
      <c r="Y1969" s="381">
        <v>0</v>
      </c>
      <c r="Z1969" s="381">
        <v>0</v>
      </c>
      <c r="AA1969" s="381">
        <v>0</v>
      </c>
      <c r="AB1969" s="381">
        <v>0</v>
      </c>
      <c r="AC1969" s="382">
        <v>0.21124999999999999</v>
      </c>
      <c r="AD1969" s="382">
        <v>0</v>
      </c>
      <c r="AE1969" s="381" t="s">
        <v>444</v>
      </c>
    </row>
    <row r="1970" spans="1:31" ht="15" customHeight="1" x14ac:dyDescent="0.25">
      <c r="A1970" s="20" t="s">
        <v>156</v>
      </c>
      <c r="B1970" s="20" t="s">
        <v>2656</v>
      </c>
      <c r="C1970" s="20" t="s">
        <v>2657</v>
      </c>
      <c r="D1970" s="378" t="s">
        <v>2701</v>
      </c>
      <c r="E1970" s="384">
        <v>44613</v>
      </c>
      <c r="F1970" s="384">
        <v>46439</v>
      </c>
      <c r="G1970" s="378" t="s">
        <v>439</v>
      </c>
      <c r="H1970" s="20" t="s">
        <v>455</v>
      </c>
      <c r="I1970" s="378" t="s">
        <v>162</v>
      </c>
      <c r="J1970" s="20" t="s">
        <v>163</v>
      </c>
      <c r="K1970" s="378" t="s">
        <v>476</v>
      </c>
      <c r="L1970" s="378" t="s">
        <v>165</v>
      </c>
      <c r="M1970" s="380">
        <v>2400</v>
      </c>
      <c r="N1970" s="380" t="s">
        <v>443</v>
      </c>
      <c r="O1970" s="380" t="s">
        <v>443</v>
      </c>
      <c r="P1970" s="380" t="s">
        <v>443</v>
      </c>
      <c r="Q1970" s="381">
        <v>507</v>
      </c>
      <c r="R1970" s="381">
        <v>0</v>
      </c>
      <c r="S1970" s="381">
        <v>0</v>
      </c>
      <c r="T1970" s="381">
        <v>0</v>
      </c>
      <c r="U1970" s="381">
        <v>0</v>
      </c>
      <c r="V1970" s="382">
        <v>507</v>
      </c>
      <c r="W1970" s="382">
        <v>0</v>
      </c>
      <c r="X1970" s="381">
        <v>0.21124999999999999</v>
      </c>
      <c r="Y1970" s="381">
        <v>0</v>
      </c>
      <c r="Z1970" s="381">
        <v>0</v>
      </c>
      <c r="AA1970" s="381">
        <v>0</v>
      </c>
      <c r="AB1970" s="381">
        <v>0</v>
      </c>
      <c r="AC1970" s="382">
        <v>0.21124999999999999</v>
      </c>
      <c r="AD1970" s="382">
        <v>0</v>
      </c>
      <c r="AE1970" s="381" t="s">
        <v>444</v>
      </c>
    </row>
    <row r="1971" spans="1:31" ht="15" customHeight="1" x14ac:dyDescent="0.25">
      <c r="A1971" s="20" t="s">
        <v>156</v>
      </c>
      <c r="B1971" s="20" t="s">
        <v>2656</v>
      </c>
      <c r="C1971" s="20" t="s">
        <v>2657</v>
      </c>
      <c r="D1971" s="378" t="s">
        <v>2701</v>
      </c>
      <c r="E1971" s="384">
        <v>44613</v>
      </c>
      <c r="F1971" s="384">
        <v>46439</v>
      </c>
      <c r="G1971" s="378" t="s">
        <v>439</v>
      </c>
      <c r="H1971" s="20" t="s">
        <v>455</v>
      </c>
      <c r="I1971" s="378" t="s">
        <v>162</v>
      </c>
      <c r="J1971" s="20" t="s">
        <v>163</v>
      </c>
      <c r="K1971" s="378" t="s">
        <v>476</v>
      </c>
      <c r="L1971" s="378" t="s">
        <v>165</v>
      </c>
      <c r="M1971" s="380">
        <v>2400</v>
      </c>
      <c r="N1971" s="380" t="s">
        <v>443</v>
      </c>
      <c r="O1971" s="380" t="s">
        <v>443</v>
      </c>
      <c r="P1971" s="380" t="s">
        <v>443</v>
      </c>
      <c r="Q1971" s="381">
        <v>507</v>
      </c>
      <c r="R1971" s="381">
        <v>0</v>
      </c>
      <c r="S1971" s="381">
        <v>0</v>
      </c>
      <c r="T1971" s="381">
        <v>0</v>
      </c>
      <c r="U1971" s="381">
        <v>0</v>
      </c>
      <c r="V1971" s="382">
        <v>507</v>
      </c>
      <c r="W1971" s="382">
        <v>0</v>
      </c>
      <c r="X1971" s="381">
        <v>0.21124999999999999</v>
      </c>
      <c r="Y1971" s="381">
        <v>0</v>
      </c>
      <c r="Z1971" s="381">
        <v>0</v>
      </c>
      <c r="AA1971" s="381">
        <v>0</v>
      </c>
      <c r="AB1971" s="381">
        <v>0</v>
      </c>
      <c r="AC1971" s="382">
        <v>0.21124999999999999</v>
      </c>
      <c r="AD1971" s="382">
        <v>0</v>
      </c>
      <c r="AE1971" s="381" t="s">
        <v>444</v>
      </c>
    </row>
    <row r="1972" spans="1:31" ht="15" customHeight="1" x14ac:dyDescent="0.25">
      <c r="A1972" s="20" t="s">
        <v>156</v>
      </c>
      <c r="B1972" s="20" t="s">
        <v>2656</v>
      </c>
      <c r="C1972" s="20" t="s">
        <v>2657</v>
      </c>
      <c r="D1972" s="378" t="s">
        <v>2701</v>
      </c>
      <c r="E1972" s="384">
        <v>44613</v>
      </c>
      <c r="F1972" s="384">
        <v>46439</v>
      </c>
      <c r="G1972" s="378" t="s">
        <v>439</v>
      </c>
      <c r="H1972" s="20" t="s">
        <v>455</v>
      </c>
      <c r="I1972" s="378" t="s">
        <v>162</v>
      </c>
      <c r="J1972" s="20" t="s">
        <v>163</v>
      </c>
      <c r="K1972" s="378" t="s">
        <v>476</v>
      </c>
      <c r="L1972" s="378" t="s">
        <v>165</v>
      </c>
      <c r="M1972" s="380">
        <v>2400</v>
      </c>
      <c r="N1972" s="380" t="s">
        <v>443</v>
      </c>
      <c r="O1972" s="380" t="s">
        <v>443</v>
      </c>
      <c r="P1972" s="380" t="s">
        <v>443</v>
      </c>
      <c r="Q1972" s="381">
        <v>507</v>
      </c>
      <c r="R1972" s="381">
        <v>0</v>
      </c>
      <c r="S1972" s="381">
        <v>0</v>
      </c>
      <c r="T1972" s="381">
        <v>0</v>
      </c>
      <c r="U1972" s="381">
        <v>0</v>
      </c>
      <c r="V1972" s="382">
        <v>507</v>
      </c>
      <c r="W1972" s="382">
        <v>0</v>
      </c>
      <c r="X1972" s="381">
        <v>0.21124999999999999</v>
      </c>
      <c r="Y1972" s="381">
        <v>0</v>
      </c>
      <c r="Z1972" s="381">
        <v>0</v>
      </c>
      <c r="AA1972" s="381">
        <v>0</v>
      </c>
      <c r="AB1972" s="381">
        <v>0</v>
      </c>
      <c r="AC1972" s="382">
        <v>0.21124999999999999</v>
      </c>
      <c r="AD1972" s="382">
        <v>0</v>
      </c>
      <c r="AE1972" s="381" t="s">
        <v>444</v>
      </c>
    </row>
    <row r="1973" spans="1:31" ht="15" customHeight="1" x14ac:dyDescent="0.25">
      <c r="A1973" s="20" t="s">
        <v>156</v>
      </c>
      <c r="B1973" s="20" t="s">
        <v>2656</v>
      </c>
      <c r="C1973" s="20" t="s">
        <v>2657</v>
      </c>
      <c r="D1973" s="378" t="s">
        <v>2701</v>
      </c>
      <c r="E1973" s="384">
        <v>44613</v>
      </c>
      <c r="F1973" s="384">
        <v>46439</v>
      </c>
      <c r="G1973" s="378" t="s">
        <v>439</v>
      </c>
      <c r="H1973" s="20" t="s">
        <v>455</v>
      </c>
      <c r="I1973" s="378" t="s">
        <v>162</v>
      </c>
      <c r="J1973" s="20" t="s">
        <v>163</v>
      </c>
      <c r="K1973" s="378" t="s">
        <v>476</v>
      </c>
      <c r="L1973" s="378" t="s">
        <v>165</v>
      </c>
      <c r="M1973" s="380">
        <v>2400</v>
      </c>
      <c r="N1973" s="380" t="s">
        <v>443</v>
      </c>
      <c r="O1973" s="380" t="s">
        <v>443</v>
      </c>
      <c r="P1973" s="380" t="s">
        <v>443</v>
      </c>
      <c r="Q1973" s="381">
        <v>507</v>
      </c>
      <c r="R1973" s="381">
        <v>0</v>
      </c>
      <c r="S1973" s="381">
        <v>0</v>
      </c>
      <c r="T1973" s="381">
        <v>0</v>
      </c>
      <c r="U1973" s="381">
        <v>0</v>
      </c>
      <c r="V1973" s="382">
        <v>507</v>
      </c>
      <c r="W1973" s="382">
        <v>0</v>
      </c>
      <c r="X1973" s="381">
        <v>0.21124999999999999</v>
      </c>
      <c r="Y1973" s="381">
        <v>0</v>
      </c>
      <c r="Z1973" s="381">
        <v>0</v>
      </c>
      <c r="AA1973" s="381">
        <v>0</v>
      </c>
      <c r="AB1973" s="381">
        <v>0</v>
      </c>
      <c r="AC1973" s="382">
        <v>0.21124999999999999</v>
      </c>
      <c r="AD1973" s="382">
        <v>0</v>
      </c>
      <c r="AE1973" s="381" t="s">
        <v>444</v>
      </c>
    </row>
    <row r="1974" spans="1:31" ht="15" customHeight="1" x14ac:dyDescent="0.25">
      <c r="A1974" s="20" t="s">
        <v>156</v>
      </c>
      <c r="B1974" s="20" t="s">
        <v>2656</v>
      </c>
      <c r="C1974" s="20" t="s">
        <v>2657</v>
      </c>
      <c r="D1974" s="378" t="s">
        <v>2702</v>
      </c>
      <c r="E1974" s="384">
        <v>45292</v>
      </c>
      <c r="F1974" s="384">
        <v>47119</v>
      </c>
      <c r="G1974" s="378" t="s">
        <v>439</v>
      </c>
      <c r="H1974" s="20" t="s">
        <v>2703</v>
      </c>
      <c r="I1974" s="378" t="s">
        <v>441</v>
      </c>
      <c r="J1974" s="20" t="s">
        <v>163</v>
      </c>
      <c r="K1974" s="378" t="s">
        <v>2704</v>
      </c>
      <c r="L1974" s="378" t="s">
        <v>165</v>
      </c>
      <c r="M1974" s="380" t="s">
        <v>488</v>
      </c>
      <c r="N1974" s="380" t="s">
        <v>443</v>
      </c>
      <c r="O1974" s="380" t="s">
        <v>443</v>
      </c>
      <c r="P1974" s="380" t="s">
        <v>443</v>
      </c>
      <c r="Q1974" s="381">
        <v>504.19148999999999</v>
      </c>
      <c r="R1974" s="381">
        <v>503.56245999999999</v>
      </c>
      <c r="S1974" s="381">
        <v>0.62168721000000005</v>
      </c>
      <c r="T1974" s="381">
        <v>7.3466879000000001E-3</v>
      </c>
      <c r="U1974" s="381">
        <v>0</v>
      </c>
      <c r="V1974" s="382">
        <v>504.19149389789999</v>
      </c>
      <c r="W1974" s="382">
        <v>0</v>
      </c>
      <c r="X1974" s="381">
        <v>0.2100797875</v>
      </c>
      <c r="Y1974" s="381">
        <v>0.20981769166666667</v>
      </c>
      <c r="Z1974" s="381">
        <v>2.5903633750000004E-4</v>
      </c>
      <c r="AA1974" s="381">
        <v>3.0611199583333333E-6</v>
      </c>
      <c r="AB1974" s="381">
        <v>0</v>
      </c>
      <c r="AC1974" s="382">
        <v>0.21007978912412498</v>
      </c>
      <c r="AD1974" s="382">
        <v>0</v>
      </c>
      <c r="AE1974" s="381" t="s">
        <v>444</v>
      </c>
    </row>
    <row r="1975" spans="1:31" ht="15" customHeight="1" x14ac:dyDescent="0.25">
      <c r="A1975" s="20" t="s">
        <v>156</v>
      </c>
      <c r="B1975" s="20" t="s">
        <v>2656</v>
      </c>
      <c r="C1975" s="20" t="s">
        <v>2657</v>
      </c>
      <c r="D1975" s="378" t="s">
        <v>2705</v>
      </c>
      <c r="E1975" s="384">
        <v>45292</v>
      </c>
      <c r="F1975" s="384">
        <v>47119</v>
      </c>
      <c r="G1975" s="378" t="s">
        <v>439</v>
      </c>
      <c r="H1975" s="20" t="s">
        <v>2706</v>
      </c>
      <c r="I1975" s="378" t="s">
        <v>441</v>
      </c>
      <c r="J1975" s="20" t="s">
        <v>163</v>
      </c>
      <c r="K1975" s="378" t="s">
        <v>2707</v>
      </c>
      <c r="L1975" s="378" t="s">
        <v>165</v>
      </c>
      <c r="M1975" s="380" t="s">
        <v>488</v>
      </c>
      <c r="N1975" s="380" t="s">
        <v>443</v>
      </c>
      <c r="O1975" s="380" t="s">
        <v>443</v>
      </c>
      <c r="P1975" s="380" t="s">
        <v>443</v>
      </c>
      <c r="Q1975" s="381">
        <v>499.97269</v>
      </c>
      <c r="R1975" s="381">
        <v>499.34534000000002</v>
      </c>
      <c r="S1975" s="381">
        <v>0.61998271999999999</v>
      </c>
      <c r="T1975" s="381">
        <v>7.3709589000000002E-3</v>
      </c>
      <c r="U1975" s="381">
        <v>0</v>
      </c>
      <c r="V1975" s="382">
        <v>499.97269367890004</v>
      </c>
      <c r="W1975" s="382">
        <v>0</v>
      </c>
      <c r="X1975" s="381">
        <v>0.20832195416666666</v>
      </c>
      <c r="Y1975" s="381">
        <v>0.20806055833333334</v>
      </c>
      <c r="Z1975" s="381">
        <v>2.5832613333333333E-4</v>
      </c>
      <c r="AA1975" s="381">
        <v>3.0712328750000003E-6</v>
      </c>
      <c r="AB1975" s="381">
        <v>0</v>
      </c>
      <c r="AC1975" s="382">
        <v>0.20832195569954165</v>
      </c>
      <c r="AD1975" s="382">
        <v>0</v>
      </c>
      <c r="AE1975" s="381" t="s">
        <v>444</v>
      </c>
    </row>
    <row r="1976" spans="1:31" ht="15" customHeight="1" x14ac:dyDescent="0.25">
      <c r="A1976" s="20" t="s">
        <v>156</v>
      </c>
      <c r="B1976" s="20" t="s">
        <v>2656</v>
      </c>
      <c r="C1976" s="20" t="s">
        <v>2657</v>
      </c>
      <c r="D1976" s="378" t="s">
        <v>2708</v>
      </c>
      <c r="E1976" s="384">
        <v>45292</v>
      </c>
      <c r="F1976" s="384">
        <v>47119</v>
      </c>
      <c r="G1976" s="378" t="s">
        <v>439</v>
      </c>
      <c r="H1976" s="20" t="s">
        <v>2709</v>
      </c>
      <c r="I1976" s="378" t="s">
        <v>441</v>
      </c>
      <c r="J1976" s="20" t="s">
        <v>163</v>
      </c>
      <c r="K1976" s="378" t="s">
        <v>2710</v>
      </c>
      <c r="L1976" s="378" t="s">
        <v>165</v>
      </c>
      <c r="M1976" s="380" t="s">
        <v>488</v>
      </c>
      <c r="N1976" s="380" t="s">
        <v>443</v>
      </c>
      <c r="O1976" s="380" t="s">
        <v>443</v>
      </c>
      <c r="P1976" s="380" t="s">
        <v>443</v>
      </c>
      <c r="Q1976" s="381">
        <v>338.61946999999998</v>
      </c>
      <c r="R1976" s="381">
        <v>338.04449</v>
      </c>
      <c r="S1976" s="381">
        <v>0.57085019000000004</v>
      </c>
      <c r="T1976" s="381">
        <v>4.1347207000000004E-3</v>
      </c>
      <c r="U1976" s="381">
        <v>0</v>
      </c>
      <c r="V1976" s="382">
        <v>338.61947491069998</v>
      </c>
      <c r="W1976" s="382">
        <v>0</v>
      </c>
      <c r="X1976" s="381">
        <v>0.14109144583333333</v>
      </c>
      <c r="Y1976" s="381">
        <v>0.14085187083333334</v>
      </c>
      <c r="Z1976" s="381">
        <v>2.3785424583333333E-4</v>
      </c>
      <c r="AA1976" s="381">
        <v>1.7228002916666667E-6</v>
      </c>
      <c r="AB1976" s="381">
        <v>0</v>
      </c>
      <c r="AC1976" s="382">
        <v>0.14109144787945835</v>
      </c>
      <c r="AD1976" s="382">
        <v>0</v>
      </c>
      <c r="AE1976" s="381" t="s">
        <v>444</v>
      </c>
    </row>
    <row r="1977" spans="1:31" ht="15" customHeight="1" x14ac:dyDescent="0.25">
      <c r="A1977" s="20" t="s">
        <v>156</v>
      </c>
      <c r="B1977" s="20" t="s">
        <v>2656</v>
      </c>
      <c r="C1977" s="20" t="s">
        <v>2657</v>
      </c>
      <c r="D1977" s="378" t="s">
        <v>2711</v>
      </c>
      <c r="E1977" s="384">
        <v>45292</v>
      </c>
      <c r="F1977" s="384">
        <v>47119</v>
      </c>
      <c r="G1977" s="378" t="s">
        <v>439</v>
      </c>
      <c r="H1977" s="20" t="s">
        <v>2712</v>
      </c>
      <c r="I1977" s="378" t="s">
        <v>441</v>
      </c>
      <c r="J1977" s="20" t="s">
        <v>163</v>
      </c>
      <c r="K1977" s="378" t="s">
        <v>2713</v>
      </c>
      <c r="L1977" s="378" t="s">
        <v>165</v>
      </c>
      <c r="M1977" s="380" t="s">
        <v>488</v>
      </c>
      <c r="N1977" s="380" t="s">
        <v>443</v>
      </c>
      <c r="O1977" s="380" t="s">
        <v>443</v>
      </c>
      <c r="P1977" s="380" t="s">
        <v>443</v>
      </c>
      <c r="Q1977" s="381">
        <v>326.38474000000002</v>
      </c>
      <c r="R1977" s="381">
        <v>325.87326999999999</v>
      </c>
      <c r="S1977" s="381">
        <v>0.50809709000000003</v>
      </c>
      <c r="T1977" s="381">
        <v>3.3716711000000002E-3</v>
      </c>
      <c r="U1977" s="381">
        <v>0</v>
      </c>
      <c r="V1977" s="382">
        <v>326.38473876109998</v>
      </c>
      <c r="W1977" s="382">
        <v>0</v>
      </c>
      <c r="X1977" s="381">
        <v>0.13599364166666666</v>
      </c>
      <c r="Y1977" s="381">
        <v>0.13578052916666666</v>
      </c>
      <c r="Z1977" s="381">
        <v>2.1170712083333335E-4</v>
      </c>
      <c r="AA1977" s="381">
        <v>1.4048629583333335E-6</v>
      </c>
      <c r="AB1977" s="381">
        <v>0</v>
      </c>
      <c r="AC1977" s="382">
        <v>0.13599364115045831</v>
      </c>
      <c r="AD1977" s="382">
        <v>0</v>
      </c>
      <c r="AE1977" s="381" t="s">
        <v>444</v>
      </c>
    </row>
    <row r="1978" spans="1:31" ht="15" customHeight="1" x14ac:dyDescent="0.25">
      <c r="A1978" s="20" t="s">
        <v>156</v>
      </c>
      <c r="B1978" s="20" t="s">
        <v>2656</v>
      </c>
      <c r="C1978" s="20" t="s">
        <v>2657</v>
      </c>
      <c r="D1978" s="378" t="s">
        <v>2714</v>
      </c>
      <c r="E1978" s="384">
        <v>45292</v>
      </c>
      <c r="F1978" s="384">
        <v>47119</v>
      </c>
      <c r="G1978" s="378" t="s">
        <v>439</v>
      </c>
      <c r="H1978" s="20" t="s">
        <v>2715</v>
      </c>
      <c r="I1978" s="378" t="s">
        <v>441</v>
      </c>
      <c r="J1978" s="20" t="s">
        <v>163</v>
      </c>
      <c r="K1978" s="378" t="s">
        <v>2716</v>
      </c>
      <c r="L1978" s="378" t="s">
        <v>165</v>
      </c>
      <c r="M1978" s="380" t="s">
        <v>488</v>
      </c>
      <c r="N1978" s="380" t="s">
        <v>443</v>
      </c>
      <c r="O1978" s="380" t="s">
        <v>443</v>
      </c>
      <c r="P1978" s="380" t="s">
        <v>443</v>
      </c>
      <c r="Q1978" s="381">
        <v>328.88751999999999</v>
      </c>
      <c r="R1978" s="381">
        <v>328.44655</v>
      </c>
      <c r="S1978" s="381">
        <v>0.43845583999999999</v>
      </c>
      <c r="T1978" s="381">
        <v>2.5172132E-3</v>
      </c>
      <c r="U1978" s="381">
        <v>0</v>
      </c>
      <c r="V1978" s="382">
        <v>328.88752305320003</v>
      </c>
      <c r="W1978" s="382">
        <v>0</v>
      </c>
      <c r="X1978" s="381">
        <v>0.13703646666666666</v>
      </c>
      <c r="Y1978" s="381">
        <v>0.13685272916666666</v>
      </c>
      <c r="Z1978" s="381">
        <v>1.8268993333333332E-4</v>
      </c>
      <c r="AA1978" s="381">
        <v>1.0488388333333333E-6</v>
      </c>
      <c r="AB1978" s="381">
        <v>0</v>
      </c>
      <c r="AC1978" s="382">
        <v>0.13703646793883334</v>
      </c>
      <c r="AD1978" s="382">
        <v>0</v>
      </c>
      <c r="AE1978" s="381" t="s">
        <v>444</v>
      </c>
    </row>
    <row r="1979" spans="1:31" ht="15" customHeight="1" x14ac:dyDescent="0.25">
      <c r="A1979" s="20" t="s">
        <v>156</v>
      </c>
      <c r="B1979" s="20" t="s">
        <v>2656</v>
      </c>
      <c r="C1979" s="20" t="s">
        <v>2657</v>
      </c>
      <c r="D1979" s="378" t="s">
        <v>2717</v>
      </c>
      <c r="E1979" s="384">
        <v>45292</v>
      </c>
      <c r="F1979" s="384">
        <v>47119</v>
      </c>
      <c r="G1979" s="378" t="s">
        <v>439</v>
      </c>
      <c r="H1979" s="20" t="s">
        <v>2718</v>
      </c>
      <c r="I1979" s="378" t="s">
        <v>441</v>
      </c>
      <c r="J1979" s="20" t="s">
        <v>163</v>
      </c>
      <c r="K1979" s="378" t="s">
        <v>2719</v>
      </c>
      <c r="L1979" s="378" t="s">
        <v>165</v>
      </c>
      <c r="M1979" s="380" t="s">
        <v>488</v>
      </c>
      <c r="N1979" s="380" t="s">
        <v>443</v>
      </c>
      <c r="O1979" s="380" t="s">
        <v>443</v>
      </c>
      <c r="P1979" s="380" t="s">
        <v>443</v>
      </c>
      <c r="Q1979" s="381">
        <v>362.85212000000001</v>
      </c>
      <c r="R1979" s="381">
        <v>362.41870999999998</v>
      </c>
      <c r="S1979" s="381">
        <v>0.43134735000000002</v>
      </c>
      <c r="T1979" s="381">
        <v>2.0601435000000001E-3</v>
      </c>
      <c r="U1979" s="381">
        <v>0</v>
      </c>
      <c r="V1979" s="382">
        <v>362.85211749349997</v>
      </c>
      <c r="W1979" s="382">
        <v>0</v>
      </c>
      <c r="X1979" s="381">
        <v>0.15118838333333334</v>
      </c>
      <c r="Y1979" s="381">
        <v>0.15100779583333332</v>
      </c>
      <c r="Z1979" s="381">
        <v>1.7972806250000001E-4</v>
      </c>
      <c r="AA1979" s="381">
        <v>8.5839312500000006E-7</v>
      </c>
      <c r="AB1979" s="381">
        <v>0</v>
      </c>
      <c r="AC1979" s="382">
        <v>0.15118838228895831</v>
      </c>
      <c r="AD1979" s="382">
        <v>0</v>
      </c>
      <c r="AE1979" s="381" t="s">
        <v>444</v>
      </c>
    </row>
    <row r="1980" spans="1:31" ht="15" customHeight="1" x14ac:dyDescent="0.25">
      <c r="A1980" s="20" t="s">
        <v>156</v>
      </c>
      <c r="B1980" s="20" t="s">
        <v>2656</v>
      </c>
      <c r="C1980" s="20" t="s">
        <v>2657</v>
      </c>
      <c r="D1980" s="378" t="s">
        <v>2720</v>
      </c>
      <c r="E1980" s="384">
        <v>45292</v>
      </c>
      <c r="F1980" s="384">
        <v>47119</v>
      </c>
      <c r="G1980" s="378" t="s">
        <v>439</v>
      </c>
      <c r="H1980" s="20" t="s">
        <v>2721</v>
      </c>
      <c r="I1980" s="378" t="s">
        <v>441</v>
      </c>
      <c r="J1980" s="20" t="s">
        <v>163</v>
      </c>
      <c r="K1980" s="378" t="s">
        <v>2722</v>
      </c>
      <c r="L1980" s="378" t="s">
        <v>165</v>
      </c>
      <c r="M1980" s="380" t="s">
        <v>488</v>
      </c>
      <c r="N1980" s="380" t="s">
        <v>443</v>
      </c>
      <c r="O1980" s="380" t="s">
        <v>443</v>
      </c>
      <c r="P1980" s="380" t="s">
        <v>443</v>
      </c>
      <c r="Q1980" s="381">
        <v>311.50277</v>
      </c>
      <c r="R1980" s="381">
        <v>311.12560000000002</v>
      </c>
      <c r="S1980" s="381">
        <v>0.37537222999999997</v>
      </c>
      <c r="T1980" s="381">
        <v>1.7941083000000001E-3</v>
      </c>
      <c r="U1980" s="381">
        <v>0</v>
      </c>
      <c r="V1980" s="382">
        <v>311.50276633829998</v>
      </c>
      <c r="W1980" s="382">
        <v>0</v>
      </c>
      <c r="X1980" s="381">
        <v>0.12979282083333332</v>
      </c>
      <c r="Y1980" s="381">
        <v>0.12963566666666668</v>
      </c>
      <c r="Z1980" s="381">
        <v>1.5640509583333333E-4</v>
      </c>
      <c r="AA1980" s="381">
        <v>7.4754512500000004E-7</v>
      </c>
      <c r="AB1980" s="381">
        <v>0</v>
      </c>
      <c r="AC1980" s="382">
        <v>0.12979281930762501</v>
      </c>
      <c r="AD1980" s="382">
        <v>0</v>
      </c>
      <c r="AE1980" s="381" t="s">
        <v>444</v>
      </c>
    </row>
    <row r="1981" spans="1:31" ht="15" customHeight="1" x14ac:dyDescent="0.25">
      <c r="A1981" s="20" t="s">
        <v>156</v>
      </c>
      <c r="B1981" s="20" t="s">
        <v>2656</v>
      </c>
      <c r="C1981" s="20" t="s">
        <v>2657</v>
      </c>
      <c r="D1981" s="378" t="s">
        <v>2723</v>
      </c>
      <c r="E1981" s="384">
        <v>45292</v>
      </c>
      <c r="F1981" s="384">
        <v>47119</v>
      </c>
      <c r="G1981" s="378" t="s">
        <v>439</v>
      </c>
      <c r="H1981" s="20" t="s">
        <v>2724</v>
      </c>
      <c r="I1981" s="378" t="s">
        <v>441</v>
      </c>
      <c r="J1981" s="20" t="s">
        <v>163</v>
      </c>
      <c r="K1981" s="378" t="s">
        <v>2725</v>
      </c>
      <c r="L1981" s="378" t="s">
        <v>165</v>
      </c>
      <c r="M1981" s="380" t="s">
        <v>488</v>
      </c>
      <c r="N1981" s="380" t="s">
        <v>443</v>
      </c>
      <c r="O1981" s="380" t="s">
        <v>443</v>
      </c>
      <c r="P1981" s="380" t="s">
        <v>443</v>
      </c>
      <c r="Q1981" s="381">
        <v>345.69134000000003</v>
      </c>
      <c r="R1981" s="381">
        <v>345.34563000000003</v>
      </c>
      <c r="S1981" s="381">
        <v>0.34467579999999998</v>
      </c>
      <c r="T1981" s="381">
        <v>1.0317814E-3</v>
      </c>
      <c r="U1981" s="381">
        <v>0</v>
      </c>
      <c r="V1981" s="382">
        <v>345.69133758140003</v>
      </c>
      <c r="W1981" s="382">
        <v>0</v>
      </c>
      <c r="X1981" s="381">
        <v>0.14403805833333336</v>
      </c>
      <c r="Y1981" s="381">
        <v>0.1438940125</v>
      </c>
      <c r="Z1981" s="381">
        <v>1.4361491666666667E-4</v>
      </c>
      <c r="AA1981" s="381">
        <v>4.2990891666666665E-7</v>
      </c>
      <c r="AB1981" s="381">
        <v>0</v>
      </c>
      <c r="AC1981" s="382">
        <v>0.14403805732558334</v>
      </c>
      <c r="AD1981" s="382">
        <v>0</v>
      </c>
      <c r="AE1981" s="381" t="s">
        <v>444</v>
      </c>
    </row>
    <row r="1982" spans="1:31" ht="15" customHeight="1" x14ac:dyDescent="0.25">
      <c r="A1982" s="20" t="s">
        <v>156</v>
      </c>
      <c r="B1982" s="20" t="s">
        <v>2656</v>
      </c>
      <c r="C1982" s="20" t="s">
        <v>2657</v>
      </c>
      <c r="D1982" s="378" t="s">
        <v>2726</v>
      </c>
      <c r="E1982" s="384">
        <v>45292</v>
      </c>
      <c r="F1982" s="384">
        <v>47119</v>
      </c>
      <c r="G1982" s="378" t="s">
        <v>439</v>
      </c>
      <c r="H1982" s="20" t="s">
        <v>2727</v>
      </c>
      <c r="I1982" s="378" t="s">
        <v>441</v>
      </c>
      <c r="J1982" s="20" t="s">
        <v>163</v>
      </c>
      <c r="K1982" s="378" t="s">
        <v>2728</v>
      </c>
      <c r="L1982" s="378" t="s">
        <v>165</v>
      </c>
      <c r="M1982" s="380" t="s">
        <v>488</v>
      </c>
      <c r="N1982" s="380" t="s">
        <v>443</v>
      </c>
      <c r="O1982" s="380" t="s">
        <v>443</v>
      </c>
      <c r="P1982" s="380" t="s">
        <v>443</v>
      </c>
      <c r="Q1982" s="381">
        <v>383.43594999999999</v>
      </c>
      <c r="R1982" s="381">
        <v>383.17961000000003</v>
      </c>
      <c r="S1982" s="381">
        <v>0.25213797999999998</v>
      </c>
      <c r="T1982" s="381">
        <v>4.1995230999999997E-3</v>
      </c>
      <c r="U1982" s="381">
        <v>0</v>
      </c>
      <c r="V1982" s="382">
        <v>383.43594750310001</v>
      </c>
      <c r="W1982" s="382">
        <v>0</v>
      </c>
      <c r="X1982" s="381">
        <v>0.15976497916666665</v>
      </c>
      <c r="Y1982" s="381">
        <v>0.15965817083333333</v>
      </c>
      <c r="Z1982" s="381">
        <v>1.0505749166666666E-4</v>
      </c>
      <c r="AA1982" s="381">
        <v>1.7498012916666665E-6</v>
      </c>
      <c r="AB1982" s="381">
        <v>0</v>
      </c>
      <c r="AC1982" s="382">
        <v>0.15976497812629167</v>
      </c>
      <c r="AD1982" s="382">
        <v>0</v>
      </c>
      <c r="AE1982" s="381" t="s">
        <v>444</v>
      </c>
    </row>
    <row r="1983" spans="1:31" ht="15" customHeight="1" x14ac:dyDescent="0.25">
      <c r="A1983" s="20" t="s">
        <v>156</v>
      </c>
      <c r="B1983" s="20" t="s">
        <v>2656</v>
      </c>
      <c r="C1983" s="20" t="s">
        <v>2657</v>
      </c>
      <c r="D1983" s="378" t="s">
        <v>2729</v>
      </c>
      <c r="E1983" s="384">
        <v>45292</v>
      </c>
      <c r="F1983" s="384">
        <v>47119</v>
      </c>
      <c r="G1983" s="378" t="s">
        <v>439</v>
      </c>
      <c r="H1983" s="20" t="s">
        <v>2730</v>
      </c>
      <c r="I1983" s="378" t="s">
        <v>441</v>
      </c>
      <c r="J1983" s="20" t="s">
        <v>163</v>
      </c>
      <c r="K1983" s="378" t="s">
        <v>2731</v>
      </c>
      <c r="L1983" s="378" t="s">
        <v>165</v>
      </c>
      <c r="M1983" s="380" t="s">
        <v>488</v>
      </c>
      <c r="N1983" s="380" t="s">
        <v>443</v>
      </c>
      <c r="O1983" s="380" t="s">
        <v>443</v>
      </c>
      <c r="P1983" s="380" t="s">
        <v>443</v>
      </c>
      <c r="Q1983" s="381">
        <v>596.66873999999996</v>
      </c>
      <c r="R1983" s="381">
        <v>596.46217999999999</v>
      </c>
      <c r="S1983" s="381">
        <v>0.19781887000000001</v>
      </c>
      <c r="T1983" s="381">
        <v>8.7439884999999992E-3</v>
      </c>
      <c r="U1983" s="381">
        <v>0</v>
      </c>
      <c r="V1983" s="382">
        <v>596.66874285849997</v>
      </c>
      <c r="W1983" s="382">
        <v>0</v>
      </c>
      <c r="X1983" s="381">
        <v>0.24861197499999999</v>
      </c>
      <c r="Y1983" s="381">
        <v>0.24852590833333332</v>
      </c>
      <c r="Z1983" s="381">
        <v>8.2424529166666671E-5</v>
      </c>
      <c r="AA1983" s="381">
        <v>3.6433285416666662E-6</v>
      </c>
      <c r="AB1983" s="381">
        <v>0</v>
      </c>
      <c r="AC1983" s="382">
        <v>0.24861197619104167</v>
      </c>
      <c r="AD1983" s="382">
        <v>0</v>
      </c>
      <c r="AE1983" s="381" t="s">
        <v>444</v>
      </c>
    </row>
    <row r="1984" spans="1:31" ht="15" customHeight="1" x14ac:dyDescent="0.25">
      <c r="A1984" s="20" t="s">
        <v>156</v>
      </c>
      <c r="B1984" s="20" t="s">
        <v>2656</v>
      </c>
      <c r="C1984" s="20" t="s">
        <v>2657</v>
      </c>
      <c r="D1984" s="378" t="s">
        <v>2732</v>
      </c>
      <c r="E1984" s="384">
        <v>45292</v>
      </c>
      <c r="F1984" s="384">
        <v>47119</v>
      </c>
      <c r="G1984" s="378" t="s">
        <v>439</v>
      </c>
      <c r="H1984" s="20" t="s">
        <v>2733</v>
      </c>
      <c r="I1984" s="378" t="s">
        <v>441</v>
      </c>
      <c r="J1984" s="20" t="s">
        <v>163</v>
      </c>
      <c r="K1984" s="378" t="s">
        <v>2734</v>
      </c>
      <c r="L1984" s="378" t="s">
        <v>165</v>
      </c>
      <c r="M1984" s="380" t="s">
        <v>488</v>
      </c>
      <c r="N1984" s="380" t="s">
        <v>443</v>
      </c>
      <c r="O1984" s="380" t="s">
        <v>443</v>
      </c>
      <c r="P1984" s="380" t="s">
        <v>443</v>
      </c>
      <c r="Q1984" s="381">
        <v>424.94409999999999</v>
      </c>
      <c r="R1984" s="381">
        <v>424.77292</v>
      </c>
      <c r="S1984" s="381">
        <v>0.14075162999999999</v>
      </c>
      <c r="T1984" s="381">
        <v>3.0429878E-2</v>
      </c>
      <c r="U1984" s="381">
        <v>0</v>
      </c>
      <c r="V1984" s="382">
        <v>424.94410150800002</v>
      </c>
      <c r="W1984" s="382">
        <v>0</v>
      </c>
      <c r="X1984" s="381">
        <v>0.17706004166666667</v>
      </c>
      <c r="Y1984" s="381">
        <v>0.17698871666666666</v>
      </c>
      <c r="Z1984" s="381">
        <v>5.8646512499999992E-5</v>
      </c>
      <c r="AA1984" s="381">
        <v>1.2679115833333334E-5</v>
      </c>
      <c r="AB1984" s="381">
        <v>0</v>
      </c>
      <c r="AC1984" s="382">
        <v>0.177060042295</v>
      </c>
      <c r="AD1984" s="382">
        <v>0</v>
      </c>
      <c r="AE1984" s="381" t="s">
        <v>444</v>
      </c>
    </row>
    <row r="1985" spans="1:31" ht="15" customHeight="1" x14ac:dyDescent="0.25">
      <c r="A1985" s="20" t="s">
        <v>156</v>
      </c>
      <c r="B1985" s="20" t="s">
        <v>2656</v>
      </c>
      <c r="C1985" s="20" t="s">
        <v>2657</v>
      </c>
      <c r="D1985" s="378" t="s">
        <v>2735</v>
      </c>
      <c r="E1985" s="384">
        <v>45292</v>
      </c>
      <c r="F1985" s="384">
        <v>47119</v>
      </c>
      <c r="G1985" s="378" t="s">
        <v>439</v>
      </c>
      <c r="H1985" s="20" t="s">
        <v>2736</v>
      </c>
      <c r="I1985" s="378" t="s">
        <v>441</v>
      </c>
      <c r="J1985" s="20" t="s">
        <v>163</v>
      </c>
      <c r="K1985" s="378" t="s">
        <v>2737</v>
      </c>
      <c r="L1985" s="378" t="s">
        <v>165</v>
      </c>
      <c r="M1985" s="380" t="s">
        <v>488</v>
      </c>
      <c r="N1985" s="380" t="s">
        <v>443</v>
      </c>
      <c r="O1985" s="380" t="s">
        <v>443</v>
      </c>
      <c r="P1985" s="380" t="s">
        <v>443</v>
      </c>
      <c r="Q1985" s="381">
        <v>428.92989</v>
      </c>
      <c r="R1985" s="381">
        <v>428.75905999999998</v>
      </c>
      <c r="S1985" s="381">
        <v>0.14006826</v>
      </c>
      <c r="T1985" s="381">
        <v>3.0767623000000001E-2</v>
      </c>
      <c r="U1985" s="381">
        <v>0</v>
      </c>
      <c r="V1985" s="382">
        <v>428.92989588299997</v>
      </c>
      <c r="W1985" s="382">
        <v>0</v>
      </c>
      <c r="X1985" s="381">
        <v>0.17872078750000001</v>
      </c>
      <c r="Y1985" s="381">
        <v>0.17864960833333332</v>
      </c>
      <c r="Z1985" s="381">
        <v>5.8361774999999999E-5</v>
      </c>
      <c r="AA1985" s="381">
        <v>1.2819842916666667E-5</v>
      </c>
      <c r="AB1985" s="381">
        <v>0</v>
      </c>
      <c r="AC1985" s="382">
        <v>0.17872078995124999</v>
      </c>
      <c r="AD1985" s="382">
        <v>0</v>
      </c>
      <c r="AE1985" s="381" t="s">
        <v>444</v>
      </c>
    </row>
    <row r="1986" spans="1:31" ht="15" customHeight="1" x14ac:dyDescent="0.25">
      <c r="A1986" s="20" t="s">
        <v>156</v>
      </c>
      <c r="B1986" s="20" t="s">
        <v>2656</v>
      </c>
      <c r="C1986" s="20" t="s">
        <v>2657</v>
      </c>
      <c r="D1986" s="378" t="s">
        <v>2738</v>
      </c>
      <c r="E1986" s="384">
        <v>45292</v>
      </c>
      <c r="F1986" s="384">
        <v>47119</v>
      </c>
      <c r="G1986" s="378" t="s">
        <v>439</v>
      </c>
      <c r="H1986" s="20" t="s">
        <v>2739</v>
      </c>
      <c r="I1986" s="378" t="s">
        <v>441</v>
      </c>
      <c r="J1986" s="20" t="s">
        <v>163</v>
      </c>
      <c r="K1986" s="378" t="s">
        <v>2740</v>
      </c>
      <c r="L1986" s="378" t="s">
        <v>165</v>
      </c>
      <c r="M1986" s="380" t="s">
        <v>488</v>
      </c>
      <c r="N1986" s="380" t="s">
        <v>443</v>
      </c>
      <c r="O1986" s="380" t="s">
        <v>443</v>
      </c>
      <c r="P1986" s="380" t="s">
        <v>443</v>
      </c>
      <c r="Q1986" s="381">
        <v>345.90818000000002</v>
      </c>
      <c r="R1986" s="381">
        <v>345.76339000000002</v>
      </c>
      <c r="S1986" s="381">
        <v>0.12061883</v>
      </c>
      <c r="T1986" s="381">
        <v>2.4172191999999999E-2</v>
      </c>
      <c r="U1986" s="381">
        <v>0</v>
      </c>
      <c r="V1986" s="382">
        <v>345.90818102200001</v>
      </c>
      <c r="W1986" s="382">
        <v>0</v>
      </c>
      <c r="X1986" s="381">
        <v>0.14412840833333335</v>
      </c>
      <c r="Y1986" s="381">
        <v>0.14406807916666667</v>
      </c>
      <c r="Z1986" s="381">
        <v>5.0257845833333329E-5</v>
      </c>
      <c r="AA1986" s="381">
        <v>1.0071746666666666E-5</v>
      </c>
      <c r="AB1986" s="381">
        <v>0</v>
      </c>
      <c r="AC1986" s="382">
        <v>0.14412840875916669</v>
      </c>
      <c r="AD1986" s="382">
        <v>0</v>
      </c>
      <c r="AE1986" s="381" t="s">
        <v>444</v>
      </c>
    </row>
    <row r="1987" spans="1:31" ht="15" customHeight="1" x14ac:dyDescent="0.25">
      <c r="A1987" s="20" t="s">
        <v>156</v>
      </c>
      <c r="B1987" s="20" t="s">
        <v>2656</v>
      </c>
      <c r="C1987" s="20" t="s">
        <v>2657</v>
      </c>
      <c r="D1987" s="378" t="s">
        <v>2741</v>
      </c>
      <c r="E1987" s="384">
        <v>45292</v>
      </c>
      <c r="F1987" s="384">
        <v>47119</v>
      </c>
      <c r="G1987" s="378" t="s">
        <v>439</v>
      </c>
      <c r="H1987" s="20" t="s">
        <v>2742</v>
      </c>
      <c r="I1987" s="378" t="s">
        <v>441</v>
      </c>
      <c r="J1987" s="20" t="s">
        <v>163</v>
      </c>
      <c r="K1987" s="378" t="s">
        <v>2743</v>
      </c>
      <c r="L1987" s="378" t="s">
        <v>165</v>
      </c>
      <c r="M1987" s="380" t="s">
        <v>488</v>
      </c>
      <c r="N1987" s="380" t="s">
        <v>443</v>
      </c>
      <c r="O1987" s="380" t="s">
        <v>443</v>
      </c>
      <c r="P1987" s="380" t="s">
        <v>443</v>
      </c>
      <c r="Q1987" s="381">
        <v>337.42183</v>
      </c>
      <c r="R1987" s="381">
        <v>337.27976999999998</v>
      </c>
      <c r="S1987" s="381">
        <v>0.11858877</v>
      </c>
      <c r="T1987" s="381">
        <v>2.3464642000000001E-2</v>
      </c>
      <c r="U1987" s="381">
        <v>0</v>
      </c>
      <c r="V1987" s="382">
        <v>337.42182341199998</v>
      </c>
      <c r="W1987" s="382">
        <v>0</v>
      </c>
      <c r="X1987" s="381">
        <v>0.14059242916666667</v>
      </c>
      <c r="Y1987" s="381">
        <v>0.14053323749999999</v>
      </c>
      <c r="Z1987" s="381">
        <v>4.9411987499999996E-5</v>
      </c>
      <c r="AA1987" s="381">
        <v>9.7769341666666674E-6</v>
      </c>
      <c r="AB1987" s="381">
        <v>0</v>
      </c>
      <c r="AC1987" s="382">
        <v>0.14059242642166667</v>
      </c>
      <c r="AD1987" s="382">
        <v>0</v>
      </c>
      <c r="AE1987" s="381" t="s">
        <v>444</v>
      </c>
    </row>
    <row r="1988" spans="1:31" ht="15" customHeight="1" x14ac:dyDescent="0.25">
      <c r="A1988" s="20" t="s">
        <v>156</v>
      </c>
      <c r="B1988" s="20" t="s">
        <v>2656</v>
      </c>
      <c r="C1988" s="20" t="s">
        <v>2657</v>
      </c>
      <c r="D1988" s="378" t="s">
        <v>2744</v>
      </c>
      <c r="E1988" s="384">
        <v>45292</v>
      </c>
      <c r="F1988" s="384">
        <v>47119</v>
      </c>
      <c r="G1988" s="378" t="s">
        <v>439</v>
      </c>
      <c r="H1988" s="20" t="s">
        <v>2745</v>
      </c>
      <c r="I1988" s="378" t="s">
        <v>441</v>
      </c>
      <c r="J1988" s="20" t="s">
        <v>163</v>
      </c>
      <c r="K1988" s="378" t="s">
        <v>2746</v>
      </c>
      <c r="L1988" s="378" t="s">
        <v>165</v>
      </c>
      <c r="M1988" s="380" t="s">
        <v>488</v>
      </c>
      <c r="N1988" s="380" t="s">
        <v>443</v>
      </c>
      <c r="O1988" s="380" t="s">
        <v>443</v>
      </c>
      <c r="P1988" s="380" t="s">
        <v>443</v>
      </c>
      <c r="Q1988" s="381">
        <v>367.90156000000002</v>
      </c>
      <c r="R1988" s="381">
        <v>367.77292</v>
      </c>
      <c r="S1988" s="381">
        <v>0.12602427999999999</v>
      </c>
      <c r="T1988" s="381">
        <v>2.6117353000000001E-3</v>
      </c>
      <c r="U1988" s="381">
        <v>0</v>
      </c>
      <c r="V1988" s="382">
        <v>367.9015560153</v>
      </c>
      <c r="W1988" s="382">
        <v>0</v>
      </c>
      <c r="X1988" s="381">
        <v>0.15329231666666668</v>
      </c>
      <c r="Y1988" s="381">
        <v>0.15323871666666666</v>
      </c>
      <c r="Z1988" s="381">
        <v>5.2510116666666661E-5</v>
      </c>
      <c r="AA1988" s="381">
        <v>1.0882230416666667E-6</v>
      </c>
      <c r="AB1988" s="381">
        <v>0</v>
      </c>
      <c r="AC1988" s="382">
        <v>0.153292315006375</v>
      </c>
      <c r="AD1988" s="382">
        <v>0</v>
      </c>
      <c r="AE1988" s="381" t="s">
        <v>444</v>
      </c>
    </row>
    <row r="1989" spans="1:31" ht="15" customHeight="1" x14ac:dyDescent="0.25">
      <c r="A1989" s="20" t="s">
        <v>156</v>
      </c>
      <c r="B1989" s="20" t="s">
        <v>2656</v>
      </c>
      <c r="C1989" s="20" t="s">
        <v>2657</v>
      </c>
      <c r="D1989" s="378" t="s">
        <v>2747</v>
      </c>
      <c r="E1989" s="384">
        <v>45292</v>
      </c>
      <c r="F1989" s="384">
        <v>47119</v>
      </c>
      <c r="G1989" s="378" t="s">
        <v>439</v>
      </c>
      <c r="H1989" s="20" t="s">
        <v>2748</v>
      </c>
      <c r="I1989" s="378" t="s">
        <v>441</v>
      </c>
      <c r="J1989" s="20" t="s">
        <v>163</v>
      </c>
      <c r="K1989" s="378" t="s">
        <v>2749</v>
      </c>
      <c r="L1989" s="378" t="s">
        <v>165</v>
      </c>
      <c r="M1989" s="380" t="s">
        <v>488</v>
      </c>
      <c r="N1989" s="380" t="s">
        <v>443</v>
      </c>
      <c r="O1989" s="380" t="s">
        <v>443</v>
      </c>
      <c r="P1989" s="380" t="s">
        <v>443</v>
      </c>
      <c r="Q1989" s="381">
        <v>410.35138999999998</v>
      </c>
      <c r="R1989" s="381">
        <v>410.28931</v>
      </c>
      <c r="S1989" s="381">
        <v>6.0107773000000003E-2</v>
      </c>
      <c r="T1989" s="381">
        <v>1.9660340000000002E-3</v>
      </c>
      <c r="U1989" s="381">
        <v>0</v>
      </c>
      <c r="V1989" s="382">
        <v>410.35138380700005</v>
      </c>
      <c r="W1989" s="382">
        <v>0</v>
      </c>
      <c r="X1989" s="381">
        <v>0.17097974583333334</v>
      </c>
      <c r="Y1989" s="381">
        <v>0.17095387916666666</v>
      </c>
      <c r="Z1989" s="381">
        <v>2.5044905416666669E-5</v>
      </c>
      <c r="AA1989" s="381">
        <v>8.1918083333333336E-7</v>
      </c>
      <c r="AB1989" s="381">
        <v>0</v>
      </c>
      <c r="AC1989" s="382">
        <v>0.17097974325291665</v>
      </c>
      <c r="AD1989" s="382">
        <v>0</v>
      </c>
      <c r="AE1989" s="381" t="s">
        <v>444</v>
      </c>
    </row>
    <row r="1990" spans="1:31" ht="15" customHeight="1" x14ac:dyDescent="0.25">
      <c r="A1990" s="20" t="s">
        <v>156</v>
      </c>
      <c r="B1990" s="20" t="s">
        <v>2750</v>
      </c>
      <c r="C1990" s="20" t="s">
        <v>2751</v>
      </c>
      <c r="D1990" s="378" t="s">
        <v>2752</v>
      </c>
      <c r="E1990" s="384" t="s">
        <v>437</v>
      </c>
      <c r="F1990" s="384" t="s">
        <v>438</v>
      </c>
      <c r="G1990" s="378" t="s">
        <v>439</v>
      </c>
      <c r="H1990" s="20" t="s">
        <v>2753</v>
      </c>
      <c r="I1990" s="378" t="s">
        <v>441</v>
      </c>
      <c r="J1990" s="20" t="s">
        <v>163</v>
      </c>
      <c r="K1990" s="378" t="s">
        <v>2754</v>
      </c>
      <c r="L1990" s="378" t="s">
        <v>165</v>
      </c>
      <c r="M1990" s="380">
        <v>2384</v>
      </c>
      <c r="N1990" s="380" t="s">
        <v>443</v>
      </c>
      <c r="O1990" s="380" t="s">
        <v>443</v>
      </c>
      <c r="P1990" s="380" t="s">
        <v>443</v>
      </c>
      <c r="Q1990" s="381">
        <v>438</v>
      </c>
      <c r="R1990" s="381">
        <v>437</v>
      </c>
      <c r="S1990" s="381">
        <v>0.498</v>
      </c>
      <c r="T1990" s="381">
        <v>0.27</v>
      </c>
      <c r="U1990" s="381">
        <v>0</v>
      </c>
      <c r="V1990" s="382">
        <v>437.76799999999997</v>
      </c>
      <c r="W1990" s="382">
        <v>0</v>
      </c>
      <c r="X1990" s="381">
        <v>0.1837248322147651</v>
      </c>
      <c r="Y1990" s="381">
        <v>0.18330536912751677</v>
      </c>
      <c r="Z1990" s="381">
        <v>2.0889261744966444E-4</v>
      </c>
      <c r="AA1990" s="381">
        <v>1.1325503355704699E-4</v>
      </c>
      <c r="AB1990" s="381">
        <v>0</v>
      </c>
      <c r="AC1990" s="382">
        <v>0.18362751677852349</v>
      </c>
      <c r="AD1990" s="382">
        <v>0</v>
      </c>
      <c r="AE1990" s="381" t="s">
        <v>444</v>
      </c>
    </row>
    <row r="1991" spans="1:31" ht="15" customHeight="1" x14ac:dyDescent="0.25">
      <c r="A1991" s="20" t="s">
        <v>156</v>
      </c>
      <c r="B1991" s="20" t="s">
        <v>2750</v>
      </c>
      <c r="C1991" s="20" t="s">
        <v>2751</v>
      </c>
      <c r="D1991" s="378" t="s">
        <v>2755</v>
      </c>
      <c r="E1991" s="384">
        <v>45321</v>
      </c>
      <c r="F1991" s="384">
        <v>46351</v>
      </c>
      <c r="G1991" s="378" t="s">
        <v>439</v>
      </c>
      <c r="H1991" s="20" t="s">
        <v>802</v>
      </c>
      <c r="I1991" s="378" t="s">
        <v>353</v>
      </c>
      <c r="J1991" s="20" t="s">
        <v>163</v>
      </c>
      <c r="K1991" s="378" t="s">
        <v>803</v>
      </c>
      <c r="L1991" s="378" t="s">
        <v>165</v>
      </c>
      <c r="M1991" s="380">
        <v>2400</v>
      </c>
      <c r="N1991" s="380" t="s">
        <v>443</v>
      </c>
      <c r="O1991" s="380" t="s">
        <v>443</v>
      </c>
      <c r="P1991" s="380" t="s">
        <v>443</v>
      </c>
      <c r="Q1991" s="381">
        <v>508</v>
      </c>
      <c r="R1991" s="381">
        <v>0</v>
      </c>
      <c r="S1991" s="381">
        <v>0</v>
      </c>
      <c r="T1991" s="381">
        <v>0</v>
      </c>
      <c r="U1991" s="381">
        <v>0</v>
      </c>
      <c r="V1991" s="382">
        <v>508</v>
      </c>
      <c r="W1991" s="382">
        <v>0</v>
      </c>
      <c r="X1991" s="381">
        <v>0.21166666666666667</v>
      </c>
      <c r="Y1991" s="381">
        <v>0</v>
      </c>
      <c r="Z1991" s="381">
        <v>0</v>
      </c>
      <c r="AA1991" s="381">
        <v>0</v>
      </c>
      <c r="AB1991" s="381">
        <v>0</v>
      </c>
      <c r="AC1991" s="382">
        <v>0.21166666666666667</v>
      </c>
      <c r="AD1991" s="382">
        <v>0</v>
      </c>
      <c r="AE1991" s="381" t="s">
        <v>444</v>
      </c>
    </row>
    <row r="1992" spans="1:31" ht="15" customHeight="1" x14ac:dyDescent="0.25">
      <c r="A1992" s="20" t="s">
        <v>156</v>
      </c>
      <c r="B1992" s="20" t="s">
        <v>2750</v>
      </c>
      <c r="C1992" s="20" t="s">
        <v>2751</v>
      </c>
      <c r="D1992" s="378" t="s">
        <v>2756</v>
      </c>
      <c r="E1992" s="384">
        <v>44852</v>
      </c>
      <c r="F1992" s="384">
        <v>46678</v>
      </c>
      <c r="G1992" s="378" t="s">
        <v>439</v>
      </c>
      <c r="H1992" s="20" t="s">
        <v>813</v>
      </c>
      <c r="I1992" s="378" t="s">
        <v>814</v>
      </c>
      <c r="J1992" s="20" t="s">
        <v>163</v>
      </c>
      <c r="K1992" s="378" t="s">
        <v>815</v>
      </c>
      <c r="L1992" s="378" t="s">
        <v>165</v>
      </c>
      <c r="M1992" s="380">
        <v>2400</v>
      </c>
      <c r="N1992" s="380" t="s">
        <v>443</v>
      </c>
      <c r="O1992" s="380" t="s">
        <v>443</v>
      </c>
      <c r="P1992" s="380" t="s">
        <v>443</v>
      </c>
      <c r="Q1992" s="381">
        <v>449</v>
      </c>
      <c r="R1992" s="381">
        <v>0</v>
      </c>
      <c r="S1992" s="381">
        <v>0</v>
      </c>
      <c r="T1992" s="381">
        <v>0</v>
      </c>
      <c r="U1992" s="381">
        <v>0</v>
      </c>
      <c r="V1992" s="382">
        <v>449</v>
      </c>
      <c r="W1992" s="382">
        <v>0</v>
      </c>
      <c r="X1992" s="381">
        <v>0.18708333333333332</v>
      </c>
      <c r="Y1992" s="381">
        <v>0</v>
      </c>
      <c r="Z1992" s="381">
        <v>0</v>
      </c>
      <c r="AA1992" s="381">
        <v>0</v>
      </c>
      <c r="AB1992" s="381">
        <v>0</v>
      </c>
      <c r="AC1992" s="382">
        <v>0.18708333333333332</v>
      </c>
      <c r="AD1992" s="382">
        <v>0</v>
      </c>
      <c r="AE1992" s="381" t="s">
        <v>444</v>
      </c>
    </row>
    <row r="1993" spans="1:31" ht="15" customHeight="1" x14ac:dyDescent="0.25">
      <c r="A1993" s="20" t="s">
        <v>156</v>
      </c>
      <c r="B1993" s="20" t="s">
        <v>2750</v>
      </c>
      <c r="C1993" s="20" t="s">
        <v>2751</v>
      </c>
      <c r="D1993" s="378" t="s">
        <v>2757</v>
      </c>
      <c r="E1993" s="384">
        <v>44852</v>
      </c>
      <c r="F1993" s="384">
        <v>46678</v>
      </c>
      <c r="G1993" s="378" t="s">
        <v>439</v>
      </c>
      <c r="H1993" s="20" t="s">
        <v>813</v>
      </c>
      <c r="I1993" s="378" t="s">
        <v>814</v>
      </c>
      <c r="J1993" s="20" t="s">
        <v>163</v>
      </c>
      <c r="K1993" s="378" t="s">
        <v>815</v>
      </c>
      <c r="L1993" s="378" t="s">
        <v>165</v>
      </c>
      <c r="M1993" s="380">
        <v>2400</v>
      </c>
      <c r="N1993" s="380" t="s">
        <v>443</v>
      </c>
      <c r="O1993" s="380" t="s">
        <v>443</v>
      </c>
      <c r="P1993" s="380" t="s">
        <v>443</v>
      </c>
      <c r="Q1993" s="381">
        <v>607</v>
      </c>
      <c r="R1993" s="381">
        <v>0</v>
      </c>
      <c r="S1993" s="381">
        <v>0</v>
      </c>
      <c r="T1993" s="381">
        <v>0</v>
      </c>
      <c r="U1993" s="381">
        <v>0</v>
      </c>
      <c r="V1993" s="382">
        <v>607</v>
      </c>
      <c r="W1993" s="382">
        <v>0</v>
      </c>
      <c r="X1993" s="381">
        <v>0.25291666666666668</v>
      </c>
      <c r="Y1993" s="381">
        <v>0</v>
      </c>
      <c r="Z1993" s="381">
        <v>0</v>
      </c>
      <c r="AA1993" s="381">
        <v>0</v>
      </c>
      <c r="AB1993" s="381">
        <v>0</v>
      </c>
      <c r="AC1993" s="382">
        <v>0.25291666666666668</v>
      </c>
      <c r="AD1993" s="382">
        <v>0</v>
      </c>
      <c r="AE1993" s="381" t="s">
        <v>444</v>
      </c>
    </row>
    <row r="1994" spans="1:31" ht="15" customHeight="1" x14ac:dyDescent="0.25">
      <c r="A1994" s="20" t="s">
        <v>156</v>
      </c>
      <c r="B1994" s="20" t="s">
        <v>2750</v>
      </c>
      <c r="C1994" s="20" t="s">
        <v>2751</v>
      </c>
      <c r="D1994" s="378" t="s">
        <v>2758</v>
      </c>
      <c r="E1994" s="384">
        <v>44852</v>
      </c>
      <c r="F1994" s="384">
        <v>46678</v>
      </c>
      <c r="G1994" s="378" t="s">
        <v>439</v>
      </c>
      <c r="H1994" s="20" t="s">
        <v>813</v>
      </c>
      <c r="I1994" s="378" t="s">
        <v>814</v>
      </c>
      <c r="J1994" s="20" t="s">
        <v>163</v>
      </c>
      <c r="K1994" s="378" t="s">
        <v>815</v>
      </c>
      <c r="L1994" s="378" t="s">
        <v>165</v>
      </c>
      <c r="M1994" s="380">
        <v>2400</v>
      </c>
      <c r="N1994" s="380" t="s">
        <v>443</v>
      </c>
      <c r="O1994" s="380" t="s">
        <v>443</v>
      </c>
      <c r="P1994" s="380" t="s">
        <v>443</v>
      </c>
      <c r="Q1994" s="381">
        <v>702</v>
      </c>
      <c r="R1994" s="381">
        <v>0</v>
      </c>
      <c r="S1994" s="381">
        <v>0</v>
      </c>
      <c r="T1994" s="381">
        <v>0</v>
      </c>
      <c r="U1994" s="381">
        <v>0</v>
      </c>
      <c r="V1994" s="382">
        <v>702</v>
      </c>
      <c r="W1994" s="382">
        <v>0</v>
      </c>
      <c r="X1994" s="381">
        <v>0.29249999999999998</v>
      </c>
      <c r="Y1994" s="381">
        <v>0</v>
      </c>
      <c r="Z1994" s="381">
        <v>0</v>
      </c>
      <c r="AA1994" s="381">
        <v>0</v>
      </c>
      <c r="AB1994" s="381">
        <v>0</v>
      </c>
      <c r="AC1994" s="382">
        <v>0.29249999999999998</v>
      </c>
      <c r="AD1994" s="382">
        <v>0</v>
      </c>
      <c r="AE1994" s="381" t="s">
        <v>444</v>
      </c>
    </row>
    <row r="1995" spans="1:31" ht="15" customHeight="1" x14ac:dyDescent="0.25">
      <c r="A1995" s="20" t="s">
        <v>156</v>
      </c>
      <c r="B1995" s="20" t="s">
        <v>2750</v>
      </c>
      <c r="C1995" s="20" t="s">
        <v>2751</v>
      </c>
      <c r="D1995" s="378" t="s">
        <v>2759</v>
      </c>
      <c r="E1995" s="384">
        <v>44417</v>
      </c>
      <c r="F1995" s="384">
        <v>46357</v>
      </c>
      <c r="G1995" s="378" t="s">
        <v>439</v>
      </c>
      <c r="H1995" s="20" t="s">
        <v>817</v>
      </c>
      <c r="I1995" s="378" t="s">
        <v>814</v>
      </c>
      <c r="J1995" s="20" t="s">
        <v>163</v>
      </c>
      <c r="K1995" s="378" t="s">
        <v>818</v>
      </c>
      <c r="L1995" s="378" t="s">
        <v>165</v>
      </c>
      <c r="M1995" s="380">
        <v>2400</v>
      </c>
      <c r="N1995" s="380" t="s">
        <v>443</v>
      </c>
      <c r="O1995" s="380" t="s">
        <v>443</v>
      </c>
      <c r="P1995" s="380" t="s">
        <v>443</v>
      </c>
      <c r="Q1995" s="381">
        <v>617</v>
      </c>
      <c r="R1995" s="381">
        <v>0</v>
      </c>
      <c r="S1995" s="381">
        <v>0</v>
      </c>
      <c r="T1995" s="381">
        <v>0</v>
      </c>
      <c r="U1995" s="381">
        <v>0</v>
      </c>
      <c r="V1995" s="382">
        <v>617</v>
      </c>
      <c r="W1995" s="382">
        <v>0</v>
      </c>
      <c r="X1995" s="381">
        <v>0.25708333333333333</v>
      </c>
      <c r="Y1995" s="381">
        <v>0</v>
      </c>
      <c r="Z1995" s="381">
        <v>0</v>
      </c>
      <c r="AA1995" s="381">
        <v>0</v>
      </c>
      <c r="AB1995" s="381">
        <v>0</v>
      </c>
      <c r="AC1995" s="382">
        <v>0.25708333333333333</v>
      </c>
      <c r="AD1995" s="382">
        <v>0</v>
      </c>
      <c r="AE1995" s="381" t="s">
        <v>444</v>
      </c>
    </row>
    <row r="1996" spans="1:31" ht="15" customHeight="1" x14ac:dyDescent="0.25">
      <c r="A1996" s="20" t="s">
        <v>156</v>
      </c>
      <c r="B1996" s="20" t="s">
        <v>2750</v>
      </c>
      <c r="C1996" s="20" t="s">
        <v>2751</v>
      </c>
      <c r="D1996" s="378" t="s">
        <v>2760</v>
      </c>
      <c r="E1996" s="384">
        <v>44417</v>
      </c>
      <c r="F1996" s="384">
        <v>46357</v>
      </c>
      <c r="G1996" s="378" t="s">
        <v>439</v>
      </c>
      <c r="H1996" s="20" t="s">
        <v>817</v>
      </c>
      <c r="I1996" s="378" t="s">
        <v>814</v>
      </c>
      <c r="J1996" s="20" t="s">
        <v>163</v>
      </c>
      <c r="K1996" s="378" t="s">
        <v>818</v>
      </c>
      <c r="L1996" s="378" t="s">
        <v>165</v>
      </c>
      <c r="M1996" s="380">
        <v>2400</v>
      </c>
      <c r="N1996" s="380" t="s">
        <v>443</v>
      </c>
      <c r="O1996" s="380" t="s">
        <v>443</v>
      </c>
      <c r="P1996" s="380" t="s">
        <v>443</v>
      </c>
      <c r="Q1996" s="381">
        <v>459</v>
      </c>
      <c r="R1996" s="381">
        <v>0</v>
      </c>
      <c r="S1996" s="381">
        <v>0</v>
      </c>
      <c r="T1996" s="381">
        <v>0</v>
      </c>
      <c r="U1996" s="381">
        <v>0</v>
      </c>
      <c r="V1996" s="382">
        <v>459</v>
      </c>
      <c r="W1996" s="382">
        <v>0</v>
      </c>
      <c r="X1996" s="381">
        <v>0.19125</v>
      </c>
      <c r="Y1996" s="381">
        <v>0</v>
      </c>
      <c r="Z1996" s="381">
        <v>0</v>
      </c>
      <c r="AA1996" s="381">
        <v>0</v>
      </c>
      <c r="AB1996" s="381">
        <v>0</v>
      </c>
      <c r="AC1996" s="382">
        <v>0.19125</v>
      </c>
      <c r="AD1996" s="382">
        <v>0</v>
      </c>
      <c r="AE1996" s="381" t="s">
        <v>444</v>
      </c>
    </row>
    <row r="1997" spans="1:31" ht="15" customHeight="1" x14ac:dyDescent="0.25">
      <c r="A1997" s="20" t="s">
        <v>156</v>
      </c>
      <c r="B1997" s="20" t="s">
        <v>2750</v>
      </c>
      <c r="C1997" s="20" t="s">
        <v>2751</v>
      </c>
      <c r="D1997" s="378" t="s">
        <v>2761</v>
      </c>
      <c r="E1997" s="384">
        <v>44417</v>
      </c>
      <c r="F1997" s="384">
        <v>46357</v>
      </c>
      <c r="G1997" s="378" t="s">
        <v>439</v>
      </c>
      <c r="H1997" s="20" t="s">
        <v>817</v>
      </c>
      <c r="I1997" s="378" t="s">
        <v>814</v>
      </c>
      <c r="J1997" s="20" t="s">
        <v>163</v>
      </c>
      <c r="K1997" s="378" t="s">
        <v>818</v>
      </c>
      <c r="L1997" s="378" t="s">
        <v>165</v>
      </c>
      <c r="M1997" s="380">
        <v>2400</v>
      </c>
      <c r="N1997" s="380" t="s">
        <v>443</v>
      </c>
      <c r="O1997" s="380" t="s">
        <v>443</v>
      </c>
      <c r="P1997" s="380" t="s">
        <v>443</v>
      </c>
      <c r="Q1997" s="381">
        <v>710</v>
      </c>
      <c r="R1997" s="381">
        <v>0</v>
      </c>
      <c r="S1997" s="381">
        <v>0</v>
      </c>
      <c r="T1997" s="381">
        <v>0</v>
      </c>
      <c r="U1997" s="381">
        <v>0</v>
      </c>
      <c r="V1997" s="382">
        <v>710</v>
      </c>
      <c r="W1997" s="382">
        <v>0</v>
      </c>
      <c r="X1997" s="381">
        <v>0.29583333333333334</v>
      </c>
      <c r="Y1997" s="381">
        <v>0</v>
      </c>
      <c r="Z1997" s="381">
        <v>0</v>
      </c>
      <c r="AA1997" s="381">
        <v>0</v>
      </c>
      <c r="AB1997" s="381">
        <v>0</v>
      </c>
      <c r="AC1997" s="382">
        <v>0.29583333333333334</v>
      </c>
      <c r="AD1997" s="382">
        <v>0</v>
      </c>
      <c r="AE1997" s="381" t="s">
        <v>444</v>
      </c>
    </row>
    <row r="1998" spans="1:31" ht="15" customHeight="1" x14ac:dyDescent="0.25">
      <c r="A1998" s="20" t="s">
        <v>156</v>
      </c>
      <c r="B1998" s="20" t="s">
        <v>2762</v>
      </c>
      <c r="C1998" s="20" t="s">
        <v>2763</v>
      </c>
      <c r="D1998" s="378" t="s">
        <v>2764</v>
      </c>
      <c r="E1998" s="379">
        <v>45016</v>
      </c>
      <c r="F1998" s="379">
        <v>46843</v>
      </c>
      <c r="G1998" s="378" t="s">
        <v>281</v>
      </c>
      <c r="H1998" s="20" t="s">
        <v>282</v>
      </c>
      <c r="I1998" s="20" t="s">
        <v>162</v>
      </c>
      <c r="J1998" s="20" t="s">
        <v>163</v>
      </c>
      <c r="K1998" s="378" t="s">
        <v>283</v>
      </c>
      <c r="L1998" s="20" t="s">
        <v>165</v>
      </c>
      <c r="M1998" s="380">
        <v>2400</v>
      </c>
      <c r="N1998" s="380"/>
      <c r="O1998" s="380"/>
      <c r="P1998" s="380"/>
      <c r="Q1998" s="381">
        <v>141.56</v>
      </c>
      <c r="R1998" s="381">
        <v>141.56</v>
      </c>
      <c r="S1998" s="381">
        <v>5.0600000000000003E-3</v>
      </c>
      <c r="T1998" s="381"/>
      <c r="U1998" s="381"/>
      <c r="V1998" s="382">
        <v>141.56505999999999</v>
      </c>
      <c r="W1998" s="382">
        <v>0</v>
      </c>
      <c r="X1998" s="381">
        <v>5.8983333333333332E-2</v>
      </c>
      <c r="Y1998" s="381">
        <v>5.8983333333333332E-2</v>
      </c>
      <c r="Z1998" s="381">
        <v>2.1083333333333336E-6</v>
      </c>
      <c r="AA1998" s="381">
        <v>0</v>
      </c>
      <c r="AB1998" s="381">
        <v>0</v>
      </c>
      <c r="AC1998" s="382">
        <v>5.8985441666666666E-2</v>
      </c>
      <c r="AD1998" s="382">
        <v>0</v>
      </c>
      <c r="AE1998" s="381" t="s">
        <v>168</v>
      </c>
    </row>
    <row r="1999" spans="1:31" ht="15" customHeight="1" x14ac:dyDescent="0.25">
      <c r="A1999" s="20" t="s">
        <v>156</v>
      </c>
      <c r="B1999" s="20" t="s">
        <v>2765</v>
      </c>
      <c r="C1999" s="20" t="s">
        <v>2763</v>
      </c>
      <c r="D1999" s="378" t="s">
        <v>2766</v>
      </c>
      <c r="E1999" s="379">
        <v>45016</v>
      </c>
      <c r="F1999" s="379">
        <v>46843</v>
      </c>
      <c r="G1999" s="378" t="s">
        <v>281</v>
      </c>
      <c r="H1999" s="20" t="s">
        <v>282</v>
      </c>
      <c r="I1999" s="20" t="s">
        <v>162</v>
      </c>
      <c r="J1999" s="20" t="s">
        <v>163</v>
      </c>
      <c r="K1999" s="378" t="s">
        <v>283</v>
      </c>
      <c r="L1999" s="20" t="s">
        <v>165</v>
      </c>
      <c r="M1999" s="380">
        <v>2400</v>
      </c>
      <c r="N1999" s="380"/>
      <c r="O1999" s="380"/>
      <c r="P1999" s="380"/>
      <c r="Q1999" s="381">
        <v>154.07</v>
      </c>
      <c r="R1999" s="381">
        <v>154.03</v>
      </c>
      <c r="S1999" s="381">
        <v>2.5600000000000001E-2</v>
      </c>
      <c r="T1999" s="381"/>
      <c r="U1999" s="381"/>
      <c r="V1999" s="382">
        <v>154.0556</v>
      </c>
      <c r="W1999" s="382">
        <v>0</v>
      </c>
      <c r="X1999" s="381">
        <v>6.4195833333333327E-2</v>
      </c>
      <c r="Y1999" s="381">
        <v>6.4179166666666662E-2</v>
      </c>
      <c r="Z1999" s="381">
        <v>1.0666666666666667E-5</v>
      </c>
      <c r="AA1999" s="381">
        <v>0</v>
      </c>
      <c r="AB1999" s="381">
        <v>0</v>
      </c>
      <c r="AC1999" s="382">
        <v>6.4189833333333335E-2</v>
      </c>
      <c r="AD1999" s="382">
        <v>0</v>
      </c>
      <c r="AE1999" s="381" t="s">
        <v>168</v>
      </c>
    </row>
    <row r="2000" spans="1:31" ht="15" customHeight="1" x14ac:dyDescent="0.25">
      <c r="A2000" s="20" t="s">
        <v>156</v>
      </c>
      <c r="B2000" s="20" t="s">
        <v>2767</v>
      </c>
      <c r="C2000" s="20" t="s">
        <v>2763</v>
      </c>
      <c r="D2000" s="378" t="s">
        <v>2768</v>
      </c>
      <c r="E2000" s="379">
        <v>45016</v>
      </c>
      <c r="F2000" s="379">
        <v>46843</v>
      </c>
      <c r="G2000" s="378" t="s">
        <v>215</v>
      </c>
      <c r="H2000" s="20" t="s">
        <v>216</v>
      </c>
      <c r="I2000" s="20" t="s">
        <v>162</v>
      </c>
      <c r="J2000" s="20" t="s">
        <v>163</v>
      </c>
      <c r="K2000" s="378" t="s">
        <v>217</v>
      </c>
      <c r="L2000" s="20" t="s">
        <v>165</v>
      </c>
      <c r="M2000" s="380">
        <v>2400</v>
      </c>
      <c r="N2000" s="380"/>
      <c r="O2000" s="380"/>
      <c r="P2000" s="380"/>
      <c r="Q2000" s="381">
        <v>249</v>
      </c>
      <c r="R2000" s="381">
        <v>248</v>
      </c>
      <c r="S2000" s="381">
        <v>0.187</v>
      </c>
      <c r="T2000" s="381"/>
      <c r="U2000" s="381"/>
      <c r="V2000" s="382">
        <v>248.18700000000001</v>
      </c>
      <c r="W2000" s="382">
        <v>0</v>
      </c>
      <c r="X2000" s="381">
        <v>0.10375</v>
      </c>
      <c r="Y2000" s="381">
        <v>0.10333333333333333</v>
      </c>
      <c r="Z2000" s="381">
        <v>7.7916666666666672E-5</v>
      </c>
      <c r="AA2000" s="381">
        <v>0</v>
      </c>
      <c r="AB2000" s="381">
        <v>0</v>
      </c>
      <c r="AC2000" s="382">
        <v>0.10341125</v>
      </c>
      <c r="AD2000" s="382">
        <v>0</v>
      </c>
      <c r="AE2000" s="381" t="s">
        <v>168</v>
      </c>
    </row>
    <row r="2001" spans="1:31" ht="15" customHeight="1" x14ac:dyDescent="0.25">
      <c r="A2001" s="20" t="s">
        <v>2769</v>
      </c>
      <c r="B2001" s="20" t="s">
        <v>2770</v>
      </c>
      <c r="C2001" s="20" t="s">
        <v>2770</v>
      </c>
      <c r="D2001" s="378" t="s">
        <v>2771</v>
      </c>
      <c r="E2001" s="384">
        <v>45621</v>
      </c>
      <c r="F2001" s="384">
        <v>47446</v>
      </c>
      <c r="G2001" s="378" t="s">
        <v>439</v>
      </c>
      <c r="H2001" s="20" t="s">
        <v>2772</v>
      </c>
      <c r="I2001" s="378" t="s">
        <v>441</v>
      </c>
      <c r="J2001" s="20" t="s">
        <v>163</v>
      </c>
      <c r="K2001" s="378" t="s">
        <v>2773</v>
      </c>
      <c r="L2001" s="378" t="s">
        <v>2774</v>
      </c>
      <c r="M2001" s="380" t="s">
        <v>443</v>
      </c>
      <c r="N2001" s="380">
        <v>39.35</v>
      </c>
      <c r="O2001" s="380" t="s">
        <v>443</v>
      </c>
      <c r="P2001" s="380" t="s">
        <v>443</v>
      </c>
      <c r="Q2001" s="381">
        <v>0.40152477763659467</v>
      </c>
      <c r="R2001" s="381">
        <v>0</v>
      </c>
      <c r="S2001" s="381">
        <v>0</v>
      </c>
      <c r="T2001" s="381">
        <v>0</v>
      </c>
      <c r="U2001" s="381">
        <v>0</v>
      </c>
      <c r="V2001" s="382">
        <v>0.40152477763659467</v>
      </c>
      <c r="W2001" s="382">
        <v>0</v>
      </c>
      <c r="X2001" s="381">
        <v>0.40152477763659467</v>
      </c>
      <c r="Y2001" s="381">
        <v>0</v>
      </c>
      <c r="Z2001" s="381">
        <v>0</v>
      </c>
      <c r="AA2001" s="381">
        <v>0</v>
      </c>
      <c r="AB2001" s="381">
        <v>0</v>
      </c>
      <c r="AC2001" s="382">
        <v>0.40152477763659467</v>
      </c>
      <c r="AD2001" s="382">
        <v>0</v>
      </c>
      <c r="AE2001" s="381" t="s">
        <v>444</v>
      </c>
    </row>
    <row r="2002" spans="1:31" ht="15" customHeight="1" x14ac:dyDescent="0.25">
      <c r="A2002" s="20" t="s">
        <v>2769</v>
      </c>
      <c r="B2002" s="20" t="s">
        <v>2770</v>
      </c>
      <c r="C2002" s="20" t="s">
        <v>2770</v>
      </c>
      <c r="D2002" s="378" t="s">
        <v>2775</v>
      </c>
      <c r="E2002" s="384">
        <v>45621</v>
      </c>
      <c r="F2002" s="384">
        <v>47446</v>
      </c>
      <c r="G2002" s="378" t="s">
        <v>439</v>
      </c>
      <c r="H2002" s="20" t="s">
        <v>2772</v>
      </c>
      <c r="I2002" s="378" t="s">
        <v>441</v>
      </c>
      <c r="J2002" s="20" t="s">
        <v>163</v>
      </c>
      <c r="K2002" s="378" t="s">
        <v>2773</v>
      </c>
      <c r="L2002" s="378" t="s">
        <v>2774</v>
      </c>
      <c r="M2002" s="380" t="s">
        <v>443</v>
      </c>
      <c r="N2002" s="380">
        <v>92.58</v>
      </c>
      <c r="O2002" s="380" t="s">
        <v>443</v>
      </c>
      <c r="P2002" s="380" t="s">
        <v>443</v>
      </c>
      <c r="Q2002" s="381">
        <v>0.52217001512205652</v>
      </c>
      <c r="R2002" s="381">
        <v>0</v>
      </c>
      <c r="S2002" s="381">
        <v>0</v>
      </c>
      <c r="T2002" s="381">
        <v>0</v>
      </c>
      <c r="U2002" s="381">
        <v>0</v>
      </c>
      <c r="V2002" s="382">
        <v>0.52217001512205652</v>
      </c>
      <c r="W2002" s="382">
        <v>0</v>
      </c>
      <c r="X2002" s="381">
        <v>0.52217001512205652</v>
      </c>
      <c r="Y2002" s="381">
        <v>0</v>
      </c>
      <c r="Z2002" s="381">
        <v>0</v>
      </c>
      <c r="AA2002" s="381">
        <v>0</v>
      </c>
      <c r="AB2002" s="381">
        <v>0</v>
      </c>
      <c r="AC2002" s="382">
        <v>0.52217001512205652</v>
      </c>
      <c r="AD2002" s="382">
        <v>0</v>
      </c>
      <c r="AE2002" s="381" t="s">
        <v>444</v>
      </c>
    </row>
    <row r="2003" spans="1:31" ht="15" customHeight="1" x14ac:dyDescent="0.25">
      <c r="A2003" s="20" t="s">
        <v>2769</v>
      </c>
      <c r="B2003" s="20" t="s">
        <v>2770</v>
      </c>
      <c r="C2003" s="20" t="s">
        <v>2770</v>
      </c>
      <c r="D2003" s="378" t="s">
        <v>2776</v>
      </c>
      <c r="E2003" s="384">
        <v>45621</v>
      </c>
      <c r="F2003" s="384">
        <v>47446</v>
      </c>
      <c r="G2003" s="378" t="s">
        <v>439</v>
      </c>
      <c r="H2003" s="20" t="s">
        <v>2772</v>
      </c>
      <c r="I2003" s="378" t="s">
        <v>441</v>
      </c>
      <c r="J2003" s="20" t="s">
        <v>163</v>
      </c>
      <c r="K2003" s="378" t="s">
        <v>2773</v>
      </c>
      <c r="L2003" s="378" t="s">
        <v>2774</v>
      </c>
      <c r="M2003" s="380" t="s">
        <v>443</v>
      </c>
      <c r="N2003" s="380">
        <v>156.85</v>
      </c>
      <c r="O2003" s="380" t="s">
        <v>443</v>
      </c>
      <c r="P2003" s="380" t="s">
        <v>443</v>
      </c>
      <c r="Q2003" s="381">
        <v>0.53456487089576021</v>
      </c>
      <c r="R2003" s="381">
        <v>0</v>
      </c>
      <c r="S2003" s="381">
        <v>0</v>
      </c>
      <c r="T2003" s="381">
        <v>0</v>
      </c>
      <c r="U2003" s="381">
        <v>0</v>
      </c>
      <c r="V2003" s="382">
        <v>0.53456487089576021</v>
      </c>
      <c r="W2003" s="382">
        <v>0</v>
      </c>
      <c r="X2003" s="381">
        <v>0.53456487089576021</v>
      </c>
      <c r="Y2003" s="381">
        <v>0</v>
      </c>
      <c r="Z2003" s="381">
        <v>0</v>
      </c>
      <c r="AA2003" s="381">
        <v>0</v>
      </c>
      <c r="AB2003" s="381">
        <v>0</v>
      </c>
      <c r="AC2003" s="382">
        <v>0.53456487089576021</v>
      </c>
      <c r="AD2003" s="382">
        <v>0</v>
      </c>
      <c r="AE2003" s="381" t="s">
        <v>444</v>
      </c>
    </row>
    <row r="2004" spans="1:31" ht="15" customHeight="1" x14ac:dyDescent="0.25">
      <c r="A2004" s="20" t="s">
        <v>2769</v>
      </c>
      <c r="B2004" s="20" t="s">
        <v>2770</v>
      </c>
      <c r="C2004" s="20" t="s">
        <v>2770</v>
      </c>
      <c r="D2004" s="378" t="s">
        <v>2777</v>
      </c>
      <c r="E2004" s="384">
        <v>45621</v>
      </c>
      <c r="F2004" s="384">
        <v>47446</v>
      </c>
      <c r="G2004" s="378" t="s">
        <v>439</v>
      </c>
      <c r="H2004" s="20" t="s">
        <v>2778</v>
      </c>
      <c r="I2004" s="378" t="s">
        <v>441</v>
      </c>
      <c r="J2004" s="20" t="s">
        <v>163</v>
      </c>
      <c r="K2004" s="378" t="s">
        <v>2779</v>
      </c>
      <c r="L2004" s="378" t="s">
        <v>2774</v>
      </c>
      <c r="M2004" s="380" t="s">
        <v>443</v>
      </c>
      <c r="N2004" s="380">
        <v>39.119999999999997</v>
      </c>
      <c r="O2004" s="380" t="s">
        <v>443</v>
      </c>
      <c r="P2004" s="380" t="s">
        <v>443</v>
      </c>
      <c r="Q2004" s="381">
        <v>0.37321063394683029</v>
      </c>
      <c r="R2004" s="381">
        <v>0</v>
      </c>
      <c r="S2004" s="381">
        <v>0</v>
      </c>
      <c r="T2004" s="381">
        <v>0</v>
      </c>
      <c r="U2004" s="381">
        <v>0</v>
      </c>
      <c r="V2004" s="382">
        <v>0.37321063394683029</v>
      </c>
      <c r="W2004" s="382">
        <v>0</v>
      </c>
      <c r="X2004" s="381">
        <v>0.37321063394683029</v>
      </c>
      <c r="Y2004" s="381">
        <v>0</v>
      </c>
      <c r="Z2004" s="381">
        <v>0</v>
      </c>
      <c r="AA2004" s="381">
        <v>0</v>
      </c>
      <c r="AB2004" s="381">
        <v>0</v>
      </c>
      <c r="AC2004" s="382">
        <v>0.37321063394683029</v>
      </c>
      <c r="AD2004" s="382">
        <v>0</v>
      </c>
      <c r="AE2004" s="381" t="s">
        <v>444</v>
      </c>
    </row>
    <row r="2005" spans="1:31" ht="15" customHeight="1" x14ac:dyDescent="0.25">
      <c r="A2005" s="20" t="s">
        <v>2769</v>
      </c>
      <c r="B2005" s="20" t="s">
        <v>2770</v>
      </c>
      <c r="C2005" s="20" t="s">
        <v>2770</v>
      </c>
      <c r="D2005" s="378" t="s">
        <v>2780</v>
      </c>
      <c r="E2005" s="384">
        <v>45621</v>
      </c>
      <c r="F2005" s="384">
        <v>47446</v>
      </c>
      <c r="G2005" s="378" t="s">
        <v>439</v>
      </c>
      <c r="H2005" s="20" t="s">
        <v>2778</v>
      </c>
      <c r="I2005" s="378" t="s">
        <v>441</v>
      </c>
      <c r="J2005" s="20" t="s">
        <v>163</v>
      </c>
      <c r="K2005" s="378" t="s">
        <v>2779</v>
      </c>
      <c r="L2005" s="378" t="s">
        <v>2774</v>
      </c>
      <c r="M2005" s="380" t="s">
        <v>443</v>
      </c>
      <c r="N2005" s="380">
        <v>56.14</v>
      </c>
      <c r="O2005" s="380" t="s">
        <v>443</v>
      </c>
      <c r="P2005" s="380" t="s">
        <v>443</v>
      </c>
      <c r="Q2005" s="381">
        <v>0.42910580691129319</v>
      </c>
      <c r="R2005" s="381">
        <v>0</v>
      </c>
      <c r="S2005" s="381">
        <v>0</v>
      </c>
      <c r="T2005" s="381">
        <v>0</v>
      </c>
      <c r="U2005" s="381">
        <v>0</v>
      </c>
      <c r="V2005" s="382">
        <v>0.42910580691129319</v>
      </c>
      <c r="W2005" s="382">
        <v>0</v>
      </c>
      <c r="X2005" s="381">
        <v>0.42910580691129319</v>
      </c>
      <c r="Y2005" s="381">
        <v>0</v>
      </c>
      <c r="Z2005" s="381">
        <v>0</v>
      </c>
      <c r="AA2005" s="381">
        <v>0</v>
      </c>
      <c r="AB2005" s="381">
        <v>0</v>
      </c>
      <c r="AC2005" s="382">
        <v>0.42910580691129319</v>
      </c>
      <c r="AD2005" s="382">
        <v>0</v>
      </c>
      <c r="AE2005" s="381" t="s">
        <v>444</v>
      </c>
    </row>
    <row r="2006" spans="1:31" ht="15" customHeight="1" x14ac:dyDescent="0.25">
      <c r="A2006" s="20" t="s">
        <v>2769</v>
      </c>
      <c r="B2006" s="20" t="s">
        <v>2770</v>
      </c>
      <c r="C2006" s="20" t="s">
        <v>2770</v>
      </c>
      <c r="D2006" s="378" t="s">
        <v>2781</v>
      </c>
      <c r="E2006" s="384">
        <v>45621</v>
      </c>
      <c r="F2006" s="384">
        <v>47446</v>
      </c>
      <c r="G2006" s="378" t="s">
        <v>439</v>
      </c>
      <c r="H2006" s="20" t="s">
        <v>2778</v>
      </c>
      <c r="I2006" s="378" t="s">
        <v>441</v>
      </c>
      <c r="J2006" s="20" t="s">
        <v>163</v>
      </c>
      <c r="K2006" s="378" t="s">
        <v>2779</v>
      </c>
      <c r="L2006" s="378" t="s">
        <v>2774</v>
      </c>
      <c r="M2006" s="380" t="s">
        <v>443</v>
      </c>
      <c r="N2006" s="380">
        <v>117.29</v>
      </c>
      <c r="O2006" s="380" t="s">
        <v>443</v>
      </c>
      <c r="P2006" s="380" t="s">
        <v>443</v>
      </c>
      <c r="Q2006" s="381">
        <v>0.44438571063176741</v>
      </c>
      <c r="R2006" s="381">
        <v>0</v>
      </c>
      <c r="S2006" s="381">
        <v>0</v>
      </c>
      <c r="T2006" s="381">
        <v>0</v>
      </c>
      <c r="U2006" s="381">
        <v>0</v>
      </c>
      <c r="V2006" s="382">
        <v>0.44438571063176741</v>
      </c>
      <c r="W2006" s="382">
        <v>0</v>
      </c>
      <c r="X2006" s="381">
        <v>0.44438571063176741</v>
      </c>
      <c r="Y2006" s="381">
        <v>0</v>
      </c>
      <c r="Z2006" s="381">
        <v>0</v>
      </c>
      <c r="AA2006" s="381">
        <v>0</v>
      </c>
      <c r="AB2006" s="381">
        <v>0</v>
      </c>
      <c r="AC2006" s="382">
        <v>0.44438571063176741</v>
      </c>
      <c r="AD2006" s="382">
        <v>0</v>
      </c>
      <c r="AE2006" s="381" t="s">
        <v>444</v>
      </c>
    </row>
    <row r="2007" spans="1:31" ht="15" customHeight="1" x14ac:dyDescent="0.25">
      <c r="A2007" s="20" t="s">
        <v>2769</v>
      </c>
      <c r="B2007" s="20" t="s">
        <v>2770</v>
      </c>
      <c r="C2007" s="20" t="s">
        <v>2770</v>
      </c>
      <c r="D2007" s="378" t="s">
        <v>2782</v>
      </c>
      <c r="E2007" s="384">
        <v>45621</v>
      </c>
      <c r="F2007" s="384">
        <v>47446</v>
      </c>
      <c r="G2007" s="378" t="s">
        <v>439</v>
      </c>
      <c r="H2007" s="20" t="s">
        <v>2778</v>
      </c>
      <c r="I2007" s="378" t="s">
        <v>441</v>
      </c>
      <c r="J2007" s="20" t="s">
        <v>163</v>
      </c>
      <c r="K2007" s="378" t="s">
        <v>2779</v>
      </c>
      <c r="L2007" s="378" t="s">
        <v>2774</v>
      </c>
      <c r="M2007" s="380" t="s">
        <v>443</v>
      </c>
      <c r="N2007" s="380">
        <v>176.5</v>
      </c>
      <c r="O2007" s="380" t="s">
        <v>443</v>
      </c>
      <c r="P2007" s="380" t="s">
        <v>443</v>
      </c>
      <c r="Q2007" s="381">
        <v>0.45082152974504253</v>
      </c>
      <c r="R2007" s="381">
        <v>0</v>
      </c>
      <c r="S2007" s="381">
        <v>0</v>
      </c>
      <c r="T2007" s="381">
        <v>0</v>
      </c>
      <c r="U2007" s="381">
        <v>0</v>
      </c>
      <c r="V2007" s="382">
        <v>0.45082152974504253</v>
      </c>
      <c r="W2007" s="382">
        <v>0</v>
      </c>
      <c r="X2007" s="381">
        <v>0.45082152974504253</v>
      </c>
      <c r="Y2007" s="381">
        <v>0</v>
      </c>
      <c r="Z2007" s="381">
        <v>0</v>
      </c>
      <c r="AA2007" s="381">
        <v>0</v>
      </c>
      <c r="AB2007" s="381">
        <v>0</v>
      </c>
      <c r="AC2007" s="382">
        <v>0.45082152974504253</v>
      </c>
      <c r="AD2007" s="382">
        <v>0</v>
      </c>
      <c r="AE2007" s="381" t="s">
        <v>444</v>
      </c>
    </row>
    <row r="2008" spans="1:31" ht="15" customHeight="1" x14ac:dyDescent="0.25">
      <c r="A2008" s="20" t="s">
        <v>2783</v>
      </c>
      <c r="B2008" s="20" t="s">
        <v>2784</v>
      </c>
      <c r="C2008" s="20" t="s">
        <v>2785</v>
      </c>
      <c r="D2008" s="378" t="s">
        <v>2786</v>
      </c>
      <c r="E2008" s="384">
        <v>42809</v>
      </c>
      <c r="F2008" s="384">
        <v>47177</v>
      </c>
      <c r="G2008" s="378" t="s">
        <v>439</v>
      </c>
      <c r="H2008" s="20" t="s">
        <v>2787</v>
      </c>
      <c r="I2008" s="378">
        <v>2</v>
      </c>
      <c r="J2008" s="20" t="s">
        <v>163</v>
      </c>
      <c r="K2008" s="378" t="s">
        <v>2788</v>
      </c>
      <c r="L2008" s="378" t="s">
        <v>2789</v>
      </c>
      <c r="M2008" s="380" t="s">
        <v>443</v>
      </c>
      <c r="N2008" s="380">
        <v>38.700000000000003</v>
      </c>
      <c r="O2008" s="380" t="s">
        <v>443</v>
      </c>
      <c r="P2008" s="380" t="s">
        <v>443</v>
      </c>
      <c r="Q2008" s="381">
        <v>35.299999999999997</v>
      </c>
      <c r="R2008" s="381">
        <v>36.4</v>
      </c>
      <c r="S2008" s="381">
        <v>-1.1299999999999999</v>
      </c>
      <c r="T2008" s="381">
        <v>1.35E-2</v>
      </c>
      <c r="U2008" s="381">
        <v>0</v>
      </c>
      <c r="V2008" s="382">
        <v>36.413499999999999</v>
      </c>
      <c r="W2008" s="382">
        <v>0</v>
      </c>
      <c r="X2008" s="381">
        <v>0.91214470284237714</v>
      </c>
      <c r="Y2008" s="381">
        <v>0.94056847545219624</v>
      </c>
      <c r="Z2008" s="381">
        <v>-2.9198966408268728E-2</v>
      </c>
      <c r="AA2008" s="381">
        <v>3.4883720930232553E-4</v>
      </c>
      <c r="AB2008" s="381">
        <v>0</v>
      </c>
      <c r="AC2008" s="382">
        <v>0.94091731266149858</v>
      </c>
      <c r="AD2008" s="382">
        <v>0</v>
      </c>
      <c r="AE2008" s="381" t="s">
        <v>168</v>
      </c>
    </row>
    <row r="2009" spans="1:31" ht="15" customHeight="1" x14ac:dyDescent="0.25">
      <c r="A2009" s="20" t="s">
        <v>2783</v>
      </c>
      <c r="B2009" s="20" t="s">
        <v>2784</v>
      </c>
      <c r="C2009" s="20" t="s">
        <v>2785</v>
      </c>
      <c r="D2009" s="378" t="s">
        <v>2790</v>
      </c>
      <c r="E2009" s="384">
        <v>42809</v>
      </c>
      <c r="F2009" s="384">
        <v>47177</v>
      </c>
      <c r="G2009" s="378" t="s">
        <v>439</v>
      </c>
      <c r="H2009" s="20" t="s">
        <v>2787</v>
      </c>
      <c r="I2009" s="378">
        <v>2</v>
      </c>
      <c r="J2009" s="20" t="s">
        <v>163</v>
      </c>
      <c r="K2009" s="378" t="s">
        <v>2788</v>
      </c>
      <c r="L2009" s="378" t="s">
        <v>2789</v>
      </c>
      <c r="M2009" s="380" t="s">
        <v>443</v>
      </c>
      <c r="N2009" s="380">
        <v>38.200000000000003</v>
      </c>
      <c r="O2009" s="380" t="s">
        <v>443</v>
      </c>
      <c r="P2009" s="380" t="s">
        <v>443</v>
      </c>
      <c r="Q2009" s="381">
        <v>32.1</v>
      </c>
      <c r="R2009" s="381">
        <v>33.1</v>
      </c>
      <c r="S2009" s="381">
        <v>-1.01</v>
      </c>
      <c r="T2009" s="381">
        <v>1.1900000000000001E-2</v>
      </c>
      <c r="U2009" s="381">
        <v>0</v>
      </c>
      <c r="V2009" s="382">
        <v>33.111899999999999</v>
      </c>
      <c r="W2009" s="382">
        <v>0</v>
      </c>
      <c r="X2009" s="381">
        <v>0.84031413612565442</v>
      </c>
      <c r="Y2009" s="381">
        <v>0.86649214659685858</v>
      </c>
      <c r="Z2009" s="381">
        <v>-2.6439790575916229E-2</v>
      </c>
      <c r="AA2009" s="381">
        <v>3.1151832460732983E-4</v>
      </c>
      <c r="AB2009" s="381">
        <v>0</v>
      </c>
      <c r="AC2009" s="382">
        <v>0.86680366492146588</v>
      </c>
      <c r="AD2009" s="382">
        <v>0</v>
      </c>
      <c r="AE2009" s="381" t="s">
        <v>168</v>
      </c>
    </row>
    <row r="2010" spans="1:31" ht="15" customHeight="1" x14ac:dyDescent="0.25">
      <c r="A2010" s="20" t="s">
        <v>2783</v>
      </c>
      <c r="B2010" s="20" t="s">
        <v>2784</v>
      </c>
      <c r="C2010" s="20" t="s">
        <v>2785</v>
      </c>
      <c r="D2010" s="378" t="s">
        <v>2791</v>
      </c>
      <c r="E2010" s="384">
        <v>42809</v>
      </c>
      <c r="F2010" s="384">
        <v>47177</v>
      </c>
      <c r="G2010" s="378" t="s">
        <v>439</v>
      </c>
      <c r="H2010" s="20" t="s">
        <v>2787</v>
      </c>
      <c r="I2010" s="378">
        <v>2</v>
      </c>
      <c r="J2010" s="20" t="s">
        <v>163</v>
      </c>
      <c r="K2010" s="378" t="s">
        <v>2788</v>
      </c>
      <c r="L2010" s="378" t="s">
        <v>2789</v>
      </c>
      <c r="M2010" s="380" t="s">
        <v>443</v>
      </c>
      <c r="N2010" s="380">
        <v>37.799999999999997</v>
      </c>
      <c r="O2010" s="380" t="s">
        <v>443</v>
      </c>
      <c r="P2010" s="380" t="s">
        <v>443</v>
      </c>
      <c r="Q2010" s="381">
        <v>31.8</v>
      </c>
      <c r="R2010" s="381">
        <v>32.700000000000003</v>
      </c>
      <c r="S2010" s="381">
        <v>-1</v>
      </c>
      <c r="T2010" s="381">
        <v>1.17E-2</v>
      </c>
      <c r="U2010" s="381">
        <v>0</v>
      </c>
      <c r="V2010" s="382">
        <v>32.711700000000008</v>
      </c>
      <c r="W2010" s="382">
        <v>0</v>
      </c>
      <c r="X2010" s="381">
        <v>0.84126984126984139</v>
      </c>
      <c r="Y2010" s="381">
        <v>0.86507936507936523</v>
      </c>
      <c r="Z2010" s="381">
        <v>-2.6455026455026457E-2</v>
      </c>
      <c r="AA2010" s="381">
        <v>3.0952380952380956E-4</v>
      </c>
      <c r="AB2010" s="381">
        <v>0</v>
      </c>
      <c r="AC2010" s="382">
        <v>0.86538888888888899</v>
      </c>
      <c r="AD2010" s="382">
        <v>0</v>
      </c>
      <c r="AE2010" s="381" t="s">
        <v>168</v>
      </c>
    </row>
    <row r="2011" spans="1:31" ht="15" customHeight="1" x14ac:dyDescent="0.25">
      <c r="A2011" s="20" t="s">
        <v>2783</v>
      </c>
      <c r="B2011" s="20" t="s">
        <v>2784</v>
      </c>
      <c r="C2011" s="20" t="s">
        <v>2785</v>
      </c>
      <c r="D2011" s="378" t="s">
        <v>2792</v>
      </c>
      <c r="E2011" s="384">
        <v>43676</v>
      </c>
      <c r="F2011" s="384" t="s">
        <v>2793</v>
      </c>
      <c r="G2011" s="378" t="s">
        <v>439</v>
      </c>
      <c r="H2011" s="20" t="s">
        <v>2794</v>
      </c>
      <c r="I2011" s="378">
        <v>0</v>
      </c>
      <c r="J2011" s="20" t="s">
        <v>163</v>
      </c>
      <c r="K2011" s="378" t="s">
        <v>2795</v>
      </c>
      <c r="L2011" s="378" t="s">
        <v>2789</v>
      </c>
      <c r="M2011" s="380" t="s">
        <v>443</v>
      </c>
      <c r="N2011" s="380">
        <v>54.997</v>
      </c>
      <c r="O2011" s="380" t="s">
        <v>443</v>
      </c>
      <c r="P2011" s="380" t="s">
        <v>443</v>
      </c>
      <c r="Q2011" s="381">
        <v>19</v>
      </c>
      <c r="R2011" s="381">
        <v>0</v>
      </c>
      <c r="S2011" s="381">
        <v>0</v>
      </c>
      <c r="T2011" s="381">
        <v>0</v>
      </c>
      <c r="U2011" s="381">
        <v>0</v>
      </c>
      <c r="V2011" s="382">
        <v>19</v>
      </c>
      <c r="W2011" s="382">
        <v>0</v>
      </c>
      <c r="X2011" s="381">
        <v>0.34547338945760681</v>
      </c>
      <c r="Y2011" s="381">
        <v>0</v>
      </c>
      <c r="Z2011" s="381">
        <v>0</v>
      </c>
      <c r="AA2011" s="381">
        <v>0</v>
      </c>
      <c r="AB2011" s="381">
        <v>0</v>
      </c>
      <c r="AC2011" s="382">
        <v>0.34547338945760681</v>
      </c>
      <c r="AD2011" s="382">
        <v>0</v>
      </c>
      <c r="AE2011" s="381" t="s">
        <v>168</v>
      </c>
    </row>
    <row r="2012" spans="1:31" ht="15" customHeight="1" x14ac:dyDescent="0.25">
      <c r="A2012" s="20" t="s">
        <v>2783</v>
      </c>
      <c r="B2012" s="20" t="s">
        <v>2784</v>
      </c>
      <c r="C2012" s="20" t="s">
        <v>2785</v>
      </c>
      <c r="D2012" s="378" t="s">
        <v>2796</v>
      </c>
      <c r="E2012" s="384">
        <v>43676</v>
      </c>
      <c r="F2012" s="384" t="s">
        <v>2793</v>
      </c>
      <c r="G2012" s="378" t="s">
        <v>439</v>
      </c>
      <c r="H2012" s="20" t="s">
        <v>2794</v>
      </c>
      <c r="I2012" s="378">
        <v>0</v>
      </c>
      <c r="J2012" s="20" t="s">
        <v>163</v>
      </c>
      <c r="K2012" s="378" t="s">
        <v>2795</v>
      </c>
      <c r="L2012" s="378" t="s">
        <v>2789</v>
      </c>
      <c r="M2012" s="380" t="s">
        <v>443</v>
      </c>
      <c r="N2012" s="380">
        <v>60.817999999999998</v>
      </c>
      <c r="O2012" s="380" t="s">
        <v>443</v>
      </c>
      <c r="P2012" s="380" t="s">
        <v>443</v>
      </c>
      <c r="Q2012" s="381">
        <v>23</v>
      </c>
      <c r="R2012" s="381">
        <v>0</v>
      </c>
      <c r="S2012" s="381">
        <v>0</v>
      </c>
      <c r="T2012" s="381">
        <v>0</v>
      </c>
      <c r="U2012" s="381">
        <v>0</v>
      </c>
      <c r="V2012" s="382">
        <v>23</v>
      </c>
      <c r="W2012" s="382">
        <v>0</v>
      </c>
      <c r="X2012" s="381">
        <v>0.37817751323621296</v>
      </c>
      <c r="Y2012" s="381">
        <v>0</v>
      </c>
      <c r="Z2012" s="381">
        <v>0</v>
      </c>
      <c r="AA2012" s="381">
        <v>0</v>
      </c>
      <c r="AB2012" s="381">
        <v>0</v>
      </c>
      <c r="AC2012" s="382">
        <v>0.37817751323621296</v>
      </c>
      <c r="AD2012" s="382">
        <v>0</v>
      </c>
      <c r="AE2012" s="381" t="s">
        <v>168</v>
      </c>
    </row>
    <row r="2013" spans="1:31" ht="15" customHeight="1" x14ac:dyDescent="0.25">
      <c r="A2013" s="20" t="s">
        <v>2783</v>
      </c>
      <c r="B2013" s="20" t="s">
        <v>2784</v>
      </c>
      <c r="C2013" s="20" t="s">
        <v>2785</v>
      </c>
      <c r="D2013" s="378" t="s">
        <v>2797</v>
      </c>
      <c r="E2013" s="384">
        <v>43676</v>
      </c>
      <c r="F2013" s="384" t="s">
        <v>2793</v>
      </c>
      <c r="G2013" s="378" t="s">
        <v>439</v>
      </c>
      <c r="H2013" s="20" t="s">
        <v>2794</v>
      </c>
      <c r="I2013" s="378">
        <v>0</v>
      </c>
      <c r="J2013" s="20" t="s">
        <v>163</v>
      </c>
      <c r="K2013" s="378" t="s">
        <v>2795</v>
      </c>
      <c r="L2013" s="378" t="s">
        <v>2789</v>
      </c>
      <c r="M2013" s="380" t="s">
        <v>443</v>
      </c>
      <c r="N2013" s="380">
        <v>65.481999999999985</v>
      </c>
      <c r="O2013" s="380" t="s">
        <v>443</v>
      </c>
      <c r="P2013" s="380" t="s">
        <v>443</v>
      </c>
      <c r="Q2013" s="381">
        <v>25</v>
      </c>
      <c r="R2013" s="381">
        <v>0</v>
      </c>
      <c r="S2013" s="381">
        <v>0</v>
      </c>
      <c r="T2013" s="381">
        <v>0</v>
      </c>
      <c r="U2013" s="381">
        <v>0</v>
      </c>
      <c r="V2013" s="382">
        <v>25</v>
      </c>
      <c r="W2013" s="382">
        <v>0</v>
      </c>
      <c r="X2013" s="381">
        <v>0.38178430713783951</v>
      </c>
      <c r="Y2013" s="381">
        <v>0</v>
      </c>
      <c r="Z2013" s="381">
        <v>0</v>
      </c>
      <c r="AA2013" s="381">
        <v>0</v>
      </c>
      <c r="AB2013" s="381">
        <v>0</v>
      </c>
      <c r="AC2013" s="382">
        <v>0.38178430713783951</v>
      </c>
      <c r="AD2013" s="382">
        <v>0</v>
      </c>
      <c r="AE2013" s="381" t="s">
        <v>168</v>
      </c>
    </row>
    <row r="2014" spans="1:31" ht="15" customHeight="1" x14ac:dyDescent="0.25">
      <c r="A2014" s="20" t="s">
        <v>2783</v>
      </c>
      <c r="B2014" s="20" t="s">
        <v>2784</v>
      </c>
      <c r="C2014" s="20" t="s">
        <v>2785</v>
      </c>
      <c r="D2014" s="378" t="s">
        <v>2798</v>
      </c>
      <c r="E2014" s="384">
        <v>43676</v>
      </c>
      <c r="F2014" s="384" t="s">
        <v>2793</v>
      </c>
      <c r="G2014" s="378" t="s">
        <v>439</v>
      </c>
      <c r="H2014" s="20" t="s">
        <v>2794</v>
      </c>
      <c r="I2014" s="378">
        <v>0</v>
      </c>
      <c r="J2014" s="20" t="s">
        <v>163</v>
      </c>
      <c r="K2014" s="378" t="s">
        <v>2795</v>
      </c>
      <c r="L2014" s="378" t="s">
        <v>2789</v>
      </c>
      <c r="M2014" s="380" t="s">
        <v>443</v>
      </c>
      <c r="N2014" s="380">
        <v>55.326999999999998</v>
      </c>
      <c r="O2014" s="380" t="s">
        <v>443</v>
      </c>
      <c r="P2014" s="380" t="s">
        <v>443</v>
      </c>
      <c r="Q2014" s="381">
        <v>20</v>
      </c>
      <c r="R2014" s="381">
        <v>0</v>
      </c>
      <c r="S2014" s="381">
        <v>0</v>
      </c>
      <c r="T2014" s="381">
        <v>0</v>
      </c>
      <c r="U2014" s="381">
        <v>0</v>
      </c>
      <c r="V2014" s="382">
        <v>20</v>
      </c>
      <c r="W2014" s="382">
        <v>0</v>
      </c>
      <c r="X2014" s="381">
        <v>0.36148715816870608</v>
      </c>
      <c r="Y2014" s="381">
        <v>0</v>
      </c>
      <c r="Z2014" s="381">
        <v>0</v>
      </c>
      <c r="AA2014" s="381">
        <v>0</v>
      </c>
      <c r="AB2014" s="381">
        <v>0</v>
      </c>
      <c r="AC2014" s="382">
        <v>0.36148715816870608</v>
      </c>
      <c r="AD2014" s="382">
        <v>0</v>
      </c>
      <c r="AE2014" s="381" t="s">
        <v>168</v>
      </c>
    </row>
    <row r="2015" spans="1:31" ht="15" customHeight="1" x14ac:dyDescent="0.25">
      <c r="A2015" s="20" t="s">
        <v>2783</v>
      </c>
      <c r="B2015" s="20" t="s">
        <v>2784</v>
      </c>
      <c r="C2015" s="20" t="s">
        <v>2785</v>
      </c>
      <c r="D2015" s="378" t="s">
        <v>2799</v>
      </c>
      <c r="E2015" s="384">
        <v>43676</v>
      </c>
      <c r="F2015" s="384" t="s">
        <v>2793</v>
      </c>
      <c r="G2015" s="378" t="s">
        <v>439</v>
      </c>
      <c r="H2015" s="20" t="s">
        <v>2794</v>
      </c>
      <c r="I2015" s="378">
        <v>0</v>
      </c>
      <c r="J2015" s="20" t="s">
        <v>163</v>
      </c>
      <c r="K2015" s="378" t="s">
        <v>2795</v>
      </c>
      <c r="L2015" s="378" t="s">
        <v>2789</v>
      </c>
      <c r="M2015" s="380" t="s">
        <v>443</v>
      </c>
      <c r="N2015" s="380">
        <v>61.147999999999996</v>
      </c>
      <c r="O2015" s="380" t="s">
        <v>443</v>
      </c>
      <c r="P2015" s="380" t="s">
        <v>443</v>
      </c>
      <c r="Q2015" s="381">
        <v>23</v>
      </c>
      <c r="R2015" s="381">
        <v>0</v>
      </c>
      <c r="S2015" s="381">
        <v>0</v>
      </c>
      <c r="T2015" s="381">
        <v>0</v>
      </c>
      <c r="U2015" s="381">
        <v>0</v>
      </c>
      <c r="V2015" s="382">
        <v>23</v>
      </c>
      <c r="W2015" s="382">
        <v>0</v>
      </c>
      <c r="X2015" s="381">
        <v>0.37613658664224509</v>
      </c>
      <c r="Y2015" s="381">
        <v>0</v>
      </c>
      <c r="Z2015" s="381">
        <v>0</v>
      </c>
      <c r="AA2015" s="381">
        <v>0</v>
      </c>
      <c r="AB2015" s="381">
        <v>0</v>
      </c>
      <c r="AC2015" s="382">
        <v>0.37613658664224509</v>
      </c>
      <c r="AD2015" s="382">
        <v>0</v>
      </c>
      <c r="AE2015" s="381" t="s">
        <v>168</v>
      </c>
    </row>
    <row r="2016" spans="1:31" ht="15" customHeight="1" x14ac:dyDescent="0.25">
      <c r="A2016" s="20" t="s">
        <v>2783</v>
      </c>
      <c r="B2016" s="20" t="s">
        <v>2784</v>
      </c>
      <c r="C2016" s="20" t="s">
        <v>2785</v>
      </c>
      <c r="D2016" s="378" t="s">
        <v>2800</v>
      </c>
      <c r="E2016" s="384">
        <v>43676</v>
      </c>
      <c r="F2016" s="384" t="s">
        <v>2793</v>
      </c>
      <c r="G2016" s="378" t="s">
        <v>439</v>
      </c>
      <c r="H2016" s="20" t="s">
        <v>2794</v>
      </c>
      <c r="I2016" s="378">
        <v>0</v>
      </c>
      <c r="J2016" s="20" t="s">
        <v>163</v>
      </c>
      <c r="K2016" s="378" t="s">
        <v>2795</v>
      </c>
      <c r="L2016" s="378" t="s">
        <v>2789</v>
      </c>
      <c r="M2016" s="380" t="s">
        <v>443</v>
      </c>
      <c r="N2016" s="380">
        <v>65.811999999999998</v>
      </c>
      <c r="O2016" s="380" t="s">
        <v>443</v>
      </c>
      <c r="P2016" s="380" t="s">
        <v>443</v>
      </c>
      <c r="Q2016" s="381">
        <v>26</v>
      </c>
      <c r="R2016" s="381">
        <v>0</v>
      </c>
      <c r="S2016" s="381">
        <v>0</v>
      </c>
      <c r="T2016" s="381">
        <v>0</v>
      </c>
      <c r="U2016" s="381">
        <v>0</v>
      </c>
      <c r="V2016" s="382">
        <v>26</v>
      </c>
      <c r="W2016" s="382">
        <v>0</v>
      </c>
      <c r="X2016" s="381">
        <v>0.39506472983650398</v>
      </c>
      <c r="Y2016" s="381">
        <v>0</v>
      </c>
      <c r="Z2016" s="381">
        <v>0</v>
      </c>
      <c r="AA2016" s="381">
        <v>0</v>
      </c>
      <c r="AB2016" s="381">
        <v>0</v>
      </c>
      <c r="AC2016" s="382">
        <v>0.39506472983650398</v>
      </c>
      <c r="AD2016" s="382">
        <v>0</v>
      </c>
      <c r="AE2016" s="381" t="s">
        <v>168</v>
      </c>
    </row>
    <row r="2017" spans="1:31" ht="15" customHeight="1" x14ac:dyDescent="0.25">
      <c r="A2017" s="20" t="s">
        <v>2783</v>
      </c>
      <c r="B2017" s="20" t="s">
        <v>2784</v>
      </c>
      <c r="C2017" s="20" t="s">
        <v>2785</v>
      </c>
      <c r="D2017" s="378" t="s">
        <v>2801</v>
      </c>
      <c r="E2017" s="384">
        <v>43676</v>
      </c>
      <c r="F2017" s="384" t="s">
        <v>2793</v>
      </c>
      <c r="G2017" s="378" t="s">
        <v>439</v>
      </c>
      <c r="H2017" s="20" t="s">
        <v>2794</v>
      </c>
      <c r="I2017" s="378">
        <v>0</v>
      </c>
      <c r="J2017" s="20" t="s">
        <v>163</v>
      </c>
      <c r="K2017" s="378" t="s">
        <v>2795</v>
      </c>
      <c r="L2017" s="378" t="s">
        <v>2789</v>
      </c>
      <c r="M2017" s="380" t="s">
        <v>443</v>
      </c>
      <c r="N2017" s="380">
        <v>55.987000000000002</v>
      </c>
      <c r="O2017" s="380" t="s">
        <v>443</v>
      </c>
      <c r="P2017" s="380" t="s">
        <v>443</v>
      </c>
      <c r="Q2017" s="381">
        <v>20.3</v>
      </c>
      <c r="R2017" s="381">
        <v>0</v>
      </c>
      <c r="S2017" s="381">
        <v>0</v>
      </c>
      <c r="T2017" s="381">
        <v>0</v>
      </c>
      <c r="U2017" s="381">
        <v>0</v>
      </c>
      <c r="V2017" s="382">
        <v>20.3</v>
      </c>
      <c r="W2017" s="382">
        <v>0</v>
      </c>
      <c r="X2017" s="381">
        <v>0.36258417132548626</v>
      </c>
      <c r="Y2017" s="381">
        <v>0</v>
      </c>
      <c r="Z2017" s="381">
        <v>0</v>
      </c>
      <c r="AA2017" s="381">
        <v>0</v>
      </c>
      <c r="AB2017" s="381">
        <v>0</v>
      </c>
      <c r="AC2017" s="382">
        <v>0.36258417132548626</v>
      </c>
      <c r="AD2017" s="382">
        <v>0</v>
      </c>
      <c r="AE2017" s="381" t="s">
        <v>168</v>
      </c>
    </row>
    <row r="2018" spans="1:31" ht="15" customHeight="1" x14ac:dyDescent="0.25">
      <c r="A2018" s="20" t="s">
        <v>2783</v>
      </c>
      <c r="B2018" s="20" t="s">
        <v>2784</v>
      </c>
      <c r="C2018" s="20" t="s">
        <v>2785</v>
      </c>
      <c r="D2018" s="378" t="s">
        <v>2802</v>
      </c>
      <c r="E2018" s="384">
        <v>43676</v>
      </c>
      <c r="F2018" s="384" t="s">
        <v>2793</v>
      </c>
      <c r="G2018" s="378" t="s">
        <v>439</v>
      </c>
      <c r="H2018" s="20" t="s">
        <v>2794</v>
      </c>
      <c r="I2018" s="378">
        <v>0</v>
      </c>
      <c r="J2018" s="20" t="s">
        <v>163</v>
      </c>
      <c r="K2018" s="378" t="s">
        <v>2795</v>
      </c>
      <c r="L2018" s="378" t="s">
        <v>2789</v>
      </c>
      <c r="M2018" s="380" t="s">
        <v>443</v>
      </c>
      <c r="N2018" s="380">
        <v>61.808</v>
      </c>
      <c r="O2018" s="380" t="s">
        <v>443</v>
      </c>
      <c r="P2018" s="380" t="s">
        <v>443</v>
      </c>
      <c r="Q2018" s="381">
        <v>24</v>
      </c>
      <c r="R2018" s="381">
        <v>0</v>
      </c>
      <c r="S2018" s="381">
        <v>0</v>
      </c>
      <c r="T2018" s="381">
        <v>0</v>
      </c>
      <c r="U2018" s="381">
        <v>0</v>
      </c>
      <c r="V2018" s="382">
        <v>24</v>
      </c>
      <c r="W2018" s="382">
        <v>0</v>
      </c>
      <c r="X2018" s="381">
        <v>0.38829924928811804</v>
      </c>
      <c r="Y2018" s="381">
        <v>0</v>
      </c>
      <c r="Z2018" s="381">
        <v>0</v>
      </c>
      <c r="AA2018" s="381">
        <v>0</v>
      </c>
      <c r="AB2018" s="381">
        <v>0</v>
      </c>
      <c r="AC2018" s="382">
        <v>0.38829924928811804</v>
      </c>
      <c r="AD2018" s="382">
        <v>0</v>
      </c>
      <c r="AE2018" s="381" t="s">
        <v>168</v>
      </c>
    </row>
    <row r="2019" spans="1:31" ht="15" customHeight="1" x14ac:dyDescent="0.25">
      <c r="A2019" s="20" t="s">
        <v>2783</v>
      </c>
      <c r="B2019" s="20" t="s">
        <v>2784</v>
      </c>
      <c r="C2019" s="20" t="s">
        <v>2785</v>
      </c>
      <c r="D2019" s="378" t="s">
        <v>2803</v>
      </c>
      <c r="E2019" s="384">
        <v>43676</v>
      </c>
      <c r="F2019" s="384" t="s">
        <v>2793</v>
      </c>
      <c r="G2019" s="378" t="s">
        <v>439</v>
      </c>
      <c r="H2019" s="20" t="s">
        <v>2794</v>
      </c>
      <c r="I2019" s="378">
        <v>0</v>
      </c>
      <c r="J2019" s="20" t="s">
        <v>163</v>
      </c>
      <c r="K2019" s="378" t="s">
        <v>2795</v>
      </c>
      <c r="L2019" s="378" t="s">
        <v>2789</v>
      </c>
      <c r="M2019" s="380" t="s">
        <v>443</v>
      </c>
      <c r="N2019" s="380">
        <v>66.471999999999994</v>
      </c>
      <c r="O2019" s="380" t="s">
        <v>443</v>
      </c>
      <c r="P2019" s="380" t="s">
        <v>443</v>
      </c>
      <c r="Q2019" s="381">
        <v>26.5</v>
      </c>
      <c r="R2019" s="381">
        <v>0</v>
      </c>
      <c r="S2019" s="381">
        <v>0</v>
      </c>
      <c r="T2019" s="381">
        <v>0</v>
      </c>
      <c r="U2019" s="381">
        <v>0</v>
      </c>
      <c r="V2019" s="382">
        <v>26.5</v>
      </c>
      <c r="W2019" s="382">
        <v>0</v>
      </c>
      <c r="X2019" s="381">
        <v>0.39866409916957518</v>
      </c>
      <c r="Y2019" s="381">
        <v>0</v>
      </c>
      <c r="Z2019" s="381">
        <v>0</v>
      </c>
      <c r="AA2019" s="381">
        <v>0</v>
      </c>
      <c r="AB2019" s="381">
        <v>0</v>
      </c>
      <c r="AC2019" s="382">
        <v>0.39866409916957518</v>
      </c>
      <c r="AD2019" s="382">
        <v>0</v>
      </c>
      <c r="AE2019" s="381" t="s">
        <v>168</v>
      </c>
    </row>
    <row r="2020" spans="1:31" ht="15" customHeight="1" x14ac:dyDescent="0.25">
      <c r="A2020" s="20" t="s">
        <v>2783</v>
      </c>
      <c r="B2020" s="20" t="s">
        <v>2784</v>
      </c>
      <c r="C2020" s="20" t="s">
        <v>2785</v>
      </c>
      <c r="D2020" s="378" t="s">
        <v>2804</v>
      </c>
      <c r="E2020" s="384">
        <v>43676</v>
      </c>
      <c r="F2020" s="384" t="s">
        <v>2793</v>
      </c>
      <c r="G2020" s="378" t="s">
        <v>439</v>
      </c>
      <c r="H2020" s="20" t="s">
        <v>2794</v>
      </c>
      <c r="I2020" s="378">
        <v>0</v>
      </c>
      <c r="J2020" s="20" t="s">
        <v>163</v>
      </c>
      <c r="K2020" s="378" t="s">
        <v>2795</v>
      </c>
      <c r="L2020" s="378" t="s">
        <v>2789</v>
      </c>
      <c r="M2020" s="380" t="s">
        <v>443</v>
      </c>
      <c r="N2020" s="380">
        <v>65.393999999999991</v>
      </c>
      <c r="O2020" s="380" t="s">
        <v>443</v>
      </c>
      <c r="P2020" s="380" t="s">
        <v>443</v>
      </c>
      <c r="Q2020" s="381">
        <v>20</v>
      </c>
      <c r="R2020" s="381">
        <v>0</v>
      </c>
      <c r="S2020" s="381">
        <v>0</v>
      </c>
      <c r="T2020" s="381">
        <v>0</v>
      </c>
      <c r="U2020" s="381">
        <v>0</v>
      </c>
      <c r="V2020" s="382">
        <v>20</v>
      </c>
      <c r="W2020" s="382">
        <v>0</v>
      </c>
      <c r="X2020" s="381">
        <v>0.30583845612747351</v>
      </c>
      <c r="Y2020" s="381">
        <v>0</v>
      </c>
      <c r="Z2020" s="381">
        <v>0</v>
      </c>
      <c r="AA2020" s="381">
        <v>0</v>
      </c>
      <c r="AB2020" s="381">
        <v>0</v>
      </c>
      <c r="AC2020" s="382">
        <v>0.30583845612747351</v>
      </c>
      <c r="AD2020" s="382">
        <v>0</v>
      </c>
      <c r="AE2020" s="381" t="s">
        <v>168</v>
      </c>
    </row>
    <row r="2021" spans="1:31" ht="15" customHeight="1" x14ac:dyDescent="0.25">
      <c r="A2021" s="20" t="s">
        <v>2783</v>
      </c>
      <c r="B2021" s="20" t="s">
        <v>2784</v>
      </c>
      <c r="C2021" s="20" t="s">
        <v>2785</v>
      </c>
      <c r="D2021" s="378" t="s">
        <v>2805</v>
      </c>
      <c r="E2021" s="384">
        <v>43676</v>
      </c>
      <c r="F2021" s="384" t="s">
        <v>2793</v>
      </c>
      <c r="G2021" s="378" t="s">
        <v>439</v>
      </c>
      <c r="H2021" s="20" t="s">
        <v>2794</v>
      </c>
      <c r="I2021" s="378">
        <v>0</v>
      </c>
      <c r="J2021" s="20" t="s">
        <v>163</v>
      </c>
      <c r="K2021" s="378" t="s">
        <v>2795</v>
      </c>
      <c r="L2021" s="378" t="s">
        <v>2789</v>
      </c>
      <c r="M2021" s="380" t="s">
        <v>443</v>
      </c>
      <c r="N2021" s="380">
        <v>65.72399999999999</v>
      </c>
      <c r="O2021" s="380" t="s">
        <v>443</v>
      </c>
      <c r="P2021" s="380" t="s">
        <v>443</v>
      </c>
      <c r="Q2021" s="381">
        <v>21</v>
      </c>
      <c r="R2021" s="381">
        <v>0</v>
      </c>
      <c r="S2021" s="381">
        <v>0</v>
      </c>
      <c r="T2021" s="381">
        <v>0</v>
      </c>
      <c r="U2021" s="381">
        <v>0</v>
      </c>
      <c r="V2021" s="382">
        <v>21</v>
      </c>
      <c r="W2021" s="382">
        <v>0</v>
      </c>
      <c r="X2021" s="381">
        <v>0.3195179842979734</v>
      </c>
      <c r="Y2021" s="381">
        <v>0</v>
      </c>
      <c r="Z2021" s="381">
        <v>0</v>
      </c>
      <c r="AA2021" s="381">
        <v>0</v>
      </c>
      <c r="AB2021" s="381">
        <v>0</v>
      </c>
      <c r="AC2021" s="382">
        <v>0.3195179842979734</v>
      </c>
      <c r="AD2021" s="382">
        <v>0</v>
      </c>
      <c r="AE2021" s="381" t="s">
        <v>168</v>
      </c>
    </row>
    <row r="2022" spans="1:31" ht="15" customHeight="1" x14ac:dyDescent="0.25">
      <c r="A2022" s="20" t="s">
        <v>2783</v>
      </c>
      <c r="B2022" s="20" t="s">
        <v>2784</v>
      </c>
      <c r="C2022" s="20" t="s">
        <v>2785</v>
      </c>
      <c r="D2022" s="378" t="s">
        <v>2806</v>
      </c>
      <c r="E2022" s="384">
        <v>43676</v>
      </c>
      <c r="F2022" s="384" t="s">
        <v>2793</v>
      </c>
      <c r="G2022" s="378" t="s">
        <v>439</v>
      </c>
      <c r="H2022" s="20" t="s">
        <v>2794</v>
      </c>
      <c r="I2022" s="378">
        <v>0</v>
      </c>
      <c r="J2022" s="20" t="s">
        <v>163</v>
      </c>
      <c r="K2022" s="378" t="s">
        <v>2795</v>
      </c>
      <c r="L2022" s="378" t="s">
        <v>2789</v>
      </c>
      <c r="M2022" s="380" t="s">
        <v>443</v>
      </c>
      <c r="N2022" s="380">
        <v>66.383999999999986</v>
      </c>
      <c r="O2022" s="380" t="s">
        <v>443</v>
      </c>
      <c r="P2022" s="380" t="s">
        <v>443</v>
      </c>
      <c r="Q2022" s="381">
        <v>21</v>
      </c>
      <c r="R2022" s="381">
        <v>0</v>
      </c>
      <c r="S2022" s="381">
        <v>0</v>
      </c>
      <c r="T2022" s="381">
        <v>0</v>
      </c>
      <c r="U2022" s="381">
        <v>0</v>
      </c>
      <c r="V2022" s="382">
        <v>21</v>
      </c>
      <c r="W2022" s="382">
        <v>0</v>
      </c>
      <c r="X2022" s="381">
        <v>0.31634128705712228</v>
      </c>
      <c r="Y2022" s="381">
        <v>0</v>
      </c>
      <c r="Z2022" s="381">
        <v>0</v>
      </c>
      <c r="AA2022" s="381">
        <v>0</v>
      </c>
      <c r="AB2022" s="381">
        <v>0</v>
      </c>
      <c r="AC2022" s="382">
        <v>0.31634128705712228</v>
      </c>
      <c r="AD2022" s="382">
        <v>0</v>
      </c>
      <c r="AE2022" s="381" t="s">
        <v>168</v>
      </c>
    </row>
    <row r="2023" spans="1:31" ht="15" customHeight="1" x14ac:dyDescent="0.25">
      <c r="A2023" s="20" t="s">
        <v>2783</v>
      </c>
      <c r="B2023" s="20" t="s">
        <v>2784</v>
      </c>
      <c r="C2023" s="20" t="s">
        <v>2785</v>
      </c>
      <c r="D2023" s="378" t="s">
        <v>2807</v>
      </c>
      <c r="E2023" s="384">
        <v>44113</v>
      </c>
      <c r="F2023" s="384">
        <v>45939</v>
      </c>
      <c r="G2023" s="378" t="s">
        <v>439</v>
      </c>
      <c r="H2023" s="20" t="s">
        <v>2808</v>
      </c>
      <c r="I2023" s="378">
        <v>0</v>
      </c>
      <c r="J2023" s="20" t="s">
        <v>163</v>
      </c>
      <c r="K2023" s="378" t="s">
        <v>2809</v>
      </c>
      <c r="L2023" s="378" t="s">
        <v>2789</v>
      </c>
      <c r="M2023" s="380" t="s">
        <v>443</v>
      </c>
      <c r="N2023" s="380">
        <v>29.7</v>
      </c>
      <c r="O2023" s="380" t="s">
        <v>443</v>
      </c>
      <c r="P2023" s="380" t="s">
        <v>443</v>
      </c>
      <c r="Q2023" s="381">
        <v>34</v>
      </c>
      <c r="R2023" s="381">
        <v>0</v>
      </c>
      <c r="S2023" s="381">
        <v>0</v>
      </c>
      <c r="T2023" s="381">
        <v>0</v>
      </c>
      <c r="U2023" s="381">
        <v>0</v>
      </c>
      <c r="V2023" s="382">
        <v>34</v>
      </c>
      <c r="W2023" s="382">
        <v>0</v>
      </c>
      <c r="X2023" s="381">
        <v>1.1447811447811449</v>
      </c>
      <c r="Y2023" s="381">
        <v>0</v>
      </c>
      <c r="Z2023" s="381">
        <v>0</v>
      </c>
      <c r="AA2023" s="381">
        <v>0</v>
      </c>
      <c r="AB2023" s="381">
        <v>0</v>
      </c>
      <c r="AC2023" s="382">
        <v>1.1447811447811449</v>
      </c>
      <c r="AD2023" s="382">
        <v>0</v>
      </c>
      <c r="AE2023" s="381" t="s">
        <v>168</v>
      </c>
    </row>
    <row r="2024" spans="1:31" ht="15" customHeight="1" x14ac:dyDescent="0.25">
      <c r="A2024" s="20" t="s">
        <v>2783</v>
      </c>
      <c r="B2024" s="20" t="s">
        <v>2784</v>
      </c>
      <c r="C2024" s="20" t="s">
        <v>2785</v>
      </c>
      <c r="D2024" s="378" t="s">
        <v>2810</v>
      </c>
      <c r="E2024" s="384">
        <v>44113</v>
      </c>
      <c r="F2024" s="384">
        <v>45939</v>
      </c>
      <c r="G2024" s="378" t="s">
        <v>439</v>
      </c>
      <c r="H2024" s="20" t="s">
        <v>2808</v>
      </c>
      <c r="I2024" s="378">
        <v>0</v>
      </c>
      <c r="J2024" s="20" t="s">
        <v>163</v>
      </c>
      <c r="K2024" s="378" t="s">
        <v>2809</v>
      </c>
      <c r="L2024" s="378" t="s">
        <v>2789</v>
      </c>
      <c r="M2024" s="380" t="s">
        <v>443</v>
      </c>
      <c r="N2024" s="380">
        <v>31.7</v>
      </c>
      <c r="O2024" s="380" t="s">
        <v>443</v>
      </c>
      <c r="P2024" s="380" t="s">
        <v>443</v>
      </c>
      <c r="Q2024" s="381">
        <v>37</v>
      </c>
      <c r="R2024" s="381">
        <v>0</v>
      </c>
      <c r="S2024" s="381">
        <v>0</v>
      </c>
      <c r="T2024" s="381">
        <v>0</v>
      </c>
      <c r="U2024" s="381">
        <v>0</v>
      </c>
      <c r="V2024" s="382">
        <v>37</v>
      </c>
      <c r="W2024" s="382">
        <v>0</v>
      </c>
      <c r="X2024" s="381">
        <v>1.1671924290220821</v>
      </c>
      <c r="Y2024" s="381">
        <v>0</v>
      </c>
      <c r="Z2024" s="381">
        <v>0</v>
      </c>
      <c r="AA2024" s="381">
        <v>0</v>
      </c>
      <c r="AB2024" s="381">
        <v>0</v>
      </c>
      <c r="AC2024" s="382">
        <v>1.1671924290220821</v>
      </c>
      <c r="AD2024" s="382">
        <v>0</v>
      </c>
      <c r="AE2024" s="381" t="s">
        <v>168</v>
      </c>
    </row>
    <row r="2025" spans="1:31" ht="15" customHeight="1" x14ac:dyDescent="0.25">
      <c r="A2025" s="20" t="s">
        <v>2783</v>
      </c>
      <c r="B2025" s="20" t="s">
        <v>2784</v>
      </c>
      <c r="C2025" s="20" t="s">
        <v>2785</v>
      </c>
      <c r="D2025" s="378" t="s">
        <v>2811</v>
      </c>
      <c r="E2025" s="384">
        <v>44113</v>
      </c>
      <c r="F2025" s="384">
        <v>45939</v>
      </c>
      <c r="G2025" s="378" t="s">
        <v>439</v>
      </c>
      <c r="H2025" s="20" t="s">
        <v>2808</v>
      </c>
      <c r="I2025" s="378">
        <v>0</v>
      </c>
      <c r="J2025" s="20" t="s">
        <v>163</v>
      </c>
      <c r="K2025" s="378" t="s">
        <v>2809</v>
      </c>
      <c r="L2025" s="378" t="s">
        <v>2789</v>
      </c>
      <c r="M2025" s="380" t="s">
        <v>443</v>
      </c>
      <c r="N2025" s="380">
        <v>33.6</v>
      </c>
      <c r="O2025" s="380" t="s">
        <v>443</v>
      </c>
      <c r="P2025" s="380" t="s">
        <v>443</v>
      </c>
      <c r="Q2025" s="381">
        <v>39</v>
      </c>
      <c r="R2025" s="381">
        <v>0</v>
      </c>
      <c r="S2025" s="381">
        <v>0</v>
      </c>
      <c r="T2025" s="381">
        <v>0</v>
      </c>
      <c r="U2025" s="381">
        <v>0</v>
      </c>
      <c r="V2025" s="382">
        <v>39</v>
      </c>
      <c r="W2025" s="382">
        <v>0</v>
      </c>
      <c r="X2025" s="381">
        <v>1.1607142857142856</v>
      </c>
      <c r="Y2025" s="381">
        <v>0</v>
      </c>
      <c r="Z2025" s="381">
        <v>0</v>
      </c>
      <c r="AA2025" s="381">
        <v>0</v>
      </c>
      <c r="AB2025" s="381">
        <v>0</v>
      </c>
      <c r="AC2025" s="382">
        <v>1.1607142857142856</v>
      </c>
      <c r="AD2025" s="382">
        <v>0</v>
      </c>
      <c r="AE2025" s="381" t="s">
        <v>168</v>
      </c>
    </row>
    <row r="2026" spans="1:31" ht="15" customHeight="1" x14ac:dyDescent="0.25">
      <c r="A2026" s="20" t="s">
        <v>2783</v>
      </c>
      <c r="B2026" s="20" t="s">
        <v>2784</v>
      </c>
      <c r="C2026" s="20" t="s">
        <v>2785</v>
      </c>
      <c r="D2026" s="378" t="s">
        <v>2812</v>
      </c>
      <c r="E2026" s="384">
        <v>44113</v>
      </c>
      <c r="F2026" s="384">
        <v>45939</v>
      </c>
      <c r="G2026" s="378" t="s">
        <v>439</v>
      </c>
      <c r="H2026" s="20" t="s">
        <v>2808</v>
      </c>
      <c r="I2026" s="378">
        <v>0</v>
      </c>
      <c r="J2026" s="20" t="s">
        <v>163</v>
      </c>
      <c r="K2026" s="378" t="s">
        <v>2809</v>
      </c>
      <c r="L2026" s="378" t="s">
        <v>2789</v>
      </c>
      <c r="M2026" s="380" t="s">
        <v>443</v>
      </c>
      <c r="N2026" s="380">
        <v>41.3</v>
      </c>
      <c r="O2026" s="380" t="s">
        <v>443</v>
      </c>
      <c r="P2026" s="380" t="s">
        <v>443</v>
      </c>
      <c r="Q2026" s="381">
        <v>50</v>
      </c>
      <c r="R2026" s="381">
        <v>0</v>
      </c>
      <c r="S2026" s="381">
        <v>0</v>
      </c>
      <c r="T2026" s="381">
        <v>0</v>
      </c>
      <c r="U2026" s="381">
        <v>0</v>
      </c>
      <c r="V2026" s="382">
        <v>50</v>
      </c>
      <c r="W2026" s="382">
        <v>0</v>
      </c>
      <c r="X2026" s="381">
        <v>1.2106537530266344</v>
      </c>
      <c r="Y2026" s="381">
        <v>0</v>
      </c>
      <c r="Z2026" s="381">
        <v>0</v>
      </c>
      <c r="AA2026" s="381">
        <v>0</v>
      </c>
      <c r="AB2026" s="381">
        <v>0</v>
      </c>
      <c r="AC2026" s="382">
        <v>1.2106537530266344</v>
      </c>
      <c r="AD2026" s="382">
        <v>0</v>
      </c>
      <c r="AE2026" s="381" t="s">
        <v>168</v>
      </c>
    </row>
    <row r="2027" spans="1:31" ht="15" customHeight="1" x14ac:dyDescent="0.25">
      <c r="A2027" s="20" t="s">
        <v>2783</v>
      </c>
      <c r="B2027" s="20" t="s">
        <v>2784</v>
      </c>
      <c r="C2027" s="20" t="s">
        <v>2785</v>
      </c>
      <c r="D2027" s="378" t="s">
        <v>2813</v>
      </c>
      <c r="E2027" s="384">
        <v>44113</v>
      </c>
      <c r="F2027" s="384">
        <v>45939</v>
      </c>
      <c r="G2027" s="378" t="s">
        <v>439</v>
      </c>
      <c r="H2027" s="20" t="s">
        <v>2808</v>
      </c>
      <c r="I2027" s="378">
        <v>0</v>
      </c>
      <c r="J2027" s="20" t="s">
        <v>163</v>
      </c>
      <c r="K2027" s="378" t="s">
        <v>2809</v>
      </c>
      <c r="L2027" s="378" t="s">
        <v>2789</v>
      </c>
      <c r="M2027" s="380" t="s">
        <v>443</v>
      </c>
      <c r="N2027" s="380">
        <v>47.9</v>
      </c>
      <c r="O2027" s="380" t="s">
        <v>443</v>
      </c>
      <c r="P2027" s="380" t="s">
        <v>443</v>
      </c>
      <c r="Q2027" s="381">
        <v>59</v>
      </c>
      <c r="R2027" s="381">
        <v>0</v>
      </c>
      <c r="S2027" s="381">
        <v>0</v>
      </c>
      <c r="T2027" s="381">
        <v>0</v>
      </c>
      <c r="U2027" s="381">
        <v>0</v>
      </c>
      <c r="V2027" s="382">
        <v>59</v>
      </c>
      <c r="W2027" s="382">
        <v>0</v>
      </c>
      <c r="X2027" s="381">
        <v>1.2317327766179542</v>
      </c>
      <c r="Y2027" s="381">
        <v>0</v>
      </c>
      <c r="Z2027" s="381">
        <v>0</v>
      </c>
      <c r="AA2027" s="381">
        <v>0</v>
      </c>
      <c r="AB2027" s="381">
        <v>0</v>
      </c>
      <c r="AC2027" s="382">
        <v>1.2317327766179542</v>
      </c>
      <c r="AD2027" s="382">
        <v>0</v>
      </c>
      <c r="AE2027" s="381" t="s">
        <v>168</v>
      </c>
    </row>
    <row r="2028" spans="1:31" ht="15" customHeight="1" x14ac:dyDescent="0.25">
      <c r="A2028" s="20" t="s">
        <v>2783</v>
      </c>
      <c r="B2028" s="20" t="s">
        <v>2784</v>
      </c>
      <c r="C2028" s="20" t="s">
        <v>2785</v>
      </c>
      <c r="D2028" s="378" t="s">
        <v>2814</v>
      </c>
      <c r="E2028" s="384">
        <v>44113</v>
      </c>
      <c r="F2028" s="384">
        <v>45939</v>
      </c>
      <c r="G2028" s="378" t="s">
        <v>439</v>
      </c>
      <c r="H2028" s="20" t="s">
        <v>2808</v>
      </c>
      <c r="I2028" s="378">
        <v>0</v>
      </c>
      <c r="J2028" s="20" t="s">
        <v>163</v>
      </c>
      <c r="K2028" s="378" t="s">
        <v>2809</v>
      </c>
      <c r="L2028" s="378" t="s">
        <v>2789</v>
      </c>
      <c r="M2028" s="380" t="s">
        <v>443</v>
      </c>
      <c r="N2028" s="380">
        <v>52</v>
      </c>
      <c r="O2028" s="380" t="s">
        <v>443</v>
      </c>
      <c r="P2028" s="380" t="s">
        <v>443</v>
      </c>
      <c r="Q2028" s="381">
        <v>64</v>
      </c>
      <c r="R2028" s="381">
        <v>0</v>
      </c>
      <c r="S2028" s="381">
        <v>0</v>
      </c>
      <c r="T2028" s="381">
        <v>0</v>
      </c>
      <c r="U2028" s="381">
        <v>0</v>
      </c>
      <c r="V2028" s="382">
        <v>64</v>
      </c>
      <c r="W2028" s="382">
        <v>0</v>
      </c>
      <c r="X2028" s="381">
        <v>1.2307692307692308</v>
      </c>
      <c r="Y2028" s="381">
        <v>0</v>
      </c>
      <c r="Z2028" s="381">
        <v>0</v>
      </c>
      <c r="AA2028" s="381">
        <v>0</v>
      </c>
      <c r="AB2028" s="381">
        <v>0</v>
      </c>
      <c r="AC2028" s="382">
        <v>1.2307692307692308</v>
      </c>
      <c r="AD2028" s="382">
        <v>0</v>
      </c>
      <c r="AE2028" s="381" t="s">
        <v>168</v>
      </c>
    </row>
    <row r="2029" spans="1:31" ht="15" customHeight="1" x14ac:dyDescent="0.25">
      <c r="A2029" s="20" t="s">
        <v>2783</v>
      </c>
      <c r="B2029" s="20" t="s">
        <v>2784</v>
      </c>
      <c r="C2029" s="20" t="s">
        <v>2785</v>
      </c>
      <c r="D2029" s="378" t="s">
        <v>2815</v>
      </c>
      <c r="E2029" s="384">
        <v>44113</v>
      </c>
      <c r="F2029" s="384">
        <v>45939</v>
      </c>
      <c r="G2029" s="378" t="s">
        <v>439</v>
      </c>
      <c r="H2029" s="20" t="s">
        <v>2808</v>
      </c>
      <c r="I2029" s="378">
        <v>0</v>
      </c>
      <c r="J2029" s="20" t="s">
        <v>163</v>
      </c>
      <c r="K2029" s="378" t="s">
        <v>2809</v>
      </c>
      <c r="L2029" s="378" t="s">
        <v>2789</v>
      </c>
      <c r="M2029" s="380" t="s">
        <v>443</v>
      </c>
      <c r="N2029" s="380">
        <v>57.1</v>
      </c>
      <c r="O2029" s="380" t="s">
        <v>443</v>
      </c>
      <c r="P2029" s="380" t="s">
        <v>443</v>
      </c>
      <c r="Q2029" s="381">
        <v>71</v>
      </c>
      <c r="R2029" s="381">
        <v>0</v>
      </c>
      <c r="S2029" s="381">
        <v>0</v>
      </c>
      <c r="T2029" s="381">
        <v>0</v>
      </c>
      <c r="U2029" s="381">
        <v>0</v>
      </c>
      <c r="V2029" s="382">
        <v>71</v>
      </c>
      <c r="W2029" s="382">
        <v>0</v>
      </c>
      <c r="X2029" s="381">
        <v>1.243432574430823</v>
      </c>
      <c r="Y2029" s="381">
        <v>0</v>
      </c>
      <c r="Z2029" s="381">
        <v>0</v>
      </c>
      <c r="AA2029" s="381">
        <v>0</v>
      </c>
      <c r="AB2029" s="381">
        <v>0</v>
      </c>
      <c r="AC2029" s="382">
        <v>1.243432574430823</v>
      </c>
      <c r="AD2029" s="382">
        <v>0</v>
      </c>
      <c r="AE2029" s="381" t="s">
        <v>168</v>
      </c>
    </row>
    <row r="2030" spans="1:31" ht="15" customHeight="1" x14ac:dyDescent="0.25">
      <c r="A2030" s="20" t="s">
        <v>2783</v>
      </c>
      <c r="B2030" s="20" t="s">
        <v>2784</v>
      </c>
      <c r="C2030" s="20" t="s">
        <v>2785</v>
      </c>
      <c r="D2030" s="378" t="s">
        <v>2816</v>
      </c>
      <c r="E2030" s="384">
        <v>44113</v>
      </c>
      <c r="F2030" s="384">
        <v>45939</v>
      </c>
      <c r="G2030" s="378" t="s">
        <v>439</v>
      </c>
      <c r="H2030" s="20" t="s">
        <v>2808</v>
      </c>
      <c r="I2030" s="378">
        <v>0</v>
      </c>
      <c r="J2030" s="20" t="s">
        <v>163</v>
      </c>
      <c r="K2030" s="378" t="s">
        <v>2809</v>
      </c>
      <c r="L2030" s="378" t="s">
        <v>2789</v>
      </c>
      <c r="M2030" s="380" t="s">
        <v>443</v>
      </c>
      <c r="N2030" s="380">
        <v>33.6</v>
      </c>
      <c r="O2030" s="380" t="s">
        <v>443</v>
      </c>
      <c r="P2030" s="380" t="s">
        <v>443</v>
      </c>
      <c r="Q2030" s="381">
        <v>41</v>
      </c>
      <c r="R2030" s="381">
        <v>0</v>
      </c>
      <c r="S2030" s="381">
        <v>0</v>
      </c>
      <c r="T2030" s="381">
        <v>0</v>
      </c>
      <c r="U2030" s="381">
        <v>0</v>
      </c>
      <c r="V2030" s="382">
        <v>41</v>
      </c>
      <c r="W2030" s="382">
        <v>0</v>
      </c>
      <c r="X2030" s="381">
        <v>1.2202380952380951</v>
      </c>
      <c r="Y2030" s="381">
        <v>0</v>
      </c>
      <c r="Z2030" s="381">
        <v>0</v>
      </c>
      <c r="AA2030" s="381">
        <v>0</v>
      </c>
      <c r="AB2030" s="381">
        <v>0</v>
      </c>
      <c r="AC2030" s="382">
        <v>1.2202380952380951</v>
      </c>
      <c r="AD2030" s="382">
        <v>0</v>
      </c>
      <c r="AE2030" s="381" t="s">
        <v>168</v>
      </c>
    </row>
    <row r="2031" spans="1:31" ht="15" customHeight="1" x14ac:dyDescent="0.25">
      <c r="A2031" s="20" t="s">
        <v>2783</v>
      </c>
      <c r="B2031" s="20" t="s">
        <v>2784</v>
      </c>
      <c r="C2031" s="20" t="s">
        <v>2785</v>
      </c>
      <c r="D2031" s="378" t="s">
        <v>2817</v>
      </c>
      <c r="E2031" s="384">
        <v>44113</v>
      </c>
      <c r="F2031" s="384">
        <v>45939</v>
      </c>
      <c r="G2031" s="378" t="s">
        <v>439</v>
      </c>
      <c r="H2031" s="20" t="s">
        <v>2808</v>
      </c>
      <c r="I2031" s="378">
        <v>0</v>
      </c>
      <c r="J2031" s="20" t="s">
        <v>163</v>
      </c>
      <c r="K2031" s="378" t="s">
        <v>2809</v>
      </c>
      <c r="L2031" s="378" t="s">
        <v>2789</v>
      </c>
      <c r="M2031" s="380" t="s">
        <v>443</v>
      </c>
      <c r="N2031" s="380">
        <v>35.5</v>
      </c>
      <c r="O2031" s="380" t="s">
        <v>443</v>
      </c>
      <c r="P2031" s="380" t="s">
        <v>443</v>
      </c>
      <c r="Q2031" s="381">
        <v>45</v>
      </c>
      <c r="R2031" s="381">
        <v>0</v>
      </c>
      <c r="S2031" s="381">
        <v>0</v>
      </c>
      <c r="T2031" s="381">
        <v>0</v>
      </c>
      <c r="U2031" s="381">
        <v>0</v>
      </c>
      <c r="V2031" s="382">
        <v>45</v>
      </c>
      <c r="W2031" s="382">
        <v>0</v>
      </c>
      <c r="X2031" s="381">
        <v>1.267605633802817</v>
      </c>
      <c r="Y2031" s="381">
        <v>0</v>
      </c>
      <c r="Z2031" s="381">
        <v>0</v>
      </c>
      <c r="AA2031" s="381">
        <v>0</v>
      </c>
      <c r="AB2031" s="381">
        <v>0</v>
      </c>
      <c r="AC2031" s="382">
        <v>1.267605633802817</v>
      </c>
      <c r="AD2031" s="382">
        <v>0</v>
      </c>
      <c r="AE2031" s="381" t="s">
        <v>168</v>
      </c>
    </row>
    <row r="2032" spans="1:31" ht="15" customHeight="1" x14ac:dyDescent="0.25">
      <c r="A2032" s="20" t="s">
        <v>2783</v>
      </c>
      <c r="B2032" s="20" t="s">
        <v>2784</v>
      </c>
      <c r="C2032" s="20" t="s">
        <v>2785</v>
      </c>
      <c r="D2032" s="378" t="s">
        <v>2818</v>
      </c>
      <c r="E2032" s="384">
        <v>44113</v>
      </c>
      <c r="F2032" s="384">
        <v>45939</v>
      </c>
      <c r="G2032" s="378" t="s">
        <v>439</v>
      </c>
      <c r="H2032" s="20" t="s">
        <v>2808</v>
      </c>
      <c r="I2032" s="378">
        <v>0</v>
      </c>
      <c r="J2032" s="20" t="s">
        <v>163</v>
      </c>
      <c r="K2032" s="378" t="s">
        <v>2809</v>
      </c>
      <c r="L2032" s="378" t="s">
        <v>2789</v>
      </c>
      <c r="M2032" s="380" t="s">
        <v>443</v>
      </c>
      <c r="N2032" s="380">
        <v>43.1</v>
      </c>
      <c r="O2032" s="380" t="s">
        <v>443</v>
      </c>
      <c r="P2032" s="380" t="s">
        <v>443</v>
      </c>
      <c r="Q2032" s="381">
        <v>55</v>
      </c>
      <c r="R2032" s="381">
        <v>0</v>
      </c>
      <c r="S2032" s="381">
        <v>0</v>
      </c>
      <c r="T2032" s="381">
        <v>0</v>
      </c>
      <c r="U2032" s="381">
        <v>0</v>
      </c>
      <c r="V2032" s="382">
        <v>55</v>
      </c>
      <c r="W2032" s="382">
        <v>0</v>
      </c>
      <c r="X2032" s="381">
        <v>1.2761020881670533</v>
      </c>
      <c r="Y2032" s="381">
        <v>0</v>
      </c>
      <c r="Z2032" s="381">
        <v>0</v>
      </c>
      <c r="AA2032" s="381">
        <v>0</v>
      </c>
      <c r="AB2032" s="381">
        <v>0</v>
      </c>
      <c r="AC2032" s="382">
        <v>1.2761020881670533</v>
      </c>
      <c r="AD2032" s="382">
        <v>0</v>
      </c>
      <c r="AE2032" s="381" t="s">
        <v>168</v>
      </c>
    </row>
    <row r="2033" spans="1:31" ht="15" customHeight="1" x14ac:dyDescent="0.25">
      <c r="A2033" s="20" t="s">
        <v>2783</v>
      </c>
      <c r="B2033" s="20" t="s">
        <v>2784</v>
      </c>
      <c r="C2033" s="20" t="s">
        <v>2785</v>
      </c>
      <c r="D2033" s="378" t="s">
        <v>2819</v>
      </c>
      <c r="E2033" s="384">
        <v>44113</v>
      </c>
      <c r="F2033" s="384">
        <v>45939</v>
      </c>
      <c r="G2033" s="378" t="s">
        <v>439</v>
      </c>
      <c r="H2033" s="20" t="s">
        <v>2808</v>
      </c>
      <c r="I2033" s="378">
        <v>0</v>
      </c>
      <c r="J2033" s="20" t="s">
        <v>163</v>
      </c>
      <c r="K2033" s="378" t="s">
        <v>2809</v>
      </c>
      <c r="L2033" s="378" t="s">
        <v>2789</v>
      </c>
      <c r="M2033" s="380" t="s">
        <v>443</v>
      </c>
      <c r="N2033" s="380">
        <v>49.7</v>
      </c>
      <c r="O2033" s="380" t="s">
        <v>443</v>
      </c>
      <c r="P2033" s="380" t="s">
        <v>443</v>
      </c>
      <c r="Q2033" s="381">
        <v>64</v>
      </c>
      <c r="R2033" s="381">
        <v>0</v>
      </c>
      <c r="S2033" s="381">
        <v>0</v>
      </c>
      <c r="T2033" s="381">
        <v>0</v>
      </c>
      <c r="U2033" s="381">
        <v>0</v>
      </c>
      <c r="V2033" s="382">
        <v>64</v>
      </c>
      <c r="W2033" s="382">
        <v>0</v>
      </c>
      <c r="X2033" s="381">
        <v>1.2877263581488934</v>
      </c>
      <c r="Y2033" s="381">
        <v>0</v>
      </c>
      <c r="Z2033" s="381">
        <v>0</v>
      </c>
      <c r="AA2033" s="381">
        <v>0</v>
      </c>
      <c r="AB2033" s="381">
        <v>0</v>
      </c>
      <c r="AC2033" s="382">
        <v>1.2877263581488934</v>
      </c>
      <c r="AD2033" s="382">
        <v>0</v>
      </c>
      <c r="AE2033" s="381" t="s">
        <v>168</v>
      </c>
    </row>
    <row r="2034" spans="1:31" ht="15" customHeight="1" x14ac:dyDescent="0.25">
      <c r="A2034" s="20" t="s">
        <v>2783</v>
      </c>
      <c r="B2034" s="20" t="s">
        <v>2784</v>
      </c>
      <c r="C2034" s="20" t="s">
        <v>2785</v>
      </c>
      <c r="D2034" s="378" t="s">
        <v>2820</v>
      </c>
      <c r="E2034" s="384">
        <v>44113</v>
      </c>
      <c r="F2034" s="384">
        <v>45939</v>
      </c>
      <c r="G2034" s="378" t="s">
        <v>439</v>
      </c>
      <c r="H2034" s="20" t="s">
        <v>2808</v>
      </c>
      <c r="I2034" s="378">
        <v>0</v>
      </c>
      <c r="J2034" s="20" t="s">
        <v>163</v>
      </c>
      <c r="K2034" s="378" t="s">
        <v>2809</v>
      </c>
      <c r="L2034" s="378" t="s">
        <v>2789</v>
      </c>
      <c r="M2034" s="380" t="s">
        <v>443</v>
      </c>
      <c r="N2034" s="380">
        <v>53.7</v>
      </c>
      <c r="O2034" s="380" t="s">
        <v>443</v>
      </c>
      <c r="P2034" s="380" t="s">
        <v>443</v>
      </c>
      <c r="Q2034" s="381">
        <v>69</v>
      </c>
      <c r="R2034" s="381">
        <v>0</v>
      </c>
      <c r="S2034" s="381">
        <v>0</v>
      </c>
      <c r="T2034" s="381">
        <v>0</v>
      </c>
      <c r="U2034" s="381">
        <v>0</v>
      </c>
      <c r="V2034" s="382">
        <v>69</v>
      </c>
      <c r="W2034" s="382">
        <v>0</v>
      </c>
      <c r="X2034" s="381">
        <v>1.2849162011173183</v>
      </c>
      <c r="Y2034" s="381">
        <v>0</v>
      </c>
      <c r="Z2034" s="381">
        <v>0</v>
      </c>
      <c r="AA2034" s="381">
        <v>0</v>
      </c>
      <c r="AB2034" s="381">
        <v>0</v>
      </c>
      <c r="AC2034" s="382">
        <v>1.2849162011173183</v>
      </c>
      <c r="AD2034" s="382">
        <v>0</v>
      </c>
      <c r="AE2034" s="381" t="s">
        <v>168</v>
      </c>
    </row>
    <row r="2035" spans="1:31" ht="15" customHeight="1" x14ac:dyDescent="0.25">
      <c r="A2035" s="20" t="s">
        <v>2783</v>
      </c>
      <c r="B2035" s="20" t="s">
        <v>2784</v>
      </c>
      <c r="C2035" s="20" t="s">
        <v>2785</v>
      </c>
      <c r="D2035" s="378" t="s">
        <v>2821</v>
      </c>
      <c r="E2035" s="384">
        <v>44113</v>
      </c>
      <c r="F2035" s="384">
        <v>45939</v>
      </c>
      <c r="G2035" s="378" t="s">
        <v>439</v>
      </c>
      <c r="H2035" s="20" t="s">
        <v>2808</v>
      </c>
      <c r="I2035" s="378">
        <v>0</v>
      </c>
      <c r="J2035" s="20" t="s">
        <v>163</v>
      </c>
      <c r="K2035" s="378" t="s">
        <v>2809</v>
      </c>
      <c r="L2035" s="378" t="s">
        <v>2789</v>
      </c>
      <c r="M2035" s="380" t="s">
        <v>443</v>
      </c>
      <c r="N2035" s="380">
        <v>58.8</v>
      </c>
      <c r="O2035" s="380" t="s">
        <v>443</v>
      </c>
      <c r="P2035" s="380" t="s">
        <v>443</v>
      </c>
      <c r="Q2035" s="381">
        <v>76</v>
      </c>
      <c r="R2035" s="381">
        <v>0</v>
      </c>
      <c r="S2035" s="381">
        <v>0</v>
      </c>
      <c r="T2035" s="381">
        <v>0</v>
      </c>
      <c r="U2035" s="381">
        <v>0</v>
      </c>
      <c r="V2035" s="382">
        <v>76</v>
      </c>
      <c r="W2035" s="382">
        <v>0</v>
      </c>
      <c r="X2035" s="381">
        <v>1.2925170068027212</v>
      </c>
      <c r="Y2035" s="381">
        <v>0</v>
      </c>
      <c r="Z2035" s="381">
        <v>0</v>
      </c>
      <c r="AA2035" s="381">
        <v>0</v>
      </c>
      <c r="AB2035" s="381">
        <v>0</v>
      </c>
      <c r="AC2035" s="382">
        <v>1.2925170068027212</v>
      </c>
      <c r="AD2035" s="382">
        <v>0</v>
      </c>
      <c r="AE2035" s="381" t="s">
        <v>168</v>
      </c>
    </row>
    <row r="2036" spans="1:31" ht="15" customHeight="1" x14ac:dyDescent="0.25">
      <c r="A2036" s="20" t="s">
        <v>2783</v>
      </c>
      <c r="B2036" s="20" t="s">
        <v>2784</v>
      </c>
      <c r="C2036" s="20" t="s">
        <v>2785</v>
      </c>
      <c r="D2036" s="378" t="s">
        <v>2822</v>
      </c>
      <c r="E2036" s="384">
        <v>45292</v>
      </c>
      <c r="F2036" s="384">
        <v>47119</v>
      </c>
      <c r="G2036" s="378" t="s">
        <v>439</v>
      </c>
      <c r="H2036" s="20" t="s">
        <v>2823</v>
      </c>
      <c r="I2036" s="378" t="s">
        <v>441</v>
      </c>
      <c r="J2036" s="20" t="s">
        <v>163</v>
      </c>
      <c r="K2036" s="378" t="s">
        <v>2824</v>
      </c>
      <c r="L2036" s="378" t="s">
        <v>2789</v>
      </c>
      <c r="M2036" s="380" t="s">
        <v>443</v>
      </c>
      <c r="N2036" s="380">
        <v>36.200000000000003</v>
      </c>
      <c r="O2036" s="380" t="s">
        <v>443</v>
      </c>
      <c r="P2036" s="380" t="s">
        <v>443</v>
      </c>
      <c r="Q2036" s="381">
        <v>33</v>
      </c>
      <c r="R2036" s="381">
        <v>34</v>
      </c>
      <c r="S2036" s="381">
        <v>-1</v>
      </c>
      <c r="T2036" s="381">
        <v>1.15E-2</v>
      </c>
      <c r="U2036" s="381">
        <v>0</v>
      </c>
      <c r="V2036" s="382">
        <v>34.011499999999998</v>
      </c>
      <c r="W2036" s="382">
        <v>0</v>
      </c>
      <c r="X2036" s="381">
        <v>0.91160220994475127</v>
      </c>
      <c r="Y2036" s="381">
        <v>0.93922651933701651</v>
      </c>
      <c r="Z2036" s="381">
        <v>-2.7624309392265192E-2</v>
      </c>
      <c r="AA2036" s="381">
        <v>3.1767955801104971E-4</v>
      </c>
      <c r="AB2036" s="381">
        <v>0</v>
      </c>
      <c r="AC2036" s="382">
        <v>0.9395441988950276</v>
      </c>
      <c r="AD2036" s="382">
        <v>0</v>
      </c>
      <c r="AE2036" s="381" t="s">
        <v>444</v>
      </c>
    </row>
    <row r="2037" spans="1:31" ht="15" customHeight="1" x14ac:dyDescent="0.25">
      <c r="A2037" s="20" t="s">
        <v>2825</v>
      </c>
      <c r="B2037" s="20" t="s">
        <v>2826</v>
      </c>
      <c r="C2037" s="20" t="s">
        <v>2827</v>
      </c>
      <c r="D2037" s="378" t="s">
        <v>2828</v>
      </c>
      <c r="E2037" s="384">
        <v>45535</v>
      </c>
      <c r="F2037" s="384">
        <v>47361</v>
      </c>
      <c r="G2037" s="378" t="s">
        <v>2829</v>
      </c>
      <c r="H2037" s="20" t="s">
        <v>2830</v>
      </c>
      <c r="I2037" s="378" t="s">
        <v>441</v>
      </c>
      <c r="J2037" s="20" t="s">
        <v>2831</v>
      </c>
      <c r="K2037" s="378" t="s">
        <v>2832</v>
      </c>
      <c r="L2037" s="378" t="s">
        <v>2774</v>
      </c>
      <c r="M2037" s="380">
        <v>2710</v>
      </c>
      <c r="N2037" s="380">
        <v>2.46</v>
      </c>
      <c r="O2037" s="380" t="s">
        <v>443</v>
      </c>
      <c r="P2037" s="380" t="s">
        <v>443</v>
      </c>
      <c r="Q2037" s="381">
        <v>17.357723577235774</v>
      </c>
      <c r="R2037" s="381">
        <v>0</v>
      </c>
      <c r="S2037" s="381">
        <v>0</v>
      </c>
      <c r="T2037" s="381">
        <v>0</v>
      </c>
      <c r="U2037" s="381">
        <v>0</v>
      </c>
      <c r="V2037" s="382">
        <v>17.357723577235774</v>
      </c>
      <c r="W2037" s="382">
        <v>0</v>
      </c>
      <c r="X2037" s="381">
        <v>17.357723577235774</v>
      </c>
      <c r="Y2037" s="381">
        <v>0</v>
      </c>
      <c r="Z2037" s="381">
        <v>0</v>
      </c>
      <c r="AA2037" s="381">
        <v>0</v>
      </c>
      <c r="AB2037" s="381">
        <v>0</v>
      </c>
      <c r="AC2037" s="382">
        <v>17.357723577235774</v>
      </c>
      <c r="AD2037" s="382">
        <v>0</v>
      </c>
      <c r="AE2037" s="381" t="s">
        <v>168</v>
      </c>
    </row>
    <row r="2038" spans="1:31" ht="15" customHeight="1" x14ac:dyDescent="0.25">
      <c r="A2038" s="20" t="s">
        <v>2825</v>
      </c>
      <c r="B2038" s="20" t="s">
        <v>2827</v>
      </c>
      <c r="C2038" s="20" t="s">
        <v>2827</v>
      </c>
      <c r="D2038" s="378" t="s">
        <v>2833</v>
      </c>
      <c r="E2038" s="384">
        <v>45535</v>
      </c>
      <c r="F2038" s="384">
        <v>47361</v>
      </c>
      <c r="G2038" s="378" t="s">
        <v>2829</v>
      </c>
      <c r="H2038" s="20" t="s">
        <v>2834</v>
      </c>
      <c r="I2038" s="378" t="s">
        <v>441</v>
      </c>
      <c r="J2038" s="20" t="s">
        <v>2831</v>
      </c>
      <c r="K2038" s="378" t="s">
        <v>2835</v>
      </c>
      <c r="L2038" s="378" t="s">
        <v>2774</v>
      </c>
      <c r="M2038" s="380">
        <v>2710</v>
      </c>
      <c r="N2038" s="380">
        <v>2.46</v>
      </c>
      <c r="O2038" s="380" t="s">
        <v>443</v>
      </c>
      <c r="P2038" s="380" t="s">
        <v>443</v>
      </c>
      <c r="Q2038" s="381">
        <v>17.276422764227643</v>
      </c>
      <c r="R2038" s="381">
        <v>0</v>
      </c>
      <c r="S2038" s="381">
        <v>0</v>
      </c>
      <c r="T2038" s="381">
        <v>0</v>
      </c>
      <c r="U2038" s="381">
        <v>0</v>
      </c>
      <c r="V2038" s="382">
        <v>17.276422764227643</v>
      </c>
      <c r="W2038" s="382">
        <v>0</v>
      </c>
      <c r="X2038" s="381">
        <v>17.276422764227643</v>
      </c>
      <c r="Y2038" s="381">
        <v>0</v>
      </c>
      <c r="Z2038" s="381">
        <v>0</v>
      </c>
      <c r="AA2038" s="381">
        <v>0</v>
      </c>
      <c r="AB2038" s="381">
        <v>0</v>
      </c>
      <c r="AC2038" s="382">
        <v>17.276422764227643</v>
      </c>
      <c r="AD2038" s="382">
        <v>0</v>
      </c>
      <c r="AE2038" s="381" t="s">
        <v>168</v>
      </c>
    </row>
    <row r="2039" spans="1:31" ht="15" customHeight="1" x14ac:dyDescent="0.25">
      <c r="A2039" s="20" t="s">
        <v>2825</v>
      </c>
      <c r="B2039" s="20" t="s">
        <v>2827</v>
      </c>
      <c r="C2039" s="20" t="s">
        <v>2827</v>
      </c>
      <c r="D2039" s="378" t="s">
        <v>2836</v>
      </c>
      <c r="E2039" s="384">
        <v>45568</v>
      </c>
      <c r="F2039" s="384">
        <v>47400</v>
      </c>
      <c r="G2039" s="378" t="s">
        <v>2837</v>
      </c>
      <c r="H2039" s="20" t="s">
        <v>2838</v>
      </c>
      <c r="I2039" s="378" t="s">
        <v>441</v>
      </c>
      <c r="J2039" s="20" t="s">
        <v>163</v>
      </c>
      <c r="K2039" s="378" t="s">
        <v>2839</v>
      </c>
      <c r="L2039" s="378" t="s">
        <v>2774</v>
      </c>
      <c r="M2039" s="380" t="s">
        <v>443</v>
      </c>
      <c r="N2039" s="380">
        <v>5.25</v>
      </c>
      <c r="O2039" s="380" t="s">
        <v>443</v>
      </c>
      <c r="P2039" s="380" t="s">
        <v>443</v>
      </c>
      <c r="Q2039" s="381">
        <v>7.1238095238095234</v>
      </c>
      <c r="R2039" s="381">
        <v>6.9904761904761914</v>
      </c>
      <c r="S2039" s="381">
        <v>0.14457142857142857</v>
      </c>
      <c r="T2039" s="381">
        <v>6.857142857142857E-4</v>
      </c>
      <c r="U2039" s="381">
        <v>0</v>
      </c>
      <c r="V2039" s="382">
        <v>7.1357333333333344</v>
      </c>
      <c r="W2039" s="382">
        <v>0</v>
      </c>
      <c r="X2039" s="381">
        <v>7.1238095238095234</v>
      </c>
      <c r="Y2039" s="381">
        <v>6.9904761904761914</v>
      </c>
      <c r="Z2039" s="381">
        <v>0.14457142857142857</v>
      </c>
      <c r="AA2039" s="381">
        <v>6.857142857142857E-4</v>
      </c>
      <c r="AB2039" s="381">
        <v>0</v>
      </c>
      <c r="AC2039" s="382">
        <v>7.1357333333333344</v>
      </c>
      <c r="AD2039" s="382">
        <v>0</v>
      </c>
      <c r="AE2039" s="381" t="s">
        <v>444</v>
      </c>
    </row>
    <row r="2040" spans="1:31" ht="15" customHeight="1" x14ac:dyDescent="0.25">
      <c r="A2040" s="20" t="s">
        <v>2825</v>
      </c>
      <c r="B2040" s="20" t="s">
        <v>2827</v>
      </c>
      <c r="C2040" s="20" t="s">
        <v>2827</v>
      </c>
      <c r="D2040" s="378" t="s">
        <v>2840</v>
      </c>
      <c r="E2040" s="384">
        <v>45568</v>
      </c>
      <c r="F2040" s="384">
        <v>47400</v>
      </c>
      <c r="G2040" s="378" t="s">
        <v>2837</v>
      </c>
      <c r="H2040" s="20" t="s">
        <v>2841</v>
      </c>
      <c r="I2040" s="378" t="s">
        <v>441</v>
      </c>
      <c r="J2040" s="20" t="s">
        <v>163</v>
      </c>
      <c r="K2040" s="378" t="s">
        <v>2842</v>
      </c>
      <c r="L2040" s="378" t="s">
        <v>2774</v>
      </c>
      <c r="M2040" s="380" t="s">
        <v>443</v>
      </c>
      <c r="N2040" s="380">
        <v>5.25</v>
      </c>
      <c r="O2040" s="380" t="s">
        <v>443</v>
      </c>
      <c r="P2040" s="380" t="s">
        <v>443</v>
      </c>
      <c r="Q2040" s="381">
        <v>5.4857142857142858</v>
      </c>
      <c r="R2040" s="381">
        <v>5.4285714285714288</v>
      </c>
      <c r="S2040" s="381">
        <v>5.1238095238095242E-2</v>
      </c>
      <c r="T2040" s="381">
        <v>5.2380952380952383E-4</v>
      </c>
      <c r="U2040" s="381">
        <v>0</v>
      </c>
      <c r="V2040" s="382">
        <v>5.4803333333333333</v>
      </c>
      <c r="W2040" s="382">
        <v>0</v>
      </c>
      <c r="X2040" s="381">
        <v>5.4857142857142858</v>
      </c>
      <c r="Y2040" s="381">
        <v>5.4285714285714288</v>
      </c>
      <c r="Z2040" s="381">
        <v>5.1238095238095242E-2</v>
      </c>
      <c r="AA2040" s="381">
        <v>5.2380952380952383E-4</v>
      </c>
      <c r="AB2040" s="381">
        <v>0</v>
      </c>
      <c r="AC2040" s="382">
        <v>5.4803333333333333</v>
      </c>
      <c r="AD2040" s="382">
        <v>0</v>
      </c>
      <c r="AE2040" s="381" t="s">
        <v>444</v>
      </c>
    </row>
    <row r="2041" spans="1:31" ht="15" customHeight="1" x14ac:dyDescent="0.25">
      <c r="A2041" s="20" t="s">
        <v>2825</v>
      </c>
      <c r="B2041" s="20" t="s">
        <v>2826</v>
      </c>
      <c r="C2041" s="20" t="s">
        <v>2843</v>
      </c>
      <c r="D2041" s="378" t="s">
        <v>2844</v>
      </c>
      <c r="E2041" s="384">
        <v>45005</v>
      </c>
      <c r="F2041" s="384">
        <v>46828</v>
      </c>
      <c r="G2041" s="378" t="s">
        <v>2845</v>
      </c>
      <c r="H2041" s="20" t="s">
        <v>2846</v>
      </c>
      <c r="I2041" s="378">
        <v>0</v>
      </c>
      <c r="J2041" s="20" t="s">
        <v>2831</v>
      </c>
      <c r="K2041" s="378" t="s">
        <v>2847</v>
      </c>
      <c r="L2041" s="378" t="s">
        <v>2848</v>
      </c>
      <c r="M2041" s="380">
        <v>2700</v>
      </c>
      <c r="N2041" s="380" t="s">
        <v>443</v>
      </c>
      <c r="O2041" s="380" t="s">
        <v>443</v>
      </c>
      <c r="P2041" s="380" t="s">
        <v>443</v>
      </c>
      <c r="Q2041" s="381">
        <v>21700</v>
      </c>
      <c r="R2041" s="381">
        <v>22400</v>
      </c>
      <c r="S2041" s="381">
        <v>-0.751</v>
      </c>
      <c r="T2041" s="381">
        <v>62</v>
      </c>
      <c r="U2041" s="381">
        <v>0</v>
      </c>
      <c r="V2041" s="382">
        <v>22462</v>
      </c>
      <c r="W2041" s="382">
        <v>0</v>
      </c>
      <c r="X2041" s="381">
        <v>21.7</v>
      </c>
      <c r="Y2041" s="381">
        <v>22.4</v>
      </c>
      <c r="Z2041" s="381">
        <v>-7.5100000000000004E-4</v>
      </c>
      <c r="AA2041" s="381">
        <v>6.2E-2</v>
      </c>
      <c r="AB2041" s="381">
        <v>0</v>
      </c>
      <c r="AC2041" s="382">
        <v>22.462</v>
      </c>
      <c r="AD2041" s="382">
        <v>0</v>
      </c>
      <c r="AE2041" s="381" t="s">
        <v>168</v>
      </c>
    </row>
    <row r="2042" spans="1:31" ht="15" customHeight="1" x14ac:dyDescent="0.25">
      <c r="A2042" s="20" t="s">
        <v>2825</v>
      </c>
      <c r="B2042" s="20" t="s">
        <v>2826</v>
      </c>
      <c r="C2042" s="20" t="s">
        <v>2843</v>
      </c>
      <c r="D2042" s="378" t="s">
        <v>2849</v>
      </c>
      <c r="E2042" s="384">
        <v>45180</v>
      </c>
      <c r="F2042" s="384">
        <v>47007</v>
      </c>
      <c r="G2042" s="378" t="s">
        <v>2845</v>
      </c>
      <c r="H2042" s="20" t="s">
        <v>2850</v>
      </c>
      <c r="I2042" s="378">
        <v>0</v>
      </c>
      <c r="J2042" s="20" t="s">
        <v>2831</v>
      </c>
      <c r="K2042" s="378" t="s">
        <v>2851</v>
      </c>
      <c r="L2042" s="378" t="s">
        <v>2848</v>
      </c>
      <c r="M2042" s="380">
        <v>2700</v>
      </c>
      <c r="N2042" s="380" t="s">
        <v>443</v>
      </c>
      <c r="O2042" s="380" t="s">
        <v>443</v>
      </c>
      <c r="P2042" s="380" t="s">
        <v>443</v>
      </c>
      <c r="Q2042" s="381">
        <v>24600</v>
      </c>
      <c r="R2042" s="381">
        <v>24600</v>
      </c>
      <c r="S2042" s="381">
        <v>-63.9</v>
      </c>
      <c r="T2042" s="381">
        <v>61.3</v>
      </c>
      <c r="U2042" s="381">
        <v>0</v>
      </c>
      <c r="V2042" s="382">
        <v>24661.3</v>
      </c>
      <c r="W2042" s="382">
        <v>0</v>
      </c>
      <c r="X2042" s="381">
        <v>24.6</v>
      </c>
      <c r="Y2042" s="381">
        <v>24.6</v>
      </c>
      <c r="Z2042" s="381">
        <v>-6.3899999999999998E-2</v>
      </c>
      <c r="AA2042" s="381">
        <v>6.13E-2</v>
      </c>
      <c r="AB2042" s="381">
        <v>0</v>
      </c>
      <c r="AC2042" s="382">
        <v>24.661300000000001</v>
      </c>
      <c r="AD2042" s="382">
        <v>0</v>
      </c>
      <c r="AE2042" s="381" t="s">
        <v>168</v>
      </c>
    </row>
    <row r="2043" spans="1:31" ht="15" customHeight="1" x14ac:dyDescent="0.25">
      <c r="A2043" s="20" t="s">
        <v>2825</v>
      </c>
      <c r="B2043" s="20" t="s">
        <v>2826</v>
      </c>
      <c r="C2043" s="20" t="s">
        <v>2843</v>
      </c>
      <c r="D2043" s="378" t="s">
        <v>2852</v>
      </c>
      <c r="E2043" s="384">
        <v>45180</v>
      </c>
      <c r="F2043" s="384">
        <v>47007</v>
      </c>
      <c r="G2043" s="378" t="s">
        <v>2845</v>
      </c>
      <c r="H2043" s="20" t="s">
        <v>2853</v>
      </c>
      <c r="I2043" s="378">
        <v>0</v>
      </c>
      <c r="J2043" s="20" t="s">
        <v>2831</v>
      </c>
      <c r="K2043" s="378" t="s">
        <v>2854</v>
      </c>
      <c r="L2043" s="378" t="s">
        <v>2848</v>
      </c>
      <c r="M2043" s="380">
        <v>2700</v>
      </c>
      <c r="N2043" s="380" t="s">
        <v>443</v>
      </c>
      <c r="O2043" s="380" t="s">
        <v>443</v>
      </c>
      <c r="P2043" s="380" t="s">
        <v>443</v>
      </c>
      <c r="Q2043" s="381">
        <v>24900</v>
      </c>
      <c r="R2043" s="381">
        <v>24900</v>
      </c>
      <c r="S2043" s="381">
        <v>-62.199999999999996</v>
      </c>
      <c r="T2043" s="381">
        <v>60.199999999999996</v>
      </c>
      <c r="U2043" s="381">
        <v>0</v>
      </c>
      <c r="V2043" s="382">
        <v>24960.2</v>
      </c>
      <c r="W2043" s="382">
        <v>0</v>
      </c>
      <c r="X2043" s="381">
        <v>24.9</v>
      </c>
      <c r="Y2043" s="381">
        <v>24.9</v>
      </c>
      <c r="Z2043" s="381">
        <v>-6.2199999999999998E-2</v>
      </c>
      <c r="AA2043" s="381">
        <v>6.0199999999999997E-2</v>
      </c>
      <c r="AB2043" s="381">
        <v>0</v>
      </c>
      <c r="AC2043" s="382">
        <v>24.960199999999997</v>
      </c>
      <c r="AD2043" s="382">
        <v>0</v>
      </c>
      <c r="AE2043" s="381" t="s">
        <v>168</v>
      </c>
    </row>
    <row r="2044" spans="1:31" ht="15" customHeight="1" x14ac:dyDescent="0.25">
      <c r="A2044" s="20" t="s">
        <v>2825</v>
      </c>
      <c r="B2044" s="20" t="s">
        <v>2826</v>
      </c>
      <c r="C2044" s="20" t="s">
        <v>2843</v>
      </c>
      <c r="D2044" s="378" t="s">
        <v>2855</v>
      </c>
      <c r="E2044" s="384">
        <v>45188</v>
      </c>
      <c r="F2044" s="384">
        <v>47015</v>
      </c>
      <c r="G2044" s="378" t="s">
        <v>2856</v>
      </c>
      <c r="H2044" s="20" t="s">
        <v>2857</v>
      </c>
      <c r="I2044" s="378">
        <v>0</v>
      </c>
      <c r="J2044" s="20" t="s">
        <v>2831</v>
      </c>
      <c r="K2044" s="378" t="s">
        <v>2858</v>
      </c>
      <c r="L2044" s="378" t="s">
        <v>2848</v>
      </c>
      <c r="M2044" s="380">
        <v>2700</v>
      </c>
      <c r="N2044" s="380" t="s">
        <v>443</v>
      </c>
      <c r="O2044" s="380" t="s">
        <v>443</v>
      </c>
      <c r="P2044" s="380" t="s">
        <v>443</v>
      </c>
      <c r="Q2044" s="381">
        <v>3660</v>
      </c>
      <c r="R2044" s="381">
        <v>3660</v>
      </c>
      <c r="S2044" s="381">
        <v>5.44</v>
      </c>
      <c r="T2044" s="381">
        <v>2.1</v>
      </c>
      <c r="U2044" s="381">
        <v>0</v>
      </c>
      <c r="V2044" s="382">
        <v>3667.54</v>
      </c>
      <c r="W2044" s="382">
        <v>0</v>
      </c>
      <c r="X2044" s="381">
        <v>3.66</v>
      </c>
      <c r="Y2044" s="381">
        <v>3.66</v>
      </c>
      <c r="Z2044" s="381">
        <v>5.4400000000000004E-3</v>
      </c>
      <c r="AA2044" s="381">
        <v>2.1000000000000003E-3</v>
      </c>
      <c r="AB2044" s="381">
        <v>0</v>
      </c>
      <c r="AC2044" s="382">
        <v>3.6675400000000002</v>
      </c>
      <c r="AD2044" s="382">
        <v>0</v>
      </c>
      <c r="AE2044" s="381" t="s">
        <v>168</v>
      </c>
    </row>
    <row r="2045" spans="1:31" ht="15" customHeight="1" x14ac:dyDescent="0.25">
      <c r="A2045" s="20" t="s">
        <v>2825</v>
      </c>
      <c r="B2045" s="20" t="s">
        <v>2826</v>
      </c>
      <c r="C2045" s="20" t="s">
        <v>2843</v>
      </c>
      <c r="D2045" s="378" t="s">
        <v>2859</v>
      </c>
      <c r="E2045" s="384">
        <v>45001</v>
      </c>
      <c r="F2045" s="384">
        <v>46828</v>
      </c>
      <c r="G2045" s="378" t="s">
        <v>2860</v>
      </c>
      <c r="H2045" s="20" t="s">
        <v>2861</v>
      </c>
      <c r="I2045" s="378">
        <v>0</v>
      </c>
      <c r="J2045" s="20" t="s">
        <v>2831</v>
      </c>
      <c r="K2045" s="378" t="s">
        <v>2862</v>
      </c>
      <c r="L2045" s="378" t="s">
        <v>2848</v>
      </c>
      <c r="M2045" s="380">
        <v>2700</v>
      </c>
      <c r="N2045" s="380" t="s">
        <v>443</v>
      </c>
      <c r="O2045" s="380" t="s">
        <v>443</v>
      </c>
      <c r="P2045" s="380" t="s">
        <v>443</v>
      </c>
      <c r="Q2045" s="381">
        <v>9030</v>
      </c>
      <c r="R2045" s="381">
        <v>9010</v>
      </c>
      <c r="S2045" s="381">
        <v>-185</v>
      </c>
      <c r="T2045" s="381">
        <v>26.200000000000003</v>
      </c>
      <c r="U2045" s="381">
        <v>0</v>
      </c>
      <c r="V2045" s="382">
        <v>9036.2000000000007</v>
      </c>
      <c r="W2045" s="382">
        <v>0</v>
      </c>
      <c r="X2045" s="381">
        <v>9.0299999999999994</v>
      </c>
      <c r="Y2045" s="381">
        <v>9.01</v>
      </c>
      <c r="Z2045" s="381">
        <v>-0.185</v>
      </c>
      <c r="AA2045" s="381">
        <v>2.6200000000000005E-2</v>
      </c>
      <c r="AB2045" s="381">
        <v>0</v>
      </c>
      <c r="AC2045" s="382">
        <v>9.0361999999999991</v>
      </c>
      <c r="AD2045" s="382">
        <v>0</v>
      </c>
      <c r="AE2045" s="381" t="s">
        <v>168</v>
      </c>
    </row>
    <row r="2046" spans="1:31" ht="15" customHeight="1" x14ac:dyDescent="0.25">
      <c r="A2046" s="20" t="s">
        <v>2825</v>
      </c>
      <c r="B2046" s="20" t="s">
        <v>2826</v>
      </c>
      <c r="C2046" s="20" t="s">
        <v>2843</v>
      </c>
      <c r="D2046" s="378" t="s">
        <v>2863</v>
      </c>
      <c r="E2046" s="384">
        <v>45027</v>
      </c>
      <c r="F2046" s="384">
        <v>46853</v>
      </c>
      <c r="G2046" s="378" t="s">
        <v>2864</v>
      </c>
      <c r="H2046" s="20" t="s">
        <v>2865</v>
      </c>
      <c r="I2046" s="378">
        <v>0</v>
      </c>
      <c r="J2046" s="20" t="s">
        <v>2831</v>
      </c>
      <c r="K2046" s="378" t="s">
        <v>2866</v>
      </c>
      <c r="L2046" s="378" t="s">
        <v>2848</v>
      </c>
      <c r="M2046" s="380">
        <v>2700</v>
      </c>
      <c r="N2046" s="380" t="s">
        <v>443</v>
      </c>
      <c r="O2046" s="380" t="s">
        <v>443</v>
      </c>
      <c r="P2046" s="380" t="s">
        <v>443</v>
      </c>
      <c r="Q2046" s="381">
        <v>24600</v>
      </c>
      <c r="R2046" s="381">
        <v>24600</v>
      </c>
      <c r="S2046" s="381">
        <v>3.19</v>
      </c>
      <c r="T2046" s="381">
        <v>4.38</v>
      </c>
      <c r="U2046" s="381">
        <v>0</v>
      </c>
      <c r="V2046" s="382">
        <v>24607.57</v>
      </c>
      <c r="W2046" s="382">
        <v>0</v>
      </c>
      <c r="X2046" s="381">
        <v>24.6</v>
      </c>
      <c r="Y2046" s="381">
        <v>24.6</v>
      </c>
      <c r="Z2046" s="381">
        <v>3.1900000000000001E-3</v>
      </c>
      <c r="AA2046" s="381">
        <v>4.3800000000000002E-3</v>
      </c>
      <c r="AB2046" s="381">
        <v>0</v>
      </c>
      <c r="AC2046" s="382">
        <v>24.607570000000003</v>
      </c>
      <c r="AD2046" s="382">
        <v>0</v>
      </c>
      <c r="AE2046" s="381" t="s">
        <v>168</v>
      </c>
    </row>
    <row r="2047" spans="1:31" ht="15" customHeight="1" x14ac:dyDescent="0.25">
      <c r="A2047" s="20" t="s">
        <v>2825</v>
      </c>
      <c r="B2047" s="20" t="s">
        <v>2826</v>
      </c>
      <c r="C2047" s="20" t="s">
        <v>2843</v>
      </c>
      <c r="D2047" s="378" t="s">
        <v>2867</v>
      </c>
      <c r="E2047" s="384">
        <v>0</v>
      </c>
      <c r="F2047" s="384">
        <v>0</v>
      </c>
      <c r="G2047" s="378" t="s">
        <v>2845</v>
      </c>
      <c r="H2047" s="20">
        <v>0</v>
      </c>
      <c r="I2047" s="378" t="s">
        <v>441</v>
      </c>
      <c r="J2047" s="20" t="s">
        <v>2868</v>
      </c>
      <c r="K2047" s="378" t="s">
        <v>2869</v>
      </c>
      <c r="L2047" s="378" t="s">
        <v>2848</v>
      </c>
      <c r="M2047" s="380">
        <v>2700</v>
      </c>
      <c r="N2047" s="380" t="s">
        <v>443</v>
      </c>
      <c r="O2047" s="380" t="s">
        <v>443</v>
      </c>
      <c r="P2047" s="380" t="s">
        <v>443</v>
      </c>
      <c r="Q2047" s="381">
        <v>21741.300000000003</v>
      </c>
      <c r="R2047" s="381">
        <v>0</v>
      </c>
      <c r="S2047" s="381">
        <v>0</v>
      </c>
      <c r="T2047" s="381">
        <v>0</v>
      </c>
      <c r="U2047" s="381">
        <v>0</v>
      </c>
      <c r="V2047" s="382">
        <v>21741.300000000003</v>
      </c>
      <c r="W2047" s="382">
        <v>0</v>
      </c>
      <c r="X2047" s="381">
        <v>21.741300000000003</v>
      </c>
      <c r="Y2047" s="381">
        <v>0</v>
      </c>
      <c r="Z2047" s="381">
        <v>0</v>
      </c>
      <c r="AA2047" s="381">
        <v>0</v>
      </c>
      <c r="AB2047" s="381">
        <v>0</v>
      </c>
      <c r="AC2047" s="382">
        <v>21.741300000000003</v>
      </c>
      <c r="AD2047" s="382">
        <v>0</v>
      </c>
      <c r="AE2047" s="381" t="s">
        <v>168</v>
      </c>
    </row>
    <row r="2048" spans="1:31" ht="15" customHeight="1" x14ac:dyDescent="0.25">
      <c r="A2048" s="20" t="s">
        <v>2825</v>
      </c>
      <c r="B2048" s="20" t="s">
        <v>2826</v>
      </c>
      <c r="C2048" s="20" t="s">
        <v>2843</v>
      </c>
      <c r="D2048" s="378" t="s">
        <v>2870</v>
      </c>
      <c r="E2048" s="384">
        <v>0</v>
      </c>
      <c r="F2048" s="384">
        <v>0</v>
      </c>
      <c r="G2048" s="378" t="s">
        <v>2871</v>
      </c>
      <c r="H2048" s="20">
        <v>0</v>
      </c>
      <c r="I2048" s="378" t="s">
        <v>441</v>
      </c>
      <c r="J2048" s="20" t="s">
        <v>2868</v>
      </c>
      <c r="K2048" s="378" t="s">
        <v>2869</v>
      </c>
      <c r="L2048" s="378" t="s">
        <v>2848</v>
      </c>
      <c r="M2048" s="380">
        <v>2700</v>
      </c>
      <c r="N2048" s="380" t="s">
        <v>443</v>
      </c>
      <c r="O2048" s="380" t="s">
        <v>443</v>
      </c>
      <c r="P2048" s="380" t="s">
        <v>443</v>
      </c>
      <c r="Q2048" s="381">
        <v>12741.300000000001</v>
      </c>
      <c r="R2048" s="381">
        <v>0</v>
      </c>
      <c r="S2048" s="381">
        <v>0</v>
      </c>
      <c r="T2048" s="381">
        <v>0</v>
      </c>
      <c r="U2048" s="381">
        <v>0</v>
      </c>
      <c r="V2048" s="382">
        <v>12741.300000000001</v>
      </c>
      <c r="W2048" s="382">
        <v>0</v>
      </c>
      <c r="X2048" s="381">
        <v>12.741300000000001</v>
      </c>
      <c r="Y2048" s="381">
        <v>0</v>
      </c>
      <c r="Z2048" s="381">
        <v>0</v>
      </c>
      <c r="AA2048" s="381">
        <v>0</v>
      </c>
      <c r="AB2048" s="381">
        <v>0</v>
      </c>
      <c r="AC2048" s="382">
        <v>12.741300000000001</v>
      </c>
      <c r="AD2048" s="382">
        <v>0</v>
      </c>
      <c r="AE2048" s="381" t="s">
        <v>168</v>
      </c>
    </row>
    <row r="2049" spans="1:31" ht="15" customHeight="1" x14ac:dyDescent="0.25">
      <c r="A2049" s="20" t="s">
        <v>2825</v>
      </c>
      <c r="B2049" s="20" t="s">
        <v>2826</v>
      </c>
      <c r="C2049" s="20" t="s">
        <v>2843</v>
      </c>
      <c r="D2049" s="378" t="s">
        <v>2872</v>
      </c>
      <c r="E2049" s="384">
        <v>0</v>
      </c>
      <c r="F2049" s="384">
        <v>0</v>
      </c>
      <c r="G2049" s="378" t="s">
        <v>2873</v>
      </c>
      <c r="H2049" s="20">
        <v>0</v>
      </c>
      <c r="I2049" s="378" t="s">
        <v>441</v>
      </c>
      <c r="J2049" s="20" t="s">
        <v>2868</v>
      </c>
      <c r="K2049" s="378" t="s">
        <v>2869</v>
      </c>
      <c r="L2049" s="378" t="s">
        <v>2848</v>
      </c>
      <c r="M2049" s="380">
        <v>2700</v>
      </c>
      <c r="N2049" s="380" t="s">
        <v>443</v>
      </c>
      <c r="O2049" s="380" t="s">
        <v>443</v>
      </c>
      <c r="P2049" s="380" t="s">
        <v>443</v>
      </c>
      <c r="Q2049" s="381">
        <v>8841.3000000000011</v>
      </c>
      <c r="R2049" s="381">
        <v>0</v>
      </c>
      <c r="S2049" s="381">
        <v>0</v>
      </c>
      <c r="T2049" s="381">
        <v>0</v>
      </c>
      <c r="U2049" s="381">
        <v>0</v>
      </c>
      <c r="V2049" s="382">
        <v>8841.3000000000011</v>
      </c>
      <c r="W2049" s="382">
        <v>0</v>
      </c>
      <c r="X2049" s="381">
        <v>8.8413000000000004</v>
      </c>
      <c r="Y2049" s="381">
        <v>0</v>
      </c>
      <c r="Z2049" s="381">
        <v>0</v>
      </c>
      <c r="AA2049" s="381">
        <v>0</v>
      </c>
      <c r="AB2049" s="381">
        <v>0</v>
      </c>
      <c r="AC2049" s="382">
        <v>8.8413000000000004</v>
      </c>
      <c r="AD2049" s="382">
        <v>0</v>
      </c>
      <c r="AE2049" s="381" t="s">
        <v>168</v>
      </c>
    </row>
    <row r="2050" spans="1:31" ht="15" customHeight="1" x14ac:dyDescent="0.25">
      <c r="A2050" s="20" t="s">
        <v>2825</v>
      </c>
      <c r="B2050" s="20" t="s">
        <v>2826</v>
      </c>
      <c r="C2050" s="20" t="s">
        <v>2843</v>
      </c>
      <c r="D2050" s="378" t="s">
        <v>2874</v>
      </c>
      <c r="E2050" s="384">
        <v>0</v>
      </c>
      <c r="F2050" s="384">
        <v>0</v>
      </c>
      <c r="G2050" s="378" t="s">
        <v>2875</v>
      </c>
      <c r="H2050" s="20">
        <v>0</v>
      </c>
      <c r="I2050" s="378" t="s">
        <v>441</v>
      </c>
      <c r="J2050" s="20" t="s">
        <v>2868</v>
      </c>
      <c r="K2050" s="378" t="s">
        <v>2869</v>
      </c>
      <c r="L2050" s="378" t="s">
        <v>2848</v>
      </c>
      <c r="M2050" s="380">
        <v>2700</v>
      </c>
      <c r="N2050" s="380" t="s">
        <v>443</v>
      </c>
      <c r="O2050" s="380" t="s">
        <v>443</v>
      </c>
      <c r="P2050" s="380" t="s">
        <v>443</v>
      </c>
      <c r="Q2050" s="381">
        <v>6841.3</v>
      </c>
      <c r="R2050" s="381">
        <v>0</v>
      </c>
      <c r="S2050" s="381">
        <v>0</v>
      </c>
      <c r="T2050" s="381">
        <v>0</v>
      </c>
      <c r="U2050" s="381">
        <v>0</v>
      </c>
      <c r="V2050" s="382">
        <v>6841.3</v>
      </c>
      <c r="W2050" s="382">
        <v>0</v>
      </c>
      <c r="X2050" s="381">
        <v>6.8413000000000004</v>
      </c>
      <c r="Y2050" s="381">
        <v>0</v>
      </c>
      <c r="Z2050" s="381">
        <v>0</v>
      </c>
      <c r="AA2050" s="381">
        <v>0</v>
      </c>
      <c r="AB2050" s="381">
        <v>0</v>
      </c>
      <c r="AC2050" s="382">
        <v>6.8413000000000004</v>
      </c>
      <c r="AD2050" s="382">
        <v>0</v>
      </c>
      <c r="AE2050" s="381" t="s">
        <v>168</v>
      </c>
    </row>
    <row r="2051" spans="1:31" ht="15" customHeight="1" x14ac:dyDescent="0.25">
      <c r="A2051" s="20" t="s">
        <v>2825</v>
      </c>
      <c r="B2051" s="20" t="s">
        <v>2826</v>
      </c>
      <c r="C2051" s="20" t="s">
        <v>2843</v>
      </c>
      <c r="D2051" s="378" t="s">
        <v>2876</v>
      </c>
      <c r="E2051" s="384">
        <v>0</v>
      </c>
      <c r="F2051" s="384">
        <v>0</v>
      </c>
      <c r="G2051" s="378" t="s">
        <v>439</v>
      </c>
      <c r="H2051" s="20">
        <v>0</v>
      </c>
      <c r="I2051" s="378" t="s">
        <v>441</v>
      </c>
      <c r="J2051" s="20" t="s">
        <v>2868</v>
      </c>
      <c r="K2051" s="378" t="s">
        <v>2869</v>
      </c>
      <c r="L2051" s="378" t="s">
        <v>2848</v>
      </c>
      <c r="M2051" s="380">
        <v>2700</v>
      </c>
      <c r="N2051" s="380" t="s">
        <v>443</v>
      </c>
      <c r="O2051" s="380" t="s">
        <v>443</v>
      </c>
      <c r="P2051" s="380" t="s">
        <v>443</v>
      </c>
      <c r="Q2051" s="381">
        <v>12741.300000000001</v>
      </c>
      <c r="R2051" s="381">
        <v>0</v>
      </c>
      <c r="S2051" s="381">
        <v>0</v>
      </c>
      <c r="T2051" s="381">
        <v>0</v>
      </c>
      <c r="U2051" s="381">
        <v>0</v>
      </c>
      <c r="V2051" s="382">
        <v>12741.300000000001</v>
      </c>
      <c r="W2051" s="382">
        <v>0</v>
      </c>
      <c r="X2051" s="381">
        <v>12.741300000000001</v>
      </c>
      <c r="Y2051" s="381">
        <v>0</v>
      </c>
      <c r="Z2051" s="381">
        <v>0</v>
      </c>
      <c r="AA2051" s="381">
        <v>0</v>
      </c>
      <c r="AB2051" s="381">
        <v>0</v>
      </c>
      <c r="AC2051" s="382">
        <v>12.741300000000001</v>
      </c>
      <c r="AD2051" s="382">
        <v>0</v>
      </c>
      <c r="AE2051" s="381" t="s">
        <v>168</v>
      </c>
    </row>
    <row r="2052" spans="1:31" ht="15" customHeight="1" x14ac:dyDescent="0.25">
      <c r="A2052" s="20" t="s">
        <v>2825</v>
      </c>
      <c r="B2052" s="20" t="s">
        <v>2826</v>
      </c>
      <c r="C2052" s="20" t="s">
        <v>2843</v>
      </c>
      <c r="D2052" s="378" t="s">
        <v>2877</v>
      </c>
      <c r="E2052" s="384">
        <v>44813</v>
      </c>
      <c r="F2052" s="384">
        <v>46638</v>
      </c>
      <c r="G2052" s="378" t="s">
        <v>2845</v>
      </c>
      <c r="H2052" s="20" t="s">
        <v>2878</v>
      </c>
      <c r="I2052" s="378">
        <v>0</v>
      </c>
      <c r="J2052" s="20" t="s">
        <v>2831</v>
      </c>
      <c r="K2052" s="378" t="s">
        <v>2879</v>
      </c>
      <c r="L2052" s="378" t="s">
        <v>2848</v>
      </c>
      <c r="M2052" s="380">
        <v>2700</v>
      </c>
      <c r="N2052" s="380" t="s">
        <v>443</v>
      </c>
      <c r="O2052" s="380" t="s">
        <v>443</v>
      </c>
      <c r="P2052" s="380" t="s">
        <v>443</v>
      </c>
      <c r="Q2052" s="381">
        <v>28800</v>
      </c>
      <c r="R2052" s="381">
        <v>0</v>
      </c>
      <c r="S2052" s="381">
        <v>0</v>
      </c>
      <c r="T2052" s="381">
        <v>0</v>
      </c>
      <c r="U2052" s="381">
        <v>0</v>
      </c>
      <c r="V2052" s="382">
        <v>28800</v>
      </c>
      <c r="W2052" s="382">
        <v>0</v>
      </c>
      <c r="X2052" s="381">
        <v>28.8</v>
      </c>
      <c r="Y2052" s="381">
        <v>0</v>
      </c>
      <c r="Z2052" s="381">
        <v>0</v>
      </c>
      <c r="AA2052" s="381">
        <v>0</v>
      </c>
      <c r="AB2052" s="381">
        <v>0</v>
      </c>
      <c r="AC2052" s="382">
        <v>28.8</v>
      </c>
      <c r="AD2052" s="382">
        <v>0</v>
      </c>
      <c r="AE2052" s="381" t="s">
        <v>168</v>
      </c>
    </row>
    <row r="2053" spans="1:31" ht="15" customHeight="1" x14ac:dyDescent="0.25">
      <c r="A2053" s="20" t="s">
        <v>2825</v>
      </c>
      <c r="B2053" s="20" t="s">
        <v>2826</v>
      </c>
      <c r="C2053" s="20" t="s">
        <v>2843</v>
      </c>
      <c r="D2053" s="378" t="s">
        <v>2880</v>
      </c>
      <c r="E2053" s="384">
        <v>45089</v>
      </c>
      <c r="F2053" s="384">
        <v>46915</v>
      </c>
      <c r="G2053" s="378" t="s">
        <v>2881</v>
      </c>
      <c r="H2053" s="20" t="s">
        <v>2882</v>
      </c>
      <c r="I2053" s="378">
        <v>0</v>
      </c>
      <c r="J2053" s="20" t="s">
        <v>2831</v>
      </c>
      <c r="K2053" s="378" t="s">
        <v>2883</v>
      </c>
      <c r="L2053" s="378" t="s">
        <v>2848</v>
      </c>
      <c r="M2053" s="380">
        <v>2700</v>
      </c>
      <c r="N2053" s="380" t="s">
        <v>443</v>
      </c>
      <c r="O2053" s="380" t="s">
        <v>443</v>
      </c>
      <c r="P2053" s="380" t="s">
        <v>443</v>
      </c>
      <c r="Q2053" s="381">
        <v>3500</v>
      </c>
      <c r="R2053" s="381">
        <v>3470</v>
      </c>
      <c r="S2053" s="381">
        <v>9.65</v>
      </c>
      <c r="T2053" s="381">
        <v>14.5</v>
      </c>
      <c r="U2053" s="381">
        <v>0</v>
      </c>
      <c r="V2053" s="382">
        <v>3494.15</v>
      </c>
      <c r="W2053" s="382">
        <v>0</v>
      </c>
      <c r="X2053" s="381">
        <v>3.5</v>
      </c>
      <c r="Y2053" s="381">
        <v>3.47</v>
      </c>
      <c r="Z2053" s="381">
        <v>9.6500000000000006E-3</v>
      </c>
      <c r="AA2053" s="381">
        <v>1.4500000000000001E-2</v>
      </c>
      <c r="AB2053" s="381">
        <v>0</v>
      </c>
      <c r="AC2053" s="382">
        <v>3.4941500000000003</v>
      </c>
      <c r="AD2053" s="382">
        <v>0</v>
      </c>
      <c r="AE2053" s="381" t="s">
        <v>168</v>
      </c>
    </row>
    <row r="2054" spans="1:31" ht="15" customHeight="1" x14ac:dyDescent="0.25">
      <c r="A2054" s="20" t="s">
        <v>2884</v>
      </c>
      <c r="B2054" s="20" t="s">
        <v>2826</v>
      </c>
      <c r="C2054" s="20" t="s">
        <v>2843</v>
      </c>
      <c r="D2054" s="378" t="s">
        <v>2885</v>
      </c>
      <c r="E2054" s="384">
        <v>45191</v>
      </c>
      <c r="F2054" s="384">
        <v>47017</v>
      </c>
      <c r="G2054" s="378" t="s">
        <v>2886</v>
      </c>
      <c r="H2054" s="20" t="s">
        <v>2887</v>
      </c>
      <c r="I2054" s="378">
        <v>0</v>
      </c>
      <c r="J2054" s="20" t="s">
        <v>2831</v>
      </c>
      <c r="K2054" s="378" t="s">
        <v>2854</v>
      </c>
      <c r="L2054" s="378" t="s">
        <v>2848</v>
      </c>
      <c r="M2054" s="380">
        <v>2700</v>
      </c>
      <c r="N2054" s="380" t="s">
        <v>443</v>
      </c>
      <c r="O2054" s="380" t="s">
        <v>443</v>
      </c>
      <c r="P2054" s="380" t="s">
        <v>443</v>
      </c>
      <c r="Q2054" s="381">
        <v>12900</v>
      </c>
      <c r="R2054" s="381">
        <v>0</v>
      </c>
      <c r="S2054" s="381">
        <v>0</v>
      </c>
      <c r="T2054" s="381">
        <v>0</v>
      </c>
      <c r="U2054" s="381">
        <v>0</v>
      </c>
      <c r="V2054" s="382">
        <v>12900</v>
      </c>
      <c r="W2054" s="382">
        <v>0</v>
      </c>
      <c r="X2054" s="381">
        <v>12.9</v>
      </c>
      <c r="Y2054" s="381">
        <v>0</v>
      </c>
      <c r="Z2054" s="381">
        <v>0</v>
      </c>
      <c r="AA2054" s="381">
        <v>0</v>
      </c>
      <c r="AB2054" s="381">
        <v>0</v>
      </c>
      <c r="AC2054" s="382">
        <v>12.9</v>
      </c>
      <c r="AD2054" s="382">
        <v>0</v>
      </c>
      <c r="AE2054" s="381" t="s">
        <v>168</v>
      </c>
    </row>
    <row r="2055" spans="1:31" ht="15" customHeight="1" x14ac:dyDescent="0.25">
      <c r="A2055" s="20" t="s">
        <v>2884</v>
      </c>
      <c r="B2055" s="20" t="s">
        <v>2826</v>
      </c>
      <c r="C2055" s="20" t="s">
        <v>2843</v>
      </c>
      <c r="D2055" s="378" t="s">
        <v>2888</v>
      </c>
      <c r="E2055" s="384">
        <v>45127</v>
      </c>
      <c r="F2055" s="384">
        <v>46953</v>
      </c>
      <c r="G2055" s="378" t="s">
        <v>2886</v>
      </c>
      <c r="H2055" s="20" t="s">
        <v>2889</v>
      </c>
      <c r="I2055" s="378">
        <v>0</v>
      </c>
      <c r="J2055" s="20" t="s">
        <v>2831</v>
      </c>
      <c r="K2055" s="378" t="s">
        <v>2890</v>
      </c>
      <c r="L2055" s="378" t="s">
        <v>2848</v>
      </c>
      <c r="M2055" s="380">
        <v>2700</v>
      </c>
      <c r="N2055" s="380" t="s">
        <v>443</v>
      </c>
      <c r="O2055" s="380" t="s">
        <v>443</v>
      </c>
      <c r="P2055" s="380" t="s">
        <v>443</v>
      </c>
      <c r="Q2055" s="381">
        <v>5170</v>
      </c>
      <c r="R2055" s="381">
        <v>0</v>
      </c>
      <c r="S2055" s="381">
        <v>0</v>
      </c>
      <c r="T2055" s="381">
        <v>0</v>
      </c>
      <c r="U2055" s="381">
        <v>0</v>
      </c>
      <c r="V2055" s="382">
        <v>5170</v>
      </c>
      <c r="W2055" s="382">
        <v>0</v>
      </c>
      <c r="X2055" s="381">
        <v>5.17</v>
      </c>
      <c r="Y2055" s="381">
        <v>0</v>
      </c>
      <c r="Z2055" s="381">
        <v>0</v>
      </c>
      <c r="AA2055" s="381">
        <v>0</v>
      </c>
      <c r="AB2055" s="381">
        <v>0</v>
      </c>
      <c r="AC2055" s="382">
        <v>5.17</v>
      </c>
      <c r="AD2055" s="382">
        <v>0</v>
      </c>
      <c r="AE2055" s="381" t="s">
        <v>168</v>
      </c>
    </row>
    <row r="2056" spans="1:31" ht="15" customHeight="1" x14ac:dyDescent="0.25">
      <c r="A2056" s="20" t="s">
        <v>2884</v>
      </c>
      <c r="B2056" s="20" t="s">
        <v>2826</v>
      </c>
      <c r="C2056" s="20" t="s">
        <v>2843</v>
      </c>
      <c r="D2056" s="378" t="s">
        <v>2891</v>
      </c>
      <c r="E2056" s="384">
        <v>44936</v>
      </c>
      <c r="F2056" s="384">
        <v>46761</v>
      </c>
      <c r="G2056" s="378" t="s">
        <v>2837</v>
      </c>
      <c r="H2056" s="20" t="s">
        <v>2892</v>
      </c>
      <c r="I2056" s="378">
        <v>0</v>
      </c>
      <c r="J2056" s="20" t="s">
        <v>2831</v>
      </c>
      <c r="K2056" s="378" t="s">
        <v>2893</v>
      </c>
      <c r="L2056" s="378" t="s">
        <v>2848</v>
      </c>
      <c r="M2056" s="380">
        <v>2700</v>
      </c>
      <c r="N2056" s="380" t="s">
        <v>443</v>
      </c>
      <c r="O2056" s="380" t="s">
        <v>443</v>
      </c>
      <c r="P2056" s="380" t="s">
        <v>443</v>
      </c>
      <c r="Q2056" s="381">
        <v>17670</v>
      </c>
      <c r="R2056" s="381">
        <v>0</v>
      </c>
      <c r="S2056" s="381">
        <v>0</v>
      </c>
      <c r="T2056" s="381">
        <v>0</v>
      </c>
      <c r="U2056" s="381">
        <v>0</v>
      </c>
      <c r="V2056" s="382">
        <v>17670</v>
      </c>
      <c r="W2056" s="382">
        <v>0</v>
      </c>
      <c r="X2056" s="381">
        <v>17.670000000000002</v>
      </c>
      <c r="Y2056" s="381">
        <v>0</v>
      </c>
      <c r="Z2056" s="381">
        <v>0</v>
      </c>
      <c r="AA2056" s="381">
        <v>0</v>
      </c>
      <c r="AB2056" s="381">
        <v>0</v>
      </c>
      <c r="AC2056" s="382">
        <v>17.670000000000002</v>
      </c>
      <c r="AD2056" s="382">
        <v>0</v>
      </c>
      <c r="AE2056" s="381" t="s">
        <v>168</v>
      </c>
    </row>
    <row r="2057" spans="1:31" ht="15" customHeight="1" x14ac:dyDescent="0.25">
      <c r="A2057" s="20" t="s">
        <v>2884</v>
      </c>
      <c r="B2057" s="20" t="s">
        <v>2826</v>
      </c>
      <c r="C2057" s="20" t="s">
        <v>2843</v>
      </c>
      <c r="D2057" s="378" t="s">
        <v>2894</v>
      </c>
      <c r="E2057" s="384">
        <v>44913</v>
      </c>
      <c r="F2057" s="384">
        <v>46738</v>
      </c>
      <c r="G2057" s="378" t="s">
        <v>2886</v>
      </c>
      <c r="H2057" s="20" t="s">
        <v>2895</v>
      </c>
      <c r="I2057" s="378">
        <v>0</v>
      </c>
      <c r="J2057" s="20" t="s">
        <v>2831</v>
      </c>
      <c r="K2057" s="378" t="s">
        <v>2854</v>
      </c>
      <c r="L2057" s="378" t="s">
        <v>2848</v>
      </c>
      <c r="M2057" s="380">
        <v>2700</v>
      </c>
      <c r="N2057" s="380" t="s">
        <v>443</v>
      </c>
      <c r="O2057" s="380" t="s">
        <v>443</v>
      </c>
      <c r="P2057" s="380" t="s">
        <v>443</v>
      </c>
      <c r="Q2057" s="381">
        <v>11700</v>
      </c>
      <c r="R2057" s="381">
        <v>0</v>
      </c>
      <c r="S2057" s="381">
        <v>0</v>
      </c>
      <c r="T2057" s="381">
        <v>0</v>
      </c>
      <c r="U2057" s="381">
        <v>0</v>
      </c>
      <c r="V2057" s="382">
        <v>11700</v>
      </c>
      <c r="W2057" s="382">
        <v>0</v>
      </c>
      <c r="X2057" s="381">
        <v>11.7</v>
      </c>
      <c r="Y2057" s="381">
        <v>0</v>
      </c>
      <c r="Z2057" s="381">
        <v>0</v>
      </c>
      <c r="AA2057" s="381">
        <v>0</v>
      </c>
      <c r="AB2057" s="381">
        <v>0</v>
      </c>
      <c r="AC2057" s="382">
        <v>11.7</v>
      </c>
      <c r="AD2057" s="382">
        <v>0</v>
      </c>
      <c r="AE2057" s="381" t="s">
        <v>168</v>
      </c>
    </row>
    <row r="2058" spans="1:31" ht="15" customHeight="1" x14ac:dyDescent="0.25">
      <c r="A2058" s="20" t="s">
        <v>2884</v>
      </c>
      <c r="B2058" s="20" t="s">
        <v>2826</v>
      </c>
      <c r="C2058" s="20" t="s">
        <v>2843</v>
      </c>
      <c r="D2058" s="378" t="s">
        <v>2896</v>
      </c>
      <c r="E2058" s="384">
        <v>44733</v>
      </c>
      <c r="F2058" s="384">
        <v>46558</v>
      </c>
      <c r="G2058" s="378" t="s">
        <v>2886</v>
      </c>
      <c r="H2058" s="20" t="s">
        <v>2897</v>
      </c>
      <c r="I2058" s="378">
        <v>0</v>
      </c>
      <c r="J2058" s="20" t="s">
        <v>2831</v>
      </c>
      <c r="K2058" s="378" t="s">
        <v>2898</v>
      </c>
      <c r="L2058" s="378" t="s">
        <v>2848</v>
      </c>
      <c r="M2058" s="380">
        <v>2700</v>
      </c>
      <c r="N2058" s="380" t="s">
        <v>443</v>
      </c>
      <c r="O2058" s="380" t="s">
        <v>443</v>
      </c>
      <c r="P2058" s="380" t="s">
        <v>443</v>
      </c>
      <c r="Q2058" s="381">
        <v>13900</v>
      </c>
      <c r="R2058" s="381">
        <v>0</v>
      </c>
      <c r="S2058" s="381">
        <v>0</v>
      </c>
      <c r="T2058" s="381">
        <v>0</v>
      </c>
      <c r="U2058" s="381">
        <v>0</v>
      </c>
      <c r="V2058" s="382">
        <v>13900</v>
      </c>
      <c r="W2058" s="382">
        <v>0</v>
      </c>
      <c r="X2058" s="381">
        <v>13.9</v>
      </c>
      <c r="Y2058" s="381">
        <v>0</v>
      </c>
      <c r="Z2058" s="381">
        <v>0</v>
      </c>
      <c r="AA2058" s="381">
        <v>0</v>
      </c>
      <c r="AB2058" s="381">
        <v>0</v>
      </c>
      <c r="AC2058" s="382">
        <v>13.9</v>
      </c>
      <c r="AD2058" s="382">
        <v>0</v>
      </c>
      <c r="AE2058" s="381" t="s">
        <v>168</v>
      </c>
    </row>
    <row r="2059" spans="1:31" ht="15" customHeight="1" x14ac:dyDescent="0.25">
      <c r="A2059" s="20" t="s">
        <v>2884</v>
      </c>
      <c r="B2059" s="20" t="s">
        <v>2826</v>
      </c>
      <c r="C2059" s="20" t="s">
        <v>2843</v>
      </c>
      <c r="D2059" s="378" t="s">
        <v>2899</v>
      </c>
      <c r="E2059" s="384">
        <v>44529</v>
      </c>
      <c r="F2059" s="384">
        <v>46354</v>
      </c>
      <c r="G2059" s="378" t="s">
        <v>2837</v>
      </c>
      <c r="H2059" s="20" t="s">
        <v>2900</v>
      </c>
      <c r="I2059" s="378">
        <v>0</v>
      </c>
      <c r="J2059" s="20" t="s">
        <v>2831</v>
      </c>
      <c r="K2059" s="378" t="s">
        <v>2901</v>
      </c>
      <c r="L2059" s="378" t="s">
        <v>2848</v>
      </c>
      <c r="M2059" s="380">
        <v>2700</v>
      </c>
      <c r="N2059" s="380" t="s">
        <v>443</v>
      </c>
      <c r="O2059" s="380" t="s">
        <v>443</v>
      </c>
      <c r="P2059" s="380" t="s">
        <v>443</v>
      </c>
      <c r="Q2059" s="381">
        <v>19100</v>
      </c>
      <c r="R2059" s="381">
        <v>0</v>
      </c>
      <c r="S2059" s="381">
        <v>0</v>
      </c>
      <c r="T2059" s="381">
        <v>0</v>
      </c>
      <c r="U2059" s="381">
        <v>0</v>
      </c>
      <c r="V2059" s="382">
        <v>19100</v>
      </c>
      <c r="W2059" s="382">
        <v>0</v>
      </c>
      <c r="X2059" s="381">
        <v>19.100000000000001</v>
      </c>
      <c r="Y2059" s="381">
        <v>0</v>
      </c>
      <c r="Z2059" s="381">
        <v>0</v>
      </c>
      <c r="AA2059" s="381">
        <v>0</v>
      </c>
      <c r="AB2059" s="381">
        <v>0</v>
      </c>
      <c r="AC2059" s="382">
        <v>19.100000000000001</v>
      </c>
      <c r="AD2059" s="382">
        <v>0</v>
      </c>
      <c r="AE2059" s="381" t="s">
        <v>168</v>
      </c>
    </row>
    <row r="2060" spans="1:31" ht="15" customHeight="1" x14ac:dyDescent="0.25">
      <c r="A2060" s="20" t="s">
        <v>2884</v>
      </c>
      <c r="B2060" s="20" t="s">
        <v>2826</v>
      </c>
      <c r="C2060" s="20" t="s">
        <v>2843</v>
      </c>
      <c r="D2060" s="378" t="s">
        <v>2902</v>
      </c>
      <c r="E2060" s="384">
        <v>43948</v>
      </c>
      <c r="F2060" s="384">
        <v>45774</v>
      </c>
      <c r="G2060" s="378" t="s">
        <v>2903</v>
      </c>
      <c r="H2060" s="20" t="s">
        <v>2904</v>
      </c>
      <c r="I2060" s="378">
        <v>0</v>
      </c>
      <c r="J2060" s="20" t="s">
        <v>2831</v>
      </c>
      <c r="K2060" s="378" t="s">
        <v>2905</v>
      </c>
      <c r="L2060" s="378" t="s">
        <v>2848</v>
      </c>
      <c r="M2060" s="380">
        <v>2700</v>
      </c>
      <c r="N2060" s="380" t="s">
        <v>443</v>
      </c>
      <c r="O2060" s="380" t="s">
        <v>443</v>
      </c>
      <c r="P2060" s="380" t="s">
        <v>443</v>
      </c>
      <c r="Q2060" s="381">
        <v>7430</v>
      </c>
      <c r="R2060" s="381">
        <v>0</v>
      </c>
      <c r="S2060" s="381">
        <v>0</v>
      </c>
      <c r="T2060" s="381">
        <v>0</v>
      </c>
      <c r="U2060" s="381">
        <v>0</v>
      </c>
      <c r="V2060" s="382">
        <v>7430</v>
      </c>
      <c r="W2060" s="382">
        <v>0</v>
      </c>
      <c r="X2060" s="381">
        <v>7.43</v>
      </c>
      <c r="Y2060" s="381">
        <v>0</v>
      </c>
      <c r="Z2060" s="381">
        <v>0</v>
      </c>
      <c r="AA2060" s="381">
        <v>0</v>
      </c>
      <c r="AB2060" s="381">
        <v>0</v>
      </c>
      <c r="AC2060" s="382">
        <v>7.43</v>
      </c>
      <c r="AD2060" s="382">
        <v>0</v>
      </c>
      <c r="AE2060" s="381" t="s">
        <v>168</v>
      </c>
    </row>
    <row r="2061" spans="1:31" ht="15" customHeight="1" x14ac:dyDescent="0.25">
      <c r="A2061" s="20" t="s">
        <v>2884</v>
      </c>
      <c r="B2061" s="20" t="s">
        <v>2826</v>
      </c>
      <c r="C2061" s="20" t="s">
        <v>2843</v>
      </c>
      <c r="D2061" s="378" t="s">
        <v>2906</v>
      </c>
      <c r="E2061" s="384">
        <v>44443</v>
      </c>
      <c r="F2061" s="384">
        <v>46268</v>
      </c>
      <c r="G2061" s="378" t="s">
        <v>2886</v>
      </c>
      <c r="H2061" s="20" t="s">
        <v>2907</v>
      </c>
      <c r="I2061" s="378">
        <v>0</v>
      </c>
      <c r="J2061" s="20" t="s">
        <v>2831</v>
      </c>
      <c r="K2061" s="378" t="s">
        <v>2908</v>
      </c>
      <c r="L2061" s="378" t="s">
        <v>2848</v>
      </c>
      <c r="M2061" s="380">
        <v>2700</v>
      </c>
      <c r="N2061" s="380" t="s">
        <v>443</v>
      </c>
      <c r="O2061" s="380" t="s">
        <v>443</v>
      </c>
      <c r="P2061" s="380" t="s">
        <v>443</v>
      </c>
      <c r="Q2061" s="381">
        <v>9870</v>
      </c>
      <c r="R2061" s="381">
        <v>0</v>
      </c>
      <c r="S2061" s="381">
        <v>0</v>
      </c>
      <c r="T2061" s="381">
        <v>0</v>
      </c>
      <c r="U2061" s="381">
        <v>0</v>
      </c>
      <c r="V2061" s="382">
        <v>9870</v>
      </c>
      <c r="W2061" s="382">
        <v>0</v>
      </c>
      <c r="X2061" s="381">
        <v>9.8699999999999992</v>
      </c>
      <c r="Y2061" s="381">
        <v>0</v>
      </c>
      <c r="Z2061" s="381">
        <v>0</v>
      </c>
      <c r="AA2061" s="381">
        <v>0</v>
      </c>
      <c r="AB2061" s="381">
        <v>0</v>
      </c>
      <c r="AC2061" s="382">
        <v>9.8699999999999992</v>
      </c>
      <c r="AD2061" s="382">
        <v>0</v>
      </c>
      <c r="AE2061" s="381" t="s">
        <v>168</v>
      </c>
    </row>
    <row r="2062" spans="1:31" ht="15" customHeight="1" x14ac:dyDescent="0.25">
      <c r="A2062" s="20" t="s">
        <v>2884</v>
      </c>
      <c r="B2062" s="20" t="s">
        <v>2826</v>
      </c>
      <c r="C2062" s="20" t="s">
        <v>2843</v>
      </c>
      <c r="D2062" s="378" t="s">
        <v>2909</v>
      </c>
      <c r="E2062" s="384">
        <v>44362</v>
      </c>
      <c r="F2062" s="384">
        <v>46187</v>
      </c>
      <c r="G2062" s="378" t="s">
        <v>2910</v>
      </c>
      <c r="H2062" s="20" t="s">
        <v>2911</v>
      </c>
      <c r="I2062" s="378">
        <v>0</v>
      </c>
      <c r="J2062" s="20" t="s">
        <v>2831</v>
      </c>
      <c r="K2062" s="378" t="s">
        <v>2912</v>
      </c>
      <c r="L2062" s="378" t="s">
        <v>2848</v>
      </c>
      <c r="M2062" s="380">
        <v>2700</v>
      </c>
      <c r="N2062" s="380" t="s">
        <v>443</v>
      </c>
      <c r="O2062" s="380" t="s">
        <v>443</v>
      </c>
      <c r="P2062" s="380" t="s">
        <v>443</v>
      </c>
      <c r="Q2062" s="381">
        <v>15600</v>
      </c>
      <c r="R2062" s="381">
        <v>0</v>
      </c>
      <c r="S2062" s="381">
        <v>0</v>
      </c>
      <c r="T2062" s="381">
        <v>0</v>
      </c>
      <c r="U2062" s="381">
        <v>0</v>
      </c>
      <c r="V2062" s="382">
        <v>15600</v>
      </c>
      <c r="W2062" s="382">
        <v>0</v>
      </c>
      <c r="X2062" s="381">
        <v>15.6</v>
      </c>
      <c r="Y2062" s="381">
        <v>0</v>
      </c>
      <c r="Z2062" s="381">
        <v>0</v>
      </c>
      <c r="AA2062" s="381">
        <v>0</v>
      </c>
      <c r="AB2062" s="381">
        <v>0</v>
      </c>
      <c r="AC2062" s="382">
        <v>15.6</v>
      </c>
      <c r="AD2062" s="382">
        <v>0</v>
      </c>
      <c r="AE2062" s="381" t="s">
        <v>168</v>
      </c>
    </row>
    <row r="2063" spans="1:31" ht="15" customHeight="1" x14ac:dyDescent="0.25">
      <c r="A2063" s="20" t="s">
        <v>2913</v>
      </c>
      <c r="B2063" s="20" t="s">
        <v>2913</v>
      </c>
      <c r="C2063" s="20" t="s">
        <v>2913</v>
      </c>
      <c r="D2063" s="378" t="s">
        <v>2914</v>
      </c>
      <c r="E2063" s="384">
        <v>44626</v>
      </c>
      <c r="F2063" s="384">
        <v>46452</v>
      </c>
      <c r="G2063" s="385" t="s">
        <v>281</v>
      </c>
      <c r="H2063" s="385" t="s">
        <v>2915</v>
      </c>
      <c r="I2063" s="378">
        <v>0</v>
      </c>
      <c r="J2063" s="385" t="s">
        <v>163</v>
      </c>
      <c r="K2063" s="378" t="s">
        <v>2916</v>
      </c>
      <c r="L2063" s="378" t="s">
        <v>2848</v>
      </c>
      <c r="M2063" s="380">
        <v>2400</v>
      </c>
      <c r="N2063" s="380"/>
      <c r="O2063" s="380"/>
      <c r="P2063" s="380"/>
      <c r="Q2063" s="381">
        <v>73.900000000000006</v>
      </c>
      <c r="R2063" s="381">
        <v>75</v>
      </c>
      <c r="S2063" s="381">
        <v>-1.1599999999999999</v>
      </c>
      <c r="T2063" s="381">
        <v>-2.5600000000000002E-3</v>
      </c>
      <c r="U2063" s="381">
        <v>0</v>
      </c>
      <c r="V2063" s="382">
        <v>74.997439999999997</v>
      </c>
      <c r="W2063" s="382">
        <v>0</v>
      </c>
      <c r="X2063" s="381">
        <v>7.3900000000000007E-2</v>
      </c>
      <c r="Y2063" s="381">
        <v>7.4999999999999997E-2</v>
      </c>
      <c r="Z2063" s="381">
        <v>-1.16E-3</v>
      </c>
      <c r="AA2063" s="381">
        <v>-2.5600000000000001E-6</v>
      </c>
      <c r="AB2063" s="381">
        <v>0</v>
      </c>
      <c r="AC2063" s="382">
        <v>7.4997439999999999E-2</v>
      </c>
      <c r="AD2063" s="382">
        <v>0</v>
      </c>
      <c r="AE2063" s="381" t="s">
        <v>168</v>
      </c>
    </row>
    <row r="2064" spans="1:31" ht="15" customHeight="1" x14ac:dyDescent="0.25">
      <c r="A2064" s="20" t="s">
        <v>2913</v>
      </c>
      <c r="B2064" s="20" t="s">
        <v>2913</v>
      </c>
      <c r="C2064" s="20" t="s">
        <v>2913</v>
      </c>
      <c r="D2064" s="378" t="s">
        <v>2917</v>
      </c>
      <c r="E2064" s="384">
        <v>44626</v>
      </c>
      <c r="F2064" s="384">
        <v>46452</v>
      </c>
      <c r="G2064" s="385" t="s">
        <v>281</v>
      </c>
      <c r="H2064" s="385" t="s">
        <v>2915</v>
      </c>
      <c r="I2064" s="378">
        <v>0</v>
      </c>
      <c r="J2064" s="385" t="s">
        <v>163</v>
      </c>
      <c r="K2064" s="378" t="s">
        <v>2916</v>
      </c>
      <c r="L2064" s="378" t="s">
        <v>2848</v>
      </c>
      <c r="M2064" s="380">
        <v>2400</v>
      </c>
      <c r="N2064" s="380"/>
      <c r="O2064" s="380"/>
      <c r="P2064" s="380"/>
      <c r="Q2064" s="381">
        <v>67.8</v>
      </c>
      <c r="R2064" s="381">
        <v>68.099999999999994</v>
      </c>
      <c r="S2064" s="381">
        <v>-0.24099999999999999</v>
      </c>
      <c r="T2064" s="381">
        <v>-2.32E-4</v>
      </c>
      <c r="U2064" s="381">
        <v>0</v>
      </c>
      <c r="V2064" s="382">
        <v>68.099767999999997</v>
      </c>
      <c r="W2064" s="382">
        <v>0</v>
      </c>
      <c r="X2064" s="381">
        <v>6.7799999999999999E-2</v>
      </c>
      <c r="Y2064" s="381">
        <v>6.8099999999999994E-2</v>
      </c>
      <c r="Z2064" s="381">
        <v>-2.41E-4</v>
      </c>
      <c r="AA2064" s="381">
        <v>-2.3200000000000001E-7</v>
      </c>
      <c r="AB2064" s="381">
        <v>0</v>
      </c>
      <c r="AC2064" s="382">
        <v>6.8099767999999991E-2</v>
      </c>
      <c r="AD2064" s="382">
        <v>0</v>
      </c>
      <c r="AE2064" s="381" t="s">
        <v>168</v>
      </c>
    </row>
    <row r="2065" spans="1:31" ht="15" customHeight="1" x14ac:dyDescent="0.25">
      <c r="A2065" s="20" t="s">
        <v>2913</v>
      </c>
      <c r="B2065" s="20" t="s">
        <v>2913</v>
      </c>
      <c r="C2065" s="20" t="s">
        <v>2913</v>
      </c>
      <c r="D2065" s="378" t="s">
        <v>2918</v>
      </c>
      <c r="E2065" s="384">
        <v>44626</v>
      </c>
      <c r="F2065" s="384">
        <v>46452</v>
      </c>
      <c r="G2065" s="385" t="s">
        <v>281</v>
      </c>
      <c r="H2065" s="385" t="s">
        <v>2915</v>
      </c>
      <c r="I2065" s="378">
        <v>0</v>
      </c>
      <c r="J2065" s="385" t="s">
        <v>163</v>
      </c>
      <c r="K2065" s="378" t="s">
        <v>2916</v>
      </c>
      <c r="L2065" s="378" t="s">
        <v>2848</v>
      </c>
      <c r="M2065" s="380">
        <v>2400</v>
      </c>
      <c r="N2065" s="380"/>
      <c r="O2065" s="380"/>
      <c r="P2065" s="380"/>
      <c r="Q2065" s="381">
        <v>83.3</v>
      </c>
      <c r="R2065" s="381">
        <v>83.5</v>
      </c>
      <c r="S2065" s="381">
        <v>-0.23400000000000001</v>
      </c>
      <c r="T2065" s="381">
        <v>-1.55E-4</v>
      </c>
      <c r="U2065" s="381">
        <v>0</v>
      </c>
      <c r="V2065" s="382">
        <v>83.499844999999993</v>
      </c>
      <c r="W2065" s="382">
        <v>0</v>
      </c>
      <c r="X2065" s="381">
        <v>8.3299999999999999E-2</v>
      </c>
      <c r="Y2065" s="381">
        <v>8.3500000000000005E-2</v>
      </c>
      <c r="Z2065" s="381">
        <v>-2.3400000000000002E-4</v>
      </c>
      <c r="AA2065" s="381">
        <v>-1.55E-7</v>
      </c>
      <c r="AB2065" s="381">
        <v>0</v>
      </c>
      <c r="AC2065" s="382">
        <v>8.3499845000000003E-2</v>
      </c>
      <c r="AD2065" s="382">
        <v>0</v>
      </c>
      <c r="AE2065" s="381" t="s">
        <v>168</v>
      </c>
    </row>
    <row r="2066" spans="1:31" ht="15" customHeight="1" x14ac:dyDescent="0.25">
      <c r="A2066" s="20" t="s">
        <v>2913</v>
      </c>
      <c r="B2066" s="20" t="s">
        <v>2913</v>
      </c>
      <c r="C2066" s="20" t="s">
        <v>2913</v>
      </c>
      <c r="D2066" s="378" t="s">
        <v>2919</v>
      </c>
      <c r="E2066" s="384" t="s">
        <v>2920</v>
      </c>
      <c r="F2066" s="384" t="s">
        <v>2921</v>
      </c>
      <c r="G2066" s="385" t="s">
        <v>281</v>
      </c>
      <c r="H2066" s="385" t="s">
        <v>2922</v>
      </c>
      <c r="I2066" s="378">
        <v>1</v>
      </c>
      <c r="J2066" s="385" t="s">
        <v>163</v>
      </c>
      <c r="K2066" s="378" t="s">
        <v>2923</v>
      </c>
      <c r="L2066" s="378" t="s">
        <v>2848</v>
      </c>
      <c r="M2066" s="380">
        <v>2400</v>
      </c>
      <c r="N2066" s="380"/>
      <c r="O2066" s="380"/>
      <c r="P2066" s="380"/>
      <c r="Q2066" s="381">
        <v>110</v>
      </c>
      <c r="R2066" s="381">
        <v>110</v>
      </c>
      <c r="S2066" s="381">
        <v>0.26200000000000001</v>
      </c>
      <c r="T2066" s="381">
        <v>1.37E-4</v>
      </c>
      <c r="U2066" s="381">
        <v>0</v>
      </c>
      <c r="V2066" s="382">
        <v>110.262137</v>
      </c>
      <c r="W2066" s="382">
        <v>0</v>
      </c>
      <c r="X2066" s="381">
        <v>0.11</v>
      </c>
      <c r="Y2066" s="381">
        <v>0.11</v>
      </c>
      <c r="Z2066" s="381">
        <v>2.6200000000000003E-4</v>
      </c>
      <c r="AA2066" s="381">
        <v>1.37E-7</v>
      </c>
      <c r="AB2066" s="381">
        <v>0</v>
      </c>
      <c r="AC2066" s="382">
        <v>0.110262137</v>
      </c>
      <c r="AD2066" s="382">
        <v>0</v>
      </c>
      <c r="AE2066" s="381" t="s">
        <v>168</v>
      </c>
    </row>
    <row r="2067" spans="1:31" ht="15" customHeight="1" x14ac:dyDescent="0.25">
      <c r="A2067" s="20" t="s">
        <v>2913</v>
      </c>
      <c r="B2067" s="20" t="s">
        <v>2913</v>
      </c>
      <c r="C2067" s="20" t="s">
        <v>2913</v>
      </c>
      <c r="D2067" s="378" t="s">
        <v>2924</v>
      </c>
      <c r="E2067" s="384" t="s">
        <v>2920</v>
      </c>
      <c r="F2067" s="384" t="s">
        <v>2921</v>
      </c>
      <c r="G2067" s="385" t="s">
        <v>281</v>
      </c>
      <c r="H2067" s="385" t="s">
        <v>2922</v>
      </c>
      <c r="I2067" s="378">
        <v>1</v>
      </c>
      <c r="J2067" s="385" t="s">
        <v>163</v>
      </c>
      <c r="K2067" s="378" t="s">
        <v>2923</v>
      </c>
      <c r="L2067" s="378" t="s">
        <v>2848</v>
      </c>
      <c r="M2067" s="380">
        <v>2400</v>
      </c>
      <c r="N2067" s="380"/>
      <c r="O2067" s="380"/>
      <c r="P2067" s="380"/>
      <c r="Q2067" s="381">
        <v>114</v>
      </c>
      <c r="R2067" s="381">
        <v>114</v>
      </c>
      <c r="S2067" s="381">
        <v>0.26700000000000002</v>
      </c>
      <c r="T2067" s="381">
        <v>1.4999999999999999E-4</v>
      </c>
      <c r="U2067" s="381">
        <v>0</v>
      </c>
      <c r="V2067" s="382">
        <v>114.26715</v>
      </c>
      <c r="W2067" s="382">
        <v>0</v>
      </c>
      <c r="X2067" s="381">
        <v>0.114</v>
      </c>
      <c r="Y2067" s="381">
        <v>0.114</v>
      </c>
      <c r="Z2067" s="381">
        <v>2.6700000000000004E-4</v>
      </c>
      <c r="AA2067" s="381">
        <v>1.4999999999999999E-7</v>
      </c>
      <c r="AB2067" s="381">
        <v>0</v>
      </c>
      <c r="AC2067" s="382">
        <v>0.11426715000000001</v>
      </c>
      <c r="AD2067" s="382">
        <v>0</v>
      </c>
      <c r="AE2067" s="381" t="s">
        <v>168</v>
      </c>
    </row>
    <row r="2068" spans="1:31" ht="15" customHeight="1" x14ac:dyDescent="0.25">
      <c r="A2068" s="20" t="s">
        <v>2913</v>
      </c>
      <c r="B2068" s="20" t="s">
        <v>2913</v>
      </c>
      <c r="C2068" s="20" t="s">
        <v>2913</v>
      </c>
      <c r="D2068" s="378" t="s">
        <v>2925</v>
      </c>
      <c r="E2068" s="384" t="s">
        <v>2920</v>
      </c>
      <c r="F2068" s="384" t="s">
        <v>2921</v>
      </c>
      <c r="G2068" s="385" t="s">
        <v>281</v>
      </c>
      <c r="H2068" s="385" t="s">
        <v>2922</v>
      </c>
      <c r="I2068" s="378">
        <v>1</v>
      </c>
      <c r="J2068" s="385" t="s">
        <v>163</v>
      </c>
      <c r="K2068" s="378" t="s">
        <v>2923</v>
      </c>
      <c r="L2068" s="378" t="s">
        <v>2848</v>
      </c>
      <c r="M2068" s="380">
        <v>2400</v>
      </c>
      <c r="N2068" s="380"/>
      <c r="O2068" s="380"/>
      <c r="P2068" s="380"/>
      <c r="Q2068" s="381">
        <v>116</v>
      </c>
      <c r="R2068" s="381">
        <v>116</v>
      </c>
      <c r="S2068" s="381">
        <v>0.27</v>
      </c>
      <c r="T2068" s="381">
        <v>1.54E-4</v>
      </c>
      <c r="U2068" s="381">
        <v>0</v>
      </c>
      <c r="V2068" s="382">
        <v>116.27015399999999</v>
      </c>
      <c r="W2068" s="382">
        <v>0</v>
      </c>
      <c r="X2068" s="381">
        <v>0.11600000000000001</v>
      </c>
      <c r="Y2068" s="381">
        <v>0.11600000000000001</v>
      </c>
      <c r="Z2068" s="381">
        <v>2.7E-4</v>
      </c>
      <c r="AA2068" s="381">
        <v>1.54E-7</v>
      </c>
      <c r="AB2068" s="381">
        <v>0</v>
      </c>
      <c r="AC2068" s="382">
        <v>0.11627015400000001</v>
      </c>
      <c r="AD2068" s="382">
        <v>0</v>
      </c>
      <c r="AE2068" s="381" t="s">
        <v>168</v>
      </c>
    </row>
    <row r="2069" spans="1:31" ht="15" customHeight="1" x14ac:dyDescent="0.25">
      <c r="A2069" s="20" t="s">
        <v>2913</v>
      </c>
      <c r="B2069" s="20" t="s">
        <v>2913</v>
      </c>
      <c r="C2069" s="20" t="s">
        <v>2913</v>
      </c>
      <c r="D2069" s="378" t="s">
        <v>2926</v>
      </c>
      <c r="E2069" s="384">
        <v>44626</v>
      </c>
      <c r="F2069" s="384">
        <v>46452</v>
      </c>
      <c r="G2069" s="385" t="s">
        <v>281</v>
      </c>
      <c r="H2069" s="385" t="s">
        <v>2915</v>
      </c>
      <c r="I2069" s="378">
        <v>0</v>
      </c>
      <c r="J2069" s="385" t="s">
        <v>163</v>
      </c>
      <c r="K2069" s="378" t="s">
        <v>2916</v>
      </c>
      <c r="L2069" s="378" t="s">
        <v>2848</v>
      </c>
      <c r="M2069" s="380">
        <v>2400</v>
      </c>
      <c r="N2069" s="380"/>
      <c r="O2069" s="380"/>
      <c r="P2069" s="380"/>
      <c r="Q2069" s="381">
        <v>90.5</v>
      </c>
      <c r="R2069" s="381">
        <v>90.7</v>
      </c>
      <c r="S2069" s="381">
        <v>-0.223</v>
      </c>
      <c r="T2069" s="381">
        <v>-5.9200000000000002E-5</v>
      </c>
      <c r="U2069" s="381">
        <v>0</v>
      </c>
      <c r="V2069" s="382">
        <v>90.699940800000007</v>
      </c>
      <c r="W2069" s="382">
        <v>0</v>
      </c>
      <c r="X2069" s="381">
        <v>9.0499999999999997E-2</v>
      </c>
      <c r="Y2069" s="381">
        <v>9.0700000000000003E-2</v>
      </c>
      <c r="Z2069" s="381">
        <v>-2.23E-4</v>
      </c>
      <c r="AA2069" s="381">
        <v>-5.9200000000000001E-8</v>
      </c>
      <c r="AB2069" s="381">
        <v>0</v>
      </c>
      <c r="AC2069" s="382">
        <v>9.0699940800000003E-2</v>
      </c>
      <c r="AD2069" s="382">
        <v>0</v>
      </c>
      <c r="AE2069" s="381" t="s">
        <v>168</v>
      </c>
    </row>
    <row r="2070" spans="1:31" ht="15" customHeight="1" x14ac:dyDescent="0.25">
      <c r="A2070" s="20" t="s">
        <v>2913</v>
      </c>
      <c r="B2070" s="20" t="s">
        <v>2913</v>
      </c>
      <c r="C2070" s="20" t="s">
        <v>2913</v>
      </c>
      <c r="D2070" s="378" t="s">
        <v>2927</v>
      </c>
      <c r="E2070" s="384" t="s">
        <v>2920</v>
      </c>
      <c r="F2070" s="384" t="s">
        <v>2921</v>
      </c>
      <c r="G2070" s="385" t="s">
        <v>2928</v>
      </c>
      <c r="H2070" s="385" t="s">
        <v>2922</v>
      </c>
      <c r="I2070" s="378">
        <v>1</v>
      </c>
      <c r="J2070" s="385" t="s">
        <v>163</v>
      </c>
      <c r="K2070" s="378" t="s">
        <v>2923</v>
      </c>
      <c r="L2070" s="378" t="s">
        <v>2848</v>
      </c>
      <c r="M2070" s="380">
        <v>2400</v>
      </c>
      <c r="N2070" s="380"/>
      <c r="O2070" s="380"/>
      <c r="P2070" s="380"/>
      <c r="Q2070" s="381">
        <v>63.6</v>
      </c>
      <c r="R2070" s="381">
        <v>63.5</v>
      </c>
      <c r="S2070" s="381">
        <v>0.19600000000000001</v>
      </c>
      <c r="T2070" s="381">
        <v>1.06E-4</v>
      </c>
      <c r="U2070" s="381">
        <v>0</v>
      </c>
      <c r="V2070" s="382">
        <v>63.696106</v>
      </c>
      <c r="W2070" s="382">
        <v>0</v>
      </c>
      <c r="X2070" s="381">
        <v>6.3600000000000004E-2</v>
      </c>
      <c r="Y2070" s="381">
        <v>6.3500000000000001E-2</v>
      </c>
      <c r="Z2070" s="381">
        <v>1.9600000000000002E-4</v>
      </c>
      <c r="AA2070" s="381">
        <v>1.06E-7</v>
      </c>
      <c r="AB2070" s="381">
        <v>0</v>
      </c>
      <c r="AC2070" s="382">
        <v>6.3696106000000002E-2</v>
      </c>
      <c r="AD2070" s="382">
        <v>0</v>
      </c>
      <c r="AE2070" s="381" t="s">
        <v>168</v>
      </c>
    </row>
    <row r="2071" spans="1:31" ht="15" customHeight="1" x14ac:dyDescent="0.25">
      <c r="A2071" s="20" t="s">
        <v>2913</v>
      </c>
      <c r="B2071" s="20" t="s">
        <v>2913</v>
      </c>
      <c r="C2071" s="20" t="s">
        <v>2913</v>
      </c>
      <c r="D2071" s="378" t="s">
        <v>2929</v>
      </c>
      <c r="E2071" s="384" t="s">
        <v>2920</v>
      </c>
      <c r="F2071" s="384" t="s">
        <v>2921</v>
      </c>
      <c r="G2071" s="385" t="s">
        <v>193</v>
      </c>
      <c r="H2071" s="385" t="s">
        <v>2922</v>
      </c>
      <c r="I2071" s="378">
        <v>1</v>
      </c>
      <c r="J2071" s="385" t="s">
        <v>163</v>
      </c>
      <c r="K2071" s="378" t="s">
        <v>2923</v>
      </c>
      <c r="L2071" s="378" t="s">
        <v>2848</v>
      </c>
      <c r="M2071" s="380">
        <v>2400</v>
      </c>
      <c r="N2071" s="380"/>
      <c r="O2071" s="380"/>
      <c r="P2071" s="380"/>
      <c r="Q2071" s="381">
        <v>100</v>
      </c>
      <c r="R2071" s="381">
        <v>100</v>
      </c>
      <c r="S2071" s="381">
        <v>0.12</v>
      </c>
      <c r="T2071" s="381">
        <v>1.7000000000000001E-4</v>
      </c>
      <c r="U2071" s="381">
        <v>0</v>
      </c>
      <c r="V2071" s="382">
        <v>100.12017</v>
      </c>
      <c r="W2071" s="382">
        <v>0</v>
      </c>
      <c r="X2071" s="381">
        <v>0.1</v>
      </c>
      <c r="Y2071" s="381">
        <v>0.1</v>
      </c>
      <c r="Z2071" s="381">
        <v>1.1999999999999999E-4</v>
      </c>
      <c r="AA2071" s="381">
        <v>1.7000000000000001E-7</v>
      </c>
      <c r="AB2071" s="381">
        <v>0</v>
      </c>
      <c r="AC2071" s="382">
        <v>0.10012016999999999</v>
      </c>
      <c r="AD2071" s="382">
        <v>0</v>
      </c>
      <c r="AE2071" s="381" t="s">
        <v>168</v>
      </c>
    </row>
    <row r="2072" spans="1:31" ht="15" customHeight="1" x14ac:dyDescent="0.25">
      <c r="A2072" s="20" t="s">
        <v>2913</v>
      </c>
      <c r="B2072" s="20" t="s">
        <v>2913</v>
      </c>
      <c r="C2072" s="20" t="s">
        <v>2913</v>
      </c>
      <c r="D2072" s="378" t="s">
        <v>2930</v>
      </c>
      <c r="E2072" s="384" t="s">
        <v>2920</v>
      </c>
      <c r="F2072" s="384" t="s">
        <v>2921</v>
      </c>
      <c r="G2072" s="385" t="s">
        <v>193</v>
      </c>
      <c r="H2072" s="385" t="s">
        <v>2922</v>
      </c>
      <c r="I2072" s="378">
        <v>1</v>
      </c>
      <c r="J2072" s="385" t="s">
        <v>163</v>
      </c>
      <c r="K2072" s="378" t="s">
        <v>2923</v>
      </c>
      <c r="L2072" s="378" t="s">
        <v>2848</v>
      </c>
      <c r="M2072" s="380">
        <v>2400</v>
      </c>
      <c r="N2072" s="380"/>
      <c r="O2072" s="380"/>
      <c r="P2072" s="380"/>
      <c r="Q2072" s="381">
        <v>102</v>
      </c>
      <c r="R2072" s="381">
        <v>102</v>
      </c>
      <c r="S2072" s="381">
        <v>0.122</v>
      </c>
      <c r="T2072" s="381">
        <v>1.76E-4</v>
      </c>
      <c r="U2072" s="381">
        <v>0</v>
      </c>
      <c r="V2072" s="382">
        <v>102.122176</v>
      </c>
      <c r="W2072" s="382">
        <v>0</v>
      </c>
      <c r="X2072" s="381">
        <v>0.10199999999999999</v>
      </c>
      <c r="Y2072" s="381">
        <v>0.10199999999999999</v>
      </c>
      <c r="Z2072" s="381">
        <v>1.22E-4</v>
      </c>
      <c r="AA2072" s="381">
        <v>1.7599999999999999E-7</v>
      </c>
      <c r="AB2072" s="381">
        <v>0</v>
      </c>
      <c r="AC2072" s="382">
        <v>0.102122176</v>
      </c>
      <c r="AD2072" s="382">
        <v>0</v>
      </c>
      <c r="AE2072" s="381" t="s">
        <v>168</v>
      </c>
    </row>
    <row r="2073" spans="1:31" ht="15" customHeight="1" x14ac:dyDescent="0.25">
      <c r="A2073" s="20" t="s">
        <v>2913</v>
      </c>
      <c r="B2073" s="20" t="s">
        <v>2913</v>
      </c>
      <c r="C2073" s="20" t="s">
        <v>2913</v>
      </c>
      <c r="D2073" s="378" t="s">
        <v>2931</v>
      </c>
      <c r="E2073" s="384" t="s">
        <v>2932</v>
      </c>
      <c r="F2073" s="384" t="s">
        <v>2933</v>
      </c>
      <c r="G2073" s="385" t="s">
        <v>179</v>
      </c>
      <c r="H2073" s="385" t="s">
        <v>2934</v>
      </c>
      <c r="I2073" s="378">
        <v>1</v>
      </c>
      <c r="J2073" s="385" t="s">
        <v>163</v>
      </c>
      <c r="K2073" s="378" t="s">
        <v>2935</v>
      </c>
      <c r="L2073" s="378" t="s">
        <v>2848</v>
      </c>
      <c r="M2073" s="380">
        <v>2400</v>
      </c>
      <c r="N2073" s="380"/>
      <c r="O2073" s="380"/>
      <c r="P2073" s="380"/>
      <c r="Q2073" s="381">
        <v>73.400000000000006</v>
      </c>
      <c r="R2073" s="381">
        <v>73.400000000000006</v>
      </c>
      <c r="S2073" s="381">
        <v>8.2699999999999996E-2</v>
      </c>
      <c r="T2073" s="381">
        <v>2.0799999999999999E-4</v>
      </c>
      <c r="U2073" s="381">
        <v>0</v>
      </c>
      <c r="V2073" s="382">
        <v>73.482908000000009</v>
      </c>
      <c r="W2073" s="382">
        <v>0</v>
      </c>
      <c r="X2073" s="381">
        <v>7.3400000000000007E-2</v>
      </c>
      <c r="Y2073" s="381">
        <v>7.3400000000000007E-2</v>
      </c>
      <c r="Z2073" s="381">
        <v>8.2699999999999991E-5</v>
      </c>
      <c r="AA2073" s="381">
        <v>2.0799999999999998E-7</v>
      </c>
      <c r="AB2073" s="381">
        <v>0</v>
      </c>
      <c r="AC2073" s="382">
        <v>7.3482908000000013E-2</v>
      </c>
      <c r="AD2073" s="382">
        <v>0</v>
      </c>
      <c r="AE2073" s="381" t="s">
        <v>168</v>
      </c>
    </row>
    <row r="2074" spans="1:31" ht="15" customHeight="1" x14ac:dyDescent="0.25">
      <c r="A2074" s="20" t="s">
        <v>2913</v>
      </c>
      <c r="B2074" s="20" t="s">
        <v>2913</v>
      </c>
      <c r="C2074" s="20" t="s">
        <v>2913</v>
      </c>
      <c r="D2074" s="378" t="s">
        <v>2936</v>
      </c>
      <c r="E2074" s="384" t="s">
        <v>2932</v>
      </c>
      <c r="F2074" s="384" t="s">
        <v>2933</v>
      </c>
      <c r="G2074" s="385" t="s">
        <v>179</v>
      </c>
      <c r="H2074" s="385" t="s">
        <v>2934</v>
      </c>
      <c r="I2074" s="378">
        <v>1</v>
      </c>
      <c r="J2074" s="385" t="s">
        <v>163</v>
      </c>
      <c r="K2074" s="378" t="s">
        <v>2935</v>
      </c>
      <c r="L2074" s="378" t="s">
        <v>2848</v>
      </c>
      <c r="M2074" s="380">
        <v>2400</v>
      </c>
      <c r="N2074" s="380"/>
      <c r="O2074" s="380"/>
      <c r="P2074" s="380"/>
      <c r="Q2074" s="381">
        <v>58.6</v>
      </c>
      <c r="R2074" s="381">
        <v>58.5</v>
      </c>
      <c r="S2074" s="381">
        <v>0.16600000000000001</v>
      </c>
      <c r="T2074" s="381">
        <v>1.25E-4</v>
      </c>
      <c r="U2074" s="381">
        <v>0</v>
      </c>
      <c r="V2074" s="382">
        <v>58.666124999999994</v>
      </c>
      <c r="W2074" s="382">
        <v>0</v>
      </c>
      <c r="X2074" s="381">
        <v>5.8599999999999999E-2</v>
      </c>
      <c r="Y2074" s="381">
        <v>5.8500000000000003E-2</v>
      </c>
      <c r="Z2074" s="381">
        <v>1.66E-4</v>
      </c>
      <c r="AA2074" s="381">
        <v>1.2499999999999999E-7</v>
      </c>
      <c r="AB2074" s="381">
        <v>0</v>
      </c>
      <c r="AC2074" s="382">
        <v>5.8666125E-2</v>
      </c>
      <c r="AD2074" s="382">
        <v>0</v>
      </c>
      <c r="AE2074" s="381" t="s">
        <v>168</v>
      </c>
    </row>
    <row r="2075" spans="1:31" ht="15" customHeight="1" x14ac:dyDescent="0.25">
      <c r="A2075" s="20" t="s">
        <v>2913</v>
      </c>
      <c r="B2075" s="20" t="s">
        <v>2913</v>
      </c>
      <c r="C2075" s="20" t="s">
        <v>2913</v>
      </c>
      <c r="D2075" s="378" t="s">
        <v>2937</v>
      </c>
      <c r="E2075" s="384" t="s">
        <v>2920</v>
      </c>
      <c r="F2075" s="384" t="s">
        <v>2921</v>
      </c>
      <c r="G2075" s="385" t="s">
        <v>193</v>
      </c>
      <c r="H2075" s="385" t="s">
        <v>2922</v>
      </c>
      <c r="I2075" s="378">
        <v>1</v>
      </c>
      <c r="J2075" s="385" t="s">
        <v>163</v>
      </c>
      <c r="K2075" s="378" t="s">
        <v>2923</v>
      </c>
      <c r="L2075" s="378" t="s">
        <v>2848</v>
      </c>
      <c r="M2075" s="380">
        <v>2400</v>
      </c>
      <c r="N2075" s="380"/>
      <c r="O2075" s="380"/>
      <c r="P2075" s="380"/>
      <c r="Q2075" s="381">
        <v>84.8</v>
      </c>
      <c r="R2075" s="381">
        <v>84.8</v>
      </c>
      <c r="S2075" s="381">
        <v>9.5399999999999999E-2</v>
      </c>
      <c r="T2075" s="381">
        <v>1.3999999999999999E-4</v>
      </c>
      <c r="U2075" s="381">
        <v>0</v>
      </c>
      <c r="V2075" s="382">
        <v>84.895539999999997</v>
      </c>
      <c r="W2075" s="382">
        <v>0</v>
      </c>
      <c r="X2075" s="381">
        <v>8.48E-2</v>
      </c>
      <c r="Y2075" s="381">
        <v>8.48E-2</v>
      </c>
      <c r="Z2075" s="381">
        <v>9.5400000000000001E-5</v>
      </c>
      <c r="AA2075" s="381">
        <v>1.3999999999999998E-7</v>
      </c>
      <c r="AB2075" s="381">
        <v>0</v>
      </c>
      <c r="AC2075" s="382">
        <v>8.4895539999999992E-2</v>
      </c>
      <c r="AD2075" s="382">
        <v>0</v>
      </c>
      <c r="AE2075" s="381" t="s">
        <v>168</v>
      </c>
    </row>
    <row r="2076" spans="1:31" ht="15" customHeight="1" x14ac:dyDescent="0.25">
      <c r="A2076" s="20" t="s">
        <v>2913</v>
      </c>
      <c r="B2076" s="20" t="s">
        <v>2913</v>
      </c>
      <c r="C2076" s="20" t="s">
        <v>2913</v>
      </c>
      <c r="D2076" s="378" t="s">
        <v>2938</v>
      </c>
      <c r="E2076" s="384" t="s">
        <v>2920</v>
      </c>
      <c r="F2076" s="384" t="s">
        <v>2921</v>
      </c>
      <c r="G2076" s="385" t="s">
        <v>179</v>
      </c>
      <c r="H2076" s="385" t="s">
        <v>2922</v>
      </c>
      <c r="I2076" s="378">
        <v>1</v>
      </c>
      <c r="J2076" s="385" t="s">
        <v>163</v>
      </c>
      <c r="K2076" s="378" t="s">
        <v>2923</v>
      </c>
      <c r="L2076" s="378" t="s">
        <v>2848</v>
      </c>
      <c r="M2076" s="380">
        <v>2400</v>
      </c>
      <c r="N2076" s="380"/>
      <c r="O2076" s="380"/>
      <c r="P2076" s="380"/>
      <c r="Q2076" s="381">
        <v>71.8</v>
      </c>
      <c r="R2076" s="381">
        <v>71.8</v>
      </c>
      <c r="S2076" s="381">
        <v>8.0399999999999999E-2</v>
      </c>
      <c r="T2076" s="381">
        <v>8.5799999999999998E-5</v>
      </c>
      <c r="U2076" s="381">
        <v>0</v>
      </c>
      <c r="V2076" s="382">
        <v>71.880485799999988</v>
      </c>
      <c r="W2076" s="382">
        <v>0</v>
      </c>
      <c r="X2076" s="381">
        <v>7.1800000000000003E-2</v>
      </c>
      <c r="Y2076" s="381">
        <v>7.1800000000000003E-2</v>
      </c>
      <c r="Z2076" s="381">
        <v>8.0400000000000003E-5</v>
      </c>
      <c r="AA2076" s="381">
        <v>8.5800000000000001E-8</v>
      </c>
      <c r="AB2076" s="381">
        <v>0</v>
      </c>
      <c r="AC2076" s="382">
        <v>7.1880485799999991E-2</v>
      </c>
      <c r="AD2076" s="382">
        <v>0</v>
      </c>
      <c r="AE2076" s="381" t="s">
        <v>168</v>
      </c>
    </row>
    <row r="2077" spans="1:31" ht="15" customHeight="1" x14ac:dyDescent="0.25">
      <c r="A2077" s="20" t="s">
        <v>2913</v>
      </c>
      <c r="B2077" s="20" t="s">
        <v>2913</v>
      </c>
      <c r="C2077" s="20" t="s">
        <v>2913</v>
      </c>
      <c r="D2077" s="378" t="s">
        <v>2939</v>
      </c>
      <c r="E2077" s="384" t="s">
        <v>2920</v>
      </c>
      <c r="F2077" s="384" t="s">
        <v>2921</v>
      </c>
      <c r="G2077" s="385" t="s">
        <v>281</v>
      </c>
      <c r="H2077" s="385" t="s">
        <v>2922</v>
      </c>
      <c r="I2077" s="378">
        <v>1</v>
      </c>
      <c r="J2077" s="385" t="s">
        <v>163</v>
      </c>
      <c r="K2077" s="378" t="s">
        <v>2923</v>
      </c>
      <c r="L2077" s="378" t="s">
        <v>2848</v>
      </c>
      <c r="M2077" s="380">
        <v>2400</v>
      </c>
      <c r="N2077" s="380"/>
      <c r="O2077" s="380"/>
      <c r="P2077" s="380"/>
      <c r="Q2077" s="381">
        <v>127</v>
      </c>
      <c r="R2077" s="381">
        <v>127</v>
      </c>
      <c r="S2077" s="381">
        <v>0.14099999999999999</v>
      </c>
      <c r="T2077" s="381">
        <v>1.8200000000000001E-4</v>
      </c>
      <c r="U2077" s="381">
        <v>0</v>
      </c>
      <c r="V2077" s="382">
        <v>127.141182</v>
      </c>
      <c r="W2077" s="382">
        <v>0</v>
      </c>
      <c r="X2077" s="381">
        <v>0.127</v>
      </c>
      <c r="Y2077" s="381">
        <v>0.127</v>
      </c>
      <c r="Z2077" s="381">
        <v>1.4099999999999998E-4</v>
      </c>
      <c r="AA2077" s="381">
        <v>1.8200000000000002E-7</v>
      </c>
      <c r="AB2077" s="381">
        <v>0</v>
      </c>
      <c r="AC2077" s="382">
        <v>0.12714118199999999</v>
      </c>
      <c r="AD2077" s="382">
        <v>0</v>
      </c>
      <c r="AE2077" s="381" t="s">
        <v>168</v>
      </c>
    </row>
    <row r="2078" spans="1:31" ht="15" customHeight="1" x14ac:dyDescent="0.25">
      <c r="A2078" s="20" t="s">
        <v>2913</v>
      </c>
      <c r="B2078" s="20" t="s">
        <v>2913</v>
      </c>
      <c r="C2078" s="20" t="s">
        <v>2913</v>
      </c>
      <c r="D2078" s="378" t="s">
        <v>2940</v>
      </c>
      <c r="E2078" s="384" t="s">
        <v>2920</v>
      </c>
      <c r="F2078" s="384" t="s">
        <v>2921</v>
      </c>
      <c r="G2078" s="385" t="s">
        <v>179</v>
      </c>
      <c r="H2078" s="385" t="s">
        <v>2922</v>
      </c>
      <c r="I2078" s="378">
        <v>1</v>
      </c>
      <c r="J2078" s="385" t="s">
        <v>163</v>
      </c>
      <c r="K2078" s="378" t="s">
        <v>2923</v>
      </c>
      <c r="L2078" s="378" t="s">
        <v>2848</v>
      </c>
      <c r="M2078" s="380">
        <v>2400</v>
      </c>
      <c r="N2078" s="380"/>
      <c r="O2078" s="380"/>
      <c r="P2078" s="380"/>
      <c r="Q2078" s="381">
        <v>91</v>
      </c>
      <c r="R2078" s="381">
        <v>91.1</v>
      </c>
      <c r="S2078" s="381">
        <v>-2.5700000000000001E-2</v>
      </c>
      <c r="T2078" s="381">
        <v>3.1799999999999998E-4</v>
      </c>
      <c r="U2078" s="381">
        <v>0</v>
      </c>
      <c r="V2078" s="382">
        <v>91.100317999999987</v>
      </c>
      <c r="W2078" s="382">
        <v>0</v>
      </c>
      <c r="X2078" s="381">
        <v>9.0999999999999998E-2</v>
      </c>
      <c r="Y2078" s="381">
        <v>9.11E-2</v>
      </c>
      <c r="Z2078" s="381">
        <v>-2.5700000000000001E-5</v>
      </c>
      <c r="AA2078" s="381">
        <v>3.1799999999999996E-7</v>
      </c>
      <c r="AB2078" s="381">
        <v>0</v>
      </c>
      <c r="AC2078" s="382">
        <v>9.1100318E-2</v>
      </c>
      <c r="AD2078" s="382">
        <v>0</v>
      </c>
      <c r="AE2078" s="381" t="s">
        <v>168</v>
      </c>
    </row>
    <row r="2079" spans="1:31" ht="15" customHeight="1" x14ac:dyDescent="0.25">
      <c r="A2079" s="20" t="s">
        <v>2913</v>
      </c>
      <c r="B2079" s="20" t="s">
        <v>2913</v>
      </c>
      <c r="C2079" s="20" t="s">
        <v>2913</v>
      </c>
      <c r="D2079" s="378" t="s">
        <v>2941</v>
      </c>
      <c r="E2079" s="384" t="s">
        <v>2932</v>
      </c>
      <c r="F2079" s="384" t="s">
        <v>2933</v>
      </c>
      <c r="G2079" s="385" t="s">
        <v>281</v>
      </c>
      <c r="H2079" s="385" t="s">
        <v>2942</v>
      </c>
      <c r="I2079" s="378">
        <v>1</v>
      </c>
      <c r="J2079" s="385" t="s">
        <v>163</v>
      </c>
      <c r="K2079" s="378" t="s">
        <v>2943</v>
      </c>
      <c r="L2079" s="378" t="s">
        <v>2848</v>
      </c>
      <c r="M2079" s="380">
        <v>2400</v>
      </c>
      <c r="N2079" s="380"/>
      <c r="O2079" s="380"/>
      <c r="P2079" s="380"/>
      <c r="Q2079" s="381">
        <v>103</v>
      </c>
      <c r="R2079" s="381">
        <v>103</v>
      </c>
      <c r="S2079" s="381">
        <v>0.112</v>
      </c>
      <c r="T2079" s="381">
        <v>2.1900000000000001E-4</v>
      </c>
      <c r="U2079" s="381">
        <v>0</v>
      </c>
      <c r="V2079" s="382">
        <v>103.112219</v>
      </c>
      <c r="W2079" s="382">
        <v>0</v>
      </c>
      <c r="X2079" s="381">
        <v>0.10299999999999999</v>
      </c>
      <c r="Y2079" s="381">
        <v>0.10299999999999999</v>
      </c>
      <c r="Z2079" s="381">
        <v>1.12E-4</v>
      </c>
      <c r="AA2079" s="381">
        <v>2.1900000000000002E-7</v>
      </c>
      <c r="AB2079" s="381">
        <v>0</v>
      </c>
      <c r="AC2079" s="382">
        <v>0.10311221899999999</v>
      </c>
      <c r="AD2079" s="382">
        <v>0</v>
      </c>
      <c r="AE2079" s="381" t="s">
        <v>168</v>
      </c>
    </row>
    <row r="2080" spans="1:31" ht="15" customHeight="1" x14ac:dyDescent="0.25">
      <c r="A2080" s="20" t="s">
        <v>2913</v>
      </c>
      <c r="B2080" s="20" t="s">
        <v>2913</v>
      </c>
      <c r="C2080" s="20" t="s">
        <v>2913</v>
      </c>
      <c r="D2080" s="378" t="s">
        <v>2944</v>
      </c>
      <c r="E2080" s="384" t="s">
        <v>2920</v>
      </c>
      <c r="F2080" s="384" t="s">
        <v>2921</v>
      </c>
      <c r="G2080" s="385" t="s">
        <v>179</v>
      </c>
      <c r="H2080" s="385" t="s">
        <v>2922</v>
      </c>
      <c r="I2080" s="378">
        <v>1</v>
      </c>
      <c r="J2080" s="385" t="s">
        <v>163</v>
      </c>
      <c r="K2080" s="378" t="s">
        <v>2923</v>
      </c>
      <c r="L2080" s="378" t="s">
        <v>2848</v>
      </c>
      <c r="M2080" s="380">
        <v>2400</v>
      </c>
      <c r="N2080" s="380"/>
      <c r="O2080" s="380"/>
      <c r="P2080" s="380"/>
      <c r="Q2080" s="381">
        <v>78.099999999999994</v>
      </c>
      <c r="R2080" s="381">
        <v>78.099999999999994</v>
      </c>
      <c r="S2080" s="381">
        <v>8.3000000000000004E-2</v>
      </c>
      <c r="T2080" s="381">
        <v>1.0900000000000001E-4</v>
      </c>
      <c r="U2080" s="381">
        <v>0</v>
      </c>
      <c r="V2080" s="382">
        <v>78.183108999999988</v>
      </c>
      <c r="W2080" s="382">
        <v>0</v>
      </c>
      <c r="X2080" s="381">
        <v>7.8099999999999989E-2</v>
      </c>
      <c r="Y2080" s="381">
        <v>7.8099999999999989E-2</v>
      </c>
      <c r="Z2080" s="381">
        <v>8.2999999999999998E-5</v>
      </c>
      <c r="AA2080" s="381">
        <v>1.0900000000000001E-7</v>
      </c>
      <c r="AB2080" s="381">
        <v>0</v>
      </c>
      <c r="AC2080" s="382">
        <v>7.8183108999999987E-2</v>
      </c>
      <c r="AD2080" s="382">
        <v>0</v>
      </c>
      <c r="AE2080" s="381" t="s">
        <v>168</v>
      </c>
    </row>
    <row r="2081" spans="1:31" ht="15" customHeight="1" x14ac:dyDescent="0.25">
      <c r="A2081" s="20" t="s">
        <v>2913</v>
      </c>
      <c r="B2081" s="20" t="s">
        <v>2913</v>
      </c>
      <c r="C2081" s="20" t="s">
        <v>2913</v>
      </c>
      <c r="D2081" s="378" t="s">
        <v>2945</v>
      </c>
      <c r="E2081" s="384" t="s">
        <v>2932</v>
      </c>
      <c r="F2081" s="384" t="s">
        <v>2933</v>
      </c>
      <c r="G2081" s="385" t="s">
        <v>281</v>
      </c>
      <c r="H2081" s="385" t="s">
        <v>2942</v>
      </c>
      <c r="I2081" s="378">
        <v>1</v>
      </c>
      <c r="J2081" s="385" t="s">
        <v>163</v>
      </c>
      <c r="K2081" s="378" t="s">
        <v>2943</v>
      </c>
      <c r="L2081" s="378" t="s">
        <v>2848</v>
      </c>
      <c r="M2081" s="380">
        <v>2400</v>
      </c>
      <c r="N2081" s="380"/>
      <c r="O2081" s="380"/>
      <c r="P2081" s="380"/>
      <c r="Q2081" s="381">
        <v>110</v>
      </c>
      <c r="R2081" s="381">
        <v>110</v>
      </c>
      <c r="S2081" s="381">
        <v>0.113</v>
      </c>
      <c r="T2081" s="381">
        <v>2.1800000000000001E-4</v>
      </c>
      <c r="U2081" s="381">
        <v>0</v>
      </c>
      <c r="V2081" s="382">
        <v>110.113218</v>
      </c>
      <c r="W2081" s="382">
        <v>0</v>
      </c>
      <c r="X2081" s="381">
        <v>0.11</v>
      </c>
      <c r="Y2081" s="381">
        <v>0.11</v>
      </c>
      <c r="Z2081" s="381">
        <v>1.1300000000000001E-4</v>
      </c>
      <c r="AA2081" s="381">
        <v>2.1800000000000002E-7</v>
      </c>
      <c r="AB2081" s="381">
        <v>0</v>
      </c>
      <c r="AC2081" s="382">
        <v>0.110113218</v>
      </c>
      <c r="AD2081" s="382">
        <v>0</v>
      </c>
      <c r="AE2081" s="381" t="s">
        <v>168</v>
      </c>
    </row>
    <row r="2082" spans="1:31" ht="15" customHeight="1" x14ac:dyDescent="0.25">
      <c r="A2082" s="20" t="s">
        <v>2913</v>
      </c>
      <c r="B2082" s="20" t="s">
        <v>2913</v>
      </c>
      <c r="C2082" s="20" t="s">
        <v>2913</v>
      </c>
      <c r="D2082" s="378" t="s">
        <v>2946</v>
      </c>
      <c r="E2082" s="384" t="s">
        <v>2932</v>
      </c>
      <c r="F2082" s="384" t="s">
        <v>2933</v>
      </c>
      <c r="G2082" s="385" t="s">
        <v>281</v>
      </c>
      <c r="H2082" s="385" t="s">
        <v>2942</v>
      </c>
      <c r="I2082" s="378">
        <v>1</v>
      </c>
      <c r="J2082" s="385" t="s">
        <v>163</v>
      </c>
      <c r="K2082" s="378" t="s">
        <v>2943</v>
      </c>
      <c r="L2082" s="378" t="s">
        <v>2848</v>
      </c>
      <c r="M2082" s="380">
        <v>2400</v>
      </c>
      <c r="N2082" s="380"/>
      <c r="O2082" s="380"/>
      <c r="P2082" s="380"/>
      <c r="Q2082" s="381">
        <v>98.4</v>
      </c>
      <c r="R2082" s="381">
        <v>98.5</v>
      </c>
      <c r="S2082" s="381">
        <v>-4.9399999999999999E-2</v>
      </c>
      <c r="T2082" s="381">
        <v>3.4099999999999999E-4</v>
      </c>
      <c r="U2082" s="381">
        <v>0</v>
      </c>
      <c r="V2082" s="382">
        <v>98.500341000000006</v>
      </c>
      <c r="W2082" s="382">
        <v>0</v>
      </c>
      <c r="X2082" s="381">
        <v>9.8400000000000001E-2</v>
      </c>
      <c r="Y2082" s="381">
        <v>9.8500000000000004E-2</v>
      </c>
      <c r="Z2082" s="381">
        <v>-4.9400000000000001E-5</v>
      </c>
      <c r="AA2082" s="381">
        <v>3.41E-7</v>
      </c>
      <c r="AB2082" s="381">
        <v>0</v>
      </c>
      <c r="AC2082" s="382">
        <v>9.8500341000000005E-2</v>
      </c>
      <c r="AD2082" s="382">
        <v>0</v>
      </c>
      <c r="AE2082" s="381" t="s">
        <v>168</v>
      </c>
    </row>
    <row r="2083" spans="1:31" ht="15" customHeight="1" x14ac:dyDescent="0.25">
      <c r="A2083" s="20" t="s">
        <v>2913</v>
      </c>
      <c r="B2083" s="20" t="s">
        <v>2913</v>
      </c>
      <c r="C2083" s="20" t="s">
        <v>2913</v>
      </c>
      <c r="D2083" s="378" t="s">
        <v>2947</v>
      </c>
      <c r="E2083" s="384" t="s">
        <v>2920</v>
      </c>
      <c r="F2083" s="384" t="s">
        <v>2921</v>
      </c>
      <c r="G2083" s="385" t="s">
        <v>316</v>
      </c>
      <c r="H2083" s="385" t="s">
        <v>2922</v>
      </c>
      <c r="I2083" s="378">
        <v>1</v>
      </c>
      <c r="J2083" s="385" t="s">
        <v>163</v>
      </c>
      <c r="K2083" s="378" t="s">
        <v>2923</v>
      </c>
      <c r="L2083" s="378" t="s">
        <v>2848</v>
      </c>
      <c r="M2083" s="380">
        <v>2400</v>
      </c>
      <c r="N2083" s="380"/>
      <c r="O2083" s="380"/>
      <c r="P2083" s="380"/>
      <c r="Q2083" s="381">
        <v>70.400000000000006</v>
      </c>
      <c r="R2083" s="381">
        <v>70.400000000000006</v>
      </c>
      <c r="S2083" s="381">
        <v>7.1599999999999997E-2</v>
      </c>
      <c r="T2083" s="381">
        <v>1.12E-4</v>
      </c>
      <c r="U2083" s="381">
        <v>0</v>
      </c>
      <c r="V2083" s="382">
        <v>70.471712000000011</v>
      </c>
      <c r="W2083" s="382">
        <v>0</v>
      </c>
      <c r="X2083" s="381">
        <v>7.0400000000000004E-2</v>
      </c>
      <c r="Y2083" s="381">
        <v>7.0400000000000004E-2</v>
      </c>
      <c r="Z2083" s="381">
        <v>7.1599999999999992E-5</v>
      </c>
      <c r="AA2083" s="381">
        <v>1.12E-7</v>
      </c>
      <c r="AB2083" s="381">
        <v>0</v>
      </c>
      <c r="AC2083" s="382">
        <v>7.0471712000000006E-2</v>
      </c>
      <c r="AD2083" s="382">
        <v>0</v>
      </c>
      <c r="AE2083" s="381" t="s">
        <v>168</v>
      </c>
    </row>
    <row r="2084" spans="1:31" ht="15" customHeight="1" x14ac:dyDescent="0.25">
      <c r="A2084" s="20" t="s">
        <v>2913</v>
      </c>
      <c r="B2084" s="20" t="s">
        <v>2913</v>
      </c>
      <c r="C2084" s="20" t="s">
        <v>2913</v>
      </c>
      <c r="D2084" s="378" t="s">
        <v>2948</v>
      </c>
      <c r="E2084" s="384" t="s">
        <v>2920</v>
      </c>
      <c r="F2084" s="384" t="s">
        <v>2921</v>
      </c>
      <c r="G2084" s="385" t="s">
        <v>316</v>
      </c>
      <c r="H2084" s="385" t="s">
        <v>2922</v>
      </c>
      <c r="I2084" s="378">
        <v>1</v>
      </c>
      <c r="J2084" s="385" t="s">
        <v>163</v>
      </c>
      <c r="K2084" s="378" t="s">
        <v>2923</v>
      </c>
      <c r="L2084" s="378" t="s">
        <v>2848</v>
      </c>
      <c r="M2084" s="380">
        <v>2400</v>
      </c>
      <c r="N2084" s="380"/>
      <c r="O2084" s="380"/>
      <c r="P2084" s="380"/>
      <c r="Q2084" s="381">
        <v>60.8</v>
      </c>
      <c r="R2084" s="381">
        <v>60.8</v>
      </c>
      <c r="S2084" s="381">
        <v>6.1199999999999997E-2</v>
      </c>
      <c r="T2084" s="381">
        <v>9.2399999999999996E-5</v>
      </c>
      <c r="U2084" s="381">
        <v>0</v>
      </c>
      <c r="V2084" s="382">
        <v>60.861292399999996</v>
      </c>
      <c r="W2084" s="382">
        <v>0</v>
      </c>
      <c r="X2084" s="381">
        <v>6.08E-2</v>
      </c>
      <c r="Y2084" s="381">
        <v>6.08E-2</v>
      </c>
      <c r="Z2084" s="381">
        <v>6.1199999999999997E-5</v>
      </c>
      <c r="AA2084" s="381">
        <v>9.2399999999999994E-8</v>
      </c>
      <c r="AB2084" s="381">
        <v>0</v>
      </c>
      <c r="AC2084" s="382">
        <v>6.0861292399999996E-2</v>
      </c>
      <c r="AD2084" s="382">
        <v>0</v>
      </c>
      <c r="AE2084" s="381" t="s">
        <v>168</v>
      </c>
    </row>
    <row r="2085" spans="1:31" ht="15" customHeight="1" x14ac:dyDescent="0.25">
      <c r="A2085" s="20" t="s">
        <v>2913</v>
      </c>
      <c r="B2085" s="20" t="s">
        <v>2913</v>
      </c>
      <c r="C2085" s="20" t="s">
        <v>2913</v>
      </c>
      <c r="D2085" s="378" t="s">
        <v>2949</v>
      </c>
      <c r="E2085" s="384" t="s">
        <v>2920</v>
      </c>
      <c r="F2085" s="384" t="s">
        <v>2921</v>
      </c>
      <c r="G2085" s="385" t="s">
        <v>281</v>
      </c>
      <c r="H2085" s="385" t="s">
        <v>2922</v>
      </c>
      <c r="I2085" s="378">
        <v>1</v>
      </c>
      <c r="J2085" s="385" t="s">
        <v>163</v>
      </c>
      <c r="K2085" s="378" t="s">
        <v>2923</v>
      </c>
      <c r="L2085" s="378" t="s">
        <v>2848</v>
      </c>
      <c r="M2085" s="380">
        <v>2400</v>
      </c>
      <c r="N2085" s="380"/>
      <c r="O2085" s="380"/>
      <c r="P2085" s="380"/>
      <c r="Q2085" s="381">
        <v>66.2</v>
      </c>
      <c r="R2085" s="381">
        <v>66.2</v>
      </c>
      <c r="S2085" s="381">
        <v>6.5600000000000006E-2</v>
      </c>
      <c r="T2085" s="381">
        <v>1.11E-4</v>
      </c>
      <c r="U2085" s="381">
        <v>0</v>
      </c>
      <c r="V2085" s="382">
        <v>66.26571100000001</v>
      </c>
      <c r="W2085" s="382">
        <v>0</v>
      </c>
      <c r="X2085" s="381">
        <v>6.6200000000000009E-2</v>
      </c>
      <c r="Y2085" s="381">
        <v>6.6200000000000009E-2</v>
      </c>
      <c r="Z2085" s="381">
        <v>6.5600000000000009E-5</v>
      </c>
      <c r="AA2085" s="381">
        <v>1.11E-7</v>
      </c>
      <c r="AB2085" s="381">
        <v>0</v>
      </c>
      <c r="AC2085" s="382">
        <v>6.6265711000000005E-2</v>
      </c>
      <c r="AD2085" s="382">
        <v>0</v>
      </c>
      <c r="AE2085" s="381" t="s">
        <v>168</v>
      </c>
    </row>
    <row r="2086" spans="1:31" ht="15" customHeight="1" x14ac:dyDescent="0.25">
      <c r="A2086" s="20" t="s">
        <v>2913</v>
      </c>
      <c r="B2086" s="20" t="s">
        <v>2913</v>
      </c>
      <c r="C2086" s="20" t="s">
        <v>2913</v>
      </c>
      <c r="D2086" s="378" t="s">
        <v>2950</v>
      </c>
      <c r="E2086" s="384" t="s">
        <v>2932</v>
      </c>
      <c r="F2086" s="384" t="s">
        <v>2933</v>
      </c>
      <c r="G2086" s="385" t="s">
        <v>281</v>
      </c>
      <c r="H2086" s="385" t="s">
        <v>2942</v>
      </c>
      <c r="I2086" s="378">
        <v>1</v>
      </c>
      <c r="J2086" s="385" t="s">
        <v>163</v>
      </c>
      <c r="K2086" s="378" t="s">
        <v>2943</v>
      </c>
      <c r="L2086" s="378" t="s">
        <v>2848</v>
      </c>
      <c r="M2086" s="380">
        <v>2400</v>
      </c>
      <c r="N2086" s="380"/>
      <c r="O2086" s="380"/>
      <c r="P2086" s="380"/>
      <c r="Q2086" s="381">
        <v>59.6</v>
      </c>
      <c r="R2086" s="381">
        <v>59.4</v>
      </c>
      <c r="S2086" s="381">
        <v>0.25900000000000001</v>
      </c>
      <c r="T2086" s="381">
        <v>9.1000000000000003E-5</v>
      </c>
      <c r="U2086" s="381">
        <v>0</v>
      </c>
      <c r="V2086" s="382">
        <v>59.659090999999997</v>
      </c>
      <c r="W2086" s="382">
        <v>0</v>
      </c>
      <c r="X2086" s="381">
        <v>5.96E-2</v>
      </c>
      <c r="Y2086" s="381">
        <v>5.9400000000000001E-2</v>
      </c>
      <c r="Z2086" s="381">
        <v>2.5900000000000001E-4</v>
      </c>
      <c r="AA2086" s="381">
        <v>9.1000000000000008E-8</v>
      </c>
      <c r="AB2086" s="381">
        <v>0</v>
      </c>
      <c r="AC2086" s="382">
        <v>5.9659091000000004E-2</v>
      </c>
      <c r="AD2086" s="382">
        <v>0</v>
      </c>
      <c r="AE2086" s="381" t="s">
        <v>168</v>
      </c>
    </row>
    <row r="2087" spans="1:31" ht="15" customHeight="1" x14ac:dyDescent="0.25">
      <c r="A2087" s="20" t="s">
        <v>2913</v>
      </c>
      <c r="B2087" s="20" t="s">
        <v>2913</v>
      </c>
      <c r="C2087" s="20" t="s">
        <v>2913</v>
      </c>
      <c r="D2087" s="378" t="s">
        <v>2951</v>
      </c>
      <c r="E2087" s="384" t="s">
        <v>2920</v>
      </c>
      <c r="F2087" s="384" t="s">
        <v>2921</v>
      </c>
      <c r="G2087" s="385" t="s">
        <v>281</v>
      </c>
      <c r="H2087" s="385" t="s">
        <v>2922</v>
      </c>
      <c r="I2087" s="378">
        <v>1</v>
      </c>
      <c r="J2087" s="385" t="s">
        <v>163</v>
      </c>
      <c r="K2087" s="378" t="s">
        <v>2923</v>
      </c>
      <c r="L2087" s="378" t="s">
        <v>2848</v>
      </c>
      <c r="M2087" s="380">
        <v>2400</v>
      </c>
      <c r="N2087" s="380"/>
      <c r="O2087" s="380"/>
      <c r="P2087" s="380"/>
      <c r="Q2087" s="381">
        <v>58.8</v>
      </c>
      <c r="R2087" s="381">
        <v>58.8</v>
      </c>
      <c r="S2087" s="381">
        <v>5.8099999999999999E-2</v>
      </c>
      <c r="T2087" s="381">
        <v>8.9099999999999997E-5</v>
      </c>
      <c r="U2087" s="381">
        <v>0</v>
      </c>
      <c r="V2087" s="382">
        <v>58.858189099999997</v>
      </c>
      <c r="W2087" s="382">
        <v>0</v>
      </c>
      <c r="X2087" s="381">
        <v>5.8799999999999998E-2</v>
      </c>
      <c r="Y2087" s="381">
        <v>5.8799999999999998E-2</v>
      </c>
      <c r="Z2087" s="381">
        <v>5.8099999999999996E-5</v>
      </c>
      <c r="AA2087" s="381">
        <v>8.9099999999999997E-8</v>
      </c>
      <c r="AB2087" s="381">
        <v>0</v>
      </c>
      <c r="AC2087" s="382">
        <v>5.88581891E-2</v>
      </c>
      <c r="AD2087" s="382">
        <v>0</v>
      </c>
      <c r="AE2087" s="381" t="s">
        <v>168</v>
      </c>
    </row>
    <row r="2088" spans="1:31" ht="15" customHeight="1" x14ac:dyDescent="0.25">
      <c r="A2088" s="20" t="s">
        <v>2913</v>
      </c>
      <c r="B2088" s="20" t="s">
        <v>2913</v>
      </c>
      <c r="C2088" s="20" t="s">
        <v>2913</v>
      </c>
      <c r="D2088" s="378" t="s">
        <v>2952</v>
      </c>
      <c r="E2088" s="384" t="s">
        <v>2920</v>
      </c>
      <c r="F2088" s="384" t="s">
        <v>2921</v>
      </c>
      <c r="G2088" s="385" t="s">
        <v>316</v>
      </c>
      <c r="H2088" s="385" t="s">
        <v>2922</v>
      </c>
      <c r="I2088" s="378">
        <v>1</v>
      </c>
      <c r="J2088" s="385" t="s">
        <v>163</v>
      </c>
      <c r="K2088" s="378" t="s">
        <v>2923</v>
      </c>
      <c r="L2088" s="378" t="s">
        <v>2848</v>
      </c>
      <c r="M2088" s="380">
        <v>2400</v>
      </c>
      <c r="N2088" s="380"/>
      <c r="O2088" s="380"/>
      <c r="P2088" s="380"/>
      <c r="Q2088" s="381">
        <v>57.6</v>
      </c>
      <c r="R2088" s="381">
        <v>57.6</v>
      </c>
      <c r="S2088" s="381">
        <v>5.6800000000000003E-2</v>
      </c>
      <c r="T2088" s="381">
        <v>8.4900000000000004E-5</v>
      </c>
      <c r="U2088" s="381">
        <v>0</v>
      </c>
      <c r="V2088" s="382">
        <v>57.656884900000001</v>
      </c>
      <c r="W2088" s="382">
        <v>0</v>
      </c>
      <c r="X2088" s="381">
        <v>5.7599999999999998E-2</v>
      </c>
      <c r="Y2088" s="381">
        <v>5.7599999999999998E-2</v>
      </c>
      <c r="Z2088" s="381">
        <v>5.6800000000000005E-5</v>
      </c>
      <c r="AA2088" s="381">
        <v>8.4899999999999999E-8</v>
      </c>
      <c r="AB2088" s="381">
        <v>0</v>
      </c>
      <c r="AC2088" s="382">
        <v>5.7656884900000004E-2</v>
      </c>
      <c r="AD2088" s="382">
        <v>0</v>
      </c>
      <c r="AE2088" s="381" t="s">
        <v>168</v>
      </c>
    </row>
    <row r="2089" spans="1:31" ht="15" customHeight="1" x14ac:dyDescent="0.25">
      <c r="A2089" s="20" t="s">
        <v>2913</v>
      </c>
      <c r="B2089" s="20" t="s">
        <v>2913</v>
      </c>
      <c r="C2089" s="20" t="s">
        <v>2913</v>
      </c>
      <c r="D2089" s="378" t="s">
        <v>2953</v>
      </c>
      <c r="E2089" s="384" t="s">
        <v>2920</v>
      </c>
      <c r="F2089" s="384" t="s">
        <v>2921</v>
      </c>
      <c r="G2089" s="385" t="s">
        <v>179</v>
      </c>
      <c r="H2089" s="385" t="s">
        <v>2922</v>
      </c>
      <c r="I2089" s="378">
        <v>1</v>
      </c>
      <c r="J2089" s="385" t="s">
        <v>163</v>
      </c>
      <c r="K2089" s="378" t="s">
        <v>2923</v>
      </c>
      <c r="L2089" s="378" t="s">
        <v>2848</v>
      </c>
      <c r="M2089" s="380">
        <v>2400</v>
      </c>
      <c r="N2089" s="380"/>
      <c r="O2089" s="380"/>
      <c r="P2089" s="380"/>
      <c r="Q2089" s="381">
        <v>51.8</v>
      </c>
      <c r="R2089" s="381">
        <v>51.8</v>
      </c>
      <c r="S2089" s="381">
        <v>4.8800000000000003E-2</v>
      </c>
      <c r="T2089" s="381">
        <v>5.5300000000000002E-5</v>
      </c>
      <c r="U2089" s="381">
        <v>0</v>
      </c>
      <c r="V2089" s="382">
        <v>51.848855299999997</v>
      </c>
      <c r="W2089" s="382">
        <v>0</v>
      </c>
      <c r="X2089" s="381">
        <v>5.1799999999999999E-2</v>
      </c>
      <c r="Y2089" s="381">
        <v>5.1799999999999999E-2</v>
      </c>
      <c r="Z2089" s="381">
        <v>4.88E-5</v>
      </c>
      <c r="AA2089" s="381">
        <v>5.5300000000000005E-8</v>
      </c>
      <c r="AB2089" s="381">
        <v>0</v>
      </c>
      <c r="AC2089" s="382">
        <v>5.1848855300000003E-2</v>
      </c>
      <c r="AD2089" s="382">
        <v>0</v>
      </c>
      <c r="AE2089" s="381" t="s">
        <v>168</v>
      </c>
    </row>
    <row r="2090" spans="1:31" ht="15" customHeight="1" x14ac:dyDescent="0.25">
      <c r="A2090" s="20" t="s">
        <v>2913</v>
      </c>
      <c r="B2090" s="20" t="s">
        <v>2913</v>
      </c>
      <c r="C2090" s="20" t="s">
        <v>2913</v>
      </c>
      <c r="D2090" s="378" t="s">
        <v>2954</v>
      </c>
      <c r="E2090" s="384" t="s">
        <v>2932</v>
      </c>
      <c r="F2090" s="384" t="s">
        <v>2933</v>
      </c>
      <c r="G2090" s="385" t="s">
        <v>179</v>
      </c>
      <c r="H2090" s="385" t="s">
        <v>2934</v>
      </c>
      <c r="I2090" s="378">
        <v>1</v>
      </c>
      <c r="J2090" s="385" t="s">
        <v>163</v>
      </c>
      <c r="K2090" s="378" t="s">
        <v>2935</v>
      </c>
      <c r="L2090" s="378" t="s">
        <v>2848</v>
      </c>
      <c r="M2090" s="380">
        <v>2400</v>
      </c>
      <c r="N2090" s="380"/>
      <c r="O2090" s="380"/>
      <c r="P2090" s="380"/>
      <c r="Q2090" s="381">
        <v>79.7</v>
      </c>
      <c r="R2090" s="381">
        <v>79.7</v>
      </c>
      <c r="S2090" s="381">
        <v>7.4800000000000005E-2</v>
      </c>
      <c r="T2090" s="381">
        <v>2.7599999999999999E-4</v>
      </c>
      <c r="U2090" s="381">
        <v>0</v>
      </c>
      <c r="V2090" s="382">
        <v>79.775075999999999</v>
      </c>
      <c r="W2090" s="382">
        <v>0</v>
      </c>
      <c r="X2090" s="381">
        <v>7.9700000000000007E-2</v>
      </c>
      <c r="Y2090" s="381">
        <v>7.9700000000000007E-2</v>
      </c>
      <c r="Z2090" s="381">
        <v>7.4800000000000002E-5</v>
      </c>
      <c r="AA2090" s="381">
        <v>2.7599999999999998E-7</v>
      </c>
      <c r="AB2090" s="381">
        <v>0</v>
      </c>
      <c r="AC2090" s="382">
        <v>7.9775076E-2</v>
      </c>
      <c r="AD2090" s="382">
        <v>0</v>
      </c>
      <c r="AE2090" s="381" t="s">
        <v>168</v>
      </c>
    </row>
    <row r="2091" spans="1:31" ht="15" customHeight="1" x14ac:dyDescent="0.25">
      <c r="A2091" s="20" t="s">
        <v>2913</v>
      </c>
      <c r="B2091" s="20" t="s">
        <v>2913</v>
      </c>
      <c r="C2091" s="20" t="s">
        <v>2913</v>
      </c>
      <c r="D2091" s="378" t="s">
        <v>2955</v>
      </c>
      <c r="E2091" s="384" t="s">
        <v>2920</v>
      </c>
      <c r="F2091" s="384" t="s">
        <v>2921</v>
      </c>
      <c r="G2091" s="385" t="s">
        <v>281</v>
      </c>
      <c r="H2091" s="385" t="s">
        <v>2922</v>
      </c>
      <c r="I2091" s="378">
        <v>1</v>
      </c>
      <c r="J2091" s="385" t="s">
        <v>163</v>
      </c>
      <c r="K2091" s="378" t="s">
        <v>2923</v>
      </c>
      <c r="L2091" s="378" t="s">
        <v>2848</v>
      </c>
      <c r="M2091" s="380">
        <v>2400</v>
      </c>
      <c r="N2091" s="380"/>
      <c r="O2091" s="380"/>
      <c r="P2091" s="380"/>
      <c r="Q2091" s="381">
        <v>67.900000000000006</v>
      </c>
      <c r="R2091" s="381">
        <v>67.900000000000006</v>
      </c>
      <c r="S2091" s="381">
        <v>6.1600000000000002E-2</v>
      </c>
      <c r="T2091" s="381">
        <v>1.1400000000000001E-4</v>
      </c>
      <c r="U2091" s="381">
        <v>0</v>
      </c>
      <c r="V2091" s="382">
        <v>67.961714000000001</v>
      </c>
      <c r="W2091" s="382">
        <v>0</v>
      </c>
      <c r="X2091" s="381">
        <v>6.7900000000000002E-2</v>
      </c>
      <c r="Y2091" s="381">
        <v>6.7900000000000002E-2</v>
      </c>
      <c r="Z2091" s="381">
        <v>6.1600000000000007E-5</v>
      </c>
      <c r="AA2091" s="381">
        <v>1.14E-7</v>
      </c>
      <c r="AB2091" s="381">
        <v>0</v>
      </c>
      <c r="AC2091" s="382">
        <v>6.7961713999999993E-2</v>
      </c>
      <c r="AD2091" s="382">
        <v>0</v>
      </c>
      <c r="AE2091" s="381" t="s">
        <v>168</v>
      </c>
    </row>
    <row r="2092" spans="1:31" ht="15" customHeight="1" x14ac:dyDescent="0.25">
      <c r="A2092" s="20" t="s">
        <v>2913</v>
      </c>
      <c r="B2092" s="20" t="s">
        <v>2913</v>
      </c>
      <c r="C2092" s="20" t="s">
        <v>2913</v>
      </c>
      <c r="D2092" s="378" t="s">
        <v>2956</v>
      </c>
      <c r="E2092" s="384" t="s">
        <v>2920</v>
      </c>
      <c r="F2092" s="384" t="s">
        <v>2921</v>
      </c>
      <c r="G2092" s="385" t="s">
        <v>316</v>
      </c>
      <c r="H2092" s="385" t="s">
        <v>2922</v>
      </c>
      <c r="I2092" s="378">
        <v>1</v>
      </c>
      <c r="J2092" s="385" t="s">
        <v>163</v>
      </c>
      <c r="K2092" s="378" t="s">
        <v>2923</v>
      </c>
      <c r="L2092" s="378" t="s">
        <v>2848</v>
      </c>
      <c r="M2092" s="380">
        <v>2400</v>
      </c>
      <c r="N2092" s="380"/>
      <c r="O2092" s="380"/>
      <c r="P2092" s="380"/>
      <c r="Q2092" s="381">
        <v>65.7</v>
      </c>
      <c r="R2092" s="381">
        <v>65.7</v>
      </c>
      <c r="S2092" s="381">
        <v>5.7599999999999998E-2</v>
      </c>
      <c r="T2092" s="381">
        <v>6.8999999999999997E-5</v>
      </c>
      <c r="U2092" s="381">
        <v>0</v>
      </c>
      <c r="V2092" s="382">
        <v>65.757668999999993</v>
      </c>
      <c r="W2092" s="382">
        <v>0</v>
      </c>
      <c r="X2092" s="381">
        <v>6.5700000000000008E-2</v>
      </c>
      <c r="Y2092" s="381">
        <v>6.5700000000000008E-2</v>
      </c>
      <c r="Z2092" s="381">
        <v>5.7599999999999997E-5</v>
      </c>
      <c r="AA2092" s="381">
        <v>6.8999999999999996E-8</v>
      </c>
      <c r="AB2092" s="381">
        <v>0</v>
      </c>
      <c r="AC2092" s="382">
        <v>6.5757669000000019E-2</v>
      </c>
      <c r="AD2092" s="382">
        <v>0</v>
      </c>
      <c r="AE2092" s="381" t="s">
        <v>168</v>
      </c>
    </row>
    <row r="2093" spans="1:31" ht="15" customHeight="1" x14ac:dyDescent="0.25">
      <c r="A2093" s="20" t="s">
        <v>2913</v>
      </c>
      <c r="B2093" s="20" t="s">
        <v>2913</v>
      </c>
      <c r="C2093" s="20" t="s">
        <v>2913</v>
      </c>
      <c r="D2093" s="378" t="s">
        <v>2957</v>
      </c>
      <c r="E2093" s="384" t="s">
        <v>2920</v>
      </c>
      <c r="F2093" s="384" t="s">
        <v>2921</v>
      </c>
      <c r="G2093" s="385" t="s">
        <v>281</v>
      </c>
      <c r="H2093" s="385" t="s">
        <v>2922</v>
      </c>
      <c r="I2093" s="378">
        <v>1</v>
      </c>
      <c r="J2093" s="385" t="s">
        <v>163</v>
      </c>
      <c r="K2093" s="378" t="s">
        <v>2923</v>
      </c>
      <c r="L2093" s="378" t="s">
        <v>2848</v>
      </c>
      <c r="M2093" s="380">
        <v>2400</v>
      </c>
      <c r="N2093" s="380"/>
      <c r="O2093" s="380"/>
      <c r="P2093" s="380"/>
      <c r="Q2093" s="381">
        <v>59.1</v>
      </c>
      <c r="R2093" s="381">
        <v>59.1</v>
      </c>
      <c r="S2093" s="381">
        <v>5.16E-2</v>
      </c>
      <c r="T2093" s="381">
        <v>7.2200000000000007E-5</v>
      </c>
      <c r="U2093" s="381">
        <v>0</v>
      </c>
      <c r="V2093" s="382">
        <v>59.1516722</v>
      </c>
      <c r="W2093" s="382">
        <v>0</v>
      </c>
      <c r="X2093" s="381">
        <v>5.91E-2</v>
      </c>
      <c r="Y2093" s="381">
        <v>5.91E-2</v>
      </c>
      <c r="Z2093" s="381">
        <v>5.1600000000000001E-5</v>
      </c>
      <c r="AA2093" s="381">
        <v>7.2200000000000011E-8</v>
      </c>
      <c r="AB2093" s="381">
        <v>0</v>
      </c>
      <c r="AC2093" s="382">
        <v>5.9151672199999998E-2</v>
      </c>
      <c r="AD2093" s="382">
        <v>0</v>
      </c>
      <c r="AE2093" s="381" t="s">
        <v>168</v>
      </c>
    </row>
    <row r="2094" spans="1:31" ht="15" customHeight="1" x14ac:dyDescent="0.25">
      <c r="A2094" s="20" t="s">
        <v>2913</v>
      </c>
      <c r="B2094" s="20" t="s">
        <v>2913</v>
      </c>
      <c r="C2094" s="20" t="s">
        <v>2913</v>
      </c>
      <c r="D2094" s="378" t="s">
        <v>2958</v>
      </c>
      <c r="E2094" s="384" t="s">
        <v>2920</v>
      </c>
      <c r="F2094" s="384" t="s">
        <v>2921</v>
      </c>
      <c r="G2094" s="385" t="s">
        <v>179</v>
      </c>
      <c r="H2094" s="385" t="s">
        <v>2922</v>
      </c>
      <c r="I2094" s="378">
        <v>1</v>
      </c>
      <c r="J2094" s="385" t="s">
        <v>163</v>
      </c>
      <c r="K2094" s="378" t="s">
        <v>2923</v>
      </c>
      <c r="L2094" s="378" t="s">
        <v>2848</v>
      </c>
      <c r="M2094" s="380">
        <v>2400</v>
      </c>
      <c r="N2094" s="380"/>
      <c r="O2094" s="380"/>
      <c r="P2094" s="380"/>
      <c r="Q2094" s="381">
        <v>60.6</v>
      </c>
      <c r="R2094" s="381">
        <v>60.6</v>
      </c>
      <c r="S2094" s="381">
        <v>5.2699999999999997E-2</v>
      </c>
      <c r="T2094" s="381">
        <v>8.4099999999999998E-5</v>
      </c>
      <c r="U2094" s="381">
        <v>0</v>
      </c>
      <c r="V2094" s="382">
        <v>60.652784100000005</v>
      </c>
      <c r="W2094" s="382">
        <v>0</v>
      </c>
      <c r="X2094" s="381">
        <v>6.0600000000000001E-2</v>
      </c>
      <c r="Y2094" s="381">
        <v>6.0600000000000001E-2</v>
      </c>
      <c r="Z2094" s="381">
        <v>5.2699999999999993E-5</v>
      </c>
      <c r="AA2094" s="381">
        <v>8.4099999999999992E-8</v>
      </c>
      <c r="AB2094" s="381">
        <v>0</v>
      </c>
      <c r="AC2094" s="382">
        <v>6.0652784100000003E-2</v>
      </c>
      <c r="AD2094" s="382">
        <v>0</v>
      </c>
      <c r="AE2094" s="381" t="s">
        <v>168</v>
      </c>
    </row>
    <row r="2095" spans="1:31" ht="15" customHeight="1" x14ac:dyDescent="0.25">
      <c r="A2095" s="20" t="s">
        <v>2913</v>
      </c>
      <c r="B2095" s="20" t="s">
        <v>2913</v>
      </c>
      <c r="C2095" s="20" t="s">
        <v>2913</v>
      </c>
      <c r="D2095" s="378" t="s">
        <v>2959</v>
      </c>
      <c r="E2095" s="384" t="s">
        <v>2920</v>
      </c>
      <c r="F2095" s="384" t="s">
        <v>2921</v>
      </c>
      <c r="G2095" s="385" t="s">
        <v>281</v>
      </c>
      <c r="H2095" s="385" t="s">
        <v>2922</v>
      </c>
      <c r="I2095" s="378">
        <v>1</v>
      </c>
      <c r="J2095" s="385" t="s">
        <v>163</v>
      </c>
      <c r="K2095" s="378" t="s">
        <v>2923</v>
      </c>
      <c r="L2095" s="378" t="s">
        <v>2848</v>
      </c>
      <c r="M2095" s="380">
        <v>2400</v>
      </c>
      <c r="N2095" s="380"/>
      <c r="O2095" s="380"/>
      <c r="P2095" s="380"/>
      <c r="Q2095" s="381">
        <v>78.3</v>
      </c>
      <c r="R2095" s="381">
        <v>78.3</v>
      </c>
      <c r="S2095" s="381">
        <v>6.7400000000000002E-2</v>
      </c>
      <c r="T2095" s="381">
        <v>9.2499999999999999E-5</v>
      </c>
      <c r="U2095" s="381">
        <v>0</v>
      </c>
      <c r="V2095" s="382">
        <v>78.367492499999997</v>
      </c>
      <c r="W2095" s="382">
        <v>0</v>
      </c>
      <c r="X2095" s="381">
        <v>7.8299999999999995E-2</v>
      </c>
      <c r="Y2095" s="381">
        <v>7.8299999999999995E-2</v>
      </c>
      <c r="Z2095" s="381">
        <v>6.7399999999999998E-5</v>
      </c>
      <c r="AA2095" s="381">
        <v>9.2500000000000001E-8</v>
      </c>
      <c r="AB2095" s="381">
        <v>0</v>
      </c>
      <c r="AC2095" s="382">
        <v>7.8367492499999997E-2</v>
      </c>
      <c r="AD2095" s="382">
        <v>0</v>
      </c>
      <c r="AE2095" s="381" t="s">
        <v>168</v>
      </c>
    </row>
    <row r="2096" spans="1:31" ht="15" customHeight="1" x14ac:dyDescent="0.25">
      <c r="A2096" s="20" t="s">
        <v>2913</v>
      </c>
      <c r="B2096" s="20" t="s">
        <v>2913</v>
      </c>
      <c r="C2096" s="20" t="s">
        <v>2913</v>
      </c>
      <c r="D2096" s="378" t="s">
        <v>2960</v>
      </c>
      <c r="E2096" s="384" t="s">
        <v>2920</v>
      </c>
      <c r="F2096" s="384" t="s">
        <v>2921</v>
      </c>
      <c r="G2096" s="385" t="s">
        <v>281</v>
      </c>
      <c r="H2096" s="385" t="s">
        <v>2922</v>
      </c>
      <c r="I2096" s="378">
        <v>1</v>
      </c>
      <c r="J2096" s="385" t="s">
        <v>163</v>
      </c>
      <c r="K2096" s="378" t="s">
        <v>2923</v>
      </c>
      <c r="L2096" s="378" t="s">
        <v>2848</v>
      </c>
      <c r="M2096" s="380">
        <v>2400</v>
      </c>
      <c r="N2096" s="380"/>
      <c r="O2096" s="380"/>
      <c r="P2096" s="380"/>
      <c r="Q2096" s="381">
        <v>78.599999999999994</v>
      </c>
      <c r="R2096" s="381">
        <v>78.599999999999994</v>
      </c>
      <c r="S2096" s="381">
        <v>6.7000000000000004E-2</v>
      </c>
      <c r="T2096" s="381">
        <v>9.4199999999999999E-5</v>
      </c>
      <c r="U2096" s="381">
        <v>0</v>
      </c>
      <c r="V2096" s="382">
        <v>78.667094199999994</v>
      </c>
      <c r="W2096" s="382">
        <v>0</v>
      </c>
      <c r="X2096" s="381">
        <v>7.8599999999999989E-2</v>
      </c>
      <c r="Y2096" s="381">
        <v>7.8599999999999989E-2</v>
      </c>
      <c r="Z2096" s="381">
        <v>6.7000000000000002E-5</v>
      </c>
      <c r="AA2096" s="381">
        <v>9.4199999999999996E-8</v>
      </c>
      <c r="AB2096" s="381">
        <v>0</v>
      </c>
      <c r="AC2096" s="382">
        <v>7.8667094199999982E-2</v>
      </c>
      <c r="AD2096" s="382">
        <v>0</v>
      </c>
      <c r="AE2096" s="381" t="s">
        <v>168</v>
      </c>
    </row>
    <row r="2097" spans="1:31" ht="15" customHeight="1" x14ac:dyDescent="0.25">
      <c r="A2097" s="20" t="s">
        <v>2913</v>
      </c>
      <c r="B2097" s="20" t="s">
        <v>2913</v>
      </c>
      <c r="C2097" s="20" t="s">
        <v>2913</v>
      </c>
      <c r="D2097" s="378" t="s">
        <v>2961</v>
      </c>
      <c r="E2097" s="384" t="s">
        <v>2920</v>
      </c>
      <c r="F2097" s="384" t="s">
        <v>2921</v>
      </c>
      <c r="G2097" s="385" t="s">
        <v>281</v>
      </c>
      <c r="H2097" s="385" t="s">
        <v>2922</v>
      </c>
      <c r="I2097" s="378">
        <v>1</v>
      </c>
      <c r="J2097" s="385" t="s">
        <v>163</v>
      </c>
      <c r="K2097" s="378" t="s">
        <v>2923</v>
      </c>
      <c r="L2097" s="378" t="s">
        <v>2848</v>
      </c>
      <c r="M2097" s="380">
        <v>2400</v>
      </c>
      <c r="N2097" s="380"/>
      <c r="O2097" s="380"/>
      <c r="P2097" s="380"/>
      <c r="Q2097" s="381">
        <v>63.3</v>
      </c>
      <c r="R2097" s="381">
        <v>63.3</v>
      </c>
      <c r="S2097" s="381">
        <v>5.3100000000000001E-2</v>
      </c>
      <c r="T2097" s="381">
        <v>8.4099999999999998E-5</v>
      </c>
      <c r="U2097" s="381">
        <v>0</v>
      </c>
      <c r="V2097" s="382">
        <v>63.3531841</v>
      </c>
      <c r="W2097" s="382">
        <v>0</v>
      </c>
      <c r="X2097" s="381">
        <v>6.3299999999999995E-2</v>
      </c>
      <c r="Y2097" s="381">
        <v>6.3299999999999995E-2</v>
      </c>
      <c r="Z2097" s="381">
        <v>5.3100000000000003E-5</v>
      </c>
      <c r="AA2097" s="381">
        <v>8.4099999999999992E-8</v>
      </c>
      <c r="AB2097" s="381">
        <v>0</v>
      </c>
      <c r="AC2097" s="382">
        <v>6.3353184100000001E-2</v>
      </c>
      <c r="AD2097" s="382">
        <v>0</v>
      </c>
      <c r="AE2097" s="381" t="s">
        <v>168</v>
      </c>
    </row>
    <row r="2098" spans="1:31" ht="15" customHeight="1" x14ac:dyDescent="0.25">
      <c r="A2098" s="20" t="s">
        <v>2913</v>
      </c>
      <c r="B2098" s="20" t="s">
        <v>2913</v>
      </c>
      <c r="C2098" s="20" t="s">
        <v>2913</v>
      </c>
      <c r="D2098" s="378" t="s">
        <v>2962</v>
      </c>
      <c r="E2098" s="384" t="s">
        <v>2920</v>
      </c>
      <c r="F2098" s="384" t="s">
        <v>2921</v>
      </c>
      <c r="G2098" s="385" t="s">
        <v>179</v>
      </c>
      <c r="H2098" s="385" t="s">
        <v>2922</v>
      </c>
      <c r="I2098" s="378">
        <v>1</v>
      </c>
      <c r="J2098" s="385" t="s">
        <v>163</v>
      </c>
      <c r="K2098" s="378" t="s">
        <v>2923</v>
      </c>
      <c r="L2098" s="378" t="s">
        <v>2848</v>
      </c>
      <c r="M2098" s="380">
        <v>2400</v>
      </c>
      <c r="N2098" s="380"/>
      <c r="O2098" s="380"/>
      <c r="P2098" s="380"/>
      <c r="Q2098" s="381">
        <v>49.6</v>
      </c>
      <c r="R2098" s="381">
        <v>49.6</v>
      </c>
      <c r="S2098" s="381">
        <v>4.1399999999999999E-2</v>
      </c>
      <c r="T2098" s="381">
        <v>6.9800000000000003E-5</v>
      </c>
      <c r="U2098" s="381">
        <v>0</v>
      </c>
      <c r="V2098" s="382">
        <v>49.641469800000003</v>
      </c>
      <c r="W2098" s="382">
        <v>0</v>
      </c>
      <c r="X2098" s="381">
        <v>4.9599999999999998E-2</v>
      </c>
      <c r="Y2098" s="381">
        <v>4.9599999999999998E-2</v>
      </c>
      <c r="Z2098" s="381">
        <v>4.1399999999999997E-5</v>
      </c>
      <c r="AA2098" s="381">
        <v>6.9800000000000003E-8</v>
      </c>
      <c r="AB2098" s="381">
        <v>0</v>
      </c>
      <c r="AC2098" s="382">
        <v>4.9641469799999997E-2</v>
      </c>
      <c r="AD2098" s="382">
        <v>0</v>
      </c>
      <c r="AE2098" s="381" t="s">
        <v>168</v>
      </c>
    </row>
    <row r="2099" spans="1:31" ht="15" customHeight="1" x14ac:dyDescent="0.25">
      <c r="A2099" s="20" t="s">
        <v>2913</v>
      </c>
      <c r="B2099" s="20" t="s">
        <v>2913</v>
      </c>
      <c r="C2099" s="20" t="s">
        <v>2913</v>
      </c>
      <c r="D2099" s="378" t="s">
        <v>2963</v>
      </c>
      <c r="E2099" s="384" t="s">
        <v>2920</v>
      </c>
      <c r="F2099" s="384" t="s">
        <v>2921</v>
      </c>
      <c r="G2099" s="385" t="s">
        <v>160</v>
      </c>
      <c r="H2099" s="385" t="s">
        <v>2922</v>
      </c>
      <c r="I2099" s="378">
        <v>1</v>
      </c>
      <c r="J2099" s="385" t="s">
        <v>163</v>
      </c>
      <c r="K2099" s="378" t="s">
        <v>2923</v>
      </c>
      <c r="L2099" s="378" t="s">
        <v>2848</v>
      </c>
      <c r="M2099" s="380">
        <v>2400</v>
      </c>
      <c r="N2099" s="380"/>
      <c r="O2099" s="380"/>
      <c r="P2099" s="380"/>
      <c r="Q2099" s="381">
        <v>60.1</v>
      </c>
      <c r="R2099" s="381">
        <v>60.1</v>
      </c>
      <c r="S2099" s="381">
        <v>4.9299999999999997E-2</v>
      </c>
      <c r="T2099" s="381">
        <v>8.6199999999999995E-5</v>
      </c>
      <c r="U2099" s="381">
        <v>0</v>
      </c>
      <c r="V2099" s="382">
        <v>60.149386200000002</v>
      </c>
      <c r="W2099" s="382">
        <v>0</v>
      </c>
      <c r="X2099" s="381">
        <v>6.0100000000000001E-2</v>
      </c>
      <c r="Y2099" s="381">
        <v>6.0100000000000001E-2</v>
      </c>
      <c r="Z2099" s="381">
        <v>4.9299999999999999E-5</v>
      </c>
      <c r="AA2099" s="381">
        <v>8.6199999999999991E-8</v>
      </c>
      <c r="AB2099" s="381">
        <v>0</v>
      </c>
      <c r="AC2099" s="382">
        <v>6.0149386200000002E-2</v>
      </c>
      <c r="AD2099" s="382">
        <v>0</v>
      </c>
      <c r="AE2099" s="381" t="s">
        <v>168</v>
      </c>
    </row>
    <row r="2100" spans="1:31" ht="15" customHeight="1" x14ac:dyDescent="0.25">
      <c r="A2100" s="20" t="s">
        <v>2913</v>
      </c>
      <c r="B2100" s="20" t="s">
        <v>2913</v>
      </c>
      <c r="C2100" s="20" t="s">
        <v>2913</v>
      </c>
      <c r="D2100" s="378" t="s">
        <v>2964</v>
      </c>
      <c r="E2100" s="384" t="s">
        <v>2920</v>
      </c>
      <c r="F2100" s="384" t="s">
        <v>2921</v>
      </c>
      <c r="G2100" s="385" t="s">
        <v>179</v>
      </c>
      <c r="H2100" s="385" t="s">
        <v>2922</v>
      </c>
      <c r="I2100" s="378">
        <v>1</v>
      </c>
      <c r="J2100" s="385" t="s">
        <v>163</v>
      </c>
      <c r="K2100" s="378" t="s">
        <v>2923</v>
      </c>
      <c r="L2100" s="378" t="s">
        <v>2848</v>
      </c>
      <c r="M2100" s="380">
        <v>2400</v>
      </c>
      <c r="N2100" s="380"/>
      <c r="O2100" s="380"/>
      <c r="P2100" s="380"/>
      <c r="Q2100" s="381">
        <v>79.599999999999994</v>
      </c>
      <c r="R2100" s="381">
        <v>79.599999999999994</v>
      </c>
      <c r="S2100" s="381">
        <v>6.2799999999999995E-2</v>
      </c>
      <c r="T2100" s="381">
        <v>1.06E-4</v>
      </c>
      <c r="U2100" s="381">
        <v>0</v>
      </c>
      <c r="V2100" s="382">
        <v>79.662905999999992</v>
      </c>
      <c r="W2100" s="382">
        <v>0</v>
      </c>
      <c r="X2100" s="381">
        <v>7.959999999999999E-2</v>
      </c>
      <c r="Y2100" s="381">
        <v>7.959999999999999E-2</v>
      </c>
      <c r="Z2100" s="381">
        <v>6.2799999999999995E-5</v>
      </c>
      <c r="AA2100" s="381">
        <v>1.06E-7</v>
      </c>
      <c r="AB2100" s="381">
        <v>0</v>
      </c>
      <c r="AC2100" s="382">
        <v>7.9662905999999992E-2</v>
      </c>
      <c r="AD2100" s="382">
        <v>0</v>
      </c>
      <c r="AE2100" s="381" t="s">
        <v>168</v>
      </c>
    </row>
    <row r="2101" spans="1:31" ht="15" customHeight="1" x14ac:dyDescent="0.25">
      <c r="A2101" s="20" t="s">
        <v>2913</v>
      </c>
      <c r="B2101" s="20" t="s">
        <v>2913</v>
      </c>
      <c r="C2101" s="20" t="s">
        <v>2913</v>
      </c>
      <c r="D2101" s="378" t="s">
        <v>2965</v>
      </c>
      <c r="E2101" s="384" t="s">
        <v>2920</v>
      </c>
      <c r="F2101" s="384" t="s">
        <v>2921</v>
      </c>
      <c r="G2101" s="385" t="s">
        <v>179</v>
      </c>
      <c r="H2101" s="385" t="s">
        <v>2922</v>
      </c>
      <c r="I2101" s="378">
        <v>1</v>
      </c>
      <c r="J2101" s="385" t="s">
        <v>163</v>
      </c>
      <c r="K2101" s="378" t="s">
        <v>2923</v>
      </c>
      <c r="L2101" s="378" t="s">
        <v>2848</v>
      </c>
      <c r="M2101" s="380">
        <v>2400</v>
      </c>
      <c r="N2101" s="380"/>
      <c r="O2101" s="380"/>
      <c r="P2101" s="380"/>
      <c r="Q2101" s="381">
        <v>79.599999999999994</v>
      </c>
      <c r="R2101" s="381">
        <v>79.599999999999994</v>
      </c>
      <c r="S2101" s="381">
        <v>6.2799999999999995E-2</v>
      </c>
      <c r="T2101" s="381">
        <v>1.06E-4</v>
      </c>
      <c r="U2101" s="381">
        <v>0</v>
      </c>
      <c r="V2101" s="382">
        <v>79.662905999999992</v>
      </c>
      <c r="W2101" s="382">
        <v>0</v>
      </c>
      <c r="X2101" s="381">
        <v>7.959999999999999E-2</v>
      </c>
      <c r="Y2101" s="381">
        <v>7.959999999999999E-2</v>
      </c>
      <c r="Z2101" s="381">
        <v>6.2799999999999995E-5</v>
      </c>
      <c r="AA2101" s="381">
        <v>1.06E-7</v>
      </c>
      <c r="AB2101" s="381">
        <v>0</v>
      </c>
      <c r="AC2101" s="382">
        <v>7.9662905999999992E-2</v>
      </c>
      <c r="AD2101" s="382">
        <v>0</v>
      </c>
      <c r="AE2101" s="381" t="s">
        <v>168</v>
      </c>
    </row>
    <row r="2102" spans="1:31" ht="15" customHeight="1" x14ac:dyDescent="0.25">
      <c r="A2102" s="20" t="s">
        <v>2913</v>
      </c>
      <c r="B2102" s="20" t="s">
        <v>2913</v>
      </c>
      <c r="C2102" s="20" t="s">
        <v>2913</v>
      </c>
      <c r="D2102" s="378" t="s">
        <v>2966</v>
      </c>
      <c r="E2102" s="384" t="s">
        <v>2920</v>
      </c>
      <c r="F2102" s="384" t="s">
        <v>2921</v>
      </c>
      <c r="G2102" s="385" t="s">
        <v>179</v>
      </c>
      <c r="H2102" s="385" t="s">
        <v>2922</v>
      </c>
      <c r="I2102" s="378">
        <v>1</v>
      </c>
      <c r="J2102" s="385" t="s">
        <v>163</v>
      </c>
      <c r="K2102" s="378" t="s">
        <v>2923</v>
      </c>
      <c r="L2102" s="378" t="s">
        <v>2848</v>
      </c>
      <c r="M2102" s="380">
        <v>2400</v>
      </c>
      <c r="N2102" s="380"/>
      <c r="O2102" s="380"/>
      <c r="P2102" s="380"/>
      <c r="Q2102" s="381">
        <v>77.900000000000006</v>
      </c>
      <c r="R2102" s="381">
        <v>77.900000000000006</v>
      </c>
      <c r="S2102" s="381">
        <v>6.0600000000000001E-2</v>
      </c>
      <c r="T2102" s="381">
        <v>1.05E-4</v>
      </c>
      <c r="U2102" s="381">
        <v>0</v>
      </c>
      <c r="V2102" s="382">
        <v>77.960705000000004</v>
      </c>
      <c r="W2102" s="382">
        <v>0</v>
      </c>
      <c r="X2102" s="381">
        <v>7.7900000000000011E-2</v>
      </c>
      <c r="Y2102" s="381">
        <v>7.7900000000000011E-2</v>
      </c>
      <c r="Z2102" s="381">
        <v>6.0600000000000003E-5</v>
      </c>
      <c r="AA2102" s="381">
        <v>1.05E-7</v>
      </c>
      <c r="AB2102" s="381">
        <v>0</v>
      </c>
      <c r="AC2102" s="382">
        <v>7.7960705000000005E-2</v>
      </c>
      <c r="AD2102" s="382">
        <v>0</v>
      </c>
      <c r="AE2102" s="381" t="s">
        <v>168</v>
      </c>
    </row>
    <row r="2103" spans="1:31" ht="15" customHeight="1" x14ac:dyDescent="0.25">
      <c r="A2103" s="20" t="s">
        <v>2913</v>
      </c>
      <c r="B2103" s="20" t="s">
        <v>2913</v>
      </c>
      <c r="C2103" s="20" t="s">
        <v>2913</v>
      </c>
      <c r="D2103" s="378" t="s">
        <v>2967</v>
      </c>
      <c r="E2103" s="384" t="s">
        <v>2920</v>
      </c>
      <c r="F2103" s="384" t="s">
        <v>2921</v>
      </c>
      <c r="G2103" s="385" t="s">
        <v>179</v>
      </c>
      <c r="H2103" s="385" t="s">
        <v>2922</v>
      </c>
      <c r="I2103" s="378">
        <v>1</v>
      </c>
      <c r="J2103" s="385" t="s">
        <v>163</v>
      </c>
      <c r="K2103" s="378" t="s">
        <v>2923</v>
      </c>
      <c r="L2103" s="378" t="s">
        <v>2848</v>
      </c>
      <c r="M2103" s="380">
        <v>2400</v>
      </c>
      <c r="N2103" s="380"/>
      <c r="O2103" s="380"/>
      <c r="P2103" s="380"/>
      <c r="Q2103" s="381">
        <v>78.400000000000006</v>
      </c>
      <c r="R2103" s="381">
        <v>78.400000000000006</v>
      </c>
      <c r="S2103" s="381">
        <v>6.08E-2</v>
      </c>
      <c r="T2103" s="381">
        <v>1.05E-4</v>
      </c>
      <c r="U2103" s="381">
        <v>0</v>
      </c>
      <c r="V2103" s="382">
        <v>78.460905000000011</v>
      </c>
      <c r="W2103" s="382">
        <v>0</v>
      </c>
      <c r="X2103" s="381">
        <v>7.8400000000000011E-2</v>
      </c>
      <c r="Y2103" s="381">
        <v>7.8400000000000011E-2</v>
      </c>
      <c r="Z2103" s="381">
        <v>6.0800000000000001E-5</v>
      </c>
      <c r="AA2103" s="381">
        <v>1.05E-7</v>
      </c>
      <c r="AB2103" s="381">
        <v>0</v>
      </c>
      <c r="AC2103" s="382">
        <v>7.8460905000000011E-2</v>
      </c>
      <c r="AD2103" s="382">
        <v>0</v>
      </c>
      <c r="AE2103" s="381" t="s">
        <v>168</v>
      </c>
    </row>
    <row r="2104" spans="1:31" ht="15" customHeight="1" x14ac:dyDescent="0.25">
      <c r="A2104" s="20" t="s">
        <v>2913</v>
      </c>
      <c r="B2104" s="20" t="s">
        <v>2913</v>
      </c>
      <c r="C2104" s="20" t="s">
        <v>2913</v>
      </c>
      <c r="D2104" s="378" t="s">
        <v>2968</v>
      </c>
      <c r="E2104" s="384" t="s">
        <v>2920</v>
      </c>
      <c r="F2104" s="384" t="s">
        <v>2921</v>
      </c>
      <c r="G2104" s="385" t="s">
        <v>179</v>
      </c>
      <c r="H2104" s="385" t="s">
        <v>2922</v>
      </c>
      <c r="I2104" s="378">
        <v>1</v>
      </c>
      <c r="J2104" s="385" t="s">
        <v>163</v>
      </c>
      <c r="K2104" s="378" t="s">
        <v>2923</v>
      </c>
      <c r="L2104" s="378" t="s">
        <v>2848</v>
      </c>
      <c r="M2104" s="380">
        <v>2400</v>
      </c>
      <c r="N2104" s="380"/>
      <c r="O2104" s="380"/>
      <c r="P2104" s="380"/>
      <c r="Q2104" s="381">
        <v>73.400000000000006</v>
      </c>
      <c r="R2104" s="381">
        <v>73.400000000000006</v>
      </c>
      <c r="S2104" s="381">
        <v>5.6300000000000003E-2</v>
      </c>
      <c r="T2104" s="381">
        <v>9.5400000000000001E-5</v>
      </c>
      <c r="U2104" s="381">
        <v>0</v>
      </c>
      <c r="V2104" s="382">
        <v>73.456395400000005</v>
      </c>
      <c r="W2104" s="382">
        <v>0</v>
      </c>
      <c r="X2104" s="381">
        <v>7.3400000000000007E-2</v>
      </c>
      <c r="Y2104" s="381">
        <v>7.3400000000000007E-2</v>
      </c>
      <c r="Z2104" s="381">
        <v>5.63E-5</v>
      </c>
      <c r="AA2104" s="381">
        <v>9.5400000000000007E-8</v>
      </c>
      <c r="AB2104" s="381">
        <v>0</v>
      </c>
      <c r="AC2104" s="382">
        <v>7.3456395399999999E-2</v>
      </c>
      <c r="AD2104" s="382">
        <v>0</v>
      </c>
      <c r="AE2104" s="381" t="s">
        <v>168</v>
      </c>
    </row>
    <row r="2105" spans="1:31" ht="15" customHeight="1" x14ac:dyDescent="0.25">
      <c r="A2105" s="20" t="s">
        <v>2913</v>
      </c>
      <c r="B2105" s="20" t="s">
        <v>2913</v>
      </c>
      <c r="C2105" s="20" t="s">
        <v>2913</v>
      </c>
      <c r="D2105" s="378" t="s">
        <v>2969</v>
      </c>
      <c r="E2105" s="384" t="s">
        <v>2920</v>
      </c>
      <c r="F2105" s="384" t="s">
        <v>2921</v>
      </c>
      <c r="G2105" s="385" t="s">
        <v>2928</v>
      </c>
      <c r="H2105" s="385" t="s">
        <v>2922</v>
      </c>
      <c r="I2105" s="378">
        <v>1</v>
      </c>
      <c r="J2105" s="385" t="s">
        <v>163</v>
      </c>
      <c r="K2105" s="378" t="s">
        <v>2923</v>
      </c>
      <c r="L2105" s="378" t="s">
        <v>2848</v>
      </c>
      <c r="M2105" s="380">
        <v>2400</v>
      </c>
      <c r="N2105" s="380"/>
      <c r="O2105" s="380"/>
      <c r="P2105" s="380"/>
      <c r="Q2105" s="381">
        <v>57.9</v>
      </c>
      <c r="R2105" s="381">
        <v>57.8</v>
      </c>
      <c r="S2105" s="381">
        <v>0.14399999999999999</v>
      </c>
      <c r="T2105" s="381">
        <v>8.1699999999999994E-5</v>
      </c>
      <c r="U2105" s="381">
        <v>0</v>
      </c>
      <c r="V2105" s="382">
        <v>57.944081699999998</v>
      </c>
      <c r="W2105" s="382">
        <v>0</v>
      </c>
      <c r="X2105" s="381">
        <v>5.79E-2</v>
      </c>
      <c r="Y2105" s="381">
        <v>5.7799999999999997E-2</v>
      </c>
      <c r="Z2105" s="381">
        <v>1.4399999999999998E-4</v>
      </c>
      <c r="AA2105" s="381">
        <v>8.1699999999999997E-8</v>
      </c>
      <c r="AB2105" s="381">
        <v>0</v>
      </c>
      <c r="AC2105" s="382">
        <v>5.7944081699999997E-2</v>
      </c>
      <c r="AD2105" s="382">
        <v>0</v>
      </c>
      <c r="AE2105" s="381" t="s">
        <v>168</v>
      </c>
    </row>
    <row r="2106" spans="1:31" ht="15" customHeight="1" x14ac:dyDescent="0.25">
      <c r="A2106" s="20" t="s">
        <v>2913</v>
      </c>
      <c r="B2106" s="20" t="s">
        <v>2913</v>
      </c>
      <c r="C2106" s="20" t="s">
        <v>2913</v>
      </c>
      <c r="D2106" s="378" t="s">
        <v>2970</v>
      </c>
      <c r="E2106" s="384" t="s">
        <v>2920</v>
      </c>
      <c r="F2106" s="384" t="s">
        <v>2921</v>
      </c>
      <c r="G2106" s="385" t="s">
        <v>2928</v>
      </c>
      <c r="H2106" s="385" t="s">
        <v>2922</v>
      </c>
      <c r="I2106" s="378">
        <v>1</v>
      </c>
      <c r="J2106" s="385" t="s">
        <v>163</v>
      </c>
      <c r="K2106" s="378" t="s">
        <v>2923</v>
      </c>
      <c r="L2106" s="378" t="s">
        <v>2848</v>
      </c>
      <c r="M2106" s="380">
        <v>2400</v>
      </c>
      <c r="N2106" s="380"/>
      <c r="O2106" s="380"/>
      <c r="P2106" s="380"/>
      <c r="Q2106" s="381">
        <v>57.9</v>
      </c>
      <c r="R2106" s="381">
        <v>57.8</v>
      </c>
      <c r="S2106" s="381">
        <v>0.14399999999999999</v>
      </c>
      <c r="T2106" s="381">
        <v>8.1699999999999994E-5</v>
      </c>
      <c r="U2106" s="381">
        <v>0</v>
      </c>
      <c r="V2106" s="382">
        <v>57.944081699999998</v>
      </c>
      <c r="W2106" s="382">
        <v>0</v>
      </c>
      <c r="X2106" s="381">
        <v>5.79E-2</v>
      </c>
      <c r="Y2106" s="381">
        <v>5.7799999999999997E-2</v>
      </c>
      <c r="Z2106" s="381">
        <v>1.4399999999999998E-4</v>
      </c>
      <c r="AA2106" s="381">
        <v>8.1699999999999997E-8</v>
      </c>
      <c r="AB2106" s="381">
        <v>0</v>
      </c>
      <c r="AC2106" s="382">
        <v>5.7944081699999997E-2</v>
      </c>
      <c r="AD2106" s="382">
        <v>0</v>
      </c>
      <c r="AE2106" s="381" t="s">
        <v>168</v>
      </c>
    </row>
    <row r="2107" spans="1:31" ht="15" customHeight="1" x14ac:dyDescent="0.25">
      <c r="A2107" s="20" t="s">
        <v>2913</v>
      </c>
      <c r="B2107" s="20" t="s">
        <v>2913</v>
      </c>
      <c r="C2107" s="20" t="s">
        <v>2913</v>
      </c>
      <c r="D2107" s="378" t="s">
        <v>2971</v>
      </c>
      <c r="E2107" s="384" t="s">
        <v>2920</v>
      </c>
      <c r="F2107" s="384" t="s">
        <v>2921</v>
      </c>
      <c r="G2107" s="385" t="s">
        <v>2928</v>
      </c>
      <c r="H2107" s="385" t="s">
        <v>2922</v>
      </c>
      <c r="I2107" s="378">
        <v>1</v>
      </c>
      <c r="J2107" s="385" t="s">
        <v>163</v>
      </c>
      <c r="K2107" s="378" t="s">
        <v>2923</v>
      </c>
      <c r="L2107" s="378" t="s">
        <v>2848</v>
      </c>
      <c r="M2107" s="380">
        <v>2400</v>
      </c>
      <c r="N2107" s="380"/>
      <c r="O2107" s="380"/>
      <c r="P2107" s="380"/>
      <c r="Q2107" s="381">
        <v>55.5</v>
      </c>
      <c r="R2107" s="381">
        <v>55.4</v>
      </c>
      <c r="S2107" s="381">
        <v>0.14199999999999999</v>
      </c>
      <c r="T2107" s="381">
        <v>8.6299999999999997E-5</v>
      </c>
      <c r="U2107" s="381">
        <v>0</v>
      </c>
      <c r="V2107" s="382">
        <v>55.542086300000001</v>
      </c>
      <c r="W2107" s="382">
        <v>0</v>
      </c>
      <c r="X2107" s="381">
        <v>5.5500000000000001E-2</v>
      </c>
      <c r="Y2107" s="381">
        <v>5.5399999999999998E-2</v>
      </c>
      <c r="Z2107" s="381">
        <v>1.4199999999999998E-4</v>
      </c>
      <c r="AA2107" s="381">
        <v>8.6299999999999999E-8</v>
      </c>
      <c r="AB2107" s="381">
        <v>0</v>
      </c>
      <c r="AC2107" s="382">
        <v>5.5542086300000001E-2</v>
      </c>
      <c r="AD2107" s="382">
        <v>0</v>
      </c>
      <c r="AE2107" s="381" t="s">
        <v>168</v>
      </c>
    </row>
    <row r="2108" spans="1:31" ht="15" customHeight="1" x14ac:dyDescent="0.25">
      <c r="A2108" s="20" t="s">
        <v>2913</v>
      </c>
      <c r="B2108" s="20" t="s">
        <v>2913</v>
      </c>
      <c r="C2108" s="20" t="s">
        <v>2913</v>
      </c>
      <c r="D2108" s="378" t="s">
        <v>2972</v>
      </c>
      <c r="E2108" s="384" t="s">
        <v>2920</v>
      </c>
      <c r="F2108" s="384" t="s">
        <v>2921</v>
      </c>
      <c r="G2108" s="385" t="s">
        <v>193</v>
      </c>
      <c r="H2108" s="385" t="s">
        <v>2922</v>
      </c>
      <c r="I2108" s="378">
        <v>1</v>
      </c>
      <c r="J2108" s="385" t="s">
        <v>163</v>
      </c>
      <c r="K2108" s="378" t="s">
        <v>2923</v>
      </c>
      <c r="L2108" s="378" t="s">
        <v>2848</v>
      </c>
      <c r="M2108" s="380">
        <v>2400</v>
      </c>
      <c r="N2108" s="380"/>
      <c r="O2108" s="380"/>
      <c r="P2108" s="380"/>
      <c r="Q2108" s="381">
        <v>84.7</v>
      </c>
      <c r="R2108" s="381">
        <v>84.7</v>
      </c>
      <c r="S2108" s="381">
        <v>6.3700000000000007E-2</v>
      </c>
      <c r="T2108" s="381">
        <v>1.07E-4</v>
      </c>
      <c r="U2108" s="381">
        <v>0</v>
      </c>
      <c r="V2108" s="382">
        <v>84.763807</v>
      </c>
      <c r="W2108" s="382">
        <v>0</v>
      </c>
      <c r="X2108" s="381">
        <v>8.4699999999999998E-2</v>
      </c>
      <c r="Y2108" s="381">
        <v>8.4699999999999998E-2</v>
      </c>
      <c r="Z2108" s="381">
        <v>6.3700000000000003E-5</v>
      </c>
      <c r="AA2108" s="381">
        <v>1.0700000000000001E-7</v>
      </c>
      <c r="AB2108" s="381">
        <v>0</v>
      </c>
      <c r="AC2108" s="382">
        <v>8.4763806999999997E-2</v>
      </c>
      <c r="AD2108" s="382">
        <v>0</v>
      </c>
      <c r="AE2108" s="381" t="s">
        <v>168</v>
      </c>
    </row>
    <row r="2109" spans="1:31" ht="15" customHeight="1" x14ac:dyDescent="0.25">
      <c r="A2109" s="20" t="s">
        <v>2913</v>
      </c>
      <c r="B2109" s="20" t="s">
        <v>2913</v>
      </c>
      <c r="C2109" s="20" t="s">
        <v>2913</v>
      </c>
      <c r="D2109" s="378" t="s">
        <v>2973</v>
      </c>
      <c r="E2109" s="384" t="s">
        <v>2920</v>
      </c>
      <c r="F2109" s="384" t="s">
        <v>2921</v>
      </c>
      <c r="G2109" s="385" t="s">
        <v>193</v>
      </c>
      <c r="H2109" s="385" t="s">
        <v>2922</v>
      </c>
      <c r="I2109" s="378">
        <v>1</v>
      </c>
      <c r="J2109" s="385" t="s">
        <v>163</v>
      </c>
      <c r="K2109" s="378" t="s">
        <v>2923</v>
      </c>
      <c r="L2109" s="378" t="s">
        <v>2848</v>
      </c>
      <c r="M2109" s="380">
        <v>2400</v>
      </c>
      <c r="N2109" s="380"/>
      <c r="O2109" s="380"/>
      <c r="P2109" s="380"/>
      <c r="Q2109" s="381">
        <v>84.7</v>
      </c>
      <c r="R2109" s="381">
        <v>84.7</v>
      </c>
      <c r="S2109" s="381">
        <v>6.3700000000000007E-2</v>
      </c>
      <c r="T2109" s="381">
        <v>1.07E-4</v>
      </c>
      <c r="U2109" s="381">
        <v>0</v>
      </c>
      <c r="V2109" s="382">
        <v>84.763807</v>
      </c>
      <c r="W2109" s="382">
        <v>0</v>
      </c>
      <c r="X2109" s="381">
        <v>8.4699999999999998E-2</v>
      </c>
      <c r="Y2109" s="381">
        <v>8.4699999999999998E-2</v>
      </c>
      <c r="Z2109" s="381">
        <v>6.3700000000000003E-5</v>
      </c>
      <c r="AA2109" s="381">
        <v>1.0700000000000001E-7</v>
      </c>
      <c r="AB2109" s="381">
        <v>0</v>
      </c>
      <c r="AC2109" s="382">
        <v>8.4763806999999997E-2</v>
      </c>
      <c r="AD2109" s="382">
        <v>0</v>
      </c>
      <c r="AE2109" s="381" t="s">
        <v>168</v>
      </c>
    </row>
    <row r="2110" spans="1:31" ht="15" customHeight="1" x14ac:dyDescent="0.25">
      <c r="A2110" s="20" t="s">
        <v>2913</v>
      </c>
      <c r="B2110" s="20" t="s">
        <v>2913</v>
      </c>
      <c r="C2110" s="20" t="s">
        <v>2913</v>
      </c>
      <c r="D2110" s="378" t="s">
        <v>2974</v>
      </c>
      <c r="E2110" s="384" t="s">
        <v>2920</v>
      </c>
      <c r="F2110" s="384" t="s">
        <v>2921</v>
      </c>
      <c r="G2110" s="385" t="s">
        <v>179</v>
      </c>
      <c r="H2110" s="385" t="s">
        <v>2922</v>
      </c>
      <c r="I2110" s="378">
        <v>1</v>
      </c>
      <c r="J2110" s="385" t="s">
        <v>163</v>
      </c>
      <c r="K2110" s="378" t="s">
        <v>2923</v>
      </c>
      <c r="L2110" s="378" t="s">
        <v>2848</v>
      </c>
      <c r="M2110" s="380">
        <v>2400</v>
      </c>
      <c r="N2110" s="380"/>
      <c r="O2110" s="380"/>
      <c r="P2110" s="380"/>
      <c r="Q2110" s="381">
        <v>74.900000000000006</v>
      </c>
      <c r="R2110" s="381">
        <v>74.900000000000006</v>
      </c>
      <c r="S2110" s="381">
        <v>5.6099999999999997E-2</v>
      </c>
      <c r="T2110" s="381">
        <v>1.01E-4</v>
      </c>
      <c r="U2110" s="381">
        <v>0</v>
      </c>
      <c r="V2110" s="382">
        <v>74.956201000000007</v>
      </c>
      <c r="W2110" s="382">
        <v>0</v>
      </c>
      <c r="X2110" s="381">
        <v>7.4900000000000008E-2</v>
      </c>
      <c r="Y2110" s="381">
        <v>7.4900000000000008E-2</v>
      </c>
      <c r="Z2110" s="381">
        <v>5.6099999999999995E-5</v>
      </c>
      <c r="AA2110" s="381">
        <v>1.01E-7</v>
      </c>
      <c r="AB2110" s="381">
        <v>0</v>
      </c>
      <c r="AC2110" s="382">
        <v>7.4956201000000014E-2</v>
      </c>
      <c r="AD2110" s="382">
        <v>0</v>
      </c>
      <c r="AE2110" s="381" t="s">
        <v>168</v>
      </c>
    </row>
    <row r="2111" spans="1:31" ht="15" customHeight="1" x14ac:dyDescent="0.25">
      <c r="A2111" s="20" t="s">
        <v>2913</v>
      </c>
      <c r="B2111" s="20" t="s">
        <v>2913</v>
      </c>
      <c r="C2111" s="20" t="s">
        <v>2913</v>
      </c>
      <c r="D2111" s="378" t="s">
        <v>2975</v>
      </c>
      <c r="E2111" s="384" t="s">
        <v>2920</v>
      </c>
      <c r="F2111" s="384" t="s">
        <v>2921</v>
      </c>
      <c r="G2111" s="385" t="s">
        <v>179</v>
      </c>
      <c r="H2111" s="385" t="s">
        <v>2922</v>
      </c>
      <c r="I2111" s="378">
        <v>1</v>
      </c>
      <c r="J2111" s="385" t="s">
        <v>163</v>
      </c>
      <c r="K2111" s="378" t="s">
        <v>2923</v>
      </c>
      <c r="L2111" s="378" t="s">
        <v>2848</v>
      </c>
      <c r="M2111" s="380">
        <v>2400</v>
      </c>
      <c r="N2111" s="380"/>
      <c r="O2111" s="380"/>
      <c r="P2111" s="380"/>
      <c r="Q2111" s="381">
        <v>65</v>
      </c>
      <c r="R2111" s="381">
        <v>65</v>
      </c>
      <c r="S2111" s="381">
        <v>4.8599999999999997E-2</v>
      </c>
      <c r="T2111" s="381">
        <v>8.1100000000000006E-5</v>
      </c>
      <c r="U2111" s="381">
        <v>0</v>
      </c>
      <c r="V2111" s="382">
        <v>65.048681099999996</v>
      </c>
      <c r="W2111" s="382">
        <v>0</v>
      </c>
      <c r="X2111" s="381">
        <v>6.5000000000000002E-2</v>
      </c>
      <c r="Y2111" s="381">
        <v>6.5000000000000002E-2</v>
      </c>
      <c r="Z2111" s="381">
        <v>4.8599999999999995E-5</v>
      </c>
      <c r="AA2111" s="381">
        <v>8.1100000000000005E-8</v>
      </c>
      <c r="AB2111" s="381">
        <v>0</v>
      </c>
      <c r="AC2111" s="382">
        <v>6.5048681099999991E-2</v>
      </c>
      <c r="AD2111" s="382">
        <v>0</v>
      </c>
      <c r="AE2111" s="381" t="s">
        <v>168</v>
      </c>
    </row>
    <row r="2112" spans="1:31" ht="15" customHeight="1" x14ac:dyDescent="0.25">
      <c r="A2112" s="20" t="s">
        <v>2913</v>
      </c>
      <c r="B2112" s="20" t="s">
        <v>2913</v>
      </c>
      <c r="C2112" s="20" t="s">
        <v>2913</v>
      </c>
      <c r="D2112" s="378" t="s">
        <v>2976</v>
      </c>
      <c r="E2112" s="384" t="s">
        <v>2920</v>
      </c>
      <c r="F2112" s="384" t="s">
        <v>2921</v>
      </c>
      <c r="G2112" s="385" t="s">
        <v>2928</v>
      </c>
      <c r="H2112" s="385" t="s">
        <v>2922</v>
      </c>
      <c r="I2112" s="378">
        <v>1</v>
      </c>
      <c r="J2112" s="385" t="s">
        <v>163</v>
      </c>
      <c r="K2112" s="378" t="s">
        <v>2923</v>
      </c>
      <c r="L2112" s="378" t="s">
        <v>2848</v>
      </c>
      <c r="M2112" s="380">
        <v>2400</v>
      </c>
      <c r="N2112" s="380"/>
      <c r="O2112" s="380"/>
      <c r="P2112" s="380"/>
      <c r="Q2112" s="381">
        <v>60.1</v>
      </c>
      <c r="R2112" s="381">
        <v>60</v>
      </c>
      <c r="S2112" s="381">
        <v>0.14299999999999999</v>
      </c>
      <c r="T2112" s="381">
        <v>9.6899999999999997E-5</v>
      </c>
      <c r="U2112" s="381">
        <v>0</v>
      </c>
      <c r="V2112" s="382">
        <v>60.143096900000003</v>
      </c>
      <c r="W2112" s="382">
        <v>0</v>
      </c>
      <c r="X2112" s="381">
        <v>6.0100000000000001E-2</v>
      </c>
      <c r="Y2112" s="381">
        <v>0.06</v>
      </c>
      <c r="Z2112" s="381">
        <v>1.4299999999999998E-4</v>
      </c>
      <c r="AA2112" s="381">
        <v>9.6900000000000001E-8</v>
      </c>
      <c r="AB2112" s="381">
        <v>0</v>
      </c>
      <c r="AC2112" s="382">
        <v>6.0143096899999998E-2</v>
      </c>
      <c r="AD2112" s="382">
        <v>0</v>
      </c>
      <c r="AE2112" s="381" t="s">
        <v>168</v>
      </c>
    </row>
    <row r="2113" spans="1:31" ht="15" customHeight="1" x14ac:dyDescent="0.25">
      <c r="A2113" s="20" t="s">
        <v>2913</v>
      </c>
      <c r="B2113" s="20" t="s">
        <v>2913</v>
      </c>
      <c r="C2113" s="20" t="s">
        <v>2913</v>
      </c>
      <c r="D2113" s="378" t="s">
        <v>2977</v>
      </c>
      <c r="E2113" s="384" t="s">
        <v>2920</v>
      </c>
      <c r="F2113" s="384" t="s">
        <v>2921</v>
      </c>
      <c r="G2113" s="385" t="s">
        <v>281</v>
      </c>
      <c r="H2113" s="385" t="s">
        <v>2922</v>
      </c>
      <c r="I2113" s="378">
        <v>1</v>
      </c>
      <c r="J2113" s="385" t="s">
        <v>163</v>
      </c>
      <c r="K2113" s="378" t="s">
        <v>2923</v>
      </c>
      <c r="L2113" s="378" t="s">
        <v>2848</v>
      </c>
      <c r="M2113" s="380">
        <v>2400</v>
      </c>
      <c r="N2113" s="380"/>
      <c r="O2113" s="380"/>
      <c r="P2113" s="380"/>
      <c r="Q2113" s="381">
        <v>79.3</v>
      </c>
      <c r="R2113" s="381">
        <v>79.3</v>
      </c>
      <c r="S2113" s="381">
        <v>5.6300000000000003E-2</v>
      </c>
      <c r="T2113" s="381">
        <v>1.16E-4</v>
      </c>
      <c r="U2113" s="381">
        <v>0</v>
      </c>
      <c r="V2113" s="382">
        <v>79.356415999999996</v>
      </c>
      <c r="W2113" s="382">
        <v>0</v>
      </c>
      <c r="X2113" s="381">
        <v>7.9299999999999995E-2</v>
      </c>
      <c r="Y2113" s="381">
        <v>7.9299999999999995E-2</v>
      </c>
      <c r="Z2113" s="381">
        <v>5.63E-5</v>
      </c>
      <c r="AA2113" s="381">
        <v>1.1600000000000001E-7</v>
      </c>
      <c r="AB2113" s="381">
        <v>0</v>
      </c>
      <c r="AC2113" s="382">
        <v>7.9356415999999985E-2</v>
      </c>
      <c r="AD2113" s="382">
        <v>0</v>
      </c>
      <c r="AE2113" s="381" t="s">
        <v>168</v>
      </c>
    </row>
    <row r="2114" spans="1:31" ht="15" customHeight="1" x14ac:dyDescent="0.25">
      <c r="A2114" s="20" t="s">
        <v>2913</v>
      </c>
      <c r="B2114" s="20" t="s">
        <v>2913</v>
      </c>
      <c r="C2114" s="20" t="s">
        <v>2913</v>
      </c>
      <c r="D2114" s="378" t="s">
        <v>2978</v>
      </c>
      <c r="E2114" s="384" t="s">
        <v>2920</v>
      </c>
      <c r="F2114" s="384" t="s">
        <v>2921</v>
      </c>
      <c r="G2114" s="385" t="s">
        <v>2928</v>
      </c>
      <c r="H2114" s="385" t="s">
        <v>2922</v>
      </c>
      <c r="I2114" s="378">
        <v>1</v>
      </c>
      <c r="J2114" s="385" t="s">
        <v>163</v>
      </c>
      <c r="K2114" s="378" t="s">
        <v>2923</v>
      </c>
      <c r="L2114" s="378" t="s">
        <v>2848</v>
      </c>
      <c r="M2114" s="380">
        <v>2400</v>
      </c>
      <c r="N2114" s="380"/>
      <c r="O2114" s="380"/>
      <c r="P2114" s="380"/>
      <c r="Q2114" s="381">
        <v>61.1</v>
      </c>
      <c r="R2114" s="381">
        <v>61</v>
      </c>
      <c r="S2114" s="381">
        <v>0.14299999999999999</v>
      </c>
      <c r="T2114" s="381">
        <v>8.7200000000000005E-5</v>
      </c>
      <c r="U2114" s="381">
        <v>0</v>
      </c>
      <c r="V2114" s="382">
        <v>61.143087200000004</v>
      </c>
      <c r="W2114" s="382">
        <v>0</v>
      </c>
      <c r="X2114" s="381">
        <v>6.1100000000000002E-2</v>
      </c>
      <c r="Y2114" s="381">
        <v>6.0999999999999999E-2</v>
      </c>
      <c r="Z2114" s="381">
        <v>1.4299999999999998E-4</v>
      </c>
      <c r="AA2114" s="381">
        <v>8.72E-8</v>
      </c>
      <c r="AB2114" s="381">
        <v>0</v>
      </c>
      <c r="AC2114" s="382">
        <v>6.1143087199999994E-2</v>
      </c>
      <c r="AD2114" s="382">
        <v>0</v>
      </c>
      <c r="AE2114" s="381" t="s">
        <v>168</v>
      </c>
    </row>
    <row r="2115" spans="1:31" ht="15" customHeight="1" x14ac:dyDescent="0.25">
      <c r="A2115" s="20" t="s">
        <v>2913</v>
      </c>
      <c r="B2115" s="20" t="s">
        <v>2913</v>
      </c>
      <c r="C2115" s="20" t="s">
        <v>2913</v>
      </c>
      <c r="D2115" s="378" t="s">
        <v>2979</v>
      </c>
      <c r="E2115" s="384" t="s">
        <v>2920</v>
      </c>
      <c r="F2115" s="384" t="s">
        <v>2921</v>
      </c>
      <c r="G2115" s="385" t="s">
        <v>281</v>
      </c>
      <c r="H2115" s="385" t="s">
        <v>2922</v>
      </c>
      <c r="I2115" s="378">
        <v>1</v>
      </c>
      <c r="J2115" s="385" t="s">
        <v>163</v>
      </c>
      <c r="K2115" s="378" t="s">
        <v>2923</v>
      </c>
      <c r="L2115" s="378" t="s">
        <v>2848</v>
      </c>
      <c r="M2115" s="380">
        <v>2400</v>
      </c>
      <c r="N2115" s="380"/>
      <c r="O2115" s="380"/>
      <c r="P2115" s="380"/>
      <c r="Q2115" s="381">
        <v>87.1</v>
      </c>
      <c r="R2115" s="381">
        <v>87.1</v>
      </c>
      <c r="S2115" s="381">
        <v>6.0999999999999999E-2</v>
      </c>
      <c r="T2115" s="381">
        <v>1.3100000000000001E-4</v>
      </c>
      <c r="U2115" s="381">
        <v>0</v>
      </c>
      <c r="V2115" s="382">
        <v>87.161130999999997</v>
      </c>
      <c r="W2115" s="382">
        <v>0</v>
      </c>
      <c r="X2115" s="381">
        <v>8.7099999999999997E-2</v>
      </c>
      <c r="Y2115" s="381">
        <v>8.7099999999999997E-2</v>
      </c>
      <c r="Z2115" s="381">
        <v>6.0999999999999999E-5</v>
      </c>
      <c r="AA2115" s="381">
        <v>1.3100000000000002E-7</v>
      </c>
      <c r="AB2115" s="381">
        <v>0</v>
      </c>
      <c r="AC2115" s="382">
        <v>8.7161131000000003E-2</v>
      </c>
      <c r="AD2115" s="382">
        <v>0</v>
      </c>
      <c r="AE2115" s="381" t="s">
        <v>168</v>
      </c>
    </row>
    <row r="2116" spans="1:31" ht="15" customHeight="1" x14ac:dyDescent="0.25">
      <c r="A2116" s="20" t="s">
        <v>2913</v>
      </c>
      <c r="B2116" s="20" t="s">
        <v>2913</v>
      </c>
      <c r="C2116" s="20" t="s">
        <v>2913</v>
      </c>
      <c r="D2116" s="378" t="s">
        <v>2980</v>
      </c>
      <c r="E2116" s="384" t="s">
        <v>2920</v>
      </c>
      <c r="F2116" s="384" t="s">
        <v>2921</v>
      </c>
      <c r="G2116" s="385" t="s">
        <v>193</v>
      </c>
      <c r="H2116" s="385" t="s">
        <v>2922</v>
      </c>
      <c r="I2116" s="378">
        <v>1</v>
      </c>
      <c r="J2116" s="385" t="s">
        <v>163</v>
      </c>
      <c r="K2116" s="378" t="s">
        <v>2923</v>
      </c>
      <c r="L2116" s="378" t="s">
        <v>2848</v>
      </c>
      <c r="M2116" s="380">
        <v>2400</v>
      </c>
      <c r="N2116" s="380"/>
      <c r="O2116" s="380"/>
      <c r="P2116" s="380"/>
      <c r="Q2116" s="381">
        <v>76.7</v>
      </c>
      <c r="R2116" s="381">
        <v>76.7</v>
      </c>
      <c r="S2116" s="381">
        <v>5.3600000000000002E-2</v>
      </c>
      <c r="T2116" s="381">
        <v>1.08E-4</v>
      </c>
      <c r="U2116" s="381">
        <v>0</v>
      </c>
      <c r="V2116" s="382">
        <v>76.753708000000003</v>
      </c>
      <c r="W2116" s="382">
        <v>0</v>
      </c>
      <c r="X2116" s="381">
        <v>7.6700000000000004E-2</v>
      </c>
      <c r="Y2116" s="381">
        <v>7.6700000000000004E-2</v>
      </c>
      <c r="Z2116" s="381">
        <v>5.3600000000000002E-5</v>
      </c>
      <c r="AA2116" s="381">
        <v>1.08E-7</v>
      </c>
      <c r="AB2116" s="381">
        <v>0</v>
      </c>
      <c r="AC2116" s="382">
        <v>7.6753708000000004E-2</v>
      </c>
      <c r="AD2116" s="382">
        <v>0</v>
      </c>
      <c r="AE2116" s="381" t="s">
        <v>168</v>
      </c>
    </row>
    <row r="2117" spans="1:31" ht="15" customHeight="1" x14ac:dyDescent="0.25">
      <c r="A2117" s="20" t="s">
        <v>2913</v>
      </c>
      <c r="B2117" s="20" t="s">
        <v>2913</v>
      </c>
      <c r="C2117" s="20" t="s">
        <v>2913</v>
      </c>
      <c r="D2117" s="378" t="s">
        <v>2981</v>
      </c>
      <c r="E2117" s="384" t="s">
        <v>2932</v>
      </c>
      <c r="F2117" s="384" t="s">
        <v>2933</v>
      </c>
      <c r="G2117" s="385" t="s">
        <v>179</v>
      </c>
      <c r="H2117" s="385" t="s">
        <v>2934</v>
      </c>
      <c r="I2117" s="378">
        <v>1</v>
      </c>
      <c r="J2117" s="385" t="s">
        <v>163</v>
      </c>
      <c r="K2117" s="378" t="s">
        <v>2935</v>
      </c>
      <c r="L2117" s="378" t="s">
        <v>2848</v>
      </c>
      <c r="M2117" s="380">
        <v>2400</v>
      </c>
      <c r="N2117" s="380"/>
      <c r="O2117" s="380"/>
      <c r="P2117" s="380"/>
      <c r="Q2117" s="381">
        <v>73.2</v>
      </c>
      <c r="R2117" s="381">
        <v>73.2</v>
      </c>
      <c r="S2117" s="381">
        <v>4.9099999999999998E-2</v>
      </c>
      <c r="T2117" s="381">
        <v>2.42E-4</v>
      </c>
      <c r="U2117" s="381">
        <v>0</v>
      </c>
      <c r="V2117" s="382">
        <v>73.249341999999999</v>
      </c>
      <c r="W2117" s="382">
        <v>0</v>
      </c>
      <c r="X2117" s="381">
        <v>7.3200000000000001E-2</v>
      </c>
      <c r="Y2117" s="381">
        <v>7.3200000000000001E-2</v>
      </c>
      <c r="Z2117" s="381">
        <v>4.9100000000000001E-5</v>
      </c>
      <c r="AA2117" s="381">
        <v>2.4200000000000002E-7</v>
      </c>
      <c r="AB2117" s="381">
        <v>0</v>
      </c>
      <c r="AC2117" s="382">
        <v>7.3249341999999995E-2</v>
      </c>
      <c r="AD2117" s="382">
        <v>0</v>
      </c>
      <c r="AE2117" s="381" t="s">
        <v>168</v>
      </c>
    </row>
    <row r="2118" spans="1:31" ht="15" customHeight="1" x14ac:dyDescent="0.25">
      <c r="A2118" s="20" t="s">
        <v>2913</v>
      </c>
      <c r="B2118" s="20" t="s">
        <v>2913</v>
      </c>
      <c r="C2118" s="20" t="s">
        <v>2913</v>
      </c>
      <c r="D2118" s="378" t="s">
        <v>2982</v>
      </c>
      <c r="E2118" s="384" t="s">
        <v>2920</v>
      </c>
      <c r="F2118" s="384" t="s">
        <v>2921</v>
      </c>
      <c r="G2118" s="385" t="s">
        <v>193</v>
      </c>
      <c r="H2118" s="385" t="s">
        <v>2922</v>
      </c>
      <c r="I2118" s="378">
        <v>1</v>
      </c>
      <c r="J2118" s="385" t="s">
        <v>163</v>
      </c>
      <c r="K2118" s="378" t="s">
        <v>2923</v>
      </c>
      <c r="L2118" s="378" t="s">
        <v>2848</v>
      </c>
      <c r="M2118" s="380">
        <v>2400</v>
      </c>
      <c r="N2118" s="380"/>
      <c r="O2118" s="380"/>
      <c r="P2118" s="380"/>
      <c r="Q2118" s="381">
        <v>74.400000000000006</v>
      </c>
      <c r="R2118" s="381">
        <v>74.400000000000006</v>
      </c>
      <c r="S2118" s="381">
        <v>4.9799999999999997E-2</v>
      </c>
      <c r="T2118" s="381">
        <v>9.0000000000000006E-5</v>
      </c>
      <c r="U2118" s="381">
        <v>0</v>
      </c>
      <c r="V2118" s="382">
        <v>74.449890000000011</v>
      </c>
      <c r="W2118" s="382">
        <v>0</v>
      </c>
      <c r="X2118" s="381">
        <v>7.4400000000000008E-2</v>
      </c>
      <c r="Y2118" s="381">
        <v>7.4400000000000008E-2</v>
      </c>
      <c r="Z2118" s="381">
        <v>4.9799999999999998E-5</v>
      </c>
      <c r="AA2118" s="381">
        <v>9.0000000000000012E-8</v>
      </c>
      <c r="AB2118" s="381">
        <v>0</v>
      </c>
      <c r="AC2118" s="382">
        <v>7.4449890000000005E-2</v>
      </c>
      <c r="AD2118" s="382">
        <v>0</v>
      </c>
      <c r="AE2118" s="381" t="s">
        <v>168</v>
      </c>
    </row>
    <row r="2119" spans="1:31" ht="15" customHeight="1" x14ac:dyDescent="0.25">
      <c r="A2119" s="20" t="s">
        <v>2913</v>
      </c>
      <c r="B2119" s="20" t="s">
        <v>2913</v>
      </c>
      <c r="C2119" s="20" t="s">
        <v>2913</v>
      </c>
      <c r="D2119" s="378" t="s">
        <v>2983</v>
      </c>
      <c r="E2119" s="384" t="s">
        <v>2920</v>
      </c>
      <c r="F2119" s="384" t="s">
        <v>2921</v>
      </c>
      <c r="G2119" s="385" t="s">
        <v>193</v>
      </c>
      <c r="H2119" s="385" t="s">
        <v>2922</v>
      </c>
      <c r="I2119" s="378">
        <v>1</v>
      </c>
      <c r="J2119" s="385" t="s">
        <v>163</v>
      </c>
      <c r="K2119" s="378" t="s">
        <v>2923</v>
      </c>
      <c r="L2119" s="378" t="s">
        <v>2848</v>
      </c>
      <c r="M2119" s="380">
        <v>2400</v>
      </c>
      <c r="N2119" s="380"/>
      <c r="O2119" s="380"/>
      <c r="P2119" s="380"/>
      <c r="Q2119" s="381">
        <v>64.599999999999994</v>
      </c>
      <c r="R2119" s="381">
        <v>64.599999999999994</v>
      </c>
      <c r="S2119" s="381">
        <v>4.3200000000000002E-2</v>
      </c>
      <c r="T2119" s="381">
        <v>9.6700000000000006E-5</v>
      </c>
      <c r="U2119" s="381">
        <v>0</v>
      </c>
      <c r="V2119" s="382">
        <v>64.643296699999993</v>
      </c>
      <c r="W2119" s="382">
        <v>0</v>
      </c>
      <c r="X2119" s="381">
        <v>6.4599999999999991E-2</v>
      </c>
      <c r="Y2119" s="381">
        <v>6.4599999999999991E-2</v>
      </c>
      <c r="Z2119" s="381">
        <v>4.32E-5</v>
      </c>
      <c r="AA2119" s="381">
        <v>9.6700000000000012E-8</v>
      </c>
      <c r="AB2119" s="381">
        <v>0</v>
      </c>
      <c r="AC2119" s="382">
        <v>6.4643296699999978E-2</v>
      </c>
      <c r="AD2119" s="382">
        <v>0</v>
      </c>
      <c r="AE2119" s="381" t="s">
        <v>168</v>
      </c>
    </row>
    <row r="2120" spans="1:31" ht="15" customHeight="1" x14ac:dyDescent="0.25">
      <c r="A2120" s="20" t="s">
        <v>2913</v>
      </c>
      <c r="B2120" s="20" t="s">
        <v>2913</v>
      </c>
      <c r="C2120" s="20" t="s">
        <v>2913</v>
      </c>
      <c r="D2120" s="378" t="s">
        <v>2984</v>
      </c>
      <c r="E2120" s="384" t="s">
        <v>2932</v>
      </c>
      <c r="F2120" s="384" t="s">
        <v>2933</v>
      </c>
      <c r="G2120" s="385" t="s">
        <v>281</v>
      </c>
      <c r="H2120" s="385" t="s">
        <v>2942</v>
      </c>
      <c r="I2120" s="378">
        <v>1</v>
      </c>
      <c r="J2120" s="385" t="s">
        <v>163</v>
      </c>
      <c r="K2120" s="378" t="s">
        <v>2943</v>
      </c>
      <c r="L2120" s="378" t="s">
        <v>2848</v>
      </c>
      <c r="M2120" s="380">
        <v>2400</v>
      </c>
      <c r="N2120" s="380"/>
      <c r="O2120" s="380"/>
      <c r="P2120" s="380"/>
      <c r="Q2120" s="381">
        <v>63.3</v>
      </c>
      <c r="R2120" s="381">
        <v>63.3</v>
      </c>
      <c r="S2120" s="381">
        <v>4.1799999999999997E-2</v>
      </c>
      <c r="T2120" s="381">
        <v>1.07E-4</v>
      </c>
      <c r="U2120" s="381">
        <v>0</v>
      </c>
      <c r="V2120" s="382">
        <v>63.341906999999999</v>
      </c>
      <c r="W2120" s="382">
        <v>0</v>
      </c>
      <c r="X2120" s="381">
        <v>6.3299999999999995E-2</v>
      </c>
      <c r="Y2120" s="381">
        <v>6.3299999999999995E-2</v>
      </c>
      <c r="Z2120" s="381">
        <v>4.18E-5</v>
      </c>
      <c r="AA2120" s="381">
        <v>1.0700000000000001E-7</v>
      </c>
      <c r="AB2120" s="381">
        <v>0</v>
      </c>
      <c r="AC2120" s="382">
        <v>6.3341906999999989E-2</v>
      </c>
      <c r="AD2120" s="382">
        <v>0</v>
      </c>
      <c r="AE2120" s="381" t="s">
        <v>168</v>
      </c>
    </row>
    <row r="2121" spans="1:31" ht="15" customHeight="1" x14ac:dyDescent="0.25">
      <c r="A2121" s="20" t="s">
        <v>2913</v>
      </c>
      <c r="B2121" s="20" t="s">
        <v>2913</v>
      </c>
      <c r="C2121" s="20" t="s">
        <v>2913</v>
      </c>
      <c r="D2121" s="378" t="s">
        <v>2985</v>
      </c>
      <c r="E2121" s="384" t="s">
        <v>2932</v>
      </c>
      <c r="F2121" s="384" t="s">
        <v>2933</v>
      </c>
      <c r="G2121" s="385" t="s">
        <v>281</v>
      </c>
      <c r="H2121" s="385" t="s">
        <v>2942</v>
      </c>
      <c r="I2121" s="378">
        <v>1</v>
      </c>
      <c r="J2121" s="385" t="s">
        <v>163</v>
      </c>
      <c r="K2121" s="378" t="s">
        <v>2943</v>
      </c>
      <c r="L2121" s="378" t="s">
        <v>2848</v>
      </c>
      <c r="M2121" s="380">
        <v>2400</v>
      </c>
      <c r="N2121" s="380"/>
      <c r="O2121" s="380"/>
      <c r="P2121" s="380"/>
      <c r="Q2121" s="381">
        <v>54.3</v>
      </c>
      <c r="R2121" s="381">
        <v>54.3</v>
      </c>
      <c r="S2121" s="381">
        <v>3.5499999999999997E-2</v>
      </c>
      <c r="T2121" s="381">
        <v>6.8499999999999998E-5</v>
      </c>
      <c r="U2121" s="381">
        <v>0</v>
      </c>
      <c r="V2121" s="382">
        <v>54.335568499999994</v>
      </c>
      <c r="W2121" s="382">
        <v>0</v>
      </c>
      <c r="X2121" s="381">
        <v>5.4299999999999994E-2</v>
      </c>
      <c r="Y2121" s="381">
        <v>5.4299999999999994E-2</v>
      </c>
      <c r="Z2121" s="381">
        <v>3.5499999999999996E-5</v>
      </c>
      <c r="AA2121" s="381">
        <v>6.8499999999999998E-8</v>
      </c>
      <c r="AB2121" s="381">
        <v>0</v>
      </c>
      <c r="AC2121" s="382">
        <v>5.4335568499999994E-2</v>
      </c>
      <c r="AD2121" s="382">
        <v>0</v>
      </c>
      <c r="AE2121" s="381" t="s">
        <v>168</v>
      </c>
    </row>
    <row r="2122" spans="1:31" ht="15" customHeight="1" x14ac:dyDescent="0.25">
      <c r="A2122" s="20" t="s">
        <v>2913</v>
      </c>
      <c r="B2122" s="20" t="s">
        <v>2913</v>
      </c>
      <c r="C2122" s="20" t="s">
        <v>2913</v>
      </c>
      <c r="D2122" s="378" t="s">
        <v>2986</v>
      </c>
      <c r="E2122" s="384" t="s">
        <v>2920</v>
      </c>
      <c r="F2122" s="384" t="s">
        <v>2921</v>
      </c>
      <c r="G2122" s="385" t="s">
        <v>281</v>
      </c>
      <c r="H2122" s="385" t="s">
        <v>2922</v>
      </c>
      <c r="I2122" s="378">
        <v>1</v>
      </c>
      <c r="J2122" s="385" t="s">
        <v>163</v>
      </c>
      <c r="K2122" s="378" t="s">
        <v>2923</v>
      </c>
      <c r="L2122" s="378" t="s">
        <v>2848</v>
      </c>
      <c r="M2122" s="380">
        <v>2400</v>
      </c>
      <c r="N2122" s="380"/>
      <c r="O2122" s="380"/>
      <c r="P2122" s="380"/>
      <c r="Q2122" s="381">
        <v>85</v>
      </c>
      <c r="R2122" s="381">
        <v>85</v>
      </c>
      <c r="S2122" s="381">
        <v>5.5399999999999998E-2</v>
      </c>
      <c r="T2122" s="381">
        <v>1E-4</v>
      </c>
      <c r="U2122" s="381">
        <v>0</v>
      </c>
      <c r="V2122" s="382">
        <v>85.055500000000009</v>
      </c>
      <c r="W2122" s="382">
        <v>0</v>
      </c>
      <c r="X2122" s="381">
        <v>8.5000000000000006E-2</v>
      </c>
      <c r="Y2122" s="381">
        <v>8.5000000000000006E-2</v>
      </c>
      <c r="Z2122" s="381">
        <v>5.5399999999999998E-5</v>
      </c>
      <c r="AA2122" s="381">
        <v>1.0000000000000001E-7</v>
      </c>
      <c r="AB2122" s="381">
        <v>0</v>
      </c>
      <c r="AC2122" s="382">
        <v>8.5055500000000006E-2</v>
      </c>
      <c r="AD2122" s="382">
        <v>0</v>
      </c>
      <c r="AE2122" s="381" t="s">
        <v>168</v>
      </c>
    </row>
    <row r="2123" spans="1:31" ht="15" customHeight="1" x14ac:dyDescent="0.25">
      <c r="A2123" s="20" t="s">
        <v>2913</v>
      </c>
      <c r="B2123" s="20" t="s">
        <v>2913</v>
      </c>
      <c r="C2123" s="20" t="s">
        <v>2913</v>
      </c>
      <c r="D2123" s="378" t="s">
        <v>2987</v>
      </c>
      <c r="E2123" s="384" t="s">
        <v>2920</v>
      </c>
      <c r="F2123" s="384" t="s">
        <v>2921</v>
      </c>
      <c r="G2123" s="385" t="s">
        <v>281</v>
      </c>
      <c r="H2123" s="385" t="s">
        <v>2922</v>
      </c>
      <c r="I2123" s="378">
        <v>1</v>
      </c>
      <c r="J2123" s="385" t="s">
        <v>163</v>
      </c>
      <c r="K2123" s="378" t="s">
        <v>2923</v>
      </c>
      <c r="L2123" s="378" t="s">
        <v>2848</v>
      </c>
      <c r="M2123" s="380">
        <v>2400</v>
      </c>
      <c r="N2123" s="380"/>
      <c r="O2123" s="380"/>
      <c r="P2123" s="380"/>
      <c r="Q2123" s="381">
        <v>86.2</v>
      </c>
      <c r="R2123" s="381">
        <v>86.2</v>
      </c>
      <c r="S2123" s="381">
        <v>5.5300000000000002E-2</v>
      </c>
      <c r="T2123" s="381">
        <v>1.02E-4</v>
      </c>
      <c r="U2123" s="381">
        <v>0</v>
      </c>
      <c r="V2123" s="382">
        <v>86.255402000000004</v>
      </c>
      <c r="W2123" s="382">
        <v>0</v>
      </c>
      <c r="X2123" s="381">
        <v>8.6199999999999999E-2</v>
      </c>
      <c r="Y2123" s="381">
        <v>8.6199999999999999E-2</v>
      </c>
      <c r="Z2123" s="381">
        <v>5.5300000000000002E-5</v>
      </c>
      <c r="AA2123" s="381">
        <v>1.02E-7</v>
      </c>
      <c r="AB2123" s="381">
        <v>0</v>
      </c>
      <c r="AC2123" s="382">
        <v>8.6255401999999995E-2</v>
      </c>
      <c r="AD2123" s="382">
        <v>0</v>
      </c>
      <c r="AE2123" s="381" t="s">
        <v>168</v>
      </c>
    </row>
    <row r="2124" spans="1:31" ht="15" customHeight="1" x14ac:dyDescent="0.25">
      <c r="A2124" s="20" t="s">
        <v>2913</v>
      </c>
      <c r="B2124" s="20" t="s">
        <v>2913</v>
      </c>
      <c r="C2124" s="20" t="s">
        <v>2913</v>
      </c>
      <c r="D2124" s="378" t="s">
        <v>2988</v>
      </c>
      <c r="E2124" s="384" t="s">
        <v>2932</v>
      </c>
      <c r="F2124" s="384" t="s">
        <v>2933</v>
      </c>
      <c r="G2124" s="385" t="s">
        <v>281</v>
      </c>
      <c r="H2124" s="385" t="s">
        <v>2942</v>
      </c>
      <c r="I2124" s="378">
        <v>1</v>
      </c>
      <c r="J2124" s="385" t="s">
        <v>163</v>
      </c>
      <c r="K2124" s="378" t="s">
        <v>2943</v>
      </c>
      <c r="L2124" s="378" t="s">
        <v>2848</v>
      </c>
      <c r="M2124" s="380">
        <v>2400</v>
      </c>
      <c r="N2124" s="380"/>
      <c r="O2124" s="380"/>
      <c r="P2124" s="380"/>
      <c r="Q2124" s="381">
        <v>55.7</v>
      </c>
      <c r="R2124" s="381">
        <v>55.7</v>
      </c>
      <c r="S2124" s="381">
        <v>3.5200000000000002E-2</v>
      </c>
      <c r="T2124" s="381">
        <v>7.3800000000000005E-5</v>
      </c>
      <c r="U2124" s="381">
        <v>0</v>
      </c>
      <c r="V2124" s="382">
        <v>55.735273800000009</v>
      </c>
      <c r="W2124" s="382">
        <v>0</v>
      </c>
      <c r="X2124" s="381">
        <v>5.57E-2</v>
      </c>
      <c r="Y2124" s="381">
        <v>5.57E-2</v>
      </c>
      <c r="Z2124" s="381">
        <v>3.5200000000000002E-5</v>
      </c>
      <c r="AA2124" s="381">
        <v>7.3799999999999999E-8</v>
      </c>
      <c r="AB2124" s="381">
        <v>0</v>
      </c>
      <c r="AC2124" s="382">
        <v>5.5735273799999999E-2</v>
      </c>
      <c r="AD2124" s="382">
        <v>0</v>
      </c>
      <c r="AE2124" s="381" t="s">
        <v>168</v>
      </c>
    </row>
    <row r="2125" spans="1:31" ht="15" customHeight="1" x14ac:dyDescent="0.25">
      <c r="A2125" s="20" t="s">
        <v>2913</v>
      </c>
      <c r="B2125" s="20" t="s">
        <v>2913</v>
      </c>
      <c r="C2125" s="20" t="s">
        <v>2913</v>
      </c>
      <c r="D2125" s="378" t="s">
        <v>2989</v>
      </c>
      <c r="E2125" s="384" t="s">
        <v>2920</v>
      </c>
      <c r="F2125" s="384" t="s">
        <v>2921</v>
      </c>
      <c r="G2125" s="385" t="s">
        <v>179</v>
      </c>
      <c r="H2125" s="385" t="s">
        <v>2922</v>
      </c>
      <c r="I2125" s="378">
        <v>1</v>
      </c>
      <c r="J2125" s="385" t="s">
        <v>163</v>
      </c>
      <c r="K2125" s="378" t="s">
        <v>2923</v>
      </c>
      <c r="L2125" s="378" t="s">
        <v>2848</v>
      </c>
      <c r="M2125" s="380">
        <v>2400</v>
      </c>
      <c r="N2125" s="380"/>
      <c r="O2125" s="380"/>
      <c r="P2125" s="380"/>
      <c r="Q2125" s="381">
        <v>71.400000000000006</v>
      </c>
      <c r="R2125" s="381">
        <v>71.099999999999994</v>
      </c>
      <c r="S2125" s="381">
        <v>0.34399999999999997</v>
      </c>
      <c r="T2125" s="381">
        <v>6.6500000000000001E-4</v>
      </c>
      <c r="U2125" s="381">
        <v>0</v>
      </c>
      <c r="V2125" s="382">
        <v>71.444664999999986</v>
      </c>
      <c r="W2125" s="382">
        <v>0</v>
      </c>
      <c r="X2125" s="381">
        <v>7.1400000000000005E-2</v>
      </c>
      <c r="Y2125" s="381">
        <v>7.1099999999999997E-2</v>
      </c>
      <c r="Z2125" s="381">
        <v>3.4399999999999996E-4</v>
      </c>
      <c r="AA2125" s="381">
        <v>6.6499999999999999E-7</v>
      </c>
      <c r="AB2125" s="381">
        <v>0</v>
      </c>
      <c r="AC2125" s="382">
        <v>7.1444664999999991E-2</v>
      </c>
      <c r="AD2125" s="382">
        <v>0</v>
      </c>
      <c r="AE2125" s="381" t="s">
        <v>168</v>
      </c>
    </row>
    <row r="2126" spans="1:31" ht="15" customHeight="1" x14ac:dyDescent="0.25">
      <c r="A2126" s="20" t="s">
        <v>2913</v>
      </c>
      <c r="B2126" s="20" t="s">
        <v>2913</v>
      </c>
      <c r="C2126" s="20" t="s">
        <v>2913</v>
      </c>
      <c r="D2126" s="378" t="s">
        <v>2990</v>
      </c>
      <c r="E2126" s="384" t="s">
        <v>2920</v>
      </c>
      <c r="F2126" s="384" t="s">
        <v>2921</v>
      </c>
      <c r="G2126" s="385" t="s">
        <v>179</v>
      </c>
      <c r="H2126" s="385" t="s">
        <v>2922</v>
      </c>
      <c r="I2126" s="378">
        <v>1</v>
      </c>
      <c r="J2126" s="385" t="s">
        <v>163</v>
      </c>
      <c r="K2126" s="378" t="s">
        <v>2923</v>
      </c>
      <c r="L2126" s="378" t="s">
        <v>2848</v>
      </c>
      <c r="M2126" s="380">
        <v>2400</v>
      </c>
      <c r="N2126" s="380"/>
      <c r="O2126" s="380"/>
      <c r="P2126" s="380"/>
      <c r="Q2126" s="381">
        <v>76.3</v>
      </c>
      <c r="R2126" s="381">
        <v>76</v>
      </c>
      <c r="S2126" s="381">
        <v>0.34599999999999997</v>
      </c>
      <c r="T2126" s="381">
        <v>6.8400000000000004E-4</v>
      </c>
      <c r="U2126" s="381">
        <v>0</v>
      </c>
      <c r="V2126" s="382">
        <v>76.34668400000001</v>
      </c>
      <c r="W2126" s="382">
        <v>0</v>
      </c>
      <c r="X2126" s="381">
        <v>7.6299999999999993E-2</v>
      </c>
      <c r="Y2126" s="381">
        <v>7.5999999999999998E-2</v>
      </c>
      <c r="Z2126" s="381">
        <v>3.4599999999999995E-4</v>
      </c>
      <c r="AA2126" s="381">
        <v>6.8400000000000004E-7</v>
      </c>
      <c r="AB2126" s="381">
        <v>0</v>
      </c>
      <c r="AC2126" s="382">
        <v>7.6346683999999998E-2</v>
      </c>
      <c r="AD2126" s="382">
        <v>0</v>
      </c>
      <c r="AE2126" s="381" t="s">
        <v>168</v>
      </c>
    </row>
    <row r="2127" spans="1:31" ht="15" customHeight="1" x14ac:dyDescent="0.25">
      <c r="A2127" s="20" t="s">
        <v>2913</v>
      </c>
      <c r="B2127" s="20" t="s">
        <v>2913</v>
      </c>
      <c r="C2127" s="20" t="s">
        <v>2913</v>
      </c>
      <c r="D2127" s="378" t="s">
        <v>2991</v>
      </c>
      <c r="E2127" s="384" t="s">
        <v>2920</v>
      </c>
      <c r="F2127" s="384" t="s">
        <v>2921</v>
      </c>
      <c r="G2127" s="385" t="s">
        <v>193</v>
      </c>
      <c r="H2127" s="385" t="s">
        <v>2922</v>
      </c>
      <c r="I2127" s="378">
        <v>1</v>
      </c>
      <c r="J2127" s="385" t="s">
        <v>163</v>
      </c>
      <c r="K2127" s="378" t="s">
        <v>2923</v>
      </c>
      <c r="L2127" s="378" t="s">
        <v>2848</v>
      </c>
      <c r="M2127" s="380">
        <v>2400</v>
      </c>
      <c r="N2127" s="380"/>
      <c r="O2127" s="380"/>
      <c r="P2127" s="380"/>
      <c r="Q2127" s="381">
        <v>75.900000000000006</v>
      </c>
      <c r="R2127" s="381">
        <v>75.900000000000006</v>
      </c>
      <c r="S2127" s="381">
        <v>4.4499999999999998E-2</v>
      </c>
      <c r="T2127" s="381">
        <v>9.1000000000000003E-5</v>
      </c>
      <c r="U2127" s="381">
        <v>0</v>
      </c>
      <c r="V2127" s="382">
        <v>75.944591000000003</v>
      </c>
      <c r="W2127" s="382">
        <v>0</v>
      </c>
      <c r="X2127" s="381">
        <v>7.5900000000000009E-2</v>
      </c>
      <c r="Y2127" s="381">
        <v>7.5900000000000009E-2</v>
      </c>
      <c r="Z2127" s="381">
        <v>4.4499999999999997E-5</v>
      </c>
      <c r="AA2127" s="381">
        <v>9.1000000000000008E-8</v>
      </c>
      <c r="AB2127" s="381">
        <v>0</v>
      </c>
      <c r="AC2127" s="382">
        <v>7.5944591000000006E-2</v>
      </c>
      <c r="AD2127" s="382">
        <v>0</v>
      </c>
      <c r="AE2127" s="381" t="s">
        <v>168</v>
      </c>
    </row>
    <row r="2128" spans="1:31" ht="15" customHeight="1" x14ac:dyDescent="0.25">
      <c r="A2128" s="20" t="s">
        <v>2913</v>
      </c>
      <c r="B2128" s="20" t="s">
        <v>2913</v>
      </c>
      <c r="C2128" s="20" t="s">
        <v>2913</v>
      </c>
      <c r="D2128" s="378" t="s">
        <v>2992</v>
      </c>
      <c r="E2128" s="384" t="s">
        <v>2932</v>
      </c>
      <c r="F2128" s="384" t="s">
        <v>2933</v>
      </c>
      <c r="G2128" s="385" t="s">
        <v>281</v>
      </c>
      <c r="H2128" s="385" t="s">
        <v>2942</v>
      </c>
      <c r="I2128" s="378">
        <v>1</v>
      </c>
      <c r="J2128" s="385" t="s">
        <v>163</v>
      </c>
      <c r="K2128" s="378" t="s">
        <v>2943</v>
      </c>
      <c r="L2128" s="378" t="s">
        <v>2848</v>
      </c>
      <c r="M2128" s="380">
        <v>2400</v>
      </c>
      <c r="N2128" s="380"/>
      <c r="O2128" s="380"/>
      <c r="P2128" s="380"/>
      <c r="Q2128" s="381">
        <v>61.1</v>
      </c>
      <c r="R2128" s="381">
        <v>61.1</v>
      </c>
      <c r="S2128" s="381">
        <v>3.5299999999999998E-2</v>
      </c>
      <c r="T2128" s="381">
        <v>9.09E-5</v>
      </c>
      <c r="U2128" s="381">
        <v>0</v>
      </c>
      <c r="V2128" s="382">
        <v>61.135390899999997</v>
      </c>
      <c r="W2128" s="382">
        <v>0</v>
      </c>
      <c r="X2128" s="381">
        <v>6.1100000000000002E-2</v>
      </c>
      <c r="Y2128" s="381">
        <v>6.1100000000000002E-2</v>
      </c>
      <c r="Z2128" s="381">
        <v>3.5299999999999997E-5</v>
      </c>
      <c r="AA2128" s="381">
        <v>9.09E-8</v>
      </c>
      <c r="AB2128" s="381">
        <v>0</v>
      </c>
      <c r="AC2128" s="382">
        <v>6.1135390900000003E-2</v>
      </c>
      <c r="AD2128" s="382">
        <v>0</v>
      </c>
      <c r="AE2128" s="381" t="s">
        <v>168</v>
      </c>
    </row>
    <row r="2129" spans="1:31" ht="15" customHeight="1" x14ac:dyDescent="0.25">
      <c r="A2129" s="20" t="s">
        <v>2913</v>
      </c>
      <c r="B2129" s="20" t="s">
        <v>2913</v>
      </c>
      <c r="C2129" s="20" t="s">
        <v>2913</v>
      </c>
      <c r="D2129" s="378" t="s">
        <v>2993</v>
      </c>
      <c r="E2129" s="384" t="s">
        <v>2920</v>
      </c>
      <c r="F2129" s="384" t="s">
        <v>2921</v>
      </c>
      <c r="G2129" s="385" t="s">
        <v>193</v>
      </c>
      <c r="H2129" s="385" t="s">
        <v>2922</v>
      </c>
      <c r="I2129" s="378">
        <v>1</v>
      </c>
      <c r="J2129" s="385" t="s">
        <v>163</v>
      </c>
      <c r="K2129" s="378" t="s">
        <v>2923</v>
      </c>
      <c r="L2129" s="378" t="s">
        <v>2848</v>
      </c>
      <c r="M2129" s="380">
        <v>2400</v>
      </c>
      <c r="N2129" s="380"/>
      <c r="O2129" s="380"/>
      <c r="P2129" s="380"/>
      <c r="Q2129" s="381">
        <v>72.7</v>
      </c>
      <c r="R2129" s="381">
        <v>72.7</v>
      </c>
      <c r="S2129" s="381">
        <v>4.2000000000000003E-2</v>
      </c>
      <c r="T2129" s="381">
        <v>8.5199999999999997E-5</v>
      </c>
      <c r="U2129" s="381">
        <v>0</v>
      </c>
      <c r="V2129" s="382">
        <v>72.742085200000005</v>
      </c>
      <c r="W2129" s="382">
        <v>0</v>
      </c>
      <c r="X2129" s="381">
        <v>7.2700000000000001E-2</v>
      </c>
      <c r="Y2129" s="381">
        <v>7.2700000000000001E-2</v>
      </c>
      <c r="Z2129" s="381">
        <v>4.2000000000000004E-5</v>
      </c>
      <c r="AA2129" s="381">
        <v>8.5199999999999995E-8</v>
      </c>
      <c r="AB2129" s="381">
        <v>0</v>
      </c>
      <c r="AC2129" s="382">
        <v>7.2742085200000001E-2</v>
      </c>
      <c r="AD2129" s="382">
        <v>0</v>
      </c>
      <c r="AE2129" s="381" t="s">
        <v>168</v>
      </c>
    </row>
    <row r="2130" spans="1:31" ht="15" customHeight="1" x14ac:dyDescent="0.25">
      <c r="A2130" s="20" t="s">
        <v>2913</v>
      </c>
      <c r="B2130" s="20" t="s">
        <v>2913</v>
      </c>
      <c r="C2130" s="20" t="s">
        <v>2913</v>
      </c>
      <c r="D2130" s="378" t="s">
        <v>2994</v>
      </c>
      <c r="E2130" s="384" t="s">
        <v>2932</v>
      </c>
      <c r="F2130" s="384" t="s">
        <v>2933</v>
      </c>
      <c r="G2130" s="385" t="s">
        <v>281</v>
      </c>
      <c r="H2130" s="385" t="s">
        <v>2942</v>
      </c>
      <c r="I2130" s="378">
        <v>1</v>
      </c>
      <c r="J2130" s="385" t="s">
        <v>163</v>
      </c>
      <c r="K2130" s="378" t="s">
        <v>2943</v>
      </c>
      <c r="L2130" s="378" t="s">
        <v>2848</v>
      </c>
      <c r="M2130" s="380">
        <v>2400</v>
      </c>
      <c r="N2130" s="380"/>
      <c r="O2130" s="380"/>
      <c r="P2130" s="380"/>
      <c r="Q2130" s="381">
        <v>80</v>
      </c>
      <c r="R2130" s="381">
        <v>80</v>
      </c>
      <c r="S2130" s="381">
        <v>4.48E-2</v>
      </c>
      <c r="T2130" s="381">
        <v>1.17E-4</v>
      </c>
      <c r="U2130" s="381">
        <v>0</v>
      </c>
      <c r="V2130" s="382">
        <v>80.044916999999998</v>
      </c>
      <c r="W2130" s="382">
        <v>0</v>
      </c>
      <c r="X2130" s="381">
        <v>0.08</v>
      </c>
      <c r="Y2130" s="381">
        <v>0.08</v>
      </c>
      <c r="Z2130" s="381">
        <v>4.4799999999999998E-5</v>
      </c>
      <c r="AA2130" s="381">
        <v>1.17E-7</v>
      </c>
      <c r="AB2130" s="381">
        <v>0</v>
      </c>
      <c r="AC2130" s="382">
        <v>8.0044916999999993E-2</v>
      </c>
      <c r="AD2130" s="382">
        <v>0</v>
      </c>
      <c r="AE2130" s="381" t="s">
        <v>168</v>
      </c>
    </row>
    <row r="2131" spans="1:31" ht="15" customHeight="1" x14ac:dyDescent="0.25">
      <c r="A2131" s="20" t="s">
        <v>2913</v>
      </c>
      <c r="B2131" s="20" t="s">
        <v>2913</v>
      </c>
      <c r="C2131" s="20" t="s">
        <v>2913</v>
      </c>
      <c r="D2131" s="378" t="s">
        <v>2995</v>
      </c>
      <c r="E2131" s="384" t="s">
        <v>2932</v>
      </c>
      <c r="F2131" s="384" t="s">
        <v>2933</v>
      </c>
      <c r="G2131" s="385" t="s">
        <v>281</v>
      </c>
      <c r="H2131" s="385" t="s">
        <v>2942</v>
      </c>
      <c r="I2131" s="378">
        <v>1</v>
      </c>
      <c r="J2131" s="385" t="s">
        <v>163</v>
      </c>
      <c r="K2131" s="378" t="s">
        <v>2943</v>
      </c>
      <c r="L2131" s="378" t="s">
        <v>2848</v>
      </c>
      <c r="M2131" s="380">
        <v>2400</v>
      </c>
      <c r="N2131" s="380"/>
      <c r="O2131" s="380"/>
      <c r="P2131" s="380"/>
      <c r="Q2131" s="381">
        <v>71.900000000000006</v>
      </c>
      <c r="R2131" s="381">
        <v>71.900000000000006</v>
      </c>
      <c r="S2131" s="381">
        <v>3.78E-2</v>
      </c>
      <c r="T2131" s="381">
        <v>1.25E-4</v>
      </c>
      <c r="U2131" s="381">
        <v>0</v>
      </c>
      <c r="V2131" s="382">
        <v>71.937925000000007</v>
      </c>
      <c r="W2131" s="382">
        <v>0</v>
      </c>
      <c r="X2131" s="381">
        <v>7.1900000000000006E-2</v>
      </c>
      <c r="Y2131" s="381">
        <v>7.1900000000000006E-2</v>
      </c>
      <c r="Z2131" s="381">
        <v>3.7799999999999997E-5</v>
      </c>
      <c r="AA2131" s="381">
        <v>1.2499999999999999E-7</v>
      </c>
      <c r="AB2131" s="381">
        <v>0</v>
      </c>
      <c r="AC2131" s="382">
        <v>7.1937925000000014E-2</v>
      </c>
      <c r="AD2131" s="382">
        <v>0</v>
      </c>
      <c r="AE2131" s="381" t="s">
        <v>168</v>
      </c>
    </row>
    <row r="2132" spans="1:31" ht="15" customHeight="1" x14ac:dyDescent="0.25">
      <c r="A2132" s="20" t="s">
        <v>2913</v>
      </c>
      <c r="B2132" s="20" t="s">
        <v>2913</v>
      </c>
      <c r="C2132" s="20" t="s">
        <v>2913</v>
      </c>
      <c r="D2132" s="378" t="s">
        <v>2996</v>
      </c>
      <c r="E2132" s="384" t="s">
        <v>2932</v>
      </c>
      <c r="F2132" s="384" t="s">
        <v>2933</v>
      </c>
      <c r="G2132" s="385" t="s">
        <v>281</v>
      </c>
      <c r="H2132" s="385" t="s">
        <v>2942</v>
      </c>
      <c r="I2132" s="378">
        <v>1</v>
      </c>
      <c r="J2132" s="385" t="s">
        <v>163</v>
      </c>
      <c r="K2132" s="378" t="s">
        <v>2943</v>
      </c>
      <c r="L2132" s="378" t="s">
        <v>2848</v>
      </c>
      <c r="M2132" s="380">
        <v>2400</v>
      </c>
      <c r="N2132" s="380"/>
      <c r="O2132" s="380"/>
      <c r="P2132" s="380"/>
      <c r="Q2132" s="381">
        <v>71.7</v>
      </c>
      <c r="R2132" s="381">
        <v>71.7</v>
      </c>
      <c r="S2132" s="381">
        <v>3.6999999999999998E-2</v>
      </c>
      <c r="T2132" s="381">
        <v>1.21E-4</v>
      </c>
      <c r="U2132" s="381">
        <v>0</v>
      </c>
      <c r="V2132" s="382">
        <v>71.737121000000002</v>
      </c>
      <c r="W2132" s="382">
        <v>0</v>
      </c>
      <c r="X2132" s="381">
        <v>7.17E-2</v>
      </c>
      <c r="Y2132" s="381">
        <v>7.17E-2</v>
      </c>
      <c r="Z2132" s="381">
        <v>3.6999999999999998E-5</v>
      </c>
      <c r="AA2132" s="381">
        <v>1.2100000000000001E-7</v>
      </c>
      <c r="AB2132" s="381">
        <v>0</v>
      </c>
      <c r="AC2132" s="382">
        <v>7.1737121000000001E-2</v>
      </c>
      <c r="AD2132" s="382">
        <v>0</v>
      </c>
      <c r="AE2132" s="381" t="s">
        <v>168</v>
      </c>
    </row>
    <row r="2133" spans="1:31" ht="15" customHeight="1" x14ac:dyDescent="0.25">
      <c r="A2133" s="20" t="s">
        <v>2913</v>
      </c>
      <c r="B2133" s="20" t="s">
        <v>2913</v>
      </c>
      <c r="C2133" s="20" t="s">
        <v>2913</v>
      </c>
      <c r="D2133" s="378" t="s">
        <v>2997</v>
      </c>
      <c r="E2133" s="384" t="s">
        <v>2932</v>
      </c>
      <c r="F2133" s="384" t="s">
        <v>2933</v>
      </c>
      <c r="G2133" s="385" t="s">
        <v>281</v>
      </c>
      <c r="H2133" s="385" t="s">
        <v>2942</v>
      </c>
      <c r="I2133" s="378">
        <v>1</v>
      </c>
      <c r="J2133" s="385" t="s">
        <v>163</v>
      </c>
      <c r="K2133" s="378" t="s">
        <v>2943</v>
      </c>
      <c r="L2133" s="378" t="s">
        <v>2848</v>
      </c>
      <c r="M2133" s="380">
        <v>2400</v>
      </c>
      <c r="N2133" s="380"/>
      <c r="O2133" s="380"/>
      <c r="P2133" s="380"/>
      <c r="Q2133" s="381">
        <v>69</v>
      </c>
      <c r="R2133" s="381">
        <v>69</v>
      </c>
      <c r="S2133" s="381">
        <v>3.4099999999999998E-2</v>
      </c>
      <c r="T2133" s="381">
        <v>1.1400000000000001E-4</v>
      </c>
      <c r="U2133" s="381">
        <v>0</v>
      </c>
      <c r="V2133" s="382">
        <v>69.034213999999992</v>
      </c>
      <c r="W2133" s="382">
        <v>0</v>
      </c>
      <c r="X2133" s="381">
        <v>6.9000000000000006E-2</v>
      </c>
      <c r="Y2133" s="381">
        <v>6.9000000000000006E-2</v>
      </c>
      <c r="Z2133" s="381">
        <v>3.4099999999999995E-5</v>
      </c>
      <c r="AA2133" s="381">
        <v>1.14E-7</v>
      </c>
      <c r="AB2133" s="381">
        <v>0</v>
      </c>
      <c r="AC2133" s="382">
        <v>6.9034213999999997E-2</v>
      </c>
      <c r="AD2133" s="382">
        <v>0</v>
      </c>
      <c r="AE2133" s="381" t="s">
        <v>168</v>
      </c>
    </row>
    <row r="2134" spans="1:31" ht="15" customHeight="1" x14ac:dyDescent="0.25">
      <c r="A2134" s="20" t="s">
        <v>2913</v>
      </c>
      <c r="B2134" s="20" t="s">
        <v>2913</v>
      </c>
      <c r="C2134" s="20" t="s">
        <v>2913</v>
      </c>
      <c r="D2134" s="378" t="s">
        <v>2998</v>
      </c>
      <c r="E2134" s="384" t="s">
        <v>2932</v>
      </c>
      <c r="F2134" s="384" t="s">
        <v>2933</v>
      </c>
      <c r="G2134" s="385" t="s">
        <v>179</v>
      </c>
      <c r="H2134" s="385" t="s">
        <v>2934</v>
      </c>
      <c r="I2134" s="378">
        <v>1</v>
      </c>
      <c r="J2134" s="385" t="s">
        <v>163</v>
      </c>
      <c r="K2134" s="378" t="s">
        <v>2935</v>
      </c>
      <c r="L2134" s="378" t="s">
        <v>2848</v>
      </c>
      <c r="M2134" s="380">
        <v>2400</v>
      </c>
      <c r="N2134" s="380"/>
      <c r="O2134" s="380"/>
      <c r="P2134" s="380"/>
      <c r="Q2134" s="381">
        <v>70.5</v>
      </c>
      <c r="R2134" s="381">
        <v>70.5</v>
      </c>
      <c r="S2134" s="381">
        <v>3.4700000000000002E-2</v>
      </c>
      <c r="T2134" s="381">
        <v>2.2599999999999999E-4</v>
      </c>
      <c r="U2134" s="381">
        <v>0</v>
      </c>
      <c r="V2134" s="382">
        <v>70.534925999999999</v>
      </c>
      <c r="W2134" s="382">
        <v>0</v>
      </c>
      <c r="X2134" s="381">
        <v>7.0499999999999993E-2</v>
      </c>
      <c r="Y2134" s="381">
        <v>7.0499999999999993E-2</v>
      </c>
      <c r="Z2134" s="381">
        <v>3.4700000000000003E-5</v>
      </c>
      <c r="AA2134" s="381">
        <v>2.2599999999999999E-7</v>
      </c>
      <c r="AB2134" s="381">
        <v>0</v>
      </c>
      <c r="AC2134" s="382">
        <v>7.0534925999999998E-2</v>
      </c>
      <c r="AD2134" s="382">
        <v>0</v>
      </c>
      <c r="AE2134" s="381" t="s">
        <v>168</v>
      </c>
    </row>
    <row r="2135" spans="1:31" ht="15" customHeight="1" x14ac:dyDescent="0.25">
      <c r="A2135" s="20" t="s">
        <v>2913</v>
      </c>
      <c r="B2135" s="20" t="s">
        <v>2913</v>
      </c>
      <c r="C2135" s="20" t="s">
        <v>2913</v>
      </c>
      <c r="D2135" s="378" t="s">
        <v>2999</v>
      </c>
      <c r="E2135" s="384" t="s">
        <v>2932</v>
      </c>
      <c r="F2135" s="384" t="s">
        <v>2933</v>
      </c>
      <c r="G2135" s="385" t="s">
        <v>281</v>
      </c>
      <c r="H2135" s="385" t="s">
        <v>2942</v>
      </c>
      <c r="I2135" s="378">
        <v>1</v>
      </c>
      <c r="J2135" s="385" t="s">
        <v>163</v>
      </c>
      <c r="K2135" s="378" t="s">
        <v>2943</v>
      </c>
      <c r="L2135" s="378" t="s">
        <v>2848</v>
      </c>
      <c r="M2135" s="380">
        <v>2400</v>
      </c>
      <c r="N2135" s="380"/>
      <c r="O2135" s="380"/>
      <c r="P2135" s="380"/>
      <c r="Q2135" s="381">
        <v>78.599999999999994</v>
      </c>
      <c r="R2135" s="381">
        <v>78.599999999999994</v>
      </c>
      <c r="S2135" s="381">
        <v>3.8399999999999997E-2</v>
      </c>
      <c r="T2135" s="381">
        <v>1.1400000000000001E-4</v>
      </c>
      <c r="U2135" s="381">
        <v>0</v>
      </c>
      <c r="V2135" s="382">
        <v>78.638513999999986</v>
      </c>
      <c r="W2135" s="382">
        <v>0</v>
      </c>
      <c r="X2135" s="381">
        <v>7.8599999999999989E-2</v>
      </c>
      <c r="Y2135" s="381">
        <v>7.8599999999999989E-2</v>
      </c>
      <c r="Z2135" s="381">
        <v>3.8399999999999998E-5</v>
      </c>
      <c r="AA2135" s="381">
        <v>1.14E-7</v>
      </c>
      <c r="AB2135" s="381">
        <v>0</v>
      </c>
      <c r="AC2135" s="382">
        <v>7.8638513999999979E-2</v>
      </c>
      <c r="AD2135" s="382">
        <v>0</v>
      </c>
      <c r="AE2135" s="381" t="s">
        <v>168</v>
      </c>
    </row>
    <row r="2136" spans="1:31" ht="15" customHeight="1" x14ac:dyDescent="0.25">
      <c r="A2136" s="20" t="s">
        <v>2913</v>
      </c>
      <c r="B2136" s="20" t="s">
        <v>2913</v>
      </c>
      <c r="C2136" s="20" t="s">
        <v>2913</v>
      </c>
      <c r="D2136" s="378" t="s">
        <v>3000</v>
      </c>
      <c r="E2136" s="384" t="s">
        <v>2932</v>
      </c>
      <c r="F2136" s="384" t="s">
        <v>2933</v>
      </c>
      <c r="G2136" s="385" t="s">
        <v>179</v>
      </c>
      <c r="H2136" s="385" t="s">
        <v>2934</v>
      </c>
      <c r="I2136" s="378">
        <v>1</v>
      </c>
      <c r="J2136" s="385" t="s">
        <v>163</v>
      </c>
      <c r="K2136" s="378" t="s">
        <v>2935</v>
      </c>
      <c r="L2136" s="378" t="s">
        <v>2848</v>
      </c>
      <c r="M2136" s="380">
        <v>2400</v>
      </c>
      <c r="N2136" s="380"/>
      <c r="O2136" s="380"/>
      <c r="P2136" s="380"/>
      <c r="Q2136" s="381">
        <v>61.7</v>
      </c>
      <c r="R2136" s="381">
        <v>61.7</v>
      </c>
      <c r="S2136" s="381">
        <v>2.9600000000000001E-2</v>
      </c>
      <c r="T2136" s="381">
        <v>1.5100000000000001E-4</v>
      </c>
      <c r="U2136" s="381">
        <v>0</v>
      </c>
      <c r="V2136" s="382">
        <v>61.729751000000007</v>
      </c>
      <c r="W2136" s="382">
        <v>0</v>
      </c>
      <c r="X2136" s="381">
        <v>6.1700000000000005E-2</v>
      </c>
      <c r="Y2136" s="381">
        <v>6.1700000000000005E-2</v>
      </c>
      <c r="Z2136" s="381">
        <v>2.9600000000000001E-5</v>
      </c>
      <c r="AA2136" s="381">
        <v>1.5100000000000002E-7</v>
      </c>
      <c r="AB2136" s="381">
        <v>0</v>
      </c>
      <c r="AC2136" s="382">
        <v>6.1729750999999999E-2</v>
      </c>
      <c r="AD2136" s="382">
        <v>0</v>
      </c>
      <c r="AE2136" s="381" t="s">
        <v>168</v>
      </c>
    </row>
    <row r="2137" spans="1:31" ht="15" customHeight="1" x14ac:dyDescent="0.25">
      <c r="A2137" s="20" t="s">
        <v>2913</v>
      </c>
      <c r="B2137" s="20" t="s">
        <v>2913</v>
      </c>
      <c r="C2137" s="20" t="s">
        <v>2913</v>
      </c>
      <c r="D2137" s="378" t="s">
        <v>3001</v>
      </c>
      <c r="E2137" s="384" t="s">
        <v>2932</v>
      </c>
      <c r="F2137" s="384" t="s">
        <v>2933</v>
      </c>
      <c r="G2137" s="385" t="s">
        <v>179</v>
      </c>
      <c r="H2137" s="385" t="s">
        <v>2934</v>
      </c>
      <c r="I2137" s="378">
        <v>1</v>
      </c>
      <c r="J2137" s="385" t="s">
        <v>163</v>
      </c>
      <c r="K2137" s="378" t="s">
        <v>2935</v>
      </c>
      <c r="L2137" s="378" t="s">
        <v>2848</v>
      </c>
      <c r="M2137" s="380">
        <v>2400</v>
      </c>
      <c r="N2137" s="380"/>
      <c r="O2137" s="380"/>
      <c r="P2137" s="380"/>
      <c r="Q2137" s="381">
        <v>59.6</v>
      </c>
      <c r="R2137" s="381">
        <v>59.4</v>
      </c>
      <c r="S2137" s="381">
        <v>0.22800000000000001</v>
      </c>
      <c r="T2137" s="381">
        <v>1.6899999999999999E-4</v>
      </c>
      <c r="U2137" s="381">
        <v>0</v>
      </c>
      <c r="V2137" s="382">
        <v>59.628169</v>
      </c>
      <c r="W2137" s="382">
        <v>0</v>
      </c>
      <c r="X2137" s="381">
        <v>5.96E-2</v>
      </c>
      <c r="Y2137" s="381">
        <v>5.9400000000000001E-2</v>
      </c>
      <c r="Z2137" s="381">
        <v>2.2800000000000001E-4</v>
      </c>
      <c r="AA2137" s="381">
        <v>1.6899999999999999E-7</v>
      </c>
      <c r="AB2137" s="381">
        <v>0</v>
      </c>
      <c r="AC2137" s="382">
        <v>5.9628169000000002E-2</v>
      </c>
      <c r="AD2137" s="382">
        <v>0</v>
      </c>
      <c r="AE2137" s="381" t="s">
        <v>168</v>
      </c>
    </row>
    <row r="2138" spans="1:31" ht="15" customHeight="1" x14ac:dyDescent="0.25">
      <c r="A2138" s="20" t="s">
        <v>2913</v>
      </c>
      <c r="B2138" s="20" t="s">
        <v>2913</v>
      </c>
      <c r="C2138" s="20" t="s">
        <v>2913</v>
      </c>
      <c r="D2138" s="378" t="s">
        <v>3002</v>
      </c>
      <c r="E2138" s="384" t="s">
        <v>2932</v>
      </c>
      <c r="F2138" s="384" t="s">
        <v>2933</v>
      </c>
      <c r="G2138" s="385" t="s">
        <v>281</v>
      </c>
      <c r="H2138" s="385" t="s">
        <v>2942</v>
      </c>
      <c r="I2138" s="378">
        <v>1</v>
      </c>
      <c r="J2138" s="385" t="s">
        <v>163</v>
      </c>
      <c r="K2138" s="378" t="s">
        <v>2943</v>
      </c>
      <c r="L2138" s="378" t="s">
        <v>2848</v>
      </c>
      <c r="M2138" s="380">
        <v>2400</v>
      </c>
      <c r="N2138" s="380"/>
      <c r="O2138" s="380"/>
      <c r="P2138" s="380"/>
      <c r="Q2138" s="381">
        <v>65.599999999999994</v>
      </c>
      <c r="R2138" s="381">
        <v>65.599999999999994</v>
      </c>
      <c r="S2138" s="381">
        <v>3.0800000000000001E-2</v>
      </c>
      <c r="T2138" s="381">
        <v>9.7600000000000001E-5</v>
      </c>
      <c r="U2138" s="381">
        <v>0</v>
      </c>
      <c r="V2138" s="382">
        <v>65.630897599999997</v>
      </c>
      <c r="W2138" s="382">
        <v>0</v>
      </c>
      <c r="X2138" s="381">
        <v>6.5599999999999992E-2</v>
      </c>
      <c r="Y2138" s="381">
        <v>6.5599999999999992E-2</v>
      </c>
      <c r="Z2138" s="381">
        <v>3.0800000000000003E-5</v>
      </c>
      <c r="AA2138" s="381">
        <v>9.76E-8</v>
      </c>
      <c r="AB2138" s="381">
        <v>0</v>
      </c>
      <c r="AC2138" s="382">
        <v>6.5630897599999988E-2</v>
      </c>
      <c r="AD2138" s="382">
        <v>0</v>
      </c>
      <c r="AE2138" s="381" t="s">
        <v>168</v>
      </c>
    </row>
    <row r="2139" spans="1:31" ht="15" customHeight="1" x14ac:dyDescent="0.25">
      <c r="A2139" s="20" t="s">
        <v>2913</v>
      </c>
      <c r="B2139" s="20" t="s">
        <v>2913</v>
      </c>
      <c r="C2139" s="20" t="s">
        <v>2913</v>
      </c>
      <c r="D2139" s="378" t="s">
        <v>3003</v>
      </c>
      <c r="E2139" s="384" t="s">
        <v>2932</v>
      </c>
      <c r="F2139" s="384" t="s">
        <v>2933</v>
      </c>
      <c r="G2139" s="385" t="s">
        <v>179</v>
      </c>
      <c r="H2139" s="385" t="s">
        <v>2934</v>
      </c>
      <c r="I2139" s="378">
        <v>1</v>
      </c>
      <c r="J2139" s="385" t="s">
        <v>163</v>
      </c>
      <c r="K2139" s="378" t="s">
        <v>2935</v>
      </c>
      <c r="L2139" s="378" t="s">
        <v>2848</v>
      </c>
      <c r="M2139" s="380">
        <v>2400</v>
      </c>
      <c r="N2139" s="380"/>
      <c r="O2139" s="380"/>
      <c r="P2139" s="380"/>
      <c r="Q2139" s="381">
        <v>58.3</v>
      </c>
      <c r="R2139" s="381">
        <v>58.3</v>
      </c>
      <c r="S2139" s="381">
        <v>2.7300000000000001E-2</v>
      </c>
      <c r="T2139" s="381">
        <v>1.35E-4</v>
      </c>
      <c r="U2139" s="381">
        <v>0</v>
      </c>
      <c r="V2139" s="382">
        <v>58.327434999999994</v>
      </c>
      <c r="W2139" s="382">
        <v>0</v>
      </c>
      <c r="X2139" s="381">
        <v>5.8299999999999998E-2</v>
      </c>
      <c r="Y2139" s="381">
        <v>5.8299999999999998E-2</v>
      </c>
      <c r="Z2139" s="381">
        <v>2.7300000000000003E-5</v>
      </c>
      <c r="AA2139" s="381">
        <v>1.35E-7</v>
      </c>
      <c r="AB2139" s="381">
        <v>0</v>
      </c>
      <c r="AC2139" s="382">
        <v>5.8327434999999997E-2</v>
      </c>
      <c r="AD2139" s="382">
        <v>0</v>
      </c>
      <c r="AE2139" s="381" t="s">
        <v>168</v>
      </c>
    </row>
    <row r="2140" spans="1:31" ht="15" customHeight="1" x14ac:dyDescent="0.25">
      <c r="A2140" s="20" t="s">
        <v>2913</v>
      </c>
      <c r="B2140" s="20" t="s">
        <v>2913</v>
      </c>
      <c r="C2140" s="20" t="s">
        <v>2913</v>
      </c>
      <c r="D2140" s="378" t="s">
        <v>3004</v>
      </c>
      <c r="E2140" s="384" t="s">
        <v>2932</v>
      </c>
      <c r="F2140" s="384" t="s">
        <v>2933</v>
      </c>
      <c r="G2140" s="385" t="s">
        <v>179</v>
      </c>
      <c r="H2140" s="385" t="s">
        <v>2934</v>
      </c>
      <c r="I2140" s="378">
        <v>1</v>
      </c>
      <c r="J2140" s="385" t="s">
        <v>163</v>
      </c>
      <c r="K2140" s="378" t="s">
        <v>2935</v>
      </c>
      <c r="L2140" s="378" t="s">
        <v>2848</v>
      </c>
      <c r="M2140" s="380">
        <v>2400</v>
      </c>
      <c r="N2140" s="380"/>
      <c r="O2140" s="380"/>
      <c r="P2140" s="380"/>
      <c r="Q2140" s="381">
        <v>59</v>
      </c>
      <c r="R2140" s="381">
        <v>59</v>
      </c>
      <c r="S2140" s="381">
        <v>2.76E-2</v>
      </c>
      <c r="T2140" s="381">
        <v>1.3999999999999999E-4</v>
      </c>
      <c r="U2140" s="381">
        <v>0</v>
      </c>
      <c r="V2140" s="382">
        <v>59.027740000000001</v>
      </c>
      <c r="W2140" s="382">
        <v>0</v>
      </c>
      <c r="X2140" s="381">
        <v>5.8999999999999997E-2</v>
      </c>
      <c r="Y2140" s="381">
        <v>5.8999999999999997E-2</v>
      </c>
      <c r="Z2140" s="381">
        <v>2.76E-5</v>
      </c>
      <c r="AA2140" s="381">
        <v>1.3999999999999998E-7</v>
      </c>
      <c r="AB2140" s="381">
        <v>0</v>
      </c>
      <c r="AC2140" s="382">
        <v>5.9027740000000002E-2</v>
      </c>
      <c r="AD2140" s="382">
        <v>0</v>
      </c>
      <c r="AE2140" s="381" t="s">
        <v>168</v>
      </c>
    </row>
    <row r="2141" spans="1:31" ht="15" customHeight="1" x14ac:dyDescent="0.25">
      <c r="A2141" s="20" t="s">
        <v>2913</v>
      </c>
      <c r="B2141" s="20" t="s">
        <v>2913</v>
      </c>
      <c r="C2141" s="20" t="s">
        <v>2913</v>
      </c>
      <c r="D2141" s="378" t="s">
        <v>3005</v>
      </c>
      <c r="E2141" s="384" t="s">
        <v>2932</v>
      </c>
      <c r="F2141" s="384" t="s">
        <v>2933</v>
      </c>
      <c r="G2141" s="385" t="s">
        <v>179</v>
      </c>
      <c r="H2141" s="385" t="s">
        <v>2934</v>
      </c>
      <c r="I2141" s="378">
        <v>1</v>
      </c>
      <c r="J2141" s="385" t="s">
        <v>163</v>
      </c>
      <c r="K2141" s="378" t="s">
        <v>2935</v>
      </c>
      <c r="L2141" s="378" t="s">
        <v>2848</v>
      </c>
      <c r="M2141" s="380">
        <v>2400</v>
      </c>
      <c r="N2141" s="380"/>
      <c r="O2141" s="380"/>
      <c r="P2141" s="380"/>
      <c r="Q2141" s="381">
        <v>58.2</v>
      </c>
      <c r="R2141" s="381">
        <v>58.2</v>
      </c>
      <c r="S2141" s="381">
        <v>2.6499999999999999E-2</v>
      </c>
      <c r="T2141" s="381">
        <v>1.22E-4</v>
      </c>
      <c r="U2141" s="381">
        <v>0</v>
      </c>
      <c r="V2141" s="382">
        <v>58.226621999999999</v>
      </c>
      <c r="W2141" s="382">
        <v>0</v>
      </c>
      <c r="X2141" s="381">
        <v>5.8200000000000002E-2</v>
      </c>
      <c r="Y2141" s="381">
        <v>5.8200000000000002E-2</v>
      </c>
      <c r="Z2141" s="381">
        <v>2.65E-5</v>
      </c>
      <c r="AA2141" s="381">
        <v>1.2200000000000001E-7</v>
      </c>
      <c r="AB2141" s="381">
        <v>0</v>
      </c>
      <c r="AC2141" s="382">
        <v>5.8226621999999999E-2</v>
      </c>
      <c r="AD2141" s="382">
        <v>0</v>
      </c>
      <c r="AE2141" s="381" t="s">
        <v>168</v>
      </c>
    </row>
    <row r="2142" spans="1:31" ht="15" customHeight="1" x14ac:dyDescent="0.25">
      <c r="A2142" s="20" t="s">
        <v>2913</v>
      </c>
      <c r="B2142" s="20" t="s">
        <v>2913</v>
      </c>
      <c r="C2142" s="20" t="s">
        <v>2913</v>
      </c>
      <c r="D2142" s="378" t="s">
        <v>3006</v>
      </c>
      <c r="E2142" s="384" t="s">
        <v>2932</v>
      </c>
      <c r="F2142" s="384" t="s">
        <v>2933</v>
      </c>
      <c r="G2142" s="385" t="s">
        <v>179</v>
      </c>
      <c r="H2142" s="385" t="s">
        <v>2934</v>
      </c>
      <c r="I2142" s="378">
        <v>1</v>
      </c>
      <c r="J2142" s="385" t="s">
        <v>163</v>
      </c>
      <c r="K2142" s="378" t="s">
        <v>2935</v>
      </c>
      <c r="L2142" s="378" t="s">
        <v>2848</v>
      </c>
      <c r="M2142" s="380">
        <v>2400</v>
      </c>
      <c r="N2142" s="380"/>
      <c r="O2142" s="380"/>
      <c r="P2142" s="380"/>
      <c r="Q2142" s="381">
        <v>60.1</v>
      </c>
      <c r="R2142" s="381">
        <v>60.1</v>
      </c>
      <c r="S2142" s="381">
        <v>2.7300000000000001E-2</v>
      </c>
      <c r="T2142" s="381">
        <v>1.47E-4</v>
      </c>
      <c r="U2142" s="381">
        <v>0</v>
      </c>
      <c r="V2142" s="382">
        <v>60.127446999999997</v>
      </c>
      <c r="W2142" s="382">
        <v>0</v>
      </c>
      <c r="X2142" s="381">
        <v>6.0100000000000001E-2</v>
      </c>
      <c r="Y2142" s="381">
        <v>6.0100000000000001E-2</v>
      </c>
      <c r="Z2142" s="381">
        <v>2.7300000000000003E-5</v>
      </c>
      <c r="AA2142" s="381">
        <v>1.4700000000000001E-7</v>
      </c>
      <c r="AB2142" s="381">
        <v>0</v>
      </c>
      <c r="AC2142" s="382">
        <v>6.0127447000000001E-2</v>
      </c>
      <c r="AD2142" s="382">
        <v>0</v>
      </c>
      <c r="AE2142" s="381" t="s">
        <v>168</v>
      </c>
    </row>
    <row r="2143" spans="1:31" ht="15" customHeight="1" x14ac:dyDescent="0.25">
      <c r="A2143" s="20" t="s">
        <v>2913</v>
      </c>
      <c r="B2143" s="20" t="s">
        <v>2913</v>
      </c>
      <c r="C2143" s="20" t="s">
        <v>2913</v>
      </c>
      <c r="D2143" s="378" t="s">
        <v>3007</v>
      </c>
      <c r="E2143" s="384" t="s">
        <v>2932</v>
      </c>
      <c r="F2143" s="384" t="s">
        <v>2933</v>
      </c>
      <c r="G2143" s="385" t="s">
        <v>281</v>
      </c>
      <c r="H2143" s="385" t="s">
        <v>2942</v>
      </c>
      <c r="I2143" s="378">
        <v>1</v>
      </c>
      <c r="J2143" s="385" t="s">
        <v>163</v>
      </c>
      <c r="K2143" s="378" t="s">
        <v>2943</v>
      </c>
      <c r="L2143" s="378" t="s">
        <v>2848</v>
      </c>
      <c r="M2143" s="380">
        <v>2400</v>
      </c>
      <c r="N2143" s="380"/>
      <c r="O2143" s="380"/>
      <c r="P2143" s="380"/>
      <c r="Q2143" s="381">
        <v>63.3</v>
      </c>
      <c r="R2143" s="381">
        <v>63.3</v>
      </c>
      <c r="S2143" s="381">
        <v>2.87E-2</v>
      </c>
      <c r="T2143" s="381">
        <v>8.7700000000000004E-5</v>
      </c>
      <c r="U2143" s="381">
        <v>0</v>
      </c>
      <c r="V2143" s="382">
        <v>63.328787699999999</v>
      </c>
      <c r="W2143" s="382">
        <v>0</v>
      </c>
      <c r="X2143" s="381">
        <v>6.3299999999999995E-2</v>
      </c>
      <c r="Y2143" s="381">
        <v>6.3299999999999995E-2</v>
      </c>
      <c r="Z2143" s="381">
        <v>2.87E-5</v>
      </c>
      <c r="AA2143" s="381">
        <v>8.7699999999999998E-8</v>
      </c>
      <c r="AB2143" s="381">
        <v>0</v>
      </c>
      <c r="AC2143" s="382">
        <v>6.33287877E-2</v>
      </c>
      <c r="AD2143" s="382">
        <v>0</v>
      </c>
      <c r="AE2143" s="381" t="s">
        <v>168</v>
      </c>
    </row>
    <row r="2144" spans="1:31" ht="15" customHeight="1" x14ac:dyDescent="0.25">
      <c r="A2144" s="20" t="s">
        <v>2913</v>
      </c>
      <c r="B2144" s="20" t="s">
        <v>2913</v>
      </c>
      <c r="C2144" s="20" t="s">
        <v>2913</v>
      </c>
      <c r="D2144" s="378" t="s">
        <v>3008</v>
      </c>
      <c r="E2144" s="384" t="s">
        <v>2932</v>
      </c>
      <c r="F2144" s="384" t="s">
        <v>2933</v>
      </c>
      <c r="G2144" s="385" t="s">
        <v>179</v>
      </c>
      <c r="H2144" s="385" t="s">
        <v>2934</v>
      </c>
      <c r="I2144" s="378">
        <v>1</v>
      </c>
      <c r="J2144" s="385" t="s">
        <v>163</v>
      </c>
      <c r="K2144" s="378" t="s">
        <v>2935</v>
      </c>
      <c r="L2144" s="378" t="s">
        <v>2848</v>
      </c>
      <c r="M2144" s="380">
        <v>2400</v>
      </c>
      <c r="N2144" s="380"/>
      <c r="O2144" s="380"/>
      <c r="P2144" s="380"/>
      <c r="Q2144" s="381">
        <v>55.2</v>
      </c>
      <c r="R2144" s="381">
        <v>55.2</v>
      </c>
      <c r="S2144" s="381">
        <v>2.4899999999999999E-2</v>
      </c>
      <c r="T2144" s="381">
        <v>1.0399999999999999E-4</v>
      </c>
      <c r="U2144" s="381">
        <v>0</v>
      </c>
      <c r="V2144" s="382">
        <v>55.225004000000006</v>
      </c>
      <c r="W2144" s="382">
        <v>0</v>
      </c>
      <c r="X2144" s="381">
        <v>5.5200000000000006E-2</v>
      </c>
      <c r="Y2144" s="381">
        <v>5.5200000000000006E-2</v>
      </c>
      <c r="Z2144" s="381">
        <v>2.4899999999999999E-5</v>
      </c>
      <c r="AA2144" s="381">
        <v>1.0399999999999999E-7</v>
      </c>
      <c r="AB2144" s="381">
        <v>0</v>
      </c>
      <c r="AC2144" s="382">
        <v>5.5225004000000008E-2</v>
      </c>
      <c r="AD2144" s="382">
        <v>0</v>
      </c>
      <c r="AE2144" s="381" t="s">
        <v>168</v>
      </c>
    </row>
    <row r="2145" spans="1:31" ht="15" customHeight="1" x14ac:dyDescent="0.25">
      <c r="A2145" s="20" t="s">
        <v>2913</v>
      </c>
      <c r="B2145" s="20" t="s">
        <v>2913</v>
      </c>
      <c r="C2145" s="20" t="s">
        <v>2913</v>
      </c>
      <c r="D2145" s="378" t="s">
        <v>3009</v>
      </c>
      <c r="E2145" s="384" t="s">
        <v>2932</v>
      </c>
      <c r="F2145" s="384" t="s">
        <v>2933</v>
      </c>
      <c r="G2145" s="385" t="s">
        <v>179</v>
      </c>
      <c r="H2145" s="385" t="s">
        <v>2934</v>
      </c>
      <c r="I2145" s="378">
        <v>1</v>
      </c>
      <c r="J2145" s="385" t="s">
        <v>163</v>
      </c>
      <c r="K2145" s="378" t="s">
        <v>2935</v>
      </c>
      <c r="L2145" s="378" t="s">
        <v>2848</v>
      </c>
      <c r="M2145" s="380">
        <v>2400</v>
      </c>
      <c r="N2145" s="380"/>
      <c r="O2145" s="380"/>
      <c r="P2145" s="380"/>
      <c r="Q2145" s="381">
        <v>62.3</v>
      </c>
      <c r="R2145" s="381">
        <v>62.3</v>
      </c>
      <c r="S2145" s="381">
        <v>2.8000000000000001E-2</v>
      </c>
      <c r="T2145" s="381">
        <v>1.5899999999999999E-4</v>
      </c>
      <c r="U2145" s="381">
        <v>0</v>
      </c>
      <c r="V2145" s="382">
        <v>62.328158999999992</v>
      </c>
      <c r="W2145" s="382">
        <v>0</v>
      </c>
      <c r="X2145" s="381">
        <v>6.2299999999999994E-2</v>
      </c>
      <c r="Y2145" s="381">
        <v>6.2299999999999994E-2</v>
      </c>
      <c r="Z2145" s="381">
        <v>2.8E-5</v>
      </c>
      <c r="AA2145" s="381">
        <v>1.5899999999999998E-7</v>
      </c>
      <c r="AB2145" s="381">
        <v>0</v>
      </c>
      <c r="AC2145" s="382">
        <v>6.2328158999999994E-2</v>
      </c>
      <c r="AD2145" s="382">
        <v>0</v>
      </c>
      <c r="AE2145" s="381" t="s">
        <v>168</v>
      </c>
    </row>
    <row r="2146" spans="1:31" ht="15" customHeight="1" x14ac:dyDescent="0.25">
      <c r="A2146" s="20" t="s">
        <v>2913</v>
      </c>
      <c r="B2146" s="20" t="s">
        <v>2913</v>
      </c>
      <c r="C2146" s="20" t="s">
        <v>2913</v>
      </c>
      <c r="D2146" s="378" t="s">
        <v>3010</v>
      </c>
      <c r="E2146" s="384" t="s">
        <v>2932</v>
      </c>
      <c r="F2146" s="384" t="s">
        <v>2933</v>
      </c>
      <c r="G2146" s="385" t="s">
        <v>281</v>
      </c>
      <c r="H2146" s="385" t="s">
        <v>2942</v>
      </c>
      <c r="I2146" s="378">
        <v>1</v>
      </c>
      <c r="J2146" s="385" t="s">
        <v>163</v>
      </c>
      <c r="K2146" s="378" t="s">
        <v>2943</v>
      </c>
      <c r="L2146" s="378" t="s">
        <v>2848</v>
      </c>
      <c r="M2146" s="380">
        <v>2400</v>
      </c>
      <c r="N2146" s="380"/>
      <c r="O2146" s="380"/>
      <c r="P2146" s="380"/>
      <c r="Q2146" s="381">
        <v>87.4</v>
      </c>
      <c r="R2146" s="381">
        <v>87.4</v>
      </c>
      <c r="S2146" s="381">
        <v>3.9E-2</v>
      </c>
      <c r="T2146" s="381">
        <v>1.18E-4</v>
      </c>
      <c r="U2146" s="381">
        <v>0</v>
      </c>
      <c r="V2146" s="382">
        <v>87.439118000000008</v>
      </c>
      <c r="W2146" s="382">
        <v>0</v>
      </c>
      <c r="X2146" s="381">
        <v>8.7400000000000005E-2</v>
      </c>
      <c r="Y2146" s="381">
        <v>8.7400000000000005E-2</v>
      </c>
      <c r="Z2146" s="381">
        <v>3.8999999999999999E-5</v>
      </c>
      <c r="AA2146" s="381">
        <v>1.18E-7</v>
      </c>
      <c r="AB2146" s="381">
        <v>0</v>
      </c>
      <c r="AC2146" s="382">
        <v>8.7439117999999996E-2</v>
      </c>
      <c r="AD2146" s="382">
        <v>0</v>
      </c>
      <c r="AE2146" s="381" t="s">
        <v>168</v>
      </c>
    </row>
    <row r="2147" spans="1:31" ht="15" customHeight="1" x14ac:dyDescent="0.25">
      <c r="A2147" s="20" t="s">
        <v>2913</v>
      </c>
      <c r="B2147" s="20" t="s">
        <v>2913</v>
      </c>
      <c r="C2147" s="20" t="s">
        <v>2913</v>
      </c>
      <c r="D2147" s="378" t="s">
        <v>3011</v>
      </c>
      <c r="E2147" s="384" t="s">
        <v>2932</v>
      </c>
      <c r="F2147" s="384" t="s">
        <v>2933</v>
      </c>
      <c r="G2147" s="385" t="s">
        <v>281</v>
      </c>
      <c r="H2147" s="385" t="s">
        <v>2942</v>
      </c>
      <c r="I2147" s="378">
        <v>1</v>
      </c>
      <c r="J2147" s="385" t="s">
        <v>163</v>
      </c>
      <c r="K2147" s="378" t="s">
        <v>2943</v>
      </c>
      <c r="L2147" s="378" t="s">
        <v>2848</v>
      </c>
      <c r="M2147" s="380">
        <v>2400</v>
      </c>
      <c r="N2147" s="380"/>
      <c r="O2147" s="380"/>
      <c r="P2147" s="380"/>
      <c r="Q2147" s="381">
        <v>77.7</v>
      </c>
      <c r="R2147" s="381">
        <v>77.7</v>
      </c>
      <c r="S2147" s="381">
        <v>3.2899999999999999E-2</v>
      </c>
      <c r="T2147" s="381">
        <v>1.03E-4</v>
      </c>
      <c r="U2147" s="381">
        <v>0</v>
      </c>
      <c r="V2147" s="382">
        <v>77.733002999999997</v>
      </c>
      <c r="W2147" s="382">
        <v>0</v>
      </c>
      <c r="X2147" s="381">
        <v>7.7700000000000005E-2</v>
      </c>
      <c r="Y2147" s="381">
        <v>7.7700000000000005E-2</v>
      </c>
      <c r="Z2147" s="381">
        <v>3.29E-5</v>
      </c>
      <c r="AA2147" s="381">
        <v>1.03E-7</v>
      </c>
      <c r="AB2147" s="381">
        <v>0</v>
      </c>
      <c r="AC2147" s="382">
        <v>7.7733003000000009E-2</v>
      </c>
      <c r="AD2147" s="382">
        <v>0</v>
      </c>
      <c r="AE2147" s="381" t="s">
        <v>168</v>
      </c>
    </row>
    <row r="2148" spans="1:31" ht="15" customHeight="1" x14ac:dyDescent="0.25">
      <c r="A2148" s="20" t="s">
        <v>2913</v>
      </c>
      <c r="B2148" s="20" t="s">
        <v>2913</v>
      </c>
      <c r="C2148" s="20" t="s">
        <v>2913</v>
      </c>
      <c r="D2148" s="378" t="s">
        <v>3012</v>
      </c>
      <c r="E2148" s="384" t="s">
        <v>2932</v>
      </c>
      <c r="F2148" s="384" t="s">
        <v>2933</v>
      </c>
      <c r="G2148" s="385" t="s">
        <v>281</v>
      </c>
      <c r="H2148" s="385" t="s">
        <v>2942</v>
      </c>
      <c r="I2148" s="378">
        <v>1</v>
      </c>
      <c r="J2148" s="385" t="s">
        <v>163</v>
      </c>
      <c r="K2148" s="378" t="s">
        <v>2943</v>
      </c>
      <c r="L2148" s="378" t="s">
        <v>2848</v>
      </c>
      <c r="M2148" s="380">
        <v>2400</v>
      </c>
      <c r="N2148" s="380"/>
      <c r="O2148" s="380"/>
      <c r="P2148" s="380"/>
      <c r="Q2148" s="381">
        <v>92.2</v>
      </c>
      <c r="R2148" s="381">
        <v>92.2</v>
      </c>
      <c r="S2148" s="381">
        <v>3.8600000000000002E-2</v>
      </c>
      <c r="T2148" s="381">
        <v>1.3100000000000001E-4</v>
      </c>
      <c r="U2148" s="381">
        <v>0</v>
      </c>
      <c r="V2148" s="382">
        <v>92.238731000000001</v>
      </c>
      <c r="W2148" s="382">
        <v>0</v>
      </c>
      <c r="X2148" s="381">
        <v>9.2200000000000004E-2</v>
      </c>
      <c r="Y2148" s="381">
        <v>9.2200000000000004E-2</v>
      </c>
      <c r="Z2148" s="381">
        <v>3.8600000000000003E-5</v>
      </c>
      <c r="AA2148" s="381">
        <v>1.3100000000000002E-7</v>
      </c>
      <c r="AB2148" s="381">
        <v>0</v>
      </c>
      <c r="AC2148" s="382">
        <v>9.2238731000000004E-2</v>
      </c>
      <c r="AD2148" s="382">
        <v>0</v>
      </c>
      <c r="AE2148" s="381" t="s">
        <v>168</v>
      </c>
    </row>
    <row r="2149" spans="1:31" ht="15" customHeight="1" x14ac:dyDescent="0.25">
      <c r="A2149" s="20" t="s">
        <v>2913</v>
      </c>
      <c r="B2149" s="20" t="s">
        <v>2913</v>
      </c>
      <c r="C2149" s="20" t="s">
        <v>2913</v>
      </c>
      <c r="D2149" s="378" t="s">
        <v>3013</v>
      </c>
      <c r="E2149" s="384" t="s">
        <v>2932</v>
      </c>
      <c r="F2149" s="384" t="s">
        <v>2933</v>
      </c>
      <c r="G2149" s="385" t="s">
        <v>281</v>
      </c>
      <c r="H2149" s="385" t="s">
        <v>2942</v>
      </c>
      <c r="I2149" s="378">
        <v>1</v>
      </c>
      <c r="J2149" s="385" t="s">
        <v>163</v>
      </c>
      <c r="K2149" s="378" t="s">
        <v>2943</v>
      </c>
      <c r="L2149" s="378" t="s">
        <v>2848</v>
      </c>
      <c r="M2149" s="380">
        <v>2400</v>
      </c>
      <c r="N2149" s="380"/>
      <c r="O2149" s="380"/>
      <c r="P2149" s="380"/>
      <c r="Q2149" s="381">
        <v>72.7</v>
      </c>
      <c r="R2149" s="381">
        <v>72.7</v>
      </c>
      <c r="S2149" s="381">
        <v>2.9600000000000001E-2</v>
      </c>
      <c r="T2149" s="381">
        <v>7.8100000000000001E-5</v>
      </c>
      <c r="U2149" s="381">
        <v>0</v>
      </c>
      <c r="V2149" s="382">
        <v>72.729678100000001</v>
      </c>
      <c r="W2149" s="382">
        <v>0</v>
      </c>
      <c r="X2149" s="381">
        <v>7.2700000000000001E-2</v>
      </c>
      <c r="Y2149" s="381">
        <v>7.2700000000000001E-2</v>
      </c>
      <c r="Z2149" s="381">
        <v>2.9600000000000001E-5</v>
      </c>
      <c r="AA2149" s="381">
        <v>7.8100000000000005E-8</v>
      </c>
      <c r="AB2149" s="381">
        <v>0</v>
      </c>
      <c r="AC2149" s="382">
        <v>7.27296781E-2</v>
      </c>
      <c r="AD2149" s="382">
        <v>0</v>
      </c>
      <c r="AE2149" s="381" t="s">
        <v>168</v>
      </c>
    </row>
    <row r="2150" spans="1:31" ht="15" customHeight="1" x14ac:dyDescent="0.25">
      <c r="A2150" s="20" t="s">
        <v>2913</v>
      </c>
      <c r="B2150" s="20" t="s">
        <v>2913</v>
      </c>
      <c r="C2150" s="20" t="s">
        <v>2913</v>
      </c>
      <c r="D2150" s="378" t="s">
        <v>3014</v>
      </c>
      <c r="E2150" s="384" t="s">
        <v>2932</v>
      </c>
      <c r="F2150" s="384" t="s">
        <v>2933</v>
      </c>
      <c r="G2150" s="385" t="s">
        <v>281</v>
      </c>
      <c r="H2150" s="385" t="s">
        <v>2942</v>
      </c>
      <c r="I2150" s="378">
        <v>1</v>
      </c>
      <c r="J2150" s="385" t="s">
        <v>163</v>
      </c>
      <c r="K2150" s="378" t="s">
        <v>2943</v>
      </c>
      <c r="L2150" s="378" t="s">
        <v>2848</v>
      </c>
      <c r="M2150" s="380">
        <v>2400</v>
      </c>
      <c r="N2150" s="380"/>
      <c r="O2150" s="380"/>
      <c r="P2150" s="380"/>
      <c r="Q2150" s="381">
        <v>74.8</v>
      </c>
      <c r="R2150" s="381">
        <v>74.8</v>
      </c>
      <c r="S2150" s="381">
        <v>3.0099999999999998E-2</v>
      </c>
      <c r="T2150" s="381">
        <v>8.9599999999999996E-5</v>
      </c>
      <c r="U2150" s="381">
        <v>0</v>
      </c>
      <c r="V2150" s="382">
        <v>74.830189599999997</v>
      </c>
      <c r="W2150" s="382">
        <v>0</v>
      </c>
      <c r="X2150" s="381">
        <v>7.4799999999999991E-2</v>
      </c>
      <c r="Y2150" s="381">
        <v>7.4799999999999991E-2</v>
      </c>
      <c r="Z2150" s="381">
        <v>3.01E-5</v>
      </c>
      <c r="AA2150" s="381">
        <v>8.9599999999999995E-8</v>
      </c>
      <c r="AB2150" s="381">
        <v>0</v>
      </c>
      <c r="AC2150" s="382">
        <v>7.4830189599999999E-2</v>
      </c>
      <c r="AD2150" s="382">
        <v>0</v>
      </c>
      <c r="AE2150" s="381" t="s">
        <v>168</v>
      </c>
    </row>
    <row r="2151" spans="1:31" ht="15" customHeight="1" x14ac:dyDescent="0.25">
      <c r="A2151" s="20" t="s">
        <v>2913</v>
      </c>
      <c r="B2151" s="20" t="s">
        <v>2913</v>
      </c>
      <c r="C2151" s="20" t="s">
        <v>2913</v>
      </c>
      <c r="D2151" s="378" t="s">
        <v>3015</v>
      </c>
      <c r="E2151" s="384" t="s">
        <v>2932</v>
      </c>
      <c r="F2151" s="384" t="s">
        <v>2933</v>
      </c>
      <c r="G2151" s="385" t="s">
        <v>281</v>
      </c>
      <c r="H2151" s="385" t="s">
        <v>2942</v>
      </c>
      <c r="I2151" s="378">
        <v>1</v>
      </c>
      <c r="J2151" s="385" t="s">
        <v>163</v>
      </c>
      <c r="K2151" s="378" t="s">
        <v>2943</v>
      </c>
      <c r="L2151" s="378" t="s">
        <v>2848</v>
      </c>
      <c r="M2151" s="380">
        <v>2400</v>
      </c>
      <c r="N2151" s="380"/>
      <c r="O2151" s="380"/>
      <c r="P2151" s="380"/>
      <c r="Q2151" s="381">
        <v>89.2</v>
      </c>
      <c r="R2151" s="381">
        <v>89.2</v>
      </c>
      <c r="S2151" s="381">
        <v>3.4599999999999999E-2</v>
      </c>
      <c r="T2151" s="381">
        <v>1.22E-4</v>
      </c>
      <c r="U2151" s="381">
        <v>0</v>
      </c>
      <c r="V2151" s="382">
        <v>89.234722000000005</v>
      </c>
      <c r="W2151" s="382">
        <v>0</v>
      </c>
      <c r="X2151" s="381">
        <v>8.9200000000000002E-2</v>
      </c>
      <c r="Y2151" s="381">
        <v>8.9200000000000002E-2</v>
      </c>
      <c r="Z2151" s="381">
        <v>3.4600000000000001E-5</v>
      </c>
      <c r="AA2151" s="381">
        <v>1.2200000000000001E-7</v>
      </c>
      <c r="AB2151" s="381">
        <v>0</v>
      </c>
      <c r="AC2151" s="382">
        <v>8.9234722000000002E-2</v>
      </c>
      <c r="AD2151" s="382">
        <v>0</v>
      </c>
      <c r="AE2151" s="381" t="s">
        <v>168</v>
      </c>
    </row>
    <row r="2152" spans="1:31" ht="15" customHeight="1" x14ac:dyDescent="0.25">
      <c r="A2152" s="20" t="s">
        <v>2913</v>
      </c>
      <c r="B2152" s="20" t="s">
        <v>2913</v>
      </c>
      <c r="C2152" s="20" t="s">
        <v>2913</v>
      </c>
      <c r="D2152" s="378" t="s">
        <v>3016</v>
      </c>
      <c r="E2152" s="384" t="s">
        <v>2932</v>
      </c>
      <c r="F2152" s="384" t="s">
        <v>2933</v>
      </c>
      <c r="G2152" s="385" t="s">
        <v>179</v>
      </c>
      <c r="H2152" s="385" t="s">
        <v>2934</v>
      </c>
      <c r="I2152" s="378">
        <v>1</v>
      </c>
      <c r="J2152" s="385" t="s">
        <v>163</v>
      </c>
      <c r="K2152" s="378" t="s">
        <v>2935</v>
      </c>
      <c r="L2152" s="378" t="s">
        <v>2848</v>
      </c>
      <c r="M2152" s="380">
        <v>2400</v>
      </c>
      <c r="N2152" s="380"/>
      <c r="O2152" s="380"/>
      <c r="P2152" s="380"/>
      <c r="Q2152" s="381">
        <v>64.3</v>
      </c>
      <c r="R2152" s="381">
        <v>64.3</v>
      </c>
      <c r="S2152" s="381">
        <v>2.4E-2</v>
      </c>
      <c r="T2152" s="381">
        <v>1.7699999999999999E-4</v>
      </c>
      <c r="U2152" s="381">
        <v>0</v>
      </c>
      <c r="V2152" s="382">
        <v>64.324176999999992</v>
      </c>
      <c r="W2152" s="382">
        <v>0</v>
      </c>
      <c r="X2152" s="381">
        <v>6.4299999999999996E-2</v>
      </c>
      <c r="Y2152" s="381">
        <v>6.4299999999999996E-2</v>
      </c>
      <c r="Z2152" s="381">
        <v>2.4000000000000001E-5</v>
      </c>
      <c r="AA2152" s="381">
        <v>1.7699999999999998E-7</v>
      </c>
      <c r="AB2152" s="381">
        <v>0</v>
      </c>
      <c r="AC2152" s="382">
        <v>6.4324176999999996E-2</v>
      </c>
      <c r="AD2152" s="382">
        <v>0</v>
      </c>
      <c r="AE2152" s="381" t="s">
        <v>168</v>
      </c>
    </row>
    <row r="2153" spans="1:31" ht="15" customHeight="1" x14ac:dyDescent="0.25">
      <c r="A2153" s="20" t="s">
        <v>2913</v>
      </c>
      <c r="B2153" s="20" t="s">
        <v>2913</v>
      </c>
      <c r="C2153" s="20" t="s">
        <v>2913</v>
      </c>
      <c r="D2153" s="378" t="s">
        <v>3017</v>
      </c>
      <c r="E2153" s="384" t="s">
        <v>2932</v>
      </c>
      <c r="F2153" s="384" t="s">
        <v>2933</v>
      </c>
      <c r="G2153" s="385" t="s">
        <v>281</v>
      </c>
      <c r="H2153" s="385" t="s">
        <v>2942</v>
      </c>
      <c r="I2153" s="378">
        <v>1</v>
      </c>
      <c r="J2153" s="385" t="s">
        <v>163</v>
      </c>
      <c r="K2153" s="378" t="s">
        <v>2943</v>
      </c>
      <c r="L2153" s="378" t="s">
        <v>2848</v>
      </c>
      <c r="M2153" s="380">
        <v>2400</v>
      </c>
      <c r="N2153" s="380"/>
      <c r="O2153" s="380"/>
      <c r="P2153" s="380"/>
      <c r="Q2153" s="381">
        <v>77.900000000000006</v>
      </c>
      <c r="R2153" s="381">
        <v>77.900000000000006</v>
      </c>
      <c r="S2153" s="381">
        <v>2.86E-2</v>
      </c>
      <c r="T2153" s="381">
        <v>1.0399999999999999E-4</v>
      </c>
      <c r="U2153" s="381">
        <v>0</v>
      </c>
      <c r="V2153" s="382">
        <v>77.928703999999996</v>
      </c>
      <c r="W2153" s="382">
        <v>0</v>
      </c>
      <c r="X2153" s="381">
        <v>7.7900000000000011E-2</v>
      </c>
      <c r="Y2153" s="381">
        <v>7.7900000000000011E-2</v>
      </c>
      <c r="Z2153" s="381">
        <v>2.8600000000000001E-5</v>
      </c>
      <c r="AA2153" s="381">
        <v>1.0399999999999999E-7</v>
      </c>
      <c r="AB2153" s="381">
        <v>0</v>
      </c>
      <c r="AC2153" s="382">
        <v>7.7928704000000015E-2</v>
      </c>
      <c r="AD2153" s="382">
        <v>0</v>
      </c>
      <c r="AE2153" s="381" t="s">
        <v>168</v>
      </c>
    </row>
    <row r="2154" spans="1:31" ht="15" customHeight="1" x14ac:dyDescent="0.25">
      <c r="A2154" s="20" t="s">
        <v>2913</v>
      </c>
      <c r="B2154" s="20" t="s">
        <v>2913</v>
      </c>
      <c r="C2154" s="20" t="s">
        <v>2913</v>
      </c>
      <c r="D2154" s="378" t="s">
        <v>3018</v>
      </c>
      <c r="E2154" s="384" t="s">
        <v>2932</v>
      </c>
      <c r="F2154" s="384" t="s">
        <v>2933</v>
      </c>
      <c r="G2154" s="385" t="s">
        <v>179</v>
      </c>
      <c r="H2154" s="385" t="s">
        <v>2934</v>
      </c>
      <c r="I2154" s="378">
        <v>1</v>
      </c>
      <c r="J2154" s="385" t="s">
        <v>163</v>
      </c>
      <c r="K2154" s="378" t="s">
        <v>2935</v>
      </c>
      <c r="L2154" s="378" t="s">
        <v>2848</v>
      </c>
      <c r="M2154" s="380">
        <v>2400</v>
      </c>
      <c r="N2154" s="380"/>
      <c r="O2154" s="380"/>
      <c r="P2154" s="380"/>
      <c r="Q2154" s="381">
        <v>63.5</v>
      </c>
      <c r="R2154" s="381">
        <v>63.5</v>
      </c>
      <c r="S2154" s="381">
        <v>2.2100000000000002E-2</v>
      </c>
      <c r="T2154" s="381">
        <v>2.13E-4</v>
      </c>
      <c r="U2154" s="381">
        <v>0</v>
      </c>
      <c r="V2154" s="382">
        <v>63.522313000000004</v>
      </c>
      <c r="W2154" s="382">
        <v>0</v>
      </c>
      <c r="X2154" s="381">
        <v>6.3500000000000001E-2</v>
      </c>
      <c r="Y2154" s="381">
        <v>6.3500000000000001E-2</v>
      </c>
      <c r="Z2154" s="381">
        <v>2.2100000000000002E-5</v>
      </c>
      <c r="AA2154" s="381">
        <v>2.1299999999999999E-7</v>
      </c>
      <c r="AB2154" s="381">
        <v>0</v>
      </c>
      <c r="AC2154" s="382">
        <v>6.3522312999999997E-2</v>
      </c>
      <c r="AD2154" s="382">
        <v>0</v>
      </c>
      <c r="AE2154" s="381" t="s">
        <v>168</v>
      </c>
    </row>
    <row r="2155" spans="1:31" ht="15" customHeight="1" x14ac:dyDescent="0.25">
      <c r="A2155" s="20" t="s">
        <v>2913</v>
      </c>
      <c r="B2155" s="20" t="s">
        <v>2913</v>
      </c>
      <c r="C2155" s="20" t="s">
        <v>2913</v>
      </c>
      <c r="D2155" s="378" t="s">
        <v>3019</v>
      </c>
      <c r="E2155" s="384" t="s">
        <v>2932</v>
      </c>
      <c r="F2155" s="384" t="s">
        <v>2933</v>
      </c>
      <c r="G2155" s="385" t="s">
        <v>179</v>
      </c>
      <c r="H2155" s="385" t="s">
        <v>2934</v>
      </c>
      <c r="I2155" s="378">
        <v>1</v>
      </c>
      <c r="J2155" s="385" t="s">
        <v>163</v>
      </c>
      <c r="K2155" s="378" t="s">
        <v>2935</v>
      </c>
      <c r="L2155" s="378" t="s">
        <v>2848</v>
      </c>
      <c r="M2155" s="380">
        <v>2400</v>
      </c>
      <c r="N2155" s="380"/>
      <c r="O2155" s="380"/>
      <c r="P2155" s="380"/>
      <c r="Q2155" s="381">
        <v>61.8</v>
      </c>
      <c r="R2155" s="381">
        <v>61.8</v>
      </c>
      <c r="S2155" s="381">
        <v>2.1399999999999999E-2</v>
      </c>
      <c r="T2155" s="381">
        <v>2.2100000000000001E-4</v>
      </c>
      <c r="U2155" s="381">
        <v>0</v>
      </c>
      <c r="V2155" s="382">
        <v>61.821621</v>
      </c>
      <c r="W2155" s="382">
        <v>0</v>
      </c>
      <c r="X2155" s="381">
        <v>6.1799999999999994E-2</v>
      </c>
      <c r="Y2155" s="381">
        <v>6.1799999999999994E-2</v>
      </c>
      <c r="Z2155" s="381">
        <v>2.1399999999999998E-5</v>
      </c>
      <c r="AA2155" s="381">
        <v>2.2100000000000001E-7</v>
      </c>
      <c r="AB2155" s="381">
        <v>0</v>
      </c>
      <c r="AC2155" s="382">
        <v>6.1821620999999993E-2</v>
      </c>
      <c r="AD2155" s="382">
        <v>0</v>
      </c>
      <c r="AE2155" s="381" t="s">
        <v>168</v>
      </c>
    </row>
    <row r="2156" spans="1:31" ht="15" customHeight="1" x14ac:dyDescent="0.25">
      <c r="A2156" s="20" t="s">
        <v>2913</v>
      </c>
      <c r="B2156" s="20" t="s">
        <v>2913</v>
      </c>
      <c r="C2156" s="20" t="s">
        <v>2913</v>
      </c>
      <c r="D2156" s="378" t="s">
        <v>3020</v>
      </c>
      <c r="E2156" s="384" t="s">
        <v>2932</v>
      </c>
      <c r="F2156" s="384" t="s">
        <v>2933</v>
      </c>
      <c r="G2156" s="385" t="s">
        <v>281</v>
      </c>
      <c r="H2156" s="385" t="s">
        <v>2942</v>
      </c>
      <c r="I2156" s="378">
        <v>1</v>
      </c>
      <c r="J2156" s="385" t="s">
        <v>163</v>
      </c>
      <c r="K2156" s="378" t="s">
        <v>2943</v>
      </c>
      <c r="L2156" s="378" t="s">
        <v>2848</v>
      </c>
      <c r="M2156" s="380">
        <v>2400</v>
      </c>
      <c r="N2156" s="380"/>
      <c r="O2156" s="380"/>
      <c r="P2156" s="380"/>
      <c r="Q2156" s="381">
        <v>82.3</v>
      </c>
      <c r="R2156" s="381">
        <v>82.3</v>
      </c>
      <c r="S2156" s="381">
        <v>2.76E-2</v>
      </c>
      <c r="T2156" s="381">
        <v>8.8599999999999999E-5</v>
      </c>
      <c r="U2156" s="381">
        <v>0</v>
      </c>
      <c r="V2156" s="382">
        <v>82.327688600000002</v>
      </c>
      <c r="W2156" s="382">
        <v>0</v>
      </c>
      <c r="X2156" s="381">
        <v>8.2299999999999998E-2</v>
      </c>
      <c r="Y2156" s="381">
        <v>8.2299999999999998E-2</v>
      </c>
      <c r="Z2156" s="381">
        <v>2.76E-5</v>
      </c>
      <c r="AA2156" s="381">
        <v>8.8599999999999999E-8</v>
      </c>
      <c r="AB2156" s="381">
        <v>0</v>
      </c>
      <c r="AC2156" s="382">
        <v>8.2327688600000004E-2</v>
      </c>
      <c r="AD2156" s="382">
        <v>0</v>
      </c>
      <c r="AE2156" s="381" t="s">
        <v>168</v>
      </c>
    </row>
    <row r="2157" spans="1:31" ht="15" customHeight="1" x14ac:dyDescent="0.25">
      <c r="A2157" s="20" t="s">
        <v>2913</v>
      </c>
      <c r="B2157" s="20" t="s">
        <v>2913</v>
      </c>
      <c r="C2157" s="20" t="s">
        <v>2913</v>
      </c>
      <c r="D2157" s="378" t="s">
        <v>3021</v>
      </c>
      <c r="E2157" s="384" t="s">
        <v>2932</v>
      </c>
      <c r="F2157" s="384" t="s">
        <v>2933</v>
      </c>
      <c r="G2157" s="385" t="s">
        <v>179</v>
      </c>
      <c r="H2157" s="385" t="s">
        <v>2934</v>
      </c>
      <c r="I2157" s="378">
        <v>1</v>
      </c>
      <c r="J2157" s="385" t="s">
        <v>163</v>
      </c>
      <c r="K2157" s="378" t="s">
        <v>2935</v>
      </c>
      <c r="L2157" s="378" t="s">
        <v>2848</v>
      </c>
      <c r="M2157" s="380">
        <v>2400</v>
      </c>
      <c r="N2157" s="380"/>
      <c r="O2157" s="380"/>
      <c r="P2157" s="380"/>
      <c r="Q2157" s="381">
        <v>56.1</v>
      </c>
      <c r="R2157" s="381">
        <v>56.1</v>
      </c>
      <c r="S2157" s="381">
        <v>1.8599999999999998E-2</v>
      </c>
      <c r="T2157" s="381">
        <v>1.7699999999999999E-4</v>
      </c>
      <c r="U2157" s="381">
        <v>0</v>
      </c>
      <c r="V2157" s="382">
        <v>56.118777000000001</v>
      </c>
      <c r="W2157" s="382">
        <v>0</v>
      </c>
      <c r="X2157" s="381">
        <v>5.6100000000000004E-2</v>
      </c>
      <c r="Y2157" s="381">
        <v>5.6100000000000004E-2</v>
      </c>
      <c r="Z2157" s="381">
        <v>1.8599999999999998E-5</v>
      </c>
      <c r="AA2157" s="381">
        <v>1.7699999999999998E-7</v>
      </c>
      <c r="AB2157" s="381">
        <v>0</v>
      </c>
      <c r="AC2157" s="382">
        <v>5.6118777000000002E-2</v>
      </c>
      <c r="AD2157" s="382">
        <v>0</v>
      </c>
      <c r="AE2157" s="381" t="s">
        <v>168</v>
      </c>
    </row>
    <row r="2158" spans="1:31" ht="15" customHeight="1" x14ac:dyDescent="0.25">
      <c r="A2158" s="20" t="s">
        <v>2913</v>
      </c>
      <c r="B2158" s="20" t="s">
        <v>2913</v>
      </c>
      <c r="C2158" s="20" t="s">
        <v>2913</v>
      </c>
      <c r="D2158" s="378" t="s">
        <v>3022</v>
      </c>
      <c r="E2158" s="384" t="s">
        <v>2932</v>
      </c>
      <c r="F2158" s="384" t="s">
        <v>2933</v>
      </c>
      <c r="G2158" s="385" t="s">
        <v>179</v>
      </c>
      <c r="H2158" s="385" t="s">
        <v>2934</v>
      </c>
      <c r="I2158" s="378">
        <v>1</v>
      </c>
      <c r="J2158" s="385" t="s">
        <v>163</v>
      </c>
      <c r="K2158" s="378" t="s">
        <v>2935</v>
      </c>
      <c r="L2158" s="378" t="s">
        <v>2848</v>
      </c>
      <c r="M2158" s="380">
        <v>2400</v>
      </c>
      <c r="N2158" s="380"/>
      <c r="O2158" s="380"/>
      <c r="P2158" s="380"/>
      <c r="Q2158" s="381">
        <v>62.1</v>
      </c>
      <c r="R2158" s="381">
        <v>62.1</v>
      </c>
      <c r="S2158" s="381">
        <v>2.0299999999999999E-2</v>
      </c>
      <c r="T2158" s="381">
        <v>2.1100000000000001E-4</v>
      </c>
      <c r="U2158" s="381">
        <v>0</v>
      </c>
      <c r="V2158" s="382">
        <v>62.120511</v>
      </c>
      <c r="W2158" s="382">
        <v>0</v>
      </c>
      <c r="X2158" s="381">
        <v>6.2100000000000002E-2</v>
      </c>
      <c r="Y2158" s="381">
        <v>6.2100000000000002E-2</v>
      </c>
      <c r="Z2158" s="381">
        <v>2.0299999999999999E-5</v>
      </c>
      <c r="AA2158" s="381">
        <v>2.11E-7</v>
      </c>
      <c r="AB2158" s="381">
        <v>0</v>
      </c>
      <c r="AC2158" s="382">
        <v>6.2120511000000003E-2</v>
      </c>
      <c r="AD2158" s="382">
        <v>0</v>
      </c>
      <c r="AE2158" s="381" t="s">
        <v>168</v>
      </c>
    </row>
    <row r="2159" spans="1:31" ht="15" customHeight="1" x14ac:dyDescent="0.25">
      <c r="A2159" s="20" t="s">
        <v>2913</v>
      </c>
      <c r="B2159" s="20" t="s">
        <v>2913</v>
      </c>
      <c r="C2159" s="20" t="s">
        <v>2913</v>
      </c>
      <c r="D2159" s="378" t="s">
        <v>3023</v>
      </c>
      <c r="E2159" s="384" t="s">
        <v>2932</v>
      </c>
      <c r="F2159" s="384" t="s">
        <v>2933</v>
      </c>
      <c r="G2159" s="385" t="s">
        <v>179</v>
      </c>
      <c r="H2159" s="385" t="s">
        <v>2934</v>
      </c>
      <c r="I2159" s="378">
        <v>1</v>
      </c>
      <c r="J2159" s="385" t="s">
        <v>163</v>
      </c>
      <c r="K2159" s="378" t="s">
        <v>2935</v>
      </c>
      <c r="L2159" s="378" t="s">
        <v>2848</v>
      </c>
      <c r="M2159" s="380">
        <v>2400</v>
      </c>
      <c r="N2159" s="380"/>
      <c r="O2159" s="380"/>
      <c r="P2159" s="380"/>
      <c r="Q2159" s="381">
        <v>64.8</v>
      </c>
      <c r="R2159" s="381">
        <v>64.8</v>
      </c>
      <c r="S2159" s="381">
        <v>2.06E-2</v>
      </c>
      <c r="T2159" s="381">
        <v>2.1100000000000001E-4</v>
      </c>
      <c r="U2159" s="381">
        <v>0</v>
      </c>
      <c r="V2159" s="382">
        <v>64.820810999999992</v>
      </c>
      <c r="W2159" s="382">
        <v>0</v>
      </c>
      <c r="X2159" s="381">
        <v>6.4799999999999996E-2</v>
      </c>
      <c r="Y2159" s="381">
        <v>6.4799999999999996E-2</v>
      </c>
      <c r="Z2159" s="381">
        <v>2.0599999999999999E-5</v>
      </c>
      <c r="AA2159" s="381">
        <v>2.11E-7</v>
      </c>
      <c r="AB2159" s="381">
        <v>0</v>
      </c>
      <c r="AC2159" s="382">
        <v>6.4820810999999992E-2</v>
      </c>
      <c r="AD2159" s="382">
        <v>0</v>
      </c>
      <c r="AE2159" s="381" t="s">
        <v>168</v>
      </c>
    </row>
    <row r="2160" spans="1:31" ht="15" customHeight="1" x14ac:dyDescent="0.25">
      <c r="A2160" s="20" t="s">
        <v>2913</v>
      </c>
      <c r="B2160" s="20" t="s">
        <v>2913</v>
      </c>
      <c r="C2160" s="20" t="s">
        <v>2913</v>
      </c>
      <c r="D2160" s="378" t="s">
        <v>3024</v>
      </c>
      <c r="E2160" s="384" t="s">
        <v>2920</v>
      </c>
      <c r="F2160" s="384" t="s">
        <v>2921</v>
      </c>
      <c r="G2160" s="385" t="s">
        <v>316</v>
      </c>
      <c r="H2160" s="385" t="s">
        <v>2922</v>
      </c>
      <c r="I2160" s="378">
        <v>1</v>
      </c>
      <c r="J2160" s="385" t="s">
        <v>163</v>
      </c>
      <c r="K2160" s="378" t="s">
        <v>2923</v>
      </c>
      <c r="L2160" s="378" t="s">
        <v>2848</v>
      </c>
      <c r="M2160" s="380">
        <v>2400</v>
      </c>
      <c r="N2160" s="380"/>
      <c r="O2160" s="380"/>
      <c r="P2160" s="380"/>
      <c r="Q2160" s="381">
        <v>79.3</v>
      </c>
      <c r="R2160" s="381">
        <v>79.2</v>
      </c>
      <c r="S2160" s="381">
        <v>0.125</v>
      </c>
      <c r="T2160" s="381">
        <v>1.3799999999999999E-4</v>
      </c>
      <c r="U2160" s="381">
        <v>0</v>
      </c>
      <c r="V2160" s="382">
        <v>79.32513800000001</v>
      </c>
      <c r="W2160" s="382">
        <v>0</v>
      </c>
      <c r="X2160" s="381">
        <v>7.9299999999999995E-2</v>
      </c>
      <c r="Y2160" s="381">
        <v>7.9200000000000007E-2</v>
      </c>
      <c r="Z2160" s="381">
        <v>1.25E-4</v>
      </c>
      <c r="AA2160" s="381">
        <v>1.3799999999999999E-7</v>
      </c>
      <c r="AB2160" s="381">
        <v>0</v>
      </c>
      <c r="AC2160" s="382">
        <v>7.9325138000000003E-2</v>
      </c>
      <c r="AD2160" s="382">
        <v>0</v>
      </c>
      <c r="AE2160" s="381" t="s">
        <v>168</v>
      </c>
    </row>
    <row r="2161" spans="1:31" ht="15" customHeight="1" x14ac:dyDescent="0.25">
      <c r="A2161" s="20" t="s">
        <v>2913</v>
      </c>
      <c r="B2161" s="20" t="s">
        <v>2913</v>
      </c>
      <c r="C2161" s="20" t="s">
        <v>2913</v>
      </c>
      <c r="D2161" s="378" t="s">
        <v>3025</v>
      </c>
      <c r="E2161" s="384" t="s">
        <v>2920</v>
      </c>
      <c r="F2161" s="384" t="s">
        <v>2921</v>
      </c>
      <c r="G2161" s="385" t="s">
        <v>179</v>
      </c>
      <c r="H2161" s="385" t="s">
        <v>2922</v>
      </c>
      <c r="I2161" s="378">
        <v>1</v>
      </c>
      <c r="J2161" s="385" t="s">
        <v>163</v>
      </c>
      <c r="K2161" s="378" t="s">
        <v>2923</v>
      </c>
      <c r="L2161" s="378" t="s">
        <v>2848</v>
      </c>
      <c r="M2161" s="380">
        <v>2400</v>
      </c>
      <c r="N2161" s="380"/>
      <c r="O2161" s="380"/>
      <c r="P2161" s="380"/>
      <c r="Q2161" s="381">
        <v>82.7</v>
      </c>
      <c r="R2161" s="381">
        <v>82.6</v>
      </c>
      <c r="S2161" s="381">
        <v>0.126</v>
      </c>
      <c r="T2161" s="381">
        <v>1.64E-4</v>
      </c>
      <c r="U2161" s="381">
        <v>0</v>
      </c>
      <c r="V2161" s="382">
        <v>82.726163999999997</v>
      </c>
      <c r="W2161" s="382">
        <v>0</v>
      </c>
      <c r="X2161" s="381">
        <v>8.270000000000001E-2</v>
      </c>
      <c r="Y2161" s="381">
        <v>8.2599999999999993E-2</v>
      </c>
      <c r="Z2161" s="381">
        <v>1.26E-4</v>
      </c>
      <c r="AA2161" s="381">
        <v>1.6400000000000001E-7</v>
      </c>
      <c r="AB2161" s="381">
        <v>0</v>
      </c>
      <c r="AC2161" s="382">
        <v>8.2726163999999991E-2</v>
      </c>
      <c r="AD2161" s="382">
        <v>0</v>
      </c>
      <c r="AE2161" s="381" t="s">
        <v>168</v>
      </c>
    </row>
    <row r="2162" spans="1:31" ht="15" customHeight="1" x14ac:dyDescent="0.25">
      <c r="A2162" s="20" t="s">
        <v>2913</v>
      </c>
      <c r="B2162" s="20" t="s">
        <v>2913</v>
      </c>
      <c r="C2162" s="20" t="s">
        <v>2913</v>
      </c>
      <c r="D2162" s="378" t="s">
        <v>3026</v>
      </c>
      <c r="E2162" s="384" t="s">
        <v>2932</v>
      </c>
      <c r="F2162" s="384" t="s">
        <v>2933</v>
      </c>
      <c r="G2162" s="385" t="s">
        <v>179</v>
      </c>
      <c r="H2162" s="385" t="s">
        <v>2934</v>
      </c>
      <c r="I2162" s="378">
        <v>1</v>
      </c>
      <c r="J2162" s="385" t="s">
        <v>163</v>
      </c>
      <c r="K2162" s="378" t="s">
        <v>2935</v>
      </c>
      <c r="L2162" s="378" t="s">
        <v>2848</v>
      </c>
      <c r="M2162" s="380">
        <v>2400</v>
      </c>
      <c r="N2162" s="380"/>
      <c r="O2162" s="380"/>
      <c r="P2162" s="380"/>
      <c r="Q2162" s="381">
        <v>61.2</v>
      </c>
      <c r="R2162" s="381">
        <v>61.2</v>
      </c>
      <c r="S2162" s="381">
        <v>1.9099999999999999E-2</v>
      </c>
      <c r="T2162" s="381">
        <v>2.02E-4</v>
      </c>
      <c r="U2162" s="381">
        <v>0</v>
      </c>
      <c r="V2162" s="382">
        <v>61.219302000000006</v>
      </c>
      <c r="W2162" s="382">
        <v>0</v>
      </c>
      <c r="X2162" s="381">
        <v>6.1200000000000004E-2</v>
      </c>
      <c r="Y2162" s="381">
        <v>6.1200000000000004E-2</v>
      </c>
      <c r="Z2162" s="381">
        <v>1.91E-5</v>
      </c>
      <c r="AA2162" s="381">
        <v>2.0200000000000001E-7</v>
      </c>
      <c r="AB2162" s="381">
        <v>0</v>
      </c>
      <c r="AC2162" s="382">
        <v>6.1219302000000003E-2</v>
      </c>
      <c r="AD2162" s="382">
        <v>0</v>
      </c>
      <c r="AE2162" s="381" t="s">
        <v>168</v>
      </c>
    </row>
    <row r="2163" spans="1:31" ht="15" customHeight="1" x14ac:dyDescent="0.25">
      <c r="A2163" s="20" t="s">
        <v>2913</v>
      </c>
      <c r="B2163" s="20" t="s">
        <v>2913</v>
      </c>
      <c r="C2163" s="20" t="s">
        <v>2913</v>
      </c>
      <c r="D2163" s="378" t="s">
        <v>3027</v>
      </c>
      <c r="E2163" s="384" t="s">
        <v>2932</v>
      </c>
      <c r="F2163" s="384" t="s">
        <v>2933</v>
      </c>
      <c r="G2163" s="385" t="s">
        <v>179</v>
      </c>
      <c r="H2163" s="385" t="s">
        <v>2934</v>
      </c>
      <c r="I2163" s="378">
        <v>1</v>
      </c>
      <c r="J2163" s="385" t="s">
        <v>163</v>
      </c>
      <c r="K2163" s="378" t="s">
        <v>2935</v>
      </c>
      <c r="L2163" s="378" t="s">
        <v>2848</v>
      </c>
      <c r="M2163" s="380">
        <v>2400</v>
      </c>
      <c r="N2163" s="380"/>
      <c r="O2163" s="380"/>
      <c r="P2163" s="380"/>
      <c r="Q2163" s="381">
        <v>66.3</v>
      </c>
      <c r="R2163" s="381">
        <v>66.3</v>
      </c>
      <c r="S2163" s="381">
        <v>2.0500000000000001E-2</v>
      </c>
      <c r="T2163" s="381">
        <v>2.0900000000000001E-4</v>
      </c>
      <c r="U2163" s="381">
        <v>0</v>
      </c>
      <c r="V2163" s="382">
        <v>66.320708999999994</v>
      </c>
      <c r="W2163" s="382">
        <v>0</v>
      </c>
      <c r="X2163" s="381">
        <v>6.6299999999999998E-2</v>
      </c>
      <c r="Y2163" s="381">
        <v>6.6299999999999998E-2</v>
      </c>
      <c r="Z2163" s="381">
        <v>2.05E-5</v>
      </c>
      <c r="AA2163" s="381">
        <v>2.0900000000000001E-7</v>
      </c>
      <c r="AB2163" s="381">
        <v>0</v>
      </c>
      <c r="AC2163" s="382">
        <v>6.6320709000000005E-2</v>
      </c>
      <c r="AD2163" s="382">
        <v>0</v>
      </c>
      <c r="AE2163" s="381" t="s">
        <v>168</v>
      </c>
    </row>
    <row r="2164" spans="1:31" ht="15" customHeight="1" x14ac:dyDescent="0.25">
      <c r="A2164" s="20" t="s">
        <v>2913</v>
      </c>
      <c r="B2164" s="20" t="s">
        <v>2913</v>
      </c>
      <c r="C2164" s="20" t="s">
        <v>2913</v>
      </c>
      <c r="D2164" s="378" t="s">
        <v>3028</v>
      </c>
      <c r="E2164" s="384" t="s">
        <v>2932</v>
      </c>
      <c r="F2164" s="384" t="s">
        <v>2933</v>
      </c>
      <c r="G2164" s="385" t="s">
        <v>281</v>
      </c>
      <c r="H2164" s="385" t="s">
        <v>2942</v>
      </c>
      <c r="I2164" s="378">
        <v>1</v>
      </c>
      <c r="J2164" s="385" t="s">
        <v>163</v>
      </c>
      <c r="K2164" s="378" t="s">
        <v>2943</v>
      </c>
      <c r="L2164" s="378" t="s">
        <v>2848</v>
      </c>
      <c r="M2164" s="380">
        <v>2400</v>
      </c>
      <c r="N2164" s="380"/>
      <c r="O2164" s="380"/>
      <c r="P2164" s="380"/>
      <c r="Q2164" s="381">
        <v>82.2</v>
      </c>
      <c r="R2164" s="381">
        <v>82.2</v>
      </c>
      <c r="S2164" s="381">
        <v>2.5399999999999999E-2</v>
      </c>
      <c r="T2164" s="381">
        <v>9.1000000000000003E-5</v>
      </c>
      <c r="U2164" s="381">
        <v>0</v>
      </c>
      <c r="V2164" s="382">
        <v>82.225491000000005</v>
      </c>
      <c r="W2164" s="382">
        <v>0</v>
      </c>
      <c r="X2164" s="381">
        <v>8.2200000000000009E-2</v>
      </c>
      <c r="Y2164" s="381">
        <v>8.2200000000000009E-2</v>
      </c>
      <c r="Z2164" s="381">
        <v>2.5399999999999997E-5</v>
      </c>
      <c r="AA2164" s="381">
        <v>9.1000000000000008E-8</v>
      </c>
      <c r="AB2164" s="381">
        <v>0</v>
      </c>
      <c r="AC2164" s="382">
        <v>8.2225490999999998E-2</v>
      </c>
      <c r="AD2164" s="382">
        <v>0</v>
      </c>
      <c r="AE2164" s="381" t="s">
        <v>168</v>
      </c>
    </row>
    <row r="2165" spans="1:31" ht="15" customHeight="1" x14ac:dyDescent="0.25">
      <c r="A2165" s="20" t="s">
        <v>2913</v>
      </c>
      <c r="B2165" s="20" t="s">
        <v>2913</v>
      </c>
      <c r="C2165" s="20" t="s">
        <v>2913</v>
      </c>
      <c r="D2165" s="378" t="s">
        <v>3029</v>
      </c>
      <c r="E2165" s="384" t="s">
        <v>2932</v>
      </c>
      <c r="F2165" s="384" t="s">
        <v>2933</v>
      </c>
      <c r="G2165" s="385" t="s">
        <v>179</v>
      </c>
      <c r="H2165" s="385" t="s">
        <v>2934</v>
      </c>
      <c r="I2165" s="378">
        <v>1</v>
      </c>
      <c r="J2165" s="385" t="s">
        <v>163</v>
      </c>
      <c r="K2165" s="378" t="s">
        <v>2935</v>
      </c>
      <c r="L2165" s="378" t="s">
        <v>2848</v>
      </c>
      <c r="M2165" s="380">
        <v>2400</v>
      </c>
      <c r="N2165" s="380"/>
      <c r="O2165" s="380"/>
      <c r="P2165" s="380"/>
      <c r="Q2165" s="381">
        <v>61.4</v>
      </c>
      <c r="R2165" s="381">
        <v>61.4</v>
      </c>
      <c r="S2165" s="381">
        <v>1.78E-2</v>
      </c>
      <c r="T2165" s="381">
        <v>1.76E-4</v>
      </c>
      <c r="U2165" s="381">
        <v>0</v>
      </c>
      <c r="V2165" s="382">
        <v>61.417976000000003</v>
      </c>
      <c r="W2165" s="382">
        <v>0</v>
      </c>
      <c r="X2165" s="381">
        <v>6.1399999999999996E-2</v>
      </c>
      <c r="Y2165" s="381">
        <v>6.1399999999999996E-2</v>
      </c>
      <c r="Z2165" s="381">
        <v>1.7799999999999999E-5</v>
      </c>
      <c r="AA2165" s="381">
        <v>1.7599999999999999E-7</v>
      </c>
      <c r="AB2165" s="381">
        <v>0</v>
      </c>
      <c r="AC2165" s="382">
        <v>6.1417975999999992E-2</v>
      </c>
      <c r="AD2165" s="382">
        <v>0</v>
      </c>
      <c r="AE2165" s="381" t="s">
        <v>168</v>
      </c>
    </row>
    <row r="2166" spans="1:31" ht="15" customHeight="1" x14ac:dyDescent="0.25">
      <c r="A2166" s="20" t="s">
        <v>2913</v>
      </c>
      <c r="B2166" s="20" t="s">
        <v>2913</v>
      </c>
      <c r="C2166" s="20" t="s">
        <v>2913</v>
      </c>
      <c r="D2166" s="378" t="s">
        <v>3030</v>
      </c>
      <c r="E2166" s="384" t="s">
        <v>2932</v>
      </c>
      <c r="F2166" s="384" t="s">
        <v>2933</v>
      </c>
      <c r="G2166" s="385" t="s">
        <v>179</v>
      </c>
      <c r="H2166" s="385" t="s">
        <v>2934</v>
      </c>
      <c r="I2166" s="378">
        <v>1</v>
      </c>
      <c r="J2166" s="385" t="s">
        <v>163</v>
      </c>
      <c r="K2166" s="378" t="s">
        <v>2935</v>
      </c>
      <c r="L2166" s="378" t="s">
        <v>2848</v>
      </c>
      <c r="M2166" s="380">
        <v>2400</v>
      </c>
      <c r="N2166" s="380"/>
      <c r="O2166" s="380"/>
      <c r="P2166" s="380"/>
      <c r="Q2166" s="381">
        <v>62.9</v>
      </c>
      <c r="R2166" s="381">
        <v>62.9</v>
      </c>
      <c r="S2166" s="381">
        <v>1.8100000000000002E-2</v>
      </c>
      <c r="T2166" s="381">
        <v>1.93E-4</v>
      </c>
      <c r="U2166" s="381">
        <v>0</v>
      </c>
      <c r="V2166" s="382">
        <v>62.918292999999998</v>
      </c>
      <c r="W2166" s="382">
        <v>0</v>
      </c>
      <c r="X2166" s="381">
        <v>6.2899999999999998E-2</v>
      </c>
      <c r="Y2166" s="381">
        <v>6.2899999999999998E-2</v>
      </c>
      <c r="Z2166" s="381">
        <v>1.8100000000000003E-5</v>
      </c>
      <c r="AA2166" s="381">
        <v>1.9299999999999999E-7</v>
      </c>
      <c r="AB2166" s="381">
        <v>0</v>
      </c>
      <c r="AC2166" s="382">
        <v>6.2918292999999986E-2</v>
      </c>
      <c r="AD2166" s="382">
        <v>0</v>
      </c>
      <c r="AE2166" s="381" t="s">
        <v>168</v>
      </c>
    </row>
    <row r="2167" spans="1:31" ht="15" customHeight="1" x14ac:dyDescent="0.25">
      <c r="A2167" s="20" t="s">
        <v>2913</v>
      </c>
      <c r="B2167" s="20" t="s">
        <v>2913</v>
      </c>
      <c r="C2167" s="20" t="s">
        <v>2913</v>
      </c>
      <c r="D2167" s="378" t="s">
        <v>3031</v>
      </c>
      <c r="E2167" s="384" t="s">
        <v>2920</v>
      </c>
      <c r="F2167" s="384" t="s">
        <v>2921</v>
      </c>
      <c r="G2167" s="385" t="s">
        <v>160</v>
      </c>
      <c r="H2167" s="385" t="s">
        <v>2922</v>
      </c>
      <c r="I2167" s="378">
        <v>1</v>
      </c>
      <c r="J2167" s="385" t="s">
        <v>163</v>
      </c>
      <c r="K2167" s="378" t="s">
        <v>2923</v>
      </c>
      <c r="L2167" s="378" t="s">
        <v>2848</v>
      </c>
      <c r="M2167" s="380">
        <v>2400</v>
      </c>
      <c r="N2167" s="380"/>
      <c r="O2167" s="380"/>
      <c r="P2167" s="380"/>
      <c r="Q2167" s="381">
        <v>83.4</v>
      </c>
      <c r="R2167" s="381">
        <v>83.3</v>
      </c>
      <c r="S2167" s="381">
        <v>0.124</v>
      </c>
      <c r="T2167" s="381">
        <v>1.7799999999999999E-4</v>
      </c>
      <c r="U2167" s="381">
        <v>0</v>
      </c>
      <c r="V2167" s="382">
        <v>83.424177999999998</v>
      </c>
      <c r="W2167" s="382">
        <v>0</v>
      </c>
      <c r="X2167" s="381">
        <v>8.3400000000000002E-2</v>
      </c>
      <c r="Y2167" s="381">
        <v>8.3299999999999999E-2</v>
      </c>
      <c r="Z2167" s="381">
        <v>1.2400000000000001E-4</v>
      </c>
      <c r="AA2167" s="381">
        <v>1.7799999999999998E-7</v>
      </c>
      <c r="AB2167" s="381">
        <v>0</v>
      </c>
      <c r="AC2167" s="382">
        <v>8.3424178000000002E-2</v>
      </c>
      <c r="AD2167" s="382">
        <v>0</v>
      </c>
      <c r="AE2167" s="381" t="s">
        <v>168</v>
      </c>
    </row>
    <row r="2168" spans="1:31" ht="15" customHeight="1" x14ac:dyDescent="0.25">
      <c r="A2168" s="20" t="s">
        <v>2913</v>
      </c>
      <c r="B2168" s="20" t="s">
        <v>2913</v>
      </c>
      <c r="C2168" s="20" t="s">
        <v>2913</v>
      </c>
      <c r="D2168" s="378" t="s">
        <v>3032</v>
      </c>
      <c r="E2168" s="384" t="s">
        <v>2932</v>
      </c>
      <c r="F2168" s="384" t="s">
        <v>2933</v>
      </c>
      <c r="G2168" s="385" t="s">
        <v>179</v>
      </c>
      <c r="H2168" s="385" t="s">
        <v>2934</v>
      </c>
      <c r="I2168" s="378">
        <v>1</v>
      </c>
      <c r="J2168" s="385" t="s">
        <v>163</v>
      </c>
      <c r="K2168" s="378" t="s">
        <v>2935</v>
      </c>
      <c r="L2168" s="378" t="s">
        <v>2848</v>
      </c>
      <c r="M2168" s="380">
        <v>2400</v>
      </c>
      <c r="N2168" s="380"/>
      <c r="O2168" s="380"/>
      <c r="P2168" s="380"/>
      <c r="Q2168" s="381">
        <v>60.5</v>
      </c>
      <c r="R2168" s="381">
        <v>60.5</v>
      </c>
      <c r="S2168" s="381">
        <v>1.7299999999999999E-2</v>
      </c>
      <c r="T2168" s="381">
        <v>1.7100000000000001E-4</v>
      </c>
      <c r="U2168" s="381">
        <v>0</v>
      </c>
      <c r="V2168" s="382">
        <v>60.517471</v>
      </c>
      <c r="W2168" s="382">
        <v>0</v>
      </c>
      <c r="X2168" s="381">
        <v>6.0499999999999998E-2</v>
      </c>
      <c r="Y2168" s="381">
        <v>6.0499999999999998E-2</v>
      </c>
      <c r="Z2168" s="381">
        <v>1.73E-5</v>
      </c>
      <c r="AA2168" s="381">
        <v>1.7100000000000001E-7</v>
      </c>
      <c r="AB2168" s="381">
        <v>0</v>
      </c>
      <c r="AC2168" s="382">
        <v>6.0517470999999996E-2</v>
      </c>
      <c r="AD2168" s="382">
        <v>0</v>
      </c>
      <c r="AE2168" s="381" t="s">
        <v>168</v>
      </c>
    </row>
    <row r="2169" spans="1:31" ht="15" customHeight="1" x14ac:dyDescent="0.25">
      <c r="A2169" s="20" t="s">
        <v>2913</v>
      </c>
      <c r="B2169" s="20" t="s">
        <v>2913</v>
      </c>
      <c r="C2169" s="20" t="s">
        <v>2913</v>
      </c>
      <c r="D2169" s="378" t="s">
        <v>3033</v>
      </c>
      <c r="E2169" s="384" t="s">
        <v>2932</v>
      </c>
      <c r="F2169" s="384" t="s">
        <v>2933</v>
      </c>
      <c r="G2169" s="385" t="s">
        <v>179</v>
      </c>
      <c r="H2169" s="385" t="s">
        <v>2934</v>
      </c>
      <c r="I2169" s="378">
        <v>1</v>
      </c>
      <c r="J2169" s="385" t="s">
        <v>163</v>
      </c>
      <c r="K2169" s="378" t="s">
        <v>2935</v>
      </c>
      <c r="L2169" s="378" t="s">
        <v>2848</v>
      </c>
      <c r="M2169" s="380">
        <v>2400</v>
      </c>
      <c r="N2169" s="380"/>
      <c r="O2169" s="380"/>
      <c r="P2169" s="380"/>
      <c r="Q2169" s="381">
        <v>62.2</v>
      </c>
      <c r="R2169" s="381">
        <v>62.2</v>
      </c>
      <c r="S2169" s="381">
        <v>1.77E-2</v>
      </c>
      <c r="T2169" s="381">
        <v>1.7200000000000001E-4</v>
      </c>
      <c r="U2169" s="381">
        <v>0</v>
      </c>
      <c r="V2169" s="382">
        <v>62.217872</v>
      </c>
      <c r="W2169" s="382">
        <v>0</v>
      </c>
      <c r="X2169" s="381">
        <v>6.2200000000000005E-2</v>
      </c>
      <c r="Y2169" s="381">
        <v>6.2200000000000005E-2</v>
      </c>
      <c r="Z2169" s="381">
        <v>1.77E-5</v>
      </c>
      <c r="AA2169" s="381">
        <v>1.72E-7</v>
      </c>
      <c r="AB2169" s="381">
        <v>0</v>
      </c>
      <c r="AC2169" s="382">
        <v>6.2217872000000007E-2</v>
      </c>
      <c r="AD2169" s="382">
        <v>0</v>
      </c>
      <c r="AE2169" s="381" t="s">
        <v>168</v>
      </c>
    </row>
    <row r="2170" spans="1:31" ht="15" customHeight="1" x14ac:dyDescent="0.25">
      <c r="A2170" s="20" t="s">
        <v>2913</v>
      </c>
      <c r="B2170" s="20" t="s">
        <v>2913</v>
      </c>
      <c r="C2170" s="20" t="s">
        <v>2913</v>
      </c>
      <c r="D2170" s="378" t="s">
        <v>3034</v>
      </c>
      <c r="E2170" s="384" t="s">
        <v>2932</v>
      </c>
      <c r="F2170" s="384" t="s">
        <v>2933</v>
      </c>
      <c r="G2170" s="385" t="s">
        <v>179</v>
      </c>
      <c r="H2170" s="385" t="s">
        <v>2934</v>
      </c>
      <c r="I2170" s="378">
        <v>1</v>
      </c>
      <c r="J2170" s="385" t="s">
        <v>163</v>
      </c>
      <c r="K2170" s="378" t="s">
        <v>2935</v>
      </c>
      <c r="L2170" s="378" t="s">
        <v>2848</v>
      </c>
      <c r="M2170" s="380">
        <v>2400</v>
      </c>
      <c r="N2170" s="380"/>
      <c r="O2170" s="380"/>
      <c r="P2170" s="380"/>
      <c r="Q2170" s="381">
        <v>59</v>
      </c>
      <c r="R2170" s="381">
        <v>59</v>
      </c>
      <c r="S2170" s="381">
        <v>1.6400000000000001E-2</v>
      </c>
      <c r="T2170" s="381">
        <v>1.6200000000000001E-4</v>
      </c>
      <c r="U2170" s="381">
        <v>0</v>
      </c>
      <c r="V2170" s="382">
        <v>59.016562</v>
      </c>
      <c r="W2170" s="382">
        <v>0</v>
      </c>
      <c r="X2170" s="381">
        <v>5.8999999999999997E-2</v>
      </c>
      <c r="Y2170" s="381">
        <v>5.8999999999999997E-2</v>
      </c>
      <c r="Z2170" s="381">
        <v>1.6400000000000002E-5</v>
      </c>
      <c r="AA2170" s="381">
        <v>1.6199999999999999E-7</v>
      </c>
      <c r="AB2170" s="381">
        <v>0</v>
      </c>
      <c r="AC2170" s="382">
        <v>5.9016561999999995E-2</v>
      </c>
      <c r="AD2170" s="382">
        <v>0</v>
      </c>
      <c r="AE2170" s="381" t="s">
        <v>168</v>
      </c>
    </row>
    <row r="2171" spans="1:31" ht="15" customHeight="1" x14ac:dyDescent="0.25">
      <c r="A2171" s="20" t="s">
        <v>2913</v>
      </c>
      <c r="B2171" s="20" t="s">
        <v>2913</v>
      </c>
      <c r="C2171" s="20" t="s">
        <v>2913</v>
      </c>
      <c r="D2171" s="378" t="s">
        <v>3035</v>
      </c>
      <c r="E2171" s="384" t="s">
        <v>2932</v>
      </c>
      <c r="F2171" s="384" t="s">
        <v>2933</v>
      </c>
      <c r="G2171" s="385" t="s">
        <v>281</v>
      </c>
      <c r="H2171" s="385" t="s">
        <v>2942</v>
      </c>
      <c r="I2171" s="378">
        <v>1</v>
      </c>
      <c r="J2171" s="385" t="s">
        <v>163</v>
      </c>
      <c r="K2171" s="378" t="s">
        <v>2943</v>
      </c>
      <c r="L2171" s="378" t="s">
        <v>2848</v>
      </c>
      <c r="M2171" s="380">
        <v>2400</v>
      </c>
      <c r="N2171" s="380"/>
      <c r="O2171" s="380"/>
      <c r="P2171" s="380"/>
      <c r="Q2171" s="381">
        <v>86.9</v>
      </c>
      <c r="R2171" s="381">
        <v>86.9</v>
      </c>
      <c r="S2171" s="381">
        <v>2.3699999999999999E-2</v>
      </c>
      <c r="T2171" s="381">
        <v>9.5799999999999998E-5</v>
      </c>
      <c r="U2171" s="381">
        <v>0</v>
      </c>
      <c r="V2171" s="382">
        <v>86.923795800000008</v>
      </c>
      <c r="W2171" s="382">
        <v>0</v>
      </c>
      <c r="X2171" s="381">
        <v>8.6900000000000005E-2</v>
      </c>
      <c r="Y2171" s="381">
        <v>8.6900000000000005E-2</v>
      </c>
      <c r="Z2171" s="381">
        <v>2.37E-5</v>
      </c>
      <c r="AA2171" s="381">
        <v>9.5799999999999998E-8</v>
      </c>
      <c r="AB2171" s="381">
        <v>0</v>
      </c>
      <c r="AC2171" s="382">
        <v>8.6923795800000009E-2</v>
      </c>
      <c r="AD2171" s="382">
        <v>0</v>
      </c>
      <c r="AE2171" s="381" t="s">
        <v>168</v>
      </c>
    </row>
    <row r="2172" spans="1:31" ht="15" customHeight="1" x14ac:dyDescent="0.25">
      <c r="A2172" s="20" t="s">
        <v>2913</v>
      </c>
      <c r="B2172" s="20" t="s">
        <v>2913</v>
      </c>
      <c r="C2172" s="20" t="s">
        <v>2913</v>
      </c>
      <c r="D2172" s="378" t="s">
        <v>3036</v>
      </c>
      <c r="E2172" s="384" t="s">
        <v>2932</v>
      </c>
      <c r="F2172" s="384" t="s">
        <v>2933</v>
      </c>
      <c r="G2172" s="385" t="s">
        <v>179</v>
      </c>
      <c r="H2172" s="385" t="s">
        <v>2934</v>
      </c>
      <c r="I2172" s="378">
        <v>1</v>
      </c>
      <c r="J2172" s="385" t="s">
        <v>163</v>
      </c>
      <c r="K2172" s="378" t="s">
        <v>2935</v>
      </c>
      <c r="L2172" s="378" t="s">
        <v>2848</v>
      </c>
      <c r="M2172" s="380">
        <v>2400</v>
      </c>
      <c r="N2172" s="380"/>
      <c r="O2172" s="380"/>
      <c r="P2172" s="380"/>
      <c r="Q2172" s="381">
        <v>55</v>
      </c>
      <c r="R2172" s="381">
        <v>55</v>
      </c>
      <c r="S2172" s="381">
        <v>1.41E-2</v>
      </c>
      <c r="T2172" s="381">
        <v>1.3799999999999999E-4</v>
      </c>
      <c r="U2172" s="381">
        <v>0</v>
      </c>
      <c r="V2172" s="382">
        <v>55.014237999999999</v>
      </c>
      <c r="W2172" s="382">
        <v>0</v>
      </c>
      <c r="X2172" s="381">
        <v>5.5E-2</v>
      </c>
      <c r="Y2172" s="381">
        <v>5.5E-2</v>
      </c>
      <c r="Z2172" s="381">
        <v>1.4100000000000001E-5</v>
      </c>
      <c r="AA2172" s="381">
        <v>1.3799999999999999E-7</v>
      </c>
      <c r="AB2172" s="381">
        <v>0</v>
      </c>
      <c r="AC2172" s="382">
        <v>5.5014238E-2</v>
      </c>
      <c r="AD2172" s="382">
        <v>0</v>
      </c>
      <c r="AE2172" s="381" t="s">
        <v>168</v>
      </c>
    </row>
    <row r="2173" spans="1:31" ht="15" customHeight="1" x14ac:dyDescent="0.25">
      <c r="A2173" s="20" t="s">
        <v>2913</v>
      </c>
      <c r="B2173" s="20" t="s">
        <v>2913</v>
      </c>
      <c r="C2173" s="20" t="s">
        <v>2913</v>
      </c>
      <c r="D2173" s="378" t="s">
        <v>3037</v>
      </c>
      <c r="E2173" s="384" t="s">
        <v>2932</v>
      </c>
      <c r="F2173" s="384" t="s">
        <v>2933</v>
      </c>
      <c r="G2173" s="385" t="s">
        <v>179</v>
      </c>
      <c r="H2173" s="385" t="s">
        <v>2934</v>
      </c>
      <c r="I2173" s="378">
        <v>1</v>
      </c>
      <c r="J2173" s="385" t="s">
        <v>163</v>
      </c>
      <c r="K2173" s="378" t="s">
        <v>2935</v>
      </c>
      <c r="L2173" s="378" t="s">
        <v>2848</v>
      </c>
      <c r="M2173" s="380">
        <v>2400</v>
      </c>
      <c r="N2173" s="380"/>
      <c r="O2173" s="380"/>
      <c r="P2173" s="380"/>
      <c r="Q2173" s="381">
        <v>52.8</v>
      </c>
      <c r="R2173" s="381">
        <v>52.8</v>
      </c>
      <c r="S2173" s="381">
        <v>1.2699999999999999E-2</v>
      </c>
      <c r="T2173" s="381">
        <v>1.26E-4</v>
      </c>
      <c r="U2173" s="381">
        <v>0</v>
      </c>
      <c r="V2173" s="382">
        <v>52.812826000000001</v>
      </c>
      <c r="W2173" s="382">
        <v>0</v>
      </c>
      <c r="X2173" s="381">
        <v>5.28E-2</v>
      </c>
      <c r="Y2173" s="381">
        <v>5.28E-2</v>
      </c>
      <c r="Z2173" s="381">
        <v>1.2699999999999999E-5</v>
      </c>
      <c r="AA2173" s="381">
        <v>1.2599999999999999E-7</v>
      </c>
      <c r="AB2173" s="381">
        <v>0</v>
      </c>
      <c r="AC2173" s="382">
        <v>5.2812826E-2</v>
      </c>
      <c r="AD2173" s="382">
        <v>0</v>
      </c>
      <c r="AE2173" s="381" t="s">
        <v>168</v>
      </c>
    </row>
    <row r="2174" spans="1:31" ht="15" customHeight="1" x14ac:dyDescent="0.25">
      <c r="A2174" s="20" t="s">
        <v>2913</v>
      </c>
      <c r="B2174" s="20" t="s">
        <v>2913</v>
      </c>
      <c r="C2174" s="20" t="s">
        <v>2913</v>
      </c>
      <c r="D2174" s="378" t="s">
        <v>3038</v>
      </c>
      <c r="E2174" s="384" t="s">
        <v>2932</v>
      </c>
      <c r="F2174" s="384" t="s">
        <v>2933</v>
      </c>
      <c r="G2174" s="385" t="s">
        <v>179</v>
      </c>
      <c r="H2174" s="385" t="s">
        <v>2934</v>
      </c>
      <c r="I2174" s="378">
        <v>1</v>
      </c>
      <c r="J2174" s="385" t="s">
        <v>163</v>
      </c>
      <c r="K2174" s="378" t="s">
        <v>2935</v>
      </c>
      <c r="L2174" s="378" t="s">
        <v>2848</v>
      </c>
      <c r="M2174" s="380">
        <v>2400</v>
      </c>
      <c r="N2174" s="380"/>
      <c r="O2174" s="380"/>
      <c r="P2174" s="380"/>
      <c r="Q2174" s="381">
        <v>52.7</v>
      </c>
      <c r="R2174" s="381">
        <v>52.7</v>
      </c>
      <c r="S2174" s="381">
        <v>1.2500000000000001E-2</v>
      </c>
      <c r="T2174" s="381">
        <v>1.3100000000000001E-4</v>
      </c>
      <c r="U2174" s="381">
        <v>0</v>
      </c>
      <c r="V2174" s="382">
        <v>52.712631000000009</v>
      </c>
      <c r="W2174" s="382">
        <v>0</v>
      </c>
      <c r="X2174" s="381">
        <v>5.2700000000000004E-2</v>
      </c>
      <c r="Y2174" s="381">
        <v>5.2700000000000004E-2</v>
      </c>
      <c r="Z2174" s="381">
        <v>1.2500000000000001E-5</v>
      </c>
      <c r="AA2174" s="381">
        <v>1.3100000000000002E-7</v>
      </c>
      <c r="AB2174" s="381">
        <v>0</v>
      </c>
      <c r="AC2174" s="382">
        <v>5.2712631000000003E-2</v>
      </c>
      <c r="AD2174" s="382">
        <v>0</v>
      </c>
      <c r="AE2174" s="381" t="s">
        <v>168</v>
      </c>
    </row>
    <row r="2175" spans="1:31" ht="15" customHeight="1" x14ac:dyDescent="0.25">
      <c r="A2175" s="20" t="s">
        <v>2913</v>
      </c>
      <c r="B2175" s="20" t="s">
        <v>2913</v>
      </c>
      <c r="C2175" s="20" t="s">
        <v>2913</v>
      </c>
      <c r="D2175" s="378" t="s">
        <v>3039</v>
      </c>
      <c r="E2175" s="384" t="s">
        <v>2920</v>
      </c>
      <c r="F2175" s="384" t="s">
        <v>2921</v>
      </c>
      <c r="G2175" s="385" t="s">
        <v>160</v>
      </c>
      <c r="H2175" s="385" t="s">
        <v>2922</v>
      </c>
      <c r="I2175" s="378">
        <v>1</v>
      </c>
      <c r="J2175" s="385" t="s">
        <v>163</v>
      </c>
      <c r="K2175" s="378" t="s">
        <v>2923</v>
      </c>
      <c r="L2175" s="378" t="s">
        <v>2848</v>
      </c>
      <c r="M2175" s="380">
        <v>2400</v>
      </c>
      <c r="N2175" s="380"/>
      <c r="O2175" s="380"/>
      <c r="P2175" s="380"/>
      <c r="Q2175" s="381">
        <v>79.7</v>
      </c>
      <c r="R2175" s="381">
        <v>79.599999999999994</v>
      </c>
      <c r="S2175" s="381">
        <v>0.11799999999999999</v>
      </c>
      <c r="T2175" s="381">
        <v>1.7000000000000001E-4</v>
      </c>
      <c r="U2175" s="381">
        <v>0</v>
      </c>
      <c r="V2175" s="382">
        <v>79.718169999999986</v>
      </c>
      <c r="W2175" s="382">
        <v>0</v>
      </c>
      <c r="X2175" s="381">
        <v>7.9700000000000007E-2</v>
      </c>
      <c r="Y2175" s="381">
        <v>7.959999999999999E-2</v>
      </c>
      <c r="Z2175" s="381">
        <v>1.18E-4</v>
      </c>
      <c r="AA2175" s="381">
        <v>1.7000000000000001E-7</v>
      </c>
      <c r="AB2175" s="381">
        <v>0</v>
      </c>
      <c r="AC2175" s="382">
        <v>7.9718169999999977E-2</v>
      </c>
      <c r="AD2175" s="382">
        <v>0</v>
      </c>
      <c r="AE2175" s="381" t="s">
        <v>168</v>
      </c>
    </row>
    <row r="2176" spans="1:31" ht="15" customHeight="1" x14ac:dyDescent="0.25">
      <c r="A2176" s="20" t="s">
        <v>2913</v>
      </c>
      <c r="B2176" s="20" t="s">
        <v>2913</v>
      </c>
      <c r="C2176" s="20" t="s">
        <v>2913</v>
      </c>
      <c r="D2176" s="378" t="s">
        <v>3040</v>
      </c>
      <c r="E2176" s="384" t="s">
        <v>2932</v>
      </c>
      <c r="F2176" s="384" t="s">
        <v>2933</v>
      </c>
      <c r="G2176" s="385" t="s">
        <v>281</v>
      </c>
      <c r="H2176" s="385" t="s">
        <v>2942</v>
      </c>
      <c r="I2176" s="378">
        <v>1</v>
      </c>
      <c r="J2176" s="385" t="s">
        <v>163</v>
      </c>
      <c r="K2176" s="378" t="s">
        <v>2943</v>
      </c>
      <c r="L2176" s="378" t="s">
        <v>2848</v>
      </c>
      <c r="M2176" s="380">
        <v>2400</v>
      </c>
      <c r="N2176" s="380"/>
      <c r="O2176" s="380"/>
      <c r="P2176" s="380"/>
      <c r="Q2176" s="381">
        <v>63.6</v>
      </c>
      <c r="R2176" s="381">
        <v>62.7</v>
      </c>
      <c r="S2176" s="381">
        <v>0.91300000000000003</v>
      </c>
      <c r="T2176" s="381">
        <v>8.7399999999999997E-5</v>
      </c>
      <c r="U2176" s="381">
        <v>0</v>
      </c>
      <c r="V2176" s="382">
        <v>63.613087399999998</v>
      </c>
      <c r="W2176" s="382">
        <v>0</v>
      </c>
      <c r="X2176" s="381">
        <v>6.3600000000000004E-2</v>
      </c>
      <c r="Y2176" s="381">
        <v>6.2700000000000006E-2</v>
      </c>
      <c r="Z2176" s="381">
        <v>9.1300000000000007E-4</v>
      </c>
      <c r="AA2176" s="381">
        <v>8.7400000000000002E-8</v>
      </c>
      <c r="AB2176" s="381">
        <v>0</v>
      </c>
      <c r="AC2176" s="382">
        <v>6.3613087400000004E-2</v>
      </c>
      <c r="AD2176" s="382">
        <v>0</v>
      </c>
      <c r="AE2176" s="381" t="s">
        <v>168</v>
      </c>
    </row>
    <row r="2177" spans="1:31" ht="15" customHeight="1" x14ac:dyDescent="0.25">
      <c r="A2177" s="20" t="s">
        <v>2913</v>
      </c>
      <c r="B2177" s="20" t="s">
        <v>2913</v>
      </c>
      <c r="C2177" s="20" t="s">
        <v>2913</v>
      </c>
      <c r="D2177" s="378" t="s">
        <v>3041</v>
      </c>
      <c r="E2177" s="384" t="s">
        <v>2932</v>
      </c>
      <c r="F2177" s="384" t="s">
        <v>2933</v>
      </c>
      <c r="G2177" s="385" t="s">
        <v>281</v>
      </c>
      <c r="H2177" s="385" t="s">
        <v>2942</v>
      </c>
      <c r="I2177" s="378">
        <v>1</v>
      </c>
      <c r="J2177" s="385" t="s">
        <v>163</v>
      </c>
      <c r="K2177" s="378" t="s">
        <v>2943</v>
      </c>
      <c r="L2177" s="378" t="s">
        <v>2848</v>
      </c>
      <c r="M2177" s="380">
        <v>2400</v>
      </c>
      <c r="N2177" s="380"/>
      <c r="O2177" s="380"/>
      <c r="P2177" s="380"/>
      <c r="Q2177" s="381">
        <v>73.5</v>
      </c>
      <c r="R2177" s="381">
        <v>72.599999999999994</v>
      </c>
      <c r="S2177" s="381">
        <v>0.91500000000000004</v>
      </c>
      <c r="T2177" s="381">
        <v>8.8700000000000001E-5</v>
      </c>
      <c r="U2177" s="381">
        <v>0</v>
      </c>
      <c r="V2177" s="382">
        <v>73.515088700000007</v>
      </c>
      <c r="W2177" s="382">
        <v>0</v>
      </c>
      <c r="X2177" s="381">
        <v>7.3499999999999996E-2</v>
      </c>
      <c r="Y2177" s="381">
        <v>7.2599999999999998E-2</v>
      </c>
      <c r="Z2177" s="381">
        <v>9.1500000000000001E-4</v>
      </c>
      <c r="AA2177" s="381">
        <v>8.8700000000000007E-8</v>
      </c>
      <c r="AB2177" s="381">
        <v>0</v>
      </c>
      <c r="AC2177" s="382">
        <v>7.3515088699999995E-2</v>
      </c>
      <c r="AD2177" s="382">
        <v>0</v>
      </c>
      <c r="AE2177" s="381" t="s">
        <v>168</v>
      </c>
    </row>
    <row r="2178" spans="1:31" ht="15" customHeight="1" x14ac:dyDescent="0.25">
      <c r="A2178" s="20" t="s">
        <v>2913</v>
      </c>
      <c r="B2178" s="20" t="s">
        <v>2913</v>
      </c>
      <c r="C2178" s="20" t="s">
        <v>2913</v>
      </c>
      <c r="D2178" s="378" t="s">
        <v>3042</v>
      </c>
      <c r="E2178" s="384" t="s">
        <v>2920</v>
      </c>
      <c r="F2178" s="384" t="s">
        <v>2921</v>
      </c>
      <c r="G2178" s="385" t="s">
        <v>281</v>
      </c>
      <c r="H2178" s="385" t="s">
        <v>2922</v>
      </c>
      <c r="I2178" s="378">
        <v>1</v>
      </c>
      <c r="J2178" s="385" t="s">
        <v>163</v>
      </c>
      <c r="K2178" s="378" t="s">
        <v>2923</v>
      </c>
      <c r="L2178" s="378" t="s">
        <v>2848</v>
      </c>
      <c r="M2178" s="380">
        <v>2400</v>
      </c>
      <c r="N2178" s="380"/>
      <c r="O2178" s="380"/>
      <c r="P2178" s="380"/>
      <c r="Q2178" s="381">
        <v>58.2</v>
      </c>
      <c r="R2178" s="381">
        <v>58.1</v>
      </c>
      <c r="S2178" s="381">
        <v>0.11</v>
      </c>
      <c r="T2178" s="381">
        <v>9.5799999999999998E-5</v>
      </c>
      <c r="U2178" s="381">
        <v>0</v>
      </c>
      <c r="V2178" s="382">
        <v>58.210095799999998</v>
      </c>
      <c r="W2178" s="382">
        <v>0</v>
      </c>
      <c r="X2178" s="381">
        <v>5.8200000000000002E-2</v>
      </c>
      <c r="Y2178" s="381">
        <v>5.8099999999999999E-2</v>
      </c>
      <c r="Z2178" s="381">
        <v>1.1E-4</v>
      </c>
      <c r="AA2178" s="381">
        <v>9.5799999999999998E-8</v>
      </c>
      <c r="AB2178" s="381">
        <v>0</v>
      </c>
      <c r="AC2178" s="382">
        <v>5.82100958E-2</v>
      </c>
      <c r="AD2178" s="382">
        <v>0</v>
      </c>
      <c r="AE2178" s="381" t="s">
        <v>168</v>
      </c>
    </row>
    <row r="2179" spans="1:31" ht="15" customHeight="1" x14ac:dyDescent="0.25">
      <c r="A2179" s="20" t="s">
        <v>2913</v>
      </c>
      <c r="B2179" s="20" t="s">
        <v>2913</v>
      </c>
      <c r="C2179" s="20" t="s">
        <v>2913</v>
      </c>
      <c r="D2179" s="378" t="s">
        <v>3043</v>
      </c>
      <c r="E2179" s="384" t="s">
        <v>2920</v>
      </c>
      <c r="F2179" s="384" t="s">
        <v>2921</v>
      </c>
      <c r="G2179" s="385" t="s">
        <v>160</v>
      </c>
      <c r="H2179" s="385" t="s">
        <v>2922</v>
      </c>
      <c r="I2179" s="378">
        <v>1</v>
      </c>
      <c r="J2179" s="385" t="s">
        <v>163</v>
      </c>
      <c r="K2179" s="378" t="s">
        <v>2923</v>
      </c>
      <c r="L2179" s="378" t="s">
        <v>2848</v>
      </c>
      <c r="M2179" s="380">
        <v>2400</v>
      </c>
      <c r="N2179" s="380"/>
      <c r="O2179" s="380"/>
      <c r="P2179" s="380"/>
      <c r="Q2179" s="381">
        <v>76.400000000000006</v>
      </c>
      <c r="R2179" s="381">
        <v>76.3</v>
      </c>
      <c r="S2179" s="381">
        <v>0.113</v>
      </c>
      <c r="T2179" s="381">
        <v>1.5799999999999999E-4</v>
      </c>
      <c r="U2179" s="381">
        <v>0</v>
      </c>
      <c r="V2179" s="382">
        <v>76.413157999999996</v>
      </c>
      <c r="W2179" s="382">
        <v>0</v>
      </c>
      <c r="X2179" s="381">
        <v>7.640000000000001E-2</v>
      </c>
      <c r="Y2179" s="381">
        <v>7.6299999999999993E-2</v>
      </c>
      <c r="Z2179" s="381">
        <v>1.1300000000000001E-4</v>
      </c>
      <c r="AA2179" s="381">
        <v>1.5799999999999999E-7</v>
      </c>
      <c r="AB2179" s="381">
        <v>0</v>
      </c>
      <c r="AC2179" s="382">
        <v>7.6413157999999995E-2</v>
      </c>
      <c r="AD2179" s="382">
        <v>0</v>
      </c>
      <c r="AE2179" s="381" t="s">
        <v>168</v>
      </c>
    </row>
    <row r="2180" spans="1:31" ht="15" customHeight="1" x14ac:dyDescent="0.25">
      <c r="A2180" s="20" t="s">
        <v>2913</v>
      </c>
      <c r="B2180" s="20" t="s">
        <v>2913</v>
      </c>
      <c r="C2180" s="20" t="s">
        <v>2913</v>
      </c>
      <c r="D2180" s="378" t="s">
        <v>3044</v>
      </c>
      <c r="E2180" s="384" t="s">
        <v>2920</v>
      </c>
      <c r="F2180" s="384" t="s">
        <v>2921</v>
      </c>
      <c r="G2180" s="385" t="s">
        <v>281</v>
      </c>
      <c r="H2180" s="385" t="s">
        <v>2922</v>
      </c>
      <c r="I2180" s="378">
        <v>1</v>
      </c>
      <c r="J2180" s="385" t="s">
        <v>163</v>
      </c>
      <c r="K2180" s="378" t="s">
        <v>2923</v>
      </c>
      <c r="L2180" s="378" t="s">
        <v>2848</v>
      </c>
      <c r="M2180" s="380">
        <v>2400</v>
      </c>
      <c r="N2180" s="380"/>
      <c r="O2180" s="380"/>
      <c r="P2180" s="380"/>
      <c r="Q2180" s="381">
        <v>94.1</v>
      </c>
      <c r="R2180" s="381">
        <v>94</v>
      </c>
      <c r="S2180" s="381">
        <v>0.11600000000000001</v>
      </c>
      <c r="T2180" s="381">
        <v>1.55E-4</v>
      </c>
      <c r="U2180" s="381">
        <v>0</v>
      </c>
      <c r="V2180" s="382">
        <v>94.116155000000006</v>
      </c>
      <c r="W2180" s="382">
        <v>0</v>
      </c>
      <c r="X2180" s="381">
        <v>9.4099999999999989E-2</v>
      </c>
      <c r="Y2180" s="381">
        <v>9.4E-2</v>
      </c>
      <c r="Z2180" s="381">
        <v>1.16E-4</v>
      </c>
      <c r="AA2180" s="381">
        <v>1.55E-7</v>
      </c>
      <c r="AB2180" s="381">
        <v>0</v>
      </c>
      <c r="AC2180" s="382">
        <v>9.4116155000000007E-2</v>
      </c>
      <c r="AD2180" s="382">
        <v>0</v>
      </c>
      <c r="AE2180" s="381" t="s">
        <v>168</v>
      </c>
    </row>
    <row r="2181" spans="1:31" ht="15" customHeight="1" x14ac:dyDescent="0.25">
      <c r="A2181" s="20" t="s">
        <v>2913</v>
      </c>
      <c r="B2181" s="20" t="s">
        <v>2913</v>
      </c>
      <c r="C2181" s="20" t="s">
        <v>2913</v>
      </c>
      <c r="D2181" s="378" t="s">
        <v>3045</v>
      </c>
      <c r="E2181" s="384" t="s">
        <v>2932</v>
      </c>
      <c r="F2181" s="384" t="s">
        <v>2933</v>
      </c>
      <c r="G2181" s="385" t="s">
        <v>281</v>
      </c>
      <c r="H2181" s="385" t="s">
        <v>2942</v>
      </c>
      <c r="I2181" s="378">
        <v>1</v>
      </c>
      <c r="J2181" s="385" t="s">
        <v>163</v>
      </c>
      <c r="K2181" s="378" t="s">
        <v>2943</v>
      </c>
      <c r="L2181" s="378" t="s">
        <v>2848</v>
      </c>
      <c r="M2181" s="380">
        <v>2400</v>
      </c>
      <c r="N2181" s="380"/>
      <c r="O2181" s="380"/>
      <c r="P2181" s="380"/>
      <c r="Q2181" s="381">
        <v>70.5</v>
      </c>
      <c r="R2181" s="381">
        <v>69.599999999999994</v>
      </c>
      <c r="S2181" s="381">
        <v>0.91200000000000003</v>
      </c>
      <c r="T2181" s="381">
        <v>7.7000000000000001E-5</v>
      </c>
      <c r="U2181" s="381">
        <v>0</v>
      </c>
      <c r="V2181" s="382">
        <v>70.512077000000005</v>
      </c>
      <c r="W2181" s="382">
        <v>0</v>
      </c>
      <c r="X2181" s="381">
        <v>7.0499999999999993E-2</v>
      </c>
      <c r="Y2181" s="381">
        <v>6.9599999999999995E-2</v>
      </c>
      <c r="Z2181" s="381">
        <v>9.1200000000000005E-4</v>
      </c>
      <c r="AA2181" s="381">
        <v>7.7000000000000001E-8</v>
      </c>
      <c r="AB2181" s="381">
        <v>0</v>
      </c>
      <c r="AC2181" s="382">
        <v>7.0512076999999992E-2</v>
      </c>
      <c r="AD2181" s="382">
        <v>0</v>
      </c>
      <c r="AE2181" s="381" t="s">
        <v>168</v>
      </c>
    </row>
    <row r="2182" spans="1:31" ht="15" customHeight="1" x14ac:dyDescent="0.25">
      <c r="A2182" s="20" t="s">
        <v>2913</v>
      </c>
      <c r="B2182" s="20" t="s">
        <v>2913</v>
      </c>
      <c r="C2182" s="20" t="s">
        <v>2913</v>
      </c>
      <c r="D2182" s="378" t="s">
        <v>3046</v>
      </c>
      <c r="E2182" s="384" t="s">
        <v>2920</v>
      </c>
      <c r="F2182" s="384" t="s">
        <v>2921</v>
      </c>
      <c r="G2182" s="385" t="s">
        <v>193</v>
      </c>
      <c r="H2182" s="385" t="s">
        <v>2922</v>
      </c>
      <c r="I2182" s="378">
        <v>1</v>
      </c>
      <c r="J2182" s="385" t="s">
        <v>163</v>
      </c>
      <c r="K2182" s="378" t="s">
        <v>2923</v>
      </c>
      <c r="L2182" s="378" t="s">
        <v>2848</v>
      </c>
      <c r="M2182" s="380">
        <v>2400</v>
      </c>
      <c r="N2182" s="380"/>
      <c r="O2182" s="380"/>
      <c r="P2182" s="380"/>
      <c r="Q2182" s="381">
        <v>48.4</v>
      </c>
      <c r="R2182" s="381">
        <v>48.1</v>
      </c>
      <c r="S2182" s="381">
        <v>0.307</v>
      </c>
      <c r="T2182" s="381">
        <v>6.3599999999999996E-4</v>
      </c>
      <c r="U2182" s="381">
        <v>0</v>
      </c>
      <c r="V2182" s="382">
        <v>48.407636000000004</v>
      </c>
      <c r="W2182" s="382">
        <v>0</v>
      </c>
      <c r="X2182" s="381">
        <v>4.8399999999999999E-2</v>
      </c>
      <c r="Y2182" s="381">
        <v>4.8100000000000004E-2</v>
      </c>
      <c r="Z2182" s="381">
        <v>3.0699999999999998E-4</v>
      </c>
      <c r="AA2182" s="381">
        <v>6.3599999999999992E-7</v>
      </c>
      <c r="AB2182" s="381">
        <v>0</v>
      </c>
      <c r="AC2182" s="382">
        <v>4.8407636000000004E-2</v>
      </c>
      <c r="AD2182" s="382">
        <v>0</v>
      </c>
      <c r="AE2182" s="381" t="s">
        <v>168</v>
      </c>
    </row>
    <row r="2183" spans="1:31" ht="15" customHeight="1" x14ac:dyDescent="0.25">
      <c r="A2183" s="20" t="s">
        <v>2913</v>
      </c>
      <c r="B2183" s="20" t="s">
        <v>2913</v>
      </c>
      <c r="C2183" s="20" t="s">
        <v>2913</v>
      </c>
      <c r="D2183" s="378" t="s">
        <v>3047</v>
      </c>
      <c r="E2183" s="384" t="s">
        <v>2932</v>
      </c>
      <c r="F2183" s="384" t="s">
        <v>2933</v>
      </c>
      <c r="G2183" s="385" t="s">
        <v>281</v>
      </c>
      <c r="H2183" s="385" t="s">
        <v>2942</v>
      </c>
      <c r="I2183" s="378">
        <v>1</v>
      </c>
      <c r="J2183" s="385" t="s">
        <v>163</v>
      </c>
      <c r="K2183" s="378" t="s">
        <v>2943</v>
      </c>
      <c r="L2183" s="378" t="s">
        <v>2848</v>
      </c>
      <c r="M2183" s="380">
        <v>2400</v>
      </c>
      <c r="N2183" s="380"/>
      <c r="O2183" s="380"/>
      <c r="P2183" s="380"/>
      <c r="Q2183" s="381">
        <v>99.2</v>
      </c>
      <c r="R2183" s="381">
        <v>99.1</v>
      </c>
      <c r="S2183" s="381">
        <v>0.112</v>
      </c>
      <c r="T2183" s="381">
        <v>2.1800000000000001E-4</v>
      </c>
      <c r="U2183" s="381">
        <v>0</v>
      </c>
      <c r="V2183" s="382">
        <v>99.212217999999993</v>
      </c>
      <c r="W2183" s="382">
        <v>0</v>
      </c>
      <c r="X2183" s="381">
        <v>9.9199999999999997E-2</v>
      </c>
      <c r="Y2183" s="381">
        <v>9.9099999999999994E-2</v>
      </c>
      <c r="Z2183" s="381">
        <v>1.12E-4</v>
      </c>
      <c r="AA2183" s="381">
        <v>2.1800000000000002E-7</v>
      </c>
      <c r="AB2183" s="381">
        <v>0</v>
      </c>
      <c r="AC2183" s="382">
        <v>9.9212217999999991E-2</v>
      </c>
      <c r="AD2183" s="382">
        <v>0</v>
      </c>
      <c r="AE2183" s="381" t="s">
        <v>168</v>
      </c>
    </row>
    <row r="2184" spans="1:31" ht="15" customHeight="1" x14ac:dyDescent="0.25">
      <c r="A2184" s="20" t="s">
        <v>2913</v>
      </c>
      <c r="B2184" s="20" t="s">
        <v>2913</v>
      </c>
      <c r="C2184" s="20" t="s">
        <v>2913</v>
      </c>
      <c r="D2184" s="378" t="s">
        <v>3048</v>
      </c>
      <c r="E2184" s="384" t="s">
        <v>2932</v>
      </c>
      <c r="F2184" s="384" t="s">
        <v>2933</v>
      </c>
      <c r="G2184" s="385" t="s">
        <v>281</v>
      </c>
      <c r="H2184" s="385" t="s">
        <v>2942</v>
      </c>
      <c r="I2184" s="378">
        <v>1</v>
      </c>
      <c r="J2184" s="385" t="s">
        <v>163</v>
      </c>
      <c r="K2184" s="378" t="s">
        <v>2943</v>
      </c>
      <c r="L2184" s="378" t="s">
        <v>2848</v>
      </c>
      <c r="M2184" s="380">
        <v>2400</v>
      </c>
      <c r="N2184" s="380"/>
      <c r="O2184" s="380"/>
      <c r="P2184" s="380"/>
      <c r="Q2184" s="381">
        <v>94.7</v>
      </c>
      <c r="R2184" s="381">
        <v>94.4</v>
      </c>
      <c r="S2184" s="381">
        <v>0.311</v>
      </c>
      <c r="T2184" s="381">
        <v>1.76E-4</v>
      </c>
      <c r="U2184" s="381">
        <v>0</v>
      </c>
      <c r="V2184" s="382">
        <v>94.711176000000009</v>
      </c>
      <c r="W2184" s="382">
        <v>0</v>
      </c>
      <c r="X2184" s="381">
        <v>9.4700000000000006E-2</v>
      </c>
      <c r="Y2184" s="381">
        <v>9.4400000000000012E-2</v>
      </c>
      <c r="Z2184" s="381">
        <v>3.1100000000000002E-4</v>
      </c>
      <c r="AA2184" s="381">
        <v>1.7599999999999999E-7</v>
      </c>
      <c r="AB2184" s="381">
        <v>0</v>
      </c>
      <c r="AC2184" s="382">
        <v>9.4711176000000022E-2</v>
      </c>
      <c r="AD2184" s="382">
        <v>0</v>
      </c>
      <c r="AE2184" s="381" t="s">
        <v>168</v>
      </c>
    </row>
    <row r="2185" spans="1:31" ht="15" customHeight="1" x14ac:dyDescent="0.25">
      <c r="A2185" s="20" t="s">
        <v>2913</v>
      </c>
      <c r="B2185" s="20" t="s">
        <v>2913</v>
      </c>
      <c r="C2185" s="20" t="s">
        <v>2913</v>
      </c>
      <c r="D2185" s="378" t="s">
        <v>3049</v>
      </c>
      <c r="E2185" s="384" t="s">
        <v>2920</v>
      </c>
      <c r="F2185" s="384" t="s">
        <v>2921</v>
      </c>
      <c r="G2185" s="385" t="s">
        <v>179</v>
      </c>
      <c r="H2185" s="385" t="s">
        <v>2922</v>
      </c>
      <c r="I2185" s="378">
        <v>1</v>
      </c>
      <c r="J2185" s="385" t="s">
        <v>163</v>
      </c>
      <c r="K2185" s="378" t="s">
        <v>2923</v>
      </c>
      <c r="L2185" s="378" t="s">
        <v>2848</v>
      </c>
      <c r="M2185" s="380">
        <v>2400</v>
      </c>
      <c r="N2185" s="380"/>
      <c r="O2185" s="380"/>
      <c r="P2185" s="380"/>
      <c r="Q2185" s="381">
        <v>90.7</v>
      </c>
      <c r="R2185" s="381">
        <v>90.3</v>
      </c>
      <c r="S2185" s="381">
        <v>0.40799999999999997</v>
      </c>
      <c r="T2185" s="381">
        <v>7.4200000000000004E-4</v>
      </c>
      <c r="U2185" s="381">
        <v>0</v>
      </c>
      <c r="V2185" s="382">
        <v>90.708742000000001</v>
      </c>
      <c r="W2185" s="382">
        <v>0</v>
      </c>
      <c r="X2185" s="381">
        <v>9.0700000000000003E-2</v>
      </c>
      <c r="Y2185" s="381">
        <v>9.0299999999999991E-2</v>
      </c>
      <c r="Z2185" s="381">
        <v>4.08E-4</v>
      </c>
      <c r="AA2185" s="381">
        <v>7.4200000000000005E-7</v>
      </c>
      <c r="AB2185" s="381">
        <v>0</v>
      </c>
      <c r="AC2185" s="382">
        <v>9.0708741999999995E-2</v>
      </c>
      <c r="AD2185" s="382">
        <v>0</v>
      </c>
      <c r="AE2185" s="381" t="s">
        <v>168</v>
      </c>
    </row>
    <row r="2186" spans="1:31" ht="15" customHeight="1" x14ac:dyDescent="0.25">
      <c r="A2186" s="20" t="s">
        <v>2913</v>
      </c>
      <c r="B2186" s="20" t="s">
        <v>2913</v>
      </c>
      <c r="C2186" s="20" t="s">
        <v>2913</v>
      </c>
      <c r="D2186" s="378" t="s">
        <v>3050</v>
      </c>
      <c r="E2186" s="384" t="s">
        <v>2932</v>
      </c>
      <c r="F2186" s="384" t="s">
        <v>2933</v>
      </c>
      <c r="G2186" s="385" t="s">
        <v>179</v>
      </c>
      <c r="H2186" s="385" t="s">
        <v>2934</v>
      </c>
      <c r="I2186" s="378">
        <v>1</v>
      </c>
      <c r="J2186" s="385" t="s">
        <v>163</v>
      </c>
      <c r="K2186" s="378" t="s">
        <v>2935</v>
      </c>
      <c r="L2186" s="378" t="s">
        <v>2848</v>
      </c>
      <c r="M2186" s="380">
        <v>2400</v>
      </c>
      <c r="N2186" s="380"/>
      <c r="O2186" s="380"/>
      <c r="P2186" s="380"/>
      <c r="Q2186" s="381">
        <v>69.5</v>
      </c>
      <c r="R2186" s="381">
        <v>69.5</v>
      </c>
      <c r="S2186" s="381">
        <v>6.1000000000000004E-3</v>
      </c>
      <c r="T2186" s="381">
        <v>1.94E-4</v>
      </c>
      <c r="U2186" s="381">
        <v>0</v>
      </c>
      <c r="V2186" s="382">
        <v>69.506293999999997</v>
      </c>
      <c r="W2186" s="382">
        <v>0</v>
      </c>
      <c r="X2186" s="381">
        <v>6.9500000000000006E-2</v>
      </c>
      <c r="Y2186" s="381">
        <v>6.9500000000000006E-2</v>
      </c>
      <c r="Z2186" s="381">
        <v>6.1E-6</v>
      </c>
      <c r="AA2186" s="381">
        <v>1.9399999999999999E-7</v>
      </c>
      <c r="AB2186" s="381">
        <v>0</v>
      </c>
      <c r="AC2186" s="382">
        <v>6.9506293999999996E-2</v>
      </c>
      <c r="AD2186" s="382">
        <v>0</v>
      </c>
      <c r="AE2186" s="381" t="s">
        <v>168</v>
      </c>
    </row>
    <row r="2187" spans="1:31" ht="15" customHeight="1" x14ac:dyDescent="0.25">
      <c r="A2187" s="20" t="s">
        <v>2913</v>
      </c>
      <c r="B2187" s="20" t="s">
        <v>2913</v>
      </c>
      <c r="C2187" s="20" t="s">
        <v>2913</v>
      </c>
      <c r="D2187" s="378" t="s">
        <v>3051</v>
      </c>
      <c r="E2187" s="384" t="s">
        <v>2920</v>
      </c>
      <c r="F2187" s="384" t="s">
        <v>2921</v>
      </c>
      <c r="G2187" s="385" t="s">
        <v>160</v>
      </c>
      <c r="H2187" s="385" t="s">
        <v>2922</v>
      </c>
      <c r="I2187" s="378">
        <v>1</v>
      </c>
      <c r="J2187" s="385" t="s">
        <v>163</v>
      </c>
      <c r="K2187" s="378" t="s">
        <v>2923</v>
      </c>
      <c r="L2187" s="378" t="s">
        <v>2848</v>
      </c>
      <c r="M2187" s="380">
        <v>2400</v>
      </c>
      <c r="N2187" s="380"/>
      <c r="O2187" s="380"/>
      <c r="P2187" s="380"/>
      <c r="Q2187" s="381">
        <v>77.599999999999994</v>
      </c>
      <c r="R2187" s="381">
        <v>77.5</v>
      </c>
      <c r="S2187" s="381">
        <v>0.106</v>
      </c>
      <c r="T2187" s="381">
        <v>1.4300000000000001E-4</v>
      </c>
      <c r="U2187" s="381">
        <v>0</v>
      </c>
      <c r="V2187" s="382">
        <v>77.606142999999989</v>
      </c>
      <c r="W2187" s="382">
        <v>0</v>
      </c>
      <c r="X2187" s="381">
        <v>7.7599999999999988E-2</v>
      </c>
      <c r="Y2187" s="381">
        <v>7.7499999999999999E-2</v>
      </c>
      <c r="Z2187" s="381">
        <v>1.06E-4</v>
      </c>
      <c r="AA2187" s="381">
        <v>1.43E-7</v>
      </c>
      <c r="AB2187" s="381">
        <v>0</v>
      </c>
      <c r="AC2187" s="382">
        <v>7.7606142999999989E-2</v>
      </c>
      <c r="AD2187" s="382">
        <v>0</v>
      </c>
      <c r="AE2187" s="381" t="s">
        <v>168</v>
      </c>
    </row>
    <row r="2188" spans="1:31" ht="15" customHeight="1" x14ac:dyDescent="0.25">
      <c r="A2188" s="20" t="s">
        <v>2913</v>
      </c>
      <c r="B2188" s="20" t="s">
        <v>2913</v>
      </c>
      <c r="C2188" s="20" t="s">
        <v>2913</v>
      </c>
      <c r="D2188" s="378" t="s">
        <v>3052</v>
      </c>
      <c r="E2188" s="384" t="s">
        <v>2920</v>
      </c>
      <c r="F2188" s="384" t="s">
        <v>2921</v>
      </c>
      <c r="G2188" s="385" t="s">
        <v>281</v>
      </c>
      <c r="H2188" s="385" t="s">
        <v>2922</v>
      </c>
      <c r="I2188" s="378">
        <v>1</v>
      </c>
      <c r="J2188" s="385" t="s">
        <v>163</v>
      </c>
      <c r="K2188" s="378" t="s">
        <v>2923</v>
      </c>
      <c r="L2188" s="378" t="s">
        <v>2848</v>
      </c>
      <c r="M2188" s="380">
        <v>2400</v>
      </c>
      <c r="N2188" s="380"/>
      <c r="O2188" s="380"/>
      <c r="P2188" s="380"/>
      <c r="Q2188" s="381">
        <v>99.2</v>
      </c>
      <c r="R2188" s="381">
        <v>99.1</v>
      </c>
      <c r="S2188" s="381">
        <v>0.106</v>
      </c>
      <c r="T2188" s="381">
        <v>1.5899999999999999E-4</v>
      </c>
      <c r="U2188" s="381">
        <v>0</v>
      </c>
      <c r="V2188" s="382">
        <v>99.206158999999985</v>
      </c>
      <c r="W2188" s="382">
        <v>0</v>
      </c>
      <c r="X2188" s="381">
        <v>9.9199999999999997E-2</v>
      </c>
      <c r="Y2188" s="381">
        <v>9.9099999999999994E-2</v>
      </c>
      <c r="Z2188" s="381">
        <v>1.06E-4</v>
      </c>
      <c r="AA2188" s="381">
        <v>1.5899999999999998E-7</v>
      </c>
      <c r="AB2188" s="381">
        <v>0</v>
      </c>
      <c r="AC2188" s="382">
        <v>9.9206158999999988E-2</v>
      </c>
      <c r="AD2188" s="382">
        <v>0</v>
      </c>
      <c r="AE2188" s="381" t="s">
        <v>168</v>
      </c>
    </row>
    <row r="2189" spans="1:31" ht="15" customHeight="1" x14ac:dyDescent="0.25">
      <c r="A2189" s="20" t="s">
        <v>2913</v>
      </c>
      <c r="B2189" s="20" t="s">
        <v>2913</v>
      </c>
      <c r="C2189" s="20" t="s">
        <v>2913</v>
      </c>
      <c r="D2189" s="378" t="s">
        <v>3053</v>
      </c>
      <c r="E2189" s="384" t="s">
        <v>2920</v>
      </c>
      <c r="F2189" s="384" t="s">
        <v>2921</v>
      </c>
      <c r="G2189" s="385" t="s">
        <v>193</v>
      </c>
      <c r="H2189" s="385" t="s">
        <v>2922</v>
      </c>
      <c r="I2189" s="378">
        <v>1</v>
      </c>
      <c r="J2189" s="385" t="s">
        <v>163</v>
      </c>
      <c r="K2189" s="378" t="s">
        <v>2923</v>
      </c>
      <c r="L2189" s="378" t="s">
        <v>2848</v>
      </c>
      <c r="M2189" s="380">
        <v>2400</v>
      </c>
      <c r="N2189" s="380"/>
      <c r="O2189" s="380"/>
      <c r="P2189" s="380"/>
      <c r="Q2189" s="381">
        <v>87.8</v>
      </c>
      <c r="R2189" s="381">
        <v>87.7</v>
      </c>
      <c r="S2189" s="381">
        <v>0.105</v>
      </c>
      <c r="T2189" s="381">
        <v>1.7000000000000001E-4</v>
      </c>
      <c r="U2189" s="381">
        <v>0</v>
      </c>
      <c r="V2189" s="382">
        <v>87.805170000000004</v>
      </c>
      <c r="W2189" s="382">
        <v>0</v>
      </c>
      <c r="X2189" s="381">
        <v>8.7800000000000003E-2</v>
      </c>
      <c r="Y2189" s="381">
        <v>8.77E-2</v>
      </c>
      <c r="Z2189" s="381">
        <v>1.0499999999999999E-4</v>
      </c>
      <c r="AA2189" s="381">
        <v>1.7000000000000001E-7</v>
      </c>
      <c r="AB2189" s="381">
        <v>0</v>
      </c>
      <c r="AC2189" s="382">
        <v>8.7805169999999988E-2</v>
      </c>
      <c r="AD2189" s="382">
        <v>0</v>
      </c>
      <c r="AE2189" s="381" t="s">
        <v>168</v>
      </c>
    </row>
    <row r="2190" spans="1:31" ht="15" customHeight="1" x14ac:dyDescent="0.25">
      <c r="A2190" s="20" t="s">
        <v>2913</v>
      </c>
      <c r="B2190" s="20" t="s">
        <v>2913</v>
      </c>
      <c r="C2190" s="20" t="s">
        <v>2913</v>
      </c>
      <c r="D2190" s="378" t="s">
        <v>3054</v>
      </c>
      <c r="E2190" s="384" t="s">
        <v>2920</v>
      </c>
      <c r="F2190" s="384" t="s">
        <v>2921</v>
      </c>
      <c r="G2190" s="385" t="s">
        <v>193</v>
      </c>
      <c r="H2190" s="385" t="s">
        <v>2922</v>
      </c>
      <c r="I2190" s="378">
        <v>1</v>
      </c>
      <c r="J2190" s="385" t="s">
        <v>163</v>
      </c>
      <c r="K2190" s="378" t="s">
        <v>2923</v>
      </c>
      <c r="L2190" s="378" t="s">
        <v>2848</v>
      </c>
      <c r="M2190" s="380">
        <v>2400</v>
      </c>
      <c r="N2190" s="380"/>
      <c r="O2190" s="380"/>
      <c r="P2190" s="380"/>
      <c r="Q2190" s="381">
        <v>90.2</v>
      </c>
      <c r="R2190" s="381">
        <v>90.1</v>
      </c>
      <c r="S2190" s="381">
        <v>0.10199999999999999</v>
      </c>
      <c r="T2190" s="381">
        <v>1.54E-4</v>
      </c>
      <c r="U2190" s="381">
        <v>0</v>
      </c>
      <c r="V2190" s="382">
        <v>90.202153999999993</v>
      </c>
      <c r="W2190" s="382">
        <v>0</v>
      </c>
      <c r="X2190" s="381">
        <v>9.0200000000000002E-2</v>
      </c>
      <c r="Y2190" s="381">
        <v>9.01E-2</v>
      </c>
      <c r="Z2190" s="381">
        <v>1.02E-4</v>
      </c>
      <c r="AA2190" s="381">
        <v>1.54E-7</v>
      </c>
      <c r="AB2190" s="381">
        <v>0</v>
      </c>
      <c r="AC2190" s="382">
        <v>9.0202154000000007E-2</v>
      </c>
      <c r="AD2190" s="382">
        <v>0</v>
      </c>
      <c r="AE2190" s="381" t="s">
        <v>168</v>
      </c>
    </row>
    <row r="2191" spans="1:31" ht="15" customHeight="1" x14ac:dyDescent="0.25">
      <c r="A2191" s="20" t="s">
        <v>2913</v>
      </c>
      <c r="B2191" s="20" t="s">
        <v>2913</v>
      </c>
      <c r="C2191" s="20" t="s">
        <v>2913</v>
      </c>
      <c r="D2191" s="378" t="s">
        <v>3055</v>
      </c>
      <c r="E2191" s="384" t="s">
        <v>2932</v>
      </c>
      <c r="F2191" s="384" t="s">
        <v>2933</v>
      </c>
      <c r="G2191" s="385" t="s">
        <v>281</v>
      </c>
      <c r="H2191" s="385" t="s">
        <v>2942</v>
      </c>
      <c r="I2191" s="378">
        <v>1</v>
      </c>
      <c r="J2191" s="385" t="s">
        <v>163</v>
      </c>
      <c r="K2191" s="378" t="s">
        <v>2943</v>
      </c>
      <c r="L2191" s="378" t="s">
        <v>2848</v>
      </c>
      <c r="M2191" s="380">
        <v>2400</v>
      </c>
      <c r="N2191" s="380"/>
      <c r="O2191" s="380"/>
      <c r="P2191" s="380"/>
      <c r="Q2191" s="381">
        <v>82.5</v>
      </c>
      <c r="R2191" s="381">
        <v>82.4</v>
      </c>
      <c r="S2191" s="381">
        <v>0.10100000000000001</v>
      </c>
      <c r="T2191" s="381">
        <v>1.7200000000000001E-4</v>
      </c>
      <c r="U2191" s="381">
        <v>0</v>
      </c>
      <c r="V2191" s="382">
        <v>82.501172000000011</v>
      </c>
      <c r="W2191" s="382">
        <v>0</v>
      </c>
      <c r="X2191" s="381">
        <v>8.2500000000000004E-2</v>
      </c>
      <c r="Y2191" s="381">
        <v>8.2400000000000001E-2</v>
      </c>
      <c r="Z2191" s="381">
        <v>1.01E-4</v>
      </c>
      <c r="AA2191" s="381">
        <v>1.72E-7</v>
      </c>
      <c r="AB2191" s="381">
        <v>0</v>
      </c>
      <c r="AC2191" s="382">
        <v>8.2501172000000011E-2</v>
      </c>
      <c r="AD2191" s="382">
        <v>0</v>
      </c>
      <c r="AE2191" s="381" t="s">
        <v>168</v>
      </c>
    </row>
    <row r="2192" spans="1:31" ht="15" customHeight="1" x14ac:dyDescent="0.25">
      <c r="A2192" s="20" t="s">
        <v>2913</v>
      </c>
      <c r="B2192" s="20" t="s">
        <v>2913</v>
      </c>
      <c r="C2192" s="20" t="s">
        <v>2913</v>
      </c>
      <c r="D2192" s="378" t="s">
        <v>3056</v>
      </c>
      <c r="E2192" s="384" t="s">
        <v>2932</v>
      </c>
      <c r="F2192" s="384" t="s">
        <v>2933</v>
      </c>
      <c r="G2192" s="385" t="s">
        <v>179</v>
      </c>
      <c r="H2192" s="385" t="s">
        <v>2934</v>
      </c>
      <c r="I2192" s="378">
        <v>1</v>
      </c>
      <c r="J2192" s="385" t="s">
        <v>163</v>
      </c>
      <c r="K2192" s="378" t="s">
        <v>2935</v>
      </c>
      <c r="L2192" s="378" t="s">
        <v>2848</v>
      </c>
      <c r="M2192" s="380">
        <v>2400</v>
      </c>
      <c r="N2192" s="380"/>
      <c r="O2192" s="380"/>
      <c r="P2192" s="380"/>
      <c r="Q2192" s="381">
        <v>79</v>
      </c>
      <c r="R2192" s="381">
        <v>79</v>
      </c>
      <c r="S2192" s="381">
        <v>-7.3300000000000004E-2</v>
      </c>
      <c r="T2192" s="381">
        <v>4.2099999999999999E-4</v>
      </c>
      <c r="U2192" s="381">
        <v>0</v>
      </c>
      <c r="V2192" s="382">
        <v>79.000421000000003</v>
      </c>
      <c r="W2192" s="382">
        <v>0</v>
      </c>
      <c r="X2192" s="381">
        <v>7.9000000000000001E-2</v>
      </c>
      <c r="Y2192" s="381">
        <v>7.9000000000000001E-2</v>
      </c>
      <c r="Z2192" s="381">
        <v>-7.3300000000000006E-5</v>
      </c>
      <c r="AA2192" s="381">
        <v>4.2099999999999997E-7</v>
      </c>
      <c r="AB2192" s="381">
        <v>0</v>
      </c>
      <c r="AC2192" s="382">
        <v>7.9000421000000001E-2</v>
      </c>
      <c r="AD2192" s="382">
        <v>0</v>
      </c>
      <c r="AE2192" s="381" t="s">
        <v>168</v>
      </c>
    </row>
    <row r="2193" spans="1:31" ht="15" customHeight="1" x14ac:dyDescent="0.25">
      <c r="A2193" s="20" t="s">
        <v>2913</v>
      </c>
      <c r="B2193" s="20" t="s">
        <v>2913</v>
      </c>
      <c r="C2193" s="20" t="s">
        <v>2913</v>
      </c>
      <c r="D2193" s="378" t="s">
        <v>3057</v>
      </c>
      <c r="E2193" s="384" t="s">
        <v>2932</v>
      </c>
      <c r="F2193" s="384" t="s">
        <v>2933</v>
      </c>
      <c r="G2193" s="385" t="s">
        <v>179</v>
      </c>
      <c r="H2193" s="385" t="s">
        <v>2934</v>
      </c>
      <c r="I2193" s="378">
        <v>1</v>
      </c>
      <c r="J2193" s="385" t="s">
        <v>163</v>
      </c>
      <c r="K2193" s="378" t="s">
        <v>2935</v>
      </c>
      <c r="L2193" s="378" t="s">
        <v>2848</v>
      </c>
      <c r="M2193" s="380">
        <v>2400</v>
      </c>
      <c r="N2193" s="380"/>
      <c r="O2193" s="380"/>
      <c r="P2193" s="380"/>
      <c r="Q2193" s="381">
        <v>83.1</v>
      </c>
      <c r="R2193" s="381">
        <v>83.1</v>
      </c>
      <c r="S2193" s="381">
        <v>-6.4199999999999993E-2</v>
      </c>
      <c r="T2193" s="381">
        <v>3.48E-4</v>
      </c>
      <c r="U2193" s="381">
        <v>0</v>
      </c>
      <c r="V2193" s="382">
        <v>83.100347999999997</v>
      </c>
      <c r="W2193" s="382">
        <v>0</v>
      </c>
      <c r="X2193" s="381">
        <v>8.3099999999999993E-2</v>
      </c>
      <c r="Y2193" s="381">
        <v>8.3099999999999993E-2</v>
      </c>
      <c r="Z2193" s="381">
        <v>-6.4199999999999988E-5</v>
      </c>
      <c r="AA2193" s="381">
        <v>3.4799999999999999E-7</v>
      </c>
      <c r="AB2193" s="381">
        <v>0</v>
      </c>
      <c r="AC2193" s="382">
        <v>8.3100347999999991E-2</v>
      </c>
      <c r="AD2193" s="382">
        <v>0</v>
      </c>
      <c r="AE2193" s="381" t="s">
        <v>168</v>
      </c>
    </row>
    <row r="2194" spans="1:31" ht="15" customHeight="1" x14ac:dyDescent="0.25">
      <c r="A2194" s="20" t="s">
        <v>2913</v>
      </c>
      <c r="B2194" s="20" t="s">
        <v>2913</v>
      </c>
      <c r="C2194" s="20" t="s">
        <v>2913</v>
      </c>
      <c r="D2194" s="378" t="s">
        <v>3058</v>
      </c>
      <c r="E2194" s="384" t="s">
        <v>2932</v>
      </c>
      <c r="F2194" s="384" t="s">
        <v>2933</v>
      </c>
      <c r="G2194" s="385" t="s">
        <v>281</v>
      </c>
      <c r="H2194" s="385" t="s">
        <v>2942</v>
      </c>
      <c r="I2194" s="378">
        <v>1</v>
      </c>
      <c r="J2194" s="385" t="s">
        <v>163</v>
      </c>
      <c r="K2194" s="378" t="s">
        <v>2943</v>
      </c>
      <c r="L2194" s="378" t="s">
        <v>2848</v>
      </c>
      <c r="M2194" s="380">
        <v>2400</v>
      </c>
      <c r="N2194" s="380"/>
      <c r="O2194" s="380"/>
      <c r="P2194" s="380"/>
      <c r="Q2194" s="381">
        <v>98.5</v>
      </c>
      <c r="R2194" s="381">
        <v>98.5</v>
      </c>
      <c r="S2194" s="381">
        <v>-4.9399999999999999E-2</v>
      </c>
      <c r="T2194" s="381">
        <v>3.4099999999999999E-4</v>
      </c>
      <c r="U2194" s="381">
        <v>0</v>
      </c>
      <c r="V2194" s="382">
        <v>98.500341000000006</v>
      </c>
      <c r="W2194" s="382">
        <v>0</v>
      </c>
      <c r="X2194" s="381">
        <v>9.8500000000000004E-2</v>
      </c>
      <c r="Y2194" s="381">
        <v>9.8500000000000004E-2</v>
      </c>
      <c r="Z2194" s="381">
        <v>-4.9400000000000001E-5</v>
      </c>
      <c r="AA2194" s="381">
        <v>3.41E-7</v>
      </c>
      <c r="AB2194" s="381">
        <v>0</v>
      </c>
      <c r="AC2194" s="382">
        <v>9.8500341000000005E-2</v>
      </c>
      <c r="AD2194" s="382">
        <v>0</v>
      </c>
      <c r="AE2194" s="381" t="s">
        <v>168</v>
      </c>
    </row>
    <row r="2195" spans="1:31" ht="15" customHeight="1" x14ac:dyDescent="0.25">
      <c r="A2195" s="20" t="s">
        <v>2913</v>
      </c>
      <c r="B2195" s="20" t="s">
        <v>2913</v>
      </c>
      <c r="C2195" s="20" t="s">
        <v>2913</v>
      </c>
      <c r="D2195" s="378" t="s">
        <v>3059</v>
      </c>
      <c r="E2195" s="384" t="s">
        <v>2932</v>
      </c>
      <c r="F2195" s="384" t="s">
        <v>2933</v>
      </c>
      <c r="G2195" s="385" t="s">
        <v>281</v>
      </c>
      <c r="H2195" s="385" t="s">
        <v>2942</v>
      </c>
      <c r="I2195" s="378">
        <v>1</v>
      </c>
      <c r="J2195" s="385" t="s">
        <v>163</v>
      </c>
      <c r="K2195" s="378" t="s">
        <v>2943</v>
      </c>
      <c r="L2195" s="378" t="s">
        <v>2848</v>
      </c>
      <c r="M2195" s="380">
        <v>2400</v>
      </c>
      <c r="N2195" s="380"/>
      <c r="O2195" s="380"/>
      <c r="P2195" s="380"/>
      <c r="Q2195" s="381">
        <v>107</v>
      </c>
      <c r="R2195" s="381">
        <v>107</v>
      </c>
      <c r="S2195" s="381">
        <v>-5.8900000000000001E-2</v>
      </c>
      <c r="T2195" s="381">
        <v>3.5100000000000002E-4</v>
      </c>
      <c r="U2195" s="381">
        <v>0</v>
      </c>
      <c r="V2195" s="382">
        <v>107.00035099999999</v>
      </c>
      <c r="W2195" s="382">
        <v>0</v>
      </c>
      <c r="X2195" s="381">
        <v>0.107</v>
      </c>
      <c r="Y2195" s="381">
        <v>0.107</v>
      </c>
      <c r="Z2195" s="381">
        <v>-5.8900000000000002E-5</v>
      </c>
      <c r="AA2195" s="381">
        <v>3.5100000000000001E-7</v>
      </c>
      <c r="AB2195" s="381">
        <v>0</v>
      </c>
      <c r="AC2195" s="382">
        <v>0.10700035099999999</v>
      </c>
      <c r="AD2195" s="382">
        <v>0</v>
      </c>
      <c r="AE2195" s="381" t="s">
        <v>168</v>
      </c>
    </row>
    <row r="2196" spans="1:31" ht="15" customHeight="1" x14ac:dyDescent="0.25">
      <c r="A2196" s="20" t="s">
        <v>2913</v>
      </c>
      <c r="B2196" s="20" t="s">
        <v>2913</v>
      </c>
      <c r="C2196" s="20" t="s">
        <v>2913</v>
      </c>
      <c r="D2196" s="378" t="s">
        <v>3060</v>
      </c>
      <c r="E2196" s="384" t="s">
        <v>2932</v>
      </c>
      <c r="F2196" s="384" t="s">
        <v>2933</v>
      </c>
      <c r="G2196" s="385" t="s">
        <v>281</v>
      </c>
      <c r="H2196" s="385" t="s">
        <v>2942</v>
      </c>
      <c r="I2196" s="378">
        <v>1</v>
      </c>
      <c r="J2196" s="385" t="s">
        <v>163</v>
      </c>
      <c r="K2196" s="378" t="s">
        <v>2943</v>
      </c>
      <c r="L2196" s="378" t="s">
        <v>2848</v>
      </c>
      <c r="M2196" s="380">
        <v>2400</v>
      </c>
      <c r="N2196" s="380"/>
      <c r="O2196" s="380"/>
      <c r="P2196" s="380"/>
      <c r="Q2196" s="381">
        <v>108</v>
      </c>
      <c r="R2196" s="381">
        <v>108</v>
      </c>
      <c r="S2196" s="381">
        <v>-5.9400000000000001E-2</v>
      </c>
      <c r="T2196" s="381">
        <v>3.4600000000000001E-4</v>
      </c>
      <c r="U2196" s="381">
        <v>0</v>
      </c>
      <c r="V2196" s="382">
        <v>108.00034599999999</v>
      </c>
      <c r="W2196" s="382">
        <v>0</v>
      </c>
      <c r="X2196" s="381">
        <v>0.108</v>
      </c>
      <c r="Y2196" s="381">
        <v>0.108</v>
      </c>
      <c r="Z2196" s="381">
        <v>-5.94E-5</v>
      </c>
      <c r="AA2196" s="381">
        <v>3.46E-7</v>
      </c>
      <c r="AB2196" s="381">
        <v>0</v>
      </c>
      <c r="AC2196" s="382">
        <v>0.108000346</v>
      </c>
      <c r="AD2196" s="382">
        <v>0</v>
      </c>
      <c r="AE2196" s="381" t="s">
        <v>168</v>
      </c>
    </row>
    <row r="2197" spans="1:31" ht="15" customHeight="1" x14ac:dyDescent="0.25">
      <c r="A2197" s="20" t="s">
        <v>2913</v>
      </c>
      <c r="B2197" s="20" t="s">
        <v>2913</v>
      </c>
      <c r="C2197" s="20" t="s">
        <v>2913</v>
      </c>
      <c r="D2197" s="378" t="s">
        <v>3061</v>
      </c>
      <c r="E2197" s="384" t="s">
        <v>2920</v>
      </c>
      <c r="F2197" s="384" t="s">
        <v>2921</v>
      </c>
      <c r="G2197" s="385" t="s">
        <v>193</v>
      </c>
      <c r="H2197" s="385" t="s">
        <v>2922</v>
      </c>
      <c r="I2197" s="378">
        <v>1</v>
      </c>
      <c r="J2197" s="385" t="s">
        <v>163</v>
      </c>
      <c r="K2197" s="378" t="s">
        <v>2923</v>
      </c>
      <c r="L2197" s="378" t="s">
        <v>2848</v>
      </c>
      <c r="M2197" s="380">
        <v>2400</v>
      </c>
      <c r="N2197" s="380"/>
      <c r="O2197" s="380"/>
      <c r="P2197" s="380"/>
      <c r="Q2197" s="381">
        <v>134</v>
      </c>
      <c r="R2197" s="381">
        <v>134</v>
      </c>
      <c r="S2197" s="381">
        <v>-4.4499999999999998E-2</v>
      </c>
      <c r="T2197" s="381">
        <v>3.3100000000000002E-4</v>
      </c>
      <c r="U2197" s="381">
        <v>0</v>
      </c>
      <c r="V2197" s="382">
        <v>134.00033099999999</v>
      </c>
      <c r="W2197" s="382">
        <v>0</v>
      </c>
      <c r="X2197" s="381">
        <v>0.13400000000000001</v>
      </c>
      <c r="Y2197" s="381">
        <v>0.13400000000000001</v>
      </c>
      <c r="Z2197" s="381">
        <v>-4.4499999999999997E-5</v>
      </c>
      <c r="AA2197" s="381">
        <v>3.3100000000000004E-7</v>
      </c>
      <c r="AB2197" s="381">
        <v>0</v>
      </c>
      <c r="AC2197" s="382">
        <v>0.134000331</v>
      </c>
      <c r="AD2197" s="382">
        <v>0</v>
      </c>
      <c r="AE2197" s="381" t="s">
        <v>168</v>
      </c>
    </row>
    <row r="2198" spans="1:31" ht="15" customHeight="1" x14ac:dyDescent="0.25">
      <c r="A2198" s="20" t="s">
        <v>2913</v>
      </c>
      <c r="B2198" s="20" t="s">
        <v>2913</v>
      </c>
      <c r="C2198" s="20" t="s">
        <v>2913</v>
      </c>
      <c r="D2198" s="378" t="s">
        <v>3062</v>
      </c>
      <c r="E2198" s="384" t="s">
        <v>3063</v>
      </c>
      <c r="F2198" s="384" t="s">
        <v>3064</v>
      </c>
      <c r="G2198" s="385" t="s">
        <v>3065</v>
      </c>
      <c r="H2198" s="385" t="s">
        <v>3066</v>
      </c>
      <c r="I2198" s="378">
        <v>1.1000000000000001</v>
      </c>
      <c r="J2198" s="385" t="s">
        <v>163</v>
      </c>
      <c r="K2198" s="378" t="s">
        <v>3067</v>
      </c>
      <c r="L2198" s="378" t="s">
        <v>2848</v>
      </c>
      <c r="M2198" s="380">
        <v>2400</v>
      </c>
      <c r="N2198" s="380"/>
      <c r="O2198" s="380"/>
      <c r="P2198" s="380"/>
      <c r="Q2198" s="381">
        <v>56.4</v>
      </c>
      <c r="R2198" s="381">
        <v>0</v>
      </c>
      <c r="S2198" s="381">
        <v>0</v>
      </c>
      <c r="T2198" s="381">
        <v>0</v>
      </c>
      <c r="U2198" s="381">
        <v>0</v>
      </c>
      <c r="V2198" s="382">
        <v>56.4</v>
      </c>
      <c r="W2198" s="382">
        <v>0</v>
      </c>
      <c r="X2198" s="381">
        <v>5.6399999999999999E-2</v>
      </c>
      <c r="Y2198" s="381">
        <v>0</v>
      </c>
      <c r="Z2198" s="381">
        <v>0</v>
      </c>
      <c r="AA2198" s="381">
        <v>0</v>
      </c>
      <c r="AB2198" s="381">
        <v>0</v>
      </c>
      <c r="AC2198" s="382">
        <v>5.6399999999999999E-2</v>
      </c>
      <c r="AD2198" s="382">
        <v>0</v>
      </c>
      <c r="AE2198" s="381" t="s">
        <v>168</v>
      </c>
    </row>
    <row r="2199" spans="1:31" ht="15" customHeight="1" x14ac:dyDescent="0.25">
      <c r="A2199" s="20" t="s">
        <v>2913</v>
      </c>
      <c r="B2199" s="20" t="s">
        <v>2913</v>
      </c>
      <c r="C2199" s="20" t="s">
        <v>2913</v>
      </c>
      <c r="D2199" s="378" t="s">
        <v>3068</v>
      </c>
      <c r="E2199" s="384" t="s">
        <v>3063</v>
      </c>
      <c r="F2199" s="384" t="s">
        <v>3064</v>
      </c>
      <c r="G2199" s="385" t="s">
        <v>3065</v>
      </c>
      <c r="H2199" s="385" t="s">
        <v>3066</v>
      </c>
      <c r="I2199" s="378">
        <v>1.1000000000000001</v>
      </c>
      <c r="J2199" s="385" t="s">
        <v>163</v>
      </c>
      <c r="K2199" s="378" t="s">
        <v>3067</v>
      </c>
      <c r="L2199" s="378" t="s">
        <v>2848</v>
      </c>
      <c r="M2199" s="380">
        <v>2400</v>
      </c>
      <c r="N2199" s="380"/>
      <c r="O2199" s="380"/>
      <c r="P2199" s="380"/>
      <c r="Q2199" s="381">
        <v>57.2</v>
      </c>
      <c r="R2199" s="381">
        <v>0</v>
      </c>
      <c r="S2199" s="381">
        <v>0</v>
      </c>
      <c r="T2199" s="381">
        <v>0</v>
      </c>
      <c r="U2199" s="381">
        <v>0</v>
      </c>
      <c r="V2199" s="382">
        <v>57.2</v>
      </c>
      <c r="W2199" s="382">
        <v>0</v>
      </c>
      <c r="X2199" s="381">
        <v>5.7200000000000001E-2</v>
      </c>
      <c r="Y2199" s="381">
        <v>0</v>
      </c>
      <c r="Z2199" s="381">
        <v>0</v>
      </c>
      <c r="AA2199" s="381">
        <v>0</v>
      </c>
      <c r="AB2199" s="381">
        <v>0</v>
      </c>
      <c r="AC2199" s="382">
        <v>5.7200000000000001E-2</v>
      </c>
      <c r="AD2199" s="382">
        <v>0</v>
      </c>
      <c r="AE2199" s="381" t="s">
        <v>168</v>
      </c>
    </row>
    <row r="2200" spans="1:31" ht="15" customHeight="1" x14ac:dyDescent="0.25">
      <c r="A2200" s="20" t="s">
        <v>2913</v>
      </c>
      <c r="B2200" s="20" t="s">
        <v>2913</v>
      </c>
      <c r="C2200" s="20" t="s">
        <v>2913</v>
      </c>
      <c r="D2200" s="378" t="s">
        <v>3069</v>
      </c>
      <c r="E2200" s="384" t="s">
        <v>3063</v>
      </c>
      <c r="F2200" s="384" t="s">
        <v>3064</v>
      </c>
      <c r="G2200" s="385" t="s">
        <v>3065</v>
      </c>
      <c r="H2200" s="385" t="s">
        <v>3066</v>
      </c>
      <c r="I2200" s="378">
        <v>1.1000000000000001</v>
      </c>
      <c r="J2200" s="385" t="s">
        <v>163</v>
      </c>
      <c r="K2200" s="378" t="s">
        <v>3067</v>
      </c>
      <c r="L2200" s="378" t="s">
        <v>2848</v>
      </c>
      <c r="M2200" s="380">
        <v>2400</v>
      </c>
      <c r="N2200" s="380"/>
      <c r="O2200" s="380"/>
      <c r="P2200" s="380"/>
      <c r="Q2200" s="381">
        <v>64.599999999999994</v>
      </c>
      <c r="R2200" s="381">
        <v>0</v>
      </c>
      <c r="S2200" s="381">
        <v>0</v>
      </c>
      <c r="T2200" s="381">
        <v>0</v>
      </c>
      <c r="U2200" s="381">
        <v>0</v>
      </c>
      <c r="V2200" s="382">
        <v>64.599999999999994</v>
      </c>
      <c r="W2200" s="382">
        <v>0</v>
      </c>
      <c r="X2200" s="381">
        <v>6.4599999999999991E-2</v>
      </c>
      <c r="Y2200" s="381">
        <v>0</v>
      </c>
      <c r="Z2200" s="381">
        <v>0</v>
      </c>
      <c r="AA2200" s="381">
        <v>0</v>
      </c>
      <c r="AB2200" s="381">
        <v>0</v>
      </c>
      <c r="AC2200" s="382">
        <v>6.4599999999999991E-2</v>
      </c>
      <c r="AD2200" s="382">
        <v>0</v>
      </c>
      <c r="AE2200" s="381" t="s">
        <v>168</v>
      </c>
    </row>
    <row r="2201" spans="1:31" ht="15" customHeight="1" x14ac:dyDescent="0.25">
      <c r="A2201" s="20" t="s">
        <v>2913</v>
      </c>
      <c r="B2201" s="20" t="s">
        <v>2913</v>
      </c>
      <c r="C2201" s="20" t="s">
        <v>2913</v>
      </c>
      <c r="D2201" s="378" t="s">
        <v>3070</v>
      </c>
      <c r="E2201" s="384" t="s">
        <v>3063</v>
      </c>
      <c r="F2201" s="384" t="s">
        <v>3064</v>
      </c>
      <c r="G2201" s="385" t="s">
        <v>281</v>
      </c>
      <c r="H2201" s="385" t="s">
        <v>3066</v>
      </c>
      <c r="I2201" s="378">
        <v>1.1000000000000001</v>
      </c>
      <c r="J2201" s="385" t="s">
        <v>163</v>
      </c>
      <c r="K2201" s="378" t="s">
        <v>3067</v>
      </c>
      <c r="L2201" s="378" t="s">
        <v>2848</v>
      </c>
      <c r="M2201" s="380">
        <v>2400</v>
      </c>
      <c r="N2201" s="380"/>
      <c r="O2201" s="380"/>
      <c r="P2201" s="380"/>
      <c r="Q2201" s="381">
        <v>56.4</v>
      </c>
      <c r="R2201" s="381">
        <v>0</v>
      </c>
      <c r="S2201" s="381">
        <v>0</v>
      </c>
      <c r="T2201" s="381">
        <v>0</v>
      </c>
      <c r="U2201" s="381">
        <v>0</v>
      </c>
      <c r="V2201" s="382">
        <v>56.4</v>
      </c>
      <c r="W2201" s="382">
        <v>0</v>
      </c>
      <c r="X2201" s="381">
        <v>5.6399999999999999E-2</v>
      </c>
      <c r="Y2201" s="381">
        <v>0</v>
      </c>
      <c r="Z2201" s="381">
        <v>0</v>
      </c>
      <c r="AA2201" s="381">
        <v>0</v>
      </c>
      <c r="AB2201" s="381">
        <v>0</v>
      </c>
      <c r="AC2201" s="382">
        <v>5.6399999999999999E-2</v>
      </c>
      <c r="AD2201" s="382">
        <v>0</v>
      </c>
      <c r="AE2201" s="381" t="s">
        <v>168</v>
      </c>
    </row>
    <row r="2202" spans="1:31" ht="15" customHeight="1" x14ac:dyDescent="0.25">
      <c r="A2202" s="20" t="s">
        <v>2913</v>
      </c>
      <c r="B2202" s="20" t="s">
        <v>2913</v>
      </c>
      <c r="C2202" s="20" t="s">
        <v>2913</v>
      </c>
      <c r="D2202" s="378" t="s">
        <v>3071</v>
      </c>
      <c r="E2202" s="384" t="s">
        <v>3063</v>
      </c>
      <c r="F2202" s="384" t="s">
        <v>3064</v>
      </c>
      <c r="G2202" s="385" t="s">
        <v>281</v>
      </c>
      <c r="H2202" s="385" t="s">
        <v>3066</v>
      </c>
      <c r="I2202" s="378">
        <v>1.1000000000000001</v>
      </c>
      <c r="J2202" s="385" t="s">
        <v>163</v>
      </c>
      <c r="K2202" s="378" t="s">
        <v>3067</v>
      </c>
      <c r="L2202" s="378" t="s">
        <v>2848</v>
      </c>
      <c r="M2202" s="380">
        <v>2400</v>
      </c>
      <c r="N2202" s="380"/>
      <c r="O2202" s="380"/>
      <c r="P2202" s="380"/>
      <c r="Q2202" s="381">
        <v>81</v>
      </c>
      <c r="R2202" s="381">
        <v>0</v>
      </c>
      <c r="S2202" s="381">
        <v>0</v>
      </c>
      <c r="T2202" s="381">
        <v>0</v>
      </c>
      <c r="U2202" s="381">
        <v>0</v>
      </c>
      <c r="V2202" s="382">
        <v>81</v>
      </c>
      <c r="W2202" s="382">
        <v>0</v>
      </c>
      <c r="X2202" s="381">
        <v>8.1000000000000003E-2</v>
      </c>
      <c r="Y2202" s="381">
        <v>0</v>
      </c>
      <c r="Z2202" s="381">
        <v>0</v>
      </c>
      <c r="AA2202" s="381">
        <v>0</v>
      </c>
      <c r="AB2202" s="381">
        <v>0</v>
      </c>
      <c r="AC2202" s="382">
        <v>8.1000000000000003E-2</v>
      </c>
      <c r="AD2202" s="382">
        <v>0</v>
      </c>
      <c r="AE2202" s="381" t="s">
        <v>168</v>
      </c>
    </row>
    <row r="2203" spans="1:31" ht="15" customHeight="1" x14ac:dyDescent="0.25">
      <c r="A2203" s="20" t="s">
        <v>2913</v>
      </c>
      <c r="B2203" s="20" t="s">
        <v>2913</v>
      </c>
      <c r="C2203" s="20" t="s">
        <v>2913</v>
      </c>
      <c r="D2203" s="378" t="s">
        <v>3072</v>
      </c>
      <c r="E2203" s="384" t="s">
        <v>3063</v>
      </c>
      <c r="F2203" s="384" t="s">
        <v>3064</v>
      </c>
      <c r="G2203" s="385" t="s">
        <v>193</v>
      </c>
      <c r="H2203" s="385" t="s">
        <v>3066</v>
      </c>
      <c r="I2203" s="378">
        <v>1.1000000000000001</v>
      </c>
      <c r="J2203" s="385" t="s">
        <v>163</v>
      </c>
      <c r="K2203" s="378" t="s">
        <v>3067</v>
      </c>
      <c r="L2203" s="378" t="s">
        <v>2848</v>
      </c>
      <c r="M2203" s="380">
        <v>2400</v>
      </c>
      <c r="N2203" s="380"/>
      <c r="O2203" s="380"/>
      <c r="P2203" s="380"/>
      <c r="Q2203" s="381">
        <v>63.8</v>
      </c>
      <c r="R2203" s="381">
        <v>0</v>
      </c>
      <c r="S2203" s="381">
        <v>0</v>
      </c>
      <c r="T2203" s="381">
        <v>0</v>
      </c>
      <c r="U2203" s="381">
        <v>0</v>
      </c>
      <c r="V2203" s="382">
        <v>63.8</v>
      </c>
      <c r="W2203" s="382">
        <v>0</v>
      </c>
      <c r="X2203" s="381">
        <v>6.3799999999999996E-2</v>
      </c>
      <c r="Y2203" s="381">
        <v>0</v>
      </c>
      <c r="Z2203" s="381">
        <v>0</v>
      </c>
      <c r="AA2203" s="381">
        <v>0</v>
      </c>
      <c r="AB2203" s="381">
        <v>0</v>
      </c>
      <c r="AC2203" s="382">
        <v>6.3799999999999996E-2</v>
      </c>
      <c r="AD2203" s="382">
        <v>0</v>
      </c>
      <c r="AE2203" s="381" t="s">
        <v>168</v>
      </c>
    </row>
    <row r="2204" spans="1:31" ht="15" customHeight="1" x14ac:dyDescent="0.25">
      <c r="A2204" s="20" t="s">
        <v>2913</v>
      </c>
      <c r="B2204" s="20" t="s">
        <v>2913</v>
      </c>
      <c r="C2204" s="20" t="s">
        <v>2913</v>
      </c>
      <c r="D2204" s="378" t="s">
        <v>3073</v>
      </c>
      <c r="E2204" s="384" t="s">
        <v>3063</v>
      </c>
      <c r="F2204" s="384" t="s">
        <v>3064</v>
      </c>
      <c r="G2204" s="385" t="s">
        <v>193</v>
      </c>
      <c r="H2204" s="385" t="s">
        <v>3066</v>
      </c>
      <c r="I2204" s="378">
        <v>1.1000000000000001</v>
      </c>
      <c r="J2204" s="385" t="s">
        <v>163</v>
      </c>
      <c r="K2204" s="378" t="s">
        <v>3067</v>
      </c>
      <c r="L2204" s="378" t="s">
        <v>2848</v>
      </c>
      <c r="M2204" s="380">
        <v>2400</v>
      </c>
      <c r="N2204" s="380"/>
      <c r="O2204" s="380"/>
      <c r="P2204" s="380"/>
      <c r="Q2204" s="381">
        <v>54.4</v>
      </c>
      <c r="R2204" s="381">
        <v>0</v>
      </c>
      <c r="S2204" s="381">
        <v>0</v>
      </c>
      <c r="T2204" s="381">
        <v>0</v>
      </c>
      <c r="U2204" s="381">
        <v>0</v>
      </c>
      <c r="V2204" s="382">
        <v>54.4</v>
      </c>
      <c r="W2204" s="382">
        <v>0</v>
      </c>
      <c r="X2204" s="381">
        <v>5.4399999999999997E-2</v>
      </c>
      <c r="Y2204" s="381">
        <v>0</v>
      </c>
      <c r="Z2204" s="381">
        <v>0</v>
      </c>
      <c r="AA2204" s="381">
        <v>0</v>
      </c>
      <c r="AB2204" s="381">
        <v>0</v>
      </c>
      <c r="AC2204" s="382">
        <v>5.4399999999999997E-2</v>
      </c>
      <c r="AD2204" s="382">
        <v>0</v>
      </c>
      <c r="AE2204" s="381" t="s">
        <v>168</v>
      </c>
    </row>
    <row r="2205" spans="1:31" ht="15" customHeight="1" x14ac:dyDescent="0.25">
      <c r="A2205" s="20" t="s">
        <v>2913</v>
      </c>
      <c r="B2205" s="20" t="s">
        <v>2913</v>
      </c>
      <c r="C2205" s="20" t="s">
        <v>2913</v>
      </c>
      <c r="D2205" s="378" t="s">
        <v>3074</v>
      </c>
      <c r="E2205" s="384" t="s">
        <v>3063</v>
      </c>
      <c r="F2205" s="384" t="s">
        <v>3064</v>
      </c>
      <c r="G2205" s="385" t="s">
        <v>193</v>
      </c>
      <c r="H2205" s="385" t="s">
        <v>3066</v>
      </c>
      <c r="I2205" s="378">
        <v>1.1000000000000001</v>
      </c>
      <c r="J2205" s="385" t="s">
        <v>163</v>
      </c>
      <c r="K2205" s="378" t="s">
        <v>3067</v>
      </c>
      <c r="L2205" s="378" t="s">
        <v>2848</v>
      </c>
      <c r="M2205" s="380">
        <v>2400</v>
      </c>
      <c r="N2205" s="380"/>
      <c r="O2205" s="380"/>
      <c r="P2205" s="380"/>
      <c r="Q2205" s="381">
        <v>54.4</v>
      </c>
      <c r="R2205" s="381">
        <v>0</v>
      </c>
      <c r="S2205" s="381">
        <v>0</v>
      </c>
      <c r="T2205" s="381">
        <v>0</v>
      </c>
      <c r="U2205" s="381">
        <v>0</v>
      </c>
      <c r="V2205" s="382">
        <v>54.4</v>
      </c>
      <c r="W2205" s="382">
        <v>0</v>
      </c>
      <c r="X2205" s="381">
        <v>5.4399999999999997E-2</v>
      </c>
      <c r="Y2205" s="381">
        <v>0</v>
      </c>
      <c r="Z2205" s="381">
        <v>0</v>
      </c>
      <c r="AA2205" s="381">
        <v>0</v>
      </c>
      <c r="AB2205" s="381">
        <v>0</v>
      </c>
      <c r="AC2205" s="382">
        <v>5.4399999999999997E-2</v>
      </c>
      <c r="AD2205" s="382">
        <v>0</v>
      </c>
      <c r="AE2205" s="381" t="s">
        <v>168</v>
      </c>
    </row>
    <row r="2206" spans="1:31" ht="15" customHeight="1" x14ac:dyDescent="0.25">
      <c r="A2206" s="20" t="s">
        <v>2913</v>
      </c>
      <c r="B2206" s="20" t="s">
        <v>2913</v>
      </c>
      <c r="C2206" s="20" t="s">
        <v>2913</v>
      </c>
      <c r="D2206" s="378" t="s">
        <v>3075</v>
      </c>
      <c r="E2206" s="384" t="s">
        <v>3063</v>
      </c>
      <c r="F2206" s="384" t="s">
        <v>3064</v>
      </c>
      <c r="G2206" s="385" t="s">
        <v>193</v>
      </c>
      <c r="H2206" s="385" t="s">
        <v>3066</v>
      </c>
      <c r="I2206" s="378">
        <v>1.1000000000000001</v>
      </c>
      <c r="J2206" s="385" t="s">
        <v>163</v>
      </c>
      <c r="K2206" s="378" t="s">
        <v>3067</v>
      </c>
      <c r="L2206" s="378" t="s">
        <v>2848</v>
      </c>
      <c r="M2206" s="380">
        <v>2400</v>
      </c>
      <c r="N2206" s="380"/>
      <c r="O2206" s="380"/>
      <c r="P2206" s="380"/>
      <c r="Q2206" s="381">
        <v>70.5</v>
      </c>
      <c r="R2206" s="381">
        <v>0</v>
      </c>
      <c r="S2206" s="381">
        <v>0</v>
      </c>
      <c r="T2206" s="381">
        <v>0</v>
      </c>
      <c r="U2206" s="381">
        <v>0</v>
      </c>
      <c r="V2206" s="382">
        <v>70.5</v>
      </c>
      <c r="W2206" s="382">
        <v>0</v>
      </c>
      <c r="X2206" s="381">
        <v>7.0499999999999993E-2</v>
      </c>
      <c r="Y2206" s="381">
        <v>0</v>
      </c>
      <c r="Z2206" s="381">
        <v>0</v>
      </c>
      <c r="AA2206" s="381">
        <v>0</v>
      </c>
      <c r="AB2206" s="381">
        <v>0</v>
      </c>
      <c r="AC2206" s="382">
        <v>7.0499999999999993E-2</v>
      </c>
      <c r="AD2206" s="382">
        <v>0</v>
      </c>
      <c r="AE2206" s="381" t="s">
        <v>168</v>
      </c>
    </row>
    <row r="2207" spans="1:31" ht="15" customHeight="1" x14ac:dyDescent="0.25">
      <c r="A2207" s="20" t="s">
        <v>2913</v>
      </c>
      <c r="B2207" s="20" t="s">
        <v>2913</v>
      </c>
      <c r="C2207" s="20" t="s">
        <v>2913</v>
      </c>
      <c r="D2207" s="378" t="s">
        <v>3076</v>
      </c>
      <c r="E2207" s="384" t="s">
        <v>3063</v>
      </c>
      <c r="F2207" s="384" t="s">
        <v>3064</v>
      </c>
      <c r="G2207" s="385" t="s">
        <v>193</v>
      </c>
      <c r="H2207" s="385" t="s">
        <v>3066</v>
      </c>
      <c r="I2207" s="378">
        <v>1.1000000000000001</v>
      </c>
      <c r="J2207" s="385" t="s">
        <v>163</v>
      </c>
      <c r="K2207" s="378" t="s">
        <v>3067</v>
      </c>
      <c r="L2207" s="378" t="s">
        <v>2848</v>
      </c>
      <c r="M2207" s="380">
        <v>2400</v>
      </c>
      <c r="N2207" s="380"/>
      <c r="O2207" s="380"/>
      <c r="P2207" s="380"/>
      <c r="Q2207" s="381">
        <v>69.400000000000006</v>
      </c>
      <c r="R2207" s="381">
        <v>0</v>
      </c>
      <c r="S2207" s="381">
        <v>0</v>
      </c>
      <c r="T2207" s="381">
        <v>0</v>
      </c>
      <c r="U2207" s="381">
        <v>0</v>
      </c>
      <c r="V2207" s="382">
        <v>69.400000000000006</v>
      </c>
      <c r="W2207" s="382">
        <v>0</v>
      </c>
      <c r="X2207" s="381">
        <v>6.9400000000000003E-2</v>
      </c>
      <c r="Y2207" s="381">
        <v>0</v>
      </c>
      <c r="Z2207" s="381">
        <v>0</v>
      </c>
      <c r="AA2207" s="381">
        <v>0</v>
      </c>
      <c r="AB2207" s="381">
        <v>0</v>
      </c>
      <c r="AC2207" s="382">
        <v>6.9400000000000003E-2</v>
      </c>
      <c r="AD2207" s="382">
        <v>0</v>
      </c>
      <c r="AE2207" s="381" t="s">
        <v>168</v>
      </c>
    </row>
    <row r="2208" spans="1:31" ht="15" customHeight="1" x14ac:dyDescent="0.25">
      <c r="A2208" s="20" t="s">
        <v>2913</v>
      </c>
      <c r="B2208" s="20" t="s">
        <v>2913</v>
      </c>
      <c r="C2208" s="20" t="s">
        <v>2913</v>
      </c>
      <c r="D2208" s="378" t="s">
        <v>3077</v>
      </c>
      <c r="E2208" s="384" t="s">
        <v>3063</v>
      </c>
      <c r="F2208" s="384" t="s">
        <v>3064</v>
      </c>
      <c r="G2208" s="385" t="s">
        <v>193</v>
      </c>
      <c r="H2208" s="385" t="s">
        <v>3066</v>
      </c>
      <c r="I2208" s="378">
        <v>1.1000000000000001</v>
      </c>
      <c r="J2208" s="385" t="s">
        <v>163</v>
      </c>
      <c r="K2208" s="378" t="s">
        <v>3067</v>
      </c>
      <c r="L2208" s="378" t="s">
        <v>2848</v>
      </c>
      <c r="M2208" s="380">
        <v>2400</v>
      </c>
      <c r="N2208" s="380"/>
      <c r="O2208" s="380"/>
      <c r="P2208" s="380"/>
      <c r="Q2208" s="381">
        <v>62.7</v>
      </c>
      <c r="R2208" s="381">
        <v>0</v>
      </c>
      <c r="S2208" s="381">
        <v>0</v>
      </c>
      <c r="T2208" s="381">
        <v>0</v>
      </c>
      <c r="U2208" s="381">
        <v>0</v>
      </c>
      <c r="V2208" s="382">
        <v>62.7</v>
      </c>
      <c r="W2208" s="382">
        <v>0</v>
      </c>
      <c r="X2208" s="381">
        <v>6.2700000000000006E-2</v>
      </c>
      <c r="Y2208" s="381">
        <v>0</v>
      </c>
      <c r="Z2208" s="381">
        <v>0</v>
      </c>
      <c r="AA2208" s="381">
        <v>0</v>
      </c>
      <c r="AB2208" s="381">
        <v>0</v>
      </c>
      <c r="AC2208" s="382">
        <v>6.2700000000000006E-2</v>
      </c>
      <c r="AD2208" s="382">
        <v>0</v>
      </c>
      <c r="AE2208" s="381" t="s">
        <v>168</v>
      </c>
    </row>
    <row r="2209" spans="1:31" ht="15" customHeight="1" x14ac:dyDescent="0.25">
      <c r="A2209" s="20" t="s">
        <v>2913</v>
      </c>
      <c r="B2209" s="20" t="s">
        <v>2913</v>
      </c>
      <c r="C2209" s="20" t="s">
        <v>2913</v>
      </c>
      <c r="D2209" s="378" t="s">
        <v>3078</v>
      </c>
      <c r="E2209" s="384" t="s">
        <v>3063</v>
      </c>
      <c r="F2209" s="384" t="s">
        <v>3064</v>
      </c>
      <c r="G2209" s="385" t="s">
        <v>193</v>
      </c>
      <c r="H2209" s="385" t="s">
        <v>3066</v>
      </c>
      <c r="I2209" s="378">
        <v>1.1000000000000001</v>
      </c>
      <c r="J2209" s="385" t="s">
        <v>163</v>
      </c>
      <c r="K2209" s="378" t="s">
        <v>3067</v>
      </c>
      <c r="L2209" s="378" t="s">
        <v>2848</v>
      </c>
      <c r="M2209" s="380">
        <v>2400</v>
      </c>
      <c r="N2209" s="380"/>
      <c r="O2209" s="380"/>
      <c r="P2209" s="380"/>
      <c r="Q2209" s="381">
        <v>72.5</v>
      </c>
      <c r="R2209" s="381">
        <v>0</v>
      </c>
      <c r="S2209" s="381">
        <v>0</v>
      </c>
      <c r="T2209" s="381">
        <v>0</v>
      </c>
      <c r="U2209" s="381">
        <v>0</v>
      </c>
      <c r="V2209" s="382">
        <v>72.5</v>
      </c>
      <c r="W2209" s="382">
        <v>0</v>
      </c>
      <c r="X2209" s="381">
        <v>7.2499999999999995E-2</v>
      </c>
      <c r="Y2209" s="381">
        <v>0</v>
      </c>
      <c r="Z2209" s="381">
        <v>0</v>
      </c>
      <c r="AA2209" s="381">
        <v>0</v>
      </c>
      <c r="AB2209" s="381">
        <v>0</v>
      </c>
      <c r="AC2209" s="382">
        <v>7.2499999999999995E-2</v>
      </c>
      <c r="AD2209" s="382">
        <v>0</v>
      </c>
      <c r="AE2209" s="381" t="s">
        <v>168</v>
      </c>
    </row>
    <row r="2210" spans="1:31" ht="15" customHeight="1" x14ac:dyDescent="0.25">
      <c r="A2210" s="20" t="s">
        <v>2913</v>
      </c>
      <c r="B2210" s="20" t="s">
        <v>2913</v>
      </c>
      <c r="C2210" s="20" t="s">
        <v>2913</v>
      </c>
      <c r="D2210" s="378" t="s">
        <v>3079</v>
      </c>
      <c r="E2210" s="384" t="s">
        <v>3063</v>
      </c>
      <c r="F2210" s="384" t="s">
        <v>3064</v>
      </c>
      <c r="G2210" s="385" t="s">
        <v>193</v>
      </c>
      <c r="H2210" s="385" t="s">
        <v>3066</v>
      </c>
      <c r="I2210" s="378">
        <v>1.1000000000000001</v>
      </c>
      <c r="J2210" s="385" t="s">
        <v>163</v>
      </c>
      <c r="K2210" s="378" t="s">
        <v>3067</v>
      </c>
      <c r="L2210" s="378" t="s">
        <v>2848</v>
      </c>
      <c r="M2210" s="380">
        <v>2400</v>
      </c>
      <c r="N2210" s="380"/>
      <c r="O2210" s="380"/>
      <c r="P2210" s="380"/>
      <c r="Q2210" s="381">
        <v>79.400000000000006</v>
      </c>
      <c r="R2210" s="381">
        <v>0</v>
      </c>
      <c r="S2210" s="381">
        <v>0</v>
      </c>
      <c r="T2210" s="381">
        <v>0</v>
      </c>
      <c r="U2210" s="381">
        <v>0</v>
      </c>
      <c r="V2210" s="382">
        <v>79.400000000000006</v>
      </c>
      <c r="W2210" s="382">
        <v>0</v>
      </c>
      <c r="X2210" s="381">
        <v>7.9400000000000012E-2</v>
      </c>
      <c r="Y2210" s="381">
        <v>0</v>
      </c>
      <c r="Z2210" s="381">
        <v>0</v>
      </c>
      <c r="AA2210" s="381">
        <v>0</v>
      </c>
      <c r="AB2210" s="381">
        <v>0</v>
      </c>
      <c r="AC2210" s="382">
        <v>7.9400000000000012E-2</v>
      </c>
      <c r="AD2210" s="382">
        <v>0</v>
      </c>
      <c r="AE2210" s="381" t="s">
        <v>168</v>
      </c>
    </row>
    <row r="2211" spans="1:31" ht="15" customHeight="1" x14ac:dyDescent="0.25">
      <c r="A2211" s="20" t="s">
        <v>2913</v>
      </c>
      <c r="B2211" s="20" t="s">
        <v>2913</v>
      </c>
      <c r="C2211" s="20" t="s">
        <v>2913</v>
      </c>
      <c r="D2211" s="378" t="s">
        <v>3080</v>
      </c>
      <c r="E2211" s="384" t="s">
        <v>3063</v>
      </c>
      <c r="F2211" s="384" t="s">
        <v>3064</v>
      </c>
      <c r="G2211" s="385" t="s">
        <v>193</v>
      </c>
      <c r="H2211" s="385" t="s">
        <v>3066</v>
      </c>
      <c r="I2211" s="378">
        <v>1.1000000000000001</v>
      </c>
      <c r="J2211" s="385" t="s">
        <v>163</v>
      </c>
      <c r="K2211" s="378" t="s">
        <v>3067</v>
      </c>
      <c r="L2211" s="378" t="s">
        <v>2848</v>
      </c>
      <c r="M2211" s="380">
        <v>2400</v>
      </c>
      <c r="N2211" s="380"/>
      <c r="O2211" s="380"/>
      <c r="P2211" s="380"/>
      <c r="Q2211" s="381">
        <v>77.599999999999994</v>
      </c>
      <c r="R2211" s="381">
        <v>0</v>
      </c>
      <c r="S2211" s="381">
        <v>0</v>
      </c>
      <c r="T2211" s="381">
        <v>0</v>
      </c>
      <c r="U2211" s="381">
        <v>0</v>
      </c>
      <c r="V2211" s="382">
        <v>77.599999999999994</v>
      </c>
      <c r="W2211" s="382">
        <v>0</v>
      </c>
      <c r="X2211" s="381">
        <v>7.7599999999999988E-2</v>
      </c>
      <c r="Y2211" s="381">
        <v>0</v>
      </c>
      <c r="Z2211" s="381">
        <v>0</v>
      </c>
      <c r="AA2211" s="381">
        <v>0</v>
      </c>
      <c r="AB2211" s="381">
        <v>0</v>
      </c>
      <c r="AC2211" s="382">
        <v>7.7599999999999988E-2</v>
      </c>
      <c r="AD2211" s="382">
        <v>0</v>
      </c>
      <c r="AE2211" s="381" t="s">
        <v>168</v>
      </c>
    </row>
    <row r="2212" spans="1:31" ht="15" customHeight="1" x14ac:dyDescent="0.25">
      <c r="A2212" s="20" t="s">
        <v>2913</v>
      </c>
      <c r="B2212" s="20" t="s">
        <v>2913</v>
      </c>
      <c r="C2212" s="20" t="s">
        <v>2913</v>
      </c>
      <c r="D2212" s="378" t="s">
        <v>3081</v>
      </c>
      <c r="E2212" s="384" t="s">
        <v>3063</v>
      </c>
      <c r="F2212" s="384" t="s">
        <v>3064</v>
      </c>
      <c r="G2212" s="385" t="s">
        <v>193</v>
      </c>
      <c r="H2212" s="385" t="s">
        <v>3066</v>
      </c>
      <c r="I2212" s="378">
        <v>1.1000000000000001</v>
      </c>
      <c r="J2212" s="385" t="s">
        <v>163</v>
      </c>
      <c r="K2212" s="378" t="s">
        <v>3067</v>
      </c>
      <c r="L2212" s="378" t="s">
        <v>2848</v>
      </c>
      <c r="M2212" s="380">
        <v>2400</v>
      </c>
      <c r="N2212" s="380"/>
      <c r="O2212" s="380"/>
      <c r="P2212" s="380"/>
      <c r="Q2212" s="381">
        <v>55.8</v>
      </c>
      <c r="R2212" s="381">
        <v>0</v>
      </c>
      <c r="S2212" s="381">
        <v>0</v>
      </c>
      <c r="T2212" s="381">
        <v>0</v>
      </c>
      <c r="U2212" s="381">
        <v>0</v>
      </c>
      <c r="V2212" s="382">
        <v>55.8</v>
      </c>
      <c r="W2212" s="382">
        <v>0</v>
      </c>
      <c r="X2212" s="381">
        <v>5.5799999999999995E-2</v>
      </c>
      <c r="Y2212" s="381">
        <v>0</v>
      </c>
      <c r="Z2212" s="381">
        <v>0</v>
      </c>
      <c r="AA2212" s="381">
        <v>0</v>
      </c>
      <c r="AB2212" s="381">
        <v>0</v>
      </c>
      <c r="AC2212" s="382">
        <v>5.5799999999999995E-2</v>
      </c>
      <c r="AD2212" s="382">
        <v>0</v>
      </c>
      <c r="AE2212" s="381" t="s">
        <v>168</v>
      </c>
    </row>
    <row r="2213" spans="1:31" ht="15" customHeight="1" x14ac:dyDescent="0.25">
      <c r="A2213" s="20" t="s">
        <v>2913</v>
      </c>
      <c r="B2213" s="20" t="s">
        <v>2913</v>
      </c>
      <c r="C2213" s="20" t="s">
        <v>2913</v>
      </c>
      <c r="D2213" s="378" t="s">
        <v>3082</v>
      </c>
      <c r="E2213" s="384" t="s">
        <v>3063</v>
      </c>
      <c r="F2213" s="384" t="s">
        <v>3064</v>
      </c>
      <c r="G2213" s="385" t="s">
        <v>193</v>
      </c>
      <c r="H2213" s="385" t="s">
        <v>3066</v>
      </c>
      <c r="I2213" s="378">
        <v>1.1000000000000001</v>
      </c>
      <c r="J2213" s="385" t="s">
        <v>163</v>
      </c>
      <c r="K2213" s="378" t="s">
        <v>3067</v>
      </c>
      <c r="L2213" s="378" t="s">
        <v>2848</v>
      </c>
      <c r="M2213" s="380">
        <v>2400</v>
      </c>
      <c r="N2213" s="380"/>
      <c r="O2213" s="380"/>
      <c r="P2213" s="380"/>
      <c r="Q2213" s="381">
        <v>67.900000000000006</v>
      </c>
      <c r="R2213" s="381">
        <v>0</v>
      </c>
      <c r="S2213" s="381">
        <v>0</v>
      </c>
      <c r="T2213" s="381">
        <v>0</v>
      </c>
      <c r="U2213" s="381">
        <v>0</v>
      </c>
      <c r="V2213" s="382">
        <v>67.900000000000006</v>
      </c>
      <c r="W2213" s="382">
        <v>0</v>
      </c>
      <c r="X2213" s="381">
        <v>6.7900000000000002E-2</v>
      </c>
      <c r="Y2213" s="381">
        <v>0</v>
      </c>
      <c r="Z2213" s="381">
        <v>0</v>
      </c>
      <c r="AA2213" s="381">
        <v>0</v>
      </c>
      <c r="AB2213" s="381">
        <v>0</v>
      </c>
      <c r="AC2213" s="382">
        <v>6.7900000000000002E-2</v>
      </c>
      <c r="AD2213" s="382">
        <v>0</v>
      </c>
      <c r="AE2213" s="381" t="s">
        <v>168</v>
      </c>
    </row>
    <row r="2214" spans="1:31" ht="15" customHeight="1" x14ac:dyDescent="0.25">
      <c r="A2214" s="20" t="s">
        <v>2913</v>
      </c>
      <c r="B2214" s="20" t="s">
        <v>2913</v>
      </c>
      <c r="C2214" s="20" t="s">
        <v>2913</v>
      </c>
      <c r="D2214" s="378" t="s">
        <v>3083</v>
      </c>
      <c r="E2214" s="384" t="s">
        <v>3063</v>
      </c>
      <c r="F2214" s="384" t="s">
        <v>3064</v>
      </c>
      <c r="G2214" s="385" t="s">
        <v>193</v>
      </c>
      <c r="H2214" s="385" t="s">
        <v>3066</v>
      </c>
      <c r="I2214" s="378">
        <v>1.1000000000000001</v>
      </c>
      <c r="J2214" s="385" t="s">
        <v>163</v>
      </c>
      <c r="K2214" s="378" t="s">
        <v>3067</v>
      </c>
      <c r="L2214" s="378" t="s">
        <v>2848</v>
      </c>
      <c r="M2214" s="380">
        <v>2400</v>
      </c>
      <c r="N2214" s="380"/>
      <c r="O2214" s="380"/>
      <c r="P2214" s="380"/>
      <c r="Q2214" s="381">
        <v>66.7</v>
      </c>
      <c r="R2214" s="381">
        <v>0</v>
      </c>
      <c r="S2214" s="381">
        <v>0</v>
      </c>
      <c r="T2214" s="381">
        <v>0</v>
      </c>
      <c r="U2214" s="381">
        <v>0</v>
      </c>
      <c r="V2214" s="382">
        <v>66.7</v>
      </c>
      <c r="W2214" s="382">
        <v>0</v>
      </c>
      <c r="X2214" s="381">
        <v>6.6700000000000009E-2</v>
      </c>
      <c r="Y2214" s="381">
        <v>0</v>
      </c>
      <c r="Z2214" s="381">
        <v>0</v>
      </c>
      <c r="AA2214" s="381">
        <v>0</v>
      </c>
      <c r="AB2214" s="381">
        <v>0</v>
      </c>
      <c r="AC2214" s="382">
        <v>6.6700000000000009E-2</v>
      </c>
      <c r="AD2214" s="382">
        <v>0</v>
      </c>
      <c r="AE2214" s="381" t="s">
        <v>168</v>
      </c>
    </row>
    <row r="2215" spans="1:31" ht="15" customHeight="1" x14ac:dyDescent="0.25">
      <c r="A2215" s="20" t="s">
        <v>2913</v>
      </c>
      <c r="B2215" s="20" t="s">
        <v>2913</v>
      </c>
      <c r="C2215" s="20" t="s">
        <v>2913</v>
      </c>
      <c r="D2215" s="378" t="s">
        <v>3084</v>
      </c>
      <c r="E2215" s="384" t="s">
        <v>3063</v>
      </c>
      <c r="F2215" s="384" t="s">
        <v>3064</v>
      </c>
      <c r="G2215" s="385" t="s">
        <v>193</v>
      </c>
      <c r="H2215" s="385" t="s">
        <v>3066</v>
      </c>
      <c r="I2215" s="378">
        <v>1.1000000000000001</v>
      </c>
      <c r="J2215" s="385" t="s">
        <v>163</v>
      </c>
      <c r="K2215" s="378" t="s">
        <v>3067</v>
      </c>
      <c r="L2215" s="378" t="s">
        <v>2848</v>
      </c>
      <c r="M2215" s="380">
        <v>2400</v>
      </c>
      <c r="N2215" s="380"/>
      <c r="O2215" s="380"/>
      <c r="P2215" s="380"/>
      <c r="Q2215" s="381">
        <v>68.7</v>
      </c>
      <c r="R2215" s="381">
        <v>0</v>
      </c>
      <c r="S2215" s="381">
        <v>0</v>
      </c>
      <c r="T2215" s="381">
        <v>0</v>
      </c>
      <c r="U2215" s="381">
        <v>0</v>
      </c>
      <c r="V2215" s="382">
        <v>68.7</v>
      </c>
      <c r="W2215" s="382">
        <v>0</v>
      </c>
      <c r="X2215" s="381">
        <v>6.8699999999999997E-2</v>
      </c>
      <c r="Y2215" s="381">
        <v>0</v>
      </c>
      <c r="Z2215" s="381">
        <v>0</v>
      </c>
      <c r="AA2215" s="381">
        <v>0</v>
      </c>
      <c r="AB2215" s="381">
        <v>0</v>
      </c>
      <c r="AC2215" s="382">
        <v>6.8699999999999997E-2</v>
      </c>
      <c r="AD2215" s="382">
        <v>0</v>
      </c>
      <c r="AE2215" s="381" t="s">
        <v>168</v>
      </c>
    </row>
    <row r="2216" spans="1:31" ht="15" customHeight="1" x14ac:dyDescent="0.25">
      <c r="A2216" s="20" t="s">
        <v>2913</v>
      </c>
      <c r="B2216" s="20" t="s">
        <v>2913</v>
      </c>
      <c r="C2216" s="20" t="s">
        <v>2913</v>
      </c>
      <c r="D2216" s="378" t="s">
        <v>3085</v>
      </c>
      <c r="E2216" s="384" t="s">
        <v>3063</v>
      </c>
      <c r="F2216" s="384" t="s">
        <v>3064</v>
      </c>
      <c r="G2216" s="385" t="s">
        <v>160</v>
      </c>
      <c r="H2216" s="385" t="s">
        <v>3066</v>
      </c>
      <c r="I2216" s="378">
        <v>1.1000000000000001</v>
      </c>
      <c r="J2216" s="385" t="s">
        <v>163</v>
      </c>
      <c r="K2216" s="378" t="s">
        <v>3067</v>
      </c>
      <c r="L2216" s="378" t="s">
        <v>2848</v>
      </c>
      <c r="M2216" s="380">
        <v>2400</v>
      </c>
      <c r="N2216" s="380"/>
      <c r="O2216" s="380"/>
      <c r="P2216" s="380"/>
      <c r="Q2216" s="381">
        <v>67.5</v>
      </c>
      <c r="R2216" s="381">
        <v>0</v>
      </c>
      <c r="S2216" s="381">
        <v>0</v>
      </c>
      <c r="T2216" s="381">
        <v>0</v>
      </c>
      <c r="U2216" s="381">
        <v>0</v>
      </c>
      <c r="V2216" s="382">
        <v>67.5</v>
      </c>
      <c r="W2216" s="382">
        <v>0</v>
      </c>
      <c r="X2216" s="381">
        <v>6.7500000000000004E-2</v>
      </c>
      <c r="Y2216" s="381">
        <v>0</v>
      </c>
      <c r="Z2216" s="381">
        <v>0</v>
      </c>
      <c r="AA2216" s="381">
        <v>0</v>
      </c>
      <c r="AB2216" s="381">
        <v>0</v>
      </c>
      <c r="AC2216" s="382">
        <v>6.7500000000000004E-2</v>
      </c>
      <c r="AD2216" s="382">
        <v>0</v>
      </c>
      <c r="AE2216" s="381" t="s">
        <v>168</v>
      </c>
    </row>
    <row r="2217" spans="1:31" ht="15" customHeight="1" x14ac:dyDescent="0.25">
      <c r="A2217" s="20" t="s">
        <v>2913</v>
      </c>
      <c r="B2217" s="20" t="s">
        <v>2913</v>
      </c>
      <c r="C2217" s="20" t="s">
        <v>2913</v>
      </c>
      <c r="D2217" s="378" t="s">
        <v>3086</v>
      </c>
      <c r="E2217" s="384" t="s">
        <v>3063</v>
      </c>
      <c r="F2217" s="384" t="s">
        <v>3064</v>
      </c>
      <c r="G2217" s="385" t="s">
        <v>160</v>
      </c>
      <c r="H2217" s="385" t="s">
        <v>3066</v>
      </c>
      <c r="I2217" s="378">
        <v>1.1000000000000001</v>
      </c>
      <c r="J2217" s="385" t="s">
        <v>163</v>
      </c>
      <c r="K2217" s="378" t="s">
        <v>3067</v>
      </c>
      <c r="L2217" s="378" t="s">
        <v>2848</v>
      </c>
      <c r="M2217" s="380">
        <v>2400</v>
      </c>
      <c r="N2217" s="380"/>
      <c r="O2217" s="380"/>
      <c r="P2217" s="380"/>
      <c r="Q2217" s="381">
        <v>52.5</v>
      </c>
      <c r="R2217" s="381">
        <v>0</v>
      </c>
      <c r="S2217" s="381">
        <v>0</v>
      </c>
      <c r="T2217" s="381">
        <v>0</v>
      </c>
      <c r="U2217" s="381">
        <v>0</v>
      </c>
      <c r="V2217" s="382">
        <v>52.5</v>
      </c>
      <c r="W2217" s="382">
        <v>0</v>
      </c>
      <c r="X2217" s="381">
        <v>5.2499999999999998E-2</v>
      </c>
      <c r="Y2217" s="381">
        <v>0</v>
      </c>
      <c r="Z2217" s="381">
        <v>0</v>
      </c>
      <c r="AA2217" s="381">
        <v>0</v>
      </c>
      <c r="AB2217" s="381">
        <v>0</v>
      </c>
      <c r="AC2217" s="382">
        <v>5.2499999999999998E-2</v>
      </c>
      <c r="AD2217" s="382">
        <v>0</v>
      </c>
      <c r="AE2217" s="381" t="s">
        <v>168</v>
      </c>
    </row>
    <row r="2218" spans="1:31" ht="15" customHeight="1" x14ac:dyDescent="0.25">
      <c r="A2218" s="20" t="s">
        <v>2913</v>
      </c>
      <c r="B2218" s="20" t="s">
        <v>2913</v>
      </c>
      <c r="C2218" s="20" t="s">
        <v>2913</v>
      </c>
      <c r="D2218" s="378" t="s">
        <v>3087</v>
      </c>
      <c r="E2218" s="384" t="s">
        <v>3063</v>
      </c>
      <c r="F2218" s="384" t="s">
        <v>3064</v>
      </c>
      <c r="G2218" s="385" t="s">
        <v>160</v>
      </c>
      <c r="H2218" s="385" t="s">
        <v>3066</v>
      </c>
      <c r="I2218" s="378">
        <v>1.1000000000000001</v>
      </c>
      <c r="J2218" s="385" t="s">
        <v>163</v>
      </c>
      <c r="K2218" s="378" t="s">
        <v>3067</v>
      </c>
      <c r="L2218" s="378" t="s">
        <v>2848</v>
      </c>
      <c r="M2218" s="380">
        <v>2400</v>
      </c>
      <c r="N2218" s="380"/>
      <c r="O2218" s="380"/>
      <c r="P2218" s="380"/>
      <c r="Q2218" s="381">
        <v>42.4</v>
      </c>
      <c r="R2218" s="381">
        <v>0</v>
      </c>
      <c r="S2218" s="381">
        <v>0</v>
      </c>
      <c r="T2218" s="381">
        <v>0</v>
      </c>
      <c r="U2218" s="381">
        <v>0</v>
      </c>
      <c r="V2218" s="382">
        <v>42.4</v>
      </c>
      <c r="W2218" s="382">
        <v>0</v>
      </c>
      <c r="X2218" s="381">
        <v>4.24E-2</v>
      </c>
      <c r="Y2218" s="381">
        <v>0</v>
      </c>
      <c r="Z2218" s="381">
        <v>0</v>
      </c>
      <c r="AA2218" s="381">
        <v>0</v>
      </c>
      <c r="AB2218" s="381">
        <v>0</v>
      </c>
      <c r="AC2218" s="382">
        <v>4.24E-2</v>
      </c>
      <c r="AD2218" s="382">
        <v>0</v>
      </c>
      <c r="AE2218" s="381" t="s">
        <v>168</v>
      </c>
    </row>
    <row r="2219" spans="1:31" ht="15" customHeight="1" x14ac:dyDescent="0.25">
      <c r="A2219" s="20" t="s">
        <v>2913</v>
      </c>
      <c r="B2219" s="20" t="s">
        <v>2913</v>
      </c>
      <c r="C2219" s="20" t="s">
        <v>2913</v>
      </c>
      <c r="D2219" s="378" t="s">
        <v>3088</v>
      </c>
      <c r="E2219" s="384" t="s">
        <v>3063</v>
      </c>
      <c r="F2219" s="384" t="s">
        <v>3064</v>
      </c>
      <c r="G2219" s="385" t="s">
        <v>160</v>
      </c>
      <c r="H2219" s="385" t="s">
        <v>3066</v>
      </c>
      <c r="I2219" s="378">
        <v>1.1000000000000001</v>
      </c>
      <c r="J2219" s="385" t="s">
        <v>163</v>
      </c>
      <c r="K2219" s="378" t="s">
        <v>3067</v>
      </c>
      <c r="L2219" s="378" t="s">
        <v>2848</v>
      </c>
      <c r="M2219" s="380">
        <v>2400</v>
      </c>
      <c r="N2219" s="380"/>
      <c r="O2219" s="380"/>
      <c r="P2219" s="380"/>
      <c r="Q2219" s="381">
        <v>41.1</v>
      </c>
      <c r="R2219" s="381">
        <v>0</v>
      </c>
      <c r="S2219" s="381">
        <v>0</v>
      </c>
      <c r="T2219" s="381">
        <v>0</v>
      </c>
      <c r="U2219" s="381">
        <v>0</v>
      </c>
      <c r="V2219" s="382">
        <v>41.1</v>
      </c>
      <c r="W2219" s="382">
        <v>0</v>
      </c>
      <c r="X2219" s="381">
        <v>4.1100000000000005E-2</v>
      </c>
      <c r="Y2219" s="381">
        <v>0</v>
      </c>
      <c r="Z2219" s="381">
        <v>0</v>
      </c>
      <c r="AA2219" s="381">
        <v>0</v>
      </c>
      <c r="AB2219" s="381">
        <v>0</v>
      </c>
      <c r="AC2219" s="382">
        <v>4.1100000000000005E-2</v>
      </c>
      <c r="AD2219" s="382">
        <v>0</v>
      </c>
      <c r="AE2219" s="381" t="s">
        <v>168</v>
      </c>
    </row>
    <row r="2220" spans="1:31" ht="15" customHeight="1" x14ac:dyDescent="0.25">
      <c r="A2220" s="20" t="s">
        <v>2913</v>
      </c>
      <c r="B2220" s="20" t="s">
        <v>2913</v>
      </c>
      <c r="C2220" s="20" t="s">
        <v>2913</v>
      </c>
      <c r="D2220" s="378" t="s">
        <v>3089</v>
      </c>
      <c r="E2220" s="384" t="s">
        <v>3063</v>
      </c>
      <c r="F2220" s="384" t="s">
        <v>3064</v>
      </c>
      <c r="G2220" s="385" t="s">
        <v>160</v>
      </c>
      <c r="H2220" s="385" t="s">
        <v>3066</v>
      </c>
      <c r="I2220" s="378">
        <v>1.1000000000000001</v>
      </c>
      <c r="J2220" s="385" t="s">
        <v>163</v>
      </c>
      <c r="K2220" s="378" t="s">
        <v>3067</v>
      </c>
      <c r="L2220" s="378" t="s">
        <v>2848</v>
      </c>
      <c r="M2220" s="380">
        <v>2400</v>
      </c>
      <c r="N2220" s="380"/>
      <c r="O2220" s="380"/>
      <c r="P2220" s="380"/>
      <c r="Q2220" s="381">
        <v>46.1</v>
      </c>
      <c r="R2220" s="381">
        <v>0</v>
      </c>
      <c r="S2220" s="381">
        <v>0</v>
      </c>
      <c r="T2220" s="381">
        <v>0</v>
      </c>
      <c r="U2220" s="381">
        <v>0</v>
      </c>
      <c r="V2220" s="382">
        <v>46.1</v>
      </c>
      <c r="W2220" s="382">
        <v>0</v>
      </c>
      <c r="X2220" s="381">
        <v>4.6100000000000002E-2</v>
      </c>
      <c r="Y2220" s="381">
        <v>0</v>
      </c>
      <c r="Z2220" s="381">
        <v>0</v>
      </c>
      <c r="AA2220" s="381">
        <v>0</v>
      </c>
      <c r="AB2220" s="381">
        <v>0</v>
      </c>
      <c r="AC2220" s="382">
        <v>4.6100000000000002E-2</v>
      </c>
      <c r="AD2220" s="382">
        <v>0</v>
      </c>
      <c r="AE2220" s="381" t="s">
        <v>168</v>
      </c>
    </row>
    <row r="2221" spans="1:31" ht="15" customHeight="1" x14ac:dyDescent="0.25">
      <c r="A2221" s="20" t="s">
        <v>2913</v>
      </c>
      <c r="B2221" s="20" t="s">
        <v>2913</v>
      </c>
      <c r="C2221" s="20" t="s">
        <v>2913</v>
      </c>
      <c r="D2221" s="378" t="s">
        <v>3090</v>
      </c>
      <c r="E2221" s="384" t="s">
        <v>3063</v>
      </c>
      <c r="F2221" s="384" t="s">
        <v>3064</v>
      </c>
      <c r="G2221" s="385" t="s">
        <v>160</v>
      </c>
      <c r="H2221" s="385" t="s">
        <v>3066</v>
      </c>
      <c r="I2221" s="378">
        <v>1.1000000000000001</v>
      </c>
      <c r="J2221" s="385" t="s">
        <v>163</v>
      </c>
      <c r="K2221" s="378" t="s">
        <v>3067</v>
      </c>
      <c r="L2221" s="378" t="s">
        <v>2848</v>
      </c>
      <c r="M2221" s="380">
        <v>2400</v>
      </c>
      <c r="N2221" s="380"/>
      <c r="O2221" s="380"/>
      <c r="P2221" s="380"/>
      <c r="Q2221" s="381">
        <v>51.4</v>
      </c>
      <c r="R2221" s="381">
        <v>0</v>
      </c>
      <c r="S2221" s="381">
        <v>0</v>
      </c>
      <c r="T2221" s="381">
        <v>0</v>
      </c>
      <c r="U2221" s="381">
        <v>0</v>
      </c>
      <c r="V2221" s="382">
        <v>51.4</v>
      </c>
      <c r="W2221" s="382">
        <v>0</v>
      </c>
      <c r="X2221" s="381">
        <v>5.1400000000000001E-2</v>
      </c>
      <c r="Y2221" s="381">
        <v>0</v>
      </c>
      <c r="Z2221" s="381">
        <v>0</v>
      </c>
      <c r="AA2221" s="381">
        <v>0</v>
      </c>
      <c r="AB2221" s="381">
        <v>0</v>
      </c>
      <c r="AC2221" s="382">
        <v>5.1400000000000001E-2</v>
      </c>
      <c r="AD2221" s="382">
        <v>0</v>
      </c>
      <c r="AE2221" s="381" t="s">
        <v>168</v>
      </c>
    </row>
    <row r="2222" spans="1:31" ht="15" customHeight="1" x14ac:dyDescent="0.25">
      <c r="A2222" s="20" t="s">
        <v>2913</v>
      </c>
      <c r="B2222" s="20" t="s">
        <v>2913</v>
      </c>
      <c r="C2222" s="20" t="s">
        <v>2913</v>
      </c>
      <c r="D2222" s="378" t="s">
        <v>3091</v>
      </c>
      <c r="E2222" s="384" t="s">
        <v>3063</v>
      </c>
      <c r="F2222" s="384" t="s">
        <v>3064</v>
      </c>
      <c r="G2222" s="385" t="s">
        <v>179</v>
      </c>
      <c r="H2222" s="385" t="s">
        <v>3066</v>
      </c>
      <c r="I2222" s="378">
        <v>1.1000000000000001</v>
      </c>
      <c r="J2222" s="385" t="s">
        <v>163</v>
      </c>
      <c r="K2222" s="378" t="s">
        <v>3067</v>
      </c>
      <c r="L2222" s="378" t="s">
        <v>2848</v>
      </c>
      <c r="M2222" s="380">
        <v>2400</v>
      </c>
      <c r="N2222" s="380"/>
      <c r="O2222" s="380"/>
      <c r="P2222" s="380"/>
      <c r="Q2222" s="381">
        <v>81.900000000000006</v>
      </c>
      <c r="R2222" s="381">
        <v>0</v>
      </c>
      <c r="S2222" s="381">
        <v>0</v>
      </c>
      <c r="T2222" s="381">
        <v>0</v>
      </c>
      <c r="U2222" s="381">
        <v>0</v>
      </c>
      <c r="V2222" s="382">
        <v>81.900000000000006</v>
      </c>
      <c r="W2222" s="382">
        <v>0</v>
      </c>
      <c r="X2222" s="381">
        <v>8.1900000000000001E-2</v>
      </c>
      <c r="Y2222" s="381">
        <v>0</v>
      </c>
      <c r="Z2222" s="381">
        <v>0</v>
      </c>
      <c r="AA2222" s="381">
        <v>0</v>
      </c>
      <c r="AB2222" s="381">
        <v>0</v>
      </c>
      <c r="AC2222" s="382">
        <v>8.1900000000000001E-2</v>
      </c>
      <c r="AD2222" s="382">
        <v>0</v>
      </c>
      <c r="AE2222" s="381" t="s">
        <v>168</v>
      </c>
    </row>
    <row r="2223" spans="1:31" ht="15" customHeight="1" x14ac:dyDescent="0.25">
      <c r="A2223" s="20" t="s">
        <v>2913</v>
      </c>
      <c r="B2223" s="20" t="s">
        <v>2913</v>
      </c>
      <c r="C2223" s="20" t="s">
        <v>2913</v>
      </c>
      <c r="D2223" s="378" t="s">
        <v>3092</v>
      </c>
      <c r="E2223" s="384" t="s">
        <v>3063</v>
      </c>
      <c r="F2223" s="384" t="s">
        <v>3064</v>
      </c>
      <c r="G2223" s="385" t="s">
        <v>179</v>
      </c>
      <c r="H2223" s="385" t="s">
        <v>3066</v>
      </c>
      <c r="I2223" s="378">
        <v>1.1000000000000001</v>
      </c>
      <c r="J2223" s="385" t="s">
        <v>163</v>
      </c>
      <c r="K2223" s="378" t="s">
        <v>3067</v>
      </c>
      <c r="L2223" s="378" t="s">
        <v>2848</v>
      </c>
      <c r="M2223" s="380">
        <v>2400</v>
      </c>
      <c r="N2223" s="380"/>
      <c r="O2223" s="380"/>
      <c r="P2223" s="380"/>
      <c r="Q2223" s="381">
        <v>59</v>
      </c>
      <c r="R2223" s="381">
        <v>0</v>
      </c>
      <c r="S2223" s="381">
        <v>0</v>
      </c>
      <c r="T2223" s="381">
        <v>0</v>
      </c>
      <c r="U2223" s="381">
        <v>0</v>
      </c>
      <c r="V2223" s="382">
        <v>59</v>
      </c>
      <c r="W2223" s="382">
        <v>0</v>
      </c>
      <c r="X2223" s="381">
        <v>5.8999999999999997E-2</v>
      </c>
      <c r="Y2223" s="381">
        <v>0</v>
      </c>
      <c r="Z2223" s="381">
        <v>0</v>
      </c>
      <c r="AA2223" s="381">
        <v>0</v>
      </c>
      <c r="AB2223" s="381">
        <v>0</v>
      </c>
      <c r="AC2223" s="382">
        <v>5.8999999999999997E-2</v>
      </c>
      <c r="AD2223" s="382">
        <v>0</v>
      </c>
      <c r="AE2223" s="381" t="s">
        <v>168</v>
      </c>
    </row>
    <row r="2224" spans="1:31" ht="15" customHeight="1" x14ac:dyDescent="0.25">
      <c r="A2224" s="20" t="s">
        <v>2913</v>
      </c>
      <c r="B2224" s="20" t="s">
        <v>2913</v>
      </c>
      <c r="C2224" s="20" t="s">
        <v>2913</v>
      </c>
      <c r="D2224" s="378" t="s">
        <v>3093</v>
      </c>
      <c r="E2224" s="384" t="s">
        <v>3063</v>
      </c>
      <c r="F2224" s="384" t="s">
        <v>3064</v>
      </c>
      <c r="G2224" s="385" t="s">
        <v>179</v>
      </c>
      <c r="H2224" s="385" t="s">
        <v>3066</v>
      </c>
      <c r="I2224" s="378">
        <v>1.1000000000000001</v>
      </c>
      <c r="J2224" s="385" t="s">
        <v>163</v>
      </c>
      <c r="K2224" s="378" t="s">
        <v>3067</v>
      </c>
      <c r="L2224" s="378" t="s">
        <v>2848</v>
      </c>
      <c r="M2224" s="380">
        <v>2400</v>
      </c>
      <c r="N2224" s="380"/>
      <c r="O2224" s="380"/>
      <c r="P2224" s="380"/>
      <c r="Q2224" s="381">
        <v>56.6</v>
      </c>
      <c r="R2224" s="381">
        <v>0</v>
      </c>
      <c r="S2224" s="381">
        <v>0</v>
      </c>
      <c r="T2224" s="381">
        <v>0</v>
      </c>
      <c r="U2224" s="381">
        <v>0</v>
      </c>
      <c r="V2224" s="382">
        <v>56.6</v>
      </c>
      <c r="W2224" s="382">
        <v>0</v>
      </c>
      <c r="X2224" s="381">
        <v>5.6600000000000004E-2</v>
      </c>
      <c r="Y2224" s="381">
        <v>0</v>
      </c>
      <c r="Z2224" s="381">
        <v>0</v>
      </c>
      <c r="AA2224" s="381">
        <v>0</v>
      </c>
      <c r="AB2224" s="381">
        <v>0</v>
      </c>
      <c r="AC2224" s="382">
        <v>5.6600000000000004E-2</v>
      </c>
      <c r="AD2224" s="382">
        <v>0</v>
      </c>
      <c r="AE2224" s="381" t="s">
        <v>168</v>
      </c>
    </row>
    <row r="2225" spans="1:31" ht="15" customHeight="1" x14ac:dyDescent="0.25">
      <c r="A2225" s="20" t="s">
        <v>2913</v>
      </c>
      <c r="B2225" s="20" t="s">
        <v>2913</v>
      </c>
      <c r="C2225" s="20" t="s">
        <v>2913</v>
      </c>
      <c r="D2225" s="378" t="s">
        <v>3094</v>
      </c>
      <c r="E2225" s="384" t="s">
        <v>3063</v>
      </c>
      <c r="F2225" s="384" t="s">
        <v>3064</v>
      </c>
      <c r="G2225" s="385" t="s">
        <v>179</v>
      </c>
      <c r="H2225" s="385" t="s">
        <v>3066</v>
      </c>
      <c r="I2225" s="378">
        <v>1.1000000000000001</v>
      </c>
      <c r="J2225" s="385" t="s">
        <v>163</v>
      </c>
      <c r="K2225" s="378" t="s">
        <v>3067</v>
      </c>
      <c r="L2225" s="378" t="s">
        <v>2848</v>
      </c>
      <c r="M2225" s="380">
        <v>2400</v>
      </c>
      <c r="N2225" s="380"/>
      <c r="O2225" s="380"/>
      <c r="P2225" s="380"/>
      <c r="Q2225" s="381">
        <v>67.400000000000006</v>
      </c>
      <c r="R2225" s="381">
        <v>0</v>
      </c>
      <c r="S2225" s="381">
        <v>0</v>
      </c>
      <c r="T2225" s="381">
        <v>0</v>
      </c>
      <c r="U2225" s="381">
        <v>0</v>
      </c>
      <c r="V2225" s="382">
        <v>67.400000000000006</v>
      </c>
      <c r="W2225" s="382">
        <v>0</v>
      </c>
      <c r="X2225" s="381">
        <v>6.7400000000000002E-2</v>
      </c>
      <c r="Y2225" s="381">
        <v>0</v>
      </c>
      <c r="Z2225" s="381">
        <v>0</v>
      </c>
      <c r="AA2225" s="381">
        <v>0</v>
      </c>
      <c r="AB2225" s="381">
        <v>0</v>
      </c>
      <c r="AC2225" s="382">
        <v>6.7400000000000002E-2</v>
      </c>
      <c r="AD2225" s="382">
        <v>0</v>
      </c>
      <c r="AE2225" s="381" t="s">
        <v>168</v>
      </c>
    </row>
    <row r="2226" spans="1:31" ht="15" customHeight="1" x14ac:dyDescent="0.25">
      <c r="A2226" s="20" t="s">
        <v>2913</v>
      </c>
      <c r="B2226" s="20" t="s">
        <v>2913</v>
      </c>
      <c r="C2226" s="20" t="s">
        <v>2913</v>
      </c>
      <c r="D2226" s="378" t="s">
        <v>3095</v>
      </c>
      <c r="E2226" s="384" t="s">
        <v>3063</v>
      </c>
      <c r="F2226" s="384" t="s">
        <v>3064</v>
      </c>
      <c r="G2226" s="385" t="s">
        <v>179</v>
      </c>
      <c r="H2226" s="385" t="s">
        <v>3066</v>
      </c>
      <c r="I2226" s="378">
        <v>1.1000000000000001</v>
      </c>
      <c r="J2226" s="385" t="s">
        <v>163</v>
      </c>
      <c r="K2226" s="378" t="s">
        <v>3067</v>
      </c>
      <c r="L2226" s="378" t="s">
        <v>2848</v>
      </c>
      <c r="M2226" s="380">
        <v>2400</v>
      </c>
      <c r="N2226" s="380"/>
      <c r="O2226" s="380"/>
      <c r="P2226" s="380"/>
      <c r="Q2226" s="381">
        <v>49.5</v>
      </c>
      <c r="R2226" s="381">
        <v>0</v>
      </c>
      <c r="S2226" s="381">
        <v>0</v>
      </c>
      <c r="T2226" s="381">
        <v>0</v>
      </c>
      <c r="U2226" s="381">
        <v>0</v>
      </c>
      <c r="V2226" s="382">
        <v>49.5</v>
      </c>
      <c r="W2226" s="382">
        <v>0</v>
      </c>
      <c r="X2226" s="381">
        <v>4.9500000000000002E-2</v>
      </c>
      <c r="Y2226" s="381">
        <v>0</v>
      </c>
      <c r="Z2226" s="381">
        <v>0</v>
      </c>
      <c r="AA2226" s="381">
        <v>0</v>
      </c>
      <c r="AB2226" s="381">
        <v>0</v>
      </c>
      <c r="AC2226" s="382">
        <v>4.9500000000000002E-2</v>
      </c>
      <c r="AD2226" s="382">
        <v>0</v>
      </c>
      <c r="AE2226" s="381" t="s">
        <v>168</v>
      </c>
    </row>
    <row r="2227" spans="1:31" ht="15" customHeight="1" x14ac:dyDescent="0.25">
      <c r="A2227" s="20" t="s">
        <v>2913</v>
      </c>
      <c r="B2227" s="20" t="s">
        <v>2913</v>
      </c>
      <c r="C2227" s="20" t="s">
        <v>2913</v>
      </c>
      <c r="D2227" s="378" t="s">
        <v>3096</v>
      </c>
      <c r="E2227" s="384" t="s">
        <v>3063</v>
      </c>
      <c r="F2227" s="384" t="s">
        <v>3064</v>
      </c>
      <c r="G2227" s="385" t="s">
        <v>179</v>
      </c>
      <c r="H2227" s="385" t="s">
        <v>3066</v>
      </c>
      <c r="I2227" s="378">
        <v>1.1000000000000001</v>
      </c>
      <c r="J2227" s="385" t="s">
        <v>163</v>
      </c>
      <c r="K2227" s="378" t="s">
        <v>3067</v>
      </c>
      <c r="L2227" s="378" t="s">
        <v>2848</v>
      </c>
      <c r="M2227" s="380">
        <v>2400</v>
      </c>
      <c r="N2227" s="380"/>
      <c r="O2227" s="380"/>
      <c r="P2227" s="380"/>
      <c r="Q2227" s="381">
        <v>46.9</v>
      </c>
      <c r="R2227" s="381">
        <v>0</v>
      </c>
      <c r="S2227" s="381">
        <v>0</v>
      </c>
      <c r="T2227" s="381">
        <v>0</v>
      </c>
      <c r="U2227" s="381">
        <v>0</v>
      </c>
      <c r="V2227" s="382">
        <v>46.9</v>
      </c>
      <c r="W2227" s="382">
        <v>0</v>
      </c>
      <c r="X2227" s="381">
        <v>4.6899999999999997E-2</v>
      </c>
      <c r="Y2227" s="381">
        <v>0</v>
      </c>
      <c r="Z2227" s="381">
        <v>0</v>
      </c>
      <c r="AA2227" s="381">
        <v>0</v>
      </c>
      <c r="AB2227" s="381">
        <v>0</v>
      </c>
      <c r="AC2227" s="382">
        <v>4.6899999999999997E-2</v>
      </c>
      <c r="AD2227" s="382">
        <v>0</v>
      </c>
      <c r="AE2227" s="381" t="s">
        <v>168</v>
      </c>
    </row>
    <row r="2228" spans="1:31" ht="15" customHeight="1" x14ac:dyDescent="0.25">
      <c r="A2228" s="20" t="s">
        <v>2913</v>
      </c>
      <c r="B2228" s="20" t="s">
        <v>2913</v>
      </c>
      <c r="C2228" s="20" t="s">
        <v>2913</v>
      </c>
      <c r="D2228" s="378" t="s">
        <v>3097</v>
      </c>
      <c r="E2228" s="384" t="s">
        <v>3063</v>
      </c>
      <c r="F2228" s="384" t="s">
        <v>3064</v>
      </c>
      <c r="G2228" s="385" t="s">
        <v>179</v>
      </c>
      <c r="H2228" s="385" t="s">
        <v>3066</v>
      </c>
      <c r="I2228" s="378">
        <v>1.1000000000000001</v>
      </c>
      <c r="J2228" s="385" t="s">
        <v>163</v>
      </c>
      <c r="K2228" s="378" t="s">
        <v>3067</v>
      </c>
      <c r="L2228" s="378" t="s">
        <v>2848</v>
      </c>
      <c r="M2228" s="380">
        <v>2400</v>
      </c>
      <c r="N2228" s="380"/>
      <c r="O2228" s="380"/>
      <c r="P2228" s="380"/>
      <c r="Q2228" s="381">
        <v>55.9</v>
      </c>
      <c r="R2228" s="381">
        <v>0</v>
      </c>
      <c r="S2228" s="381">
        <v>0</v>
      </c>
      <c r="T2228" s="381">
        <v>0</v>
      </c>
      <c r="U2228" s="381">
        <v>0</v>
      </c>
      <c r="V2228" s="382">
        <v>55.9</v>
      </c>
      <c r="W2228" s="382">
        <v>0</v>
      </c>
      <c r="X2228" s="381">
        <v>5.5899999999999998E-2</v>
      </c>
      <c r="Y2228" s="381">
        <v>0</v>
      </c>
      <c r="Z2228" s="381">
        <v>0</v>
      </c>
      <c r="AA2228" s="381">
        <v>0</v>
      </c>
      <c r="AB2228" s="381">
        <v>0</v>
      </c>
      <c r="AC2228" s="382">
        <v>5.5899999999999998E-2</v>
      </c>
      <c r="AD2228" s="382">
        <v>0</v>
      </c>
      <c r="AE2228" s="381" t="s">
        <v>168</v>
      </c>
    </row>
    <row r="2229" spans="1:31" ht="15" customHeight="1" x14ac:dyDescent="0.25">
      <c r="A2229" s="20" t="s">
        <v>2913</v>
      </c>
      <c r="B2229" s="20" t="s">
        <v>2913</v>
      </c>
      <c r="C2229" s="20" t="s">
        <v>2913</v>
      </c>
      <c r="D2229" s="378" t="s">
        <v>3098</v>
      </c>
      <c r="E2229" s="384" t="s">
        <v>3063</v>
      </c>
      <c r="F2229" s="384" t="s">
        <v>3064</v>
      </c>
      <c r="G2229" s="385" t="s">
        <v>179</v>
      </c>
      <c r="H2229" s="385" t="s">
        <v>3066</v>
      </c>
      <c r="I2229" s="378">
        <v>1.1000000000000001</v>
      </c>
      <c r="J2229" s="385" t="s">
        <v>163</v>
      </c>
      <c r="K2229" s="378" t="s">
        <v>3067</v>
      </c>
      <c r="L2229" s="378" t="s">
        <v>2848</v>
      </c>
      <c r="M2229" s="380">
        <v>2400</v>
      </c>
      <c r="N2229" s="380"/>
      <c r="O2229" s="380"/>
      <c r="P2229" s="380"/>
      <c r="Q2229" s="381">
        <v>45.2</v>
      </c>
      <c r="R2229" s="381">
        <v>0</v>
      </c>
      <c r="S2229" s="381">
        <v>0</v>
      </c>
      <c r="T2229" s="381">
        <v>0</v>
      </c>
      <c r="U2229" s="381">
        <v>0</v>
      </c>
      <c r="V2229" s="382">
        <v>45.2</v>
      </c>
      <c r="W2229" s="382">
        <v>0</v>
      </c>
      <c r="X2229" s="381">
        <v>4.5200000000000004E-2</v>
      </c>
      <c r="Y2229" s="381">
        <v>0</v>
      </c>
      <c r="Z2229" s="381">
        <v>0</v>
      </c>
      <c r="AA2229" s="381">
        <v>0</v>
      </c>
      <c r="AB2229" s="381">
        <v>0</v>
      </c>
      <c r="AC2229" s="382">
        <v>4.5200000000000004E-2</v>
      </c>
      <c r="AD2229" s="382">
        <v>0</v>
      </c>
      <c r="AE2229" s="381" t="s">
        <v>168</v>
      </c>
    </row>
    <row r="2230" spans="1:31" ht="15" customHeight="1" x14ac:dyDescent="0.25">
      <c r="A2230" s="20" t="s">
        <v>2913</v>
      </c>
      <c r="B2230" s="20" t="s">
        <v>2913</v>
      </c>
      <c r="C2230" s="20" t="s">
        <v>2913</v>
      </c>
      <c r="D2230" s="378" t="s">
        <v>3099</v>
      </c>
      <c r="E2230" s="384" t="s">
        <v>3063</v>
      </c>
      <c r="F2230" s="384" t="s">
        <v>3064</v>
      </c>
      <c r="G2230" s="385" t="s">
        <v>179</v>
      </c>
      <c r="H2230" s="385" t="s">
        <v>3066</v>
      </c>
      <c r="I2230" s="378">
        <v>1.1000000000000001</v>
      </c>
      <c r="J2230" s="385" t="s">
        <v>163</v>
      </c>
      <c r="K2230" s="378" t="s">
        <v>3067</v>
      </c>
      <c r="L2230" s="378" t="s">
        <v>2848</v>
      </c>
      <c r="M2230" s="380">
        <v>2400</v>
      </c>
      <c r="N2230" s="380"/>
      <c r="O2230" s="380"/>
      <c r="P2230" s="380"/>
      <c r="Q2230" s="381">
        <v>46.3</v>
      </c>
      <c r="R2230" s="381">
        <v>0</v>
      </c>
      <c r="S2230" s="381">
        <v>0</v>
      </c>
      <c r="T2230" s="381">
        <v>0</v>
      </c>
      <c r="U2230" s="381">
        <v>0</v>
      </c>
      <c r="V2230" s="382">
        <v>46.3</v>
      </c>
      <c r="W2230" s="382">
        <v>0</v>
      </c>
      <c r="X2230" s="381">
        <v>4.6299999999999994E-2</v>
      </c>
      <c r="Y2230" s="381">
        <v>0</v>
      </c>
      <c r="Z2230" s="381">
        <v>0</v>
      </c>
      <c r="AA2230" s="381">
        <v>0</v>
      </c>
      <c r="AB2230" s="381">
        <v>0</v>
      </c>
      <c r="AC2230" s="382">
        <v>4.6299999999999994E-2</v>
      </c>
      <c r="AD2230" s="382">
        <v>0</v>
      </c>
      <c r="AE2230" s="381" t="s">
        <v>168</v>
      </c>
    </row>
    <row r="2231" spans="1:31" ht="15" customHeight="1" x14ac:dyDescent="0.25">
      <c r="A2231" s="20" t="s">
        <v>2913</v>
      </c>
      <c r="B2231" s="20" t="s">
        <v>2913</v>
      </c>
      <c r="C2231" s="20" t="s">
        <v>2913</v>
      </c>
      <c r="D2231" s="378" t="s">
        <v>3100</v>
      </c>
      <c r="E2231" s="384" t="s">
        <v>3063</v>
      </c>
      <c r="F2231" s="384" t="s">
        <v>3064</v>
      </c>
      <c r="G2231" s="385" t="s">
        <v>179</v>
      </c>
      <c r="H2231" s="385" t="s">
        <v>3066</v>
      </c>
      <c r="I2231" s="378">
        <v>1.1000000000000001</v>
      </c>
      <c r="J2231" s="385" t="s">
        <v>163</v>
      </c>
      <c r="K2231" s="378" t="s">
        <v>3067</v>
      </c>
      <c r="L2231" s="378" t="s">
        <v>2848</v>
      </c>
      <c r="M2231" s="380">
        <v>2400</v>
      </c>
      <c r="N2231" s="380"/>
      <c r="O2231" s="380"/>
      <c r="P2231" s="380"/>
      <c r="Q2231" s="381">
        <v>11.3</v>
      </c>
      <c r="R2231" s="381">
        <v>0</v>
      </c>
      <c r="S2231" s="381">
        <v>0</v>
      </c>
      <c r="T2231" s="381">
        <v>0</v>
      </c>
      <c r="U2231" s="381">
        <v>0</v>
      </c>
      <c r="V2231" s="382">
        <v>11.3</v>
      </c>
      <c r="W2231" s="382">
        <v>0</v>
      </c>
      <c r="X2231" s="381">
        <v>1.1300000000000001E-2</v>
      </c>
      <c r="Y2231" s="381">
        <v>0</v>
      </c>
      <c r="Z2231" s="381">
        <v>0</v>
      </c>
      <c r="AA2231" s="381">
        <v>0</v>
      </c>
      <c r="AB2231" s="381">
        <v>0</v>
      </c>
      <c r="AC2231" s="382">
        <v>1.1300000000000001E-2</v>
      </c>
      <c r="AD2231" s="382">
        <v>0</v>
      </c>
      <c r="AE2231" s="381" t="s">
        <v>168</v>
      </c>
    </row>
    <row r="2232" spans="1:31" ht="15" customHeight="1" x14ac:dyDescent="0.25">
      <c r="A2232" s="20" t="s">
        <v>2913</v>
      </c>
      <c r="B2232" s="20" t="s">
        <v>2913</v>
      </c>
      <c r="C2232" s="20" t="s">
        <v>2913</v>
      </c>
      <c r="D2232" s="378" t="s">
        <v>3101</v>
      </c>
      <c r="E2232" s="384" t="s">
        <v>3063</v>
      </c>
      <c r="F2232" s="384" t="s">
        <v>3064</v>
      </c>
      <c r="G2232" s="385" t="s">
        <v>179</v>
      </c>
      <c r="H2232" s="385" t="s">
        <v>3066</v>
      </c>
      <c r="I2232" s="378">
        <v>1.1000000000000001</v>
      </c>
      <c r="J2232" s="385" t="s">
        <v>163</v>
      </c>
      <c r="K2232" s="378" t="s">
        <v>3067</v>
      </c>
      <c r="L2232" s="378" t="s">
        <v>2848</v>
      </c>
      <c r="M2232" s="380">
        <v>2400</v>
      </c>
      <c r="N2232" s="380"/>
      <c r="O2232" s="380"/>
      <c r="P2232" s="380"/>
      <c r="Q2232" s="381">
        <v>58.3</v>
      </c>
      <c r="R2232" s="381">
        <v>0</v>
      </c>
      <c r="S2232" s="381">
        <v>0</v>
      </c>
      <c r="T2232" s="381">
        <v>0</v>
      </c>
      <c r="U2232" s="381">
        <v>0</v>
      </c>
      <c r="V2232" s="382">
        <v>58.3</v>
      </c>
      <c r="W2232" s="382">
        <v>0</v>
      </c>
      <c r="X2232" s="381">
        <v>5.8299999999999998E-2</v>
      </c>
      <c r="Y2232" s="381">
        <v>0</v>
      </c>
      <c r="Z2232" s="381">
        <v>0</v>
      </c>
      <c r="AA2232" s="381">
        <v>0</v>
      </c>
      <c r="AB2232" s="381">
        <v>0</v>
      </c>
      <c r="AC2232" s="382">
        <v>5.8299999999999998E-2</v>
      </c>
      <c r="AD2232" s="382">
        <v>0</v>
      </c>
      <c r="AE2232" s="381" t="s">
        <v>168</v>
      </c>
    </row>
    <row r="2233" spans="1:31" ht="15" customHeight="1" x14ac:dyDescent="0.25">
      <c r="A2233" s="20" t="s">
        <v>2913</v>
      </c>
      <c r="B2233" s="20" t="s">
        <v>2913</v>
      </c>
      <c r="C2233" s="20" t="s">
        <v>2913</v>
      </c>
      <c r="D2233" s="378" t="s">
        <v>3102</v>
      </c>
      <c r="E2233" s="384" t="s">
        <v>3063</v>
      </c>
      <c r="F2233" s="384" t="s">
        <v>3064</v>
      </c>
      <c r="G2233" s="385" t="s">
        <v>179</v>
      </c>
      <c r="H2233" s="385" t="s">
        <v>3066</v>
      </c>
      <c r="I2233" s="378">
        <v>1.1000000000000001</v>
      </c>
      <c r="J2233" s="385" t="s">
        <v>163</v>
      </c>
      <c r="K2233" s="378" t="s">
        <v>3067</v>
      </c>
      <c r="L2233" s="378" t="s">
        <v>2848</v>
      </c>
      <c r="M2233" s="380">
        <v>2400</v>
      </c>
      <c r="N2233" s="380"/>
      <c r="O2233" s="380"/>
      <c r="P2233" s="380"/>
      <c r="Q2233" s="381">
        <v>74.8</v>
      </c>
      <c r="R2233" s="381">
        <v>0</v>
      </c>
      <c r="S2233" s="381">
        <v>0</v>
      </c>
      <c r="T2233" s="381">
        <v>0</v>
      </c>
      <c r="U2233" s="381">
        <v>0</v>
      </c>
      <c r="V2233" s="382">
        <v>74.8</v>
      </c>
      <c r="W2233" s="382">
        <v>0</v>
      </c>
      <c r="X2233" s="381">
        <v>7.4799999999999991E-2</v>
      </c>
      <c r="Y2233" s="381">
        <v>0</v>
      </c>
      <c r="Z2233" s="381">
        <v>0</v>
      </c>
      <c r="AA2233" s="381">
        <v>0</v>
      </c>
      <c r="AB2233" s="381">
        <v>0</v>
      </c>
      <c r="AC2233" s="382">
        <v>7.4799999999999991E-2</v>
      </c>
      <c r="AD2233" s="382">
        <v>0</v>
      </c>
      <c r="AE2233" s="381" t="s">
        <v>168</v>
      </c>
    </row>
    <row r="2234" spans="1:31" ht="15" customHeight="1" x14ac:dyDescent="0.25">
      <c r="A2234" s="20" t="s">
        <v>2913</v>
      </c>
      <c r="B2234" s="20" t="s">
        <v>2913</v>
      </c>
      <c r="C2234" s="20" t="s">
        <v>2913</v>
      </c>
      <c r="D2234" s="378" t="s">
        <v>3103</v>
      </c>
      <c r="E2234" s="384" t="s">
        <v>3063</v>
      </c>
      <c r="F2234" s="384" t="s">
        <v>3064</v>
      </c>
      <c r="G2234" s="385" t="s">
        <v>179</v>
      </c>
      <c r="H2234" s="385" t="s">
        <v>3066</v>
      </c>
      <c r="I2234" s="378">
        <v>1.1000000000000001</v>
      </c>
      <c r="J2234" s="385" t="s">
        <v>163</v>
      </c>
      <c r="K2234" s="378" t="s">
        <v>3067</v>
      </c>
      <c r="L2234" s="378" t="s">
        <v>2848</v>
      </c>
      <c r="M2234" s="380">
        <v>2400</v>
      </c>
      <c r="N2234" s="380"/>
      <c r="O2234" s="380"/>
      <c r="P2234" s="380"/>
      <c r="Q2234" s="381">
        <v>58.2</v>
      </c>
      <c r="R2234" s="381">
        <v>0</v>
      </c>
      <c r="S2234" s="381">
        <v>0</v>
      </c>
      <c r="T2234" s="381">
        <v>0</v>
      </c>
      <c r="U2234" s="381">
        <v>0</v>
      </c>
      <c r="V2234" s="382">
        <v>58.2</v>
      </c>
      <c r="W2234" s="382">
        <v>0</v>
      </c>
      <c r="X2234" s="381">
        <v>5.8200000000000002E-2</v>
      </c>
      <c r="Y2234" s="381">
        <v>0</v>
      </c>
      <c r="Z2234" s="381">
        <v>0</v>
      </c>
      <c r="AA2234" s="381">
        <v>0</v>
      </c>
      <c r="AB2234" s="381">
        <v>0</v>
      </c>
      <c r="AC2234" s="382">
        <v>5.8200000000000002E-2</v>
      </c>
      <c r="AD2234" s="382">
        <v>0</v>
      </c>
      <c r="AE2234" s="381" t="s">
        <v>168</v>
      </c>
    </row>
    <row r="2235" spans="1:31" ht="15" customHeight="1" x14ac:dyDescent="0.25">
      <c r="A2235" s="20" t="s">
        <v>2913</v>
      </c>
      <c r="B2235" s="20" t="s">
        <v>2913</v>
      </c>
      <c r="C2235" s="20" t="s">
        <v>2913</v>
      </c>
      <c r="D2235" s="378" t="s">
        <v>3104</v>
      </c>
      <c r="E2235" s="384" t="s">
        <v>2920</v>
      </c>
      <c r="F2235" s="384" t="s">
        <v>2921</v>
      </c>
      <c r="G2235" s="385" t="s">
        <v>193</v>
      </c>
      <c r="H2235" s="385" t="s">
        <v>2922</v>
      </c>
      <c r="I2235" s="378">
        <v>1</v>
      </c>
      <c r="J2235" s="385" t="s">
        <v>163</v>
      </c>
      <c r="K2235" s="378" t="s">
        <v>2923</v>
      </c>
      <c r="L2235" s="378" t="s">
        <v>2848</v>
      </c>
      <c r="M2235" s="380">
        <v>2400</v>
      </c>
      <c r="N2235" s="380"/>
      <c r="O2235" s="380"/>
      <c r="P2235" s="380"/>
      <c r="Q2235" s="381">
        <v>93.9</v>
      </c>
      <c r="R2235" s="381">
        <v>93.8</v>
      </c>
      <c r="S2235" s="381">
        <v>9.98E-2</v>
      </c>
      <c r="T2235" s="381">
        <v>1.5799999999999999E-4</v>
      </c>
      <c r="U2235" s="381">
        <v>0</v>
      </c>
      <c r="V2235" s="382">
        <v>93.899957999999998</v>
      </c>
      <c r="W2235" s="382">
        <v>0</v>
      </c>
      <c r="X2235" s="381">
        <v>9.3900000000000011E-2</v>
      </c>
      <c r="Y2235" s="381">
        <v>9.3799999999999994E-2</v>
      </c>
      <c r="Z2235" s="381">
        <v>9.98E-5</v>
      </c>
      <c r="AA2235" s="381">
        <v>1.5799999999999999E-7</v>
      </c>
      <c r="AB2235" s="381">
        <v>0</v>
      </c>
      <c r="AC2235" s="382">
        <v>9.3899957999999992E-2</v>
      </c>
      <c r="AD2235" s="382">
        <v>0</v>
      </c>
      <c r="AE2235" s="381" t="s">
        <v>168</v>
      </c>
    </row>
    <row r="2236" spans="1:31" ht="15" customHeight="1" x14ac:dyDescent="0.25">
      <c r="A2236" s="20" t="s">
        <v>2913</v>
      </c>
      <c r="B2236" s="20" t="s">
        <v>2913</v>
      </c>
      <c r="C2236" s="20" t="s">
        <v>2913</v>
      </c>
      <c r="D2236" s="378" t="s">
        <v>3105</v>
      </c>
      <c r="E2236" s="384" t="s">
        <v>2932</v>
      </c>
      <c r="F2236" s="384" t="s">
        <v>2933</v>
      </c>
      <c r="G2236" s="385" t="s">
        <v>281</v>
      </c>
      <c r="H2236" s="385" t="s">
        <v>2942</v>
      </c>
      <c r="I2236" s="378">
        <v>1</v>
      </c>
      <c r="J2236" s="385" t="s">
        <v>163</v>
      </c>
      <c r="K2236" s="378" t="s">
        <v>2943</v>
      </c>
      <c r="L2236" s="378" t="s">
        <v>2848</v>
      </c>
      <c r="M2236" s="380">
        <v>2400</v>
      </c>
      <c r="N2236" s="380"/>
      <c r="O2236" s="380"/>
      <c r="P2236" s="380"/>
      <c r="Q2236" s="381">
        <v>76.099999999999994</v>
      </c>
      <c r="R2236" s="381">
        <v>76</v>
      </c>
      <c r="S2236" s="381">
        <v>9.7799999999999998E-2</v>
      </c>
      <c r="T2236" s="381">
        <v>1.73E-4</v>
      </c>
      <c r="U2236" s="381">
        <v>0</v>
      </c>
      <c r="V2236" s="382">
        <v>76.09797300000001</v>
      </c>
      <c r="W2236" s="382">
        <v>0</v>
      </c>
      <c r="X2236" s="381">
        <v>7.6100000000000001E-2</v>
      </c>
      <c r="Y2236" s="381">
        <v>7.5999999999999998E-2</v>
      </c>
      <c r="Z2236" s="381">
        <v>9.7799999999999992E-5</v>
      </c>
      <c r="AA2236" s="381">
        <v>1.73E-7</v>
      </c>
      <c r="AB2236" s="381">
        <v>0</v>
      </c>
      <c r="AC2236" s="382">
        <v>7.6097972999999999E-2</v>
      </c>
      <c r="AD2236" s="382">
        <v>0</v>
      </c>
      <c r="AE2236" s="381" t="s">
        <v>168</v>
      </c>
    </row>
    <row r="2237" spans="1:31" ht="15" customHeight="1" x14ac:dyDescent="0.25">
      <c r="A2237" s="20" t="s">
        <v>2913</v>
      </c>
      <c r="B2237" s="20" t="s">
        <v>2913</v>
      </c>
      <c r="C2237" s="20" t="s">
        <v>2913</v>
      </c>
      <c r="D2237" s="378" t="s">
        <v>3106</v>
      </c>
      <c r="E2237" s="384" t="s">
        <v>2920</v>
      </c>
      <c r="F2237" s="384" t="s">
        <v>2921</v>
      </c>
      <c r="G2237" s="385" t="s">
        <v>193</v>
      </c>
      <c r="H2237" s="385" t="s">
        <v>2922</v>
      </c>
      <c r="I2237" s="378">
        <v>1</v>
      </c>
      <c r="J2237" s="385" t="s">
        <v>163</v>
      </c>
      <c r="K2237" s="378" t="s">
        <v>2923</v>
      </c>
      <c r="L2237" s="378" t="s">
        <v>2848</v>
      </c>
      <c r="M2237" s="380">
        <v>2400</v>
      </c>
      <c r="N2237" s="380"/>
      <c r="O2237" s="380"/>
      <c r="P2237" s="380"/>
      <c r="Q2237" s="381">
        <v>86.3</v>
      </c>
      <c r="R2237" s="381">
        <v>86.2</v>
      </c>
      <c r="S2237" s="381">
        <v>9.64E-2</v>
      </c>
      <c r="T2237" s="381">
        <v>1.4200000000000001E-4</v>
      </c>
      <c r="U2237" s="381">
        <v>0</v>
      </c>
      <c r="V2237" s="382">
        <v>86.296542000000002</v>
      </c>
      <c r="W2237" s="382">
        <v>0</v>
      </c>
      <c r="X2237" s="381">
        <v>8.6300000000000002E-2</v>
      </c>
      <c r="Y2237" s="381">
        <v>8.6199999999999999E-2</v>
      </c>
      <c r="Z2237" s="381">
        <v>9.6399999999999999E-5</v>
      </c>
      <c r="AA2237" s="381">
        <v>1.42E-7</v>
      </c>
      <c r="AB2237" s="381">
        <v>0</v>
      </c>
      <c r="AC2237" s="382">
        <v>8.629654199999999E-2</v>
      </c>
      <c r="AD2237" s="382">
        <v>0</v>
      </c>
      <c r="AE2237" s="381" t="s">
        <v>168</v>
      </c>
    </row>
    <row r="2238" spans="1:31" ht="15" customHeight="1" x14ac:dyDescent="0.25">
      <c r="A2238" s="20" t="s">
        <v>2913</v>
      </c>
      <c r="B2238" s="20" t="s">
        <v>2913</v>
      </c>
      <c r="C2238" s="20" t="s">
        <v>2913</v>
      </c>
      <c r="D2238" s="378" t="s">
        <v>3107</v>
      </c>
      <c r="E2238" s="384" t="s">
        <v>2920</v>
      </c>
      <c r="F2238" s="384" t="s">
        <v>2921</v>
      </c>
      <c r="G2238" s="385" t="s">
        <v>193</v>
      </c>
      <c r="H2238" s="385" t="s">
        <v>2922</v>
      </c>
      <c r="I2238" s="378">
        <v>1</v>
      </c>
      <c r="J2238" s="385" t="s">
        <v>163</v>
      </c>
      <c r="K2238" s="378" t="s">
        <v>2923</v>
      </c>
      <c r="L2238" s="378" t="s">
        <v>2848</v>
      </c>
      <c r="M2238" s="380">
        <v>2400</v>
      </c>
      <c r="N2238" s="380"/>
      <c r="O2238" s="380"/>
      <c r="P2238" s="380"/>
      <c r="Q2238" s="381">
        <v>77.900000000000006</v>
      </c>
      <c r="R2238" s="381">
        <v>77.8</v>
      </c>
      <c r="S2238" s="381">
        <v>9.5299999999999996E-2</v>
      </c>
      <c r="T2238" s="381">
        <v>1.55E-4</v>
      </c>
      <c r="U2238" s="381">
        <v>0</v>
      </c>
      <c r="V2238" s="382">
        <v>77.895454999999998</v>
      </c>
      <c r="W2238" s="382">
        <v>0</v>
      </c>
      <c r="X2238" s="381">
        <v>7.7900000000000011E-2</v>
      </c>
      <c r="Y2238" s="381">
        <v>7.7799999999999994E-2</v>
      </c>
      <c r="Z2238" s="381">
        <v>9.5299999999999999E-5</v>
      </c>
      <c r="AA2238" s="381">
        <v>1.55E-7</v>
      </c>
      <c r="AB2238" s="381">
        <v>0</v>
      </c>
      <c r="AC2238" s="382">
        <v>7.7895455000000002E-2</v>
      </c>
      <c r="AD2238" s="382">
        <v>0</v>
      </c>
      <c r="AE2238" s="381" t="s">
        <v>168</v>
      </c>
    </row>
    <row r="2239" spans="1:31" ht="15" customHeight="1" x14ac:dyDescent="0.25">
      <c r="A2239" s="20" t="s">
        <v>2913</v>
      </c>
      <c r="B2239" s="20" t="s">
        <v>2913</v>
      </c>
      <c r="C2239" s="20" t="s">
        <v>2913</v>
      </c>
      <c r="D2239" s="378" t="s">
        <v>3108</v>
      </c>
      <c r="E2239" s="384" t="s">
        <v>2920</v>
      </c>
      <c r="F2239" s="384" t="s">
        <v>2921</v>
      </c>
      <c r="G2239" s="385" t="s">
        <v>2928</v>
      </c>
      <c r="H2239" s="385" t="s">
        <v>2922</v>
      </c>
      <c r="I2239" s="378">
        <v>1</v>
      </c>
      <c r="J2239" s="385" t="s">
        <v>163</v>
      </c>
      <c r="K2239" s="378" t="s">
        <v>2923</v>
      </c>
      <c r="L2239" s="378" t="s">
        <v>2848</v>
      </c>
      <c r="M2239" s="380">
        <v>2400</v>
      </c>
      <c r="N2239" s="380"/>
      <c r="O2239" s="380"/>
      <c r="P2239" s="380"/>
      <c r="Q2239" s="381">
        <v>61.9</v>
      </c>
      <c r="R2239" s="381">
        <v>61.7</v>
      </c>
      <c r="S2239" s="381">
        <v>0.19600000000000001</v>
      </c>
      <c r="T2239" s="381">
        <v>8.8700000000000001E-5</v>
      </c>
      <c r="U2239" s="381">
        <v>0</v>
      </c>
      <c r="V2239" s="382">
        <v>61.8960887</v>
      </c>
      <c r="W2239" s="382">
        <v>0</v>
      </c>
      <c r="X2239" s="381">
        <v>6.1899999999999997E-2</v>
      </c>
      <c r="Y2239" s="381">
        <v>6.1700000000000005E-2</v>
      </c>
      <c r="Z2239" s="381">
        <v>1.9600000000000002E-4</v>
      </c>
      <c r="AA2239" s="381">
        <v>8.8700000000000007E-8</v>
      </c>
      <c r="AB2239" s="381">
        <v>0</v>
      </c>
      <c r="AC2239" s="382">
        <v>6.1896088700000004E-2</v>
      </c>
      <c r="AD2239" s="382">
        <v>0</v>
      </c>
      <c r="AE2239" s="381" t="s">
        <v>168</v>
      </c>
    </row>
    <row r="2240" spans="1:31" ht="15" customHeight="1" x14ac:dyDescent="0.25">
      <c r="A2240" s="20" t="s">
        <v>2913</v>
      </c>
      <c r="B2240" s="20" t="s">
        <v>2913</v>
      </c>
      <c r="C2240" s="20" t="s">
        <v>2913</v>
      </c>
      <c r="D2240" s="378" t="s">
        <v>3109</v>
      </c>
      <c r="E2240" s="384" t="s">
        <v>2920</v>
      </c>
      <c r="F2240" s="384" t="s">
        <v>2921</v>
      </c>
      <c r="G2240" s="385" t="s">
        <v>2928</v>
      </c>
      <c r="H2240" s="385" t="s">
        <v>2922</v>
      </c>
      <c r="I2240" s="378">
        <v>1</v>
      </c>
      <c r="J2240" s="385" t="s">
        <v>163</v>
      </c>
      <c r="K2240" s="378" t="s">
        <v>2923</v>
      </c>
      <c r="L2240" s="378" t="s">
        <v>2848</v>
      </c>
      <c r="M2240" s="380">
        <v>2400</v>
      </c>
      <c r="N2240" s="380"/>
      <c r="O2240" s="380"/>
      <c r="P2240" s="380"/>
      <c r="Q2240" s="381">
        <v>60.4</v>
      </c>
      <c r="R2240" s="381">
        <v>60.2</v>
      </c>
      <c r="S2240" s="381">
        <v>0.19600000000000001</v>
      </c>
      <c r="T2240" s="381">
        <v>9.6600000000000003E-5</v>
      </c>
      <c r="U2240" s="381">
        <v>0</v>
      </c>
      <c r="V2240" s="382">
        <v>60.3960966</v>
      </c>
      <c r="W2240" s="382">
        <v>0</v>
      </c>
      <c r="X2240" s="381">
        <v>6.0399999999999995E-2</v>
      </c>
      <c r="Y2240" s="381">
        <v>6.0200000000000004E-2</v>
      </c>
      <c r="Z2240" s="381">
        <v>1.9600000000000002E-4</v>
      </c>
      <c r="AA2240" s="381">
        <v>9.6600000000000005E-8</v>
      </c>
      <c r="AB2240" s="381">
        <v>0</v>
      </c>
      <c r="AC2240" s="382">
        <v>6.0396096600000004E-2</v>
      </c>
      <c r="AD2240" s="382">
        <v>0</v>
      </c>
      <c r="AE2240" s="381" t="s">
        <v>168</v>
      </c>
    </row>
    <row r="2241" spans="1:31" ht="15" customHeight="1" x14ac:dyDescent="0.25">
      <c r="A2241" s="20" t="s">
        <v>2913</v>
      </c>
      <c r="B2241" s="20" t="s">
        <v>2913</v>
      </c>
      <c r="C2241" s="20" t="s">
        <v>2913</v>
      </c>
      <c r="D2241" s="378" t="s">
        <v>3110</v>
      </c>
      <c r="E2241" s="384" t="s">
        <v>2920</v>
      </c>
      <c r="F2241" s="384" t="s">
        <v>2921</v>
      </c>
      <c r="G2241" s="385" t="s">
        <v>281</v>
      </c>
      <c r="H2241" s="385" t="s">
        <v>2922</v>
      </c>
      <c r="I2241" s="378">
        <v>1</v>
      </c>
      <c r="J2241" s="385" t="s">
        <v>163</v>
      </c>
      <c r="K2241" s="378" t="s">
        <v>2923</v>
      </c>
      <c r="L2241" s="378" t="s">
        <v>2848</v>
      </c>
      <c r="M2241" s="380">
        <v>2400</v>
      </c>
      <c r="N2241" s="380"/>
      <c r="O2241" s="380"/>
      <c r="P2241" s="380"/>
      <c r="Q2241" s="381">
        <v>94</v>
      </c>
      <c r="R2241" s="381">
        <v>93.6</v>
      </c>
      <c r="S2241" s="381">
        <v>0.39300000000000002</v>
      </c>
      <c r="T2241" s="381">
        <v>7.3499999999999998E-4</v>
      </c>
      <c r="U2241" s="381">
        <v>0</v>
      </c>
      <c r="V2241" s="382">
        <v>93.993735000000001</v>
      </c>
      <c r="W2241" s="382">
        <v>0</v>
      </c>
      <c r="X2241" s="381">
        <v>9.4E-2</v>
      </c>
      <c r="Y2241" s="381">
        <v>9.3599999999999989E-2</v>
      </c>
      <c r="Z2241" s="381">
        <v>3.9300000000000001E-4</v>
      </c>
      <c r="AA2241" s="381">
        <v>7.3499999999999995E-7</v>
      </c>
      <c r="AB2241" s="381">
        <v>0</v>
      </c>
      <c r="AC2241" s="382">
        <v>9.3993734999999995E-2</v>
      </c>
      <c r="AD2241" s="382">
        <v>0</v>
      </c>
      <c r="AE2241" s="381" t="s">
        <v>168</v>
      </c>
    </row>
    <row r="2242" spans="1:31" ht="15" customHeight="1" x14ac:dyDescent="0.25">
      <c r="A2242" s="20" t="s">
        <v>2913</v>
      </c>
      <c r="B2242" s="20" t="s">
        <v>2913</v>
      </c>
      <c r="C2242" s="20" t="s">
        <v>2913</v>
      </c>
      <c r="D2242" s="378" t="s">
        <v>3111</v>
      </c>
      <c r="E2242" s="384" t="s">
        <v>2932</v>
      </c>
      <c r="F2242" s="384" t="s">
        <v>2933</v>
      </c>
      <c r="G2242" s="385" t="s">
        <v>179</v>
      </c>
      <c r="H2242" s="385" t="s">
        <v>2934</v>
      </c>
      <c r="I2242" s="378">
        <v>1</v>
      </c>
      <c r="J2242" s="385" t="s">
        <v>163</v>
      </c>
      <c r="K2242" s="378" t="s">
        <v>2935</v>
      </c>
      <c r="L2242" s="378" t="s">
        <v>2848</v>
      </c>
      <c r="M2242" s="380">
        <v>2400</v>
      </c>
      <c r="N2242" s="380"/>
      <c r="O2242" s="380"/>
      <c r="P2242" s="380"/>
      <c r="Q2242" s="381">
        <v>80.599999999999994</v>
      </c>
      <c r="R2242" s="381">
        <v>80.5</v>
      </c>
      <c r="S2242" s="381">
        <v>9.3700000000000006E-2</v>
      </c>
      <c r="T2242" s="381">
        <v>2.14E-4</v>
      </c>
      <c r="U2242" s="381">
        <v>0</v>
      </c>
      <c r="V2242" s="382">
        <v>80.593913999999998</v>
      </c>
      <c r="W2242" s="382">
        <v>0</v>
      </c>
      <c r="X2242" s="381">
        <v>8.0599999999999991E-2</v>
      </c>
      <c r="Y2242" s="381">
        <v>8.0500000000000002E-2</v>
      </c>
      <c r="Z2242" s="381">
        <v>9.3700000000000001E-5</v>
      </c>
      <c r="AA2242" s="381">
        <v>2.1400000000000001E-7</v>
      </c>
      <c r="AB2242" s="381">
        <v>0</v>
      </c>
      <c r="AC2242" s="382">
        <v>8.0593914000000003E-2</v>
      </c>
      <c r="AD2242" s="382">
        <v>0</v>
      </c>
      <c r="AE2242" s="381" t="s">
        <v>168</v>
      </c>
    </row>
    <row r="2243" spans="1:31" ht="15" customHeight="1" x14ac:dyDescent="0.25">
      <c r="A2243" s="20" t="s">
        <v>2913</v>
      </c>
      <c r="B2243" s="20" t="s">
        <v>2913</v>
      </c>
      <c r="C2243" s="20" t="s">
        <v>2913</v>
      </c>
      <c r="D2243" s="378" t="s">
        <v>3112</v>
      </c>
      <c r="E2243" s="384" t="s">
        <v>2932</v>
      </c>
      <c r="F2243" s="384" t="s">
        <v>2933</v>
      </c>
      <c r="G2243" s="385" t="s">
        <v>281</v>
      </c>
      <c r="H2243" s="385" t="s">
        <v>2942</v>
      </c>
      <c r="I2243" s="378">
        <v>1</v>
      </c>
      <c r="J2243" s="385" t="s">
        <v>163</v>
      </c>
      <c r="K2243" s="378" t="s">
        <v>2943</v>
      </c>
      <c r="L2243" s="378" t="s">
        <v>2848</v>
      </c>
      <c r="M2243" s="380">
        <v>2400</v>
      </c>
      <c r="N2243" s="380"/>
      <c r="O2243" s="380"/>
      <c r="P2243" s="380"/>
      <c r="Q2243" s="381">
        <v>92.7</v>
      </c>
      <c r="R2243" s="381">
        <v>92.6</v>
      </c>
      <c r="S2243" s="381">
        <v>9.2200000000000004E-2</v>
      </c>
      <c r="T2243" s="381">
        <v>1.8100000000000001E-4</v>
      </c>
      <c r="U2243" s="381">
        <v>0</v>
      </c>
      <c r="V2243" s="382">
        <v>92.692380999999997</v>
      </c>
      <c r="W2243" s="382">
        <v>0</v>
      </c>
      <c r="X2243" s="381">
        <v>9.2700000000000005E-2</v>
      </c>
      <c r="Y2243" s="381">
        <v>9.2599999999999988E-2</v>
      </c>
      <c r="Z2243" s="381">
        <v>9.2200000000000005E-5</v>
      </c>
      <c r="AA2243" s="381">
        <v>1.8100000000000002E-7</v>
      </c>
      <c r="AB2243" s="381">
        <v>0</v>
      </c>
      <c r="AC2243" s="382">
        <v>9.269238099999999E-2</v>
      </c>
      <c r="AD2243" s="382">
        <v>0</v>
      </c>
      <c r="AE2243" s="381" t="s">
        <v>168</v>
      </c>
    </row>
    <row r="2244" spans="1:31" ht="15" customHeight="1" x14ac:dyDescent="0.25">
      <c r="A2244" s="20" t="s">
        <v>2913</v>
      </c>
      <c r="B2244" s="20" t="s">
        <v>2913</v>
      </c>
      <c r="C2244" s="20" t="s">
        <v>2913</v>
      </c>
      <c r="D2244" s="378" t="s">
        <v>3113</v>
      </c>
      <c r="E2244" s="384" t="s">
        <v>2920</v>
      </c>
      <c r="F2244" s="384" t="s">
        <v>2921</v>
      </c>
      <c r="G2244" s="385" t="s">
        <v>2928</v>
      </c>
      <c r="H2244" s="385" t="s">
        <v>2922</v>
      </c>
      <c r="I2244" s="378">
        <v>1</v>
      </c>
      <c r="J2244" s="385" t="s">
        <v>163</v>
      </c>
      <c r="K2244" s="378" t="s">
        <v>2923</v>
      </c>
      <c r="L2244" s="378" t="s">
        <v>2848</v>
      </c>
      <c r="M2244" s="380">
        <v>2400</v>
      </c>
      <c r="N2244" s="380"/>
      <c r="O2244" s="380"/>
      <c r="P2244" s="380"/>
      <c r="Q2244" s="381">
        <v>58.1</v>
      </c>
      <c r="R2244" s="381">
        <v>57.9</v>
      </c>
      <c r="S2244" s="381">
        <v>0.19500000000000001</v>
      </c>
      <c r="T2244" s="381">
        <v>8.81E-5</v>
      </c>
      <c r="U2244" s="381">
        <v>0</v>
      </c>
      <c r="V2244" s="382">
        <v>58.095088099999998</v>
      </c>
      <c r="W2244" s="382">
        <v>0</v>
      </c>
      <c r="X2244" s="381">
        <v>5.8099999999999999E-2</v>
      </c>
      <c r="Y2244" s="381">
        <v>5.79E-2</v>
      </c>
      <c r="Z2244" s="381">
        <v>1.95E-4</v>
      </c>
      <c r="AA2244" s="381">
        <v>8.8100000000000001E-8</v>
      </c>
      <c r="AB2244" s="381">
        <v>0</v>
      </c>
      <c r="AC2244" s="382">
        <v>5.8095088099999997E-2</v>
      </c>
      <c r="AD2244" s="382">
        <v>0</v>
      </c>
      <c r="AE2244" s="381" t="s">
        <v>168</v>
      </c>
    </row>
    <row r="2245" spans="1:31" ht="15" customHeight="1" x14ac:dyDescent="0.25">
      <c r="A2245" s="20" t="s">
        <v>2913</v>
      </c>
      <c r="B2245" s="20" t="s">
        <v>2913</v>
      </c>
      <c r="C2245" s="20" t="s">
        <v>2913</v>
      </c>
      <c r="D2245" s="378" t="s">
        <v>3114</v>
      </c>
      <c r="E2245" s="384" t="s">
        <v>2932</v>
      </c>
      <c r="F2245" s="384" t="s">
        <v>2933</v>
      </c>
      <c r="G2245" s="385" t="s">
        <v>281</v>
      </c>
      <c r="H2245" s="385" t="s">
        <v>2942</v>
      </c>
      <c r="I2245" s="378">
        <v>1</v>
      </c>
      <c r="J2245" s="385" t="s">
        <v>163</v>
      </c>
      <c r="K2245" s="378" t="s">
        <v>2943</v>
      </c>
      <c r="L2245" s="378" t="s">
        <v>2848</v>
      </c>
      <c r="M2245" s="380">
        <v>2400</v>
      </c>
      <c r="N2245" s="380"/>
      <c r="O2245" s="380"/>
      <c r="P2245" s="380"/>
      <c r="Q2245" s="381">
        <v>92.1</v>
      </c>
      <c r="R2245" s="381">
        <v>92</v>
      </c>
      <c r="S2245" s="381">
        <v>9.1200000000000003E-2</v>
      </c>
      <c r="T2245" s="381">
        <v>1.76E-4</v>
      </c>
      <c r="U2245" s="381">
        <v>0</v>
      </c>
      <c r="V2245" s="382">
        <v>92.091375999999997</v>
      </c>
      <c r="W2245" s="382">
        <v>0</v>
      </c>
      <c r="X2245" s="381">
        <v>9.2099999999999987E-2</v>
      </c>
      <c r="Y2245" s="381">
        <v>9.1999999999999998E-2</v>
      </c>
      <c r="Z2245" s="381">
        <v>9.1200000000000008E-5</v>
      </c>
      <c r="AA2245" s="381">
        <v>1.7599999999999999E-7</v>
      </c>
      <c r="AB2245" s="381">
        <v>0</v>
      </c>
      <c r="AC2245" s="382">
        <v>9.2091376000000003E-2</v>
      </c>
      <c r="AD2245" s="382">
        <v>0</v>
      </c>
      <c r="AE2245" s="381" t="s">
        <v>168</v>
      </c>
    </row>
    <row r="2246" spans="1:31" ht="15" customHeight="1" x14ac:dyDescent="0.25">
      <c r="A2246" s="20" t="s">
        <v>2913</v>
      </c>
      <c r="B2246" s="20" t="s">
        <v>2913</v>
      </c>
      <c r="C2246" s="20" t="s">
        <v>2913</v>
      </c>
      <c r="D2246" s="378" t="s">
        <v>3115</v>
      </c>
      <c r="E2246" s="384" t="s">
        <v>2932</v>
      </c>
      <c r="F2246" s="384" t="s">
        <v>2933</v>
      </c>
      <c r="G2246" s="385" t="s">
        <v>281</v>
      </c>
      <c r="H2246" s="385" t="s">
        <v>2942</v>
      </c>
      <c r="I2246" s="378">
        <v>1</v>
      </c>
      <c r="J2246" s="385" t="s">
        <v>163</v>
      </c>
      <c r="K2246" s="378" t="s">
        <v>2943</v>
      </c>
      <c r="L2246" s="378" t="s">
        <v>2848</v>
      </c>
      <c r="M2246" s="380">
        <v>2400</v>
      </c>
      <c r="N2246" s="380"/>
      <c r="O2246" s="380"/>
      <c r="P2246" s="380"/>
      <c r="Q2246" s="381">
        <v>95.1</v>
      </c>
      <c r="R2246" s="381">
        <v>95</v>
      </c>
      <c r="S2246" s="381">
        <v>8.9800000000000005E-2</v>
      </c>
      <c r="T2246" s="381">
        <v>1.8000000000000001E-4</v>
      </c>
      <c r="U2246" s="381">
        <v>0</v>
      </c>
      <c r="V2246" s="382">
        <v>95.089979999999997</v>
      </c>
      <c r="W2246" s="382">
        <v>0</v>
      </c>
      <c r="X2246" s="381">
        <v>9.509999999999999E-2</v>
      </c>
      <c r="Y2246" s="381">
        <v>9.5000000000000001E-2</v>
      </c>
      <c r="Z2246" s="381">
        <v>8.9800000000000001E-5</v>
      </c>
      <c r="AA2246" s="381">
        <v>1.8000000000000002E-7</v>
      </c>
      <c r="AB2246" s="381">
        <v>0</v>
      </c>
      <c r="AC2246" s="382">
        <v>9.5089980000000005E-2</v>
      </c>
      <c r="AD2246" s="382">
        <v>0</v>
      </c>
      <c r="AE2246" s="381" t="s">
        <v>168</v>
      </c>
    </row>
    <row r="2247" spans="1:31" ht="15" customHeight="1" x14ac:dyDescent="0.25">
      <c r="A2247" s="20" t="s">
        <v>2913</v>
      </c>
      <c r="B2247" s="20" t="s">
        <v>2913</v>
      </c>
      <c r="C2247" s="20" t="s">
        <v>2913</v>
      </c>
      <c r="D2247" s="378" t="s">
        <v>3116</v>
      </c>
      <c r="E2247" s="384" t="s">
        <v>2932</v>
      </c>
      <c r="F2247" s="384" t="s">
        <v>2933</v>
      </c>
      <c r="G2247" s="385" t="s">
        <v>281</v>
      </c>
      <c r="H2247" s="385" t="s">
        <v>2942</v>
      </c>
      <c r="I2247" s="378">
        <v>1</v>
      </c>
      <c r="J2247" s="385" t="s">
        <v>163</v>
      </c>
      <c r="K2247" s="378" t="s">
        <v>2943</v>
      </c>
      <c r="L2247" s="378" t="s">
        <v>2848</v>
      </c>
      <c r="M2247" s="380">
        <v>2400</v>
      </c>
      <c r="N2247" s="380"/>
      <c r="O2247" s="380"/>
      <c r="P2247" s="380"/>
      <c r="Q2247" s="381">
        <v>90.5</v>
      </c>
      <c r="R2247" s="381">
        <v>90.4</v>
      </c>
      <c r="S2247" s="381">
        <v>9.01E-2</v>
      </c>
      <c r="T2247" s="381">
        <v>1.76E-4</v>
      </c>
      <c r="U2247" s="381">
        <v>0</v>
      </c>
      <c r="V2247" s="382">
        <v>90.490276000000009</v>
      </c>
      <c r="W2247" s="382">
        <v>0</v>
      </c>
      <c r="X2247" s="381">
        <v>9.0499999999999997E-2</v>
      </c>
      <c r="Y2247" s="381">
        <v>9.0400000000000008E-2</v>
      </c>
      <c r="Z2247" s="381">
        <v>9.0099999999999995E-5</v>
      </c>
      <c r="AA2247" s="381">
        <v>1.7599999999999999E-7</v>
      </c>
      <c r="AB2247" s="381">
        <v>0</v>
      </c>
      <c r="AC2247" s="382">
        <v>9.0490276000000008E-2</v>
      </c>
      <c r="AD2247" s="382">
        <v>0</v>
      </c>
      <c r="AE2247" s="381" t="s">
        <v>168</v>
      </c>
    </row>
    <row r="2248" spans="1:31" ht="15" customHeight="1" x14ac:dyDescent="0.25">
      <c r="A2248" s="20" t="s">
        <v>2913</v>
      </c>
      <c r="B2248" s="20" t="s">
        <v>2913</v>
      </c>
      <c r="C2248" s="20" t="s">
        <v>2913</v>
      </c>
      <c r="D2248" s="378" t="s">
        <v>3117</v>
      </c>
      <c r="E2248" s="384" t="s">
        <v>2932</v>
      </c>
      <c r="F2248" s="384" t="s">
        <v>2933</v>
      </c>
      <c r="G2248" s="385" t="s">
        <v>281</v>
      </c>
      <c r="H2248" s="385" t="s">
        <v>2942</v>
      </c>
      <c r="I2248" s="378">
        <v>1</v>
      </c>
      <c r="J2248" s="385" t="s">
        <v>163</v>
      </c>
      <c r="K2248" s="378" t="s">
        <v>2943</v>
      </c>
      <c r="L2248" s="378" t="s">
        <v>2848</v>
      </c>
      <c r="M2248" s="380">
        <v>2400</v>
      </c>
      <c r="N2248" s="380"/>
      <c r="O2248" s="380"/>
      <c r="P2248" s="380"/>
      <c r="Q2248" s="381">
        <v>97</v>
      </c>
      <c r="R2248" s="381">
        <v>96.9</v>
      </c>
      <c r="S2248" s="381">
        <v>8.8999999999999996E-2</v>
      </c>
      <c r="T2248" s="381">
        <v>1.76E-4</v>
      </c>
      <c r="U2248" s="381">
        <v>0</v>
      </c>
      <c r="V2248" s="382">
        <v>96.989176</v>
      </c>
      <c r="W2248" s="382">
        <v>0</v>
      </c>
      <c r="X2248" s="381">
        <v>9.7000000000000003E-2</v>
      </c>
      <c r="Y2248" s="381">
        <v>9.69E-2</v>
      </c>
      <c r="Z2248" s="381">
        <v>8.8999999999999995E-5</v>
      </c>
      <c r="AA2248" s="381">
        <v>1.7599999999999999E-7</v>
      </c>
      <c r="AB2248" s="381">
        <v>0</v>
      </c>
      <c r="AC2248" s="382">
        <v>9.698917600000001E-2</v>
      </c>
      <c r="AD2248" s="382">
        <v>0</v>
      </c>
      <c r="AE2248" s="381" t="s">
        <v>168</v>
      </c>
    </row>
    <row r="2249" spans="1:31" ht="15" customHeight="1" x14ac:dyDescent="0.25">
      <c r="A2249" s="20" t="s">
        <v>2913</v>
      </c>
      <c r="B2249" s="20" t="s">
        <v>2913</v>
      </c>
      <c r="C2249" s="20" t="s">
        <v>2913</v>
      </c>
      <c r="D2249" s="378" t="s">
        <v>3118</v>
      </c>
      <c r="E2249" s="384" t="s">
        <v>2920</v>
      </c>
      <c r="F2249" s="384" t="s">
        <v>2921</v>
      </c>
      <c r="G2249" s="385" t="s">
        <v>193</v>
      </c>
      <c r="H2249" s="385" t="s">
        <v>2922</v>
      </c>
      <c r="I2249" s="378">
        <v>1</v>
      </c>
      <c r="J2249" s="385" t="s">
        <v>163</v>
      </c>
      <c r="K2249" s="378" t="s">
        <v>2923</v>
      </c>
      <c r="L2249" s="378" t="s">
        <v>2848</v>
      </c>
      <c r="M2249" s="380">
        <v>2400</v>
      </c>
      <c r="N2249" s="380"/>
      <c r="O2249" s="380"/>
      <c r="P2249" s="380"/>
      <c r="Q2249" s="381">
        <v>87.5</v>
      </c>
      <c r="R2249" s="381">
        <v>87.4</v>
      </c>
      <c r="S2249" s="381">
        <v>0.09</v>
      </c>
      <c r="T2249" s="381">
        <v>1.4200000000000001E-4</v>
      </c>
      <c r="U2249" s="381">
        <v>0</v>
      </c>
      <c r="V2249" s="382">
        <v>87.490142000000006</v>
      </c>
      <c r="W2249" s="382">
        <v>0</v>
      </c>
      <c r="X2249" s="381">
        <v>8.7499999999999994E-2</v>
      </c>
      <c r="Y2249" s="381">
        <v>8.7400000000000005E-2</v>
      </c>
      <c r="Z2249" s="381">
        <v>8.9999999999999992E-5</v>
      </c>
      <c r="AA2249" s="381">
        <v>1.42E-7</v>
      </c>
      <c r="AB2249" s="381">
        <v>0</v>
      </c>
      <c r="AC2249" s="382">
        <v>8.7490142000000007E-2</v>
      </c>
      <c r="AD2249" s="382">
        <v>0</v>
      </c>
      <c r="AE2249" s="381" t="s">
        <v>168</v>
      </c>
    </row>
    <row r="2250" spans="1:31" ht="15" customHeight="1" x14ac:dyDescent="0.25">
      <c r="A2250" s="20" t="s">
        <v>2913</v>
      </c>
      <c r="B2250" s="20" t="s">
        <v>2913</v>
      </c>
      <c r="C2250" s="20" t="s">
        <v>2913</v>
      </c>
      <c r="D2250" s="378" t="s">
        <v>3119</v>
      </c>
      <c r="E2250" s="384" t="s">
        <v>2920</v>
      </c>
      <c r="F2250" s="384" t="s">
        <v>2921</v>
      </c>
      <c r="G2250" s="385" t="s">
        <v>193</v>
      </c>
      <c r="H2250" s="385" t="s">
        <v>2922</v>
      </c>
      <c r="I2250" s="378">
        <v>1</v>
      </c>
      <c r="J2250" s="385" t="s">
        <v>163</v>
      </c>
      <c r="K2250" s="378" t="s">
        <v>2923</v>
      </c>
      <c r="L2250" s="378" t="s">
        <v>2848</v>
      </c>
      <c r="M2250" s="380">
        <v>2400</v>
      </c>
      <c r="N2250" s="380"/>
      <c r="O2250" s="380"/>
      <c r="P2250" s="380"/>
      <c r="Q2250" s="381">
        <v>78.2</v>
      </c>
      <c r="R2250" s="381">
        <v>78.099999999999994</v>
      </c>
      <c r="S2250" s="381">
        <v>9.0200000000000002E-2</v>
      </c>
      <c r="T2250" s="381">
        <v>1.34E-4</v>
      </c>
      <c r="U2250" s="381">
        <v>0</v>
      </c>
      <c r="V2250" s="382">
        <v>78.190333999999993</v>
      </c>
      <c r="W2250" s="382">
        <v>0</v>
      </c>
      <c r="X2250" s="381">
        <v>7.8200000000000006E-2</v>
      </c>
      <c r="Y2250" s="381">
        <v>7.8099999999999989E-2</v>
      </c>
      <c r="Z2250" s="381">
        <v>9.0199999999999997E-5</v>
      </c>
      <c r="AA2250" s="381">
        <v>1.3400000000000001E-7</v>
      </c>
      <c r="AB2250" s="381">
        <v>0</v>
      </c>
      <c r="AC2250" s="382">
        <v>7.8190333999999986E-2</v>
      </c>
      <c r="AD2250" s="382">
        <v>0</v>
      </c>
      <c r="AE2250" s="381" t="s">
        <v>168</v>
      </c>
    </row>
    <row r="2251" spans="1:31" ht="15" customHeight="1" x14ac:dyDescent="0.25">
      <c r="A2251" s="20" t="s">
        <v>2913</v>
      </c>
      <c r="B2251" s="20" t="s">
        <v>2913</v>
      </c>
      <c r="C2251" s="20" t="s">
        <v>2913</v>
      </c>
      <c r="D2251" s="378" t="s">
        <v>3120</v>
      </c>
      <c r="E2251" s="384" t="s">
        <v>2932</v>
      </c>
      <c r="F2251" s="384" t="s">
        <v>2933</v>
      </c>
      <c r="G2251" s="385" t="s">
        <v>179</v>
      </c>
      <c r="H2251" s="385" t="s">
        <v>2934</v>
      </c>
      <c r="I2251" s="378">
        <v>1</v>
      </c>
      <c r="J2251" s="385" t="s">
        <v>163</v>
      </c>
      <c r="K2251" s="378" t="s">
        <v>2935</v>
      </c>
      <c r="L2251" s="378" t="s">
        <v>2848</v>
      </c>
      <c r="M2251" s="380">
        <v>2400</v>
      </c>
      <c r="N2251" s="380"/>
      <c r="O2251" s="380"/>
      <c r="P2251" s="380"/>
      <c r="Q2251" s="381">
        <v>78.400000000000006</v>
      </c>
      <c r="R2251" s="381">
        <v>78.3</v>
      </c>
      <c r="S2251" s="381">
        <v>8.8800000000000004E-2</v>
      </c>
      <c r="T2251" s="381">
        <v>2.3900000000000001E-4</v>
      </c>
      <c r="U2251" s="381">
        <v>0</v>
      </c>
      <c r="V2251" s="382">
        <v>78.389038999999997</v>
      </c>
      <c r="W2251" s="382">
        <v>0</v>
      </c>
      <c r="X2251" s="381">
        <v>7.8400000000000011E-2</v>
      </c>
      <c r="Y2251" s="381">
        <v>7.8299999999999995E-2</v>
      </c>
      <c r="Z2251" s="381">
        <v>8.8800000000000004E-5</v>
      </c>
      <c r="AA2251" s="381">
        <v>2.3900000000000001E-7</v>
      </c>
      <c r="AB2251" s="381">
        <v>0</v>
      </c>
      <c r="AC2251" s="382">
        <v>7.8389038999999994E-2</v>
      </c>
      <c r="AD2251" s="382">
        <v>0</v>
      </c>
      <c r="AE2251" s="381" t="s">
        <v>168</v>
      </c>
    </row>
    <row r="2252" spans="1:31" ht="15" customHeight="1" x14ac:dyDescent="0.25">
      <c r="A2252" s="20" t="s">
        <v>2913</v>
      </c>
      <c r="B2252" s="20" t="s">
        <v>2913</v>
      </c>
      <c r="C2252" s="20" t="s">
        <v>2913</v>
      </c>
      <c r="D2252" s="378" t="s">
        <v>3121</v>
      </c>
      <c r="E2252" s="384" t="s">
        <v>2932</v>
      </c>
      <c r="F2252" s="384" t="s">
        <v>2933</v>
      </c>
      <c r="G2252" s="385" t="s">
        <v>281</v>
      </c>
      <c r="H2252" s="385" t="s">
        <v>2942</v>
      </c>
      <c r="I2252" s="378">
        <v>1</v>
      </c>
      <c r="J2252" s="385" t="s">
        <v>163</v>
      </c>
      <c r="K2252" s="378" t="s">
        <v>2943</v>
      </c>
      <c r="L2252" s="378" t="s">
        <v>2848</v>
      </c>
      <c r="M2252" s="380">
        <v>2400</v>
      </c>
      <c r="N2252" s="380"/>
      <c r="O2252" s="380"/>
      <c r="P2252" s="380"/>
      <c r="Q2252" s="381">
        <v>95.4</v>
      </c>
      <c r="R2252" s="381">
        <v>95.3</v>
      </c>
      <c r="S2252" s="381">
        <v>8.4599999999999995E-2</v>
      </c>
      <c r="T2252" s="381">
        <v>1.84E-4</v>
      </c>
      <c r="U2252" s="381">
        <v>0</v>
      </c>
      <c r="V2252" s="382">
        <v>95.384783999999996</v>
      </c>
      <c r="W2252" s="382">
        <v>0</v>
      </c>
      <c r="X2252" s="381">
        <v>9.5400000000000013E-2</v>
      </c>
      <c r="Y2252" s="381">
        <v>9.5299999999999996E-2</v>
      </c>
      <c r="Z2252" s="381">
        <v>8.4599999999999996E-5</v>
      </c>
      <c r="AA2252" s="381">
        <v>1.8400000000000001E-7</v>
      </c>
      <c r="AB2252" s="381">
        <v>0</v>
      </c>
      <c r="AC2252" s="382">
        <v>9.5384784E-2</v>
      </c>
      <c r="AD2252" s="382">
        <v>0</v>
      </c>
      <c r="AE2252" s="381" t="s">
        <v>168</v>
      </c>
    </row>
    <row r="2253" spans="1:31" ht="15" customHeight="1" x14ac:dyDescent="0.25">
      <c r="A2253" s="20" t="s">
        <v>2913</v>
      </c>
      <c r="B2253" s="20" t="s">
        <v>2913</v>
      </c>
      <c r="C2253" s="20" t="s">
        <v>2913</v>
      </c>
      <c r="D2253" s="378" t="s">
        <v>3122</v>
      </c>
      <c r="E2253" s="384" t="s">
        <v>2932</v>
      </c>
      <c r="F2253" s="384" t="s">
        <v>2933</v>
      </c>
      <c r="G2253" s="385" t="s">
        <v>281</v>
      </c>
      <c r="H2253" s="385" t="s">
        <v>2942</v>
      </c>
      <c r="I2253" s="378">
        <v>1</v>
      </c>
      <c r="J2253" s="385" t="s">
        <v>163</v>
      </c>
      <c r="K2253" s="378" t="s">
        <v>2943</v>
      </c>
      <c r="L2253" s="378" t="s">
        <v>2848</v>
      </c>
      <c r="M2253" s="380">
        <v>2400</v>
      </c>
      <c r="N2253" s="380"/>
      <c r="O2253" s="380"/>
      <c r="P2253" s="380"/>
      <c r="Q2253" s="381">
        <v>95</v>
      </c>
      <c r="R2253" s="381">
        <v>94.9</v>
      </c>
      <c r="S2253" s="381">
        <v>8.4400000000000003E-2</v>
      </c>
      <c r="T2253" s="381">
        <v>1.8100000000000001E-4</v>
      </c>
      <c r="U2253" s="381">
        <v>0</v>
      </c>
      <c r="V2253" s="382">
        <v>94.984581000000006</v>
      </c>
      <c r="W2253" s="382">
        <v>0</v>
      </c>
      <c r="X2253" s="381">
        <v>9.5000000000000001E-2</v>
      </c>
      <c r="Y2253" s="381">
        <v>9.4900000000000012E-2</v>
      </c>
      <c r="Z2253" s="381">
        <v>8.4400000000000005E-5</v>
      </c>
      <c r="AA2253" s="381">
        <v>1.8100000000000002E-7</v>
      </c>
      <c r="AB2253" s="381">
        <v>0</v>
      </c>
      <c r="AC2253" s="382">
        <v>9.4984581000000012E-2</v>
      </c>
      <c r="AD2253" s="382">
        <v>0</v>
      </c>
      <c r="AE2253" s="381" t="s">
        <v>168</v>
      </c>
    </row>
    <row r="2254" spans="1:31" ht="15" customHeight="1" x14ac:dyDescent="0.25">
      <c r="A2254" s="20" t="s">
        <v>2913</v>
      </c>
      <c r="B2254" s="20" t="s">
        <v>2913</v>
      </c>
      <c r="C2254" s="20" t="s">
        <v>2913</v>
      </c>
      <c r="D2254" s="378" t="s">
        <v>3123</v>
      </c>
      <c r="E2254" s="384" t="s">
        <v>2932</v>
      </c>
      <c r="F2254" s="384" t="s">
        <v>2933</v>
      </c>
      <c r="G2254" s="385" t="s">
        <v>281</v>
      </c>
      <c r="H2254" s="385" t="s">
        <v>2942</v>
      </c>
      <c r="I2254" s="378">
        <v>1</v>
      </c>
      <c r="J2254" s="385" t="s">
        <v>163</v>
      </c>
      <c r="K2254" s="378" t="s">
        <v>2943</v>
      </c>
      <c r="L2254" s="378" t="s">
        <v>2848</v>
      </c>
      <c r="M2254" s="380">
        <v>2400</v>
      </c>
      <c r="N2254" s="380"/>
      <c r="O2254" s="380"/>
      <c r="P2254" s="380"/>
      <c r="Q2254" s="381">
        <v>84.7</v>
      </c>
      <c r="R2254" s="381">
        <v>84.6</v>
      </c>
      <c r="S2254" s="381">
        <v>8.5800000000000001E-2</v>
      </c>
      <c r="T2254" s="381">
        <v>1.73E-4</v>
      </c>
      <c r="U2254" s="381">
        <v>0</v>
      </c>
      <c r="V2254" s="382">
        <v>84.685973000000004</v>
      </c>
      <c r="W2254" s="382">
        <v>0</v>
      </c>
      <c r="X2254" s="381">
        <v>8.4699999999999998E-2</v>
      </c>
      <c r="Y2254" s="381">
        <v>8.4599999999999995E-2</v>
      </c>
      <c r="Z2254" s="381">
        <v>8.5799999999999998E-5</v>
      </c>
      <c r="AA2254" s="381">
        <v>1.73E-7</v>
      </c>
      <c r="AB2254" s="381">
        <v>0</v>
      </c>
      <c r="AC2254" s="382">
        <v>8.4685972999999998E-2</v>
      </c>
      <c r="AD2254" s="382">
        <v>0</v>
      </c>
      <c r="AE2254" s="381" t="s">
        <v>168</v>
      </c>
    </row>
    <row r="2255" spans="1:31" ht="15" customHeight="1" x14ac:dyDescent="0.25">
      <c r="A2255" s="20" t="s">
        <v>2913</v>
      </c>
      <c r="B2255" s="20" t="s">
        <v>2913</v>
      </c>
      <c r="C2255" s="20" t="s">
        <v>2913</v>
      </c>
      <c r="D2255" s="378" t="s">
        <v>3124</v>
      </c>
      <c r="E2255" s="384" t="s">
        <v>2932</v>
      </c>
      <c r="F2255" s="384" t="s">
        <v>2933</v>
      </c>
      <c r="G2255" s="385" t="s">
        <v>179</v>
      </c>
      <c r="H2255" s="385" t="s">
        <v>2934</v>
      </c>
      <c r="I2255" s="378">
        <v>1</v>
      </c>
      <c r="J2255" s="385" t="s">
        <v>163</v>
      </c>
      <c r="K2255" s="378" t="s">
        <v>2935</v>
      </c>
      <c r="L2255" s="378" t="s">
        <v>2848</v>
      </c>
      <c r="M2255" s="380">
        <v>2400</v>
      </c>
      <c r="N2255" s="380"/>
      <c r="O2255" s="380"/>
      <c r="P2255" s="380"/>
      <c r="Q2255" s="381">
        <v>83.9</v>
      </c>
      <c r="R2255" s="381">
        <v>83.8</v>
      </c>
      <c r="S2255" s="381">
        <v>8.5300000000000001E-2</v>
      </c>
      <c r="T2255" s="381">
        <v>3.19E-4</v>
      </c>
      <c r="U2255" s="381">
        <v>0</v>
      </c>
      <c r="V2255" s="382">
        <v>83.885619000000005</v>
      </c>
      <c r="W2255" s="382">
        <v>0</v>
      </c>
      <c r="X2255" s="381">
        <v>8.3900000000000002E-2</v>
      </c>
      <c r="Y2255" s="381">
        <v>8.3799999999999999E-2</v>
      </c>
      <c r="Z2255" s="381">
        <v>8.53E-5</v>
      </c>
      <c r="AA2255" s="381">
        <v>3.1899999999999998E-7</v>
      </c>
      <c r="AB2255" s="381">
        <v>0</v>
      </c>
      <c r="AC2255" s="382">
        <v>8.3885618999999995E-2</v>
      </c>
      <c r="AD2255" s="382">
        <v>0</v>
      </c>
      <c r="AE2255" s="381" t="s">
        <v>168</v>
      </c>
    </row>
    <row r="2256" spans="1:31" ht="15" customHeight="1" x14ac:dyDescent="0.25">
      <c r="A2256" s="20" t="s">
        <v>2913</v>
      </c>
      <c r="B2256" s="20" t="s">
        <v>2913</v>
      </c>
      <c r="C2256" s="20" t="s">
        <v>2913</v>
      </c>
      <c r="D2256" s="378" t="s">
        <v>3125</v>
      </c>
      <c r="E2256" s="384" t="s">
        <v>2920</v>
      </c>
      <c r="F2256" s="384" t="s">
        <v>2921</v>
      </c>
      <c r="G2256" s="385" t="s">
        <v>193</v>
      </c>
      <c r="H2256" s="385" t="s">
        <v>2922</v>
      </c>
      <c r="I2256" s="378">
        <v>1</v>
      </c>
      <c r="J2256" s="385" t="s">
        <v>163</v>
      </c>
      <c r="K2256" s="378" t="s">
        <v>2923</v>
      </c>
      <c r="L2256" s="378" t="s">
        <v>2848</v>
      </c>
      <c r="M2256" s="380">
        <v>2400</v>
      </c>
      <c r="N2256" s="380"/>
      <c r="O2256" s="380"/>
      <c r="P2256" s="380"/>
      <c r="Q2256" s="381">
        <v>83.5</v>
      </c>
      <c r="R2256" s="381">
        <v>83.4</v>
      </c>
      <c r="S2256" s="381">
        <v>8.4199999999999997E-2</v>
      </c>
      <c r="T2256" s="381">
        <v>1.3200000000000001E-4</v>
      </c>
      <c r="U2256" s="381">
        <v>0</v>
      </c>
      <c r="V2256" s="382">
        <v>83.484331999999995</v>
      </c>
      <c r="W2256" s="382">
        <v>0</v>
      </c>
      <c r="X2256" s="381">
        <v>8.3500000000000005E-2</v>
      </c>
      <c r="Y2256" s="381">
        <v>8.3400000000000002E-2</v>
      </c>
      <c r="Z2256" s="381">
        <v>8.42E-5</v>
      </c>
      <c r="AA2256" s="381">
        <v>1.3200000000000002E-7</v>
      </c>
      <c r="AB2256" s="381">
        <v>0</v>
      </c>
      <c r="AC2256" s="382">
        <v>8.3484332000000008E-2</v>
      </c>
      <c r="AD2256" s="382">
        <v>0</v>
      </c>
      <c r="AE2256" s="381" t="s">
        <v>168</v>
      </c>
    </row>
    <row r="2257" spans="1:31" ht="15" customHeight="1" x14ac:dyDescent="0.25">
      <c r="A2257" s="20" t="s">
        <v>2913</v>
      </c>
      <c r="B2257" s="20" t="s">
        <v>2913</v>
      </c>
      <c r="C2257" s="20" t="s">
        <v>2913</v>
      </c>
      <c r="D2257" s="378" t="s">
        <v>3126</v>
      </c>
      <c r="E2257" s="384" t="s">
        <v>2932</v>
      </c>
      <c r="F2257" s="384" t="s">
        <v>2933</v>
      </c>
      <c r="G2257" s="385" t="s">
        <v>179</v>
      </c>
      <c r="H2257" s="385" t="s">
        <v>2934</v>
      </c>
      <c r="I2257" s="378">
        <v>1</v>
      </c>
      <c r="J2257" s="385" t="s">
        <v>163</v>
      </c>
      <c r="K2257" s="378" t="s">
        <v>2935</v>
      </c>
      <c r="L2257" s="378" t="s">
        <v>2848</v>
      </c>
      <c r="M2257" s="380">
        <v>2400</v>
      </c>
      <c r="N2257" s="380"/>
      <c r="O2257" s="380"/>
      <c r="P2257" s="380"/>
      <c r="Q2257" s="381">
        <v>87.2</v>
      </c>
      <c r="R2257" s="381">
        <v>87.1</v>
      </c>
      <c r="S2257" s="381">
        <v>8.3199999999999996E-2</v>
      </c>
      <c r="T2257" s="381">
        <v>2.9500000000000001E-4</v>
      </c>
      <c r="U2257" s="381">
        <v>0</v>
      </c>
      <c r="V2257" s="382">
        <v>87.183494999999994</v>
      </c>
      <c r="W2257" s="382">
        <v>0</v>
      </c>
      <c r="X2257" s="381">
        <v>8.72E-2</v>
      </c>
      <c r="Y2257" s="381">
        <v>8.7099999999999997E-2</v>
      </c>
      <c r="Z2257" s="381">
        <v>8.3199999999999989E-5</v>
      </c>
      <c r="AA2257" s="381">
        <v>2.9500000000000003E-7</v>
      </c>
      <c r="AB2257" s="381">
        <v>0</v>
      </c>
      <c r="AC2257" s="382">
        <v>8.7183495E-2</v>
      </c>
      <c r="AD2257" s="382">
        <v>0</v>
      </c>
      <c r="AE2257" s="381" t="s">
        <v>168</v>
      </c>
    </row>
    <row r="2258" spans="1:31" ht="15" customHeight="1" x14ac:dyDescent="0.25">
      <c r="A2258" s="20" t="s">
        <v>2913</v>
      </c>
      <c r="B2258" s="20" t="s">
        <v>2913</v>
      </c>
      <c r="C2258" s="20" t="s">
        <v>2913</v>
      </c>
      <c r="D2258" s="378" t="s">
        <v>3127</v>
      </c>
      <c r="E2258" s="384" t="s">
        <v>2920</v>
      </c>
      <c r="F2258" s="384" t="s">
        <v>2921</v>
      </c>
      <c r="G2258" s="385" t="s">
        <v>193</v>
      </c>
      <c r="H2258" s="385" t="s">
        <v>2922</v>
      </c>
      <c r="I2258" s="378">
        <v>1</v>
      </c>
      <c r="J2258" s="385" t="s">
        <v>163</v>
      </c>
      <c r="K2258" s="378" t="s">
        <v>2923</v>
      </c>
      <c r="L2258" s="378" t="s">
        <v>2848</v>
      </c>
      <c r="M2258" s="380">
        <v>2400</v>
      </c>
      <c r="N2258" s="380"/>
      <c r="O2258" s="380"/>
      <c r="P2258" s="380"/>
      <c r="Q2258" s="381">
        <v>51.9</v>
      </c>
      <c r="R2258" s="381">
        <v>51.3</v>
      </c>
      <c r="S2258" s="381">
        <v>0.58799999999999997</v>
      </c>
      <c r="T2258" s="381">
        <v>1.2199999999999999E-3</v>
      </c>
      <c r="U2258" s="381">
        <v>0</v>
      </c>
      <c r="V2258" s="382">
        <v>51.889219999999995</v>
      </c>
      <c r="W2258" s="382">
        <v>0</v>
      </c>
      <c r="X2258" s="381">
        <v>5.1900000000000002E-2</v>
      </c>
      <c r="Y2258" s="381">
        <v>5.1299999999999998E-2</v>
      </c>
      <c r="Z2258" s="381">
        <v>5.8799999999999998E-4</v>
      </c>
      <c r="AA2258" s="381">
        <v>1.22E-6</v>
      </c>
      <c r="AB2258" s="381">
        <v>0</v>
      </c>
      <c r="AC2258" s="382">
        <v>5.188922E-2</v>
      </c>
      <c r="AD2258" s="382">
        <v>0</v>
      </c>
      <c r="AE2258" s="381" t="s">
        <v>168</v>
      </c>
    </row>
    <row r="2259" spans="1:31" ht="15" customHeight="1" x14ac:dyDescent="0.25">
      <c r="A2259" s="20" t="s">
        <v>2913</v>
      </c>
      <c r="B2259" s="20" t="s">
        <v>2913</v>
      </c>
      <c r="C2259" s="20" t="s">
        <v>2913</v>
      </c>
      <c r="D2259" s="378" t="s">
        <v>3128</v>
      </c>
      <c r="E2259" s="384" t="s">
        <v>2932</v>
      </c>
      <c r="F2259" s="384" t="s">
        <v>2933</v>
      </c>
      <c r="G2259" s="385" t="s">
        <v>179</v>
      </c>
      <c r="H2259" s="385" t="s">
        <v>2934</v>
      </c>
      <c r="I2259" s="378">
        <v>1</v>
      </c>
      <c r="J2259" s="385" t="s">
        <v>163</v>
      </c>
      <c r="K2259" s="378" t="s">
        <v>2935</v>
      </c>
      <c r="L2259" s="378" t="s">
        <v>2848</v>
      </c>
      <c r="M2259" s="380">
        <v>2400</v>
      </c>
      <c r="N2259" s="380"/>
      <c r="O2259" s="380"/>
      <c r="P2259" s="380"/>
      <c r="Q2259" s="381">
        <v>80.099999999999994</v>
      </c>
      <c r="R2259" s="381">
        <v>80</v>
      </c>
      <c r="S2259" s="381">
        <v>8.2299999999999998E-2</v>
      </c>
      <c r="T2259" s="381">
        <v>2.9599999999999998E-4</v>
      </c>
      <c r="U2259" s="381">
        <v>0</v>
      </c>
      <c r="V2259" s="382">
        <v>80.082596000000009</v>
      </c>
      <c r="W2259" s="382">
        <v>0</v>
      </c>
      <c r="X2259" s="381">
        <v>8.0099999999999991E-2</v>
      </c>
      <c r="Y2259" s="381">
        <v>0.08</v>
      </c>
      <c r="Z2259" s="381">
        <v>8.2299999999999995E-5</v>
      </c>
      <c r="AA2259" s="381">
        <v>2.96E-7</v>
      </c>
      <c r="AB2259" s="381">
        <v>0</v>
      </c>
      <c r="AC2259" s="382">
        <v>8.0082595999999992E-2</v>
      </c>
      <c r="AD2259" s="382">
        <v>0</v>
      </c>
      <c r="AE2259" s="381" t="s">
        <v>168</v>
      </c>
    </row>
    <row r="2260" spans="1:31" ht="15" customHeight="1" x14ac:dyDescent="0.25">
      <c r="A2260" s="20" t="s">
        <v>2913</v>
      </c>
      <c r="B2260" s="20" t="s">
        <v>2913</v>
      </c>
      <c r="C2260" s="20" t="s">
        <v>2913</v>
      </c>
      <c r="D2260" s="378" t="s">
        <v>3129</v>
      </c>
      <c r="E2260" s="384" t="s">
        <v>2920</v>
      </c>
      <c r="F2260" s="384" t="s">
        <v>2921</v>
      </c>
      <c r="G2260" s="385" t="s">
        <v>193</v>
      </c>
      <c r="H2260" s="385" t="s">
        <v>2922</v>
      </c>
      <c r="I2260" s="378">
        <v>1</v>
      </c>
      <c r="J2260" s="385" t="s">
        <v>163</v>
      </c>
      <c r="K2260" s="378" t="s">
        <v>2923</v>
      </c>
      <c r="L2260" s="378" t="s">
        <v>2848</v>
      </c>
      <c r="M2260" s="380">
        <v>2400</v>
      </c>
      <c r="N2260" s="380"/>
      <c r="O2260" s="380"/>
      <c r="P2260" s="380"/>
      <c r="Q2260" s="381">
        <v>68.8</v>
      </c>
      <c r="R2260" s="381">
        <v>68.7</v>
      </c>
      <c r="S2260" s="381">
        <v>8.3900000000000002E-2</v>
      </c>
      <c r="T2260" s="381">
        <v>1.27E-4</v>
      </c>
      <c r="U2260" s="381">
        <v>0</v>
      </c>
      <c r="V2260" s="382">
        <v>68.784027000000009</v>
      </c>
      <c r="W2260" s="382">
        <v>0</v>
      </c>
      <c r="X2260" s="381">
        <v>6.88E-2</v>
      </c>
      <c r="Y2260" s="381">
        <v>6.8699999999999997E-2</v>
      </c>
      <c r="Z2260" s="381">
        <v>8.3900000000000006E-5</v>
      </c>
      <c r="AA2260" s="381">
        <v>1.2699999999999999E-7</v>
      </c>
      <c r="AB2260" s="381">
        <v>0</v>
      </c>
      <c r="AC2260" s="382">
        <v>6.8784026999999998E-2</v>
      </c>
      <c r="AD2260" s="382">
        <v>0</v>
      </c>
      <c r="AE2260" s="381" t="s">
        <v>168</v>
      </c>
    </row>
    <row r="2261" spans="1:31" ht="15" customHeight="1" x14ac:dyDescent="0.25">
      <c r="A2261" s="20" t="s">
        <v>2913</v>
      </c>
      <c r="B2261" s="20" t="s">
        <v>2913</v>
      </c>
      <c r="C2261" s="20" t="s">
        <v>2913</v>
      </c>
      <c r="D2261" s="378" t="s">
        <v>3130</v>
      </c>
      <c r="E2261" s="384" t="s">
        <v>2920</v>
      </c>
      <c r="F2261" s="384" t="s">
        <v>2921</v>
      </c>
      <c r="G2261" s="385" t="s">
        <v>179</v>
      </c>
      <c r="H2261" s="385" t="s">
        <v>2922</v>
      </c>
      <c r="I2261" s="378">
        <v>1</v>
      </c>
      <c r="J2261" s="385" t="s">
        <v>163</v>
      </c>
      <c r="K2261" s="378" t="s">
        <v>2923</v>
      </c>
      <c r="L2261" s="378" t="s">
        <v>2848</v>
      </c>
      <c r="M2261" s="380">
        <v>2400</v>
      </c>
      <c r="N2261" s="380"/>
      <c r="O2261" s="380"/>
      <c r="P2261" s="380"/>
      <c r="Q2261" s="381">
        <v>74.400000000000006</v>
      </c>
      <c r="R2261" s="381">
        <v>74.3</v>
      </c>
      <c r="S2261" s="381">
        <v>8.1000000000000003E-2</v>
      </c>
      <c r="T2261" s="381">
        <v>9.5500000000000004E-5</v>
      </c>
      <c r="U2261" s="381">
        <v>0</v>
      </c>
      <c r="V2261" s="382">
        <v>74.381095500000001</v>
      </c>
      <c r="W2261" s="382">
        <v>0</v>
      </c>
      <c r="X2261" s="381">
        <v>7.4400000000000008E-2</v>
      </c>
      <c r="Y2261" s="381">
        <v>7.4299999999999991E-2</v>
      </c>
      <c r="Z2261" s="381">
        <v>8.1000000000000004E-5</v>
      </c>
      <c r="AA2261" s="381">
        <v>9.5500000000000002E-8</v>
      </c>
      <c r="AB2261" s="381">
        <v>0</v>
      </c>
      <c r="AC2261" s="382">
        <v>7.4381095499999994E-2</v>
      </c>
      <c r="AD2261" s="382">
        <v>0</v>
      </c>
      <c r="AE2261" s="381" t="s">
        <v>168</v>
      </c>
    </row>
    <row r="2262" spans="1:31" ht="15" customHeight="1" x14ac:dyDescent="0.25">
      <c r="A2262" s="20" t="s">
        <v>2913</v>
      </c>
      <c r="B2262" s="20" t="s">
        <v>2913</v>
      </c>
      <c r="C2262" s="20" t="s">
        <v>2913</v>
      </c>
      <c r="D2262" s="378" t="s">
        <v>3131</v>
      </c>
      <c r="E2262" s="384" t="s">
        <v>2920</v>
      </c>
      <c r="F2262" s="384" t="s">
        <v>2921</v>
      </c>
      <c r="G2262" s="385" t="s">
        <v>179</v>
      </c>
      <c r="H2262" s="385" t="s">
        <v>2922</v>
      </c>
      <c r="I2262" s="378">
        <v>1</v>
      </c>
      <c r="J2262" s="385" t="s">
        <v>163</v>
      </c>
      <c r="K2262" s="378" t="s">
        <v>2923</v>
      </c>
      <c r="L2262" s="378" t="s">
        <v>2848</v>
      </c>
      <c r="M2262" s="380">
        <v>2400</v>
      </c>
      <c r="N2262" s="380"/>
      <c r="O2262" s="380"/>
      <c r="P2262" s="380"/>
      <c r="Q2262" s="381">
        <v>73.8</v>
      </c>
      <c r="R2262" s="381">
        <v>73.7</v>
      </c>
      <c r="S2262" s="381">
        <v>8.1100000000000005E-2</v>
      </c>
      <c r="T2262" s="381">
        <v>9.0799999999999998E-5</v>
      </c>
      <c r="U2262" s="381">
        <v>0</v>
      </c>
      <c r="V2262" s="382">
        <v>73.781190800000005</v>
      </c>
      <c r="W2262" s="382">
        <v>0</v>
      </c>
      <c r="X2262" s="381">
        <v>7.3799999999999991E-2</v>
      </c>
      <c r="Y2262" s="381">
        <v>7.3700000000000002E-2</v>
      </c>
      <c r="Z2262" s="381">
        <v>8.1100000000000006E-5</v>
      </c>
      <c r="AA2262" s="381">
        <v>9.0799999999999993E-8</v>
      </c>
      <c r="AB2262" s="381">
        <v>0</v>
      </c>
      <c r="AC2262" s="382">
        <v>7.3781190800000007E-2</v>
      </c>
      <c r="AD2262" s="382">
        <v>0</v>
      </c>
      <c r="AE2262" s="381" t="s">
        <v>168</v>
      </c>
    </row>
    <row r="2263" spans="1:31" ht="15" customHeight="1" x14ac:dyDescent="0.25">
      <c r="A2263" s="20" t="s">
        <v>2913</v>
      </c>
      <c r="B2263" s="20" t="s">
        <v>2913</v>
      </c>
      <c r="C2263" s="20" t="s">
        <v>2913</v>
      </c>
      <c r="D2263" s="378" t="s">
        <v>3132</v>
      </c>
      <c r="E2263" s="384" t="s">
        <v>2932</v>
      </c>
      <c r="F2263" s="384" t="s">
        <v>2933</v>
      </c>
      <c r="G2263" s="385" t="s">
        <v>281</v>
      </c>
      <c r="H2263" s="385" t="s">
        <v>2942</v>
      </c>
      <c r="I2263" s="378">
        <v>1</v>
      </c>
      <c r="J2263" s="385" t="s">
        <v>163</v>
      </c>
      <c r="K2263" s="378" t="s">
        <v>2943</v>
      </c>
      <c r="L2263" s="378" t="s">
        <v>2848</v>
      </c>
      <c r="M2263" s="380">
        <v>2400</v>
      </c>
      <c r="N2263" s="380"/>
      <c r="O2263" s="380"/>
      <c r="P2263" s="380"/>
      <c r="Q2263" s="381">
        <v>92.8</v>
      </c>
      <c r="R2263" s="381">
        <v>92.7</v>
      </c>
      <c r="S2263" s="381">
        <v>7.3200000000000001E-2</v>
      </c>
      <c r="T2263" s="381">
        <v>1.47E-4</v>
      </c>
      <c r="U2263" s="381">
        <v>0</v>
      </c>
      <c r="V2263" s="382">
        <v>92.773347000000001</v>
      </c>
      <c r="W2263" s="382">
        <v>0</v>
      </c>
      <c r="X2263" s="381">
        <v>9.2799999999999994E-2</v>
      </c>
      <c r="Y2263" s="381">
        <v>9.2700000000000005E-2</v>
      </c>
      <c r="Z2263" s="381">
        <v>7.3200000000000004E-5</v>
      </c>
      <c r="AA2263" s="381">
        <v>1.4700000000000001E-7</v>
      </c>
      <c r="AB2263" s="381">
        <v>0</v>
      </c>
      <c r="AC2263" s="382">
        <v>9.2773347000000006E-2</v>
      </c>
      <c r="AD2263" s="382">
        <v>0</v>
      </c>
      <c r="AE2263" s="381" t="s">
        <v>168</v>
      </c>
    </row>
    <row r="2264" spans="1:31" ht="15" customHeight="1" x14ac:dyDescent="0.25">
      <c r="A2264" s="20" t="s">
        <v>2913</v>
      </c>
      <c r="B2264" s="20" t="s">
        <v>2913</v>
      </c>
      <c r="C2264" s="20" t="s">
        <v>2913</v>
      </c>
      <c r="D2264" s="378" t="s">
        <v>3133</v>
      </c>
      <c r="E2264" s="384" t="s">
        <v>2920</v>
      </c>
      <c r="F2264" s="384" t="s">
        <v>2921</v>
      </c>
      <c r="G2264" s="385" t="s">
        <v>179</v>
      </c>
      <c r="H2264" s="385" t="s">
        <v>2922</v>
      </c>
      <c r="I2264" s="378">
        <v>1</v>
      </c>
      <c r="J2264" s="385" t="s">
        <v>163</v>
      </c>
      <c r="K2264" s="378" t="s">
        <v>2923</v>
      </c>
      <c r="L2264" s="378" t="s">
        <v>2848</v>
      </c>
      <c r="M2264" s="380">
        <v>2400</v>
      </c>
      <c r="N2264" s="380"/>
      <c r="O2264" s="380"/>
      <c r="P2264" s="380"/>
      <c r="Q2264" s="381">
        <v>78.3</v>
      </c>
      <c r="R2264" s="381">
        <v>78.2</v>
      </c>
      <c r="S2264" s="381">
        <v>7.5700000000000003E-2</v>
      </c>
      <c r="T2264" s="381">
        <v>1.0399999999999999E-4</v>
      </c>
      <c r="U2264" s="381">
        <v>0</v>
      </c>
      <c r="V2264" s="382">
        <v>78.275803999999994</v>
      </c>
      <c r="W2264" s="382">
        <v>0</v>
      </c>
      <c r="X2264" s="381">
        <v>7.8299999999999995E-2</v>
      </c>
      <c r="Y2264" s="381">
        <v>7.8200000000000006E-2</v>
      </c>
      <c r="Z2264" s="381">
        <v>7.5699999999999997E-5</v>
      </c>
      <c r="AA2264" s="381">
        <v>1.0399999999999999E-7</v>
      </c>
      <c r="AB2264" s="381">
        <v>0</v>
      </c>
      <c r="AC2264" s="382">
        <v>7.8275804000000004E-2</v>
      </c>
      <c r="AD2264" s="382">
        <v>0</v>
      </c>
      <c r="AE2264" s="381" t="s">
        <v>168</v>
      </c>
    </row>
    <row r="2265" spans="1:31" ht="15" customHeight="1" x14ac:dyDescent="0.25">
      <c r="A2265" s="20" t="s">
        <v>2913</v>
      </c>
      <c r="B2265" s="20" t="s">
        <v>2913</v>
      </c>
      <c r="C2265" s="20" t="s">
        <v>2913</v>
      </c>
      <c r="D2265" s="378" t="s">
        <v>3134</v>
      </c>
      <c r="E2265" s="384" t="s">
        <v>2920</v>
      </c>
      <c r="F2265" s="384" t="s">
        <v>2921</v>
      </c>
      <c r="G2265" s="385" t="s">
        <v>179</v>
      </c>
      <c r="H2265" s="385" t="s">
        <v>2922</v>
      </c>
      <c r="I2265" s="378">
        <v>1</v>
      </c>
      <c r="J2265" s="385" t="s">
        <v>163</v>
      </c>
      <c r="K2265" s="378" t="s">
        <v>2923</v>
      </c>
      <c r="L2265" s="378" t="s">
        <v>2848</v>
      </c>
      <c r="M2265" s="380">
        <v>2400</v>
      </c>
      <c r="N2265" s="380"/>
      <c r="O2265" s="380"/>
      <c r="P2265" s="380"/>
      <c r="Q2265" s="381">
        <v>76.400000000000006</v>
      </c>
      <c r="R2265" s="381">
        <v>76.3</v>
      </c>
      <c r="S2265" s="381">
        <v>7.4700000000000003E-2</v>
      </c>
      <c r="T2265" s="381">
        <v>9.7100000000000002E-5</v>
      </c>
      <c r="U2265" s="381">
        <v>0</v>
      </c>
      <c r="V2265" s="382">
        <v>76.374797100000009</v>
      </c>
      <c r="W2265" s="382">
        <v>0</v>
      </c>
      <c r="X2265" s="381">
        <v>7.640000000000001E-2</v>
      </c>
      <c r="Y2265" s="381">
        <v>7.6299999999999993E-2</v>
      </c>
      <c r="Z2265" s="381">
        <v>7.47E-5</v>
      </c>
      <c r="AA2265" s="381">
        <v>9.7100000000000003E-8</v>
      </c>
      <c r="AB2265" s="381">
        <v>0</v>
      </c>
      <c r="AC2265" s="382">
        <v>7.6374797099999989E-2</v>
      </c>
      <c r="AD2265" s="382">
        <v>0</v>
      </c>
      <c r="AE2265" s="381" t="s">
        <v>168</v>
      </c>
    </row>
    <row r="2266" spans="1:31" ht="15" customHeight="1" x14ac:dyDescent="0.25">
      <c r="A2266" s="20" t="s">
        <v>2913</v>
      </c>
      <c r="B2266" s="20" t="s">
        <v>2913</v>
      </c>
      <c r="C2266" s="20" t="s">
        <v>2913</v>
      </c>
      <c r="D2266" s="378" t="s">
        <v>3135</v>
      </c>
      <c r="E2266" s="384" t="s">
        <v>2920</v>
      </c>
      <c r="F2266" s="384" t="s">
        <v>2921</v>
      </c>
      <c r="G2266" s="385" t="s">
        <v>281</v>
      </c>
      <c r="H2266" s="385" t="s">
        <v>2922</v>
      </c>
      <c r="I2266" s="378">
        <v>1</v>
      </c>
      <c r="J2266" s="385" t="s">
        <v>163</v>
      </c>
      <c r="K2266" s="378" t="s">
        <v>2923</v>
      </c>
      <c r="L2266" s="378" t="s">
        <v>2848</v>
      </c>
      <c r="M2266" s="380">
        <v>2400</v>
      </c>
      <c r="N2266" s="380"/>
      <c r="O2266" s="380"/>
      <c r="P2266" s="380"/>
      <c r="Q2266" s="381">
        <v>82.1</v>
      </c>
      <c r="R2266" s="381">
        <v>82</v>
      </c>
      <c r="S2266" s="381">
        <v>7.2099999999999997E-2</v>
      </c>
      <c r="T2266" s="381">
        <v>1.03E-4</v>
      </c>
      <c r="U2266" s="381">
        <v>0</v>
      </c>
      <c r="V2266" s="382">
        <v>82.072203000000002</v>
      </c>
      <c r="W2266" s="382">
        <v>0</v>
      </c>
      <c r="X2266" s="381">
        <v>8.2099999999999992E-2</v>
      </c>
      <c r="Y2266" s="381">
        <v>8.2000000000000003E-2</v>
      </c>
      <c r="Z2266" s="381">
        <v>7.2099999999999991E-5</v>
      </c>
      <c r="AA2266" s="381">
        <v>1.03E-7</v>
      </c>
      <c r="AB2266" s="381">
        <v>0</v>
      </c>
      <c r="AC2266" s="382">
        <v>8.207220300000001E-2</v>
      </c>
      <c r="AD2266" s="382">
        <v>0</v>
      </c>
      <c r="AE2266" s="381" t="s">
        <v>168</v>
      </c>
    </row>
    <row r="2267" spans="1:31" ht="15" customHeight="1" x14ac:dyDescent="0.25">
      <c r="A2267" s="20" t="s">
        <v>2913</v>
      </c>
      <c r="B2267" s="20" t="s">
        <v>2913</v>
      </c>
      <c r="C2267" s="20" t="s">
        <v>2913</v>
      </c>
      <c r="D2267" s="378" t="s">
        <v>3136</v>
      </c>
      <c r="E2267" s="384" t="s">
        <v>2920</v>
      </c>
      <c r="F2267" s="384" t="s">
        <v>2921</v>
      </c>
      <c r="G2267" s="385" t="s">
        <v>179</v>
      </c>
      <c r="H2267" s="385" t="s">
        <v>2922</v>
      </c>
      <c r="I2267" s="378">
        <v>1</v>
      </c>
      <c r="J2267" s="385" t="s">
        <v>163</v>
      </c>
      <c r="K2267" s="378" t="s">
        <v>2923</v>
      </c>
      <c r="L2267" s="378" t="s">
        <v>2848</v>
      </c>
      <c r="M2267" s="380">
        <v>2400</v>
      </c>
      <c r="N2267" s="380"/>
      <c r="O2267" s="380"/>
      <c r="P2267" s="380"/>
      <c r="Q2267" s="381">
        <v>77.400000000000006</v>
      </c>
      <c r="R2267" s="381">
        <v>77.3</v>
      </c>
      <c r="S2267" s="381">
        <v>7.2300000000000003E-2</v>
      </c>
      <c r="T2267" s="381">
        <v>1.0399999999999999E-4</v>
      </c>
      <c r="U2267" s="381">
        <v>0</v>
      </c>
      <c r="V2267" s="382">
        <v>77.372403999999989</v>
      </c>
      <c r="W2267" s="382">
        <v>0</v>
      </c>
      <c r="X2267" s="381">
        <v>7.740000000000001E-2</v>
      </c>
      <c r="Y2267" s="381">
        <v>7.7299999999999994E-2</v>
      </c>
      <c r="Z2267" s="381">
        <v>7.2300000000000009E-5</v>
      </c>
      <c r="AA2267" s="381">
        <v>1.0399999999999999E-7</v>
      </c>
      <c r="AB2267" s="381">
        <v>0</v>
      </c>
      <c r="AC2267" s="382">
        <v>7.7372403999999992E-2</v>
      </c>
      <c r="AD2267" s="382">
        <v>0</v>
      </c>
      <c r="AE2267" s="381" t="s">
        <v>168</v>
      </c>
    </row>
    <row r="2268" spans="1:31" ht="15" customHeight="1" x14ac:dyDescent="0.25">
      <c r="A2268" s="20" t="s">
        <v>2913</v>
      </c>
      <c r="B2268" s="20" t="s">
        <v>2913</v>
      </c>
      <c r="C2268" s="20" t="s">
        <v>2913</v>
      </c>
      <c r="D2268" s="378" t="s">
        <v>3137</v>
      </c>
      <c r="E2268" s="384" t="s">
        <v>2920</v>
      </c>
      <c r="F2268" s="384" t="s">
        <v>2921</v>
      </c>
      <c r="G2268" s="385" t="s">
        <v>193</v>
      </c>
      <c r="H2268" s="385" t="s">
        <v>2922</v>
      </c>
      <c r="I2268" s="378">
        <v>1</v>
      </c>
      <c r="J2268" s="385" t="s">
        <v>163</v>
      </c>
      <c r="K2268" s="378" t="s">
        <v>2923</v>
      </c>
      <c r="L2268" s="378" t="s">
        <v>2848</v>
      </c>
      <c r="M2268" s="380">
        <v>2400</v>
      </c>
      <c r="N2268" s="380"/>
      <c r="O2268" s="380"/>
      <c r="P2268" s="380"/>
      <c r="Q2268" s="381">
        <v>91.4</v>
      </c>
      <c r="R2268" s="381">
        <v>91.3</v>
      </c>
      <c r="S2268" s="381">
        <v>6.59E-2</v>
      </c>
      <c r="T2268" s="381">
        <v>1.25E-4</v>
      </c>
      <c r="U2268" s="381">
        <v>0</v>
      </c>
      <c r="V2268" s="382">
        <v>91.366024999999993</v>
      </c>
      <c r="W2268" s="382">
        <v>0</v>
      </c>
      <c r="X2268" s="381">
        <v>9.1400000000000009E-2</v>
      </c>
      <c r="Y2268" s="381">
        <v>9.1299999999999992E-2</v>
      </c>
      <c r="Z2268" s="381">
        <v>6.5900000000000003E-5</v>
      </c>
      <c r="AA2268" s="381">
        <v>1.2499999999999999E-7</v>
      </c>
      <c r="AB2268" s="381">
        <v>0</v>
      </c>
      <c r="AC2268" s="382">
        <v>9.136602499999999E-2</v>
      </c>
      <c r="AD2268" s="382">
        <v>0</v>
      </c>
      <c r="AE2268" s="381" t="s">
        <v>168</v>
      </c>
    </row>
    <row r="2269" spans="1:31" ht="15" customHeight="1" x14ac:dyDescent="0.25">
      <c r="A2269" s="20" t="s">
        <v>2913</v>
      </c>
      <c r="B2269" s="20" t="s">
        <v>2913</v>
      </c>
      <c r="C2269" s="20" t="s">
        <v>2913</v>
      </c>
      <c r="D2269" s="378" t="s">
        <v>3138</v>
      </c>
      <c r="E2269" s="384" t="s">
        <v>2932</v>
      </c>
      <c r="F2269" s="384" t="s">
        <v>2933</v>
      </c>
      <c r="G2269" s="385" t="s">
        <v>281</v>
      </c>
      <c r="H2269" s="385" t="s">
        <v>2942</v>
      </c>
      <c r="I2269" s="378">
        <v>1</v>
      </c>
      <c r="J2269" s="385" t="s">
        <v>163</v>
      </c>
      <c r="K2269" s="378" t="s">
        <v>2943</v>
      </c>
      <c r="L2269" s="378" t="s">
        <v>2848</v>
      </c>
      <c r="M2269" s="380">
        <v>2400</v>
      </c>
      <c r="N2269" s="380"/>
      <c r="O2269" s="380"/>
      <c r="P2269" s="380"/>
      <c r="Q2269" s="381">
        <v>97.3</v>
      </c>
      <c r="R2269" s="381">
        <v>97.2</v>
      </c>
      <c r="S2269" s="381">
        <v>6.2700000000000006E-2</v>
      </c>
      <c r="T2269" s="381">
        <v>1.47E-4</v>
      </c>
      <c r="U2269" s="381">
        <v>0</v>
      </c>
      <c r="V2269" s="382">
        <v>97.262847000000008</v>
      </c>
      <c r="W2269" s="382">
        <v>0</v>
      </c>
      <c r="X2269" s="381">
        <v>9.7299999999999998E-2</v>
      </c>
      <c r="Y2269" s="381">
        <v>9.7200000000000009E-2</v>
      </c>
      <c r="Z2269" s="381">
        <v>6.2700000000000006E-5</v>
      </c>
      <c r="AA2269" s="381">
        <v>1.4700000000000001E-7</v>
      </c>
      <c r="AB2269" s="381">
        <v>0</v>
      </c>
      <c r="AC2269" s="382">
        <v>9.7262847000000013E-2</v>
      </c>
      <c r="AD2269" s="382">
        <v>0</v>
      </c>
      <c r="AE2269" s="381" t="s">
        <v>168</v>
      </c>
    </row>
    <row r="2270" spans="1:31" ht="15" customHeight="1" x14ac:dyDescent="0.25">
      <c r="A2270" s="20" t="s">
        <v>2913</v>
      </c>
      <c r="B2270" s="20" t="s">
        <v>2913</v>
      </c>
      <c r="C2270" s="20" t="s">
        <v>2913</v>
      </c>
      <c r="D2270" s="378" t="s">
        <v>3139</v>
      </c>
      <c r="E2270" s="384" t="s">
        <v>2920</v>
      </c>
      <c r="F2270" s="384" t="s">
        <v>2921</v>
      </c>
      <c r="G2270" s="385" t="s">
        <v>193</v>
      </c>
      <c r="H2270" s="385" t="s">
        <v>2922</v>
      </c>
      <c r="I2270" s="378">
        <v>1</v>
      </c>
      <c r="J2270" s="385" t="s">
        <v>163</v>
      </c>
      <c r="K2270" s="378" t="s">
        <v>2923</v>
      </c>
      <c r="L2270" s="378" t="s">
        <v>2848</v>
      </c>
      <c r="M2270" s="380">
        <v>2400</v>
      </c>
      <c r="N2270" s="380"/>
      <c r="O2270" s="380"/>
      <c r="P2270" s="380"/>
      <c r="Q2270" s="381">
        <v>89.3</v>
      </c>
      <c r="R2270" s="381">
        <v>89.2</v>
      </c>
      <c r="S2270" s="381">
        <v>6.5500000000000003E-2</v>
      </c>
      <c r="T2270" s="381">
        <v>1.2999999999999999E-4</v>
      </c>
      <c r="U2270" s="381">
        <v>0</v>
      </c>
      <c r="V2270" s="382">
        <v>89.265630000000002</v>
      </c>
      <c r="W2270" s="382">
        <v>0</v>
      </c>
      <c r="X2270" s="381">
        <v>8.929999999999999E-2</v>
      </c>
      <c r="Y2270" s="381">
        <v>8.9200000000000002E-2</v>
      </c>
      <c r="Z2270" s="381">
        <v>6.5500000000000006E-5</v>
      </c>
      <c r="AA2270" s="381">
        <v>1.3E-7</v>
      </c>
      <c r="AB2270" s="381">
        <v>0</v>
      </c>
      <c r="AC2270" s="382">
        <v>8.9265629999999999E-2</v>
      </c>
      <c r="AD2270" s="382">
        <v>0</v>
      </c>
      <c r="AE2270" s="381" t="s">
        <v>168</v>
      </c>
    </row>
    <row r="2271" spans="1:31" ht="15" customHeight="1" x14ac:dyDescent="0.25">
      <c r="A2271" s="20" t="s">
        <v>2913</v>
      </c>
      <c r="B2271" s="20" t="s">
        <v>2913</v>
      </c>
      <c r="C2271" s="20" t="s">
        <v>2913</v>
      </c>
      <c r="D2271" s="378" t="s">
        <v>3140</v>
      </c>
      <c r="E2271" s="384" t="s">
        <v>2920</v>
      </c>
      <c r="F2271" s="384" t="s">
        <v>2921</v>
      </c>
      <c r="G2271" s="385" t="s">
        <v>316</v>
      </c>
      <c r="H2271" s="385" t="s">
        <v>2922</v>
      </c>
      <c r="I2271" s="378">
        <v>1</v>
      </c>
      <c r="J2271" s="385" t="s">
        <v>163</v>
      </c>
      <c r="K2271" s="378" t="s">
        <v>2923</v>
      </c>
      <c r="L2271" s="378" t="s">
        <v>2848</v>
      </c>
      <c r="M2271" s="380">
        <v>2400</v>
      </c>
      <c r="N2271" s="380"/>
      <c r="O2271" s="380"/>
      <c r="P2271" s="380"/>
      <c r="Q2271" s="381">
        <v>71</v>
      </c>
      <c r="R2271" s="381">
        <v>70.900000000000006</v>
      </c>
      <c r="S2271" s="381">
        <v>7.1900000000000006E-2</v>
      </c>
      <c r="T2271" s="381">
        <v>1.1400000000000001E-4</v>
      </c>
      <c r="U2271" s="381">
        <v>0</v>
      </c>
      <c r="V2271" s="382">
        <v>70.972014000000001</v>
      </c>
      <c r="W2271" s="382">
        <v>0</v>
      </c>
      <c r="X2271" s="381">
        <v>7.0999999999999994E-2</v>
      </c>
      <c r="Y2271" s="381">
        <v>7.0900000000000005E-2</v>
      </c>
      <c r="Z2271" s="381">
        <v>7.1899999999999999E-5</v>
      </c>
      <c r="AA2271" s="381">
        <v>1.14E-7</v>
      </c>
      <c r="AB2271" s="381">
        <v>0</v>
      </c>
      <c r="AC2271" s="382">
        <v>7.0972014E-2</v>
      </c>
      <c r="AD2271" s="382">
        <v>0</v>
      </c>
      <c r="AE2271" s="381" t="s">
        <v>168</v>
      </c>
    </row>
    <row r="2272" spans="1:31" ht="15" customHeight="1" x14ac:dyDescent="0.25">
      <c r="A2272" s="20" t="s">
        <v>2913</v>
      </c>
      <c r="B2272" s="20" t="s">
        <v>2913</v>
      </c>
      <c r="C2272" s="20" t="s">
        <v>2913</v>
      </c>
      <c r="D2272" s="378" t="s">
        <v>3141</v>
      </c>
      <c r="E2272" s="384" t="s">
        <v>2920</v>
      </c>
      <c r="F2272" s="384" t="s">
        <v>2921</v>
      </c>
      <c r="G2272" s="385" t="s">
        <v>316</v>
      </c>
      <c r="H2272" s="385" t="s">
        <v>2922</v>
      </c>
      <c r="I2272" s="378">
        <v>1</v>
      </c>
      <c r="J2272" s="385" t="s">
        <v>163</v>
      </c>
      <c r="K2272" s="378" t="s">
        <v>2923</v>
      </c>
      <c r="L2272" s="378" t="s">
        <v>2848</v>
      </c>
      <c r="M2272" s="380">
        <v>2400</v>
      </c>
      <c r="N2272" s="380"/>
      <c r="O2272" s="380"/>
      <c r="P2272" s="380"/>
      <c r="Q2272" s="381">
        <v>72.400000000000006</v>
      </c>
      <c r="R2272" s="381">
        <v>72.3</v>
      </c>
      <c r="S2272" s="381">
        <v>7.0999999999999994E-2</v>
      </c>
      <c r="T2272" s="381">
        <v>1.13E-4</v>
      </c>
      <c r="U2272" s="381">
        <v>0</v>
      </c>
      <c r="V2272" s="382">
        <v>72.371112999999994</v>
      </c>
      <c r="W2272" s="382">
        <v>0</v>
      </c>
      <c r="X2272" s="381">
        <v>7.2400000000000006E-2</v>
      </c>
      <c r="Y2272" s="381">
        <v>7.2300000000000003E-2</v>
      </c>
      <c r="Z2272" s="381">
        <v>7.0999999999999991E-5</v>
      </c>
      <c r="AA2272" s="381">
        <v>1.1299999999999999E-7</v>
      </c>
      <c r="AB2272" s="381">
        <v>0</v>
      </c>
      <c r="AC2272" s="382">
        <v>7.2371113000000001E-2</v>
      </c>
      <c r="AD2272" s="382">
        <v>0</v>
      </c>
      <c r="AE2272" s="381" t="s">
        <v>168</v>
      </c>
    </row>
    <row r="2273" spans="1:31" ht="15" customHeight="1" x14ac:dyDescent="0.25">
      <c r="A2273" s="20" t="s">
        <v>2913</v>
      </c>
      <c r="B2273" s="20" t="s">
        <v>2913</v>
      </c>
      <c r="C2273" s="20" t="s">
        <v>2913</v>
      </c>
      <c r="D2273" s="378" t="s">
        <v>3142</v>
      </c>
      <c r="E2273" s="384" t="s">
        <v>2920</v>
      </c>
      <c r="F2273" s="384" t="s">
        <v>2921</v>
      </c>
      <c r="G2273" s="385" t="s">
        <v>281</v>
      </c>
      <c r="H2273" s="385" t="s">
        <v>2922</v>
      </c>
      <c r="I2273" s="378">
        <v>1</v>
      </c>
      <c r="J2273" s="385" t="s">
        <v>163</v>
      </c>
      <c r="K2273" s="378" t="s">
        <v>2923</v>
      </c>
      <c r="L2273" s="378" t="s">
        <v>2848</v>
      </c>
      <c r="M2273" s="380">
        <v>2400</v>
      </c>
      <c r="N2273" s="380"/>
      <c r="O2273" s="380"/>
      <c r="P2273" s="380"/>
      <c r="Q2273" s="381">
        <v>79</v>
      </c>
      <c r="R2273" s="381">
        <v>78.900000000000006</v>
      </c>
      <c r="S2273" s="381">
        <v>6.7199999999999996E-2</v>
      </c>
      <c r="T2273" s="381">
        <v>9.4300000000000002E-5</v>
      </c>
      <c r="U2273" s="381">
        <v>0</v>
      </c>
      <c r="V2273" s="382">
        <v>78.967294300000006</v>
      </c>
      <c r="W2273" s="382">
        <v>0</v>
      </c>
      <c r="X2273" s="381">
        <v>7.9000000000000001E-2</v>
      </c>
      <c r="Y2273" s="381">
        <v>7.8900000000000012E-2</v>
      </c>
      <c r="Z2273" s="381">
        <v>6.7199999999999994E-5</v>
      </c>
      <c r="AA2273" s="381">
        <v>9.4300000000000004E-8</v>
      </c>
      <c r="AB2273" s="381">
        <v>0</v>
      </c>
      <c r="AC2273" s="382">
        <v>7.8967294300000018E-2</v>
      </c>
      <c r="AD2273" s="382">
        <v>0</v>
      </c>
      <c r="AE2273" s="381" t="s">
        <v>168</v>
      </c>
    </row>
    <row r="2274" spans="1:31" ht="15" customHeight="1" x14ac:dyDescent="0.25">
      <c r="A2274" s="20" t="s">
        <v>2913</v>
      </c>
      <c r="B2274" s="20" t="s">
        <v>2913</v>
      </c>
      <c r="C2274" s="20" t="s">
        <v>2913</v>
      </c>
      <c r="D2274" s="378" t="s">
        <v>3143</v>
      </c>
      <c r="E2274" s="384" t="s">
        <v>2920</v>
      </c>
      <c r="F2274" s="384" t="s">
        <v>2921</v>
      </c>
      <c r="G2274" s="385" t="s">
        <v>193</v>
      </c>
      <c r="H2274" s="385" t="s">
        <v>2922</v>
      </c>
      <c r="I2274" s="378">
        <v>1</v>
      </c>
      <c r="J2274" s="385" t="s">
        <v>163</v>
      </c>
      <c r="K2274" s="378" t="s">
        <v>2923</v>
      </c>
      <c r="L2274" s="378" t="s">
        <v>2848</v>
      </c>
      <c r="M2274" s="380">
        <v>2400</v>
      </c>
      <c r="N2274" s="380"/>
      <c r="O2274" s="380"/>
      <c r="P2274" s="380"/>
      <c r="Q2274" s="381">
        <v>86.4</v>
      </c>
      <c r="R2274" s="381">
        <v>86.3</v>
      </c>
      <c r="S2274" s="381">
        <v>6.4000000000000001E-2</v>
      </c>
      <c r="T2274" s="381">
        <v>1.11E-4</v>
      </c>
      <c r="U2274" s="381">
        <v>0</v>
      </c>
      <c r="V2274" s="382">
        <v>86.364110999999994</v>
      </c>
      <c r="W2274" s="382">
        <v>0</v>
      </c>
      <c r="X2274" s="381">
        <v>8.6400000000000005E-2</v>
      </c>
      <c r="Y2274" s="381">
        <v>8.6300000000000002E-2</v>
      </c>
      <c r="Z2274" s="381">
        <v>6.3999999999999997E-5</v>
      </c>
      <c r="AA2274" s="381">
        <v>1.11E-7</v>
      </c>
      <c r="AB2274" s="381">
        <v>0</v>
      </c>
      <c r="AC2274" s="382">
        <v>8.6364110999999993E-2</v>
      </c>
      <c r="AD2274" s="382">
        <v>0</v>
      </c>
      <c r="AE2274" s="381" t="s">
        <v>168</v>
      </c>
    </row>
    <row r="2275" spans="1:31" ht="15" customHeight="1" x14ac:dyDescent="0.25">
      <c r="A2275" s="20" t="s">
        <v>2913</v>
      </c>
      <c r="B2275" s="20" t="s">
        <v>2913</v>
      </c>
      <c r="C2275" s="20" t="s">
        <v>2913</v>
      </c>
      <c r="D2275" s="378" t="s">
        <v>3144</v>
      </c>
      <c r="E2275" s="384" t="s">
        <v>2920</v>
      </c>
      <c r="F2275" s="384" t="s">
        <v>2921</v>
      </c>
      <c r="G2275" s="385" t="s">
        <v>281</v>
      </c>
      <c r="H2275" s="385" t="s">
        <v>2922</v>
      </c>
      <c r="I2275" s="378">
        <v>1</v>
      </c>
      <c r="J2275" s="385" t="s">
        <v>163</v>
      </c>
      <c r="K2275" s="378" t="s">
        <v>2923</v>
      </c>
      <c r="L2275" s="378" t="s">
        <v>2848</v>
      </c>
      <c r="M2275" s="380">
        <v>2400</v>
      </c>
      <c r="N2275" s="380"/>
      <c r="O2275" s="380"/>
      <c r="P2275" s="380"/>
      <c r="Q2275" s="381">
        <v>80.900000000000006</v>
      </c>
      <c r="R2275" s="381">
        <v>80.8</v>
      </c>
      <c r="S2275" s="381">
        <v>6.6100000000000006E-2</v>
      </c>
      <c r="T2275" s="381">
        <v>1.03E-4</v>
      </c>
      <c r="U2275" s="381">
        <v>0</v>
      </c>
      <c r="V2275" s="382">
        <v>80.866202999999999</v>
      </c>
      <c r="W2275" s="382">
        <v>0</v>
      </c>
      <c r="X2275" s="381">
        <v>8.09E-2</v>
      </c>
      <c r="Y2275" s="381">
        <v>8.0799999999999997E-2</v>
      </c>
      <c r="Z2275" s="381">
        <v>6.6100000000000007E-5</v>
      </c>
      <c r="AA2275" s="381">
        <v>1.03E-7</v>
      </c>
      <c r="AB2275" s="381">
        <v>0</v>
      </c>
      <c r="AC2275" s="382">
        <v>8.0866202999999998E-2</v>
      </c>
      <c r="AD2275" s="382">
        <v>0</v>
      </c>
      <c r="AE2275" s="381" t="s">
        <v>168</v>
      </c>
    </row>
    <row r="2276" spans="1:31" ht="15" customHeight="1" x14ac:dyDescent="0.25">
      <c r="A2276" s="20" t="s">
        <v>2913</v>
      </c>
      <c r="B2276" s="20" t="s">
        <v>2913</v>
      </c>
      <c r="C2276" s="20" t="s">
        <v>2913</v>
      </c>
      <c r="D2276" s="378" t="s">
        <v>3145</v>
      </c>
      <c r="E2276" s="384" t="s">
        <v>2920</v>
      </c>
      <c r="F2276" s="384" t="s">
        <v>2921</v>
      </c>
      <c r="G2276" s="385" t="s">
        <v>193</v>
      </c>
      <c r="H2276" s="385" t="s">
        <v>2922</v>
      </c>
      <c r="I2276" s="378">
        <v>1</v>
      </c>
      <c r="J2276" s="385" t="s">
        <v>163</v>
      </c>
      <c r="K2276" s="378" t="s">
        <v>2923</v>
      </c>
      <c r="L2276" s="378" t="s">
        <v>2848</v>
      </c>
      <c r="M2276" s="380">
        <v>2400</v>
      </c>
      <c r="N2276" s="380"/>
      <c r="O2276" s="380"/>
      <c r="P2276" s="380"/>
      <c r="Q2276" s="381">
        <v>83.3</v>
      </c>
      <c r="R2276" s="381">
        <v>83.2</v>
      </c>
      <c r="S2276" s="381">
        <v>6.4100000000000004E-2</v>
      </c>
      <c r="T2276" s="381">
        <v>1.1400000000000001E-4</v>
      </c>
      <c r="U2276" s="381">
        <v>0</v>
      </c>
      <c r="V2276" s="382">
        <v>83.264213999999996</v>
      </c>
      <c r="W2276" s="382">
        <v>0</v>
      </c>
      <c r="X2276" s="381">
        <v>8.3299999999999999E-2</v>
      </c>
      <c r="Y2276" s="381">
        <v>8.3199999999999996E-2</v>
      </c>
      <c r="Z2276" s="381">
        <v>6.41E-5</v>
      </c>
      <c r="AA2276" s="381">
        <v>1.14E-7</v>
      </c>
      <c r="AB2276" s="381">
        <v>0</v>
      </c>
      <c r="AC2276" s="382">
        <v>8.3264213999999989E-2</v>
      </c>
      <c r="AD2276" s="382">
        <v>0</v>
      </c>
      <c r="AE2276" s="381" t="s">
        <v>168</v>
      </c>
    </row>
    <row r="2277" spans="1:31" ht="15" customHeight="1" x14ac:dyDescent="0.25">
      <c r="A2277" s="20" t="s">
        <v>2913</v>
      </c>
      <c r="B2277" s="20" t="s">
        <v>2913</v>
      </c>
      <c r="C2277" s="20" t="s">
        <v>2913</v>
      </c>
      <c r="D2277" s="378" t="s">
        <v>3146</v>
      </c>
      <c r="E2277" s="384" t="s">
        <v>2932</v>
      </c>
      <c r="F2277" s="384" t="s">
        <v>2933</v>
      </c>
      <c r="G2277" s="385" t="s">
        <v>179</v>
      </c>
      <c r="H2277" s="385" t="s">
        <v>2934</v>
      </c>
      <c r="I2277" s="378">
        <v>1</v>
      </c>
      <c r="J2277" s="385" t="s">
        <v>163</v>
      </c>
      <c r="K2277" s="378" t="s">
        <v>2935</v>
      </c>
      <c r="L2277" s="378" t="s">
        <v>2848</v>
      </c>
      <c r="M2277" s="380">
        <v>2400</v>
      </c>
      <c r="N2277" s="380"/>
      <c r="O2277" s="380"/>
      <c r="P2277" s="380"/>
      <c r="Q2277" s="381">
        <v>73.5</v>
      </c>
      <c r="R2277" s="381">
        <v>73.400000000000006</v>
      </c>
      <c r="S2277" s="381">
        <v>6.8000000000000005E-2</v>
      </c>
      <c r="T2277" s="381">
        <v>2.3599999999999999E-4</v>
      </c>
      <c r="U2277" s="381">
        <v>0</v>
      </c>
      <c r="V2277" s="382">
        <v>73.468236000000005</v>
      </c>
      <c r="W2277" s="382">
        <v>0</v>
      </c>
      <c r="X2277" s="381">
        <v>7.3499999999999996E-2</v>
      </c>
      <c r="Y2277" s="381">
        <v>7.3400000000000007E-2</v>
      </c>
      <c r="Z2277" s="381">
        <v>6.7999999999999999E-5</v>
      </c>
      <c r="AA2277" s="381">
        <v>2.36E-7</v>
      </c>
      <c r="AB2277" s="381">
        <v>0</v>
      </c>
      <c r="AC2277" s="382">
        <v>7.3468236000000006E-2</v>
      </c>
      <c r="AD2277" s="382">
        <v>0</v>
      </c>
      <c r="AE2277" s="381" t="s">
        <v>168</v>
      </c>
    </row>
    <row r="2278" spans="1:31" ht="15" customHeight="1" x14ac:dyDescent="0.25">
      <c r="A2278" s="20" t="s">
        <v>2913</v>
      </c>
      <c r="B2278" s="20" t="s">
        <v>2913</v>
      </c>
      <c r="C2278" s="20" t="s">
        <v>2913</v>
      </c>
      <c r="D2278" s="378" t="s">
        <v>3147</v>
      </c>
      <c r="E2278" s="384" t="s">
        <v>2920</v>
      </c>
      <c r="F2278" s="384" t="s">
        <v>2921</v>
      </c>
      <c r="G2278" s="385" t="s">
        <v>281</v>
      </c>
      <c r="H2278" s="385" t="s">
        <v>2922</v>
      </c>
      <c r="I2278" s="378">
        <v>1</v>
      </c>
      <c r="J2278" s="385" t="s">
        <v>163</v>
      </c>
      <c r="K2278" s="378" t="s">
        <v>2923</v>
      </c>
      <c r="L2278" s="378" t="s">
        <v>2848</v>
      </c>
      <c r="M2278" s="380">
        <v>2400</v>
      </c>
      <c r="N2278" s="380"/>
      <c r="O2278" s="380"/>
      <c r="P2278" s="380"/>
      <c r="Q2278" s="381">
        <v>76.599999999999994</v>
      </c>
      <c r="R2278" s="381">
        <v>76.5</v>
      </c>
      <c r="S2278" s="381">
        <v>6.4399999999999999E-2</v>
      </c>
      <c r="T2278" s="381">
        <v>8.7499999999999999E-5</v>
      </c>
      <c r="U2278" s="381">
        <v>0</v>
      </c>
      <c r="V2278" s="382">
        <v>76.564487500000013</v>
      </c>
      <c r="W2278" s="382">
        <v>0</v>
      </c>
      <c r="X2278" s="381">
        <v>7.6599999999999988E-2</v>
      </c>
      <c r="Y2278" s="381">
        <v>7.6499999999999999E-2</v>
      </c>
      <c r="Z2278" s="381">
        <v>6.4399999999999993E-5</v>
      </c>
      <c r="AA2278" s="381">
        <v>8.7499999999999996E-8</v>
      </c>
      <c r="AB2278" s="381">
        <v>0</v>
      </c>
      <c r="AC2278" s="382">
        <v>7.65644875E-2</v>
      </c>
      <c r="AD2278" s="382">
        <v>0</v>
      </c>
      <c r="AE2278" s="381" t="s">
        <v>168</v>
      </c>
    </row>
    <row r="2279" spans="1:31" ht="15" customHeight="1" x14ac:dyDescent="0.25">
      <c r="A2279" s="20" t="s">
        <v>2913</v>
      </c>
      <c r="B2279" s="20" t="s">
        <v>2913</v>
      </c>
      <c r="C2279" s="20" t="s">
        <v>2913</v>
      </c>
      <c r="D2279" s="378" t="s">
        <v>3148</v>
      </c>
      <c r="E2279" s="384" t="s">
        <v>2920</v>
      </c>
      <c r="F2279" s="384" t="s">
        <v>2921</v>
      </c>
      <c r="G2279" s="385" t="s">
        <v>281</v>
      </c>
      <c r="H2279" s="385" t="s">
        <v>2922</v>
      </c>
      <c r="I2279" s="378">
        <v>1</v>
      </c>
      <c r="J2279" s="385" t="s">
        <v>163</v>
      </c>
      <c r="K2279" s="378" t="s">
        <v>2923</v>
      </c>
      <c r="L2279" s="378" t="s">
        <v>2848</v>
      </c>
      <c r="M2279" s="380">
        <v>2400</v>
      </c>
      <c r="N2279" s="380"/>
      <c r="O2279" s="380"/>
      <c r="P2279" s="380"/>
      <c r="Q2279" s="381">
        <v>74.8</v>
      </c>
      <c r="R2279" s="381">
        <v>74.7</v>
      </c>
      <c r="S2279" s="381">
        <v>6.4899999999999999E-2</v>
      </c>
      <c r="T2279" s="381">
        <v>1.13E-4</v>
      </c>
      <c r="U2279" s="381">
        <v>0</v>
      </c>
      <c r="V2279" s="382">
        <v>74.765012999999996</v>
      </c>
      <c r="W2279" s="382">
        <v>0</v>
      </c>
      <c r="X2279" s="381">
        <v>7.4799999999999991E-2</v>
      </c>
      <c r="Y2279" s="381">
        <v>7.4700000000000003E-2</v>
      </c>
      <c r="Z2279" s="381">
        <v>6.4900000000000005E-5</v>
      </c>
      <c r="AA2279" s="381">
        <v>1.1299999999999999E-7</v>
      </c>
      <c r="AB2279" s="381">
        <v>0</v>
      </c>
      <c r="AC2279" s="382">
        <v>7.4765013000000005E-2</v>
      </c>
      <c r="AD2279" s="382">
        <v>0</v>
      </c>
      <c r="AE2279" s="381" t="s">
        <v>168</v>
      </c>
    </row>
    <row r="2280" spans="1:31" ht="15" customHeight="1" x14ac:dyDescent="0.25">
      <c r="A2280" s="20" t="s">
        <v>2913</v>
      </c>
      <c r="B2280" s="20" t="s">
        <v>2913</v>
      </c>
      <c r="C2280" s="20" t="s">
        <v>2913</v>
      </c>
      <c r="D2280" s="378" t="s">
        <v>3149</v>
      </c>
      <c r="E2280" s="384" t="s">
        <v>2920</v>
      </c>
      <c r="F2280" s="384" t="s">
        <v>2921</v>
      </c>
      <c r="G2280" s="385" t="s">
        <v>316</v>
      </c>
      <c r="H2280" s="385" t="s">
        <v>2922</v>
      </c>
      <c r="I2280" s="378">
        <v>1</v>
      </c>
      <c r="J2280" s="385" t="s">
        <v>163</v>
      </c>
      <c r="K2280" s="378" t="s">
        <v>2923</v>
      </c>
      <c r="L2280" s="378" t="s">
        <v>2848</v>
      </c>
      <c r="M2280" s="380">
        <v>2400</v>
      </c>
      <c r="N2280" s="380"/>
      <c r="O2280" s="380"/>
      <c r="P2280" s="380"/>
      <c r="Q2280" s="381">
        <v>63</v>
      </c>
      <c r="R2280" s="381">
        <v>62.9</v>
      </c>
      <c r="S2280" s="381">
        <v>7.0199999999999999E-2</v>
      </c>
      <c r="T2280" s="381">
        <v>7.2100000000000004E-5</v>
      </c>
      <c r="U2280" s="381">
        <v>0</v>
      </c>
      <c r="V2280" s="382">
        <v>62.970272099999995</v>
      </c>
      <c r="W2280" s="382">
        <v>0</v>
      </c>
      <c r="X2280" s="381">
        <v>6.3E-2</v>
      </c>
      <c r="Y2280" s="381">
        <v>6.2899999999999998E-2</v>
      </c>
      <c r="Z2280" s="381">
        <v>7.0199999999999999E-5</v>
      </c>
      <c r="AA2280" s="381">
        <v>7.2100000000000004E-8</v>
      </c>
      <c r="AB2280" s="381">
        <v>0</v>
      </c>
      <c r="AC2280" s="382">
        <v>6.2970272100000002E-2</v>
      </c>
      <c r="AD2280" s="382">
        <v>0</v>
      </c>
      <c r="AE2280" s="381" t="s">
        <v>168</v>
      </c>
    </row>
    <row r="2281" spans="1:31" ht="15" customHeight="1" x14ac:dyDescent="0.25">
      <c r="A2281" s="20" t="s">
        <v>2913</v>
      </c>
      <c r="B2281" s="20" t="s">
        <v>2913</v>
      </c>
      <c r="C2281" s="20" t="s">
        <v>2913</v>
      </c>
      <c r="D2281" s="378" t="s">
        <v>3150</v>
      </c>
      <c r="E2281" s="384" t="s">
        <v>2920</v>
      </c>
      <c r="F2281" s="384" t="s">
        <v>2921</v>
      </c>
      <c r="G2281" s="385" t="s">
        <v>316</v>
      </c>
      <c r="H2281" s="385" t="s">
        <v>2922</v>
      </c>
      <c r="I2281" s="378">
        <v>1</v>
      </c>
      <c r="J2281" s="385" t="s">
        <v>163</v>
      </c>
      <c r="K2281" s="378" t="s">
        <v>2923</v>
      </c>
      <c r="L2281" s="378" t="s">
        <v>2848</v>
      </c>
      <c r="M2281" s="380">
        <v>2400</v>
      </c>
      <c r="N2281" s="380"/>
      <c r="O2281" s="380"/>
      <c r="P2281" s="380"/>
      <c r="Q2281" s="381">
        <v>65.2</v>
      </c>
      <c r="R2281" s="381">
        <v>65.099999999999994</v>
      </c>
      <c r="S2281" s="381">
        <v>6.8599999999999994E-2</v>
      </c>
      <c r="T2281" s="381">
        <v>9.4699999999999998E-5</v>
      </c>
      <c r="U2281" s="381">
        <v>0</v>
      </c>
      <c r="V2281" s="382">
        <v>65.168694700000003</v>
      </c>
      <c r="W2281" s="382">
        <v>0</v>
      </c>
      <c r="X2281" s="381">
        <v>6.5200000000000008E-2</v>
      </c>
      <c r="Y2281" s="381">
        <v>6.5099999999999991E-2</v>
      </c>
      <c r="Z2281" s="381">
        <v>6.86E-5</v>
      </c>
      <c r="AA2281" s="381">
        <v>9.4699999999999994E-8</v>
      </c>
      <c r="AB2281" s="381">
        <v>0</v>
      </c>
      <c r="AC2281" s="382">
        <v>6.5168694699999988E-2</v>
      </c>
      <c r="AD2281" s="382">
        <v>0</v>
      </c>
      <c r="AE2281" s="381" t="s">
        <v>168</v>
      </c>
    </row>
    <row r="2282" spans="1:31" ht="15" customHeight="1" x14ac:dyDescent="0.25">
      <c r="A2282" s="20" t="s">
        <v>2913</v>
      </c>
      <c r="B2282" s="20" t="s">
        <v>2913</v>
      </c>
      <c r="C2282" s="20" t="s">
        <v>2913</v>
      </c>
      <c r="D2282" s="378" t="s">
        <v>3151</v>
      </c>
      <c r="E2282" s="384" t="s">
        <v>2920</v>
      </c>
      <c r="F2282" s="384" t="s">
        <v>2921</v>
      </c>
      <c r="G2282" s="385" t="s">
        <v>179</v>
      </c>
      <c r="H2282" s="385" t="s">
        <v>2922</v>
      </c>
      <c r="I2282" s="378">
        <v>1</v>
      </c>
      <c r="J2282" s="385" t="s">
        <v>163</v>
      </c>
      <c r="K2282" s="378" t="s">
        <v>2923</v>
      </c>
      <c r="L2282" s="378" t="s">
        <v>2848</v>
      </c>
      <c r="M2282" s="380">
        <v>2400</v>
      </c>
      <c r="N2282" s="380"/>
      <c r="O2282" s="380"/>
      <c r="P2282" s="380"/>
      <c r="Q2282" s="381">
        <v>78.7</v>
      </c>
      <c r="R2282" s="381">
        <v>78.599999999999994</v>
      </c>
      <c r="S2282" s="381">
        <v>6.1699999999999998E-2</v>
      </c>
      <c r="T2282" s="381">
        <v>1.05E-4</v>
      </c>
      <c r="U2282" s="381">
        <v>0</v>
      </c>
      <c r="V2282" s="382">
        <v>78.661805000000001</v>
      </c>
      <c r="W2282" s="382">
        <v>0</v>
      </c>
      <c r="X2282" s="381">
        <v>7.8700000000000006E-2</v>
      </c>
      <c r="Y2282" s="381">
        <v>7.8599999999999989E-2</v>
      </c>
      <c r="Z2282" s="381">
        <v>6.1699999999999995E-5</v>
      </c>
      <c r="AA2282" s="381">
        <v>1.05E-7</v>
      </c>
      <c r="AB2282" s="381">
        <v>0</v>
      </c>
      <c r="AC2282" s="382">
        <v>7.8661804999999987E-2</v>
      </c>
      <c r="AD2282" s="382">
        <v>0</v>
      </c>
      <c r="AE2282" s="381" t="s">
        <v>168</v>
      </c>
    </row>
    <row r="2283" spans="1:31" ht="15" customHeight="1" x14ac:dyDescent="0.25">
      <c r="A2283" s="20" t="s">
        <v>2913</v>
      </c>
      <c r="B2283" s="20" t="s">
        <v>2913</v>
      </c>
      <c r="C2283" s="20" t="s">
        <v>2913</v>
      </c>
      <c r="D2283" s="378" t="s">
        <v>3152</v>
      </c>
      <c r="E2283" s="384" t="s">
        <v>2932</v>
      </c>
      <c r="F2283" s="384" t="s">
        <v>2933</v>
      </c>
      <c r="G2283" s="385" t="s">
        <v>179</v>
      </c>
      <c r="H2283" s="385" t="s">
        <v>2934</v>
      </c>
      <c r="I2283" s="378">
        <v>1</v>
      </c>
      <c r="J2283" s="385" t="s">
        <v>163</v>
      </c>
      <c r="K2283" s="378" t="s">
        <v>2935</v>
      </c>
      <c r="L2283" s="378" t="s">
        <v>2848</v>
      </c>
      <c r="M2283" s="380">
        <v>2400</v>
      </c>
      <c r="N2283" s="380"/>
      <c r="O2283" s="380"/>
      <c r="P2283" s="380"/>
      <c r="Q2283" s="381">
        <v>60.8</v>
      </c>
      <c r="R2283" s="381">
        <v>60.6</v>
      </c>
      <c r="S2283" s="381">
        <v>0.17</v>
      </c>
      <c r="T2283" s="381">
        <v>1.3200000000000001E-4</v>
      </c>
      <c r="U2283" s="381">
        <v>0</v>
      </c>
      <c r="V2283" s="382">
        <v>60.770132000000004</v>
      </c>
      <c r="W2283" s="382">
        <v>0</v>
      </c>
      <c r="X2283" s="381">
        <v>6.08E-2</v>
      </c>
      <c r="Y2283" s="381">
        <v>6.0600000000000001E-2</v>
      </c>
      <c r="Z2283" s="381">
        <v>1.7000000000000001E-4</v>
      </c>
      <c r="AA2283" s="381">
        <v>1.3200000000000002E-7</v>
      </c>
      <c r="AB2283" s="381">
        <v>0</v>
      </c>
      <c r="AC2283" s="382">
        <v>6.0770132000000004E-2</v>
      </c>
      <c r="AD2283" s="382">
        <v>0</v>
      </c>
      <c r="AE2283" s="381" t="s">
        <v>168</v>
      </c>
    </row>
    <row r="2284" spans="1:31" ht="15" customHeight="1" x14ac:dyDescent="0.25">
      <c r="A2284" s="20" t="s">
        <v>2913</v>
      </c>
      <c r="B2284" s="20" t="s">
        <v>2913</v>
      </c>
      <c r="C2284" s="20" t="s">
        <v>2913</v>
      </c>
      <c r="D2284" s="378" t="s">
        <v>3153</v>
      </c>
      <c r="E2284" s="384" t="s">
        <v>2920</v>
      </c>
      <c r="F2284" s="384" t="s">
        <v>2921</v>
      </c>
      <c r="G2284" s="385" t="s">
        <v>281</v>
      </c>
      <c r="H2284" s="385" t="s">
        <v>2922</v>
      </c>
      <c r="I2284" s="378">
        <v>1</v>
      </c>
      <c r="J2284" s="385" t="s">
        <v>163</v>
      </c>
      <c r="K2284" s="378" t="s">
        <v>2923</v>
      </c>
      <c r="L2284" s="378" t="s">
        <v>2848</v>
      </c>
      <c r="M2284" s="380">
        <v>2400</v>
      </c>
      <c r="N2284" s="380"/>
      <c r="O2284" s="380"/>
      <c r="P2284" s="380"/>
      <c r="Q2284" s="381">
        <v>67.8</v>
      </c>
      <c r="R2284" s="381">
        <v>67.7</v>
      </c>
      <c r="S2284" s="381">
        <v>6.5100000000000005E-2</v>
      </c>
      <c r="T2284" s="381">
        <v>1.17E-4</v>
      </c>
      <c r="U2284" s="381">
        <v>0</v>
      </c>
      <c r="V2284" s="382">
        <v>67.765217000000007</v>
      </c>
      <c r="W2284" s="382">
        <v>0</v>
      </c>
      <c r="X2284" s="381">
        <v>6.7799999999999999E-2</v>
      </c>
      <c r="Y2284" s="381">
        <v>6.7699999999999996E-2</v>
      </c>
      <c r="Z2284" s="381">
        <v>6.510000000000001E-5</v>
      </c>
      <c r="AA2284" s="381">
        <v>1.17E-7</v>
      </c>
      <c r="AB2284" s="381">
        <v>0</v>
      </c>
      <c r="AC2284" s="382">
        <v>6.7765216999999989E-2</v>
      </c>
      <c r="AD2284" s="382">
        <v>0</v>
      </c>
      <c r="AE2284" s="381" t="s">
        <v>168</v>
      </c>
    </row>
    <row r="2285" spans="1:31" ht="15" customHeight="1" x14ac:dyDescent="0.25">
      <c r="A2285" s="20" t="s">
        <v>2913</v>
      </c>
      <c r="B2285" s="20" t="s">
        <v>2913</v>
      </c>
      <c r="C2285" s="20" t="s">
        <v>2913</v>
      </c>
      <c r="D2285" s="378" t="s">
        <v>3154</v>
      </c>
      <c r="E2285" s="384" t="s">
        <v>2920</v>
      </c>
      <c r="F2285" s="384" t="s">
        <v>2921</v>
      </c>
      <c r="G2285" s="385" t="s">
        <v>179</v>
      </c>
      <c r="H2285" s="385" t="s">
        <v>2922</v>
      </c>
      <c r="I2285" s="378">
        <v>1</v>
      </c>
      <c r="J2285" s="385" t="s">
        <v>163</v>
      </c>
      <c r="K2285" s="378" t="s">
        <v>2923</v>
      </c>
      <c r="L2285" s="378" t="s">
        <v>2848</v>
      </c>
      <c r="M2285" s="380">
        <v>2400</v>
      </c>
      <c r="N2285" s="380"/>
      <c r="O2285" s="380"/>
      <c r="P2285" s="380"/>
      <c r="Q2285" s="381">
        <v>77.599999999999994</v>
      </c>
      <c r="R2285" s="381">
        <v>77.5</v>
      </c>
      <c r="S2285" s="381">
        <v>5.9799999999999999E-2</v>
      </c>
      <c r="T2285" s="381">
        <v>1.05E-4</v>
      </c>
      <c r="U2285" s="381">
        <v>0</v>
      </c>
      <c r="V2285" s="382">
        <v>77.559905000000001</v>
      </c>
      <c r="W2285" s="382">
        <v>0</v>
      </c>
      <c r="X2285" s="381">
        <v>7.7599999999999988E-2</v>
      </c>
      <c r="Y2285" s="381">
        <v>7.7499999999999999E-2</v>
      </c>
      <c r="Z2285" s="381">
        <v>5.9799999999999997E-5</v>
      </c>
      <c r="AA2285" s="381">
        <v>1.05E-7</v>
      </c>
      <c r="AB2285" s="381">
        <v>0</v>
      </c>
      <c r="AC2285" s="382">
        <v>7.7559904999999998E-2</v>
      </c>
      <c r="AD2285" s="382">
        <v>0</v>
      </c>
      <c r="AE2285" s="381" t="s">
        <v>168</v>
      </c>
    </row>
    <row r="2286" spans="1:31" ht="15" customHeight="1" x14ac:dyDescent="0.25">
      <c r="A2286" s="20" t="s">
        <v>2913</v>
      </c>
      <c r="B2286" s="20" t="s">
        <v>2913</v>
      </c>
      <c r="C2286" s="20" t="s">
        <v>2913</v>
      </c>
      <c r="D2286" s="378" t="s">
        <v>3155</v>
      </c>
      <c r="E2286" s="384" t="s">
        <v>2932</v>
      </c>
      <c r="F2286" s="384" t="s">
        <v>2933</v>
      </c>
      <c r="G2286" s="385" t="s">
        <v>281</v>
      </c>
      <c r="H2286" s="385" t="s">
        <v>2942</v>
      </c>
      <c r="I2286" s="378">
        <v>1</v>
      </c>
      <c r="J2286" s="385" t="s">
        <v>163</v>
      </c>
      <c r="K2286" s="378" t="s">
        <v>2943</v>
      </c>
      <c r="L2286" s="378" t="s">
        <v>2848</v>
      </c>
      <c r="M2286" s="380">
        <v>2400</v>
      </c>
      <c r="N2286" s="380"/>
      <c r="O2286" s="380"/>
      <c r="P2286" s="380"/>
      <c r="Q2286" s="381">
        <v>80.400000000000006</v>
      </c>
      <c r="R2286" s="381">
        <v>80.099999999999994</v>
      </c>
      <c r="S2286" s="381">
        <v>0.25800000000000001</v>
      </c>
      <c r="T2286" s="381">
        <v>1.1E-4</v>
      </c>
      <c r="U2286" s="381">
        <v>0</v>
      </c>
      <c r="V2286" s="382">
        <v>80.358109999999996</v>
      </c>
      <c r="W2286" s="382">
        <v>0</v>
      </c>
      <c r="X2286" s="381">
        <v>8.0399999999999999E-2</v>
      </c>
      <c r="Y2286" s="381">
        <v>8.0099999999999991E-2</v>
      </c>
      <c r="Z2286" s="381">
        <v>2.5799999999999998E-4</v>
      </c>
      <c r="AA2286" s="381">
        <v>1.1000000000000001E-7</v>
      </c>
      <c r="AB2286" s="381">
        <v>0</v>
      </c>
      <c r="AC2286" s="382">
        <v>8.0358109999999983E-2</v>
      </c>
      <c r="AD2286" s="382">
        <v>0</v>
      </c>
      <c r="AE2286" s="381" t="s">
        <v>168</v>
      </c>
    </row>
    <row r="2287" spans="1:31" ht="15" customHeight="1" x14ac:dyDescent="0.25">
      <c r="A2287" s="20" t="s">
        <v>2913</v>
      </c>
      <c r="B2287" s="20" t="s">
        <v>2913</v>
      </c>
      <c r="C2287" s="20" t="s">
        <v>2913</v>
      </c>
      <c r="D2287" s="378" t="s">
        <v>3156</v>
      </c>
      <c r="E2287" s="384" t="s">
        <v>2920</v>
      </c>
      <c r="F2287" s="384" t="s">
        <v>2921</v>
      </c>
      <c r="G2287" s="385" t="s">
        <v>281</v>
      </c>
      <c r="H2287" s="385" t="s">
        <v>2922</v>
      </c>
      <c r="I2287" s="378">
        <v>1</v>
      </c>
      <c r="J2287" s="385" t="s">
        <v>163</v>
      </c>
      <c r="K2287" s="378" t="s">
        <v>2923</v>
      </c>
      <c r="L2287" s="378" t="s">
        <v>2848</v>
      </c>
      <c r="M2287" s="380">
        <v>2400</v>
      </c>
      <c r="N2287" s="380"/>
      <c r="O2287" s="380"/>
      <c r="P2287" s="380"/>
      <c r="Q2287" s="381">
        <v>73.2</v>
      </c>
      <c r="R2287" s="381">
        <v>73.099999999999994</v>
      </c>
      <c r="S2287" s="381">
        <v>6.1499999999999999E-2</v>
      </c>
      <c r="T2287" s="381">
        <v>7.8700000000000002E-5</v>
      </c>
      <c r="U2287" s="381">
        <v>0</v>
      </c>
      <c r="V2287" s="382">
        <v>73.161578699999993</v>
      </c>
      <c r="W2287" s="382">
        <v>0</v>
      </c>
      <c r="X2287" s="381">
        <v>7.3200000000000001E-2</v>
      </c>
      <c r="Y2287" s="381">
        <v>7.3099999999999998E-2</v>
      </c>
      <c r="Z2287" s="381">
        <v>6.1500000000000004E-5</v>
      </c>
      <c r="AA2287" s="381">
        <v>7.8699999999999997E-8</v>
      </c>
      <c r="AB2287" s="381">
        <v>0</v>
      </c>
      <c r="AC2287" s="382">
        <v>7.3161578700000007E-2</v>
      </c>
      <c r="AD2287" s="382">
        <v>0</v>
      </c>
      <c r="AE2287" s="381" t="s">
        <v>168</v>
      </c>
    </row>
    <row r="2288" spans="1:31" ht="15" customHeight="1" x14ac:dyDescent="0.25">
      <c r="A2288" s="20" t="s">
        <v>2913</v>
      </c>
      <c r="B2288" s="20" t="s">
        <v>2913</v>
      </c>
      <c r="C2288" s="20" t="s">
        <v>2913</v>
      </c>
      <c r="D2288" s="378" t="s">
        <v>3157</v>
      </c>
      <c r="E2288" s="384" t="s">
        <v>2932</v>
      </c>
      <c r="F2288" s="384" t="s">
        <v>2933</v>
      </c>
      <c r="G2288" s="385" t="s">
        <v>281</v>
      </c>
      <c r="H2288" s="385" t="s">
        <v>2942</v>
      </c>
      <c r="I2288" s="378">
        <v>1</v>
      </c>
      <c r="J2288" s="385" t="s">
        <v>163</v>
      </c>
      <c r="K2288" s="378" t="s">
        <v>2943</v>
      </c>
      <c r="L2288" s="378" t="s">
        <v>2848</v>
      </c>
      <c r="M2288" s="380">
        <v>2400</v>
      </c>
      <c r="N2288" s="380"/>
      <c r="O2288" s="380"/>
      <c r="P2288" s="380"/>
      <c r="Q2288" s="381">
        <v>69.5</v>
      </c>
      <c r="R2288" s="381">
        <v>69.2</v>
      </c>
      <c r="S2288" s="381">
        <v>0.26300000000000001</v>
      </c>
      <c r="T2288" s="381">
        <v>9.1799999999999995E-5</v>
      </c>
      <c r="U2288" s="381">
        <v>0</v>
      </c>
      <c r="V2288" s="382">
        <v>69.463091800000015</v>
      </c>
      <c r="W2288" s="382">
        <v>0</v>
      </c>
      <c r="X2288" s="381">
        <v>6.9500000000000006E-2</v>
      </c>
      <c r="Y2288" s="381">
        <v>6.9199999999999998E-2</v>
      </c>
      <c r="Z2288" s="381">
        <v>2.63E-4</v>
      </c>
      <c r="AA2288" s="381">
        <v>9.1800000000000001E-8</v>
      </c>
      <c r="AB2288" s="381">
        <v>0</v>
      </c>
      <c r="AC2288" s="382">
        <v>6.9463091800000001E-2</v>
      </c>
      <c r="AD2288" s="382">
        <v>0</v>
      </c>
      <c r="AE2288" s="381" t="s">
        <v>168</v>
      </c>
    </row>
    <row r="2289" spans="1:31" ht="15" customHeight="1" x14ac:dyDescent="0.25">
      <c r="A2289" s="20" t="s">
        <v>2913</v>
      </c>
      <c r="B2289" s="20" t="s">
        <v>2913</v>
      </c>
      <c r="C2289" s="20" t="s">
        <v>2913</v>
      </c>
      <c r="D2289" s="378" t="s">
        <v>3158</v>
      </c>
      <c r="E2289" s="384" t="s">
        <v>2920</v>
      </c>
      <c r="F2289" s="384" t="s">
        <v>2921</v>
      </c>
      <c r="G2289" s="385" t="s">
        <v>193</v>
      </c>
      <c r="H2289" s="385" t="s">
        <v>2922</v>
      </c>
      <c r="I2289" s="378">
        <v>1</v>
      </c>
      <c r="J2289" s="385" t="s">
        <v>163</v>
      </c>
      <c r="K2289" s="378" t="s">
        <v>2923</v>
      </c>
      <c r="L2289" s="378" t="s">
        <v>2848</v>
      </c>
      <c r="M2289" s="380">
        <v>2400</v>
      </c>
      <c r="N2289" s="380"/>
      <c r="O2289" s="380"/>
      <c r="P2289" s="380"/>
      <c r="Q2289" s="381">
        <v>80</v>
      </c>
      <c r="R2289" s="381">
        <v>79.900000000000006</v>
      </c>
      <c r="S2289" s="381">
        <v>5.6599999999999998E-2</v>
      </c>
      <c r="T2289" s="381">
        <v>1.05E-4</v>
      </c>
      <c r="U2289" s="381">
        <v>0</v>
      </c>
      <c r="V2289" s="382">
        <v>79.956705000000014</v>
      </c>
      <c r="W2289" s="382">
        <v>0</v>
      </c>
      <c r="X2289" s="381">
        <v>0.08</v>
      </c>
      <c r="Y2289" s="381">
        <v>7.9899999999999999E-2</v>
      </c>
      <c r="Z2289" s="381">
        <v>5.66E-5</v>
      </c>
      <c r="AA2289" s="381">
        <v>1.05E-7</v>
      </c>
      <c r="AB2289" s="381">
        <v>0</v>
      </c>
      <c r="AC2289" s="382">
        <v>7.9956705000000003E-2</v>
      </c>
      <c r="AD2289" s="382">
        <v>0</v>
      </c>
      <c r="AE2289" s="381" t="s">
        <v>168</v>
      </c>
    </row>
    <row r="2290" spans="1:31" ht="15" customHeight="1" x14ac:dyDescent="0.25">
      <c r="A2290" s="20" t="s">
        <v>2913</v>
      </c>
      <c r="B2290" s="20" t="s">
        <v>2913</v>
      </c>
      <c r="C2290" s="20" t="s">
        <v>2913</v>
      </c>
      <c r="D2290" s="378" t="s">
        <v>3159</v>
      </c>
      <c r="E2290" s="384" t="s">
        <v>2920</v>
      </c>
      <c r="F2290" s="384" t="s">
        <v>2921</v>
      </c>
      <c r="G2290" s="385" t="s">
        <v>179</v>
      </c>
      <c r="H2290" s="385" t="s">
        <v>2922</v>
      </c>
      <c r="I2290" s="378">
        <v>1</v>
      </c>
      <c r="J2290" s="385" t="s">
        <v>163</v>
      </c>
      <c r="K2290" s="378" t="s">
        <v>2923</v>
      </c>
      <c r="L2290" s="378" t="s">
        <v>2848</v>
      </c>
      <c r="M2290" s="380">
        <v>2400</v>
      </c>
      <c r="N2290" s="380"/>
      <c r="O2290" s="380"/>
      <c r="P2290" s="380"/>
      <c r="Q2290" s="381">
        <v>77.599999999999994</v>
      </c>
      <c r="R2290" s="381">
        <v>77.5</v>
      </c>
      <c r="S2290" s="381">
        <v>5.7700000000000001E-2</v>
      </c>
      <c r="T2290" s="381">
        <v>1.12E-4</v>
      </c>
      <c r="U2290" s="381">
        <v>0</v>
      </c>
      <c r="V2290" s="382">
        <v>77.557811999999998</v>
      </c>
      <c r="W2290" s="382">
        <v>0</v>
      </c>
      <c r="X2290" s="381">
        <v>7.7599999999999988E-2</v>
      </c>
      <c r="Y2290" s="381">
        <v>7.7499999999999999E-2</v>
      </c>
      <c r="Z2290" s="381">
        <v>5.77E-5</v>
      </c>
      <c r="AA2290" s="381">
        <v>1.12E-7</v>
      </c>
      <c r="AB2290" s="381">
        <v>0</v>
      </c>
      <c r="AC2290" s="382">
        <v>7.755781199999999E-2</v>
      </c>
      <c r="AD2290" s="382">
        <v>0</v>
      </c>
      <c r="AE2290" s="381" t="s">
        <v>168</v>
      </c>
    </row>
    <row r="2291" spans="1:31" ht="15" customHeight="1" x14ac:dyDescent="0.25">
      <c r="A2291" s="20" t="s">
        <v>2913</v>
      </c>
      <c r="B2291" s="20" t="s">
        <v>2913</v>
      </c>
      <c r="C2291" s="20" t="s">
        <v>2913</v>
      </c>
      <c r="D2291" s="378" t="s">
        <v>3160</v>
      </c>
      <c r="E2291" s="384" t="s">
        <v>2920</v>
      </c>
      <c r="F2291" s="384" t="s">
        <v>2921</v>
      </c>
      <c r="G2291" s="385" t="s">
        <v>316</v>
      </c>
      <c r="H2291" s="385" t="s">
        <v>2922</v>
      </c>
      <c r="I2291" s="378">
        <v>1</v>
      </c>
      <c r="J2291" s="385" t="s">
        <v>163</v>
      </c>
      <c r="K2291" s="378" t="s">
        <v>2923</v>
      </c>
      <c r="L2291" s="378" t="s">
        <v>2848</v>
      </c>
      <c r="M2291" s="380">
        <v>2400</v>
      </c>
      <c r="N2291" s="380"/>
      <c r="O2291" s="380"/>
      <c r="P2291" s="380"/>
      <c r="Q2291" s="381">
        <v>63.5</v>
      </c>
      <c r="R2291" s="381">
        <v>63.4</v>
      </c>
      <c r="S2291" s="381">
        <v>6.5199999999999994E-2</v>
      </c>
      <c r="T2291" s="381">
        <v>9.7999999999999997E-5</v>
      </c>
      <c r="U2291" s="381">
        <v>0</v>
      </c>
      <c r="V2291" s="382">
        <v>63.465297999999997</v>
      </c>
      <c r="W2291" s="382">
        <v>0</v>
      </c>
      <c r="X2291" s="381">
        <v>6.3500000000000001E-2</v>
      </c>
      <c r="Y2291" s="381">
        <v>6.3399999999999998E-2</v>
      </c>
      <c r="Z2291" s="381">
        <v>6.5199999999999999E-5</v>
      </c>
      <c r="AA2291" s="381">
        <v>9.7999999999999991E-8</v>
      </c>
      <c r="AB2291" s="381">
        <v>0</v>
      </c>
      <c r="AC2291" s="382">
        <v>6.3465298000000003E-2</v>
      </c>
      <c r="AD2291" s="382">
        <v>0</v>
      </c>
      <c r="AE2291" s="381" t="s">
        <v>168</v>
      </c>
    </row>
    <row r="2292" spans="1:31" ht="15" customHeight="1" x14ac:dyDescent="0.25">
      <c r="A2292" s="20" t="s">
        <v>2913</v>
      </c>
      <c r="B2292" s="20" t="s">
        <v>2913</v>
      </c>
      <c r="C2292" s="20" t="s">
        <v>2913</v>
      </c>
      <c r="D2292" s="378" t="s">
        <v>3161</v>
      </c>
      <c r="E2292" s="384" t="s">
        <v>2932</v>
      </c>
      <c r="F2292" s="384" t="s">
        <v>2933</v>
      </c>
      <c r="G2292" s="385" t="s">
        <v>281</v>
      </c>
      <c r="H2292" s="385" t="s">
        <v>2942</v>
      </c>
      <c r="I2292" s="378">
        <v>1</v>
      </c>
      <c r="J2292" s="385" t="s">
        <v>163</v>
      </c>
      <c r="K2292" s="378" t="s">
        <v>2943</v>
      </c>
      <c r="L2292" s="378" t="s">
        <v>2848</v>
      </c>
      <c r="M2292" s="380">
        <v>2400</v>
      </c>
      <c r="N2292" s="380"/>
      <c r="O2292" s="380"/>
      <c r="P2292" s="380"/>
      <c r="Q2292" s="381">
        <v>81.7</v>
      </c>
      <c r="R2292" s="381">
        <v>81.400000000000006</v>
      </c>
      <c r="S2292" s="381">
        <v>0.255</v>
      </c>
      <c r="T2292" s="381">
        <v>1.17E-4</v>
      </c>
      <c r="U2292" s="381">
        <v>0</v>
      </c>
      <c r="V2292" s="382">
        <v>81.655117000000004</v>
      </c>
      <c r="W2292" s="382">
        <v>0</v>
      </c>
      <c r="X2292" s="381">
        <v>8.1700000000000009E-2</v>
      </c>
      <c r="Y2292" s="381">
        <v>8.14E-2</v>
      </c>
      <c r="Z2292" s="381">
        <v>2.5500000000000002E-4</v>
      </c>
      <c r="AA2292" s="381">
        <v>1.17E-7</v>
      </c>
      <c r="AB2292" s="381">
        <v>0</v>
      </c>
      <c r="AC2292" s="382">
        <v>8.1655116999999999E-2</v>
      </c>
      <c r="AD2292" s="382">
        <v>0</v>
      </c>
      <c r="AE2292" s="381" t="s">
        <v>168</v>
      </c>
    </row>
    <row r="2293" spans="1:31" ht="15" customHeight="1" x14ac:dyDescent="0.25">
      <c r="A2293" s="20" t="s">
        <v>2913</v>
      </c>
      <c r="B2293" s="20" t="s">
        <v>2913</v>
      </c>
      <c r="C2293" s="20" t="s">
        <v>2913</v>
      </c>
      <c r="D2293" s="378" t="s">
        <v>3162</v>
      </c>
      <c r="E2293" s="384" t="s">
        <v>2920</v>
      </c>
      <c r="F2293" s="384" t="s">
        <v>2921</v>
      </c>
      <c r="G2293" s="385" t="s">
        <v>316</v>
      </c>
      <c r="H2293" s="385" t="s">
        <v>2922</v>
      </c>
      <c r="I2293" s="378">
        <v>1</v>
      </c>
      <c r="J2293" s="385" t="s">
        <v>163</v>
      </c>
      <c r="K2293" s="378" t="s">
        <v>2923</v>
      </c>
      <c r="L2293" s="378" t="s">
        <v>2848</v>
      </c>
      <c r="M2293" s="380">
        <v>2400</v>
      </c>
      <c r="N2293" s="380"/>
      <c r="O2293" s="380"/>
      <c r="P2293" s="380"/>
      <c r="Q2293" s="381">
        <v>60.6</v>
      </c>
      <c r="R2293" s="381">
        <v>60.5</v>
      </c>
      <c r="S2293" s="381">
        <v>6.6100000000000006E-2</v>
      </c>
      <c r="T2293" s="381">
        <v>6.7199999999999994E-5</v>
      </c>
      <c r="U2293" s="381">
        <v>0</v>
      </c>
      <c r="V2293" s="382">
        <v>60.566167199999995</v>
      </c>
      <c r="W2293" s="382">
        <v>0</v>
      </c>
      <c r="X2293" s="381">
        <v>6.0600000000000001E-2</v>
      </c>
      <c r="Y2293" s="381">
        <v>6.0499999999999998E-2</v>
      </c>
      <c r="Z2293" s="381">
        <v>6.6100000000000007E-5</v>
      </c>
      <c r="AA2293" s="381">
        <v>6.7199999999999993E-8</v>
      </c>
      <c r="AB2293" s="381">
        <v>0</v>
      </c>
      <c r="AC2293" s="382">
        <v>6.05661672E-2</v>
      </c>
      <c r="AD2293" s="382">
        <v>0</v>
      </c>
      <c r="AE2293" s="381" t="s">
        <v>168</v>
      </c>
    </row>
    <row r="2294" spans="1:31" ht="15" customHeight="1" x14ac:dyDescent="0.25">
      <c r="A2294" s="20" t="s">
        <v>2913</v>
      </c>
      <c r="B2294" s="20" t="s">
        <v>2913</v>
      </c>
      <c r="C2294" s="20" t="s">
        <v>2913</v>
      </c>
      <c r="D2294" s="378" t="s">
        <v>3163</v>
      </c>
      <c r="E2294" s="384" t="s">
        <v>2920</v>
      </c>
      <c r="F2294" s="384" t="s">
        <v>2921</v>
      </c>
      <c r="G2294" s="385" t="s">
        <v>281</v>
      </c>
      <c r="H2294" s="385" t="s">
        <v>2922</v>
      </c>
      <c r="I2294" s="378">
        <v>1</v>
      </c>
      <c r="J2294" s="385" t="s">
        <v>163</v>
      </c>
      <c r="K2294" s="378" t="s">
        <v>2923</v>
      </c>
      <c r="L2294" s="378" t="s">
        <v>2848</v>
      </c>
      <c r="M2294" s="380">
        <v>2400</v>
      </c>
      <c r="N2294" s="380"/>
      <c r="O2294" s="380"/>
      <c r="P2294" s="380"/>
      <c r="Q2294" s="381">
        <v>75.7</v>
      </c>
      <c r="R2294" s="381">
        <v>75.599999999999994</v>
      </c>
      <c r="S2294" s="381">
        <v>5.74E-2</v>
      </c>
      <c r="T2294" s="381">
        <v>8.3200000000000003E-5</v>
      </c>
      <c r="U2294" s="381">
        <v>0</v>
      </c>
      <c r="V2294" s="382">
        <v>75.657483200000001</v>
      </c>
      <c r="W2294" s="382">
        <v>0</v>
      </c>
      <c r="X2294" s="381">
        <v>7.5700000000000003E-2</v>
      </c>
      <c r="Y2294" s="381">
        <v>7.5600000000000001E-2</v>
      </c>
      <c r="Z2294" s="381">
        <v>5.7399999999999999E-5</v>
      </c>
      <c r="AA2294" s="381">
        <v>8.3200000000000004E-8</v>
      </c>
      <c r="AB2294" s="381">
        <v>0</v>
      </c>
      <c r="AC2294" s="382">
        <v>7.56574832E-2</v>
      </c>
      <c r="AD2294" s="382">
        <v>0</v>
      </c>
      <c r="AE2294" s="381" t="s">
        <v>168</v>
      </c>
    </row>
    <row r="2295" spans="1:31" ht="15" customHeight="1" x14ac:dyDescent="0.25">
      <c r="A2295" s="20" t="s">
        <v>2913</v>
      </c>
      <c r="B2295" s="20" t="s">
        <v>2913</v>
      </c>
      <c r="C2295" s="20" t="s">
        <v>2913</v>
      </c>
      <c r="D2295" s="378" t="s">
        <v>3164</v>
      </c>
      <c r="E2295" s="384" t="s">
        <v>2920</v>
      </c>
      <c r="F2295" s="384" t="s">
        <v>2921</v>
      </c>
      <c r="G2295" s="385" t="s">
        <v>193</v>
      </c>
      <c r="H2295" s="385" t="s">
        <v>2922</v>
      </c>
      <c r="I2295" s="378">
        <v>1</v>
      </c>
      <c r="J2295" s="385" t="s">
        <v>163</v>
      </c>
      <c r="K2295" s="378" t="s">
        <v>2923</v>
      </c>
      <c r="L2295" s="378" t="s">
        <v>2848</v>
      </c>
      <c r="M2295" s="380">
        <v>2400</v>
      </c>
      <c r="N2295" s="380"/>
      <c r="O2295" s="380"/>
      <c r="P2295" s="380"/>
      <c r="Q2295" s="381">
        <v>77.900000000000006</v>
      </c>
      <c r="R2295" s="381">
        <v>77.8</v>
      </c>
      <c r="S2295" s="381">
        <v>5.6000000000000001E-2</v>
      </c>
      <c r="T2295" s="381">
        <v>1E-4</v>
      </c>
      <c r="U2295" s="381">
        <v>0</v>
      </c>
      <c r="V2295" s="382">
        <v>77.856099999999998</v>
      </c>
      <c r="W2295" s="382">
        <v>0</v>
      </c>
      <c r="X2295" s="381">
        <v>7.7900000000000011E-2</v>
      </c>
      <c r="Y2295" s="381">
        <v>7.7799999999999994E-2</v>
      </c>
      <c r="Z2295" s="381">
        <v>5.5999999999999999E-5</v>
      </c>
      <c r="AA2295" s="381">
        <v>1.0000000000000001E-7</v>
      </c>
      <c r="AB2295" s="381">
        <v>0</v>
      </c>
      <c r="AC2295" s="382">
        <v>7.7856099999999998E-2</v>
      </c>
      <c r="AD2295" s="382">
        <v>0</v>
      </c>
      <c r="AE2295" s="381" t="s">
        <v>168</v>
      </c>
    </row>
    <row r="2296" spans="1:31" ht="15" customHeight="1" x14ac:dyDescent="0.25">
      <c r="A2296" s="20" t="s">
        <v>2913</v>
      </c>
      <c r="B2296" s="20" t="s">
        <v>2913</v>
      </c>
      <c r="C2296" s="20" t="s">
        <v>2913</v>
      </c>
      <c r="D2296" s="378" t="s">
        <v>3165</v>
      </c>
      <c r="E2296" s="384" t="s">
        <v>2920</v>
      </c>
      <c r="F2296" s="384" t="s">
        <v>2921</v>
      </c>
      <c r="G2296" s="385" t="s">
        <v>160</v>
      </c>
      <c r="H2296" s="385" t="s">
        <v>2922</v>
      </c>
      <c r="I2296" s="378">
        <v>1</v>
      </c>
      <c r="J2296" s="385" t="s">
        <v>163</v>
      </c>
      <c r="K2296" s="378" t="s">
        <v>2923</v>
      </c>
      <c r="L2296" s="378" t="s">
        <v>2848</v>
      </c>
      <c r="M2296" s="380">
        <v>2400</v>
      </c>
      <c r="N2296" s="380"/>
      <c r="O2296" s="380"/>
      <c r="P2296" s="380"/>
      <c r="Q2296" s="381">
        <v>72.3</v>
      </c>
      <c r="R2296" s="381">
        <v>72.2</v>
      </c>
      <c r="S2296" s="381">
        <v>5.7099999999999998E-2</v>
      </c>
      <c r="T2296" s="381">
        <v>1.0900000000000001E-4</v>
      </c>
      <c r="U2296" s="381">
        <v>0</v>
      </c>
      <c r="V2296" s="382">
        <v>72.257209000000003</v>
      </c>
      <c r="W2296" s="382">
        <v>0</v>
      </c>
      <c r="X2296" s="381">
        <v>7.2300000000000003E-2</v>
      </c>
      <c r="Y2296" s="381">
        <v>7.22E-2</v>
      </c>
      <c r="Z2296" s="381">
        <v>5.7099999999999999E-5</v>
      </c>
      <c r="AA2296" s="381">
        <v>1.0900000000000001E-7</v>
      </c>
      <c r="AB2296" s="381">
        <v>0</v>
      </c>
      <c r="AC2296" s="382">
        <v>7.2257209000000003E-2</v>
      </c>
      <c r="AD2296" s="382">
        <v>0</v>
      </c>
      <c r="AE2296" s="381" t="s">
        <v>168</v>
      </c>
    </row>
    <row r="2297" spans="1:31" ht="15" customHeight="1" x14ac:dyDescent="0.25">
      <c r="A2297" s="20" t="s">
        <v>2913</v>
      </c>
      <c r="B2297" s="20" t="s">
        <v>2913</v>
      </c>
      <c r="C2297" s="20" t="s">
        <v>2913</v>
      </c>
      <c r="D2297" s="378" t="s">
        <v>3166</v>
      </c>
      <c r="E2297" s="384" t="s">
        <v>2932</v>
      </c>
      <c r="F2297" s="384" t="s">
        <v>2933</v>
      </c>
      <c r="G2297" s="385" t="s">
        <v>179</v>
      </c>
      <c r="H2297" s="385" t="s">
        <v>2934</v>
      </c>
      <c r="I2297" s="378">
        <v>1</v>
      </c>
      <c r="J2297" s="385" t="s">
        <v>163</v>
      </c>
      <c r="K2297" s="378" t="s">
        <v>2935</v>
      </c>
      <c r="L2297" s="378" t="s">
        <v>2848</v>
      </c>
      <c r="M2297" s="380">
        <v>2400</v>
      </c>
      <c r="N2297" s="380"/>
      <c r="O2297" s="380"/>
      <c r="P2297" s="380"/>
      <c r="Q2297" s="381">
        <v>56.5</v>
      </c>
      <c r="R2297" s="381">
        <v>56.3</v>
      </c>
      <c r="S2297" s="381">
        <v>0.16600000000000001</v>
      </c>
      <c r="T2297" s="381">
        <v>1.13E-4</v>
      </c>
      <c r="U2297" s="381">
        <v>0</v>
      </c>
      <c r="V2297" s="382">
        <v>56.466112999999993</v>
      </c>
      <c r="W2297" s="382">
        <v>0</v>
      </c>
      <c r="X2297" s="381">
        <v>5.6500000000000002E-2</v>
      </c>
      <c r="Y2297" s="381">
        <v>5.6299999999999996E-2</v>
      </c>
      <c r="Z2297" s="381">
        <v>1.66E-4</v>
      </c>
      <c r="AA2297" s="381">
        <v>1.1299999999999999E-7</v>
      </c>
      <c r="AB2297" s="381">
        <v>0</v>
      </c>
      <c r="AC2297" s="382">
        <v>5.6466112999999998E-2</v>
      </c>
      <c r="AD2297" s="382">
        <v>0</v>
      </c>
      <c r="AE2297" s="381" t="s">
        <v>168</v>
      </c>
    </row>
    <row r="2298" spans="1:31" ht="15" customHeight="1" x14ac:dyDescent="0.25">
      <c r="A2298" s="20" t="s">
        <v>2913</v>
      </c>
      <c r="B2298" s="20" t="s">
        <v>2913</v>
      </c>
      <c r="C2298" s="20" t="s">
        <v>2913</v>
      </c>
      <c r="D2298" s="378" t="s">
        <v>3167</v>
      </c>
      <c r="E2298" s="384">
        <v>44626</v>
      </c>
      <c r="F2298" s="384">
        <v>46452</v>
      </c>
      <c r="G2298" s="385" t="s">
        <v>281</v>
      </c>
      <c r="H2298" s="385" t="s">
        <v>2915</v>
      </c>
      <c r="I2298" s="378">
        <v>0</v>
      </c>
      <c r="J2298" s="385" t="s">
        <v>163</v>
      </c>
      <c r="K2298" s="378" t="s">
        <v>2916</v>
      </c>
      <c r="L2298" s="378" t="s">
        <v>2848</v>
      </c>
      <c r="M2298" s="380">
        <v>2400</v>
      </c>
      <c r="N2298" s="380"/>
      <c r="O2298" s="380"/>
      <c r="P2298" s="380"/>
      <c r="Q2298" s="381">
        <v>63</v>
      </c>
      <c r="R2298" s="381">
        <v>62.9</v>
      </c>
      <c r="S2298" s="381">
        <v>0.06</v>
      </c>
      <c r="T2298" s="381">
        <v>5.1099999999999995E-4</v>
      </c>
      <c r="U2298" s="381">
        <v>0</v>
      </c>
      <c r="V2298" s="382">
        <v>62.960511000000004</v>
      </c>
      <c r="W2298" s="382">
        <v>0</v>
      </c>
      <c r="X2298" s="381">
        <v>6.3E-2</v>
      </c>
      <c r="Y2298" s="381">
        <v>6.2899999999999998E-2</v>
      </c>
      <c r="Z2298" s="381">
        <v>5.9999999999999995E-5</v>
      </c>
      <c r="AA2298" s="381">
        <v>5.1099999999999996E-7</v>
      </c>
      <c r="AB2298" s="381">
        <v>0</v>
      </c>
      <c r="AC2298" s="382">
        <v>6.2960510999999997E-2</v>
      </c>
      <c r="AD2298" s="382">
        <v>0</v>
      </c>
      <c r="AE2298" s="381" t="s">
        <v>168</v>
      </c>
    </row>
    <row r="2299" spans="1:31" ht="15" customHeight="1" x14ac:dyDescent="0.25">
      <c r="A2299" s="20" t="s">
        <v>2913</v>
      </c>
      <c r="B2299" s="20" t="s">
        <v>2913</v>
      </c>
      <c r="C2299" s="20" t="s">
        <v>2913</v>
      </c>
      <c r="D2299" s="378" t="s">
        <v>3168</v>
      </c>
      <c r="E2299" s="384" t="s">
        <v>2920</v>
      </c>
      <c r="F2299" s="384" t="s">
        <v>2921</v>
      </c>
      <c r="G2299" s="385" t="s">
        <v>193</v>
      </c>
      <c r="H2299" s="385" t="s">
        <v>2922</v>
      </c>
      <c r="I2299" s="378">
        <v>1</v>
      </c>
      <c r="J2299" s="385" t="s">
        <v>163</v>
      </c>
      <c r="K2299" s="378" t="s">
        <v>2923</v>
      </c>
      <c r="L2299" s="378" t="s">
        <v>2848</v>
      </c>
      <c r="M2299" s="380">
        <v>2400</v>
      </c>
      <c r="N2299" s="380"/>
      <c r="O2299" s="380"/>
      <c r="P2299" s="380"/>
      <c r="Q2299" s="381">
        <v>80.900000000000006</v>
      </c>
      <c r="R2299" s="381">
        <v>80.8</v>
      </c>
      <c r="S2299" s="381">
        <v>4.8800000000000003E-2</v>
      </c>
      <c r="T2299" s="381">
        <v>1.01E-4</v>
      </c>
      <c r="U2299" s="381">
        <v>0</v>
      </c>
      <c r="V2299" s="382">
        <v>80.848900999999998</v>
      </c>
      <c r="W2299" s="382">
        <v>0</v>
      </c>
      <c r="X2299" s="381">
        <v>8.09E-2</v>
      </c>
      <c r="Y2299" s="381">
        <v>8.0799999999999997E-2</v>
      </c>
      <c r="Z2299" s="381">
        <v>4.88E-5</v>
      </c>
      <c r="AA2299" s="381">
        <v>1.01E-7</v>
      </c>
      <c r="AB2299" s="381">
        <v>0</v>
      </c>
      <c r="AC2299" s="382">
        <v>8.0848901000000001E-2</v>
      </c>
      <c r="AD2299" s="382">
        <v>0</v>
      </c>
      <c r="AE2299" s="381" t="s">
        <v>168</v>
      </c>
    </row>
    <row r="2300" spans="1:31" ht="15" customHeight="1" x14ac:dyDescent="0.25">
      <c r="A2300" s="20" t="s">
        <v>2913</v>
      </c>
      <c r="B2300" s="20" t="s">
        <v>2913</v>
      </c>
      <c r="C2300" s="20" t="s">
        <v>2913</v>
      </c>
      <c r="D2300" s="378" t="s">
        <v>3169</v>
      </c>
      <c r="E2300" s="384" t="s">
        <v>2932</v>
      </c>
      <c r="F2300" s="384" t="s">
        <v>2933</v>
      </c>
      <c r="G2300" s="385" t="s">
        <v>281</v>
      </c>
      <c r="H2300" s="385" t="s">
        <v>2942</v>
      </c>
      <c r="I2300" s="378">
        <v>1</v>
      </c>
      <c r="J2300" s="385" t="s">
        <v>163</v>
      </c>
      <c r="K2300" s="378" t="s">
        <v>2943</v>
      </c>
      <c r="L2300" s="378" t="s">
        <v>2848</v>
      </c>
      <c r="M2300" s="380">
        <v>2400</v>
      </c>
      <c r="N2300" s="380"/>
      <c r="O2300" s="380"/>
      <c r="P2300" s="380"/>
      <c r="Q2300" s="381">
        <v>79.3</v>
      </c>
      <c r="R2300" s="381">
        <v>79.2</v>
      </c>
      <c r="S2300" s="381">
        <v>4.9599999999999998E-2</v>
      </c>
      <c r="T2300" s="381">
        <v>1.2400000000000001E-4</v>
      </c>
      <c r="U2300" s="381">
        <v>0</v>
      </c>
      <c r="V2300" s="382">
        <v>79.249724000000001</v>
      </c>
      <c r="W2300" s="382">
        <v>0</v>
      </c>
      <c r="X2300" s="381">
        <v>7.9299999999999995E-2</v>
      </c>
      <c r="Y2300" s="381">
        <v>7.9200000000000007E-2</v>
      </c>
      <c r="Z2300" s="381">
        <v>4.9599999999999999E-5</v>
      </c>
      <c r="AA2300" s="381">
        <v>1.24E-7</v>
      </c>
      <c r="AB2300" s="381">
        <v>0</v>
      </c>
      <c r="AC2300" s="382">
        <v>7.9249724000000007E-2</v>
      </c>
      <c r="AD2300" s="382">
        <v>0</v>
      </c>
      <c r="AE2300" s="381" t="s">
        <v>168</v>
      </c>
    </row>
    <row r="2301" spans="1:31" ht="15" customHeight="1" x14ac:dyDescent="0.25">
      <c r="A2301" s="20" t="s">
        <v>2913</v>
      </c>
      <c r="B2301" s="20" t="s">
        <v>2913</v>
      </c>
      <c r="C2301" s="20" t="s">
        <v>2913</v>
      </c>
      <c r="D2301" s="378" t="s">
        <v>3170</v>
      </c>
      <c r="E2301" s="384" t="s">
        <v>2920</v>
      </c>
      <c r="F2301" s="384" t="s">
        <v>2921</v>
      </c>
      <c r="G2301" s="385" t="s">
        <v>193</v>
      </c>
      <c r="H2301" s="385" t="s">
        <v>2922</v>
      </c>
      <c r="I2301" s="378">
        <v>1</v>
      </c>
      <c r="J2301" s="385" t="s">
        <v>163</v>
      </c>
      <c r="K2301" s="378" t="s">
        <v>2923</v>
      </c>
      <c r="L2301" s="378" t="s">
        <v>2848</v>
      </c>
      <c r="M2301" s="380">
        <v>2400</v>
      </c>
      <c r="N2301" s="380"/>
      <c r="O2301" s="380"/>
      <c r="P2301" s="380"/>
      <c r="Q2301" s="381">
        <v>77.2</v>
      </c>
      <c r="R2301" s="381">
        <v>77.099999999999994</v>
      </c>
      <c r="S2301" s="381">
        <v>5.0799999999999998E-2</v>
      </c>
      <c r="T2301" s="381">
        <v>9.7499999999999998E-5</v>
      </c>
      <c r="U2301" s="381">
        <v>0</v>
      </c>
      <c r="V2301" s="382">
        <v>77.150897499999985</v>
      </c>
      <c r="W2301" s="382">
        <v>0</v>
      </c>
      <c r="X2301" s="381">
        <v>7.7200000000000005E-2</v>
      </c>
      <c r="Y2301" s="381">
        <v>7.7099999999999988E-2</v>
      </c>
      <c r="Z2301" s="381">
        <v>5.0799999999999995E-5</v>
      </c>
      <c r="AA2301" s="381">
        <v>9.7499999999999993E-8</v>
      </c>
      <c r="AB2301" s="381">
        <v>0</v>
      </c>
      <c r="AC2301" s="382">
        <v>7.7150897499999996E-2</v>
      </c>
      <c r="AD2301" s="382">
        <v>0</v>
      </c>
      <c r="AE2301" s="381" t="s">
        <v>168</v>
      </c>
    </row>
    <row r="2302" spans="1:31" ht="15" customHeight="1" x14ac:dyDescent="0.25">
      <c r="A2302" s="20" t="s">
        <v>2913</v>
      </c>
      <c r="B2302" s="20" t="s">
        <v>2913</v>
      </c>
      <c r="C2302" s="20" t="s">
        <v>2913</v>
      </c>
      <c r="D2302" s="378" t="s">
        <v>3171</v>
      </c>
      <c r="E2302" s="384" t="s">
        <v>2932</v>
      </c>
      <c r="F2302" s="384" t="s">
        <v>2933</v>
      </c>
      <c r="G2302" s="385" t="s">
        <v>281</v>
      </c>
      <c r="H2302" s="385" t="s">
        <v>2942</v>
      </c>
      <c r="I2302" s="378">
        <v>1</v>
      </c>
      <c r="J2302" s="385" t="s">
        <v>163</v>
      </c>
      <c r="K2302" s="378" t="s">
        <v>2943</v>
      </c>
      <c r="L2302" s="378" t="s">
        <v>2848</v>
      </c>
      <c r="M2302" s="380">
        <v>2400</v>
      </c>
      <c r="N2302" s="380"/>
      <c r="O2302" s="380"/>
      <c r="P2302" s="380"/>
      <c r="Q2302" s="381">
        <v>71.900000000000006</v>
      </c>
      <c r="R2302" s="381">
        <v>71.599999999999994</v>
      </c>
      <c r="S2302" s="381">
        <v>0.253</v>
      </c>
      <c r="T2302" s="381">
        <v>1.1900000000000001E-4</v>
      </c>
      <c r="U2302" s="381">
        <v>0</v>
      </c>
      <c r="V2302" s="382">
        <v>71.853118999999992</v>
      </c>
      <c r="W2302" s="382">
        <v>0</v>
      </c>
      <c r="X2302" s="381">
        <v>7.1900000000000006E-2</v>
      </c>
      <c r="Y2302" s="381">
        <v>7.1599999999999997E-2</v>
      </c>
      <c r="Z2302" s="381">
        <v>2.5300000000000002E-4</v>
      </c>
      <c r="AA2302" s="381">
        <v>1.1900000000000001E-7</v>
      </c>
      <c r="AB2302" s="381">
        <v>0</v>
      </c>
      <c r="AC2302" s="382">
        <v>7.1853119000000007E-2</v>
      </c>
      <c r="AD2302" s="382">
        <v>0</v>
      </c>
      <c r="AE2302" s="381" t="s">
        <v>168</v>
      </c>
    </row>
    <row r="2303" spans="1:31" ht="15" customHeight="1" x14ac:dyDescent="0.25">
      <c r="A2303" s="20" t="s">
        <v>2913</v>
      </c>
      <c r="B2303" s="20" t="s">
        <v>2913</v>
      </c>
      <c r="C2303" s="20" t="s">
        <v>2913</v>
      </c>
      <c r="D2303" s="378" t="s">
        <v>3172</v>
      </c>
      <c r="E2303" s="384" t="s">
        <v>2932</v>
      </c>
      <c r="F2303" s="384" t="s">
        <v>2933</v>
      </c>
      <c r="G2303" s="385" t="s">
        <v>281</v>
      </c>
      <c r="H2303" s="385" t="s">
        <v>2942</v>
      </c>
      <c r="I2303" s="378">
        <v>1</v>
      </c>
      <c r="J2303" s="385" t="s">
        <v>163</v>
      </c>
      <c r="K2303" s="378" t="s">
        <v>2943</v>
      </c>
      <c r="L2303" s="378" t="s">
        <v>2848</v>
      </c>
      <c r="M2303" s="380">
        <v>2400</v>
      </c>
      <c r="N2303" s="380"/>
      <c r="O2303" s="380"/>
      <c r="P2303" s="380"/>
      <c r="Q2303" s="381">
        <v>74.8</v>
      </c>
      <c r="R2303" s="381">
        <v>74.5</v>
      </c>
      <c r="S2303" s="381">
        <v>0.251</v>
      </c>
      <c r="T2303" s="381">
        <v>9.0400000000000002E-5</v>
      </c>
      <c r="U2303" s="381">
        <v>0</v>
      </c>
      <c r="V2303" s="382">
        <v>74.75109040000001</v>
      </c>
      <c r="W2303" s="382">
        <v>0</v>
      </c>
      <c r="X2303" s="381">
        <v>7.4799999999999991E-2</v>
      </c>
      <c r="Y2303" s="381">
        <v>7.4499999999999997E-2</v>
      </c>
      <c r="Z2303" s="381">
        <v>2.5099999999999998E-4</v>
      </c>
      <c r="AA2303" s="381">
        <v>9.0400000000000002E-8</v>
      </c>
      <c r="AB2303" s="381">
        <v>0</v>
      </c>
      <c r="AC2303" s="382">
        <v>7.4751090399999998E-2</v>
      </c>
      <c r="AD2303" s="382">
        <v>0</v>
      </c>
      <c r="AE2303" s="381" t="s">
        <v>168</v>
      </c>
    </row>
    <row r="2304" spans="1:31" ht="15" customHeight="1" x14ac:dyDescent="0.25">
      <c r="A2304" s="20" t="s">
        <v>2913</v>
      </c>
      <c r="B2304" s="20" t="s">
        <v>2913</v>
      </c>
      <c r="C2304" s="20" t="s">
        <v>2913</v>
      </c>
      <c r="D2304" s="378" t="s">
        <v>3173</v>
      </c>
      <c r="E2304" s="384" t="s">
        <v>2920</v>
      </c>
      <c r="F2304" s="384" t="s">
        <v>2921</v>
      </c>
      <c r="G2304" s="385" t="s">
        <v>281</v>
      </c>
      <c r="H2304" s="385" t="s">
        <v>2922</v>
      </c>
      <c r="I2304" s="378">
        <v>1</v>
      </c>
      <c r="J2304" s="385" t="s">
        <v>163</v>
      </c>
      <c r="K2304" s="378" t="s">
        <v>2923</v>
      </c>
      <c r="L2304" s="378" t="s">
        <v>2848</v>
      </c>
      <c r="M2304" s="380">
        <v>2400</v>
      </c>
      <c r="N2304" s="380"/>
      <c r="O2304" s="380"/>
      <c r="P2304" s="380"/>
      <c r="Q2304" s="381">
        <v>69.400000000000006</v>
      </c>
      <c r="R2304" s="381">
        <v>69.3</v>
      </c>
      <c r="S2304" s="381">
        <v>5.28E-2</v>
      </c>
      <c r="T2304" s="381">
        <v>7.0699999999999997E-5</v>
      </c>
      <c r="U2304" s="381">
        <v>0</v>
      </c>
      <c r="V2304" s="382">
        <v>69.352870699999997</v>
      </c>
      <c r="W2304" s="382">
        <v>0</v>
      </c>
      <c r="X2304" s="381">
        <v>6.9400000000000003E-2</v>
      </c>
      <c r="Y2304" s="381">
        <v>6.93E-2</v>
      </c>
      <c r="Z2304" s="381">
        <v>5.2800000000000003E-5</v>
      </c>
      <c r="AA2304" s="381">
        <v>7.0699999999999991E-8</v>
      </c>
      <c r="AB2304" s="381">
        <v>0</v>
      </c>
      <c r="AC2304" s="382">
        <v>6.9352870699999999E-2</v>
      </c>
      <c r="AD2304" s="382">
        <v>0</v>
      </c>
      <c r="AE2304" s="381" t="s">
        <v>168</v>
      </c>
    </row>
    <row r="2305" spans="1:31" ht="15" customHeight="1" x14ac:dyDescent="0.25">
      <c r="A2305" s="20" t="s">
        <v>2913</v>
      </c>
      <c r="B2305" s="20" t="s">
        <v>2913</v>
      </c>
      <c r="C2305" s="20" t="s">
        <v>2913</v>
      </c>
      <c r="D2305" s="378" t="s">
        <v>3174</v>
      </c>
      <c r="E2305" s="384" t="s">
        <v>2932</v>
      </c>
      <c r="F2305" s="384" t="s">
        <v>2933</v>
      </c>
      <c r="G2305" s="385" t="s">
        <v>281</v>
      </c>
      <c r="H2305" s="385" t="s">
        <v>2942</v>
      </c>
      <c r="I2305" s="378">
        <v>1</v>
      </c>
      <c r="J2305" s="385" t="s">
        <v>163</v>
      </c>
      <c r="K2305" s="378" t="s">
        <v>2943</v>
      </c>
      <c r="L2305" s="378" t="s">
        <v>2848</v>
      </c>
      <c r="M2305" s="380">
        <v>2400</v>
      </c>
      <c r="N2305" s="380"/>
      <c r="O2305" s="380"/>
      <c r="P2305" s="380"/>
      <c r="Q2305" s="381">
        <v>87.7</v>
      </c>
      <c r="R2305" s="381">
        <v>87.6</v>
      </c>
      <c r="S2305" s="381">
        <v>0.04</v>
      </c>
      <c r="T2305" s="381">
        <v>1.2799999999999999E-4</v>
      </c>
      <c r="U2305" s="381">
        <v>0</v>
      </c>
      <c r="V2305" s="382">
        <v>87.640128000000004</v>
      </c>
      <c r="W2305" s="382">
        <v>0</v>
      </c>
      <c r="X2305" s="381">
        <v>8.77E-2</v>
      </c>
      <c r="Y2305" s="381">
        <v>8.7599999999999997E-2</v>
      </c>
      <c r="Z2305" s="381">
        <v>4.0000000000000003E-5</v>
      </c>
      <c r="AA2305" s="381">
        <v>1.2799999999999998E-7</v>
      </c>
      <c r="AB2305" s="381">
        <v>0</v>
      </c>
      <c r="AC2305" s="382">
        <v>8.7640127999999998E-2</v>
      </c>
      <c r="AD2305" s="382">
        <v>0</v>
      </c>
      <c r="AE2305" s="381" t="s">
        <v>168</v>
      </c>
    </row>
    <row r="2306" spans="1:31" ht="15" customHeight="1" x14ac:dyDescent="0.25">
      <c r="A2306" s="20" t="s">
        <v>2913</v>
      </c>
      <c r="B2306" s="20" t="s">
        <v>2913</v>
      </c>
      <c r="C2306" s="20" t="s">
        <v>2913</v>
      </c>
      <c r="D2306" s="378" t="s">
        <v>3175</v>
      </c>
      <c r="E2306" s="384" t="s">
        <v>2932</v>
      </c>
      <c r="F2306" s="384" t="s">
        <v>2933</v>
      </c>
      <c r="G2306" s="385" t="s">
        <v>281</v>
      </c>
      <c r="H2306" s="385" t="s">
        <v>2942</v>
      </c>
      <c r="I2306" s="378">
        <v>1</v>
      </c>
      <c r="J2306" s="385" t="s">
        <v>163</v>
      </c>
      <c r="K2306" s="378" t="s">
        <v>2943</v>
      </c>
      <c r="L2306" s="378" t="s">
        <v>2848</v>
      </c>
      <c r="M2306" s="380">
        <v>2400</v>
      </c>
      <c r="N2306" s="380"/>
      <c r="O2306" s="380"/>
      <c r="P2306" s="380"/>
      <c r="Q2306" s="381">
        <v>71</v>
      </c>
      <c r="R2306" s="381">
        <v>70.900000000000006</v>
      </c>
      <c r="S2306" s="381">
        <v>4.8599999999999997E-2</v>
      </c>
      <c r="T2306" s="381">
        <v>1.1E-4</v>
      </c>
      <c r="U2306" s="381">
        <v>0</v>
      </c>
      <c r="V2306" s="382">
        <v>70.948710000000005</v>
      </c>
      <c r="W2306" s="382">
        <v>0</v>
      </c>
      <c r="X2306" s="381">
        <v>7.0999999999999994E-2</v>
      </c>
      <c r="Y2306" s="381">
        <v>7.0900000000000005E-2</v>
      </c>
      <c r="Z2306" s="381">
        <v>4.8599999999999995E-5</v>
      </c>
      <c r="AA2306" s="381">
        <v>1.1000000000000001E-7</v>
      </c>
      <c r="AB2306" s="381">
        <v>0</v>
      </c>
      <c r="AC2306" s="382">
        <v>7.0948709999999998E-2</v>
      </c>
      <c r="AD2306" s="382">
        <v>0</v>
      </c>
      <c r="AE2306" s="381" t="s">
        <v>168</v>
      </c>
    </row>
    <row r="2307" spans="1:31" ht="15" customHeight="1" x14ac:dyDescent="0.25">
      <c r="A2307" s="20" t="s">
        <v>2913</v>
      </c>
      <c r="B2307" s="20" t="s">
        <v>2913</v>
      </c>
      <c r="C2307" s="20" t="s">
        <v>2913</v>
      </c>
      <c r="D2307" s="378" t="s">
        <v>3176</v>
      </c>
      <c r="E2307" s="384" t="s">
        <v>2920</v>
      </c>
      <c r="F2307" s="384" t="s">
        <v>2921</v>
      </c>
      <c r="G2307" s="385" t="s">
        <v>281</v>
      </c>
      <c r="H2307" s="385" t="s">
        <v>2922</v>
      </c>
      <c r="I2307" s="378">
        <v>1</v>
      </c>
      <c r="J2307" s="385" t="s">
        <v>163</v>
      </c>
      <c r="K2307" s="378" t="s">
        <v>2923</v>
      </c>
      <c r="L2307" s="378" t="s">
        <v>2848</v>
      </c>
      <c r="M2307" s="380">
        <v>2400</v>
      </c>
      <c r="N2307" s="380"/>
      <c r="O2307" s="380"/>
      <c r="P2307" s="380"/>
      <c r="Q2307" s="381">
        <v>66.400000000000006</v>
      </c>
      <c r="R2307" s="381">
        <v>66.3</v>
      </c>
      <c r="S2307" s="381">
        <v>5.1700000000000003E-2</v>
      </c>
      <c r="T2307" s="381">
        <v>6.2100000000000005E-5</v>
      </c>
      <c r="U2307" s="381">
        <v>0</v>
      </c>
      <c r="V2307" s="382">
        <v>66.351762099999988</v>
      </c>
      <c r="W2307" s="382">
        <v>0</v>
      </c>
      <c r="X2307" s="381">
        <v>6.6400000000000001E-2</v>
      </c>
      <c r="Y2307" s="381">
        <v>6.6299999999999998E-2</v>
      </c>
      <c r="Z2307" s="381">
        <v>5.1700000000000003E-5</v>
      </c>
      <c r="AA2307" s="381">
        <v>6.2100000000000007E-8</v>
      </c>
      <c r="AB2307" s="381">
        <v>0</v>
      </c>
      <c r="AC2307" s="382">
        <v>6.6351762100000003E-2</v>
      </c>
      <c r="AD2307" s="382">
        <v>0</v>
      </c>
      <c r="AE2307" s="381" t="s">
        <v>168</v>
      </c>
    </row>
    <row r="2308" spans="1:31" ht="15" customHeight="1" x14ac:dyDescent="0.25">
      <c r="A2308" s="20" t="s">
        <v>2913</v>
      </c>
      <c r="B2308" s="20" t="s">
        <v>2913</v>
      </c>
      <c r="C2308" s="20" t="s">
        <v>2913</v>
      </c>
      <c r="D2308" s="378" t="s">
        <v>3177</v>
      </c>
      <c r="E2308" s="384" t="s">
        <v>2932</v>
      </c>
      <c r="F2308" s="384" t="s">
        <v>2933</v>
      </c>
      <c r="G2308" s="385" t="s">
        <v>179</v>
      </c>
      <c r="H2308" s="385" t="s">
        <v>2934</v>
      </c>
      <c r="I2308" s="378">
        <v>1</v>
      </c>
      <c r="J2308" s="385" t="s">
        <v>163</v>
      </c>
      <c r="K2308" s="378" t="s">
        <v>2935</v>
      </c>
      <c r="L2308" s="378" t="s">
        <v>2848</v>
      </c>
      <c r="M2308" s="380">
        <v>2400</v>
      </c>
      <c r="N2308" s="380"/>
      <c r="O2308" s="380"/>
      <c r="P2308" s="380"/>
      <c r="Q2308" s="381">
        <v>57.3</v>
      </c>
      <c r="R2308" s="381">
        <v>57.1</v>
      </c>
      <c r="S2308" s="381">
        <v>0.158</v>
      </c>
      <c r="T2308" s="381">
        <v>1.5699999999999999E-4</v>
      </c>
      <c r="U2308" s="381">
        <v>0</v>
      </c>
      <c r="V2308" s="382">
        <v>57.258157000000004</v>
      </c>
      <c r="W2308" s="382">
        <v>0</v>
      </c>
      <c r="X2308" s="381">
        <v>5.7299999999999997E-2</v>
      </c>
      <c r="Y2308" s="381">
        <v>5.7099999999999998E-2</v>
      </c>
      <c r="Z2308" s="381">
        <v>1.5799999999999999E-4</v>
      </c>
      <c r="AA2308" s="381">
        <v>1.5699999999999999E-7</v>
      </c>
      <c r="AB2308" s="381">
        <v>0</v>
      </c>
      <c r="AC2308" s="382">
        <v>5.7258156999999997E-2</v>
      </c>
      <c r="AD2308" s="382">
        <v>0</v>
      </c>
      <c r="AE2308" s="381" t="s">
        <v>168</v>
      </c>
    </row>
    <row r="2309" spans="1:31" ht="15" customHeight="1" x14ac:dyDescent="0.25">
      <c r="A2309" s="20" t="s">
        <v>2913</v>
      </c>
      <c r="B2309" s="20" t="s">
        <v>2913</v>
      </c>
      <c r="C2309" s="20" t="s">
        <v>2913</v>
      </c>
      <c r="D2309" s="378" t="s">
        <v>3178</v>
      </c>
      <c r="E2309" s="384" t="s">
        <v>2920</v>
      </c>
      <c r="F2309" s="384" t="s">
        <v>2921</v>
      </c>
      <c r="G2309" s="385" t="s">
        <v>179</v>
      </c>
      <c r="H2309" s="385" t="s">
        <v>2922</v>
      </c>
      <c r="I2309" s="378">
        <v>1</v>
      </c>
      <c r="J2309" s="385" t="s">
        <v>163</v>
      </c>
      <c r="K2309" s="378" t="s">
        <v>2923</v>
      </c>
      <c r="L2309" s="378" t="s">
        <v>2848</v>
      </c>
      <c r="M2309" s="380">
        <v>2400</v>
      </c>
      <c r="N2309" s="380"/>
      <c r="O2309" s="380"/>
      <c r="P2309" s="380"/>
      <c r="Q2309" s="381">
        <v>73.3</v>
      </c>
      <c r="R2309" s="381">
        <v>72.900000000000006</v>
      </c>
      <c r="S2309" s="381">
        <v>0.34499999999999997</v>
      </c>
      <c r="T2309" s="381">
        <v>6.7199999999999996E-4</v>
      </c>
      <c r="U2309" s="381">
        <v>0</v>
      </c>
      <c r="V2309" s="382">
        <v>73.245671999999999</v>
      </c>
      <c r="W2309" s="382">
        <v>0</v>
      </c>
      <c r="X2309" s="381">
        <v>7.3300000000000004E-2</v>
      </c>
      <c r="Y2309" s="381">
        <v>7.2900000000000006E-2</v>
      </c>
      <c r="Z2309" s="381">
        <v>3.4499999999999998E-4</v>
      </c>
      <c r="AA2309" s="381">
        <v>6.7199999999999998E-7</v>
      </c>
      <c r="AB2309" s="381">
        <v>0</v>
      </c>
      <c r="AC2309" s="382">
        <v>7.3245671999999998E-2</v>
      </c>
      <c r="AD2309" s="382">
        <v>0</v>
      </c>
      <c r="AE2309" s="381" t="s">
        <v>168</v>
      </c>
    </row>
    <row r="2310" spans="1:31" ht="15" customHeight="1" x14ac:dyDescent="0.25">
      <c r="A2310" s="20" t="s">
        <v>2913</v>
      </c>
      <c r="B2310" s="20" t="s">
        <v>2913</v>
      </c>
      <c r="C2310" s="20" t="s">
        <v>2913</v>
      </c>
      <c r="D2310" s="378" t="s">
        <v>3179</v>
      </c>
      <c r="E2310" s="384" t="s">
        <v>2932</v>
      </c>
      <c r="F2310" s="384" t="s">
        <v>2933</v>
      </c>
      <c r="G2310" s="385" t="s">
        <v>281</v>
      </c>
      <c r="H2310" s="385" t="s">
        <v>2942</v>
      </c>
      <c r="I2310" s="378">
        <v>1</v>
      </c>
      <c r="J2310" s="385" t="s">
        <v>163</v>
      </c>
      <c r="K2310" s="378" t="s">
        <v>2943</v>
      </c>
      <c r="L2310" s="378" t="s">
        <v>2848</v>
      </c>
      <c r="M2310" s="380">
        <v>2400</v>
      </c>
      <c r="N2310" s="380"/>
      <c r="O2310" s="380"/>
      <c r="P2310" s="380"/>
      <c r="Q2310" s="381">
        <v>82.2</v>
      </c>
      <c r="R2310" s="381">
        <v>82.1</v>
      </c>
      <c r="S2310" s="381">
        <v>3.5900000000000001E-2</v>
      </c>
      <c r="T2310" s="381">
        <v>1.2300000000000001E-4</v>
      </c>
      <c r="U2310" s="381">
        <v>0</v>
      </c>
      <c r="V2310" s="382">
        <v>82.136022999999994</v>
      </c>
      <c r="W2310" s="382">
        <v>0</v>
      </c>
      <c r="X2310" s="381">
        <v>8.2200000000000009E-2</v>
      </c>
      <c r="Y2310" s="381">
        <v>8.2099999999999992E-2</v>
      </c>
      <c r="Z2310" s="381">
        <v>3.5899999999999998E-5</v>
      </c>
      <c r="AA2310" s="381">
        <v>1.23E-7</v>
      </c>
      <c r="AB2310" s="381">
        <v>0</v>
      </c>
      <c r="AC2310" s="382">
        <v>8.2136023000000002E-2</v>
      </c>
      <c r="AD2310" s="382">
        <v>0</v>
      </c>
      <c r="AE2310" s="381" t="s">
        <v>168</v>
      </c>
    </row>
    <row r="2311" spans="1:31" ht="15" customHeight="1" x14ac:dyDescent="0.25">
      <c r="A2311" s="20" t="s">
        <v>2913</v>
      </c>
      <c r="B2311" s="20" t="s">
        <v>2913</v>
      </c>
      <c r="C2311" s="20" t="s">
        <v>2913</v>
      </c>
      <c r="D2311" s="378" t="s">
        <v>3180</v>
      </c>
      <c r="E2311" s="384" t="s">
        <v>2920</v>
      </c>
      <c r="F2311" s="384" t="s">
        <v>2921</v>
      </c>
      <c r="G2311" s="385" t="s">
        <v>179</v>
      </c>
      <c r="H2311" s="385" t="s">
        <v>2922</v>
      </c>
      <c r="I2311" s="378">
        <v>1</v>
      </c>
      <c r="J2311" s="385" t="s">
        <v>163</v>
      </c>
      <c r="K2311" s="378" t="s">
        <v>2923</v>
      </c>
      <c r="L2311" s="378" t="s">
        <v>2848</v>
      </c>
      <c r="M2311" s="380">
        <v>2400</v>
      </c>
      <c r="N2311" s="380"/>
      <c r="O2311" s="380"/>
      <c r="P2311" s="380"/>
      <c r="Q2311" s="381">
        <v>58.8</v>
      </c>
      <c r="R2311" s="381">
        <v>58.7</v>
      </c>
      <c r="S2311" s="381">
        <v>5.3699999999999998E-2</v>
      </c>
      <c r="T2311" s="381">
        <v>7.2899999999999997E-5</v>
      </c>
      <c r="U2311" s="381">
        <v>0</v>
      </c>
      <c r="V2311" s="382">
        <v>58.753772900000001</v>
      </c>
      <c r="W2311" s="382">
        <v>0</v>
      </c>
      <c r="X2311" s="381">
        <v>5.8799999999999998E-2</v>
      </c>
      <c r="Y2311" s="381">
        <v>5.8700000000000002E-2</v>
      </c>
      <c r="Z2311" s="381">
        <v>5.3699999999999997E-5</v>
      </c>
      <c r="AA2311" s="381">
        <v>7.2899999999999998E-8</v>
      </c>
      <c r="AB2311" s="381">
        <v>0</v>
      </c>
      <c r="AC2311" s="382">
        <v>5.8753772900000001E-2</v>
      </c>
      <c r="AD2311" s="382">
        <v>0</v>
      </c>
      <c r="AE2311" s="381" t="s">
        <v>168</v>
      </c>
    </row>
    <row r="2312" spans="1:31" ht="15" customHeight="1" x14ac:dyDescent="0.25">
      <c r="A2312" s="20" t="s">
        <v>2913</v>
      </c>
      <c r="B2312" s="20" t="s">
        <v>2913</v>
      </c>
      <c r="C2312" s="20" t="s">
        <v>2913</v>
      </c>
      <c r="D2312" s="378" t="s">
        <v>3181</v>
      </c>
      <c r="E2312" s="384" t="s">
        <v>2920</v>
      </c>
      <c r="F2312" s="384" t="s">
        <v>2921</v>
      </c>
      <c r="G2312" s="385" t="s">
        <v>179</v>
      </c>
      <c r="H2312" s="385" t="s">
        <v>2922</v>
      </c>
      <c r="I2312" s="378">
        <v>1</v>
      </c>
      <c r="J2312" s="385" t="s">
        <v>163</v>
      </c>
      <c r="K2312" s="378" t="s">
        <v>2923</v>
      </c>
      <c r="L2312" s="378" t="s">
        <v>2848</v>
      </c>
      <c r="M2312" s="380">
        <v>2400</v>
      </c>
      <c r="N2312" s="380"/>
      <c r="O2312" s="380"/>
      <c r="P2312" s="380"/>
      <c r="Q2312" s="381">
        <v>59</v>
      </c>
      <c r="R2312" s="381">
        <v>58.9</v>
      </c>
      <c r="S2312" s="381">
        <v>5.3499999999999999E-2</v>
      </c>
      <c r="T2312" s="381">
        <v>7.4499999999999995E-5</v>
      </c>
      <c r="U2312" s="381">
        <v>0</v>
      </c>
      <c r="V2312" s="382">
        <v>58.953574499999995</v>
      </c>
      <c r="W2312" s="382">
        <v>0</v>
      </c>
      <c r="X2312" s="381">
        <v>5.8999999999999997E-2</v>
      </c>
      <c r="Y2312" s="381">
        <v>5.8900000000000001E-2</v>
      </c>
      <c r="Z2312" s="381">
        <v>5.3499999999999999E-5</v>
      </c>
      <c r="AA2312" s="381">
        <v>7.4499999999999999E-8</v>
      </c>
      <c r="AB2312" s="381">
        <v>0</v>
      </c>
      <c r="AC2312" s="382">
        <v>5.8953574500000001E-2</v>
      </c>
      <c r="AD2312" s="382">
        <v>0</v>
      </c>
      <c r="AE2312" s="381" t="s">
        <v>168</v>
      </c>
    </row>
    <row r="2313" spans="1:31" ht="15" customHeight="1" x14ac:dyDescent="0.25">
      <c r="A2313" s="20" t="s">
        <v>2913</v>
      </c>
      <c r="B2313" s="20" t="s">
        <v>2913</v>
      </c>
      <c r="C2313" s="20" t="s">
        <v>2913</v>
      </c>
      <c r="D2313" s="378" t="s">
        <v>3182</v>
      </c>
      <c r="E2313" s="384" t="s">
        <v>2932</v>
      </c>
      <c r="F2313" s="384" t="s">
        <v>2933</v>
      </c>
      <c r="G2313" s="385" t="s">
        <v>281</v>
      </c>
      <c r="H2313" s="385" t="s">
        <v>2942</v>
      </c>
      <c r="I2313" s="378">
        <v>1</v>
      </c>
      <c r="J2313" s="385" t="s">
        <v>163</v>
      </c>
      <c r="K2313" s="378" t="s">
        <v>2943</v>
      </c>
      <c r="L2313" s="378" t="s">
        <v>2848</v>
      </c>
      <c r="M2313" s="380">
        <v>2400</v>
      </c>
      <c r="N2313" s="380"/>
      <c r="O2313" s="380"/>
      <c r="P2313" s="380"/>
      <c r="Q2313" s="381">
        <v>72</v>
      </c>
      <c r="R2313" s="381">
        <v>71.900000000000006</v>
      </c>
      <c r="S2313" s="381">
        <v>4.2700000000000002E-2</v>
      </c>
      <c r="T2313" s="381">
        <v>1.01E-4</v>
      </c>
      <c r="U2313" s="381">
        <v>0</v>
      </c>
      <c r="V2313" s="382">
        <v>71.942801000000003</v>
      </c>
      <c r="W2313" s="382">
        <v>0</v>
      </c>
      <c r="X2313" s="381">
        <v>7.1999999999999995E-2</v>
      </c>
      <c r="Y2313" s="381">
        <v>7.1900000000000006E-2</v>
      </c>
      <c r="Z2313" s="381">
        <v>4.2700000000000001E-5</v>
      </c>
      <c r="AA2313" s="381">
        <v>1.01E-7</v>
      </c>
      <c r="AB2313" s="381">
        <v>0</v>
      </c>
      <c r="AC2313" s="382">
        <v>7.1942801000000015E-2</v>
      </c>
      <c r="AD2313" s="382">
        <v>0</v>
      </c>
      <c r="AE2313" s="381" t="s">
        <v>168</v>
      </c>
    </row>
    <row r="2314" spans="1:31" ht="15" customHeight="1" x14ac:dyDescent="0.25">
      <c r="A2314" s="20" t="s">
        <v>2913</v>
      </c>
      <c r="B2314" s="20" t="s">
        <v>2913</v>
      </c>
      <c r="C2314" s="20" t="s">
        <v>2913</v>
      </c>
      <c r="D2314" s="378" t="s">
        <v>3183</v>
      </c>
      <c r="E2314" s="384" t="s">
        <v>2920</v>
      </c>
      <c r="F2314" s="384" t="s">
        <v>2921</v>
      </c>
      <c r="G2314" s="385" t="s">
        <v>193</v>
      </c>
      <c r="H2314" s="385" t="s">
        <v>2922</v>
      </c>
      <c r="I2314" s="378">
        <v>1</v>
      </c>
      <c r="J2314" s="385" t="s">
        <v>163</v>
      </c>
      <c r="K2314" s="378" t="s">
        <v>2923</v>
      </c>
      <c r="L2314" s="378" t="s">
        <v>2848</v>
      </c>
      <c r="M2314" s="380">
        <v>2400</v>
      </c>
      <c r="N2314" s="380"/>
      <c r="O2314" s="380"/>
      <c r="P2314" s="380"/>
      <c r="Q2314" s="381">
        <v>64.599999999999994</v>
      </c>
      <c r="R2314" s="381">
        <v>64.5</v>
      </c>
      <c r="S2314" s="381">
        <v>4.8099999999999997E-2</v>
      </c>
      <c r="T2314" s="381">
        <v>9.6000000000000002E-5</v>
      </c>
      <c r="U2314" s="381">
        <v>0</v>
      </c>
      <c r="V2314" s="382">
        <v>64.548196000000004</v>
      </c>
      <c r="W2314" s="382">
        <v>0</v>
      </c>
      <c r="X2314" s="381">
        <v>6.4599999999999991E-2</v>
      </c>
      <c r="Y2314" s="381">
        <v>6.4500000000000002E-2</v>
      </c>
      <c r="Z2314" s="381">
        <v>4.8099999999999997E-5</v>
      </c>
      <c r="AA2314" s="381">
        <v>9.5999999999999999E-8</v>
      </c>
      <c r="AB2314" s="381">
        <v>0</v>
      </c>
      <c r="AC2314" s="382">
        <v>6.4548196000000002E-2</v>
      </c>
      <c r="AD2314" s="382">
        <v>0</v>
      </c>
      <c r="AE2314" s="381" t="s">
        <v>168</v>
      </c>
    </row>
    <row r="2315" spans="1:31" ht="15" customHeight="1" x14ac:dyDescent="0.25">
      <c r="A2315" s="20" t="s">
        <v>2913</v>
      </c>
      <c r="B2315" s="20" t="s">
        <v>2913</v>
      </c>
      <c r="C2315" s="20" t="s">
        <v>2913</v>
      </c>
      <c r="D2315" s="378" t="s">
        <v>3184</v>
      </c>
      <c r="E2315" s="384" t="s">
        <v>2920</v>
      </c>
      <c r="F2315" s="384" t="s">
        <v>2921</v>
      </c>
      <c r="G2315" s="385" t="s">
        <v>193</v>
      </c>
      <c r="H2315" s="385" t="s">
        <v>2922</v>
      </c>
      <c r="I2315" s="378">
        <v>1</v>
      </c>
      <c r="J2315" s="385" t="s">
        <v>163</v>
      </c>
      <c r="K2315" s="378" t="s">
        <v>2923</v>
      </c>
      <c r="L2315" s="378" t="s">
        <v>2848</v>
      </c>
      <c r="M2315" s="380">
        <v>2400</v>
      </c>
      <c r="N2315" s="380"/>
      <c r="O2315" s="380"/>
      <c r="P2315" s="380"/>
      <c r="Q2315" s="381">
        <v>66.900000000000006</v>
      </c>
      <c r="R2315" s="381">
        <v>66.8</v>
      </c>
      <c r="S2315" s="381">
        <v>4.5699999999999998E-2</v>
      </c>
      <c r="T2315" s="381">
        <v>8.4400000000000005E-5</v>
      </c>
      <c r="U2315" s="381">
        <v>0</v>
      </c>
      <c r="V2315" s="382">
        <v>66.845784399999999</v>
      </c>
      <c r="W2315" s="382">
        <v>0</v>
      </c>
      <c r="X2315" s="381">
        <v>6.6900000000000001E-2</v>
      </c>
      <c r="Y2315" s="381">
        <v>6.6799999999999998E-2</v>
      </c>
      <c r="Z2315" s="381">
        <v>4.57E-5</v>
      </c>
      <c r="AA2315" s="381">
        <v>8.4400000000000001E-8</v>
      </c>
      <c r="AB2315" s="381">
        <v>0</v>
      </c>
      <c r="AC2315" s="382">
        <v>6.6845784399999997E-2</v>
      </c>
      <c r="AD2315" s="382">
        <v>0</v>
      </c>
      <c r="AE2315" s="381" t="s">
        <v>168</v>
      </c>
    </row>
    <row r="2316" spans="1:31" ht="15" customHeight="1" x14ac:dyDescent="0.25">
      <c r="A2316" s="20" t="s">
        <v>2913</v>
      </c>
      <c r="B2316" s="20" t="s">
        <v>2913</v>
      </c>
      <c r="C2316" s="20" t="s">
        <v>2913</v>
      </c>
      <c r="D2316" s="378" t="s">
        <v>3185</v>
      </c>
      <c r="E2316" s="384" t="s">
        <v>2920</v>
      </c>
      <c r="F2316" s="384" t="s">
        <v>2921</v>
      </c>
      <c r="G2316" s="385" t="s">
        <v>179</v>
      </c>
      <c r="H2316" s="385" t="s">
        <v>2922</v>
      </c>
      <c r="I2316" s="378">
        <v>1</v>
      </c>
      <c r="J2316" s="385" t="s">
        <v>163</v>
      </c>
      <c r="K2316" s="378" t="s">
        <v>2923</v>
      </c>
      <c r="L2316" s="378" t="s">
        <v>2848</v>
      </c>
      <c r="M2316" s="380">
        <v>2400</v>
      </c>
      <c r="N2316" s="380"/>
      <c r="O2316" s="380"/>
      <c r="P2316" s="380"/>
      <c r="Q2316" s="381">
        <v>56.5</v>
      </c>
      <c r="R2316" s="381">
        <v>56.4</v>
      </c>
      <c r="S2316" s="381">
        <v>5.3800000000000001E-2</v>
      </c>
      <c r="T2316" s="381">
        <v>8.0799999999999999E-5</v>
      </c>
      <c r="U2316" s="381">
        <v>0</v>
      </c>
      <c r="V2316" s="382">
        <v>56.4538808</v>
      </c>
      <c r="W2316" s="382">
        <v>0</v>
      </c>
      <c r="X2316" s="381">
        <v>5.6500000000000002E-2</v>
      </c>
      <c r="Y2316" s="381">
        <v>5.6399999999999999E-2</v>
      </c>
      <c r="Z2316" s="381">
        <v>5.38E-5</v>
      </c>
      <c r="AA2316" s="381">
        <v>8.0799999999999996E-8</v>
      </c>
      <c r="AB2316" s="381">
        <v>0</v>
      </c>
      <c r="AC2316" s="382">
        <v>5.6453880800000002E-2</v>
      </c>
      <c r="AD2316" s="382">
        <v>0</v>
      </c>
      <c r="AE2316" s="381" t="s">
        <v>168</v>
      </c>
    </row>
    <row r="2317" spans="1:31" ht="15" customHeight="1" x14ac:dyDescent="0.25">
      <c r="A2317" s="20" t="s">
        <v>2913</v>
      </c>
      <c r="B2317" s="20" t="s">
        <v>2913</v>
      </c>
      <c r="C2317" s="20" t="s">
        <v>2913</v>
      </c>
      <c r="D2317" s="378" t="s">
        <v>3186</v>
      </c>
      <c r="E2317" s="384" t="s">
        <v>2932</v>
      </c>
      <c r="F2317" s="384" t="s">
        <v>2933</v>
      </c>
      <c r="G2317" s="385" t="s">
        <v>281</v>
      </c>
      <c r="H2317" s="385" t="s">
        <v>2942</v>
      </c>
      <c r="I2317" s="378">
        <v>1</v>
      </c>
      <c r="J2317" s="385" t="s">
        <v>163</v>
      </c>
      <c r="K2317" s="378" t="s">
        <v>2943</v>
      </c>
      <c r="L2317" s="378" t="s">
        <v>2848</v>
      </c>
      <c r="M2317" s="380">
        <v>2400</v>
      </c>
      <c r="N2317" s="380"/>
      <c r="O2317" s="380"/>
      <c r="P2317" s="380"/>
      <c r="Q2317" s="381">
        <v>79.3</v>
      </c>
      <c r="R2317" s="381">
        <v>79.2</v>
      </c>
      <c r="S2317" s="381">
        <v>3.4700000000000002E-2</v>
      </c>
      <c r="T2317" s="381">
        <v>1.0900000000000001E-4</v>
      </c>
      <c r="U2317" s="381">
        <v>0</v>
      </c>
      <c r="V2317" s="382">
        <v>79.234808999999998</v>
      </c>
      <c r="W2317" s="382">
        <v>0</v>
      </c>
      <c r="X2317" s="381">
        <v>7.9299999999999995E-2</v>
      </c>
      <c r="Y2317" s="381">
        <v>7.9200000000000007E-2</v>
      </c>
      <c r="Z2317" s="381">
        <v>3.4700000000000003E-5</v>
      </c>
      <c r="AA2317" s="381">
        <v>1.0900000000000001E-7</v>
      </c>
      <c r="AB2317" s="381">
        <v>0</v>
      </c>
      <c r="AC2317" s="382">
        <v>7.9234809000000003E-2</v>
      </c>
      <c r="AD2317" s="382">
        <v>0</v>
      </c>
      <c r="AE2317" s="381" t="s">
        <v>168</v>
      </c>
    </row>
    <row r="2318" spans="1:31" ht="15" customHeight="1" x14ac:dyDescent="0.25">
      <c r="A2318" s="20" t="s">
        <v>2913</v>
      </c>
      <c r="B2318" s="20" t="s">
        <v>2913</v>
      </c>
      <c r="C2318" s="20" t="s">
        <v>2913</v>
      </c>
      <c r="D2318" s="378" t="s">
        <v>3187</v>
      </c>
      <c r="E2318" s="384" t="s">
        <v>2932</v>
      </c>
      <c r="F2318" s="384" t="s">
        <v>2933</v>
      </c>
      <c r="G2318" s="385" t="s">
        <v>281</v>
      </c>
      <c r="H2318" s="385" t="s">
        <v>2942</v>
      </c>
      <c r="I2318" s="378">
        <v>1</v>
      </c>
      <c r="J2318" s="385" t="s">
        <v>163</v>
      </c>
      <c r="K2318" s="378" t="s">
        <v>2943</v>
      </c>
      <c r="L2318" s="378" t="s">
        <v>2848</v>
      </c>
      <c r="M2318" s="380">
        <v>2400</v>
      </c>
      <c r="N2318" s="380"/>
      <c r="O2318" s="380"/>
      <c r="P2318" s="380"/>
      <c r="Q2318" s="381">
        <v>73.7</v>
      </c>
      <c r="R2318" s="381">
        <v>73.599999999999994</v>
      </c>
      <c r="S2318" s="381">
        <v>3.9199999999999999E-2</v>
      </c>
      <c r="T2318" s="381">
        <v>1.03E-4</v>
      </c>
      <c r="U2318" s="381">
        <v>0</v>
      </c>
      <c r="V2318" s="382">
        <v>73.639302999999984</v>
      </c>
      <c r="W2318" s="382">
        <v>0</v>
      </c>
      <c r="X2318" s="381">
        <v>7.3700000000000002E-2</v>
      </c>
      <c r="Y2318" s="381">
        <v>7.3599999999999999E-2</v>
      </c>
      <c r="Z2318" s="381">
        <v>3.9199999999999997E-5</v>
      </c>
      <c r="AA2318" s="381">
        <v>1.03E-7</v>
      </c>
      <c r="AB2318" s="381">
        <v>0</v>
      </c>
      <c r="AC2318" s="382">
        <v>7.3639303000000003E-2</v>
      </c>
      <c r="AD2318" s="382">
        <v>0</v>
      </c>
      <c r="AE2318" s="381" t="s">
        <v>168</v>
      </c>
    </row>
    <row r="2319" spans="1:31" ht="15" customHeight="1" x14ac:dyDescent="0.25">
      <c r="A2319" s="20" t="s">
        <v>2913</v>
      </c>
      <c r="B2319" s="20" t="s">
        <v>2913</v>
      </c>
      <c r="C2319" s="20" t="s">
        <v>2913</v>
      </c>
      <c r="D2319" s="378" t="s">
        <v>3188</v>
      </c>
      <c r="E2319" s="384" t="s">
        <v>2920</v>
      </c>
      <c r="F2319" s="384" t="s">
        <v>2921</v>
      </c>
      <c r="G2319" s="385" t="s">
        <v>179</v>
      </c>
      <c r="H2319" s="385" t="s">
        <v>2922</v>
      </c>
      <c r="I2319" s="378">
        <v>1</v>
      </c>
      <c r="J2319" s="385" t="s">
        <v>163</v>
      </c>
      <c r="K2319" s="378" t="s">
        <v>2923</v>
      </c>
      <c r="L2319" s="378" t="s">
        <v>2848</v>
      </c>
      <c r="M2319" s="380">
        <v>2400</v>
      </c>
      <c r="N2319" s="380"/>
      <c r="O2319" s="380"/>
      <c r="P2319" s="380"/>
      <c r="Q2319" s="381">
        <v>60.4</v>
      </c>
      <c r="R2319" s="381">
        <v>60.3</v>
      </c>
      <c r="S2319" s="381">
        <v>4.7800000000000002E-2</v>
      </c>
      <c r="T2319" s="381">
        <v>7.0400000000000004E-5</v>
      </c>
      <c r="U2319" s="381">
        <v>0</v>
      </c>
      <c r="V2319" s="382">
        <v>60.347870399999998</v>
      </c>
      <c r="W2319" s="382">
        <v>0</v>
      </c>
      <c r="X2319" s="381">
        <v>6.0399999999999995E-2</v>
      </c>
      <c r="Y2319" s="381">
        <v>6.0299999999999999E-2</v>
      </c>
      <c r="Z2319" s="381">
        <v>4.7800000000000003E-5</v>
      </c>
      <c r="AA2319" s="381">
        <v>7.0400000000000008E-8</v>
      </c>
      <c r="AB2319" s="381">
        <v>0</v>
      </c>
      <c r="AC2319" s="382">
        <v>6.0347870400000003E-2</v>
      </c>
      <c r="AD2319" s="382">
        <v>0</v>
      </c>
      <c r="AE2319" s="381" t="s">
        <v>168</v>
      </c>
    </row>
    <row r="2320" spans="1:31" ht="15" customHeight="1" x14ac:dyDescent="0.25">
      <c r="A2320" s="20" t="s">
        <v>2913</v>
      </c>
      <c r="B2320" s="20" t="s">
        <v>2913</v>
      </c>
      <c r="C2320" s="20" t="s">
        <v>2913</v>
      </c>
      <c r="D2320" s="378" t="s">
        <v>3189</v>
      </c>
      <c r="E2320" s="384" t="s">
        <v>2920</v>
      </c>
      <c r="F2320" s="384" t="s">
        <v>2921</v>
      </c>
      <c r="G2320" s="385" t="s">
        <v>2928</v>
      </c>
      <c r="H2320" s="385" t="s">
        <v>2922</v>
      </c>
      <c r="I2320" s="378">
        <v>1</v>
      </c>
      <c r="J2320" s="385" t="s">
        <v>163</v>
      </c>
      <c r="K2320" s="378" t="s">
        <v>2923</v>
      </c>
      <c r="L2320" s="378" t="s">
        <v>2848</v>
      </c>
      <c r="M2320" s="380">
        <v>2400</v>
      </c>
      <c r="N2320" s="380"/>
      <c r="O2320" s="380"/>
      <c r="P2320" s="380"/>
      <c r="Q2320" s="381">
        <v>61.8</v>
      </c>
      <c r="R2320" s="381">
        <v>61.6</v>
      </c>
      <c r="S2320" s="381">
        <v>0.14599999999999999</v>
      </c>
      <c r="T2320" s="381">
        <v>8.9900000000000003E-5</v>
      </c>
      <c r="U2320" s="381">
        <v>0</v>
      </c>
      <c r="V2320" s="382">
        <v>61.746089900000001</v>
      </c>
      <c r="W2320" s="382">
        <v>0</v>
      </c>
      <c r="X2320" s="381">
        <v>6.1799999999999994E-2</v>
      </c>
      <c r="Y2320" s="381">
        <v>6.1600000000000002E-2</v>
      </c>
      <c r="Z2320" s="381">
        <v>1.46E-4</v>
      </c>
      <c r="AA2320" s="381">
        <v>8.9900000000000004E-8</v>
      </c>
      <c r="AB2320" s="381">
        <v>0</v>
      </c>
      <c r="AC2320" s="382">
        <v>6.1746089900000002E-2</v>
      </c>
      <c r="AD2320" s="382">
        <v>0</v>
      </c>
      <c r="AE2320" s="381" t="s">
        <v>168</v>
      </c>
    </row>
    <row r="2321" spans="1:31" ht="15" customHeight="1" x14ac:dyDescent="0.25">
      <c r="A2321" s="20" t="s">
        <v>2913</v>
      </c>
      <c r="B2321" s="20" t="s">
        <v>2913</v>
      </c>
      <c r="C2321" s="20" t="s">
        <v>2913</v>
      </c>
      <c r="D2321" s="378" t="s">
        <v>3190</v>
      </c>
      <c r="E2321" s="384" t="s">
        <v>2920</v>
      </c>
      <c r="F2321" s="384" t="s">
        <v>2921</v>
      </c>
      <c r="G2321" s="385" t="s">
        <v>2928</v>
      </c>
      <c r="H2321" s="385" t="s">
        <v>2922</v>
      </c>
      <c r="I2321" s="378">
        <v>1</v>
      </c>
      <c r="J2321" s="385" t="s">
        <v>163</v>
      </c>
      <c r="K2321" s="378" t="s">
        <v>2923</v>
      </c>
      <c r="L2321" s="378" t="s">
        <v>2848</v>
      </c>
      <c r="M2321" s="380">
        <v>2400</v>
      </c>
      <c r="N2321" s="380"/>
      <c r="O2321" s="380"/>
      <c r="P2321" s="380"/>
      <c r="Q2321" s="381">
        <v>61.8</v>
      </c>
      <c r="R2321" s="381">
        <v>61.6</v>
      </c>
      <c r="S2321" s="381">
        <v>0.14599999999999999</v>
      </c>
      <c r="T2321" s="381">
        <v>8.9900000000000003E-5</v>
      </c>
      <c r="U2321" s="381">
        <v>0</v>
      </c>
      <c r="V2321" s="382">
        <v>61.746089900000001</v>
      </c>
      <c r="W2321" s="382">
        <v>0</v>
      </c>
      <c r="X2321" s="381">
        <v>6.1799999999999994E-2</v>
      </c>
      <c r="Y2321" s="381">
        <v>6.1600000000000002E-2</v>
      </c>
      <c r="Z2321" s="381">
        <v>1.46E-4</v>
      </c>
      <c r="AA2321" s="381">
        <v>8.9900000000000004E-8</v>
      </c>
      <c r="AB2321" s="381">
        <v>0</v>
      </c>
      <c r="AC2321" s="382">
        <v>6.1746089900000002E-2</v>
      </c>
      <c r="AD2321" s="382">
        <v>0</v>
      </c>
      <c r="AE2321" s="381" t="s">
        <v>168</v>
      </c>
    </row>
    <row r="2322" spans="1:31" ht="15" customHeight="1" x14ac:dyDescent="0.25">
      <c r="A2322" s="20" t="s">
        <v>2913</v>
      </c>
      <c r="B2322" s="20" t="s">
        <v>2913</v>
      </c>
      <c r="C2322" s="20" t="s">
        <v>2913</v>
      </c>
      <c r="D2322" s="378" t="s">
        <v>3191</v>
      </c>
      <c r="E2322" s="384" t="s">
        <v>2920</v>
      </c>
      <c r="F2322" s="384" t="s">
        <v>2921</v>
      </c>
      <c r="G2322" s="385" t="s">
        <v>179</v>
      </c>
      <c r="H2322" s="385" t="s">
        <v>2922</v>
      </c>
      <c r="I2322" s="378">
        <v>1</v>
      </c>
      <c r="J2322" s="385" t="s">
        <v>163</v>
      </c>
      <c r="K2322" s="378" t="s">
        <v>2923</v>
      </c>
      <c r="L2322" s="378" t="s">
        <v>2848</v>
      </c>
      <c r="M2322" s="380">
        <v>2400</v>
      </c>
      <c r="N2322" s="380"/>
      <c r="O2322" s="380"/>
      <c r="P2322" s="380"/>
      <c r="Q2322" s="381">
        <v>54.8</v>
      </c>
      <c r="R2322" s="381">
        <v>54.7</v>
      </c>
      <c r="S2322" s="381">
        <v>4.9099999999999998E-2</v>
      </c>
      <c r="T2322" s="381">
        <v>7.0300000000000001E-5</v>
      </c>
      <c r="U2322" s="381">
        <v>0</v>
      </c>
      <c r="V2322" s="382">
        <v>54.749170300000003</v>
      </c>
      <c r="W2322" s="382">
        <v>0</v>
      </c>
      <c r="X2322" s="381">
        <v>5.4799999999999995E-2</v>
      </c>
      <c r="Y2322" s="381">
        <v>5.4700000000000006E-2</v>
      </c>
      <c r="Z2322" s="381">
        <v>4.9100000000000001E-5</v>
      </c>
      <c r="AA2322" s="381">
        <v>7.0300000000000001E-8</v>
      </c>
      <c r="AB2322" s="381">
        <v>0</v>
      </c>
      <c r="AC2322" s="382">
        <v>5.4749170300000011E-2</v>
      </c>
      <c r="AD2322" s="382">
        <v>0</v>
      </c>
      <c r="AE2322" s="381" t="s">
        <v>168</v>
      </c>
    </row>
    <row r="2323" spans="1:31" ht="15" customHeight="1" x14ac:dyDescent="0.25">
      <c r="A2323" s="20" t="s">
        <v>2913</v>
      </c>
      <c r="B2323" s="20" t="s">
        <v>2913</v>
      </c>
      <c r="C2323" s="20" t="s">
        <v>2913</v>
      </c>
      <c r="D2323" s="378" t="s">
        <v>3192</v>
      </c>
      <c r="E2323" s="384" t="s">
        <v>2932</v>
      </c>
      <c r="F2323" s="384" t="s">
        <v>2933</v>
      </c>
      <c r="G2323" s="385" t="s">
        <v>281</v>
      </c>
      <c r="H2323" s="385" t="s">
        <v>2942</v>
      </c>
      <c r="I2323" s="378">
        <v>1</v>
      </c>
      <c r="J2323" s="385" t="s">
        <v>163</v>
      </c>
      <c r="K2323" s="378" t="s">
        <v>2943</v>
      </c>
      <c r="L2323" s="378" t="s">
        <v>2848</v>
      </c>
      <c r="M2323" s="380">
        <v>2400</v>
      </c>
      <c r="N2323" s="380"/>
      <c r="O2323" s="380"/>
      <c r="P2323" s="380"/>
      <c r="Q2323" s="381">
        <v>61.4</v>
      </c>
      <c r="R2323" s="381">
        <v>61.3</v>
      </c>
      <c r="S2323" s="381">
        <v>4.19E-2</v>
      </c>
      <c r="T2323" s="381">
        <v>1.01E-4</v>
      </c>
      <c r="U2323" s="381">
        <v>0</v>
      </c>
      <c r="V2323" s="382">
        <v>61.342000999999996</v>
      </c>
      <c r="W2323" s="382">
        <v>0</v>
      </c>
      <c r="X2323" s="381">
        <v>6.1399999999999996E-2</v>
      </c>
      <c r="Y2323" s="381">
        <v>6.13E-2</v>
      </c>
      <c r="Z2323" s="381">
        <v>4.1900000000000002E-5</v>
      </c>
      <c r="AA2323" s="381">
        <v>1.01E-7</v>
      </c>
      <c r="AB2323" s="381">
        <v>0</v>
      </c>
      <c r="AC2323" s="382">
        <v>6.1342001E-2</v>
      </c>
      <c r="AD2323" s="382">
        <v>0</v>
      </c>
      <c r="AE2323" s="381" t="s">
        <v>168</v>
      </c>
    </row>
    <row r="2324" spans="1:31" ht="15" customHeight="1" x14ac:dyDescent="0.25">
      <c r="A2324" s="20" t="s">
        <v>2913</v>
      </c>
      <c r="B2324" s="20" t="s">
        <v>2913</v>
      </c>
      <c r="C2324" s="20" t="s">
        <v>2913</v>
      </c>
      <c r="D2324" s="378" t="s">
        <v>3193</v>
      </c>
      <c r="E2324" s="384" t="s">
        <v>2932</v>
      </c>
      <c r="F2324" s="384" t="s">
        <v>2933</v>
      </c>
      <c r="G2324" s="385" t="s">
        <v>281</v>
      </c>
      <c r="H2324" s="385" t="s">
        <v>2942</v>
      </c>
      <c r="I2324" s="378">
        <v>1</v>
      </c>
      <c r="J2324" s="385" t="s">
        <v>163</v>
      </c>
      <c r="K2324" s="378" t="s">
        <v>2943</v>
      </c>
      <c r="L2324" s="378" t="s">
        <v>2848</v>
      </c>
      <c r="M2324" s="380">
        <v>2400</v>
      </c>
      <c r="N2324" s="380"/>
      <c r="O2324" s="380"/>
      <c r="P2324" s="380"/>
      <c r="Q2324" s="381">
        <v>64.599999999999994</v>
      </c>
      <c r="R2324" s="381">
        <v>64.5</v>
      </c>
      <c r="S2324" s="381">
        <v>3.6999999999999998E-2</v>
      </c>
      <c r="T2324" s="381">
        <v>6.8300000000000007E-5</v>
      </c>
      <c r="U2324" s="381">
        <v>0</v>
      </c>
      <c r="V2324" s="382">
        <v>64.537068300000001</v>
      </c>
      <c r="W2324" s="382">
        <v>0</v>
      </c>
      <c r="X2324" s="381">
        <v>6.4599999999999991E-2</v>
      </c>
      <c r="Y2324" s="381">
        <v>6.4500000000000002E-2</v>
      </c>
      <c r="Z2324" s="381">
        <v>3.6999999999999998E-5</v>
      </c>
      <c r="AA2324" s="381">
        <v>6.8300000000000009E-8</v>
      </c>
      <c r="AB2324" s="381">
        <v>0</v>
      </c>
      <c r="AC2324" s="382">
        <v>6.45370683E-2</v>
      </c>
      <c r="AD2324" s="382">
        <v>0</v>
      </c>
      <c r="AE2324" s="381" t="s">
        <v>168</v>
      </c>
    </row>
    <row r="2325" spans="1:31" ht="15" customHeight="1" x14ac:dyDescent="0.25">
      <c r="A2325" s="20" t="s">
        <v>2913</v>
      </c>
      <c r="B2325" s="20" t="s">
        <v>2913</v>
      </c>
      <c r="C2325" s="20" t="s">
        <v>2913</v>
      </c>
      <c r="D2325" s="378" t="s">
        <v>3194</v>
      </c>
      <c r="E2325" s="384" t="s">
        <v>2920</v>
      </c>
      <c r="F2325" s="384" t="s">
        <v>2921</v>
      </c>
      <c r="G2325" s="385" t="s">
        <v>193</v>
      </c>
      <c r="H2325" s="385" t="s">
        <v>2922</v>
      </c>
      <c r="I2325" s="378">
        <v>1</v>
      </c>
      <c r="J2325" s="385" t="s">
        <v>163</v>
      </c>
      <c r="K2325" s="378" t="s">
        <v>2923</v>
      </c>
      <c r="L2325" s="378" t="s">
        <v>2848</v>
      </c>
      <c r="M2325" s="380">
        <v>2400</v>
      </c>
      <c r="N2325" s="380"/>
      <c r="O2325" s="380"/>
      <c r="P2325" s="380"/>
      <c r="Q2325" s="381">
        <v>58</v>
      </c>
      <c r="R2325" s="381">
        <v>57.9</v>
      </c>
      <c r="S2325" s="381">
        <v>4.1500000000000002E-2</v>
      </c>
      <c r="T2325" s="381">
        <v>8.0099999999999995E-5</v>
      </c>
      <c r="U2325" s="381">
        <v>0</v>
      </c>
      <c r="V2325" s="382">
        <v>57.941580099999996</v>
      </c>
      <c r="W2325" s="382">
        <v>0</v>
      </c>
      <c r="X2325" s="381">
        <v>5.8000000000000003E-2</v>
      </c>
      <c r="Y2325" s="381">
        <v>5.79E-2</v>
      </c>
      <c r="Z2325" s="381">
        <v>4.1499999999999999E-5</v>
      </c>
      <c r="AA2325" s="381">
        <v>8.0099999999999996E-8</v>
      </c>
      <c r="AB2325" s="381">
        <v>0</v>
      </c>
      <c r="AC2325" s="382">
        <v>5.7941580100000001E-2</v>
      </c>
      <c r="AD2325" s="382">
        <v>0</v>
      </c>
      <c r="AE2325" s="381" t="s">
        <v>168</v>
      </c>
    </row>
    <row r="2326" spans="1:31" ht="15" customHeight="1" x14ac:dyDescent="0.25">
      <c r="A2326" s="20" t="s">
        <v>2913</v>
      </c>
      <c r="B2326" s="20" t="s">
        <v>2913</v>
      </c>
      <c r="C2326" s="20" t="s">
        <v>2913</v>
      </c>
      <c r="D2326" s="378" t="s">
        <v>3195</v>
      </c>
      <c r="E2326" s="384" t="s">
        <v>2932</v>
      </c>
      <c r="F2326" s="384" t="s">
        <v>2933</v>
      </c>
      <c r="G2326" s="385" t="s">
        <v>281</v>
      </c>
      <c r="H2326" s="385" t="s">
        <v>2942</v>
      </c>
      <c r="I2326" s="378">
        <v>1</v>
      </c>
      <c r="J2326" s="385" t="s">
        <v>163</v>
      </c>
      <c r="K2326" s="378" t="s">
        <v>2943</v>
      </c>
      <c r="L2326" s="378" t="s">
        <v>2848</v>
      </c>
      <c r="M2326" s="380">
        <v>2400</v>
      </c>
      <c r="N2326" s="380"/>
      <c r="O2326" s="380"/>
      <c r="P2326" s="380"/>
      <c r="Q2326" s="381">
        <v>58</v>
      </c>
      <c r="R2326" s="381">
        <v>57.9</v>
      </c>
      <c r="S2326" s="381">
        <v>3.9199999999999999E-2</v>
      </c>
      <c r="T2326" s="381">
        <v>8.6399999999999999E-5</v>
      </c>
      <c r="U2326" s="381">
        <v>0</v>
      </c>
      <c r="V2326" s="382">
        <v>57.9392864</v>
      </c>
      <c r="W2326" s="382">
        <v>0</v>
      </c>
      <c r="X2326" s="381">
        <v>5.8000000000000003E-2</v>
      </c>
      <c r="Y2326" s="381">
        <v>5.79E-2</v>
      </c>
      <c r="Z2326" s="381">
        <v>3.9199999999999997E-5</v>
      </c>
      <c r="AA2326" s="381">
        <v>8.6400000000000006E-8</v>
      </c>
      <c r="AB2326" s="381">
        <v>0</v>
      </c>
      <c r="AC2326" s="382">
        <v>5.7939286400000005E-2</v>
      </c>
      <c r="AD2326" s="382">
        <v>0</v>
      </c>
      <c r="AE2326" s="381" t="s">
        <v>168</v>
      </c>
    </row>
    <row r="2327" spans="1:31" ht="15" customHeight="1" x14ac:dyDescent="0.25">
      <c r="A2327" s="20" t="s">
        <v>2913</v>
      </c>
      <c r="B2327" s="20" t="s">
        <v>2913</v>
      </c>
      <c r="C2327" s="20" t="s">
        <v>2913</v>
      </c>
      <c r="D2327" s="378" t="s">
        <v>3196</v>
      </c>
      <c r="E2327" s="384" t="s">
        <v>2920</v>
      </c>
      <c r="F2327" s="384" t="s">
        <v>2921</v>
      </c>
      <c r="G2327" s="385" t="s">
        <v>160</v>
      </c>
      <c r="H2327" s="385" t="s">
        <v>2922</v>
      </c>
      <c r="I2327" s="378">
        <v>1</v>
      </c>
      <c r="J2327" s="385" t="s">
        <v>163</v>
      </c>
      <c r="K2327" s="378" t="s">
        <v>2923</v>
      </c>
      <c r="L2327" s="378" t="s">
        <v>2848</v>
      </c>
      <c r="M2327" s="380">
        <v>2400</v>
      </c>
      <c r="N2327" s="380"/>
      <c r="O2327" s="380"/>
      <c r="P2327" s="380"/>
      <c r="Q2327" s="381">
        <v>53.6</v>
      </c>
      <c r="R2327" s="381">
        <v>53.5</v>
      </c>
      <c r="S2327" s="381">
        <v>4.3099999999999999E-2</v>
      </c>
      <c r="T2327" s="381">
        <v>7.1400000000000001E-5</v>
      </c>
      <c r="U2327" s="381">
        <v>0</v>
      </c>
      <c r="V2327" s="382">
        <v>53.543171400000006</v>
      </c>
      <c r="W2327" s="382">
        <v>0</v>
      </c>
      <c r="X2327" s="381">
        <v>5.3600000000000002E-2</v>
      </c>
      <c r="Y2327" s="381">
        <v>5.3499999999999999E-2</v>
      </c>
      <c r="Z2327" s="381">
        <v>4.3099999999999997E-5</v>
      </c>
      <c r="AA2327" s="381">
        <v>7.1400000000000004E-8</v>
      </c>
      <c r="AB2327" s="381">
        <v>0</v>
      </c>
      <c r="AC2327" s="382">
        <v>5.3543171399999999E-2</v>
      </c>
      <c r="AD2327" s="382">
        <v>0</v>
      </c>
      <c r="AE2327" s="381" t="s">
        <v>168</v>
      </c>
    </row>
    <row r="2328" spans="1:31" ht="15" customHeight="1" x14ac:dyDescent="0.25">
      <c r="A2328" s="20" t="s">
        <v>2913</v>
      </c>
      <c r="B2328" s="20" t="s">
        <v>2913</v>
      </c>
      <c r="C2328" s="20" t="s">
        <v>2913</v>
      </c>
      <c r="D2328" s="378" t="s">
        <v>3197</v>
      </c>
      <c r="E2328" s="384" t="s">
        <v>2932</v>
      </c>
      <c r="F2328" s="384" t="s">
        <v>2933</v>
      </c>
      <c r="G2328" s="385" t="s">
        <v>179</v>
      </c>
      <c r="H2328" s="385" t="s">
        <v>2934</v>
      </c>
      <c r="I2328" s="378">
        <v>1</v>
      </c>
      <c r="J2328" s="385" t="s">
        <v>163</v>
      </c>
      <c r="K2328" s="378" t="s">
        <v>2935</v>
      </c>
      <c r="L2328" s="378" t="s">
        <v>2848</v>
      </c>
      <c r="M2328" s="380">
        <v>2400</v>
      </c>
      <c r="N2328" s="380"/>
      <c r="O2328" s="380"/>
      <c r="P2328" s="380"/>
      <c r="Q2328" s="381">
        <v>64.7</v>
      </c>
      <c r="R2328" s="381">
        <v>64.599999999999994</v>
      </c>
      <c r="S2328" s="381">
        <v>2.8799999999999999E-2</v>
      </c>
      <c r="T2328" s="381">
        <v>1.7100000000000001E-4</v>
      </c>
      <c r="U2328" s="381">
        <v>0</v>
      </c>
      <c r="V2328" s="382">
        <v>64.628970999999993</v>
      </c>
      <c r="W2328" s="382">
        <v>0</v>
      </c>
      <c r="X2328" s="381">
        <v>6.4700000000000008E-2</v>
      </c>
      <c r="Y2328" s="381">
        <v>6.4599999999999991E-2</v>
      </c>
      <c r="Z2328" s="381">
        <v>2.8799999999999999E-5</v>
      </c>
      <c r="AA2328" s="381">
        <v>1.7100000000000001E-7</v>
      </c>
      <c r="AB2328" s="381">
        <v>0</v>
      </c>
      <c r="AC2328" s="382">
        <v>6.462897099999998E-2</v>
      </c>
      <c r="AD2328" s="382">
        <v>0</v>
      </c>
      <c r="AE2328" s="381" t="s">
        <v>168</v>
      </c>
    </row>
    <row r="2329" spans="1:31" ht="15" customHeight="1" x14ac:dyDescent="0.25">
      <c r="A2329" s="20" t="s">
        <v>2913</v>
      </c>
      <c r="B2329" s="20" t="s">
        <v>2913</v>
      </c>
      <c r="C2329" s="20" t="s">
        <v>2913</v>
      </c>
      <c r="D2329" s="378" t="s">
        <v>3198</v>
      </c>
      <c r="E2329" s="384" t="s">
        <v>2932</v>
      </c>
      <c r="F2329" s="384" t="s">
        <v>2933</v>
      </c>
      <c r="G2329" s="385" t="s">
        <v>179</v>
      </c>
      <c r="H2329" s="385" t="s">
        <v>2934</v>
      </c>
      <c r="I2329" s="378">
        <v>1</v>
      </c>
      <c r="J2329" s="385" t="s">
        <v>163</v>
      </c>
      <c r="K2329" s="378" t="s">
        <v>2935</v>
      </c>
      <c r="L2329" s="378" t="s">
        <v>2848</v>
      </c>
      <c r="M2329" s="380">
        <v>2400</v>
      </c>
      <c r="N2329" s="380"/>
      <c r="O2329" s="380"/>
      <c r="P2329" s="380"/>
      <c r="Q2329" s="381">
        <v>62.4</v>
      </c>
      <c r="R2329" s="381">
        <v>62.3</v>
      </c>
      <c r="S2329" s="381">
        <v>2.8000000000000001E-2</v>
      </c>
      <c r="T2329" s="381">
        <v>1.5899999999999999E-4</v>
      </c>
      <c r="U2329" s="381">
        <v>0</v>
      </c>
      <c r="V2329" s="382">
        <v>62.328158999999992</v>
      </c>
      <c r="W2329" s="382">
        <v>0</v>
      </c>
      <c r="X2329" s="381">
        <v>6.2399999999999997E-2</v>
      </c>
      <c r="Y2329" s="381">
        <v>6.2299999999999994E-2</v>
      </c>
      <c r="Z2329" s="381">
        <v>2.8E-5</v>
      </c>
      <c r="AA2329" s="381">
        <v>1.5899999999999998E-7</v>
      </c>
      <c r="AB2329" s="381">
        <v>0</v>
      </c>
      <c r="AC2329" s="382">
        <v>6.2328158999999994E-2</v>
      </c>
      <c r="AD2329" s="382">
        <v>0</v>
      </c>
      <c r="AE2329" s="381" t="s">
        <v>168</v>
      </c>
    </row>
    <row r="2330" spans="1:31" ht="15" customHeight="1" x14ac:dyDescent="0.25">
      <c r="A2330" s="20" t="s">
        <v>2913</v>
      </c>
      <c r="B2330" s="20" t="s">
        <v>2913</v>
      </c>
      <c r="C2330" s="20" t="s">
        <v>2913</v>
      </c>
      <c r="D2330" s="378" t="s">
        <v>3199</v>
      </c>
      <c r="E2330" s="384" t="s">
        <v>2920</v>
      </c>
      <c r="F2330" s="384" t="s">
        <v>2921</v>
      </c>
      <c r="G2330" s="385" t="s">
        <v>2928</v>
      </c>
      <c r="H2330" s="385" t="s">
        <v>2922</v>
      </c>
      <c r="I2330" s="378">
        <v>1</v>
      </c>
      <c r="J2330" s="385" t="s">
        <v>163</v>
      </c>
      <c r="K2330" s="378" t="s">
        <v>2923</v>
      </c>
      <c r="L2330" s="378" t="s">
        <v>2848</v>
      </c>
      <c r="M2330" s="380">
        <v>2400</v>
      </c>
      <c r="N2330" s="380"/>
      <c r="O2330" s="380"/>
      <c r="P2330" s="380"/>
      <c r="Q2330" s="381">
        <v>63.9</v>
      </c>
      <c r="R2330" s="381">
        <v>63.1</v>
      </c>
      <c r="S2330" s="381">
        <v>0.72399999999999998</v>
      </c>
      <c r="T2330" s="381">
        <v>1.2099999999999999E-3</v>
      </c>
      <c r="U2330" s="381">
        <v>0</v>
      </c>
      <c r="V2330" s="382">
        <v>63.825209999999998</v>
      </c>
      <c r="W2330" s="382">
        <v>0</v>
      </c>
      <c r="X2330" s="381">
        <v>6.3899999999999998E-2</v>
      </c>
      <c r="Y2330" s="381">
        <v>6.3100000000000003E-2</v>
      </c>
      <c r="Z2330" s="381">
        <v>7.2399999999999993E-4</v>
      </c>
      <c r="AA2330" s="381">
        <v>1.2099999999999998E-6</v>
      </c>
      <c r="AB2330" s="381">
        <v>0</v>
      </c>
      <c r="AC2330" s="382">
        <v>6.3825210000000007E-2</v>
      </c>
      <c r="AD2330" s="382">
        <v>0</v>
      </c>
      <c r="AE2330" s="381" t="s">
        <v>168</v>
      </c>
    </row>
    <row r="2331" spans="1:31" ht="15" customHeight="1" x14ac:dyDescent="0.25">
      <c r="A2331" s="20" t="s">
        <v>2913</v>
      </c>
      <c r="B2331" s="20" t="s">
        <v>2913</v>
      </c>
      <c r="C2331" s="20" t="s">
        <v>2913</v>
      </c>
      <c r="D2331" s="378" t="s">
        <v>3200</v>
      </c>
      <c r="E2331" s="384" t="s">
        <v>2920</v>
      </c>
      <c r="F2331" s="384" t="s">
        <v>2921</v>
      </c>
      <c r="G2331" s="385" t="s">
        <v>179</v>
      </c>
      <c r="H2331" s="385" t="s">
        <v>2922</v>
      </c>
      <c r="I2331" s="378">
        <v>1</v>
      </c>
      <c r="J2331" s="385" t="s">
        <v>163</v>
      </c>
      <c r="K2331" s="378" t="s">
        <v>2923</v>
      </c>
      <c r="L2331" s="378" t="s">
        <v>2848</v>
      </c>
      <c r="M2331" s="380">
        <v>2400</v>
      </c>
      <c r="N2331" s="380"/>
      <c r="O2331" s="380"/>
      <c r="P2331" s="380"/>
      <c r="Q2331" s="381">
        <v>49.1</v>
      </c>
      <c r="R2331" s="381">
        <v>49</v>
      </c>
      <c r="S2331" s="381">
        <v>4.1099999999999998E-2</v>
      </c>
      <c r="T2331" s="381">
        <v>5.8900000000000002E-5</v>
      </c>
      <c r="U2331" s="381">
        <v>0</v>
      </c>
      <c r="V2331" s="382">
        <v>49.041158899999999</v>
      </c>
      <c r="W2331" s="382">
        <v>0</v>
      </c>
      <c r="X2331" s="381">
        <v>4.9100000000000005E-2</v>
      </c>
      <c r="Y2331" s="381">
        <v>4.9000000000000002E-2</v>
      </c>
      <c r="Z2331" s="381">
        <v>4.1099999999999996E-5</v>
      </c>
      <c r="AA2331" s="381">
        <v>5.8900000000000005E-8</v>
      </c>
      <c r="AB2331" s="381">
        <v>0</v>
      </c>
      <c r="AC2331" s="382">
        <v>4.9041158900000006E-2</v>
      </c>
      <c r="AD2331" s="382">
        <v>0</v>
      </c>
      <c r="AE2331" s="381" t="s">
        <v>168</v>
      </c>
    </row>
    <row r="2332" spans="1:31" ht="15" customHeight="1" x14ac:dyDescent="0.25">
      <c r="A2332" s="20" t="s">
        <v>2913</v>
      </c>
      <c r="B2332" s="20" t="s">
        <v>2913</v>
      </c>
      <c r="C2332" s="20" t="s">
        <v>2913</v>
      </c>
      <c r="D2332" s="378" t="s">
        <v>3201</v>
      </c>
      <c r="E2332" s="384" t="s">
        <v>2932</v>
      </c>
      <c r="F2332" s="384" t="s">
        <v>2933</v>
      </c>
      <c r="G2332" s="385" t="s">
        <v>179</v>
      </c>
      <c r="H2332" s="385" t="s">
        <v>2934</v>
      </c>
      <c r="I2332" s="378">
        <v>1</v>
      </c>
      <c r="J2332" s="385" t="s">
        <v>163</v>
      </c>
      <c r="K2332" s="378" t="s">
        <v>2935</v>
      </c>
      <c r="L2332" s="378" t="s">
        <v>2848</v>
      </c>
      <c r="M2332" s="380">
        <v>2400</v>
      </c>
      <c r="N2332" s="380"/>
      <c r="O2332" s="380"/>
      <c r="P2332" s="380"/>
      <c r="Q2332" s="381">
        <v>60.2</v>
      </c>
      <c r="R2332" s="381">
        <v>60.1</v>
      </c>
      <c r="S2332" s="381">
        <v>2.75E-2</v>
      </c>
      <c r="T2332" s="381">
        <v>1.3300000000000001E-4</v>
      </c>
      <c r="U2332" s="381">
        <v>0</v>
      </c>
      <c r="V2332" s="382">
        <v>60.127633000000003</v>
      </c>
      <c r="W2332" s="382">
        <v>0</v>
      </c>
      <c r="X2332" s="381">
        <v>6.0200000000000004E-2</v>
      </c>
      <c r="Y2332" s="381">
        <v>6.0100000000000001E-2</v>
      </c>
      <c r="Z2332" s="381">
        <v>2.7500000000000001E-5</v>
      </c>
      <c r="AA2332" s="381">
        <v>1.3300000000000001E-7</v>
      </c>
      <c r="AB2332" s="381">
        <v>0</v>
      </c>
      <c r="AC2332" s="382">
        <v>6.0127633E-2</v>
      </c>
      <c r="AD2332" s="382">
        <v>0</v>
      </c>
      <c r="AE2332" s="381" t="s">
        <v>168</v>
      </c>
    </row>
    <row r="2333" spans="1:31" ht="15" customHeight="1" x14ac:dyDescent="0.25">
      <c r="A2333" s="20" t="s">
        <v>2913</v>
      </c>
      <c r="B2333" s="20" t="s">
        <v>2913</v>
      </c>
      <c r="C2333" s="20" t="s">
        <v>2913</v>
      </c>
      <c r="D2333" s="378" t="s">
        <v>3202</v>
      </c>
      <c r="E2333" s="384" t="s">
        <v>2932</v>
      </c>
      <c r="F2333" s="384" t="s">
        <v>2933</v>
      </c>
      <c r="G2333" s="385" t="s">
        <v>179</v>
      </c>
      <c r="H2333" s="385" t="s">
        <v>2934</v>
      </c>
      <c r="I2333" s="378">
        <v>1</v>
      </c>
      <c r="J2333" s="385" t="s">
        <v>163</v>
      </c>
      <c r="K2333" s="378" t="s">
        <v>2935</v>
      </c>
      <c r="L2333" s="378" t="s">
        <v>2848</v>
      </c>
      <c r="M2333" s="380">
        <v>2400</v>
      </c>
      <c r="N2333" s="380"/>
      <c r="O2333" s="380"/>
      <c r="P2333" s="380"/>
      <c r="Q2333" s="381">
        <v>63.9</v>
      </c>
      <c r="R2333" s="381">
        <v>63.8</v>
      </c>
      <c r="S2333" s="381">
        <v>1.89E-2</v>
      </c>
      <c r="T2333" s="381">
        <v>1.9699999999999999E-4</v>
      </c>
      <c r="U2333" s="381">
        <v>0</v>
      </c>
      <c r="V2333" s="382">
        <v>63.819096999999999</v>
      </c>
      <c r="W2333" s="382">
        <v>0</v>
      </c>
      <c r="X2333" s="381">
        <v>6.3899999999999998E-2</v>
      </c>
      <c r="Y2333" s="381">
        <v>6.3799999999999996E-2</v>
      </c>
      <c r="Z2333" s="381">
        <v>1.8899999999999999E-5</v>
      </c>
      <c r="AA2333" s="381">
        <v>1.97E-7</v>
      </c>
      <c r="AB2333" s="381">
        <v>0</v>
      </c>
      <c r="AC2333" s="382">
        <v>6.3819096999999991E-2</v>
      </c>
      <c r="AD2333" s="382">
        <v>0</v>
      </c>
      <c r="AE2333" s="381" t="s">
        <v>168</v>
      </c>
    </row>
    <row r="2334" spans="1:31" ht="15" customHeight="1" x14ac:dyDescent="0.25">
      <c r="A2334" s="20" t="s">
        <v>2913</v>
      </c>
      <c r="B2334" s="20" t="s">
        <v>2913</v>
      </c>
      <c r="C2334" s="20" t="s">
        <v>2913</v>
      </c>
      <c r="D2334" s="378" t="s">
        <v>3203</v>
      </c>
      <c r="E2334" s="384" t="s">
        <v>2932</v>
      </c>
      <c r="F2334" s="384" t="s">
        <v>2933</v>
      </c>
      <c r="G2334" s="385" t="s">
        <v>179</v>
      </c>
      <c r="H2334" s="385" t="s">
        <v>2934</v>
      </c>
      <c r="I2334" s="378">
        <v>1</v>
      </c>
      <c r="J2334" s="385" t="s">
        <v>163</v>
      </c>
      <c r="K2334" s="378" t="s">
        <v>2935</v>
      </c>
      <c r="L2334" s="378" t="s">
        <v>2848</v>
      </c>
      <c r="M2334" s="380">
        <v>2400</v>
      </c>
      <c r="N2334" s="380"/>
      <c r="O2334" s="380"/>
      <c r="P2334" s="380"/>
      <c r="Q2334" s="381">
        <v>63.5</v>
      </c>
      <c r="R2334" s="381">
        <v>63.4</v>
      </c>
      <c r="S2334" s="381">
        <v>1.8700000000000001E-2</v>
      </c>
      <c r="T2334" s="381">
        <v>1.75E-4</v>
      </c>
      <c r="U2334" s="381">
        <v>0</v>
      </c>
      <c r="V2334" s="382">
        <v>63.418875</v>
      </c>
      <c r="W2334" s="382">
        <v>0</v>
      </c>
      <c r="X2334" s="381">
        <v>6.3500000000000001E-2</v>
      </c>
      <c r="Y2334" s="381">
        <v>6.3399999999999998E-2</v>
      </c>
      <c r="Z2334" s="381">
        <v>1.8700000000000001E-5</v>
      </c>
      <c r="AA2334" s="381">
        <v>1.7499999999999999E-7</v>
      </c>
      <c r="AB2334" s="381">
        <v>0</v>
      </c>
      <c r="AC2334" s="382">
        <v>6.3418875E-2</v>
      </c>
      <c r="AD2334" s="382">
        <v>0</v>
      </c>
      <c r="AE2334" s="381" t="s">
        <v>168</v>
      </c>
    </row>
    <row r="2335" spans="1:31" ht="15" customHeight="1" x14ac:dyDescent="0.25">
      <c r="A2335" s="20" t="s">
        <v>2913</v>
      </c>
      <c r="B2335" s="20" t="s">
        <v>2913</v>
      </c>
      <c r="C2335" s="20" t="s">
        <v>2913</v>
      </c>
      <c r="D2335" s="378" t="s">
        <v>3204</v>
      </c>
      <c r="E2335" s="384" t="s">
        <v>2932</v>
      </c>
      <c r="F2335" s="384" t="s">
        <v>2933</v>
      </c>
      <c r="G2335" s="385" t="s">
        <v>179</v>
      </c>
      <c r="H2335" s="385" t="s">
        <v>2934</v>
      </c>
      <c r="I2335" s="378">
        <v>1</v>
      </c>
      <c r="J2335" s="385" t="s">
        <v>163</v>
      </c>
      <c r="K2335" s="378" t="s">
        <v>2935</v>
      </c>
      <c r="L2335" s="378" t="s">
        <v>2848</v>
      </c>
      <c r="M2335" s="380">
        <v>2400</v>
      </c>
      <c r="N2335" s="380"/>
      <c r="O2335" s="380"/>
      <c r="P2335" s="380"/>
      <c r="Q2335" s="381">
        <v>60.8</v>
      </c>
      <c r="R2335" s="381">
        <v>60.7</v>
      </c>
      <c r="S2335" s="381">
        <v>2.07E-2</v>
      </c>
      <c r="T2335" s="381">
        <v>2.1800000000000001E-4</v>
      </c>
      <c r="U2335" s="381">
        <v>0</v>
      </c>
      <c r="V2335" s="382">
        <v>60.720917999999998</v>
      </c>
      <c r="W2335" s="382">
        <v>0</v>
      </c>
      <c r="X2335" s="381">
        <v>6.08E-2</v>
      </c>
      <c r="Y2335" s="381">
        <v>6.0700000000000004E-2</v>
      </c>
      <c r="Z2335" s="381">
        <v>2.0699999999999998E-5</v>
      </c>
      <c r="AA2335" s="381">
        <v>2.1800000000000002E-7</v>
      </c>
      <c r="AB2335" s="381">
        <v>0</v>
      </c>
      <c r="AC2335" s="382">
        <v>6.0720918000000006E-2</v>
      </c>
      <c r="AD2335" s="382">
        <v>0</v>
      </c>
      <c r="AE2335" s="381" t="s">
        <v>168</v>
      </c>
    </row>
    <row r="2336" spans="1:31" ht="15" customHeight="1" x14ac:dyDescent="0.25">
      <c r="A2336" s="20" t="s">
        <v>2913</v>
      </c>
      <c r="B2336" s="20" t="s">
        <v>2913</v>
      </c>
      <c r="C2336" s="20" t="s">
        <v>2913</v>
      </c>
      <c r="D2336" s="378" t="s">
        <v>3205</v>
      </c>
      <c r="E2336" s="384" t="s">
        <v>2932</v>
      </c>
      <c r="F2336" s="384" t="s">
        <v>2933</v>
      </c>
      <c r="G2336" s="385" t="s">
        <v>281</v>
      </c>
      <c r="H2336" s="385" t="s">
        <v>2942</v>
      </c>
      <c r="I2336" s="378">
        <v>1</v>
      </c>
      <c r="J2336" s="385" t="s">
        <v>163</v>
      </c>
      <c r="K2336" s="378" t="s">
        <v>2943</v>
      </c>
      <c r="L2336" s="378" t="s">
        <v>2848</v>
      </c>
      <c r="M2336" s="380">
        <v>2400</v>
      </c>
      <c r="N2336" s="380"/>
      <c r="O2336" s="380"/>
      <c r="P2336" s="380"/>
      <c r="Q2336" s="381">
        <v>68.2</v>
      </c>
      <c r="R2336" s="381">
        <v>67.2</v>
      </c>
      <c r="S2336" s="381">
        <v>0.90900000000000003</v>
      </c>
      <c r="T2336" s="381">
        <v>8.7000000000000001E-5</v>
      </c>
      <c r="U2336" s="381">
        <v>0</v>
      </c>
      <c r="V2336" s="382">
        <v>68.109087000000002</v>
      </c>
      <c r="W2336" s="382">
        <v>0</v>
      </c>
      <c r="X2336" s="381">
        <v>6.8199999999999997E-2</v>
      </c>
      <c r="Y2336" s="381">
        <v>6.720000000000001E-2</v>
      </c>
      <c r="Z2336" s="381">
        <v>9.0899999999999998E-4</v>
      </c>
      <c r="AA2336" s="381">
        <v>8.6999999999999998E-8</v>
      </c>
      <c r="AB2336" s="381">
        <v>0</v>
      </c>
      <c r="AC2336" s="382">
        <v>6.8109086999999999E-2</v>
      </c>
      <c r="AD2336" s="382">
        <v>0</v>
      </c>
      <c r="AE2336" s="381" t="s">
        <v>168</v>
      </c>
    </row>
    <row r="2337" spans="1:31" ht="15" customHeight="1" x14ac:dyDescent="0.25">
      <c r="A2337" s="20" t="s">
        <v>2913</v>
      </c>
      <c r="B2337" s="20" t="s">
        <v>2913</v>
      </c>
      <c r="C2337" s="20" t="s">
        <v>2913</v>
      </c>
      <c r="D2337" s="378" t="s">
        <v>3206</v>
      </c>
      <c r="E2337" s="384" t="s">
        <v>2920</v>
      </c>
      <c r="F2337" s="384" t="s">
        <v>2921</v>
      </c>
      <c r="G2337" s="385" t="s">
        <v>281</v>
      </c>
      <c r="H2337" s="385" t="s">
        <v>2922</v>
      </c>
      <c r="I2337" s="378">
        <v>1</v>
      </c>
      <c r="J2337" s="385" t="s">
        <v>163</v>
      </c>
      <c r="K2337" s="378" t="s">
        <v>2923</v>
      </c>
      <c r="L2337" s="378" t="s">
        <v>2848</v>
      </c>
      <c r="M2337" s="380">
        <v>2400</v>
      </c>
      <c r="N2337" s="380"/>
      <c r="O2337" s="380"/>
      <c r="P2337" s="380"/>
      <c r="Q2337" s="381">
        <v>69.3</v>
      </c>
      <c r="R2337" s="381">
        <v>68</v>
      </c>
      <c r="S2337" s="381">
        <v>1.1599999999999999</v>
      </c>
      <c r="T2337" s="381">
        <v>2.3900000000000002E-3</v>
      </c>
      <c r="U2337" s="381">
        <v>0</v>
      </c>
      <c r="V2337" s="382">
        <v>69.162390000000002</v>
      </c>
      <c r="W2337" s="382">
        <v>0</v>
      </c>
      <c r="X2337" s="381">
        <v>6.93E-2</v>
      </c>
      <c r="Y2337" s="381">
        <v>6.8000000000000005E-2</v>
      </c>
      <c r="Z2337" s="381">
        <v>1.16E-3</v>
      </c>
      <c r="AA2337" s="381">
        <v>2.39E-6</v>
      </c>
      <c r="AB2337" s="381">
        <v>0</v>
      </c>
      <c r="AC2337" s="382">
        <v>6.9162390000000004E-2</v>
      </c>
      <c r="AD2337" s="382">
        <v>0</v>
      </c>
      <c r="AE2337" s="381" t="s">
        <v>168</v>
      </c>
    </row>
    <row r="2338" spans="1:31" ht="15" customHeight="1" x14ac:dyDescent="0.25">
      <c r="A2338" s="20" t="s">
        <v>2913</v>
      </c>
      <c r="B2338" s="20" t="s">
        <v>2913</v>
      </c>
      <c r="C2338" s="20" t="s">
        <v>2913</v>
      </c>
      <c r="D2338" s="378" t="s">
        <v>3207</v>
      </c>
      <c r="E2338" s="384" t="s">
        <v>2932</v>
      </c>
      <c r="F2338" s="384" t="s">
        <v>2933</v>
      </c>
      <c r="G2338" s="385" t="s">
        <v>281</v>
      </c>
      <c r="H2338" s="385" t="s">
        <v>2942</v>
      </c>
      <c r="I2338" s="378">
        <v>1</v>
      </c>
      <c r="J2338" s="385" t="s">
        <v>163</v>
      </c>
      <c r="K2338" s="378" t="s">
        <v>2943</v>
      </c>
      <c r="L2338" s="378" t="s">
        <v>2848</v>
      </c>
      <c r="M2338" s="380">
        <v>2400</v>
      </c>
      <c r="N2338" s="380"/>
      <c r="O2338" s="380"/>
      <c r="P2338" s="380"/>
      <c r="Q2338" s="381">
        <v>101</v>
      </c>
      <c r="R2338" s="381">
        <v>100</v>
      </c>
      <c r="S2338" s="381">
        <v>9.4899999999999998E-2</v>
      </c>
      <c r="T2338" s="381">
        <v>1.9699999999999999E-4</v>
      </c>
      <c r="U2338" s="381">
        <v>0</v>
      </c>
      <c r="V2338" s="382">
        <v>100.095097</v>
      </c>
      <c r="W2338" s="382">
        <v>0</v>
      </c>
      <c r="X2338" s="381">
        <v>0.10100000000000001</v>
      </c>
      <c r="Y2338" s="381">
        <v>0.1</v>
      </c>
      <c r="Z2338" s="381">
        <v>9.4900000000000003E-5</v>
      </c>
      <c r="AA2338" s="381">
        <v>1.97E-7</v>
      </c>
      <c r="AB2338" s="381">
        <v>0</v>
      </c>
      <c r="AC2338" s="382">
        <v>0.10009509699999999</v>
      </c>
      <c r="AD2338" s="382">
        <v>0</v>
      </c>
      <c r="AE2338" s="381" t="s">
        <v>168</v>
      </c>
    </row>
    <row r="2339" spans="1:31" ht="15" customHeight="1" x14ac:dyDescent="0.25">
      <c r="A2339" s="20" t="s">
        <v>2913</v>
      </c>
      <c r="B2339" s="20" t="s">
        <v>2913</v>
      </c>
      <c r="C2339" s="20" t="s">
        <v>2913</v>
      </c>
      <c r="D2339" s="378" t="s">
        <v>3208</v>
      </c>
      <c r="E2339" s="384">
        <v>45292</v>
      </c>
      <c r="F2339" s="384">
        <v>47119</v>
      </c>
      <c r="G2339" s="378" t="s">
        <v>439</v>
      </c>
      <c r="H2339" s="20" t="s">
        <v>3209</v>
      </c>
      <c r="I2339" s="378" t="s">
        <v>441</v>
      </c>
      <c r="J2339" s="20" t="s">
        <v>163</v>
      </c>
      <c r="K2339" s="378" t="s">
        <v>3210</v>
      </c>
      <c r="L2339" s="378" t="s">
        <v>2848</v>
      </c>
      <c r="M2339" s="380">
        <v>2350</v>
      </c>
      <c r="N2339" s="380" t="s">
        <v>443</v>
      </c>
      <c r="O2339" s="380" t="s">
        <v>443</v>
      </c>
      <c r="P2339" s="380" t="s">
        <v>443</v>
      </c>
      <c r="Q2339" s="381">
        <v>72.420513</v>
      </c>
      <c r="R2339" s="381">
        <v>72.399997999999997</v>
      </c>
      <c r="S2339" s="381">
        <v>1.7407229999999999E-2</v>
      </c>
      <c r="T2339" s="381">
        <v>3.1078128E-3</v>
      </c>
      <c r="U2339" s="381">
        <v>0</v>
      </c>
      <c r="V2339" s="382">
        <v>72.420513042799996</v>
      </c>
      <c r="W2339" s="382">
        <v>0</v>
      </c>
      <c r="X2339" s="381">
        <v>7.2420513000000006E-2</v>
      </c>
      <c r="Y2339" s="381">
        <v>7.2399997999999993E-2</v>
      </c>
      <c r="Z2339" s="381">
        <v>1.740723E-5</v>
      </c>
      <c r="AA2339" s="381">
        <v>3.1078128E-6</v>
      </c>
      <c r="AB2339" s="381">
        <v>0</v>
      </c>
      <c r="AC2339" s="382">
        <v>7.2420513042799992E-2</v>
      </c>
      <c r="AD2339" s="382">
        <v>0</v>
      </c>
      <c r="AE2339" s="381" t="s">
        <v>444</v>
      </c>
    </row>
    <row r="2340" spans="1:31" ht="15" customHeight="1" x14ac:dyDescent="0.25">
      <c r="A2340" s="20" t="s">
        <v>2913</v>
      </c>
      <c r="B2340" s="20" t="s">
        <v>2913</v>
      </c>
      <c r="C2340" s="20" t="s">
        <v>2913</v>
      </c>
      <c r="D2340" s="378" t="s">
        <v>3211</v>
      </c>
      <c r="E2340" s="384">
        <v>45292</v>
      </c>
      <c r="F2340" s="384">
        <v>47119</v>
      </c>
      <c r="G2340" s="378" t="s">
        <v>439</v>
      </c>
      <c r="H2340" s="20" t="s">
        <v>3212</v>
      </c>
      <c r="I2340" s="378" t="s">
        <v>441</v>
      </c>
      <c r="J2340" s="20" t="s">
        <v>163</v>
      </c>
      <c r="K2340" s="378" t="s">
        <v>3213</v>
      </c>
      <c r="L2340" s="378" t="s">
        <v>2848</v>
      </c>
      <c r="M2340" s="380">
        <v>2350</v>
      </c>
      <c r="N2340" s="380" t="s">
        <v>443</v>
      </c>
      <c r="O2340" s="380" t="s">
        <v>443</v>
      </c>
      <c r="P2340" s="380" t="s">
        <v>443</v>
      </c>
      <c r="Q2340" s="381">
        <v>70.278747999999993</v>
      </c>
      <c r="R2340" s="381">
        <v>70.259270999999998</v>
      </c>
      <c r="S2340" s="381">
        <v>1.6376894999999999E-2</v>
      </c>
      <c r="T2340" s="381">
        <v>3.1000582999999998E-3</v>
      </c>
      <c r="U2340" s="381">
        <v>0</v>
      </c>
      <c r="V2340" s="382">
        <v>70.278747953299998</v>
      </c>
      <c r="W2340" s="382">
        <v>0</v>
      </c>
      <c r="X2340" s="381">
        <v>7.0278747999999988E-2</v>
      </c>
      <c r="Y2340" s="381">
        <v>7.0259270999999998E-2</v>
      </c>
      <c r="Z2340" s="381">
        <v>1.6376894999999999E-5</v>
      </c>
      <c r="AA2340" s="381">
        <v>3.1000582999999997E-6</v>
      </c>
      <c r="AB2340" s="381">
        <v>0</v>
      </c>
      <c r="AC2340" s="382">
        <v>7.0278747953299997E-2</v>
      </c>
      <c r="AD2340" s="382">
        <v>0</v>
      </c>
      <c r="AE2340" s="381" t="s">
        <v>444</v>
      </c>
    </row>
    <row r="2341" spans="1:31" ht="15" customHeight="1" x14ac:dyDescent="0.25">
      <c r="A2341" s="20" t="s">
        <v>2913</v>
      </c>
      <c r="B2341" s="20" t="s">
        <v>2913</v>
      </c>
      <c r="C2341" s="20" t="s">
        <v>2913</v>
      </c>
      <c r="D2341" s="378" t="s">
        <v>3214</v>
      </c>
      <c r="E2341" s="384">
        <v>45292</v>
      </c>
      <c r="F2341" s="384">
        <v>47119</v>
      </c>
      <c r="G2341" s="378" t="s">
        <v>439</v>
      </c>
      <c r="H2341" s="20" t="s">
        <v>3215</v>
      </c>
      <c r="I2341" s="378" t="s">
        <v>441</v>
      </c>
      <c r="J2341" s="20" t="s">
        <v>163</v>
      </c>
      <c r="K2341" s="378" t="s">
        <v>3216</v>
      </c>
      <c r="L2341" s="378" t="s">
        <v>2848</v>
      </c>
      <c r="M2341" s="380">
        <v>2350</v>
      </c>
      <c r="N2341" s="380" t="s">
        <v>443</v>
      </c>
      <c r="O2341" s="380" t="s">
        <v>443</v>
      </c>
      <c r="P2341" s="380" t="s">
        <v>443</v>
      </c>
      <c r="Q2341" s="381">
        <v>70.149214000000001</v>
      </c>
      <c r="R2341" s="381">
        <v>70.129801</v>
      </c>
      <c r="S2341" s="381">
        <v>1.6318309E-2</v>
      </c>
      <c r="T2341" s="381">
        <v>3.0947745E-3</v>
      </c>
      <c r="U2341" s="381">
        <v>0</v>
      </c>
      <c r="V2341" s="382">
        <v>70.149214083499999</v>
      </c>
      <c r="W2341" s="382">
        <v>0</v>
      </c>
      <c r="X2341" s="381">
        <v>7.0149214000000001E-2</v>
      </c>
      <c r="Y2341" s="381">
        <v>7.0129801000000005E-2</v>
      </c>
      <c r="Z2341" s="381">
        <v>1.6318309000000001E-5</v>
      </c>
      <c r="AA2341" s="381">
        <v>3.0947744999999998E-6</v>
      </c>
      <c r="AB2341" s="381">
        <v>0</v>
      </c>
      <c r="AC2341" s="382">
        <v>7.01492140835E-2</v>
      </c>
      <c r="AD2341" s="382">
        <v>0</v>
      </c>
      <c r="AE2341" s="381" t="s">
        <v>444</v>
      </c>
    </row>
    <row r="2342" spans="1:31" ht="15" customHeight="1" x14ac:dyDescent="0.25">
      <c r="A2342" s="20" t="s">
        <v>2913</v>
      </c>
      <c r="B2342" s="20" t="s">
        <v>2913</v>
      </c>
      <c r="C2342" s="20" t="s">
        <v>2913</v>
      </c>
      <c r="D2342" s="378" t="s">
        <v>3217</v>
      </c>
      <c r="E2342" s="384">
        <v>45292</v>
      </c>
      <c r="F2342" s="384">
        <v>47119</v>
      </c>
      <c r="G2342" s="378" t="s">
        <v>439</v>
      </c>
      <c r="H2342" s="20" t="s">
        <v>3218</v>
      </c>
      <c r="I2342" s="378" t="s">
        <v>441</v>
      </c>
      <c r="J2342" s="20" t="s">
        <v>163</v>
      </c>
      <c r="K2342" s="378" t="s">
        <v>3219</v>
      </c>
      <c r="L2342" s="378" t="s">
        <v>2848</v>
      </c>
      <c r="M2342" s="380">
        <v>2350</v>
      </c>
      <c r="N2342" s="380" t="s">
        <v>443</v>
      </c>
      <c r="O2342" s="380" t="s">
        <v>443</v>
      </c>
      <c r="P2342" s="380" t="s">
        <v>443</v>
      </c>
      <c r="Q2342" s="381">
        <v>76.118688000000006</v>
      </c>
      <c r="R2342" s="381">
        <v>76.099951000000004</v>
      </c>
      <c r="S2342" s="381">
        <v>1.850152E-2</v>
      </c>
      <c r="T2342" s="381">
        <v>2.3575714E-4</v>
      </c>
      <c r="U2342" s="381">
        <v>0</v>
      </c>
      <c r="V2342" s="382">
        <v>76.118688277140009</v>
      </c>
      <c r="W2342" s="382">
        <v>0</v>
      </c>
      <c r="X2342" s="381">
        <v>7.6118688000000004E-2</v>
      </c>
      <c r="Y2342" s="381">
        <v>7.6099950999999999E-2</v>
      </c>
      <c r="Z2342" s="381">
        <v>1.850152E-5</v>
      </c>
      <c r="AA2342" s="381">
        <v>2.3575713999999999E-7</v>
      </c>
      <c r="AB2342" s="381">
        <v>0</v>
      </c>
      <c r="AC2342" s="382">
        <v>7.6118688277140009E-2</v>
      </c>
      <c r="AD2342" s="382">
        <v>0</v>
      </c>
      <c r="AE2342" s="381" t="s">
        <v>444</v>
      </c>
    </row>
    <row r="2343" spans="1:31" ht="15" customHeight="1" x14ac:dyDescent="0.25">
      <c r="A2343" s="20" t="s">
        <v>2913</v>
      </c>
      <c r="B2343" s="20" t="s">
        <v>2913</v>
      </c>
      <c r="C2343" s="20" t="s">
        <v>2913</v>
      </c>
      <c r="D2343" s="378" t="s">
        <v>3220</v>
      </c>
      <c r="E2343" s="384">
        <v>45292</v>
      </c>
      <c r="F2343" s="384">
        <v>47119</v>
      </c>
      <c r="G2343" s="378" t="s">
        <v>439</v>
      </c>
      <c r="H2343" s="20" t="s">
        <v>3221</v>
      </c>
      <c r="I2343" s="378" t="s">
        <v>441</v>
      </c>
      <c r="J2343" s="20" t="s">
        <v>163</v>
      </c>
      <c r="K2343" s="378" t="s">
        <v>3222</v>
      </c>
      <c r="L2343" s="378" t="s">
        <v>2848</v>
      </c>
      <c r="M2343" s="380">
        <v>2350</v>
      </c>
      <c r="N2343" s="380" t="s">
        <v>443</v>
      </c>
      <c r="O2343" s="380" t="s">
        <v>443</v>
      </c>
      <c r="P2343" s="380" t="s">
        <v>443</v>
      </c>
      <c r="Q2343" s="381">
        <v>68.820549</v>
      </c>
      <c r="R2343" s="381">
        <v>68.802300000000002</v>
      </c>
      <c r="S2343" s="381">
        <v>1.5367006000000001E-2</v>
      </c>
      <c r="T2343" s="381">
        <v>2.8820001E-3</v>
      </c>
      <c r="U2343" s="381">
        <v>0</v>
      </c>
      <c r="V2343" s="382">
        <v>68.820549006100009</v>
      </c>
      <c r="W2343" s="382">
        <v>0</v>
      </c>
      <c r="X2343" s="381">
        <v>6.8820548999999995E-2</v>
      </c>
      <c r="Y2343" s="381">
        <v>6.8802299999999997E-2</v>
      </c>
      <c r="Z2343" s="381">
        <v>1.5367006E-5</v>
      </c>
      <c r="AA2343" s="381">
        <v>2.8820001E-6</v>
      </c>
      <c r="AB2343" s="381">
        <v>0</v>
      </c>
      <c r="AC2343" s="382">
        <v>6.882054900609999E-2</v>
      </c>
      <c r="AD2343" s="382">
        <v>0</v>
      </c>
      <c r="AE2343" s="381" t="s">
        <v>444</v>
      </c>
    </row>
    <row r="2344" spans="1:31" ht="15" customHeight="1" x14ac:dyDescent="0.25">
      <c r="A2344" s="20" t="s">
        <v>2913</v>
      </c>
      <c r="B2344" s="20" t="s">
        <v>2913</v>
      </c>
      <c r="C2344" s="20" t="s">
        <v>2913</v>
      </c>
      <c r="D2344" s="378" t="s">
        <v>3223</v>
      </c>
      <c r="E2344" s="384">
        <v>45292</v>
      </c>
      <c r="F2344" s="384">
        <v>47119</v>
      </c>
      <c r="G2344" s="378" t="s">
        <v>439</v>
      </c>
      <c r="H2344" s="20" t="s">
        <v>3224</v>
      </c>
      <c r="I2344" s="378" t="s">
        <v>441</v>
      </c>
      <c r="J2344" s="20" t="s">
        <v>163</v>
      </c>
      <c r="K2344" s="378" t="s">
        <v>3225</v>
      </c>
      <c r="L2344" s="378" t="s">
        <v>2848</v>
      </c>
      <c r="M2344" s="380">
        <v>2350</v>
      </c>
      <c r="N2344" s="380" t="s">
        <v>443</v>
      </c>
      <c r="O2344" s="380" t="s">
        <v>443</v>
      </c>
      <c r="P2344" s="380" t="s">
        <v>443</v>
      </c>
      <c r="Q2344" s="381">
        <v>60.939168000000002</v>
      </c>
      <c r="R2344" s="381">
        <v>60.922649</v>
      </c>
      <c r="S2344" s="381">
        <v>1.6288421000000001E-2</v>
      </c>
      <c r="T2344" s="381">
        <v>2.3026839000000001E-4</v>
      </c>
      <c r="U2344" s="381">
        <v>0</v>
      </c>
      <c r="V2344" s="382">
        <v>60.939167689389997</v>
      </c>
      <c r="W2344" s="382">
        <v>0</v>
      </c>
      <c r="X2344" s="381">
        <v>6.0939168000000002E-2</v>
      </c>
      <c r="Y2344" s="381">
        <v>6.0922649000000002E-2</v>
      </c>
      <c r="Z2344" s="381">
        <v>1.6288421000000002E-5</v>
      </c>
      <c r="AA2344" s="381">
        <v>2.3026839000000002E-7</v>
      </c>
      <c r="AB2344" s="381">
        <v>0</v>
      </c>
      <c r="AC2344" s="382">
        <v>6.0939167689390006E-2</v>
      </c>
      <c r="AD2344" s="382">
        <v>0</v>
      </c>
      <c r="AE2344" s="381" t="s">
        <v>444</v>
      </c>
    </row>
    <row r="2345" spans="1:31" ht="15" customHeight="1" x14ac:dyDescent="0.25">
      <c r="A2345" s="20" t="s">
        <v>2913</v>
      </c>
      <c r="B2345" s="20" t="s">
        <v>2913</v>
      </c>
      <c r="C2345" s="20" t="s">
        <v>2913</v>
      </c>
      <c r="D2345" s="378" t="s">
        <v>3226</v>
      </c>
      <c r="E2345" s="384">
        <v>45292</v>
      </c>
      <c r="F2345" s="384">
        <v>47119</v>
      </c>
      <c r="G2345" s="378" t="s">
        <v>439</v>
      </c>
      <c r="H2345" s="20" t="s">
        <v>3227</v>
      </c>
      <c r="I2345" s="378" t="s">
        <v>441</v>
      </c>
      <c r="J2345" s="20" t="s">
        <v>163</v>
      </c>
      <c r="K2345" s="378" t="s">
        <v>3228</v>
      </c>
      <c r="L2345" s="378" t="s">
        <v>2848</v>
      </c>
      <c r="M2345" s="380">
        <v>2350</v>
      </c>
      <c r="N2345" s="380" t="s">
        <v>443</v>
      </c>
      <c r="O2345" s="380" t="s">
        <v>443</v>
      </c>
      <c r="P2345" s="380" t="s">
        <v>443</v>
      </c>
      <c r="Q2345" s="381">
        <v>65.880571000000003</v>
      </c>
      <c r="R2345" s="381">
        <v>65.864069000000001</v>
      </c>
      <c r="S2345" s="381">
        <v>1.3447539E-2</v>
      </c>
      <c r="T2345" s="381">
        <v>3.0550411000000001E-3</v>
      </c>
      <c r="U2345" s="381">
        <v>0</v>
      </c>
      <c r="V2345" s="382">
        <v>65.880571580099996</v>
      </c>
      <c r="W2345" s="382">
        <v>0</v>
      </c>
      <c r="X2345" s="381">
        <v>6.5880570999999999E-2</v>
      </c>
      <c r="Y2345" s="381">
        <v>6.5864068999999997E-2</v>
      </c>
      <c r="Z2345" s="381">
        <v>1.3447539E-5</v>
      </c>
      <c r="AA2345" s="381">
        <v>3.0550411E-6</v>
      </c>
      <c r="AB2345" s="381">
        <v>0</v>
      </c>
      <c r="AC2345" s="382">
        <v>6.5880571580099995E-2</v>
      </c>
      <c r="AD2345" s="382">
        <v>0</v>
      </c>
      <c r="AE2345" s="381" t="s">
        <v>444</v>
      </c>
    </row>
    <row r="2346" spans="1:31" ht="15" customHeight="1" x14ac:dyDescent="0.25">
      <c r="A2346" s="20" t="s">
        <v>2913</v>
      </c>
      <c r="B2346" s="20" t="s">
        <v>2913</v>
      </c>
      <c r="C2346" s="20" t="s">
        <v>2913</v>
      </c>
      <c r="D2346" s="378" t="s">
        <v>3229</v>
      </c>
      <c r="E2346" s="384">
        <v>45292</v>
      </c>
      <c r="F2346" s="384">
        <v>47119</v>
      </c>
      <c r="G2346" s="378" t="s">
        <v>439</v>
      </c>
      <c r="H2346" s="20" t="s">
        <v>3230</v>
      </c>
      <c r="I2346" s="378" t="s">
        <v>441</v>
      </c>
      <c r="J2346" s="20" t="s">
        <v>163</v>
      </c>
      <c r="K2346" s="378" t="s">
        <v>3231</v>
      </c>
      <c r="L2346" s="378" t="s">
        <v>2848</v>
      </c>
      <c r="M2346" s="380">
        <v>2350</v>
      </c>
      <c r="N2346" s="380" t="s">
        <v>443</v>
      </c>
      <c r="O2346" s="380" t="s">
        <v>443</v>
      </c>
      <c r="P2346" s="380" t="s">
        <v>443</v>
      </c>
      <c r="Q2346" s="381">
        <v>59.672645000000003</v>
      </c>
      <c r="R2346" s="381">
        <v>59.656748999999998</v>
      </c>
      <c r="S2346" s="381">
        <v>1.567027E-2</v>
      </c>
      <c r="T2346" s="381">
        <v>2.2561565999999999E-4</v>
      </c>
      <c r="U2346" s="381">
        <v>0</v>
      </c>
      <c r="V2346" s="382">
        <v>59.672644885659999</v>
      </c>
      <c r="W2346" s="382">
        <v>0</v>
      </c>
      <c r="X2346" s="381">
        <v>5.9672645000000003E-2</v>
      </c>
      <c r="Y2346" s="381">
        <v>5.9656748999999995E-2</v>
      </c>
      <c r="Z2346" s="381">
        <v>1.5670269999999999E-5</v>
      </c>
      <c r="AA2346" s="381">
        <v>2.2561565999999998E-7</v>
      </c>
      <c r="AB2346" s="381">
        <v>0</v>
      </c>
      <c r="AC2346" s="382">
        <v>5.9672644885659994E-2</v>
      </c>
      <c r="AD2346" s="382">
        <v>0</v>
      </c>
      <c r="AE2346" s="381" t="s">
        <v>444</v>
      </c>
    </row>
    <row r="2347" spans="1:31" ht="15" customHeight="1" x14ac:dyDescent="0.25">
      <c r="A2347" s="20" t="s">
        <v>2913</v>
      </c>
      <c r="B2347" s="20" t="s">
        <v>2913</v>
      </c>
      <c r="C2347" s="20" t="s">
        <v>2913</v>
      </c>
      <c r="D2347" s="378" t="s">
        <v>3232</v>
      </c>
      <c r="E2347" s="384">
        <v>45292</v>
      </c>
      <c r="F2347" s="384">
        <v>47119</v>
      </c>
      <c r="G2347" s="378" t="s">
        <v>439</v>
      </c>
      <c r="H2347" s="20" t="s">
        <v>3233</v>
      </c>
      <c r="I2347" s="378" t="s">
        <v>441</v>
      </c>
      <c r="J2347" s="20" t="s">
        <v>163</v>
      </c>
      <c r="K2347" s="378" t="s">
        <v>3234</v>
      </c>
      <c r="L2347" s="378" t="s">
        <v>2848</v>
      </c>
      <c r="M2347" s="380">
        <v>2350</v>
      </c>
      <c r="N2347" s="380" t="s">
        <v>443</v>
      </c>
      <c r="O2347" s="380" t="s">
        <v>443</v>
      </c>
      <c r="P2347" s="380" t="s">
        <v>443</v>
      </c>
      <c r="Q2347" s="381">
        <v>57.450558000000001</v>
      </c>
      <c r="R2347" s="381">
        <v>57.435699999999997</v>
      </c>
      <c r="S2347" s="381">
        <v>1.463972E-2</v>
      </c>
      <c r="T2347" s="381">
        <v>2.1786114999999999E-4</v>
      </c>
      <c r="U2347" s="381">
        <v>0</v>
      </c>
      <c r="V2347" s="382">
        <v>57.450557581149994</v>
      </c>
      <c r="W2347" s="382">
        <v>0</v>
      </c>
      <c r="X2347" s="381">
        <v>5.7450557999999999E-2</v>
      </c>
      <c r="Y2347" s="381">
        <v>5.7435699999999999E-2</v>
      </c>
      <c r="Z2347" s="381">
        <v>1.4639719999999999E-5</v>
      </c>
      <c r="AA2347" s="381">
        <v>2.1786114999999998E-7</v>
      </c>
      <c r="AB2347" s="381">
        <v>0</v>
      </c>
      <c r="AC2347" s="382">
        <v>5.7450557581150002E-2</v>
      </c>
      <c r="AD2347" s="382">
        <v>0</v>
      </c>
      <c r="AE2347" s="381" t="s">
        <v>444</v>
      </c>
    </row>
    <row r="2348" spans="1:31" ht="15" customHeight="1" x14ac:dyDescent="0.25">
      <c r="A2348" s="20" t="s">
        <v>2913</v>
      </c>
      <c r="B2348" s="20" t="s">
        <v>2913</v>
      </c>
      <c r="C2348" s="20" t="s">
        <v>2913</v>
      </c>
      <c r="D2348" s="378" t="s">
        <v>3235</v>
      </c>
      <c r="E2348" s="384">
        <v>45292</v>
      </c>
      <c r="F2348" s="384">
        <v>47119</v>
      </c>
      <c r="G2348" s="378" t="s">
        <v>439</v>
      </c>
      <c r="H2348" s="20" t="s">
        <v>3236</v>
      </c>
      <c r="I2348" s="378" t="s">
        <v>441</v>
      </c>
      <c r="J2348" s="20" t="s">
        <v>163</v>
      </c>
      <c r="K2348" s="378" t="s">
        <v>3237</v>
      </c>
      <c r="L2348" s="378" t="s">
        <v>2848</v>
      </c>
      <c r="M2348" s="380">
        <v>2350</v>
      </c>
      <c r="N2348" s="380" t="s">
        <v>443</v>
      </c>
      <c r="O2348" s="380" t="s">
        <v>443</v>
      </c>
      <c r="P2348" s="380" t="s">
        <v>443</v>
      </c>
      <c r="Q2348" s="381">
        <v>56.612388000000003</v>
      </c>
      <c r="R2348" s="381">
        <v>56.597945000000003</v>
      </c>
      <c r="S2348" s="381">
        <v>1.4227635000000001E-2</v>
      </c>
      <c r="T2348" s="381">
        <v>2.1475931999999999E-4</v>
      </c>
      <c r="U2348" s="381">
        <v>0</v>
      </c>
      <c r="V2348" s="382">
        <v>56.612387394320002</v>
      </c>
      <c r="W2348" s="382">
        <v>0</v>
      </c>
      <c r="X2348" s="381">
        <v>5.6612388E-2</v>
      </c>
      <c r="Y2348" s="381">
        <v>5.6597945000000004E-2</v>
      </c>
      <c r="Z2348" s="381">
        <v>1.4227635E-5</v>
      </c>
      <c r="AA2348" s="381">
        <v>2.1475931999999999E-7</v>
      </c>
      <c r="AB2348" s="381">
        <v>0</v>
      </c>
      <c r="AC2348" s="382">
        <v>5.6612387394320007E-2</v>
      </c>
      <c r="AD2348" s="382">
        <v>0</v>
      </c>
      <c r="AE2348" s="381" t="s">
        <v>444</v>
      </c>
    </row>
    <row r="2349" spans="1:31" ht="15" customHeight="1" x14ac:dyDescent="0.25">
      <c r="A2349" s="20" t="s">
        <v>2913</v>
      </c>
      <c r="B2349" s="20" t="s">
        <v>2913</v>
      </c>
      <c r="C2349" s="20" t="s">
        <v>2913</v>
      </c>
      <c r="D2349" s="378" t="s">
        <v>3238</v>
      </c>
      <c r="E2349" s="384">
        <v>45292</v>
      </c>
      <c r="F2349" s="384">
        <v>47119</v>
      </c>
      <c r="G2349" s="378" t="s">
        <v>439</v>
      </c>
      <c r="H2349" s="20" t="s">
        <v>3239</v>
      </c>
      <c r="I2349" s="378" t="s">
        <v>441</v>
      </c>
      <c r="J2349" s="20" t="s">
        <v>163</v>
      </c>
      <c r="K2349" s="378" t="s">
        <v>3240</v>
      </c>
      <c r="L2349" s="378" t="s">
        <v>2848</v>
      </c>
      <c r="M2349" s="380">
        <v>2350</v>
      </c>
      <c r="N2349" s="380" t="s">
        <v>443</v>
      </c>
      <c r="O2349" s="380" t="s">
        <v>443</v>
      </c>
      <c r="P2349" s="380" t="s">
        <v>443</v>
      </c>
      <c r="Q2349" s="381">
        <v>56.698889000000001</v>
      </c>
      <c r="R2349" s="381">
        <v>56.684446999999999</v>
      </c>
      <c r="S2349" s="381">
        <v>1.4227867E-2</v>
      </c>
      <c r="T2349" s="381">
        <v>2.1475929E-4</v>
      </c>
      <c r="U2349" s="381">
        <v>0</v>
      </c>
      <c r="V2349" s="382">
        <v>56.698889626290004</v>
      </c>
      <c r="W2349" s="382">
        <v>0</v>
      </c>
      <c r="X2349" s="381">
        <v>5.6698889000000002E-2</v>
      </c>
      <c r="Y2349" s="381">
        <v>5.6684446999999999E-2</v>
      </c>
      <c r="Z2349" s="381">
        <v>1.4227866999999999E-5</v>
      </c>
      <c r="AA2349" s="381">
        <v>2.1475928999999999E-7</v>
      </c>
      <c r="AB2349" s="381">
        <v>0</v>
      </c>
      <c r="AC2349" s="382">
        <v>5.6698889626289994E-2</v>
      </c>
      <c r="AD2349" s="382">
        <v>0</v>
      </c>
      <c r="AE2349" s="381" t="s">
        <v>444</v>
      </c>
    </row>
    <row r="2350" spans="1:31" ht="15" customHeight="1" x14ac:dyDescent="0.25">
      <c r="A2350" s="20" t="s">
        <v>2913</v>
      </c>
      <c r="B2350" s="20" t="s">
        <v>2913</v>
      </c>
      <c r="C2350" s="20" t="s">
        <v>2913</v>
      </c>
      <c r="D2350" s="378" t="s">
        <v>3241</v>
      </c>
      <c r="E2350" s="384">
        <v>45292</v>
      </c>
      <c r="F2350" s="384">
        <v>47119</v>
      </c>
      <c r="G2350" s="378" t="s">
        <v>439</v>
      </c>
      <c r="H2350" s="20" t="s">
        <v>3242</v>
      </c>
      <c r="I2350" s="378" t="s">
        <v>441</v>
      </c>
      <c r="J2350" s="20" t="s">
        <v>163</v>
      </c>
      <c r="K2350" s="378" t="s">
        <v>3243</v>
      </c>
      <c r="L2350" s="378" t="s">
        <v>2848</v>
      </c>
      <c r="M2350" s="380">
        <v>2350</v>
      </c>
      <c r="N2350" s="380" t="s">
        <v>443</v>
      </c>
      <c r="O2350" s="380" t="s">
        <v>443</v>
      </c>
      <c r="P2350" s="380" t="s">
        <v>443</v>
      </c>
      <c r="Q2350" s="381">
        <v>55.157713999999999</v>
      </c>
      <c r="R2350" s="381">
        <v>55.144137000000001</v>
      </c>
      <c r="S2350" s="381">
        <v>1.3379705E-2</v>
      </c>
      <c r="T2350" s="381">
        <v>1.9690342000000001E-4</v>
      </c>
      <c r="U2350" s="381">
        <v>0</v>
      </c>
      <c r="V2350" s="382">
        <v>55.157713608419996</v>
      </c>
      <c r="W2350" s="382">
        <v>0</v>
      </c>
      <c r="X2350" s="381">
        <v>5.5157713999999997E-2</v>
      </c>
      <c r="Y2350" s="381">
        <v>5.5144137000000003E-2</v>
      </c>
      <c r="Z2350" s="381">
        <v>1.3379705E-5</v>
      </c>
      <c r="AA2350" s="381">
        <v>1.9690342000000001E-7</v>
      </c>
      <c r="AB2350" s="381">
        <v>0</v>
      </c>
      <c r="AC2350" s="382">
        <v>5.5157713608419999E-2</v>
      </c>
      <c r="AD2350" s="382">
        <v>0</v>
      </c>
      <c r="AE2350" s="381" t="s">
        <v>444</v>
      </c>
    </row>
    <row r="2351" spans="1:31" ht="15" customHeight="1" x14ac:dyDescent="0.25">
      <c r="A2351" s="20" t="s">
        <v>2913</v>
      </c>
      <c r="B2351" s="20" t="s">
        <v>2913</v>
      </c>
      <c r="C2351" s="20" t="s">
        <v>2913</v>
      </c>
      <c r="D2351" s="378" t="s">
        <v>3244</v>
      </c>
      <c r="E2351" s="384">
        <v>45292</v>
      </c>
      <c r="F2351" s="384">
        <v>47119</v>
      </c>
      <c r="G2351" s="378" t="s">
        <v>439</v>
      </c>
      <c r="H2351" s="20" t="s">
        <v>3245</v>
      </c>
      <c r="I2351" s="378" t="s">
        <v>441</v>
      </c>
      <c r="J2351" s="20" t="s">
        <v>163</v>
      </c>
      <c r="K2351" s="378" t="s">
        <v>3246</v>
      </c>
      <c r="L2351" s="378" t="s">
        <v>2848</v>
      </c>
      <c r="M2351" s="380">
        <v>2350</v>
      </c>
      <c r="N2351" s="380" t="s">
        <v>443</v>
      </c>
      <c r="O2351" s="380" t="s">
        <v>443</v>
      </c>
      <c r="P2351" s="380" t="s">
        <v>443</v>
      </c>
      <c r="Q2351" s="381">
        <v>54.147306999999998</v>
      </c>
      <c r="R2351" s="381">
        <v>54.13411</v>
      </c>
      <c r="S2351" s="381">
        <v>1.2991515E-2</v>
      </c>
      <c r="T2351" s="381">
        <v>2.0545382999999999E-4</v>
      </c>
      <c r="U2351" s="381">
        <v>0</v>
      </c>
      <c r="V2351" s="382">
        <v>54.147306968830001</v>
      </c>
      <c r="W2351" s="382">
        <v>0</v>
      </c>
      <c r="X2351" s="381">
        <v>5.4147306999999999E-2</v>
      </c>
      <c r="Y2351" s="381">
        <v>5.4134109999999999E-2</v>
      </c>
      <c r="Z2351" s="381">
        <v>1.2991515E-5</v>
      </c>
      <c r="AA2351" s="381">
        <v>2.0545383E-7</v>
      </c>
      <c r="AB2351" s="381">
        <v>0</v>
      </c>
      <c r="AC2351" s="382">
        <v>5.4147306968829995E-2</v>
      </c>
      <c r="AD2351" s="382">
        <v>0</v>
      </c>
      <c r="AE2351" s="381" t="s">
        <v>444</v>
      </c>
    </row>
    <row r="2352" spans="1:31" ht="15" customHeight="1" x14ac:dyDescent="0.25">
      <c r="A2352" s="20" t="s">
        <v>2913</v>
      </c>
      <c r="B2352" s="20" t="s">
        <v>2913</v>
      </c>
      <c r="C2352" s="20" t="s">
        <v>2913</v>
      </c>
      <c r="D2352" s="378" t="s">
        <v>3247</v>
      </c>
      <c r="E2352" s="384">
        <v>45292</v>
      </c>
      <c r="F2352" s="384">
        <v>47119</v>
      </c>
      <c r="G2352" s="378" t="s">
        <v>439</v>
      </c>
      <c r="H2352" s="20" t="s">
        <v>3248</v>
      </c>
      <c r="I2352" s="378" t="s">
        <v>441</v>
      </c>
      <c r="J2352" s="20" t="s">
        <v>163</v>
      </c>
      <c r="K2352" s="378" t="s">
        <v>3249</v>
      </c>
      <c r="L2352" s="378" t="s">
        <v>2848</v>
      </c>
      <c r="M2352" s="380">
        <v>2350</v>
      </c>
      <c r="N2352" s="380" t="s">
        <v>443</v>
      </c>
      <c r="O2352" s="380" t="s">
        <v>443</v>
      </c>
      <c r="P2352" s="380" t="s">
        <v>443</v>
      </c>
      <c r="Q2352" s="381">
        <v>54.436939000000002</v>
      </c>
      <c r="R2352" s="381">
        <v>54.423777000000001</v>
      </c>
      <c r="S2352" s="381">
        <v>1.2967935E-2</v>
      </c>
      <c r="T2352" s="381">
        <v>1.9380155000000001E-4</v>
      </c>
      <c r="U2352" s="381">
        <v>0</v>
      </c>
      <c r="V2352" s="382">
        <v>54.436938736549997</v>
      </c>
      <c r="W2352" s="382">
        <v>0</v>
      </c>
      <c r="X2352" s="381">
        <v>5.4436939000000004E-2</v>
      </c>
      <c r="Y2352" s="381">
        <v>5.4423777E-2</v>
      </c>
      <c r="Z2352" s="381">
        <v>1.2967935000000001E-5</v>
      </c>
      <c r="AA2352" s="381">
        <v>1.9380155000000001E-7</v>
      </c>
      <c r="AB2352" s="381">
        <v>0</v>
      </c>
      <c r="AC2352" s="382">
        <v>5.4436938736549999E-2</v>
      </c>
      <c r="AD2352" s="382">
        <v>0</v>
      </c>
      <c r="AE2352" s="381" t="s">
        <v>444</v>
      </c>
    </row>
    <row r="2353" spans="1:31" ht="15" customHeight="1" x14ac:dyDescent="0.25">
      <c r="A2353" s="20" t="s">
        <v>2913</v>
      </c>
      <c r="B2353" s="20" t="s">
        <v>2913</v>
      </c>
      <c r="C2353" s="20" t="s">
        <v>2913</v>
      </c>
      <c r="D2353" s="378" t="s">
        <v>3250</v>
      </c>
      <c r="E2353" s="384">
        <v>45292</v>
      </c>
      <c r="F2353" s="384">
        <v>47119</v>
      </c>
      <c r="G2353" s="378" t="s">
        <v>439</v>
      </c>
      <c r="H2353" s="20" t="s">
        <v>3251</v>
      </c>
      <c r="I2353" s="378" t="s">
        <v>441</v>
      </c>
      <c r="J2353" s="20" t="s">
        <v>163</v>
      </c>
      <c r="K2353" s="378" t="s">
        <v>3252</v>
      </c>
      <c r="L2353" s="378" t="s">
        <v>2848</v>
      </c>
      <c r="M2353" s="380">
        <v>2350</v>
      </c>
      <c r="N2353" s="380" t="s">
        <v>443</v>
      </c>
      <c r="O2353" s="380" t="s">
        <v>443</v>
      </c>
      <c r="P2353" s="380" t="s">
        <v>443</v>
      </c>
      <c r="Q2353" s="381">
        <v>54.230251000000003</v>
      </c>
      <c r="R2353" s="381">
        <v>54.217333000000004</v>
      </c>
      <c r="S2353" s="381">
        <v>1.2738107E-2</v>
      </c>
      <c r="T2353" s="381">
        <v>1.8059839000000001E-4</v>
      </c>
      <c r="U2353" s="381">
        <v>0</v>
      </c>
      <c r="V2353" s="382">
        <v>54.230251705390003</v>
      </c>
      <c r="W2353" s="382">
        <v>0</v>
      </c>
      <c r="X2353" s="381">
        <v>5.4230251E-2</v>
      </c>
      <c r="Y2353" s="381">
        <v>5.4217333000000006E-2</v>
      </c>
      <c r="Z2353" s="381">
        <v>1.2738107E-5</v>
      </c>
      <c r="AA2353" s="381">
        <v>1.8059839E-7</v>
      </c>
      <c r="AB2353" s="381">
        <v>0</v>
      </c>
      <c r="AC2353" s="382">
        <v>5.4230251705390004E-2</v>
      </c>
      <c r="AD2353" s="382">
        <v>0</v>
      </c>
      <c r="AE2353" s="381" t="s">
        <v>444</v>
      </c>
    </row>
    <row r="2354" spans="1:31" ht="15" customHeight="1" x14ac:dyDescent="0.25">
      <c r="A2354" s="20" t="s">
        <v>2913</v>
      </c>
      <c r="B2354" s="20" t="s">
        <v>2913</v>
      </c>
      <c r="C2354" s="20" t="s">
        <v>2913</v>
      </c>
      <c r="D2354" s="378" t="s">
        <v>3253</v>
      </c>
      <c r="E2354" s="384">
        <v>45292</v>
      </c>
      <c r="F2354" s="384">
        <v>47119</v>
      </c>
      <c r="G2354" s="378" t="s">
        <v>439</v>
      </c>
      <c r="H2354" s="20" t="s">
        <v>3254</v>
      </c>
      <c r="I2354" s="378" t="s">
        <v>441</v>
      </c>
      <c r="J2354" s="20" t="s">
        <v>163</v>
      </c>
      <c r="K2354" s="378" t="s">
        <v>3255</v>
      </c>
      <c r="L2354" s="378" t="s">
        <v>2848</v>
      </c>
      <c r="M2354" s="380">
        <v>2350</v>
      </c>
      <c r="N2354" s="380" t="s">
        <v>443</v>
      </c>
      <c r="O2354" s="380" t="s">
        <v>443</v>
      </c>
      <c r="P2354" s="380" t="s">
        <v>443</v>
      </c>
      <c r="Q2354" s="381">
        <v>52.392955999999998</v>
      </c>
      <c r="R2354" s="381">
        <v>52.380406999999998</v>
      </c>
      <c r="S2354" s="381">
        <v>1.2359159E-2</v>
      </c>
      <c r="T2354" s="381">
        <v>1.8980894999999999E-4</v>
      </c>
      <c r="U2354" s="381">
        <v>0</v>
      </c>
      <c r="V2354" s="382">
        <v>52.392955967949995</v>
      </c>
      <c r="W2354" s="382">
        <v>0</v>
      </c>
      <c r="X2354" s="381">
        <v>5.2392955999999997E-2</v>
      </c>
      <c r="Y2354" s="381">
        <v>5.2380406999999997E-2</v>
      </c>
      <c r="Z2354" s="381">
        <v>1.2359159E-5</v>
      </c>
      <c r="AA2354" s="381">
        <v>1.8980895000000001E-7</v>
      </c>
      <c r="AB2354" s="381">
        <v>0</v>
      </c>
      <c r="AC2354" s="382">
        <v>5.2392955967949996E-2</v>
      </c>
      <c r="AD2354" s="382">
        <v>0</v>
      </c>
      <c r="AE2354" s="381" t="s">
        <v>444</v>
      </c>
    </row>
    <row r="2355" spans="1:31" ht="15" customHeight="1" x14ac:dyDescent="0.25">
      <c r="A2355" s="20" t="s">
        <v>2913</v>
      </c>
      <c r="B2355" s="20" t="s">
        <v>2913</v>
      </c>
      <c r="C2355" s="20" t="s">
        <v>2913</v>
      </c>
      <c r="D2355" s="378" t="s">
        <v>3256</v>
      </c>
      <c r="E2355" s="384">
        <v>45292</v>
      </c>
      <c r="F2355" s="384">
        <v>47119</v>
      </c>
      <c r="G2355" s="378" t="s">
        <v>439</v>
      </c>
      <c r="H2355" s="20" t="s">
        <v>3257</v>
      </c>
      <c r="I2355" s="378" t="s">
        <v>441</v>
      </c>
      <c r="J2355" s="20" t="s">
        <v>163</v>
      </c>
      <c r="K2355" s="378" t="s">
        <v>3258</v>
      </c>
      <c r="L2355" s="378" t="s">
        <v>2848</v>
      </c>
      <c r="M2355" s="380">
        <v>2350</v>
      </c>
      <c r="N2355" s="380" t="s">
        <v>443</v>
      </c>
      <c r="O2355" s="380" t="s">
        <v>443</v>
      </c>
      <c r="P2355" s="380" t="s">
        <v>443</v>
      </c>
      <c r="Q2355" s="381">
        <v>53.127164999999998</v>
      </c>
      <c r="R2355" s="381">
        <v>53.114626000000001</v>
      </c>
      <c r="S2355" s="381">
        <v>1.2349667999999999E-2</v>
      </c>
      <c r="T2355" s="381">
        <v>1.8914883999999999E-4</v>
      </c>
      <c r="U2355" s="381">
        <v>0</v>
      </c>
      <c r="V2355" s="382">
        <v>53.127164816840001</v>
      </c>
      <c r="W2355" s="382">
        <v>0</v>
      </c>
      <c r="X2355" s="381">
        <v>5.3127164999999997E-2</v>
      </c>
      <c r="Y2355" s="381">
        <v>5.3114625999999998E-2</v>
      </c>
      <c r="Z2355" s="381">
        <v>1.2349667999999999E-5</v>
      </c>
      <c r="AA2355" s="381">
        <v>1.8914884E-7</v>
      </c>
      <c r="AB2355" s="381">
        <v>0</v>
      </c>
      <c r="AC2355" s="382">
        <v>5.3127164816839996E-2</v>
      </c>
      <c r="AD2355" s="382">
        <v>0</v>
      </c>
      <c r="AE2355" s="381" t="s">
        <v>444</v>
      </c>
    </row>
    <row r="2356" spans="1:31" ht="15" customHeight="1" x14ac:dyDescent="0.25">
      <c r="A2356" s="20" t="s">
        <v>2913</v>
      </c>
      <c r="B2356" s="20" t="s">
        <v>2913</v>
      </c>
      <c r="C2356" s="20" t="s">
        <v>2913</v>
      </c>
      <c r="D2356" s="378" t="s">
        <v>3259</v>
      </c>
      <c r="E2356" s="384">
        <v>45292</v>
      </c>
      <c r="F2356" s="384">
        <v>47119</v>
      </c>
      <c r="G2356" s="378" t="s">
        <v>439</v>
      </c>
      <c r="H2356" s="20" t="s">
        <v>3260</v>
      </c>
      <c r="I2356" s="378" t="s">
        <v>441</v>
      </c>
      <c r="J2356" s="20" t="s">
        <v>163</v>
      </c>
      <c r="K2356" s="378" t="s">
        <v>3261</v>
      </c>
      <c r="L2356" s="378" t="s">
        <v>2848</v>
      </c>
      <c r="M2356" s="380">
        <v>2350</v>
      </c>
      <c r="N2356" s="380" t="s">
        <v>443</v>
      </c>
      <c r="O2356" s="380" t="s">
        <v>443</v>
      </c>
      <c r="P2356" s="380" t="s">
        <v>443</v>
      </c>
      <c r="Q2356" s="381">
        <v>51.934019999999997</v>
      </c>
      <c r="R2356" s="381">
        <v>51.922139999999999</v>
      </c>
      <c r="S2356" s="381">
        <v>1.1707357999999999E-2</v>
      </c>
      <c r="T2356" s="381">
        <v>1.7284390999999999E-4</v>
      </c>
      <c r="U2356" s="381">
        <v>0</v>
      </c>
      <c r="V2356" s="382">
        <v>51.934020201910002</v>
      </c>
      <c r="W2356" s="382">
        <v>0</v>
      </c>
      <c r="X2356" s="381">
        <v>5.1934019999999997E-2</v>
      </c>
      <c r="Y2356" s="381">
        <v>5.1922139999999999E-2</v>
      </c>
      <c r="Z2356" s="381">
        <v>1.1707357999999999E-5</v>
      </c>
      <c r="AA2356" s="381">
        <v>1.7284391E-7</v>
      </c>
      <c r="AB2356" s="381">
        <v>0</v>
      </c>
      <c r="AC2356" s="382">
        <v>5.1934020201909993E-2</v>
      </c>
      <c r="AD2356" s="382">
        <v>0</v>
      </c>
      <c r="AE2356" s="381" t="s">
        <v>444</v>
      </c>
    </row>
    <row r="2357" spans="1:31" ht="15" customHeight="1" x14ac:dyDescent="0.25">
      <c r="A2357" s="20" t="s">
        <v>2913</v>
      </c>
      <c r="B2357" s="20" t="s">
        <v>2913</v>
      </c>
      <c r="C2357" s="20" t="s">
        <v>2913</v>
      </c>
      <c r="D2357" s="378" t="s">
        <v>3262</v>
      </c>
      <c r="E2357" s="384">
        <v>45292</v>
      </c>
      <c r="F2357" s="384">
        <v>47119</v>
      </c>
      <c r="G2357" s="378" t="s">
        <v>439</v>
      </c>
      <c r="H2357" s="20" t="s">
        <v>3263</v>
      </c>
      <c r="I2357" s="378" t="s">
        <v>441</v>
      </c>
      <c r="J2357" s="20" t="s">
        <v>163</v>
      </c>
      <c r="K2357" s="378" t="s">
        <v>3264</v>
      </c>
      <c r="L2357" s="378" t="s">
        <v>2848</v>
      </c>
      <c r="M2357" s="380">
        <v>2350</v>
      </c>
      <c r="N2357" s="380" t="s">
        <v>443</v>
      </c>
      <c r="O2357" s="380" t="s">
        <v>443</v>
      </c>
      <c r="P2357" s="380" t="s">
        <v>443</v>
      </c>
      <c r="Q2357" s="381">
        <v>51.635418999999999</v>
      </c>
      <c r="R2357" s="381">
        <v>51.623745999999997</v>
      </c>
      <c r="S2357" s="381">
        <v>1.1501638E-2</v>
      </c>
      <c r="T2357" s="381">
        <v>1.7129295E-4</v>
      </c>
      <c r="U2357" s="381">
        <v>0</v>
      </c>
      <c r="V2357" s="382">
        <v>51.635418930949996</v>
      </c>
      <c r="W2357" s="382">
        <v>0</v>
      </c>
      <c r="X2357" s="381">
        <v>5.1635419000000002E-2</v>
      </c>
      <c r="Y2357" s="381">
        <v>5.1623745999999998E-2</v>
      </c>
      <c r="Z2357" s="381">
        <v>1.1501637999999999E-5</v>
      </c>
      <c r="AA2357" s="381">
        <v>1.7129295E-7</v>
      </c>
      <c r="AB2357" s="381">
        <v>0</v>
      </c>
      <c r="AC2357" s="382">
        <v>5.1635418930949993E-2</v>
      </c>
      <c r="AD2357" s="382">
        <v>0</v>
      </c>
      <c r="AE2357" s="381" t="s">
        <v>444</v>
      </c>
    </row>
    <row r="2358" spans="1:31" ht="15" customHeight="1" x14ac:dyDescent="0.25">
      <c r="A2358" s="20" t="s">
        <v>2913</v>
      </c>
      <c r="B2358" s="20" t="s">
        <v>2913</v>
      </c>
      <c r="C2358" s="20" t="s">
        <v>2913</v>
      </c>
      <c r="D2358" s="378" t="s">
        <v>3265</v>
      </c>
      <c r="E2358" s="384">
        <v>45292</v>
      </c>
      <c r="F2358" s="384">
        <v>47119</v>
      </c>
      <c r="G2358" s="378" t="s">
        <v>439</v>
      </c>
      <c r="H2358" s="20" t="s">
        <v>3266</v>
      </c>
      <c r="I2358" s="378" t="s">
        <v>441</v>
      </c>
      <c r="J2358" s="20" t="s">
        <v>163</v>
      </c>
      <c r="K2358" s="378" t="s">
        <v>3267</v>
      </c>
      <c r="L2358" s="378" t="s">
        <v>2848</v>
      </c>
      <c r="M2358" s="380">
        <v>2350</v>
      </c>
      <c r="N2358" s="380" t="s">
        <v>443</v>
      </c>
      <c r="O2358" s="380" t="s">
        <v>443</v>
      </c>
      <c r="P2358" s="380" t="s">
        <v>443</v>
      </c>
      <c r="Q2358" s="381">
        <v>5.83</v>
      </c>
      <c r="R2358" s="381">
        <v>5.82</v>
      </c>
      <c r="S2358" s="381">
        <v>1.75E-3</v>
      </c>
      <c r="T2358" s="381">
        <v>1.09E-2</v>
      </c>
      <c r="U2358" s="381">
        <v>0</v>
      </c>
      <c r="V2358" s="382">
        <v>5.832650000000001</v>
      </c>
      <c r="W2358" s="382">
        <v>0</v>
      </c>
      <c r="X2358" s="381">
        <v>5.8300000000000001E-3</v>
      </c>
      <c r="Y2358" s="381">
        <v>5.8200000000000005E-3</v>
      </c>
      <c r="Z2358" s="381">
        <v>1.75E-6</v>
      </c>
      <c r="AA2358" s="381">
        <v>1.0900000000000001E-5</v>
      </c>
      <c r="AB2358" s="381">
        <v>0</v>
      </c>
      <c r="AC2358" s="382">
        <v>5.8326500000000009E-3</v>
      </c>
      <c r="AD2358" s="382">
        <v>0</v>
      </c>
      <c r="AE2358" s="381" t="s">
        <v>444</v>
      </c>
    </row>
    <row r="2359" spans="1:31" ht="15" customHeight="1" x14ac:dyDescent="0.25">
      <c r="A2359" s="20" t="s">
        <v>2913</v>
      </c>
      <c r="B2359" s="20" t="s">
        <v>2913</v>
      </c>
      <c r="C2359" s="20" t="s">
        <v>2913</v>
      </c>
      <c r="D2359" s="378" t="s">
        <v>3268</v>
      </c>
      <c r="E2359" s="384">
        <v>45292</v>
      </c>
      <c r="F2359" s="384">
        <v>47119</v>
      </c>
      <c r="G2359" s="378" t="s">
        <v>439</v>
      </c>
      <c r="H2359" s="20" t="s">
        <v>3266</v>
      </c>
      <c r="I2359" s="378" t="s">
        <v>441</v>
      </c>
      <c r="J2359" s="20" t="s">
        <v>163</v>
      </c>
      <c r="K2359" s="378" t="s">
        <v>3267</v>
      </c>
      <c r="L2359" s="378" t="s">
        <v>2848</v>
      </c>
      <c r="M2359" s="380">
        <v>2350</v>
      </c>
      <c r="N2359" s="380" t="s">
        <v>443</v>
      </c>
      <c r="O2359" s="380" t="s">
        <v>443</v>
      </c>
      <c r="P2359" s="380" t="s">
        <v>443</v>
      </c>
      <c r="Q2359" s="381">
        <v>5.83</v>
      </c>
      <c r="R2359" s="381">
        <v>5.82</v>
      </c>
      <c r="S2359" s="381">
        <v>1.75E-3</v>
      </c>
      <c r="T2359" s="381">
        <v>1.09E-2</v>
      </c>
      <c r="U2359" s="381">
        <v>0</v>
      </c>
      <c r="V2359" s="382">
        <v>5.832650000000001</v>
      </c>
      <c r="W2359" s="382">
        <v>0</v>
      </c>
      <c r="X2359" s="381">
        <v>5.8300000000000001E-3</v>
      </c>
      <c r="Y2359" s="381">
        <v>5.8200000000000005E-3</v>
      </c>
      <c r="Z2359" s="381">
        <v>1.75E-6</v>
      </c>
      <c r="AA2359" s="381">
        <v>1.0900000000000001E-5</v>
      </c>
      <c r="AB2359" s="381">
        <v>0</v>
      </c>
      <c r="AC2359" s="382">
        <v>5.8326500000000009E-3</v>
      </c>
      <c r="AD2359" s="382">
        <v>0</v>
      </c>
      <c r="AE2359" s="381" t="s">
        <v>444</v>
      </c>
    </row>
    <row r="2360" spans="1:31" ht="15" customHeight="1" x14ac:dyDescent="0.25">
      <c r="A2360" s="20" t="s">
        <v>2913</v>
      </c>
      <c r="B2360" s="20" t="s">
        <v>2913</v>
      </c>
      <c r="C2360" s="20" t="s">
        <v>2913</v>
      </c>
      <c r="D2360" s="378" t="s">
        <v>3269</v>
      </c>
      <c r="E2360" s="384">
        <v>45292</v>
      </c>
      <c r="F2360" s="384">
        <v>47119</v>
      </c>
      <c r="G2360" s="378" t="s">
        <v>439</v>
      </c>
      <c r="H2360" s="20" t="s">
        <v>3270</v>
      </c>
      <c r="I2360" s="378" t="s">
        <v>441</v>
      </c>
      <c r="J2360" s="20" t="s">
        <v>163</v>
      </c>
      <c r="K2360" s="378" t="s">
        <v>3271</v>
      </c>
      <c r="L2360" s="378" t="s">
        <v>2848</v>
      </c>
      <c r="M2360" s="380">
        <v>2350</v>
      </c>
      <c r="N2360" s="380" t="s">
        <v>443</v>
      </c>
      <c r="O2360" s="380" t="s">
        <v>443</v>
      </c>
      <c r="P2360" s="380" t="s">
        <v>443</v>
      </c>
      <c r="Q2360" s="381">
        <v>62.004286</v>
      </c>
      <c r="R2360" s="381">
        <v>62.161878000000002</v>
      </c>
      <c r="S2360" s="381">
        <v>-0.15794053</v>
      </c>
      <c r="T2360" s="381">
        <v>3.4850830999999999E-4</v>
      </c>
      <c r="U2360" s="381">
        <v>0</v>
      </c>
      <c r="V2360" s="382">
        <v>62.162226508309999</v>
      </c>
      <c r="W2360" s="382">
        <v>0</v>
      </c>
      <c r="X2360" s="381">
        <v>6.2004285999999999E-2</v>
      </c>
      <c r="Y2360" s="381">
        <v>6.2161878000000004E-2</v>
      </c>
      <c r="Z2360" s="381">
        <v>-1.5794052999999999E-4</v>
      </c>
      <c r="AA2360" s="381">
        <v>3.4850831E-7</v>
      </c>
      <c r="AB2360" s="381">
        <v>0</v>
      </c>
      <c r="AC2360" s="382">
        <v>6.2162226508310006E-2</v>
      </c>
      <c r="AD2360" s="382">
        <v>0</v>
      </c>
      <c r="AE2360" s="381" t="s">
        <v>444</v>
      </c>
    </row>
    <row r="2361" spans="1:31" ht="15" customHeight="1" x14ac:dyDescent="0.25">
      <c r="A2361" s="20" t="s">
        <v>2783</v>
      </c>
      <c r="B2361" s="20" t="s">
        <v>3272</v>
      </c>
      <c r="C2361" s="20" t="s">
        <v>3273</v>
      </c>
      <c r="D2361" s="378" t="s">
        <v>3274</v>
      </c>
      <c r="E2361" s="384">
        <v>45133</v>
      </c>
      <c r="F2361" s="384" t="s">
        <v>3275</v>
      </c>
      <c r="G2361" s="378" t="s">
        <v>2837</v>
      </c>
      <c r="H2361" s="20" t="s">
        <v>3276</v>
      </c>
      <c r="I2361" s="378">
        <v>0</v>
      </c>
      <c r="J2361" s="20" t="s">
        <v>776</v>
      </c>
      <c r="K2361" s="378" t="s">
        <v>3277</v>
      </c>
      <c r="L2361" s="378" t="s">
        <v>2789</v>
      </c>
      <c r="M2361" s="380" t="s">
        <v>443</v>
      </c>
      <c r="N2361" s="380">
        <v>2.37</v>
      </c>
      <c r="O2361" s="380" t="s">
        <v>443</v>
      </c>
      <c r="P2361" s="380" t="s">
        <v>443</v>
      </c>
      <c r="Q2361" s="381">
        <v>25.6</v>
      </c>
      <c r="R2361" s="381">
        <v>19.399999999999999</v>
      </c>
      <c r="S2361" s="381">
        <v>5.15</v>
      </c>
      <c r="T2361" s="381">
        <v>1.1100000000000001</v>
      </c>
      <c r="U2361" s="381">
        <v>0</v>
      </c>
      <c r="V2361" s="382">
        <v>25.659999999999997</v>
      </c>
      <c r="W2361" s="382">
        <v>0</v>
      </c>
      <c r="X2361" s="381">
        <v>10.80168776371308</v>
      </c>
      <c r="Y2361" s="381">
        <v>8.1856540084388172</v>
      </c>
      <c r="Z2361" s="381">
        <v>2.1729957805907172</v>
      </c>
      <c r="AA2361" s="381">
        <v>0.46835443037974683</v>
      </c>
      <c r="AB2361" s="381">
        <v>0</v>
      </c>
      <c r="AC2361" s="382">
        <v>10.827004219409282</v>
      </c>
      <c r="AD2361" s="382">
        <v>0</v>
      </c>
      <c r="AE2361" s="381" t="s">
        <v>168</v>
      </c>
    </row>
    <row r="2362" spans="1:31" ht="15" customHeight="1" x14ac:dyDescent="0.25">
      <c r="A2362" s="20" t="s">
        <v>2783</v>
      </c>
      <c r="B2362" s="20" t="s">
        <v>3272</v>
      </c>
      <c r="C2362" s="20" t="s">
        <v>3273</v>
      </c>
      <c r="D2362" s="378" t="s">
        <v>3278</v>
      </c>
      <c r="E2362" s="384">
        <v>45015</v>
      </c>
      <c r="F2362" s="384">
        <v>46756</v>
      </c>
      <c r="G2362" s="378" t="s">
        <v>3279</v>
      </c>
      <c r="H2362" s="20" t="s">
        <v>3280</v>
      </c>
      <c r="I2362" s="378">
        <v>0</v>
      </c>
      <c r="J2362" s="20" t="s">
        <v>776</v>
      </c>
      <c r="K2362" s="378" t="s">
        <v>3281</v>
      </c>
      <c r="L2362" s="378" t="s">
        <v>2789</v>
      </c>
      <c r="M2362" s="380" t="s">
        <v>443</v>
      </c>
      <c r="N2362" s="380">
        <v>4.18</v>
      </c>
      <c r="O2362" s="380" t="s">
        <v>443</v>
      </c>
      <c r="P2362" s="380" t="s">
        <v>443</v>
      </c>
      <c r="Q2362" s="381">
        <v>9.43</v>
      </c>
      <c r="R2362" s="381">
        <v>9.39</v>
      </c>
      <c r="S2362" s="381">
        <v>7.5199999999999998E-3</v>
      </c>
      <c r="T2362" s="381">
        <v>3.49E-2</v>
      </c>
      <c r="U2362" s="381">
        <v>0</v>
      </c>
      <c r="V2362" s="382">
        <v>9.4324200000000005</v>
      </c>
      <c r="W2362" s="382">
        <v>0</v>
      </c>
      <c r="X2362" s="381">
        <v>2.2559808612440193</v>
      </c>
      <c r="Y2362" s="381">
        <v>2.2464114832535889</v>
      </c>
      <c r="Z2362" s="381">
        <v>1.799043062200957E-3</v>
      </c>
      <c r="AA2362" s="381">
        <v>8.3492822966507192E-3</v>
      </c>
      <c r="AB2362" s="381">
        <v>0</v>
      </c>
      <c r="AC2362" s="382">
        <v>2.2565598086124408</v>
      </c>
      <c r="AD2362" s="382">
        <v>0</v>
      </c>
      <c r="AE2362" s="381" t="s">
        <v>168</v>
      </c>
    </row>
    <row r="2363" spans="1:31" ht="15" customHeight="1" x14ac:dyDescent="0.25">
      <c r="A2363" s="20" t="s">
        <v>2783</v>
      </c>
      <c r="B2363" s="20" t="s">
        <v>3272</v>
      </c>
      <c r="C2363" s="20" t="s">
        <v>3273</v>
      </c>
      <c r="D2363" s="378" t="s">
        <v>3282</v>
      </c>
      <c r="E2363" s="384">
        <v>45133</v>
      </c>
      <c r="F2363" s="384" t="s">
        <v>3275</v>
      </c>
      <c r="G2363" s="378" t="s">
        <v>2837</v>
      </c>
      <c r="H2363" s="20" t="s">
        <v>3276</v>
      </c>
      <c r="I2363" s="378">
        <v>0</v>
      </c>
      <c r="J2363" s="20" t="s">
        <v>776</v>
      </c>
      <c r="K2363" s="378" t="s">
        <v>3277</v>
      </c>
      <c r="L2363" s="378" t="s">
        <v>2789</v>
      </c>
      <c r="M2363" s="380" t="s">
        <v>443</v>
      </c>
      <c r="N2363" s="380">
        <v>2.17</v>
      </c>
      <c r="O2363" s="380" t="s">
        <v>443</v>
      </c>
      <c r="P2363" s="380" t="s">
        <v>443</v>
      </c>
      <c r="Q2363" s="381">
        <v>22.7</v>
      </c>
      <c r="R2363" s="381">
        <v>17.399999999999999</v>
      </c>
      <c r="S2363" s="381">
        <v>4.3600000000000003</v>
      </c>
      <c r="T2363" s="381">
        <v>0.94399999999999995</v>
      </c>
      <c r="U2363" s="381">
        <v>0</v>
      </c>
      <c r="V2363" s="382">
        <v>22.703999999999997</v>
      </c>
      <c r="W2363" s="382">
        <v>0</v>
      </c>
      <c r="X2363" s="381">
        <v>10.460829493087557</v>
      </c>
      <c r="Y2363" s="381">
        <v>8.0184331797235018</v>
      </c>
      <c r="Z2363" s="381">
        <v>2.0092165898617513</v>
      </c>
      <c r="AA2363" s="381">
        <v>0.43502304147465437</v>
      </c>
      <c r="AB2363" s="381">
        <v>0</v>
      </c>
      <c r="AC2363" s="382">
        <v>10.462672811059907</v>
      </c>
      <c r="AD2363" s="382">
        <v>0</v>
      </c>
      <c r="AE2363" s="381" t="s">
        <v>168</v>
      </c>
    </row>
    <row r="2364" spans="1:31" ht="15" customHeight="1" x14ac:dyDescent="0.25">
      <c r="A2364" s="20" t="s">
        <v>2783</v>
      </c>
      <c r="B2364" s="20" t="s">
        <v>3272</v>
      </c>
      <c r="C2364" s="20" t="s">
        <v>3273</v>
      </c>
      <c r="D2364" s="378" t="s">
        <v>3283</v>
      </c>
      <c r="E2364" s="384">
        <v>45371</v>
      </c>
      <c r="F2364" s="384">
        <v>47197</v>
      </c>
      <c r="G2364" s="378" t="s">
        <v>2837</v>
      </c>
      <c r="H2364" s="20" t="s">
        <v>3284</v>
      </c>
      <c r="I2364" s="378">
        <v>0</v>
      </c>
      <c r="J2364" s="20" t="s">
        <v>776</v>
      </c>
      <c r="K2364" s="378" t="s">
        <v>3285</v>
      </c>
      <c r="L2364" s="378" t="s">
        <v>2789</v>
      </c>
      <c r="M2364" s="380" t="s">
        <v>443</v>
      </c>
      <c r="N2364" s="380">
        <v>4.22</v>
      </c>
      <c r="O2364" s="380" t="s">
        <v>443</v>
      </c>
      <c r="P2364" s="380" t="s">
        <v>443</v>
      </c>
      <c r="Q2364" s="381">
        <v>17.600000000000001</v>
      </c>
      <c r="R2364" s="381">
        <v>0</v>
      </c>
      <c r="S2364" s="381">
        <v>0</v>
      </c>
      <c r="T2364" s="381">
        <v>0</v>
      </c>
      <c r="U2364" s="381">
        <v>0</v>
      </c>
      <c r="V2364" s="382">
        <v>17.600000000000001</v>
      </c>
      <c r="W2364" s="382">
        <v>0</v>
      </c>
      <c r="X2364" s="381">
        <v>4.1706161137440763</v>
      </c>
      <c r="Y2364" s="381">
        <v>0</v>
      </c>
      <c r="Z2364" s="381">
        <v>0</v>
      </c>
      <c r="AA2364" s="381">
        <v>0</v>
      </c>
      <c r="AB2364" s="381">
        <v>0</v>
      </c>
      <c r="AC2364" s="382">
        <v>4.1706161137440763</v>
      </c>
      <c r="AD2364" s="382">
        <v>0</v>
      </c>
      <c r="AE2364" s="381" t="s">
        <v>168</v>
      </c>
    </row>
    <row r="2365" spans="1:31" ht="15" customHeight="1" x14ac:dyDescent="0.25">
      <c r="A2365" s="20" t="s">
        <v>2783</v>
      </c>
      <c r="B2365" s="20" t="s">
        <v>3272</v>
      </c>
      <c r="C2365" s="20" t="s">
        <v>3273</v>
      </c>
      <c r="D2365" s="378" t="s">
        <v>3286</v>
      </c>
      <c r="E2365" s="384">
        <v>45371</v>
      </c>
      <c r="F2365" s="384">
        <v>47197</v>
      </c>
      <c r="G2365" s="378" t="s">
        <v>2837</v>
      </c>
      <c r="H2365" s="20" t="s">
        <v>3284</v>
      </c>
      <c r="I2365" s="378">
        <v>0</v>
      </c>
      <c r="J2365" s="20" t="s">
        <v>776</v>
      </c>
      <c r="K2365" s="378" t="s">
        <v>3285</v>
      </c>
      <c r="L2365" s="378" t="s">
        <v>2789</v>
      </c>
      <c r="M2365" s="380" t="s">
        <v>443</v>
      </c>
      <c r="N2365" s="380">
        <v>4.22</v>
      </c>
      <c r="O2365" s="380" t="s">
        <v>443</v>
      </c>
      <c r="P2365" s="380" t="s">
        <v>443</v>
      </c>
      <c r="Q2365" s="381">
        <v>14.4</v>
      </c>
      <c r="R2365" s="381">
        <v>0</v>
      </c>
      <c r="S2365" s="381">
        <v>0</v>
      </c>
      <c r="T2365" s="381">
        <v>0</v>
      </c>
      <c r="U2365" s="381">
        <v>0</v>
      </c>
      <c r="V2365" s="382">
        <v>14.4</v>
      </c>
      <c r="W2365" s="382">
        <v>0</v>
      </c>
      <c r="X2365" s="381">
        <v>3.4123222748815167</v>
      </c>
      <c r="Y2365" s="381">
        <v>0</v>
      </c>
      <c r="Z2365" s="381">
        <v>0</v>
      </c>
      <c r="AA2365" s="381">
        <v>0</v>
      </c>
      <c r="AB2365" s="381">
        <v>0</v>
      </c>
      <c r="AC2365" s="382">
        <v>3.4123222748815167</v>
      </c>
      <c r="AD2365" s="382">
        <v>0</v>
      </c>
      <c r="AE2365" s="381" t="s">
        <v>168</v>
      </c>
    </row>
    <row r="2366" spans="1:31" ht="15" customHeight="1" x14ac:dyDescent="0.25">
      <c r="A2366" s="20" t="s">
        <v>2783</v>
      </c>
      <c r="B2366" s="20" t="s">
        <v>3272</v>
      </c>
      <c r="C2366" s="20" t="s">
        <v>3273</v>
      </c>
      <c r="D2366" s="378" t="s">
        <v>3287</v>
      </c>
      <c r="E2366" s="384">
        <v>45371</v>
      </c>
      <c r="F2366" s="384">
        <v>47197</v>
      </c>
      <c r="G2366" s="378" t="s">
        <v>2837</v>
      </c>
      <c r="H2366" s="20" t="s">
        <v>3284</v>
      </c>
      <c r="I2366" s="378">
        <v>0</v>
      </c>
      <c r="J2366" s="20" t="s">
        <v>776</v>
      </c>
      <c r="K2366" s="378" t="s">
        <v>3285</v>
      </c>
      <c r="L2366" s="378" t="s">
        <v>2789</v>
      </c>
      <c r="M2366" s="380" t="s">
        <v>443</v>
      </c>
      <c r="N2366" s="380">
        <v>4.22</v>
      </c>
      <c r="O2366" s="380" t="s">
        <v>443</v>
      </c>
      <c r="P2366" s="380" t="s">
        <v>443</v>
      </c>
      <c r="Q2366" s="381">
        <v>17.5</v>
      </c>
      <c r="R2366" s="381">
        <v>0</v>
      </c>
      <c r="S2366" s="381">
        <v>0</v>
      </c>
      <c r="T2366" s="381">
        <v>0</v>
      </c>
      <c r="U2366" s="381">
        <v>0</v>
      </c>
      <c r="V2366" s="382">
        <v>17.5</v>
      </c>
      <c r="W2366" s="382">
        <v>0</v>
      </c>
      <c r="X2366" s="381">
        <v>4.1469194312796214</v>
      </c>
      <c r="Y2366" s="381">
        <v>0</v>
      </c>
      <c r="Z2366" s="381">
        <v>0</v>
      </c>
      <c r="AA2366" s="381">
        <v>0</v>
      </c>
      <c r="AB2366" s="381">
        <v>0</v>
      </c>
      <c r="AC2366" s="382">
        <v>4.1469194312796214</v>
      </c>
      <c r="AD2366" s="382">
        <v>0</v>
      </c>
      <c r="AE2366" s="381" t="s">
        <v>168</v>
      </c>
    </row>
    <row r="2367" spans="1:31" ht="15" customHeight="1" x14ac:dyDescent="0.25">
      <c r="A2367" s="20" t="s">
        <v>2783</v>
      </c>
      <c r="B2367" s="20" t="s">
        <v>3272</v>
      </c>
      <c r="C2367" s="20" t="s">
        <v>3273</v>
      </c>
      <c r="D2367" s="378" t="s">
        <v>3288</v>
      </c>
      <c r="E2367" s="384">
        <v>45371</v>
      </c>
      <c r="F2367" s="384">
        <v>47197</v>
      </c>
      <c r="G2367" s="378" t="s">
        <v>3289</v>
      </c>
      <c r="H2367" s="20" t="s">
        <v>3290</v>
      </c>
      <c r="I2367" s="378">
        <v>0</v>
      </c>
      <c r="J2367" s="20" t="s">
        <v>776</v>
      </c>
      <c r="K2367" s="378" t="s">
        <v>3291</v>
      </c>
      <c r="L2367" s="378" t="s">
        <v>2789</v>
      </c>
      <c r="M2367" s="380" t="s">
        <v>443</v>
      </c>
      <c r="N2367" s="380">
        <v>3.29</v>
      </c>
      <c r="O2367" s="380" t="s">
        <v>443</v>
      </c>
      <c r="P2367" s="380" t="s">
        <v>443</v>
      </c>
      <c r="Q2367" s="381">
        <v>12.3</v>
      </c>
      <c r="R2367" s="381">
        <v>0</v>
      </c>
      <c r="S2367" s="381">
        <v>0</v>
      </c>
      <c r="T2367" s="381">
        <v>0</v>
      </c>
      <c r="U2367" s="381">
        <v>0</v>
      </c>
      <c r="V2367" s="382">
        <v>12.3</v>
      </c>
      <c r="W2367" s="382">
        <v>0</v>
      </c>
      <c r="X2367" s="381">
        <v>3.738601823708207</v>
      </c>
      <c r="Y2367" s="381">
        <v>0</v>
      </c>
      <c r="Z2367" s="381">
        <v>0</v>
      </c>
      <c r="AA2367" s="381">
        <v>0</v>
      </c>
      <c r="AB2367" s="381">
        <v>0</v>
      </c>
      <c r="AC2367" s="382">
        <v>3.738601823708207</v>
      </c>
      <c r="AD2367" s="382">
        <v>0</v>
      </c>
      <c r="AE2367" s="381" t="s">
        <v>168</v>
      </c>
    </row>
    <row r="2368" spans="1:31" ht="15" customHeight="1" x14ac:dyDescent="0.25">
      <c r="A2368" s="20" t="s">
        <v>2783</v>
      </c>
      <c r="B2368" s="20" t="s">
        <v>3272</v>
      </c>
      <c r="C2368" s="20" t="s">
        <v>3273</v>
      </c>
      <c r="D2368" s="378" t="s">
        <v>3292</v>
      </c>
      <c r="E2368" s="384">
        <v>45371</v>
      </c>
      <c r="F2368" s="384">
        <v>47197</v>
      </c>
      <c r="G2368" s="378" t="s">
        <v>3289</v>
      </c>
      <c r="H2368" s="20" t="s">
        <v>3290</v>
      </c>
      <c r="I2368" s="378">
        <v>0</v>
      </c>
      <c r="J2368" s="20" t="s">
        <v>776</v>
      </c>
      <c r="K2368" s="378" t="s">
        <v>3291</v>
      </c>
      <c r="L2368" s="378" t="s">
        <v>2789</v>
      </c>
      <c r="M2368" s="380" t="s">
        <v>443</v>
      </c>
      <c r="N2368" s="380">
        <v>3.29</v>
      </c>
      <c r="O2368" s="380" t="s">
        <v>443</v>
      </c>
      <c r="P2368" s="380" t="s">
        <v>443</v>
      </c>
      <c r="Q2368" s="381">
        <v>8.5299999999999994</v>
      </c>
      <c r="R2368" s="381">
        <v>0</v>
      </c>
      <c r="S2368" s="381">
        <v>0</v>
      </c>
      <c r="T2368" s="381">
        <v>0</v>
      </c>
      <c r="U2368" s="381">
        <v>0</v>
      </c>
      <c r="V2368" s="382">
        <v>8.5299999999999994</v>
      </c>
      <c r="W2368" s="382">
        <v>0</v>
      </c>
      <c r="X2368" s="381">
        <v>2.5927051671732522</v>
      </c>
      <c r="Y2368" s="381">
        <v>0</v>
      </c>
      <c r="Z2368" s="381">
        <v>0</v>
      </c>
      <c r="AA2368" s="381">
        <v>0</v>
      </c>
      <c r="AB2368" s="381">
        <v>0</v>
      </c>
      <c r="AC2368" s="382">
        <v>2.5927051671732522</v>
      </c>
      <c r="AD2368" s="382">
        <v>0</v>
      </c>
      <c r="AE2368" s="381" t="s">
        <v>168</v>
      </c>
    </row>
    <row r="2369" spans="1:31" ht="15" customHeight="1" x14ac:dyDescent="0.25">
      <c r="A2369" s="20" t="s">
        <v>2783</v>
      </c>
      <c r="B2369" s="20" t="s">
        <v>3272</v>
      </c>
      <c r="C2369" s="20" t="s">
        <v>3273</v>
      </c>
      <c r="D2369" s="378" t="s">
        <v>3293</v>
      </c>
      <c r="E2369" s="384">
        <v>45371</v>
      </c>
      <c r="F2369" s="384">
        <v>47197</v>
      </c>
      <c r="G2369" s="378" t="s">
        <v>3289</v>
      </c>
      <c r="H2369" s="20" t="s">
        <v>3290</v>
      </c>
      <c r="I2369" s="378">
        <v>0</v>
      </c>
      <c r="J2369" s="20" t="s">
        <v>776</v>
      </c>
      <c r="K2369" s="378" t="s">
        <v>3291</v>
      </c>
      <c r="L2369" s="378" t="s">
        <v>2789</v>
      </c>
      <c r="M2369" s="380" t="s">
        <v>443</v>
      </c>
      <c r="N2369" s="380">
        <v>3.29</v>
      </c>
      <c r="O2369" s="380" t="s">
        <v>443</v>
      </c>
      <c r="P2369" s="380" t="s">
        <v>443</v>
      </c>
      <c r="Q2369" s="381">
        <v>12.5</v>
      </c>
      <c r="R2369" s="381">
        <v>0</v>
      </c>
      <c r="S2369" s="381">
        <v>0</v>
      </c>
      <c r="T2369" s="381">
        <v>0</v>
      </c>
      <c r="U2369" s="381">
        <v>0</v>
      </c>
      <c r="V2369" s="382">
        <v>12.5</v>
      </c>
      <c r="W2369" s="382">
        <v>0</v>
      </c>
      <c r="X2369" s="381">
        <v>3.7993920972644375</v>
      </c>
      <c r="Y2369" s="381">
        <v>0</v>
      </c>
      <c r="Z2369" s="381">
        <v>0</v>
      </c>
      <c r="AA2369" s="381">
        <v>0</v>
      </c>
      <c r="AB2369" s="381">
        <v>0</v>
      </c>
      <c r="AC2369" s="382">
        <v>3.7993920972644375</v>
      </c>
      <c r="AD2369" s="382">
        <v>0</v>
      </c>
      <c r="AE2369" s="381" t="s">
        <v>168</v>
      </c>
    </row>
    <row r="2370" spans="1:31" ht="15" customHeight="1" x14ac:dyDescent="0.25">
      <c r="A2370" s="20" t="s">
        <v>2783</v>
      </c>
      <c r="B2370" s="20" t="s">
        <v>3272</v>
      </c>
      <c r="C2370" s="20" t="s">
        <v>3273</v>
      </c>
      <c r="D2370" s="378" t="s">
        <v>3294</v>
      </c>
      <c r="E2370" s="384">
        <v>45371</v>
      </c>
      <c r="F2370" s="384">
        <v>47197</v>
      </c>
      <c r="G2370" s="378" t="s">
        <v>3289</v>
      </c>
      <c r="H2370" s="20" t="s">
        <v>3295</v>
      </c>
      <c r="I2370" s="378">
        <v>0</v>
      </c>
      <c r="J2370" s="20" t="s">
        <v>776</v>
      </c>
      <c r="K2370" s="378" t="s">
        <v>3296</v>
      </c>
      <c r="L2370" s="378" t="s">
        <v>2789</v>
      </c>
      <c r="M2370" s="380" t="s">
        <v>443</v>
      </c>
      <c r="N2370" s="380">
        <v>4.22</v>
      </c>
      <c r="O2370" s="380" t="s">
        <v>443</v>
      </c>
      <c r="P2370" s="380" t="s">
        <v>443</v>
      </c>
      <c r="Q2370" s="381">
        <v>17.600000000000001</v>
      </c>
      <c r="R2370" s="381">
        <v>0</v>
      </c>
      <c r="S2370" s="381">
        <v>0</v>
      </c>
      <c r="T2370" s="381">
        <v>0</v>
      </c>
      <c r="U2370" s="381">
        <v>0</v>
      </c>
      <c r="V2370" s="382">
        <v>17.600000000000001</v>
      </c>
      <c r="W2370" s="382">
        <v>0</v>
      </c>
      <c r="X2370" s="381">
        <v>4.1706161137440763</v>
      </c>
      <c r="Y2370" s="381">
        <v>0</v>
      </c>
      <c r="Z2370" s="381">
        <v>0</v>
      </c>
      <c r="AA2370" s="381">
        <v>0</v>
      </c>
      <c r="AB2370" s="381">
        <v>0</v>
      </c>
      <c r="AC2370" s="382">
        <v>4.1706161137440763</v>
      </c>
      <c r="AD2370" s="382">
        <v>0</v>
      </c>
      <c r="AE2370" s="381" t="s">
        <v>168</v>
      </c>
    </row>
    <row r="2371" spans="1:31" ht="15" customHeight="1" x14ac:dyDescent="0.25">
      <c r="A2371" s="20" t="s">
        <v>2783</v>
      </c>
      <c r="B2371" s="20" t="s">
        <v>3272</v>
      </c>
      <c r="C2371" s="20" t="s">
        <v>3273</v>
      </c>
      <c r="D2371" s="378" t="s">
        <v>3297</v>
      </c>
      <c r="E2371" s="384">
        <v>45371</v>
      </c>
      <c r="F2371" s="384">
        <v>47197</v>
      </c>
      <c r="G2371" s="378" t="s">
        <v>3289</v>
      </c>
      <c r="H2371" s="20" t="s">
        <v>3284</v>
      </c>
      <c r="I2371" s="378">
        <v>0</v>
      </c>
      <c r="J2371" s="20" t="s">
        <v>776</v>
      </c>
      <c r="K2371" s="378" t="s">
        <v>3296</v>
      </c>
      <c r="L2371" s="378" t="s">
        <v>2789</v>
      </c>
      <c r="M2371" s="380" t="s">
        <v>443</v>
      </c>
      <c r="N2371" s="380">
        <v>4.22</v>
      </c>
      <c r="O2371" s="380" t="s">
        <v>443</v>
      </c>
      <c r="P2371" s="380" t="s">
        <v>443</v>
      </c>
      <c r="Q2371" s="381">
        <v>14.4</v>
      </c>
      <c r="R2371" s="381">
        <v>0</v>
      </c>
      <c r="S2371" s="381">
        <v>0</v>
      </c>
      <c r="T2371" s="381">
        <v>0</v>
      </c>
      <c r="U2371" s="381">
        <v>0</v>
      </c>
      <c r="V2371" s="382">
        <v>14.4</v>
      </c>
      <c r="W2371" s="382">
        <v>0</v>
      </c>
      <c r="X2371" s="381">
        <v>3.4123222748815167</v>
      </c>
      <c r="Y2371" s="381">
        <v>0</v>
      </c>
      <c r="Z2371" s="381">
        <v>0</v>
      </c>
      <c r="AA2371" s="381">
        <v>0</v>
      </c>
      <c r="AB2371" s="381">
        <v>0</v>
      </c>
      <c r="AC2371" s="382">
        <v>3.4123222748815167</v>
      </c>
      <c r="AD2371" s="382">
        <v>0</v>
      </c>
      <c r="AE2371" s="381" t="s">
        <v>168</v>
      </c>
    </row>
    <row r="2372" spans="1:31" ht="15" customHeight="1" x14ac:dyDescent="0.25">
      <c r="A2372" s="20" t="s">
        <v>2783</v>
      </c>
      <c r="B2372" s="20" t="s">
        <v>3272</v>
      </c>
      <c r="C2372" s="20" t="s">
        <v>3273</v>
      </c>
      <c r="D2372" s="378" t="s">
        <v>3298</v>
      </c>
      <c r="E2372" s="384">
        <v>45371</v>
      </c>
      <c r="F2372" s="384">
        <v>47197</v>
      </c>
      <c r="G2372" s="378" t="s">
        <v>3289</v>
      </c>
      <c r="H2372" s="20" t="s">
        <v>3284</v>
      </c>
      <c r="I2372" s="378">
        <v>0</v>
      </c>
      <c r="J2372" s="20" t="s">
        <v>776</v>
      </c>
      <c r="K2372" s="378" t="s">
        <v>3296</v>
      </c>
      <c r="L2372" s="378" t="s">
        <v>2789</v>
      </c>
      <c r="M2372" s="380" t="s">
        <v>443</v>
      </c>
      <c r="N2372" s="380">
        <v>4.22</v>
      </c>
      <c r="O2372" s="380" t="s">
        <v>443</v>
      </c>
      <c r="P2372" s="380" t="s">
        <v>443</v>
      </c>
      <c r="Q2372" s="381">
        <v>17.5</v>
      </c>
      <c r="R2372" s="381">
        <v>0</v>
      </c>
      <c r="S2372" s="381">
        <v>0</v>
      </c>
      <c r="T2372" s="381">
        <v>0</v>
      </c>
      <c r="U2372" s="381">
        <v>0</v>
      </c>
      <c r="V2372" s="382">
        <v>17.5</v>
      </c>
      <c r="W2372" s="382">
        <v>0</v>
      </c>
      <c r="X2372" s="381">
        <v>4.1469194312796214</v>
      </c>
      <c r="Y2372" s="381">
        <v>0</v>
      </c>
      <c r="Z2372" s="381">
        <v>0</v>
      </c>
      <c r="AA2372" s="381">
        <v>0</v>
      </c>
      <c r="AB2372" s="381">
        <v>0</v>
      </c>
      <c r="AC2372" s="382">
        <v>4.1469194312796214</v>
      </c>
      <c r="AD2372" s="382">
        <v>0</v>
      </c>
      <c r="AE2372" s="381" t="s">
        <v>168</v>
      </c>
    </row>
    <row r="2373" spans="1:31" ht="15" customHeight="1" x14ac:dyDescent="0.25">
      <c r="A2373" s="20" t="s">
        <v>2783</v>
      </c>
      <c r="B2373" s="20" t="s">
        <v>3272</v>
      </c>
      <c r="C2373" s="20" t="s">
        <v>3273</v>
      </c>
      <c r="D2373" s="378" t="s">
        <v>3299</v>
      </c>
      <c r="E2373" s="384">
        <v>45371</v>
      </c>
      <c r="F2373" s="384">
        <v>47197</v>
      </c>
      <c r="G2373" s="378" t="s">
        <v>3289</v>
      </c>
      <c r="H2373" s="20" t="s">
        <v>3300</v>
      </c>
      <c r="I2373" s="378">
        <v>0</v>
      </c>
      <c r="J2373" s="20" t="s">
        <v>776</v>
      </c>
      <c r="K2373" s="378" t="s">
        <v>3301</v>
      </c>
      <c r="L2373" s="378" t="s">
        <v>2789</v>
      </c>
      <c r="M2373" s="380" t="s">
        <v>443</v>
      </c>
      <c r="N2373" s="380">
        <v>3.29</v>
      </c>
      <c r="O2373" s="380" t="s">
        <v>443</v>
      </c>
      <c r="P2373" s="380" t="s">
        <v>443</v>
      </c>
      <c r="Q2373" s="381">
        <v>12.3</v>
      </c>
      <c r="R2373" s="381">
        <v>0</v>
      </c>
      <c r="S2373" s="381">
        <v>0</v>
      </c>
      <c r="T2373" s="381">
        <v>0</v>
      </c>
      <c r="U2373" s="381">
        <v>0</v>
      </c>
      <c r="V2373" s="382">
        <v>12.3</v>
      </c>
      <c r="W2373" s="382">
        <v>0</v>
      </c>
      <c r="X2373" s="381">
        <v>3.738601823708207</v>
      </c>
      <c r="Y2373" s="381">
        <v>0</v>
      </c>
      <c r="Z2373" s="381">
        <v>0</v>
      </c>
      <c r="AA2373" s="381">
        <v>0</v>
      </c>
      <c r="AB2373" s="381">
        <v>0</v>
      </c>
      <c r="AC2373" s="382">
        <v>3.738601823708207</v>
      </c>
      <c r="AD2373" s="382">
        <v>0</v>
      </c>
      <c r="AE2373" s="381" t="s">
        <v>168</v>
      </c>
    </row>
    <row r="2374" spans="1:31" ht="15" customHeight="1" x14ac:dyDescent="0.25">
      <c r="A2374" s="20" t="s">
        <v>2783</v>
      </c>
      <c r="B2374" s="20" t="s">
        <v>3272</v>
      </c>
      <c r="C2374" s="20" t="s">
        <v>3273</v>
      </c>
      <c r="D2374" s="378" t="s">
        <v>3302</v>
      </c>
      <c r="E2374" s="384">
        <v>45371</v>
      </c>
      <c r="F2374" s="384">
        <v>47197</v>
      </c>
      <c r="G2374" s="378" t="s">
        <v>3289</v>
      </c>
      <c r="H2374" s="20" t="s">
        <v>3300</v>
      </c>
      <c r="I2374" s="378">
        <v>0</v>
      </c>
      <c r="J2374" s="20" t="s">
        <v>776</v>
      </c>
      <c r="K2374" s="378" t="s">
        <v>3301</v>
      </c>
      <c r="L2374" s="378" t="s">
        <v>2789</v>
      </c>
      <c r="M2374" s="380" t="s">
        <v>443</v>
      </c>
      <c r="N2374" s="380">
        <v>3.29</v>
      </c>
      <c r="O2374" s="380" t="s">
        <v>443</v>
      </c>
      <c r="P2374" s="380" t="s">
        <v>443</v>
      </c>
      <c r="Q2374" s="381">
        <v>8.5299999999999994</v>
      </c>
      <c r="R2374" s="381">
        <v>0</v>
      </c>
      <c r="S2374" s="381">
        <v>0</v>
      </c>
      <c r="T2374" s="381">
        <v>0</v>
      </c>
      <c r="U2374" s="381">
        <v>0</v>
      </c>
      <c r="V2374" s="382">
        <v>8.5299999999999994</v>
      </c>
      <c r="W2374" s="382">
        <v>0</v>
      </c>
      <c r="X2374" s="381">
        <v>2.5927051671732522</v>
      </c>
      <c r="Y2374" s="381">
        <v>0</v>
      </c>
      <c r="Z2374" s="381">
        <v>0</v>
      </c>
      <c r="AA2374" s="381">
        <v>0</v>
      </c>
      <c r="AB2374" s="381">
        <v>0</v>
      </c>
      <c r="AC2374" s="382">
        <v>2.5927051671732522</v>
      </c>
      <c r="AD2374" s="382">
        <v>0</v>
      </c>
      <c r="AE2374" s="381" t="s">
        <v>168</v>
      </c>
    </row>
    <row r="2375" spans="1:31" ht="15" customHeight="1" x14ac:dyDescent="0.25">
      <c r="A2375" s="20" t="s">
        <v>2783</v>
      </c>
      <c r="B2375" s="20" t="s">
        <v>3272</v>
      </c>
      <c r="C2375" s="20" t="s">
        <v>3273</v>
      </c>
      <c r="D2375" s="378" t="s">
        <v>3303</v>
      </c>
      <c r="E2375" s="384">
        <v>45371</v>
      </c>
      <c r="F2375" s="384">
        <v>47197</v>
      </c>
      <c r="G2375" s="378" t="s">
        <v>3289</v>
      </c>
      <c r="H2375" s="20" t="s">
        <v>3300</v>
      </c>
      <c r="I2375" s="378">
        <v>0</v>
      </c>
      <c r="J2375" s="20" t="s">
        <v>776</v>
      </c>
      <c r="K2375" s="378" t="s">
        <v>3301</v>
      </c>
      <c r="L2375" s="378" t="s">
        <v>2789</v>
      </c>
      <c r="M2375" s="380" t="s">
        <v>443</v>
      </c>
      <c r="N2375" s="380">
        <v>3.29</v>
      </c>
      <c r="O2375" s="380" t="s">
        <v>443</v>
      </c>
      <c r="P2375" s="380" t="s">
        <v>443</v>
      </c>
      <c r="Q2375" s="381">
        <v>12.5</v>
      </c>
      <c r="R2375" s="381">
        <v>0</v>
      </c>
      <c r="S2375" s="381">
        <v>0</v>
      </c>
      <c r="T2375" s="381">
        <v>0</v>
      </c>
      <c r="U2375" s="381">
        <v>0</v>
      </c>
      <c r="V2375" s="382">
        <v>12.5</v>
      </c>
      <c r="W2375" s="382">
        <v>0</v>
      </c>
      <c r="X2375" s="381">
        <v>3.7993920972644375</v>
      </c>
      <c r="Y2375" s="381">
        <v>0</v>
      </c>
      <c r="Z2375" s="381">
        <v>0</v>
      </c>
      <c r="AA2375" s="381">
        <v>0</v>
      </c>
      <c r="AB2375" s="381">
        <v>0</v>
      </c>
      <c r="AC2375" s="382">
        <v>3.7993920972644375</v>
      </c>
      <c r="AD2375" s="382">
        <v>0</v>
      </c>
      <c r="AE2375" s="381" t="s">
        <v>168</v>
      </c>
    </row>
    <row r="2376" spans="1:31" ht="15" customHeight="1" x14ac:dyDescent="0.25">
      <c r="A2376" s="20" t="s">
        <v>2783</v>
      </c>
      <c r="B2376" s="20" t="s">
        <v>3272</v>
      </c>
      <c r="C2376" s="20" t="s">
        <v>3273</v>
      </c>
      <c r="D2376" s="378" t="s">
        <v>3304</v>
      </c>
      <c r="E2376" s="384">
        <v>45133</v>
      </c>
      <c r="F2376" s="384" t="s">
        <v>3275</v>
      </c>
      <c r="G2376" s="378" t="s">
        <v>2837</v>
      </c>
      <c r="H2376" s="20" t="s">
        <v>3276</v>
      </c>
      <c r="I2376" s="378">
        <v>0</v>
      </c>
      <c r="J2376" s="20" t="s">
        <v>776</v>
      </c>
      <c r="K2376" s="378" t="s">
        <v>3277</v>
      </c>
      <c r="L2376" s="378" t="s">
        <v>2789</v>
      </c>
      <c r="M2376" s="380" t="s">
        <v>443</v>
      </c>
      <c r="N2376" s="380">
        <v>2.57</v>
      </c>
      <c r="O2376" s="380" t="s">
        <v>443</v>
      </c>
      <c r="P2376" s="380" t="s">
        <v>443</v>
      </c>
      <c r="Q2376" s="381">
        <v>28.6</v>
      </c>
      <c r="R2376" s="381">
        <v>21.3</v>
      </c>
      <c r="S2376" s="381">
        <v>5.93</v>
      </c>
      <c r="T2376" s="381">
        <v>1.29</v>
      </c>
      <c r="U2376" s="381">
        <v>0</v>
      </c>
      <c r="V2376" s="382">
        <v>28.52</v>
      </c>
      <c r="W2376" s="382">
        <v>0</v>
      </c>
      <c r="X2376" s="381">
        <v>11.128404669260702</v>
      </c>
      <c r="Y2376" s="381">
        <v>8.2879377431906622</v>
      </c>
      <c r="Z2376" s="381">
        <v>2.3073929961089497</v>
      </c>
      <c r="AA2376" s="381">
        <v>0.50194552529182879</v>
      </c>
      <c r="AB2376" s="381">
        <v>0</v>
      </c>
      <c r="AC2376" s="382">
        <v>11.097276264591441</v>
      </c>
      <c r="AD2376" s="382">
        <v>0</v>
      </c>
      <c r="AE2376" s="381" t="s">
        <v>168</v>
      </c>
    </row>
    <row r="2377" spans="1:31" ht="15" customHeight="1" x14ac:dyDescent="0.25">
      <c r="A2377" s="20" t="s">
        <v>2783</v>
      </c>
      <c r="B2377" s="20" t="s">
        <v>3272</v>
      </c>
      <c r="C2377" s="20" t="s">
        <v>3273</v>
      </c>
      <c r="D2377" s="378" t="s">
        <v>3305</v>
      </c>
      <c r="E2377" s="384">
        <v>45088</v>
      </c>
      <c r="F2377" s="384">
        <v>46884</v>
      </c>
      <c r="G2377" s="378" t="s">
        <v>2837</v>
      </c>
      <c r="H2377" s="20" t="s">
        <v>3306</v>
      </c>
      <c r="I2377" s="378">
        <v>0</v>
      </c>
      <c r="J2377" s="20" t="s">
        <v>3307</v>
      </c>
      <c r="K2377" s="378" t="s">
        <v>3308</v>
      </c>
      <c r="L2377" s="378" t="s">
        <v>2789</v>
      </c>
      <c r="M2377" s="380" t="s">
        <v>443</v>
      </c>
      <c r="N2377" s="380">
        <v>3.14</v>
      </c>
      <c r="O2377" s="380" t="s">
        <v>443</v>
      </c>
      <c r="P2377" s="380" t="s">
        <v>443</v>
      </c>
      <c r="Q2377" s="381">
        <v>8.67</v>
      </c>
      <c r="R2377" s="381">
        <v>9.08</v>
      </c>
      <c r="S2377" s="381">
        <v>-0.41399999999999998</v>
      </c>
      <c r="T2377" s="381">
        <v>6.1200000000000002E-4</v>
      </c>
      <c r="U2377" s="381">
        <v>0</v>
      </c>
      <c r="V2377" s="382">
        <v>9.0806120000000004</v>
      </c>
      <c r="W2377" s="382">
        <v>0</v>
      </c>
      <c r="X2377" s="381">
        <v>2.7611464968152863</v>
      </c>
      <c r="Y2377" s="381">
        <v>2.8917197452229297</v>
      </c>
      <c r="Z2377" s="381">
        <v>-0.13184713375796178</v>
      </c>
      <c r="AA2377" s="381">
        <v>1.9490445859872611E-4</v>
      </c>
      <c r="AB2377" s="381">
        <v>0</v>
      </c>
      <c r="AC2377" s="382">
        <v>2.8919146496815284</v>
      </c>
      <c r="AD2377" s="382">
        <v>0</v>
      </c>
      <c r="AE2377" s="381" t="s">
        <v>444</v>
      </c>
    </row>
    <row r="2378" spans="1:31" ht="15" customHeight="1" x14ac:dyDescent="0.25">
      <c r="A2378" s="20" t="s">
        <v>2783</v>
      </c>
      <c r="B2378" s="20" t="s">
        <v>3272</v>
      </c>
      <c r="C2378" s="20" t="s">
        <v>3273</v>
      </c>
      <c r="D2378" s="378" t="s">
        <v>3309</v>
      </c>
      <c r="E2378" s="384">
        <v>44470</v>
      </c>
      <c r="F2378" s="384">
        <v>46032</v>
      </c>
      <c r="G2378" s="378" t="s">
        <v>2837</v>
      </c>
      <c r="H2378" s="20" t="s">
        <v>3310</v>
      </c>
      <c r="I2378" s="378" t="s">
        <v>441</v>
      </c>
      <c r="J2378" s="20" t="s">
        <v>3311</v>
      </c>
      <c r="K2378" s="378" t="s">
        <v>3312</v>
      </c>
      <c r="L2378" s="378" t="s">
        <v>2789</v>
      </c>
      <c r="M2378" s="380" t="s">
        <v>443</v>
      </c>
      <c r="N2378" s="380">
        <v>6.8</v>
      </c>
      <c r="O2378" s="380" t="s">
        <v>443</v>
      </c>
      <c r="P2378" s="380" t="s">
        <v>443</v>
      </c>
      <c r="Q2378" s="381">
        <v>9.1300000000000008</v>
      </c>
      <c r="R2378" s="381">
        <v>0</v>
      </c>
      <c r="S2378" s="381">
        <v>0</v>
      </c>
      <c r="T2378" s="381">
        <v>0</v>
      </c>
      <c r="U2378" s="381">
        <v>0</v>
      </c>
      <c r="V2378" s="382">
        <v>9.1300000000000008</v>
      </c>
      <c r="W2378" s="382">
        <v>0</v>
      </c>
      <c r="X2378" s="381">
        <v>1.3426470588235295</v>
      </c>
      <c r="Y2378" s="381">
        <v>0</v>
      </c>
      <c r="Z2378" s="381">
        <v>0</v>
      </c>
      <c r="AA2378" s="381">
        <v>0</v>
      </c>
      <c r="AB2378" s="381">
        <v>0</v>
      </c>
      <c r="AC2378" s="382">
        <v>1.3426470588235295</v>
      </c>
      <c r="AD2378" s="382">
        <v>0</v>
      </c>
      <c r="AE2378" s="381" t="s">
        <v>444</v>
      </c>
    </row>
    <row r="2379" spans="1:31" ht="15" customHeight="1" x14ac:dyDescent="0.25">
      <c r="A2379" s="20" t="s">
        <v>2783</v>
      </c>
      <c r="B2379" s="20" t="s">
        <v>3272</v>
      </c>
      <c r="C2379" s="20" t="s">
        <v>3273</v>
      </c>
      <c r="D2379" s="378" t="s">
        <v>3313</v>
      </c>
      <c r="E2379" s="384">
        <v>44206</v>
      </c>
      <c r="F2379" s="384">
        <v>46032</v>
      </c>
      <c r="G2379" s="378" t="s">
        <v>3314</v>
      </c>
      <c r="H2379" s="20" t="s">
        <v>3315</v>
      </c>
      <c r="I2379" s="378" t="s">
        <v>441</v>
      </c>
      <c r="J2379" s="20" t="s">
        <v>3311</v>
      </c>
      <c r="K2379" s="378" t="s">
        <v>3316</v>
      </c>
      <c r="L2379" s="378" t="s">
        <v>2789</v>
      </c>
      <c r="M2379" s="380" t="s">
        <v>443</v>
      </c>
      <c r="N2379" s="380">
        <v>3.2</v>
      </c>
      <c r="O2379" s="380" t="s">
        <v>443</v>
      </c>
      <c r="P2379" s="380" t="s">
        <v>443</v>
      </c>
      <c r="Q2379" s="381">
        <v>4.78</v>
      </c>
      <c r="R2379" s="381">
        <v>0</v>
      </c>
      <c r="S2379" s="381">
        <v>0</v>
      </c>
      <c r="T2379" s="381">
        <v>0</v>
      </c>
      <c r="U2379" s="381">
        <v>0</v>
      </c>
      <c r="V2379" s="382">
        <v>4.78</v>
      </c>
      <c r="W2379" s="382">
        <v>0</v>
      </c>
      <c r="X2379" s="381">
        <v>1.4937499999999999</v>
      </c>
      <c r="Y2379" s="381">
        <v>0</v>
      </c>
      <c r="Z2379" s="381">
        <v>0</v>
      </c>
      <c r="AA2379" s="381">
        <v>0</v>
      </c>
      <c r="AB2379" s="381">
        <v>0</v>
      </c>
      <c r="AC2379" s="382">
        <v>1.4937499999999999</v>
      </c>
      <c r="AD2379" s="382">
        <v>0</v>
      </c>
      <c r="AE2379" s="381" t="s">
        <v>444</v>
      </c>
    </row>
    <row r="2380" spans="1:31" ht="15" customHeight="1" x14ac:dyDescent="0.25">
      <c r="A2380" s="20" t="s">
        <v>2783</v>
      </c>
      <c r="B2380" s="20" t="s">
        <v>3272</v>
      </c>
      <c r="C2380" s="20" t="s">
        <v>3273</v>
      </c>
      <c r="D2380" s="378" t="s">
        <v>3317</v>
      </c>
      <c r="E2380" s="384">
        <v>44206</v>
      </c>
      <c r="F2380" s="384">
        <v>46032</v>
      </c>
      <c r="G2380" s="378" t="s">
        <v>3318</v>
      </c>
      <c r="H2380" s="20" t="s">
        <v>3319</v>
      </c>
      <c r="I2380" s="378" t="s">
        <v>441</v>
      </c>
      <c r="J2380" s="20" t="s">
        <v>3311</v>
      </c>
      <c r="K2380" s="378" t="s">
        <v>3320</v>
      </c>
      <c r="L2380" s="378" t="s">
        <v>2789</v>
      </c>
      <c r="M2380" s="380" t="s">
        <v>443</v>
      </c>
      <c r="N2380" s="380">
        <v>3.3</v>
      </c>
      <c r="O2380" s="380" t="s">
        <v>443</v>
      </c>
      <c r="P2380" s="380" t="s">
        <v>443</v>
      </c>
      <c r="Q2380" s="381">
        <v>5.54</v>
      </c>
      <c r="R2380" s="381">
        <v>0</v>
      </c>
      <c r="S2380" s="381">
        <v>0</v>
      </c>
      <c r="T2380" s="381">
        <v>0</v>
      </c>
      <c r="U2380" s="381">
        <v>0</v>
      </c>
      <c r="V2380" s="382">
        <v>5.54</v>
      </c>
      <c r="W2380" s="382">
        <v>0</v>
      </c>
      <c r="X2380" s="381">
        <v>1.6787878787878789</v>
      </c>
      <c r="Y2380" s="381">
        <v>0</v>
      </c>
      <c r="Z2380" s="381">
        <v>0</v>
      </c>
      <c r="AA2380" s="381">
        <v>0</v>
      </c>
      <c r="AB2380" s="381">
        <v>0</v>
      </c>
      <c r="AC2380" s="382">
        <v>1.6787878787878789</v>
      </c>
      <c r="AD2380" s="382">
        <v>0</v>
      </c>
      <c r="AE2380" s="381" t="s">
        <v>444</v>
      </c>
    </row>
    <row r="2381" spans="1:31" ht="15" customHeight="1" x14ac:dyDescent="0.25">
      <c r="A2381" s="20" t="s">
        <v>2783</v>
      </c>
      <c r="B2381" s="20" t="s">
        <v>3272</v>
      </c>
      <c r="C2381" s="20" t="s">
        <v>3273</v>
      </c>
      <c r="D2381" s="378" t="s">
        <v>3321</v>
      </c>
      <c r="E2381" s="384">
        <v>44436</v>
      </c>
      <c r="F2381" s="384">
        <v>46262</v>
      </c>
      <c r="G2381" s="378" t="s">
        <v>2837</v>
      </c>
      <c r="H2381" s="20" t="s">
        <v>3322</v>
      </c>
      <c r="I2381" s="378">
        <v>0</v>
      </c>
      <c r="J2381" s="20" t="s">
        <v>3323</v>
      </c>
      <c r="K2381" s="378" t="s">
        <v>3324</v>
      </c>
      <c r="L2381" s="378" t="s">
        <v>2789</v>
      </c>
      <c r="M2381" s="380" t="s">
        <v>443</v>
      </c>
      <c r="N2381" s="380">
        <v>2.95</v>
      </c>
      <c r="O2381" s="380" t="s">
        <v>443</v>
      </c>
      <c r="P2381" s="380" t="s">
        <v>443</v>
      </c>
      <c r="Q2381" s="381">
        <v>4.0999999999999996</v>
      </c>
      <c r="R2381" s="381">
        <v>0</v>
      </c>
      <c r="S2381" s="381">
        <v>0</v>
      </c>
      <c r="T2381" s="381">
        <v>0</v>
      </c>
      <c r="U2381" s="381">
        <v>0</v>
      </c>
      <c r="V2381" s="382">
        <v>4.0999999999999996</v>
      </c>
      <c r="W2381" s="382">
        <v>0</v>
      </c>
      <c r="X2381" s="381">
        <v>1.3898305084745761</v>
      </c>
      <c r="Y2381" s="381">
        <v>0</v>
      </c>
      <c r="Z2381" s="381">
        <v>0</v>
      </c>
      <c r="AA2381" s="381">
        <v>0</v>
      </c>
      <c r="AB2381" s="381">
        <v>0</v>
      </c>
      <c r="AC2381" s="382">
        <v>1.3898305084745761</v>
      </c>
      <c r="AD2381" s="382">
        <v>0</v>
      </c>
      <c r="AE2381" s="381" t="s">
        <v>444</v>
      </c>
    </row>
    <row r="2382" spans="1:31" ht="15" customHeight="1" x14ac:dyDescent="0.25">
      <c r="A2382" s="20" t="s">
        <v>2783</v>
      </c>
      <c r="B2382" s="20" t="s">
        <v>3272</v>
      </c>
      <c r="C2382" s="20" t="s">
        <v>3273</v>
      </c>
      <c r="D2382" s="378" t="s">
        <v>3325</v>
      </c>
      <c r="E2382" s="384">
        <v>44204</v>
      </c>
      <c r="F2382" s="384">
        <v>46030</v>
      </c>
      <c r="G2382" s="378" t="s">
        <v>3289</v>
      </c>
      <c r="H2382" s="20" t="s">
        <v>3326</v>
      </c>
      <c r="I2382" s="378" t="s">
        <v>441</v>
      </c>
      <c r="J2382" s="20" t="s">
        <v>3311</v>
      </c>
      <c r="K2382" s="378" t="s">
        <v>3327</v>
      </c>
      <c r="L2382" s="378" t="s">
        <v>2789</v>
      </c>
      <c r="M2382" s="380" t="s">
        <v>443</v>
      </c>
      <c r="N2382" s="380">
        <v>1.95</v>
      </c>
      <c r="O2382" s="380" t="s">
        <v>443</v>
      </c>
      <c r="P2382" s="380" t="s">
        <v>443</v>
      </c>
      <c r="Q2382" s="381">
        <v>7.29</v>
      </c>
      <c r="R2382" s="381">
        <v>0</v>
      </c>
      <c r="S2382" s="381">
        <v>0</v>
      </c>
      <c r="T2382" s="381">
        <v>0</v>
      </c>
      <c r="U2382" s="381">
        <v>0</v>
      </c>
      <c r="V2382" s="382">
        <v>7.29</v>
      </c>
      <c r="W2382" s="382">
        <v>0</v>
      </c>
      <c r="X2382" s="381">
        <v>3.7384615384615385</v>
      </c>
      <c r="Y2382" s="381">
        <v>0</v>
      </c>
      <c r="Z2382" s="381">
        <v>0</v>
      </c>
      <c r="AA2382" s="381">
        <v>0</v>
      </c>
      <c r="AB2382" s="381">
        <v>0</v>
      </c>
      <c r="AC2382" s="382">
        <v>3.7384615384615385</v>
      </c>
      <c r="AD2382" s="382">
        <v>0</v>
      </c>
      <c r="AE2382" s="381" t="s">
        <v>444</v>
      </c>
    </row>
    <row r="2383" spans="1:31" ht="15" customHeight="1" x14ac:dyDescent="0.25">
      <c r="A2383" s="20" t="s">
        <v>3328</v>
      </c>
      <c r="B2383" s="20" t="s">
        <v>3329</v>
      </c>
      <c r="C2383" s="20" t="s">
        <v>3330</v>
      </c>
      <c r="D2383" s="378" t="s">
        <v>3331</v>
      </c>
      <c r="E2383" s="384">
        <v>44516</v>
      </c>
      <c r="F2383" s="384">
        <v>46341</v>
      </c>
      <c r="G2383" s="378" t="s">
        <v>2837</v>
      </c>
      <c r="H2383" s="20" t="s">
        <v>3332</v>
      </c>
      <c r="I2383" s="378">
        <v>0</v>
      </c>
      <c r="J2383" s="20" t="s">
        <v>2831</v>
      </c>
      <c r="K2383" s="378" t="s">
        <v>3333</v>
      </c>
      <c r="L2383" s="378" t="s">
        <v>3334</v>
      </c>
      <c r="M2383" s="380" t="s">
        <v>443</v>
      </c>
      <c r="N2383" s="380" t="s">
        <v>443</v>
      </c>
      <c r="O2383" s="380" t="s">
        <v>443</v>
      </c>
      <c r="P2383" s="380">
        <v>4714</v>
      </c>
      <c r="Q2383" s="381">
        <v>14717</v>
      </c>
      <c r="R2383" s="381">
        <v>16417</v>
      </c>
      <c r="S2383" s="381">
        <v>-1828.62</v>
      </c>
      <c r="T2383" s="381">
        <v>39.739999999999995</v>
      </c>
      <c r="U2383" s="381">
        <v>0</v>
      </c>
      <c r="V2383" s="382">
        <v>16456.740000000002</v>
      </c>
      <c r="W2383" s="382">
        <v>0</v>
      </c>
      <c r="X2383" s="381" t="s">
        <v>443</v>
      </c>
      <c r="Y2383" s="381" t="s">
        <v>443</v>
      </c>
      <c r="Z2383" s="381" t="s">
        <v>443</v>
      </c>
      <c r="AA2383" s="381" t="s">
        <v>443</v>
      </c>
      <c r="AB2383" s="381" t="s">
        <v>443</v>
      </c>
      <c r="AC2383" s="382">
        <v>0</v>
      </c>
      <c r="AD2383" s="382">
        <v>0</v>
      </c>
      <c r="AE2383" s="381" t="s">
        <v>168</v>
      </c>
    </row>
    <row r="2384" spans="1:31" ht="15" customHeight="1" x14ac:dyDescent="0.25">
      <c r="A2384" s="20" t="s">
        <v>3328</v>
      </c>
      <c r="B2384" s="20" t="s">
        <v>3329</v>
      </c>
      <c r="C2384" s="20" t="s">
        <v>3330</v>
      </c>
      <c r="D2384" s="378" t="s">
        <v>3335</v>
      </c>
      <c r="E2384" s="384">
        <v>45098</v>
      </c>
      <c r="F2384" s="384">
        <v>46854</v>
      </c>
      <c r="G2384" s="378" t="s">
        <v>2856</v>
      </c>
      <c r="H2384" s="20" t="s">
        <v>3336</v>
      </c>
      <c r="I2384" s="378">
        <v>0</v>
      </c>
      <c r="J2384" s="20" t="s">
        <v>2831</v>
      </c>
      <c r="K2384" s="378" t="s">
        <v>3337</v>
      </c>
      <c r="L2384" s="378" t="s">
        <v>3334</v>
      </c>
      <c r="M2384" s="380" t="s">
        <v>443</v>
      </c>
      <c r="N2384" s="380" t="s">
        <v>443</v>
      </c>
      <c r="O2384" s="380" t="s">
        <v>443</v>
      </c>
      <c r="P2384" s="380">
        <v>2333</v>
      </c>
      <c r="Q2384" s="381">
        <v>4173.1500000000005</v>
      </c>
      <c r="R2384" s="381">
        <v>4496.6500000000005</v>
      </c>
      <c r="S2384" s="381">
        <v>-329.97</v>
      </c>
      <c r="T2384" s="381">
        <v>0</v>
      </c>
      <c r="U2384" s="381">
        <v>0</v>
      </c>
      <c r="V2384" s="382">
        <v>4496.6500000000005</v>
      </c>
      <c r="W2384" s="382">
        <v>0</v>
      </c>
      <c r="X2384" s="381" t="s">
        <v>443</v>
      </c>
      <c r="Y2384" s="381" t="s">
        <v>443</v>
      </c>
      <c r="Z2384" s="381" t="s">
        <v>443</v>
      </c>
      <c r="AA2384" s="381" t="s">
        <v>443</v>
      </c>
      <c r="AB2384" s="381" t="s">
        <v>443</v>
      </c>
      <c r="AC2384" s="382">
        <v>0</v>
      </c>
      <c r="AD2384" s="382">
        <v>0</v>
      </c>
      <c r="AE2384" s="381" t="s">
        <v>168</v>
      </c>
    </row>
    <row r="2385" spans="1:31" ht="15" customHeight="1" x14ac:dyDescent="0.25">
      <c r="A2385" s="20" t="s">
        <v>3328</v>
      </c>
      <c r="B2385" s="20" t="s">
        <v>3329</v>
      </c>
      <c r="C2385" s="20" t="s">
        <v>3330</v>
      </c>
      <c r="D2385" s="378" t="s">
        <v>3338</v>
      </c>
      <c r="E2385" s="384">
        <v>44702</v>
      </c>
      <c r="F2385" s="384">
        <v>46526</v>
      </c>
      <c r="G2385" s="378" t="s">
        <v>2837</v>
      </c>
      <c r="H2385" s="20" t="s">
        <v>3339</v>
      </c>
      <c r="I2385" s="378">
        <v>0</v>
      </c>
      <c r="J2385" s="20" t="s">
        <v>2831</v>
      </c>
      <c r="K2385" s="378" t="s">
        <v>3340</v>
      </c>
      <c r="L2385" s="378" t="s">
        <v>3334</v>
      </c>
      <c r="M2385" s="380" t="s">
        <v>443</v>
      </c>
      <c r="N2385" s="380" t="s">
        <v>443</v>
      </c>
      <c r="O2385" s="380" t="s">
        <v>443</v>
      </c>
      <c r="P2385" s="380">
        <v>7395</v>
      </c>
      <c r="Q2385" s="381">
        <v>26803</v>
      </c>
      <c r="R2385" s="381">
        <v>28743</v>
      </c>
      <c r="S2385" s="381">
        <v>-3059.8580000000002</v>
      </c>
      <c r="T2385" s="381">
        <v>58.149000000000001</v>
      </c>
      <c r="U2385" s="381">
        <v>0</v>
      </c>
      <c r="V2385" s="382">
        <v>28801.149000000001</v>
      </c>
      <c r="W2385" s="382">
        <v>0</v>
      </c>
      <c r="X2385" s="381" t="s">
        <v>443</v>
      </c>
      <c r="Y2385" s="381" t="s">
        <v>443</v>
      </c>
      <c r="Z2385" s="381" t="s">
        <v>443</v>
      </c>
      <c r="AA2385" s="381" t="s">
        <v>443</v>
      </c>
      <c r="AB2385" s="381" t="s">
        <v>443</v>
      </c>
      <c r="AC2385" s="382">
        <v>0</v>
      </c>
      <c r="AD2385" s="382">
        <v>0</v>
      </c>
      <c r="AE2385" s="381" t="s">
        <v>168</v>
      </c>
    </row>
    <row r="2386" spans="1:31" ht="15" customHeight="1" x14ac:dyDescent="0.25">
      <c r="A2386" s="20" t="s">
        <v>3328</v>
      </c>
      <c r="B2386" s="20" t="s">
        <v>3329</v>
      </c>
      <c r="C2386" s="20" t="s">
        <v>3330</v>
      </c>
      <c r="D2386" s="378" t="s">
        <v>3341</v>
      </c>
      <c r="E2386" s="384">
        <v>45100</v>
      </c>
      <c r="F2386" s="384">
        <v>46927</v>
      </c>
      <c r="G2386" s="378" t="s">
        <v>2856</v>
      </c>
      <c r="H2386" s="20" t="s">
        <v>3342</v>
      </c>
      <c r="I2386" s="378">
        <v>3</v>
      </c>
      <c r="J2386" s="20" t="s">
        <v>2831</v>
      </c>
      <c r="K2386" s="378" t="s">
        <v>3343</v>
      </c>
      <c r="L2386" s="378" t="s">
        <v>3334</v>
      </c>
      <c r="M2386" s="380" t="s">
        <v>443</v>
      </c>
      <c r="N2386" s="380" t="s">
        <v>443</v>
      </c>
      <c r="O2386" s="380" t="s">
        <v>443</v>
      </c>
      <c r="P2386" s="380">
        <v>2609</v>
      </c>
      <c r="Q2386" s="381">
        <v>6525</v>
      </c>
      <c r="R2386" s="381">
        <v>6873</v>
      </c>
      <c r="S2386" s="381">
        <v>-339.29999999999995</v>
      </c>
      <c r="T2386" s="381">
        <v>3.4219999999999997</v>
      </c>
      <c r="U2386" s="381">
        <v>0</v>
      </c>
      <c r="V2386" s="382">
        <v>6876.4219999999996</v>
      </c>
      <c r="W2386" s="382">
        <v>0</v>
      </c>
      <c r="X2386" s="381" t="s">
        <v>443</v>
      </c>
      <c r="Y2386" s="381" t="s">
        <v>443</v>
      </c>
      <c r="Z2386" s="381" t="s">
        <v>443</v>
      </c>
      <c r="AA2386" s="381" t="s">
        <v>443</v>
      </c>
      <c r="AB2386" s="381" t="s">
        <v>443</v>
      </c>
      <c r="AC2386" s="382">
        <v>0</v>
      </c>
      <c r="AD2386" s="382">
        <v>0</v>
      </c>
      <c r="AE2386" s="381" t="s">
        <v>168</v>
      </c>
    </row>
    <row r="2387" spans="1:31" ht="15" customHeight="1" x14ac:dyDescent="0.25">
      <c r="A2387" s="20" t="s">
        <v>3328</v>
      </c>
      <c r="B2387" s="20" t="s">
        <v>3329</v>
      </c>
      <c r="C2387" s="20" t="s">
        <v>3344</v>
      </c>
      <c r="D2387" s="378" t="s">
        <v>3345</v>
      </c>
      <c r="E2387" s="384">
        <v>45098</v>
      </c>
      <c r="F2387" s="384">
        <v>46854</v>
      </c>
      <c r="G2387" s="378" t="s">
        <v>2856</v>
      </c>
      <c r="H2387" s="20" t="s">
        <v>3336</v>
      </c>
      <c r="I2387" s="378">
        <v>0</v>
      </c>
      <c r="J2387" s="20" t="s">
        <v>2831</v>
      </c>
      <c r="K2387" s="378" t="s">
        <v>3346</v>
      </c>
      <c r="L2387" s="378" t="s">
        <v>3334</v>
      </c>
      <c r="M2387" s="380" t="s">
        <v>443</v>
      </c>
      <c r="N2387" s="380" t="s">
        <v>443</v>
      </c>
      <c r="O2387" s="380" t="s">
        <v>443</v>
      </c>
      <c r="P2387" s="380">
        <v>2333</v>
      </c>
      <c r="Q2387" s="381">
        <v>4161.5039999999999</v>
      </c>
      <c r="R2387" s="381">
        <v>4487.5919999999996</v>
      </c>
      <c r="S2387" s="381">
        <v>-328.41719999999998</v>
      </c>
      <c r="T2387" s="381">
        <v>0</v>
      </c>
      <c r="U2387" s="381">
        <v>0</v>
      </c>
      <c r="V2387" s="382">
        <v>4487.5919999999996</v>
      </c>
      <c r="W2387" s="382">
        <v>0</v>
      </c>
      <c r="X2387" s="381" t="s">
        <v>443</v>
      </c>
      <c r="Y2387" s="381" t="s">
        <v>443</v>
      </c>
      <c r="Z2387" s="381" t="s">
        <v>443</v>
      </c>
      <c r="AA2387" s="381" t="s">
        <v>443</v>
      </c>
      <c r="AB2387" s="381" t="s">
        <v>443</v>
      </c>
      <c r="AC2387" s="382">
        <v>0</v>
      </c>
      <c r="AD2387" s="382">
        <v>0</v>
      </c>
      <c r="AE2387" s="381" t="s">
        <v>168</v>
      </c>
    </row>
    <row r="2388" spans="1:31" ht="15" customHeight="1" x14ac:dyDescent="0.25">
      <c r="A2388" s="20" t="s">
        <v>3328</v>
      </c>
      <c r="B2388" s="20" t="s">
        <v>3329</v>
      </c>
      <c r="C2388" s="20" t="s">
        <v>3344</v>
      </c>
      <c r="D2388" s="378" t="s">
        <v>3347</v>
      </c>
      <c r="E2388" s="384">
        <v>44953</v>
      </c>
      <c r="F2388" s="384">
        <v>46778</v>
      </c>
      <c r="G2388" s="378" t="s">
        <v>2837</v>
      </c>
      <c r="H2388" s="20" t="s">
        <v>3348</v>
      </c>
      <c r="I2388" s="378">
        <v>0</v>
      </c>
      <c r="J2388" s="20" t="s">
        <v>2831</v>
      </c>
      <c r="K2388" s="378" t="s">
        <v>3349</v>
      </c>
      <c r="L2388" s="378" t="s">
        <v>3334</v>
      </c>
      <c r="M2388" s="380" t="s">
        <v>443</v>
      </c>
      <c r="N2388" s="380" t="s">
        <v>443</v>
      </c>
      <c r="O2388" s="380" t="s">
        <v>443</v>
      </c>
      <c r="P2388" s="380">
        <v>41765</v>
      </c>
      <c r="Q2388" s="381">
        <v>108920</v>
      </c>
      <c r="R2388" s="381">
        <v>117114</v>
      </c>
      <c r="S2388" s="381">
        <v>-8251.9025999999994</v>
      </c>
      <c r="T2388" s="381">
        <v>134.001</v>
      </c>
      <c r="U2388" s="381">
        <v>0</v>
      </c>
      <c r="V2388" s="382">
        <v>117248.001</v>
      </c>
      <c r="W2388" s="382">
        <v>0</v>
      </c>
      <c r="X2388" s="381" t="s">
        <v>443</v>
      </c>
      <c r="Y2388" s="381" t="s">
        <v>443</v>
      </c>
      <c r="Z2388" s="381" t="s">
        <v>443</v>
      </c>
      <c r="AA2388" s="381" t="s">
        <v>443</v>
      </c>
      <c r="AB2388" s="381" t="s">
        <v>443</v>
      </c>
      <c r="AC2388" s="382">
        <v>0</v>
      </c>
      <c r="AD2388" s="382">
        <v>0</v>
      </c>
      <c r="AE2388" s="381" t="s">
        <v>168</v>
      </c>
    </row>
    <row r="2389" spans="1:31" ht="15" customHeight="1" x14ac:dyDescent="0.25">
      <c r="A2389" s="20" t="s">
        <v>3328</v>
      </c>
      <c r="B2389" s="20" t="s">
        <v>3329</v>
      </c>
      <c r="C2389" s="20" t="s">
        <v>3344</v>
      </c>
      <c r="D2389" s="378" t="s">
        <v>3350</v>
      </c>
      <c r="E2389" s="384">
        <v>45100</v>
      </c>
      <c r="F2389" s="384">
        <v>46927</v>
      </c>
      <c r="G2389" s="378" t="s">
        <v>2856</v>
      </c>
      <c r="H2389" s="20" t="s">
        <v>3342</v>
      </c>
      <c r="I2389" s="378">
        <v>3</v>
      </c>
      <c r="J2389" s="20" t="s">
        <v>2831</v>
      </c>
      <c r="K2389" s="378" t="s">
        <v>3351</v>
      </c>
      <c r="L2389" s="378" t="s">
        <v>3334</v>
      </c>
      <c r="M2389" s="380" t="s">
        <v>443</v>
      </c>
      <c r="N2389" s="380" t="s">
        <v>443</v>
      </c>
      <c r="O2389" s="380" t="s">
        <v>443</v>
      </c>
      <c r="P2389" s="380">
        <v>7030</v>
      </c>
      <c r="Q2389" s="381">
        <v>19300.96</v>
      </c>
      <c r="R2389" s="381">
        <v>19854.240000000002</v>
      </c>
      <c r="S2389" s="381">
        <v>-566.048</v>
      </c>
      <c r="T2389" s="381">
        <v>9.8951999999999991</v>
      </c>
      <c r="U2389" s="381">
        <v>0</v>
      </c>
      <c r="V2389" s="382">
        <v>19864.135200000001</v>
      </c>
      <c r="W2389" s="382">
        <v>0</v>
      </c>
      <c r="X2389" s="381" t="s">
        <v>443</v>
      </c>
      <c r="Y2389" s="381" t="s">
        <v>443</v>
      </c>
      <c r="Z2389" s="381" t="s">
        <v>443</v>
      </c>
      <c r="AA2389" s="381" t="s">
        <v>443</v>
      </c>
      <c r="AB2389" s="381" t="s">
        <v>443</v>
      </c>
      <c r="AC2389" s="382">
        <v>0</v>
      </c>
      <c r="AD2389" s="382">
        <v>0</v>
      </c>
      <c r="AE2389" s="381" t="s">
        <v>168</v>
      </c>
    </row>
    <row r="2390" spans="1:31" ht="15" customHeight="1" x14ac:dyDescent="0.25">
      <c r="A2390" s="20" t="s">
        <v>3328</v>
      </c>
      <c r="B2390" s="20" t="s">
        <v>3329</v>
      </c>
      <c r="C2390" s="20" t="s">
        <v>3344</v>
      </c>
      <c r="D2390" s="378" t="s">
        <v>3352</v>
      </c>
      <c r="E2390" s="384">
        <v>45100</v>
      </c>
      <c r="F2390" s="384">
        <v>46927</v>
      </c>
      <c r="G2390" s="378" t="s">
        <v>2856</v>
      </c>
      <c r="H2390" s="20" t="s">
        <v>3353</v>
      </c>
      <c r="I2390" s="378">
        <v>0</v>
      </c>
      <c r="J2390" s="20" t="s">
        <v>2831</v>
      </c>
      <c r="K2390" s="378" t="s">
        <v>3354</v>
      </c>
      <c r="L2390" s="378" t="s">
        <v>3334</v>
      </c>
      <c r="M2390" s="380" t="s">
        <v>443</v>
      </c>
      <c r="N2390" s="380" t="s">
        <v>443</v>
      </c>
      <c r="O2390" s="380" t="s">
        <v>443</v>
      </c>
      <c r="P2390" s="380">
        <v>12564</v>
      </c>
      <c r="Q2390" s="381">
        <v>32193.749999999996</v>
      </c>
      <c r="R2390" s="381">
        <v>32937.5</v>
      </c>
      <c r="S2390" s="381">
        <v>-745.875</v>
      </c>
      <c r="T2390" s="381">
        <v>17.956250000000001</v>
      </c>
      <c r="U2390" s="381">
        <v>0</v>
      </c>
      <c r="V2390" s="382">
        <v>32955.456250000003</v>
      </c>
      <c r="W2390" s="382">
        <v>0</v>
      </c>
      <c r="X2390" s="381" t="s">
        <v>443</v>
      </c>
      <c r="Y2390" s="381" t="s">
        <v>443</v>
      </c>
      <c r="Z2390" s="381" t="s">
        <v>443</v>
      </c>
      <c r="AA2390" s="381" t="s">
        <v>443</v>
      </c>
      <c r="AB2390" s="381" t="s">
        <v>443</v>
      </c>
      <c r="AC2390" s="382">
        <v>0</v>
      </c>
      <c r="AD2390" s="382">
        <v>0</v>
      </c>
      <c r="AE2390" s="381" t="s">
        <v>168</v>
      </c>
    </row>
    <row r="2391" spans="1:31" ht="15" customHeight="1" x14ac:dyDescent="0.25">
      <c r="A2391" s="20" t="s">
        <v>3328</v>
      </c>
      <c r="B2391" s="20" t="s">
        <v>3329</v>
      </c>
      <c r="C2391" s="20" t="s">
        <v>3344</v>
      </c>
      <c r="D2391" s="378" t="s">
        <v>3355</v>
      </c>
      <c r="E2391" s="384">
        <v>44770</v>
      </c>
      <c r="F2391" s="384">
        <v>46595</v>
      </c>
      <c r="G2391" s="378" t="s">
        <v>2837</v>
      </c>
      <c r="H2391" s="20" t="s">
        <v>3356</v>
      </c>
      <c r="I2391" s="378">
        <v>0</v>
      </c>
      <c r="J2391" s="20" t="s">
        <v>2831</v>
      </c>
      <c r="K2391" s="378" t="s">
        <v>3357</v>
      </c>
      <c r="L2391" s="378" t="s">
        <v>3334</v>
      </c>
      <c r="M2391" s="380" t="s">
        <v>443</v>
      </c>
      <c r="N2391" s="380" t="s">
        <v>443</v>
      </c>
      <c r="O2391" s="380" t="s">
        <v>443</v>
      </c>
      <c r="P2391" s="380">
        <v>12304</v>
      </c>
      <c r="Q2391" s="381">
        <v>61749.24</v>
      </c>
      <c r="R2391" s="381">
        <v>61396.790000000008</v>
      </c>
      <c r="S2391" s="381">
        <v>350.33530000000002</v>
      </c>
      <c r="T2391" s="381">
        <v>52.303580000000004</v>
      </c>
      <c r="U2391" s="381">
        <v>0</v>
      </c>
      <c r="V2391" s="382">
        <v>61799.428880000007</v>
      </c>
      <c r="W2391" s="382">
        <v>0</v>
      </c>
      <c r="X2391" s="381" t="s">
        <v>443</v>
      </c>
      <c r="Y2391" s="381" t="s">
        <v>443</v>
      </c>
      <c r="Z2391" s="381" t="s">
        <v>443</v>
      </c>
      <c r="AA2391" s="381" t="s">
        <v>443</v>
      </c>
      <c r="AB2391" s="381" t="s">
        <v>443</v>
      </c>
      <c r="AC2391" s="382">
        <v>0</v>
      </c>
      <c r="AD2391" s="382">
        <v>0</v>
      </c>
      <c r="AE2391" s="381" t="s">
        <v>168</v>
      </c>
    </row>
    <row r="2392" spans="1:31" ht="15" customHeight="1" x14ac:dyDescent="0.25">
      <c r="A2392" s="20" t="s">
        <v>3328</v>
      </c>
      <c r="B2392" s="20" t="s">
        <v>3329</v>
      </c>
      <c r="C2392" s="20" t="s">
        <v>3344</v>
      </c>
      <c r="D2392" s="378" t="s">
        <v>3358</v>
      </c>
      <c r="E2392" s="384" t="s">
        <v>3359</v>
      </c>
      <c r="F2392" s="384" t="s">
        <v>3360</v>
      </c>
      <c r="G2392" s="378" t="s">
        <v>2856</v>
      </c>
      <c r="H2392" s="20" t="s">
        <v>3361</v>
      </c>
      <c r="I2392" s="378">
        <v>0</v>
      </c>
      <c r="J2392" s="20" t="s">
        <v>776</v>
      </c>
      <c r="K2392" s="378" t="s">
        <v>3362</v>
      </c>
      <c r="L2392" s="378" t="s">
        <v>3334</v>
      </c>
      <c r="M2392" s="380" t="s">
        <v>443</v>
      </c>
      <c r="N2392" s="380" t="s">
        <v>443</v>
      </c>
      <c r="O2392" s="380" t="s">
        <v>443</v>
      </c>
      <c r="P2392" s="380">
        <v>4788.8999999999996</v>
      </c>
      <c r="Q2392" s="381">
        <v>12016.848</v>
      </c>
      <c r="R2392" s="381">
        <v>12650.647999999999</v>
      </c>
      <c r="S2392" s="381">
        <v>-656.61680000000001</v>
      </c>
      <c r="T2392" s="381">
        <v>15.337959999999999</v>
      </c>
      <c r="U2392" s="381">
        <v>0</v>
      </c>
      <c r="V2392" s="382">
        <v>12665.98596</v>
      </c>
      <c r="W2392" s="382">
        <v>0</v>
      </c>
      <c r="X2392" s="381" t="s">
        <v>443</v>
      </c>
      <c r="Y2392" s="381" t="s">
        <v>443</v>
      </c>
      <c r="Z2392" s="381" t="s">
        <v>443</v>
      </c>
      <c r="AA2392" s="381" t="s">
        <v>443</v>
      </c>
      <c r="AB2392" s="381" t="s">
        <v>443</v>
      </c>
      <c r="AC2392" s="382">
        <v>0</v>
      </c>
      <c r="AD2392" s="382">
        <v>0</v>
      </c>
      <c r="AE2392" s="381" t="s">
        <v>444</v>
      </c>
    </row>
    <row r="2393" spans="1:31" ht="15" customHeight="1" x14ac:dyDescent="0.25">
      <c r="A2393" s="20" t="s">
        <v>3328</v>
      </c>
      <c r="B2393" s="20" t="s">
        <v>3329</v>
      </c>
      <c r="C2393" s="20" t="s">
        <v>3363</v>
      </c>
      <c r="D2393" s="378" t="s">
        <v>3364</v>
      </c>
      <c r="E2393" s="384">
        <v>45216</v>
      </c>
      <c r="F2393" s="384">
        <v>47043</v>
      </c>
      <c r="G2393" s="378" t="s">
        <v>2845</v>
      </c>
      <c r="H2393" s="20" t="s">
        <v>3365</v>
      </c>
      <c r="I2393" s="378">
        <v>0</v>
      </c>
      <c r="J2393" s="20" t="s">
        <v>2831</v>
      </c>
      <c r="K2393" s="378" t="s">
        <v>3366</v>
      </c>
      <c r="L2393" s="378" t="s">
        <v>3334</v>
      </c>
      <c r="M2393" s="380" t="s">
        <v>443</v>
      </c>
      <c r="N2393" s="380" t="s">
        <v>443</v>
      </c>
      <c r="O2393" s="380" t="s">
        <v>443</v>
      </c>
      <c r="P2393" s="380">
        <v>63730</v>
      </c>
      <c r="Q2393" s="381">
        <v>139806.1</v>
      </c>
      <c r="R2393" s="381">
        <v>139806.1</v>
      </c>
      <c r="S2393" s="381">
        <v>-657.95344999999998</v>
      </c>
      <c r="T2393" s="381">
        <v>426.62479999999999</v>
      </c>
      <c r="U2393" s="381">
        <v>0</v>
      </c>
      <c r="V2393" s="382">
        <v>140232.7248</v>
      </c>
      <c r="W2393" s="382">
        <v>0</v>
      </c>
      <c r="X2393" s="381" t="s">
        <v>443</v>
      </c>
      <c r="Y2393" s="381" t="s">
        <v>443</v>
      </c>
      <c r="Z2393" s="381" t="s">
        <v>443</v>
      </c>
      <c r="AA2393" s="381" t="s">
        <v>443</v>
      </c>
      <c r="AB2393" s="381" t="s">
        <v>443</v>
      </c>
      <c r="AC2393" s="382">
        <v>0</v>
      </c>
      <c r="AD2393" s="382">
        <v>0</v>
      </c>
      <c r="AE2393" s="381" t="s">
        <v>168</v>
      </c>
    </row>
    <row r="2394" spans="1:31" ht="15" customHeight="1" x14ac:dyDescent="0.25">
      <c r="A2394" s="20" t="s">
        <v>3328</v>
      </c>
      <c r="B2394" s="20" t="s">
        <v>3329</v>
      </c>
      <c r="C2394" s="20" t="s">
        <v>3363</v>
      </c>
      <c r="D2394" s="378" t="s">
        <v>3367</v>
      </c>
      <c r="E2394" s="384">
        <v>44770</v>
      </c>
      <c r="F2394" s="384">
        <v>46595</v>
      </c>
      <c r="G2394" s="378" t="s">
        <v>2837</v>
      </c>
      <c r="H2394" s="20" t="s">
        <v>3368</v>
      </c>
      <c r="I2394" s="378">
        <v>0</v>
      </c>
      <c r="J2394" s="20" t="s">
        <v>2831</v>
      </c>
      <c r="K2394" s="378" t="s">
        <v>3369</v>
      </c>
      <c r="L2394" s="378" t="s">
        <v>3334</v>
      </c>
      <c r="M2394" s="380" t="s">
        <v>443</v>
      </c>
      <c r="N2394" s="380" t="s">
        <v>443</v>
      </c>
      <c r="O2394" s="380" t="s">
        <v>443</v>
      </c>
      <c r="P2394" s="380">
        <v>46348</v>
      </c>
      <c r="Q2394" s="381">
        <v>259393.2</v>
      </c>
      <c r="R2394" s="381">
        <v>257974.19999999998</v>
      </c>
      <c r="S2394" s="381">
        <v>1220.3399999999999</v>
      </c>
      <c r="T2394" s="381">
        <v>214.55279999999999</v>
      </c>
      <c r="U2394" s="381">
        <v>0</v>
      </c>
      <c r="V2394" s="382">
        <v>259409.09279999998</v>
      </c>
      <c r="W2394" s="382">
        <v>0</v>
      </c>
      <c r="X2394" s="381" t="s">
        <v>443</v>
      </c>
      <c r="Y2394" s="381" t="s">
        <v>443</v>
      </c>
      <c r="Z2394" s="381" t="s">
        <v>443</v>
      </c>
      <c r="AA2394" s="381" t="s">
        <v>443</v>
      </c>
      <c r="AB2394" s="381" t="s">
        <v>443</v>
      </c>
      <c r="AC2394" s="382">
        <v>0</v>
      </c>
      <c r="AD2394" s="382">
        <v>0</v>
      </c>
      <c r="AE2394" s="381" t="s">
        <v>168</v>
      </c>
    </row>
    <row r="2395" spans="1:31" ht="15" customHeight="1" x14ac:dyDescent="0.25">
      <c r="A2395" s="20" t="s">
        <v>3328</v>
      </c>
      <c r="B2395" s="20" t="s">
        <v>3329</v>
      </c>
      <c r="C2395" s="20" t="s">
        <v>3363</v>
      </c>
      <c r="D2395" s="378" t="s">
        <v>3370</v>
      </c>
      <c r="E2395" s="384">
        <v>44749</v>
      </c>
      <c r="F2395" s="384">
        <v>46575</v>
      </c>
      <c r="G2395" s="378" t="s">
        <v>2845</v>
      </c>
      <c r="H2395" s="20" t="s">
        <v>3371</v>
      </c>
      <c r="I2395" s="378">
        <v>0</v>
      </c>
      <c r="J2395" s="20" t="s">
        <v>776</v>
      </c>
      <c r="K2395" s="378" t="s">
        <v>3372</v>
      </c>
      <c r="L2395" s="378" t="s">
        <v>3334</v>
      </c>
      <c r="M2395" s="380" t="s">
        <v>443</v>
      </c>
      <c r="N2395" s="380" t="s">
        <v>443</v>
      </c>
      <c r="O2395" s="380" t="s">
        <v>443</v>
      </c>
      <c r="P2395" s="380">
        <v>36552</v>
      </c>
      <c r="Q2395" s="381">
        <v>92452.120200000005</v>
      </c>
      <c r="R2395" s="381">
        <v>99732.6</v>
      </c>
      <c r="S2395" s="381">
        <v>-7539.7845600000001</v>
      </c>
      <c r="T2395" s="381">
        <v>135.63633600000003</v>
      </c>
      <c r="U2395" s="381">
        <v>0</v>
      </c>
      <c r="V2395" s="382">
        <v>99868.236336000002</v>
      </c>
      <c r="W2395" s="382">
        <v>0</v>
      </c>
      <c r="X2395" s="381" t="s">
        <v>443</v>
      </c>
      <c r="Y2395" s="381" t="s">
        <v>443</v>
      </c>
      <c r="Z2395" s="381" t="s">
        <v>443</v>
      </c>
      <c r="AA2395" s="381" t="s">
        <v>443</v>
      </c>
      <c r="AB2395" s="381" t="s">
        <v>443</v>
      </c>
      <c r="AC2395" s="382">
        <v>0</v>
      </c>
      <c r="AD2395" s="382">
        <v>0</v>
      </c>
      <c r="AE2395" s="381" t="s">
        <v>444</v>
      </c>
    </row>
    <row r="2396" spans="1:31" ht="15" customHeight="1" x14ac:dyDescent="0.25">
      <c r="A2396" s="20" t="s">
        <v>3373</v>
      </c>
      <c r="B2396" s="20" t="s">
        <v>3374</v>
      </c>
      <c r="C2396" s="20" t="s">
        <v>3374</v>
      </c>
      <c r="D2396" s="378" t="s">
        <v>3375</v>
      </c>
      <c r="E2396" s="384" t="s">
        <v>3376</v>
      </c>
      <c r="F2396" s="384" t="s">
        <v>3377</v>
      </c>
      <c r="G2396" s="378" t="s">
        <v>2837</v>
      </c>
      <c r="H2396" s="20" t="s">
        <v>3378</v>
      </c>
      <c r="I2396" s="378">
        <v>0</v>
      </c>
      <c r="J2396" s="20" t="s">
        <v>3311</v>
      </c>
      <c r="K2396" s="378" t="s">
        <v>3379</v>
      </c>
      <c r="L2396" s="378" t="s">
        <v>2789</v>
      </c>
      <c r="M2396" s="380" t="s">
        <v>443</v>
      </c>
      <c r="N2396" s="380">
        <v>5.0107296137339059</v>
      </c>
      <c r="O2396" s="380" t="s">
        <v>443</v>
      </c>
      <c r="P2396" s="380" t="s">
        <v>443</v>
      </c>
      <c r="Q2396" s="381">
        <v>3.5053648068669525</v>
      </c>
      <c r="R2396" s="381">
        <v>0</v>
      </c>
      <c r="S2396" s="381">
        <v>0</v>
      </c>
      <c r="T2396" s="381">
        <v>0</v>
      </c>
      <c r="U2396" s="381">
        <v>0</v>
      </c>
      <c r="V2396" s="382">
        <v>3.5053648068669525</v>
      </c>
      <c r="W2396" s="382">
        <v>0</v>
      </c>
      <c r="X2396" s="381">
        <v>0.69957173447537468</v>
      </c>
      <c r="Y2396" s="381">
        <v>0</v>
      </c>
      <c r="Z2396" s="381">
        <v>0</v>
      </c>
      <c r="AA2396" s="381">
        <v>0</v>
      </c>
      <c r="AB2396" s="381">
        <v>0</v>
      </c>
      <c r="AC2396" s="382">
        <v>0.69957173447537468</v>
      </c>
      <c r="AD2396" s="382">
        <v>0</v>
      </c>
      <c r="AE2396" s="381" t="s">
        <v>444</v>
      </c>
    </row>
    <row r="2397" spans="1:31" ht="15" customHeight="1" x14ac:dyDescent="0.25">
      <c r="A2397" s="20" t="s">
        <v>3373</v>
      </c>
      <c r="B2397" s="20" t="s">
        <v>3374</v>
      </c>
      <c r="C2397" s="20" t="s">
        <v>3374</v>
      </c>
      <c r="D2397" s="378" t="s">
        <v>3380</v>
      </c>
      <c r="E2397" s="384" t="s">
        <v>3381</v>
      </c>
      <c r="F2397" s="384" t="s">
        <v>3382</v>
      </c>
      <c r="G2397" s="378" t="s">
        <v>2837</v>
      </c>
      <c r="H2397" s="20" t="s">
        <v>3383</v>
      </c>
      <c r="I2397" s="378">
        <v>0</v>
      </c>
      <c r="J2397" s="20" t="s">
        <v>3307</v>
      </c>
      <c r="K2397" s="378" t="s">
        <v>3384</v>
      </c>
      <c r="L2397" s="378" t="s">
        <v>2789</v>
      </c>
      <c r="M2397" s="380" t="s">
        <v>443</v>
      </c>
      <c r="N2397" s="380">
        <v>5.53</v>
      </c>
      <c r="O2397" s="380" t="s">
        <v>443</v>
      </c>
      <c r="P2397" s="380" t="s">
        <v>443</v>
      </c>
      <c r="Q2397" s="381">
        <v>6.39</v>
      </c>
      <c r="R2397" s="381">
        <v>7.23</v>
      </c>
      <c r="S2397" s="381">
        <v>-0.84799999999999998</v>
      </c>
      <c r="T2397" s="381">
        <v>1.65E-3</v>
      </c>
      <c r="U2397" s="381">
        <v>0</v>
      </c>
      <c r="V2397" s="382">
        <v>7.2316500000000001</v>
      </c>
      <c r="W2397" s="382">
        <v>0</v>
      </c>
      <c r="X2397" s="381">
        <v>1.1555153707052439</v>
      </c>
      <c r="Y2397" s="381">
        <v>1.3074141048824592</v>
      </c>
      <c r="Z2397" s="381">
        <v>-0.15334538878842674</v>
      </c>
      <c r="AA2397" s="381">
        <v>2.9837251356238699E-4</v>
      </c>
      <c r="AB2397" s="381">
        <v>0</v>
      </c>
      <c r="AC2397" s="382">
        <v>1.3077124773960218</v>
      </c>
      <c r="AD2397" s="382">
        <v>0</v>
      </c>
      <c r="AE2397" s="381" t="s">
        <v>444</v>
      </c>
    </row>
    <row r="2398" spans="1:31" ht="15" customHeight="1" x14ac:dyDescent="0.25">
      <c r="A2398" s="20" t="s">
        <v>3373</v>
      </c>
      <c r="B2398" s="20" t="s">
        <v>3374</v>
      </c>
      <c r="C2398" s="20" t="s">
        <v>3374</v>
      </c>
      <c r="D2398" s="378" t="s">
        <v>3385</v>
      </c>
      <c r="E2398" s="384" t="s">
        <v>3386</v>
      </c>
      <c r="F2398" s="384" t="s">
        <v>3387</v>
      </c>
      <c r="G2398" s="378" t="s">
        <v>2837</v>
      </c>
      <c r="H2398" s="20" t="s">
        <v>3388</v>
      </c>
      <c r="I2398" s="378">
        <v>0</v>
      </c>
      <c r="J2398" s="20" t="s">
        <v>3307</v>
      </c>
      <c r="K2398" s="378" t="s">
        <v>3389</v>
      </c>
      <c r="L2398" s="378" t="s">
        <v>2789</v>
      </c>
      <c r="M2398" s="380" t="s">
        <v>443</v>
      </c>
      <c r="N2398" s="380">
        <v>4.3099999999999996</v>
      </c>
      <c r="O2398" s="380" t="s">
        <v>443</v>
      </c>
      <c r="P2398" s="380" t="s">
        <v>443</v>
      </c>
      <c r="Q2398" s="381">
        <v>5.08</v>
      </c>
      <c r="R2398" s="381">
        <v>5.64</v>
      </c>
      <c r="S2398" s="381" t="s">
        <v>3390</v>
      </c>
      <c r="T2398" s="381">
        <v>4.1200000000000004E-3</v>
      </c>
      <c r="U2398" s="381">
        <v>0</v>
      </c>
      <c r="V2398" s="382">
        <v>5.08012</v>
      </c>
      <c r="W2398" s="382">
        <v>0</v>
      </c>
      <c r="X2398" s="381">
        <v>1.1786542923433876</v>
      </c>
      <c r="Y2398" s="381">
        <v>1.308584686774942</v>
      </c>
      <c r="Z2398" s="381">
        <v>-0.13085846867749421</v>
      </c>
      <c r="AA2398" s="381">
        <v>9.559164733178656E-4</v>
      </c>
      <c r="AB2398" s="381">
        <v>0</v>
      </c>
      <c r="AC2398" s="382">
        <v>1.3095406032482599</v>
      </c>
      <c r="AD2398" s="382">
        <v>0</v>
      </c>
      <c r="AE2398" s="381" t="s">
        <v>444</v>
      </c>
    </row>
    <row r="2399" spans="1:31" ht="15" customHeight="1" x14ac:dyDescent="0.25">
      <c r="A2399" s="20" t="s">
        <v>3373</v>
      </c>
      <c r="B2399" s="20" t="s">
        <v>3374</v>
      </c>
      <c r="C2399" s="20" t="s">
        <v>3374</v>
      </c>
      <c r="D2399" s="378" t="s">
        <v>3391</v>
      </c>
      <c r="E2399" s="384">
        <v>45662</v>
      </c>
      <c r="F2399" s="384">
        <v>47488</v>
      </c>
      <c r="G2399" s="378" t="s">
        <v>3392</v>
      </c>
      <c r="H2399" s="20" t="s">
        <v>3393</v>
      </c>
      <c r="I2399" s="378" t="s">
        <v>441</v>
      </c>
      <c r="J2399" s="20" t="s">
        <v>163</v>
      </c>
      <c r="K2399" s="378" t="s">
        <v>3394</v>
      </c>
      <c r="L2399" s="378" t="s">
        <v>2789</v>
      </c>
      <c r="M2399" s="380" t="s">
        <v>443</v>
      </c>
      <c r="N2399" s="380">
        <v>7.18</v>
      </c>
      <c r="O2399" s="380" t="s">
        <v>443</v>
      </c>
      <c r="P2399" s="380" t="s">
        <v>443</v>
      </c>
      <c r="Q2399" s="381">
        <v>-7.4</v>
      </c>
      <c r="R2399" s="381">
        <v>1.28</v>
      </c>
      <c r="S2399" s="381">
        <v>-8.6999999999999993</v>
      </c>
      <c r="T2399" s="381">
        <v>2.35E-2</v>
      </c>
      <c r="U2399" s="381">
        <v>0</v>
      </c>
      <c r="V2399" s="382">
        <v>1.3035000000000005</v>
      </c>
      <c r="W2399" s="382">
        <v>0</v>
      </c>
      <c r="X2399" s="381">
        <v>-1.0306406685236769</v>
      </c>
      <c r="Y2399" s="381">
        <v>0.17827298050139276</v>
      </c>
      <c r="Z2399" s="381">
        <v>-1.2116991643454038</v>
      </c>
      <c r="AA2399" s="381">
        <v>3.2729805013927576E-3</v>
      </c>
      <c r="AB2399" s="381">
        <v>0</v>
      </c>
      <c r="AC2399" s="382">
        <v>0.18154596100278542</v>
      </c>
      <c r="AD2399" s="382">
        <v>0</v>
      </c>
      <c r="AE2399" s="381" t="s">
        <v>444</v>
      </c>
    </row>
    <row r="2400" spans="1:31" ht="15" customHeight="1" x14ac:dyDescent="0.25">
      <c r="A2400" s="20" t="s">
        <v>3395</v>
      </c>
      <c r="B2400" s="20" t="s">
        <v>3396</v>
      </c>
      <c r="C2400" s="20" t="s">
        <v>3397</v>
      </c>
      <c r="D2400" s="378" t="s">
        <v>3398</v>
      </c>
      <c r="E2400" s="384">
        <v>45013</v>
      </c>
      <c r="F2400" s="384">
        <v>46839</v>
      </c>
      <c r="G2400" s="378" t="s">
        <v>2837</v>
      </c>
      <c r="H2400" s="20" t="s">
        <v>3399</v>
      </c>
      <c r="I2400" s="378">
        <v>0</v>
      </c>
      <c r="J2400" s="20" t="s">
        <v>2831</v>
      </c>
      <c r="K2400" s="378" t="s">
        <v>3400</v>
      </c>
      <c r="L2400" s="378" t="s">
        <v>2848</v>
      </c>
      <c r="M2400" s="380" t="s">
        <v>443</v>
      </c>
      <c r="N2400" s="380" t="s">
        <v>443</v>
      </c>
      <c r="O2400" s="380" t="s">
        <v>443</v>
      </c>
      <c r="P2400" s="380" t="s">
        <v>443</v>
      </c>
      <c r="Q2400" s="381">
        <v>132</v>
      </c>
      <c r="R2400" s="381">
        <v>147</v>
      </c>
      <c r="S2400" s="381">
        <v>-15.4</v>
      </c>
      <c r="T2400" s="381">
        <v>2.3199999999999998E-2</v>
      </c>
      <c r="U2400" s="381">
        <v>0</v>
      </c>
      <c r="V2400" s="382">
        <v>147.0232</v>
      </c>
      <c r="W2400" s="382">
        <v>0</v>
      </c>
      <c r="X2400" s="381">
        <v>0.13200000000000001</v>
      </c>
      <c r="Y2400" s="381">
        <v>0.14699999999999999</v>
      </c>
      <c r="Z2400" s="381">
        <v>-1.54E-2</v>
      </c>
      <c r="AA2400" s="381">
        <v>2.3199999999999998E-5</v>
      </c>
      <c r="AB2400" s="381">
        <v>0</v>
      </c>
      <c r="AC2400" s="382">
        <v>0.14702319999999999</v>
      </c>
      <c r="AD2400" s="382">
        <v>0</v>
      </c>
      <c r="AE2400" s="381" t="s">
        <v>168</v>
      </c>
    </row>
    <row r="2401" spans="1:31" ht="15" customHeight="1" x14ac:dyDescent="0.25">
      <c r="A2401" s="20" t="s">
        <v>3395</v>
      </c>
      <c r="B2401" s="20" t="s">
        <v>3396</v>
      </c>
      <c r="C2401" s="20" t="s">
        <v>3397</v>
      </c>
      <c r="D2401" s="378" t="s">
        <v>3401</v>
      </c>
      <c r="E2401" s="384">
        <v>45013</v>
      </c>
      <c r="F2401" s="384">
        <v>46839</v>
      </c>
      <c r="G2401" s="378" t="s">
        <v>2837</v>
      </c>
      <c r="H2401" s="20" t="s">
        <v>3399</v>
      </c>
      <c r="I2401" s="378">
        <v>0</v>
      </c>
      <c r="J2401" s="20" t="s">
        <v>2831</v>
      </c>
      <c r="K2401" s="378" t="s">
        <v>3400</v>
      </c>
      <c r="L2401" s="378" t="s">
        <v>2848</v>
      </c>
      <c r="M2401" s="380" t="s">
        <v>443</v>
      </c>
      <c r="N2401" s="380" t="s">
        <v>443</v>
      </c>
      <c r="O2401" s="380" t="s">
        <v>443</v>
      </c>
      <c r="P2401" s="380" t="s">
        <v>443</v>
      </c>
      <c r="Q2401" s="381">
        <v>132</v>
      </c>
      <c r="R2401" s="381">
        <v>147</v>
      </c>
      <c r="S2401" s="381">
        <v>-15.4</v>
      </c>
      <c r="T2401" s="381">
        <v>2.3199999999999998E-2</v>
      </c>
      <c r="U2401" s="381">
        <v>0</v>
      </c>
      <c r="V2401" s="382">
        <v>147.0232</v>
      </c>
      <c r="W2401" s="382">
        <v>0</v>
      </c>
      <c r="X2401" s="381">
        <v>0.13200000000000001</v>
      </c>
      <c r="Y2401" s="381">
        <v>0.14699999999999999</v>
      </c>
      <c r="Z2401" s="381">
        <v>-1.54E-2</v>
      </c>
      <c r="AA2401" s="381">
        <v>2.3199999999999998E-5</v>
      </c>
      <c r="AB2401" s="381">
        <v>0</v>
      </c>
      <c r="AC2401" s="382">
        <v>0.14702319999999999</v>
      </c>
      <c r="AD2401" s="382">
        <v>0</v>
      </c>
      <c r="AE2401" s="381" t="s">
        <v>168</v>
      </c>
    </row>
    <row r="2402" spans="1:31" ht="15" customHeight="1" x14ac:dyDescent="0.25">
      <c r="A2402" s="20" t="s">
        <v>3395</v>
      </c>
      <c r="B2402" s="20" t="s">
        <v>3396</v>
      </c>
      <c r="C2402" s="20" t="s">
        <v>3397</v>
      </c>
      <c r="D2402" s="378" t="s">
        <v>3402</v>
      </c>
      <c r="E2402" s="384">
        <v>45013</v>
      </c>
      <c r="F2402" s="384">
        <v>46839</v>
      </c>
      <c r="G2402" s="378" t="s">
        <v>2837</v>
      </c>
      <c r="H2402" s="20" t="s">
        <v>3399</v>
      </c>
      <c r="I2402" s="378">
        <v>0</v>
      </c>
      <c r="J2402" s="20" t="s">
        <v>2831</v>
      </c>
      <c r="K2402" s="378" t="s">
        <v>3400</v>
      </c>
      <c r="L2402" s="378" t="s">
        <v>2848</v>
      </c>
      <c r="M2402" s="380" t="s">
        <v>443</v>
      </c>
      <c r="N2402" s="380" t="s">
        <v>443</v>
      </c>
      <c r="O2402" s="380" t="s">
        <v>443</v>
      </c>
      <c r="P2402" s="380" t="s">
        <v>443</v>
      </c>
      <c r="Q2402" s="381">
        <v>132</v>
      </c>
      <c r="R2402" s="381">
        <v>147</v>
      </c>
      <c r="S2402" s="381">
        <v>-15.4</v>
      </c>
      <c r="T2402" s="381">
        <v>2.3199999999999998E-2</v>
      </c>
      <c r="U2402" s="381">
        <v>0</v>
      </c>
      <c r="V2402" s="382">
        <v>147.0232</v>
      </c>
      <c r="W2402" s="382">
        <v>0</v>
      </c>
      <c r="X2402" s="381">
        <v>0.13200000000000001</v>
      </c>
      <c r="Y2402" s="381">
        <v>0.14699999999999999</v>
      </c>
      <c r="Z2402" s="381">
        <v>-1.54E-2</v>
      </c>
      <c r="AA2402" s="381">
        <v>2.3199999999999998E-5</v>
      </c>
      <c r="AB2402" s="381">
        <v>0</v>
      </c>
      <c r="AC2402" s="382">
        <v>0.14702319999999999</v>
      </c>
      <c r="AD2402" s="382">
        <v>0</v>
      </c>
      <c r="AE2402" s="381" t="s">
        <v>168</v>
      </c>
    </row>
    <row r="2403" spans="1:31" ht="15" customHeight="1" x14ac:dyDescent="0.25">
      <c r="A2403" s="20" t="s">
        <v>3395</v>
      </c>
      <c r="B2403" s="20" t="s">
        <v>3396</v>
      </c>
      <c r="C2403" s="20" t="s">
        <v>3397</v>
      </c>
      <c r="D2403" s="378" t="s">
        <v>3403</v>
      </c>
      <c r="E2403" s="384">
        <v>45013</v>
      </c>
      <c r="F2403" s="384">
        <v>46839</v>
      </c>
      <c r="G2403" s="378" t="s">
        <v>2837</v>
      </c>
      <c r="H2403" s="20" t="s">
        <v>3399</v>
      </c>
      <c r="I2403" s="378">
        <v>0</v>
      </c>
      <c r="J2403" s="20" t="s">
        <v>2831</v>
      </c>
      <c r="K2403" s="378" t="s">
        <v>3400</v>
      </c>
      <c r="L2403" s="378" t="s">
        <v>2848</v>
      </c>
      <c r="M2403" s="380" t="s">
        <v>443</v>
      </c>
      <c r="N2403" s="380" t="s">
        <v>443</v>
      </c>
      <c r="O2403" s="380" t="s">
        <v>443</v>
      </c>
      <c r="P2403" s="380" t="s">
        <v>443</v>
      </c>
      <c r="Q2403" s="381">
        <v>132</v>
      </c>
      <c r="R2403" s="381">
        <v>147</v>
      </c>
      <c r="S2403" s="381">
        <v>-15.4</v>
      </c>
      <c r="T2403" s="381">
        <v>2.3199999999999998E-2</v>
      </c>
      <c r="U2403" s="381">
        <v>0</v>
      </c>
      <c r="V2403" s="382">
        <v>147.0232</v>
      </c>
      <c r="W2403" s="382">
        <v>0</v>
      </c>
      <c r="X2403" s="381">
        <v>0.13200000000000001</v>
      </c>
      <c r="Y2403" s="381">
        <v>0.14699999999999999</v>
      </c>
      <c r="Z2403" s="381">
        <v>-1.54E-2</v>
      </c>
      <c r="AA2403" s="381">
        <v>2.3199999999999998E-5</v>
      </c>
      <c r="AB2403" s="381">
        <v>0</v>
      </c>
      <c r="AC2403" s="382">
        <v>0.14702319999999999</v>
      </c>
      <c r="AD2403" s="382">
        <v>0</v>
      </c>
      <c r="AE2403" s="381" t="s">
        <v>168</v>
      </c>
    </row>
    <row r="2404" spans="1:31" ht="15" customHeight="1" x14ac:dyDescent="0.25">
      <c r="A2404" s="20" t="s">
        <v>3395</v>
      </c>
      <c r="B2404" s="20" t="s">
        <v>3396</v>
      </c>
      <c r="C2404" s="20" t="s">
        <v>3397</v>
      </c>
      <c r="D2404" s="378" t="s">
        <v>3404</v>
      </c>
      <c r="E2404" s="384">
        <v>45013</v>
      </c>
      <c r="F2404" s="384">
        <v>46839</v>
      </c>
      <c r="G2404" s="378" t="s">
        <v>2837</v>
      </c>
      <c r="H2404" s="20" t="s">
        <v>3399</v>
      </c>
      <c r="I2404" s="378">
        <v>0</v>
      </c>
      <c r="J2404" s="20" t="s">
        <v>2831</v>
      </c>
      <c r="K2404" s="378" t="s">
        <v>3400</v>
      </c>
      <c r="L2404" s="378" t="s">
        <v>2848</v>
      </c>
      <c r="M2404" s="380" t="s">
        <v>443</v>
      </c>
      <c r="N2404" s="380" t="s">
        <v>443</v>
      </c>
      <c r="O2404" s="380" t="s">
        <v>443</v>
      </c>
      <c r="P2404" s="380" t="s">
        <v>443</v>
      </c>
      <c r="Q2404" s="381">
        <v>132</v>
      </c>
      <c r="R2404" s="381">
        <v>147</v>
      </c>
      <c r="S2404" s="381">
        <v>-15.4</v>
      </c>
      <c r="T2404" s="381">
        <v>2.3199999999999998E-2</v>
      </c>
      <c r="U2404" s="381">
        <v>0</v>
      </c>
      <c r="V2404" s="382">
        <v>147.0232</v>
      </c>
      <c r="W2404" s="382">
        <v>0</v>
      </c>
      <c r="X2404" s="381">
        <v>0.13200000000000001</v>
      </c>
      <c r="Y2404" s="381">
        <v>0.14699999999999999</v>
      </c>
      <c r="Z2404" s="381">
        <v>-1.54E-2</v>
      </c>
      <c r="AA2404" s="381">
        <v>2.3199999999999998E-5</v>
      </c>
      <c r="AB2404" s="381">
        <v>0</v>
      </c>
      <c r="AC2404" s="382">
        <v>0.14702319999999999</v>
      </c>
      <c r="AD2404" s="382">
        <v>0</v>
      </c>
      <c r="AE2404" s="381" t="s">
        <v>168</v>
      </c>
    </row>
    <row r="2405" spans="1:31" ht="15" customHeight="1" x14ac:dyDescent="0.25">
      <c r="A2405" s="20" t="s">
        <v>3395</v>
      </c>
      <c r="B2405" s="20" t="s">
        <v>3396</v>
      </c>
      <c r="C2405" s="20" t="s">
        <v>3397</v>
      </c>
      <c r="D2405" s="378" t="s">
        <v>3405</v>
      </c>
      <c r="E2405" s="384">
        <v>45013</v>
      </c>
      <c r="F2405" s="384">
        <v>46839</v>
      </c>
      <c r="G2405" s="378" t="s">
        <v>2837</v>
      </c>
      <c r="H2405" s="20" t="s">
        <v>3399</v>
      </c>
      <c r="I2405" s="378">
        <v>0</v>
      </c>
      <c r="J2405" s="20" t="s">
        <v>2831</v>
      </c>
      <c r="K2405" s="378" t="s">
        <v>3400</v>
      </c>
      <c r="L2405" s="378" t="s">
        <v>2848</v>
      </c>
      <c r="M2405" s="380" t="s">
        <v>443</v>
      </c>
      <c r="N2405" s="380" t="s">
        <v>443</v>
      </c>
      <c r="O2405" s="380" t="s">
        <v>443</v>
      </c>
      <c r="P2405" s="380" t="s">
        <v>443</v>
      </c>
      <c r="Q2405" s="381">
        <v>132</v>
      </c>
      <c r="R2405" s="381">
        <v>147</v>
      </c>
      <c r="S2405" s="381">
        <v>-15.4</v>
      </c>
      <c r="T2405" s="381">
        <v>2.3199999999999998E-2</v>
      </c>
      <c r="U2405" s="381">
        <v>0</v>
      </c>
      <c r="V2405" s="382">
        <v>147.0232</v>
      </c>
      <c r="W2405" s="382">
        <v>0</v>
      </c>
      <c r="X2405" s="381">
        <v>0.13200000000000001</v>
      </c>
      <c r="Y2405" s="381">
        <v>0.14699999999999999</v>
      </c>
      <c r="Z2405" s="381">
        <v>-1.54E-2</v>
      </c>
      <c r="AA2405" s="381">
        <v>2.3199999999999998E-5</v>
      </c>
      <c r="AB2405" s="381">
        <v>0</v>
      </c>
      <c r="AC2405" s="382">
        <v>0.14702319999999999</v>
      </c>
      <c r="AD2405" s="382">
        <v>0</v>
      </c>
      <c r="AE2405" s="381" t="s">
        <v>168</v>
      </c>
    </row>
    <row r="2406" spans="1:31" ht="15" customHeight="1" x14ac:dyDescent="0.25">
      <c r="A2406" s="20" t="s">
        <v>3395</v>
      </c>
      <c r="B2406" s="20" t="s">
        <v>3396</v>
      </c>
      <c r="C2406" s="20" t="s">
        <v>3397</v>
      </c>
      <c r="D2406" s="378" t="s">
        <v>3406</v>
      </c>
      <c r="E2406" s="384">
        <v>45013</v>
      </c>
      <c r="F2406" s="384">
        <v>46839</v>
      </c>
      <c r="G2406" s="378" t="s">
        <v>2837</v>
      </c>
      <c r="H2406" s="20" t="s">
        <v>3399</v>
      </c>
      <c r="I2406" s="378">
        <v>0</v>
      </c>
      <c r="J2406" s="20" t="s">
        <v>2831</v>
      </c>
      <c r="K2406" s="378" t="s">
        <v>3400</v>
      </c>
      <c r="L2406" s="378" t="s">
        <v>2848</v>
      </c>
      <c r="M2406" s="380" t="s">
        <v>443</v>
      </c>
      <c r="N2406" s="380" t="s">
        <v>443</v>
      </c>
      <c r="O2406" s="380" t="s">
        <v>443</v>
      </c>
      <c r="P2406" s="380" t="s">
        <v>443</v>
      </c>
      <c r="Q2406" s="381">
        <v>132</v>
      </c>
      <c r="R2406" s="381">
        <v>147</v>
      </c>
      <c r="S2406" s="381">
        <v>-15.4</v>
      </c>
      <c r="T2406" s="381">
        <v>2.3199999999999998E-2</v>
      </c>
      <c r="U2406" s="381">
        <v>0</v>
      </c>
      <c r="V2406" s="382">
        <v>147.0232</v>
      </c>
      <c r="W2406" s="382">
        <v>0</v>
      </c>
      <c r="X2406" s="381">
        <v>0.13200000000000001</v>
      </c>
      <c r="Y2406" s="381">
        <v>0.14699999999999999</v>
      </c>
      <c r="Z2406" s="381">
        <v>-1.54E-2</v>
      </c>
      <c r="AA2406" s="381">
        <v>2.3199999999999998E-5</v>
      </c>
      <c r="AB2406" s="381">
        <v>0</v>
      </c>
      <c r="AC2406" s="382">
        <v>0.14702319999999999</v>
      </c>
      <c r="AD2406" s="382">
        <v>0</v>
      </c>
      <c r="AE2406" s="381" t="s">
        <v>168</v>
      </c>
    </row>
    <row r="2407" spans="1:31" ht="15" customHeight="1" x14ac:dyDescent="0.25">
      <c r="A2407" s="20" t="s">
        <v>3395</v>
      </c>
      <c r="B2407" s="20" t="s">
        <v>3396</v>
      </c>
      <c r="C2407" s="20" t="s">
        <v>3397</v>
      </c>
      <c r="D2407" s="378" t="s">
        <v>3407</v>
      </c>
      <c r="E2407" s="384">
        <v>45013</v>
      </c>
      <c r="F2407" s="384">
        <v>46839</v>
      </c>
      <c r="G2407" s="378" t="s">
        <v>2837</v>
      </c>
      <c r="H2407" s="20" t="s">
        <v>3399</v>
      </c>
      <c r="I2407" s="378">
        <v>0</v>
      </c>
      <c r="J2407" s="20" t="s">
        <v>2831</v>
      </c>
      <c r="K2407" s="378" t="s">
        <v>3400</v>
      </c>
      <c r="L2407" s="378" t="s">
        <v>2848</v>
      </c>
      <c r="M2407" s="380" t="s">
        <v>443</v>
      </c>
      <c r="N2407" s="380" t="s">
        <v>443</v>
      </c>
      <c r="O2407" s="380" t="s">
        <v>443</v>
      </c>
      <c r="P2407" s="380" t="s">
        <v>443</v>
      </c>
      <c r="Q2407" s="381">
        <v>132</v>
      </c>
      <c r="R2407" s="381">
        <v>147</v>
      </c>
      <c r="S2407" s="381">
        <v>-15.4</v>
      </c>
      <c r="T2407" s="381">
        <v>2.3199999999999998E-2</v>
      </c>
      <c r="U2407" s="381">
        <v>0</v>
      </c>
      <c r="V2407" s="382">
        <v>147.0232</v>
      </c>
      <c r="W2407" s="382">
        <v>0</v>
      </c>
      <c r="X2407" s="381">
        <v>0.13200000000000001</v>
      </c>
      <c r="Y2407" s="381">
        <v>0.14699999999999999</v>
      </c>
      <c r="Z2407" s="381">
        <v>-1.54E-2</v>
      </c>
      <c r="AA2407" s="381">
        <v>2.3199999999999998E-5</v>
      </c>
      <c r="AB2407" s="381">
        <v>0</v>
      </c>
      <c r="AC2407" s="382">
        <v>0.14702319999999999</v>
      </c>
      <c r="AD2407" s="382">
        <v>0</v>
      </c>
      <c r="AE2407" s="381" t="s">
        <v>168</v>
      </c>
    </row>
    <row r="2408" spans="1:31" ht="15" customHeight="1" x14ac:dyDescent="0.25">
      <c r="A2408" s="20" t="s">
        <v>3395</v>
      </c>
      <c r="B2408" s="20" t="s">
        <v>3396</v>
      </c>
      <c r="C2408" s="20" t="s">
        <v>3397</v>
      </c>
      <c r="D2408" s="378" t="s">
        <v>3408</v>
      </c>
      <c r="E2408" s="384">
        <v>45013</v>
      </c>
      <c r="F2408" s="384">
        <v>46839</v>
      </c>
      <c r="G2408" s="378" t="s">
        <v>2837</v>
      </c>
      <c r="H2408" s="20" t="s">
        <v>3399</v>
      </c>
      <c r="I2408" s="378">
        <v>0</v>
      </c>
      <c r="J2408" s="20" t="s">
        <v>2831</v>
      </c>
      <c r="K2408" s="378" t="s">
        <v>3400</v>
      </c>
      <c r="L2408" s="378" t="s">
        <v>2848</v>
      </c>
      <c r="M2408" s="380" t="s">
        <v>443</v>
      </c>
      <c r="N2408" s="380" t="s">
        <v>443</v>
      </c>
      <c r="O2408" s="380" t="s">
        <v>443</v>
      </c>
      <c r="P2408" s="380" t="s">
        <v>443</v>
      </c>
      <c r="Q2408" s="381">
        <v>132</v>
      </c>
      <c r="R2408" s="381">
        <v>147</v>
      </c>
      <c r="S2408" s="381">
        <v>-15.4</v>
      </c>
      <c r="T2408" s="381">
        <v>2.3199999999999998E-2</v>
      </c>
      <c r="U2408" s="381">
        <v>0</v>
      </c>
      <c r="V2408" s="382">
        <v>147.0232</v>
      </c>
      <c r="W2408" s="382">
        <v>0</v>
      </c>
      <c r="X2408" s="381">
        <v>0.13200000000000001</v>
      </c>
      <c r="Y2408" s="381">
        <v>0.14699999999999999</v>
      </c>
      <c r="Z2408" s="381">
        <v>-1.54E-2</v>
      </c>
      <c r="AA2408" s="381">
        <v>2.3199999999999998E-5</v>
      </c>
      <c r="AB2408" s="381">
        <v>0</v>
      </c>
      <c r="AC2408" s="382">
        <v>0.14702319999999999</v>
      </c>
      <c r="AD2408" s="382">
        <v>0</v>
      </c>
      <c r="AE2408" s="381" t="s">
        <v>168</v>
      </c>
    </row>
    <row r="2409" spans="1:31" ht="15" customHeight="1" x14ac:dyDescent="0.25">
      <c r="A2409" s="20" t="s">
        <v>3395</v>
      </c>
      <c r="B2409" s="20" t="s">
        <v>3396</v>
      </c>
      <c r="C2409" s="20" t="s">
        <v>3397</v>
      </c>
      <c r="D2409" s="378" t="s">
        <v>3409</v>
      </c>
      <c r="E2409" s="384">
        <v>45013</v>
      </c>
      <c r="F2409" s="384">
        <v>46839</v>
      </c>
      <c r="G2409" s="378" t="s">
        <v>2837</v>
      </c>
      <c r="H2409" s="20" t="s">
        <v>3399</v>
      </c>
      <c r="I2409" s="378">
        <v>0</v>
      </c>
      <c r="J2409" s="20" t="s">
        <v>2831</v>
      </c>
      <c r="K2409" s="378" t="s">
        <v>3400</v>
      </c>
      <c r="L2409" s="378" t="s">
        <v>2848</v>
      </c>
      <c r="M2409" s="380" t="s">
        <v>443</v>
      </c>
      <c r="N2409" s="380" t="s">
        <v>443</v>
      </c>
      <c r="O2409" s="380" t="s">
        <v>443</v>
      </c>
      <c r="P2409" s="380" t="s">
        <v>443</v>
      </c>
      <c r="Q2409" s="381">
        <v>132</v>
      </c>
      <c r="R2409" s="381">
        <v>147</v>
      </c>
      <c r="S2409" s="381">
        <v>-15.4</v>
      </c>
      <c r="T2409" s="381">
        <v>2.3199999999999998E-2</v>
      </c>
      <c r="U2409" s="381">
        <v>0</v>
      </c>
      <c r="V2409" s="382">
        <v>147.0232</v>
      </c>
      <c r="W2409" s="382">
        <v>0</v>
      </c>
      <c r="X2409" s="381">
        <v>0.13200000000000001</v>
      </c>
      <c r="Y2409" s="381">
        <v>0.14699999999999999</v>
      </c>
      <c r="Z2409" s="381">
        <v>-1.54E-2</v>
      </c>
      <c r="AA2409" s="381">
        <v>2.3199999999999998E-5</v>
      </c>
      <c r="AB2409" s="381">
        <v>0</v>
      </c>
      <c r="AC2409" s="382">
        <v>0.14702319999999999</v>
      </c>
      <c r="AD2409" s="382">
        <v>0</v>
      </c>
      <c r="AE2409" s="381" t="s">
        <v>168</v>
      </c>
    </row>
    <row r="2410" spans="1:31" ht="15" customHeight="1" x14ac:dyDescent="0.25">
      <c r="A2410" s="20" t="s">
        <v>3395</v>
      </c>
      <c r="B2410" s="20" t="s">
        <v>3396</v>
      </c>
      <c r="C2410" s="20" t="s">
        <v>3397</v>
      </c>
      <c r="D2410" s="378" t="s">
        <v>3410</v>
      </c>
      <c r="E2410" s="384">
        <v>45013</v>
      </c>
      <c r="F2410" s="384">
        <v>46839</v>
      </c>
      <c r="G2410" s="378" t="s">
        <v>2837</v>
      </c>
      <c r="H2410" s="20" t="s">
        <v>3399</v>
      </c>
      <c r="I2410" s="378">
        <v>0</v>
      </c>
      <c r="J2410" s="20" t="s">
        <v>2831</v>
      </c>
      <c r="K2410" s="378" t="s">
        <v>3400</v>
      </c>
      <c r="L2410" s="378" t="s">
        <v>2848</v>
      </c>
      <c r="M2410" s="380" t="s">
        <v>443</v>
      </c>
      <c r="N2410" s="380" t="s">
        <v>443</v>
      </c>
      <c r="O2410" s="380" t="s">
        <v>443</v>
      </c>
      <c r="P2410" s="380" t="s">
        <v>443</v>
      </c>
      <c r="Q2410" s="381">
        <v>132</v>
      </c>
      <c r="R2410" s="381">
        <v>147</v>
      </c>
      <c r="S2410" s="381">
        <v>-15.4</v>
      </c>
      <c r="T2410" s="381">
        <v>2.3199999999999998E-2</v>
      </c>
      <c r="U2410" s="381">
        <v>0</v>
      </c>
      <c r="V2410" s="382">
        <v>147.0232</v>
      </c>
      <c r="W2410" s="382">
        <v>0</v>
      </c>
      <c r="X2410" s="381">
        <v>0.13200000000000001</v>
      </c>
      <c r="Y2410" s="381">
        <v>0.14699999999999999</v>
      </c>
      <c r="Z2410" s="381">
        <v>-1.54E-2</v>
      </c>
      <c r="AA2410" s="381">
        <v>2.3199999999999998E-5</v>
      </c>
      <c r="AB2410" s="381">
        <v>0</v>
      </c>
      <c r="AC2410" s="382">
        <v>0.14702319999999999</v>
      </c>
      <c r="AD2410" s="382">
        <v>0</v>
      </c>
      <c r="AE2410" s="381" t="s">
        <v>168</v>
      </c>
    </row>
    <row r="2411" spans="1:31" ht="15" customHeight="1" x14ac:dyDescent="0.25">
      <c r="A2411" s="20" t="s">
        <v>3395</v>
      </c>
      <c r="B2411" s="20" t="s">
        <v>3396</v>
      </c>
      <c r="C2411" s="20" t="s">
        <v>3397</v>
      </c>
      <c r="D2411" s="378" t="s">
        <v>3411</v>
      </c>
      <c r="E2411" s="384">
        <v>45013</v>
      </c>
      <c r="F2411" s="384">
        <v>46839</v>
      </c>
      <c r="G2411" s="378" t="s">
        <v>2837</v>
      </c>
      <c r="H2411" s="20" t="s">
        <v>3399</v>
      </c>
      <c r="I2411" s="378">
        <v>0</v>
      </c>
      <c r="J2411" s="20" t="s">
        <v>2831</v>
      </c>
      <c r="K2411" s="378" t="s">
        <v>3400</v>
      </c>
      <c r="L2411" s="378" t="s">
        <v>2848</v>
      </c>
      <c r="M2411" s="380" t="s">
        <v>443</v>
      </c>
      <c r="N2411" s="380" t="s">
        <v>443</v>
      </c>
      <c r="O2411" s="380" t="s">
        <v>443</v>
      </c>
      <c r="P2411" s="380" t="s">
        <v>443</v>
      </c>
      <c r="Q2411" s="381">
        <v>132</v>
      </c>
      <c r="R2411" s="381">
        <v>147</v>
      </c>
      <c r="S2411" s="381">
        <v>-15.4</v>
      </c>
      <c r="T2411" s="381">
        <v>2.3199999999999998E-2</v>
      </c>
      <c r="U2411" s="381">
        <v>0</v>
      </c>
      <c r="V2411" s="382">
        <v>147.0232</v>
      </c>
      <c r="W2411" s="382">
        <v>0</v>
      </c>
      <c r="X2411" s="381">
        <v>0.13200000000000001</v>
      </c>
      <c r="Y2411" s="381">
        <v>0.14699999999999999</v>
      </c>
      <c r="Z2411" s="381">
        <v>-1.54E-2</v>
      </c>
      <c r="AA2411" s="381">
        <v>2.3199999999999998E-5</v>
      </c>
      <c r="AB2411" s="381">
        <v>0</v>
      </c>
      <c r="AC2411" s="382">
        <v>0.14702319999999999</v>
      </c>
      <c r="AD2411" s="382">
        <v>0</v>
      </c>
      <c r="AE2411" s="381" t="s">
        <v>168</v>
      </c>
    </row>
    <row r="2412" spans="1:31" ht="15" customHeight="1" x14ac:dyDescent="0.25">
      <c r="A2412" s="20" t="s">
        <v>3395</v>
      </c>
      <c r="B2412" s="20" t="s">
        <v>3396</v>
      </c>
      <c r="C2412" s="20" t="s">
        <v>3397</v>
      </c>
      <c r="D2412" s="378" t="s">
        <v>3412</v>
      </c>
      <c r="E2412" s="384">
        <v>45013</v>
      </c>
      <c r="F2412" s="384">
        <v>46839</v>
      </c>
      <c r="G2412" s="378" t="s">
        <v>2837</v>
      </c>
      <c r="H2412" s="20" t="s">
        <v>3399</v>
      </c>
      <c r="I2412" s="378">
        <v>0</v>
      </c>
      <c r="J2412" s="20" t="s">
        <v>2831</v>
      </c>
      <c r="K2412" s="378" t="s">
        <v>3400</v>
      </c>
      <c r="L2412" s="378" t="s">
        <v>2848</v>
      </c>
      <c r="M2412" s="380" t="s">
        <v>443</v>
      </c>
      <c r="N2412" s="380" t="s">
        <v>443</v>
      </c>
      <c r="O2412" s="380" t="s">
        <v>443</v>
      </c>
      <c r="P2412" s="380" t="s">
        <v>443</v>
      </c>
      <c r="Q2412" s="381">
        <v>132</v>
      </c>
      <c r="R2412" s="381">
        <v>147</v>
      </c>
      <c r="S2412" s="381">
        <v>-15.4</v>
      </c>
      <c r="T2412" s="381">
        <v>2.3199999999999998E-2</v>
      </c>
      <c r="U2412" s="381">
        <v>0</v>
      </c>
      <c r="V2412" s="382">
        <v>147.0232</v>
      </c>
      <c r="W2412" s="382">
        <v>0</v>
      </c>
      <c r="X2412" s="381">
        <v>0.13200000000000001</v>
      </c>
      <c r="Y2412" s="381">
        <v>0.14699999999999999</v>
      </c>
      <c r="Z2412" s="381">
        <v>-1.54E-2</v>
      </c>
      <c r="AA2412" s="381">
        <v>2.3199999999999998E-5</v>
      </c>
      <c r="AB2412" s="381">
        <v>0</v>
      </c>
      <c r="AC2412" s="382">
        <v>0.14702319999999999</v>
      </c>
      <c r="AD2412" s="382">
        <v>0</v>
      </c>
      <c r="AE2412" s="381" t="s">
        <v>168</v>
      </c>
    </row>
    <row r="2413" spans="1:31" ht="15" customHeight="1" x14ac:dyDescent="0.25">
      <c r="A2413" s="20" t="s">
        <v>3395</v>
      </c>
      <c r="B2413" s="20" t="s">
        <v>3396</v>
      </c>
      <c r="C2413" s="20" t="s">
        <v>3397</v>
      </c>
      <c r="D2413" s="378" t="s">
        <v>3413</v>
      </c>
      <c r="E2413" s="384">
        <v>45013</v>
      </c>
      <c r="F2413" s="384">
        <v>46839</v>
      </c>
      <c r="G2413" s="378" t="s">
        <v>2837</v>
      </c>
      <c r="H2413" s="20" t="s">
        <v>3399</v>
      </c>
      <c r="I2413" s="378">
        <v>0</v>
      </c>
      <c r="J2413" s="20" t="s">
        <v>2831</v>
      </c>
      <c r="K2413" s="378" t="s">
        <v>3400</v>
      </c>
      <c r="L2413" s="378" t="s">
        <v>2848</v>
      </c>
      <c r="M2413" s="380" t="s">
        <v>443</v>
      </c>
      <c r="N2413" s="380" t="s">
        <v>443</v>
      </c>
      <c r="O2413" s="380" t="s">
        <v>443</v>
      </c>
      <c r="P2413" s="380" t="s">
        <v>443</v>
      </c>
      <c r="Q2413" s="381">
        <v>132</v>
      </c>
      <c r="R2413" s="381">
        <v>147</v>
      </c>
      <c r="S2413" s="381">
        <v>-15.4</v>
      </c>
      <c r="T2413" s="381">
        <v>2.3199999999999998E-2</v>
      </c>
      <c r="U2413" s="381">
        <v>0</v>
      </c>
      <c r="V2413" s="382">
        <v>147.0232</v>
      </c>
      <c r="W2413" s="382">
        <v>0</v>
      </c>
      <c r="X2413" s="381">
        <v>0.13200000000000001</v>
      </c>
      <c r="Y2413" s="381">
        <v>0.14699999999999999</v>
      </c>
      <c r="Z2413" s="381">
        <v>-1.54E-2</v>
      </c>
      <c r="AA2413" s="381">
        <v>2.3199999999999998E-5</v>
      </c>
      <c r="AB2413" s="381">
        <v>0</v>
      </c>
      <c r="AC2413" s="382">
        <v>0.14702319999999999</v>
      </c>
      <c r="AD2413" s="382">
        <v>0</v>
      </c>
      <c r="AE2413" s="381" t="s">
        <v>168</v>
      </c>
    </row>
    <row r="2414" spans="1:31" ht="15" customHeight="1" x14ac:dyDescent="0.25">
      <c r="A2414" s="20" t="s">
        <v>3395</v>
      </c>
      <c r="B2414" s="20" t="s">
        <v>3396</v>
      </c>
      <c r="C2414" s="20" t="s">
        <v>3397</v>
      </c>
      <c r="D2414" s="378" t="s">
        <v>3414</v>
      </c>
      <c r="E2414" s="384">
        <v>45013</v>
      </c>
      <c r="F2414" s="384">
        <v>46839</v>
      </c>
      <c r="G2414" s="378" t="s">
        <v>2837</v>
      </c>
      <c r="H2414" s="20" t="s">
        <v>3399</v>
      </c>
      <c r="I2414" s="378">
        <v>0</v>
      </c>
      <c r="J2414" s="20" t="s">
        <v>2831</v>
      </c>
      <c r="K2414" s="378" t="s">
        <v>3400</v>
      </c>
      <c r="L2414" s="378" t="s">
        <v>2848</v>
      </c>
      <c r="M2414" s="380" t="s">
        <v>443</v>
      </c>
      <c r="N2414" s="380" t="s">
        <v>443</v>
      </c>
      <c r="O2414" s="380" t="s">
        <v>443</v>
      </c>
      <c r="P2414" s="380" t="s">
        <v>443</v>
      </c>
      <c r="Q2414" s="381">
        <v>132</v>
      </c>
      <c r="R2414" s="381">
        <v>147</v>
      </c>
      <c r="S2414" s="381">
        <v>-15.4</v>
      </c>
      <c r="T2414" s="381">
        <v>2.3199999999999998E-2</v>
      </c>
      <c r="U2414" s="381">
        <v>0</v>
      </c>
      <c r="V2414" s="382">
        <v>147.0232</v>
      </c>
      <c r="W2414" s="382">
        <v>0</v>
      </c>
      <c r="X2414" s="381">
        <v>0.13200000000000001</v>
      </c>
      <c r="Y2414" s="381">
        <v>0.14699999999999999</v>
      </c>
      <c r="Z2414" s="381">
        <v>-1.54E-2</v>
      </c>
      <c r="AA2414" s="381">
        <v>2.3199999999999998E-5</v>
      </c>
      <c r="AB2414" s="381">
        <v>0</v>
      </c>
      <c r="AC2414" s="382">
        <v>0.14702319999999999</v>
      </c>
      <c r="AD2414" s="382">
        <v>0</v>
      </c>
      <c r="AE2414" s="381" t="s">
        <v>168</v>
      </c>
    </row>
    <row r="2415" spans="1:31" ht="15" customHeight="1" x14ac:dyDescent="0.25">
      <c r="A2415" s="20" t="s">
        <v>3395</v>
      </c>
      <c r="B2415" s="20" t="s">
        <v>3396</v>
      </c>
      <c r="C2415" s="20" t="s">
        <v>3397</v>
      </c>
      <c r="D2415" s="378" t="s">
        <v>3415</v>
      </c>
      <c r="E2415" s="384">
        <v>45013</v>
      </c>
      <c r="F2415" s="384">
        <v>46839</v>
      </c>
      <c r="G2415" s="378" t="s">
        <v>2837</v>
      </c>
      <c r="H2415" s="20" t="s">
        <v>3399</v>
      </c>
      <c r="I2415" s="378">
        <v>0</v>
      </c>
      <c r="J2415" s="20" t="s">
        <v>2831</v>
      </c>
      <c r="K2415" s="378" t="s">
        <v>3400</v>
      </c>
      <c r="L2415" s="378" t="s">
        <v>2848</v>
      </c>
      <c r="M2415" s="380" t="s">
        <v>443</v>
      </c>
      <c r="N2415" s="380" t="s">
        <v>443</v>
      </c>
      <c r="O2415" s="380" t="s">
        <v>443</v>
      </c>
      <c r="P2415" s="380" t="s">
        <v>443</v>
      </c>
      <c r="Q2415" s="381">
        <v>132</v>
      </c>
      <c r="R2415" s="381">
        <v>147</v>
      </c>
      <c r="S2415" s="381">
        <v>-15.4</v>
      </c>
      <c r="T2415" s="381">
        <v>2.3199999999999998E-2</v>
      </c>
      <c r="U2415" s="381">
        <v>0</v>
      </c>
      <c r="V2415" s="382">
        <v>147.0232</v>
      </c>
      <c r="W2415" s="382">
        <v>0</v>
      </c>
      <c r="X2415" s="381">
        <v>0.13200000000000001</v>
      </c>
      <c r="Y2415" s="381">
        <v>0.14699999999999999</v>
      </c>
      <c r="Z2415" s="381">
        <v>-1.54E-2</v>
      </c>
      <c r="AA2415" s="381">
        <v>2.3199999999999998E-5</v>
      </c>
      <c r="AB2415" s="381">
        <v>0</v>
      </c>
      <c r="AC2415" s="382">
        <v>0.14702319999999999</v>
      </c>
      <c r="AD2415" s="382">
        <v>0</v>
      </c>
      <c r="AE2415" s="381" t="s">
        <v>168</v>
      </c>
    </row>
    <row r="2416" spans="1:31" ht="15" customHeight="1" x14ac:dyDescent="0.25">
      <c r="A2416" s="20" t="s">
        <v>3395</v>
      </c>
      <c r="B2416" s="20" t="s">
        <v>3396</v>
      </c>
      <c r="C2416" s="20" t="s">
        <v>3397</v>
      </c>
      <c r="D2416" s="378" t="s">
        <v>3416</v>
      </c>
      <c r="E2416" s="384">
        <v>45013</v>
      </c>
      <c r="F2416" s="384">
        <v>46839</v>
      </c>
      <c r="G2416" s="378" t="s">
        <v>2837</v>
      </c>
      <c r="H2416" s="20" t="s">
        <v>3399</v>
      </c>
      <c r="I2416" s="378">
        <v>0</v>
      </c>
      <c r="J2416" s="20" t="s">
        <v>2831</v>
      </c>
      <c r="K2416" s="378" t="s">
        <v>3400</v>
      </c>
      <c r="L2416" s="378" t="s">
        <v>2848</v>
      </c>
      <c r="M2416" s="380" t="s">
        <v>443</v>
      </c>
      <c r="N2416" s="380" t="s">
        <v>443</v>
      </c>
      <c r="O2416" s="380" t="s">
        <v>443</v>
      </c>
      <c r="P2416" s="380" t="s">
        <v>443</v>
      </c>
      <c r="Q2416" s="381">
        <v>132</v>
      </c>
      <c r="R2416" s="381">
        <v>147</v>
      </c>
      <c r="S2416" s="381">
        <v>-15.4</v>
      </c>
      <c r="T2416" s="381">
        <v>2.3199999999999998E-2</v>
      </c>
      <c r="U2416" s="381">
        <v>0</v>
      </c>
      <c r="V2416" s="382">
        <v>147.0232</v>
      </c>
      <c r="W2416" s="382">
        <v>0</v>
      </c>
      <c r="X2416" s="381">
        <v>0.13200000000000001</v>
      </c>
      <c r="Y2416" s="381">
        <v>0.14699999999999999</v>
      </c>
      <c r="Z2416" s="381">
        <v>-1.54E-2</v>
      </c>
      <c r="AA2416" s="381">
        <v>2.3199999999999998E-5</v>
      </c>
      <c r="AB2416" s="381">
        <v>0</v>
      </c>
      <c r="AC2416" s="382">
        <v>0.14702319999999999</v>
      </c>
      <c r="AD2416" s="382">
        <v>0</v>
      </c>
      <c r="AE2416" s="381" t="s">
        <v>168</v>
      </c>
    </row>
    <row r="2417" spans="1:31" ht="15" customHeight="1" x14ac:dyDescent="0.25">
      <c r="A2417" s="20" t="s">
        <v>3395</v>
      </c>
      <c r="B2417" s="20" t="s">
        <v>3396</v>
      </c>
      <c r="C2417" s="20" t="s">
        <v>3397</v>
      </c>
      <c r="D2417" s="378" t="s">
        <v>3417</v>
      </c>
      <c r="E2417" s="384">
        <v>45013</v>
      </c>
      <c r="F2417" s="384">
        <v>46839</v>
      </c>
      <c r="G2417" s="378" t="s">
        <v>2837</v>
      </c>
      <c r="H2417" s="20" t="s">
        <v>3399</v>
      </c>
      <c r="I2417" s="378">
        <v>0</v>
      </c>
      <c r="J2417" s="20" t="s">
        <v>2831</v>
      </c>
      <c r="K2417" s="378" t="s">
        <v>3400</v>
      </c>
      <c r="L2417" s="378" t="s">
        <v>2848</v>
      </c>
      <c r="M2417" s="380" t="s">
        <v>443</v>
      </c>
      <c r="N2417" s="380" t="s">
        <v>443</v>
      </c>
      <c r="O2417" s="380" t="s">
        <v>443</v>
      </c>
      <c r="P2417" s="380" t="s">
        <v>443</v>
      </c>
      <c r="Q2417" s="381">
        <v>132</v>
      </c>
      <c r="R2417" s="381">
        <v>147</v>
      </c>
      <c r="S2417" s="381">
        <v>-15.4</v>
      </c>
      <c r="T2417" s="381">
        <v>2.3199999999999998E-2</v>
      </c>
      <c r="U2417" s="381">
        <v>0</v>
      </c>
      <c r="V2417" s="382">
        <v>147.0232</v>
      </c>
      <c r="W2417" s="382">
        <v>0</v>
      </c>
      <c r="X2417" s="381">
        <v>0.13200000000000001</v>
      </c>
      <c r="Y2417" s="381">
        <v>0.14699999999999999</v>
      </c>
      <c r="Z2417" s="381">
        <v>-1.54E-2</v>
      </c>
      <c r="AA2417" s="381">
        <v>2.3199999999999998E-5</v>
      </c>
      <c r="AB2417" s="381">
        <v>0</v>
      </c>
      <c r="AC2417" s="382">
        <v>0.14702319999999999</v>
      </c>
      <c r="AD2417" s="382">
        <v>0</v>
      </c>
      <c r="AE2417" s="381" t="s">
        <v>168</v>
      </c>
    </row>
    <row r="2418" spans="1:31" ht="15" customHeight="1" x14ac:dyDescent="0.25">
      <c r="A2418" s="20" t="s">
        <v>3395</v>
      </c>
      <c r="B2418" s="20" t="s">
        <v>3396</v>
      </c>
      <c r="C2418" s="20" t="s">
        <v>3397</v>
      </c>
      <c r="D2418" s="378" t="s">
        <v>3418</v>
      </c>
      <c r="E2418" s="384">
        <v>45013</v>
      </c>
      <c r="F2418" s="384">
        <v>46839</v>
      </c>
      <c r="G2418" s="378" t="s">
        <v>2837</v>
      </c>
      <c r="H2418" s="20" t="s">
        <v>3399</v>
      </c>
      <c r="I2418" s="378">
        <v>0</v>
      </c>
      <c r="J2418" s="20" t="s">
        <v>2831</v>
      </c>
      <c r="K2418" s="378" t="s">
        <v>3400</v>
      </c>
      <c r="L2418" s="378" t="s">
        <v>2848</v>
      </c>
      <c r="M2418" s="380" t="s">
        <v>443</v>
      </c>
      <c r="N2418" s="380" t="s">
        <v>443</v>
      </c>
      <c r="O2418" s="380" t="s">
        <v>443</v>
      </c>
      <c r="P2418" s="380" t="s">
        <v>443</v>
      </c>
      <c r="Q2418" s="381">
        <v>132</v>
      </c>
      <c r="R2418" s="381">
        <v>147</v>
      </c>
      <c r="S2418" s="381">
        <v>-15.4</v>
      </c>
      <c r="T2418" s="381">
        <v>2.3199999999999998E-2</v>
      </c>
      <c r="U2418" s="381">
        <v>0</v>
      </c>
      <c r="V2418" s="382">
        <v>147.0232</v>
      </c>
      <c r="W2418" s="382">
        <v>0</v>
      </c>
      <c r="X2418" s="381">
        <v>0.13200000000000001</v>
      </c>
      <c r="Y2418" s="381">
        <v>0.14699999999999999</v>
      </c>
      <c r="Z2418" s="381">
        <v>-1.54E-2</v>
      </c>
      <c r="AA2418" s="381">
        <v>2.3199999999999998E-5</v>
      </c>
      <c r="AB2418" s="381">
        <v>0</v>
      </c>
      <c r="AC2418" s="382">
        <v>0.14702319999999999</v>
      </c>
      <c r="AD2418" s="382">
        <v>0</v>
      </c>
      <c r="AE2418" s="381" t="s">
        <v>168</v>
      </c>
    </row>
    <row r="2419" spans="1:31" ht="15" customHeight="1" x14ac:dyDescent="0.25">
      <c r="A2419" s="20" t="s">
        <v>3395</v>
      </c>
      <c r="B2419" s="20" t="s">
        <v>3396</v>
      </c>
      <c r="C2419" s="20" t="s">
        <v>3397</v>
      </c>
      <c r="D2419" s="378" t="s">
        <v>3419</v>
      </c>
      <c r="E2419" s="384">
        <v>45013</v>
      </c>
      <c r="F2419" s="384">
        <v>46839</v>
      </c>
      <c r="G2419" s="378" t="s">
        <v>2837</v>
      </c>
      <c r="H2419" s="20" t="s">
        <v>3399</v>
      </c>
      <c r="I2419" s="378">
        <v>0</v>
      </c>
      <c r="J2419" s="20" t="s">
        <v>2831</v>
      </c>
      <c r="K2419" s="378" t="s">
        <v>3400</v>
      </c>
      <c r="L2419" s="378" t="s">
        <v>2848</v>
      </c>
      <c r="M2419" s="380" t="s">
        <v>443</v>
      </c>
      <c r="N2419" s="380" t="s">
        <v>443</v>
      </c>
      <c r="O2419" s="380" t="s">
        <v>443</v>
      </c>
      <c r="P2419" s="380" t="s">
        <v>443</v>
      </c>
      <c r="Q2419" s="381">
        <v>132</v>
      </c>
      <c r="R2419" s="381">
        <v>147</v>
      </c>
      <c r="S2419" s="381">
        <v>-15.4</v>
      </c>
      <c r="T2419" s="381">
        <v>2.3199999999999998E-2</v>
      </c>
      <c r="U2419" s="381">
        <v>0</v>
      </c>
      <c r="V2419" s="382">
        <v>147.0232</v>
      </c>
      <c r="W2419" s="382">
        <v>0</v>
      </c>
      <c r="X2419" s="381">
        <v>0.13200000000000001</v>
      </c>
      <c r="Y2419" s="381">
        <v>0.14699999999999999</v>
      </c>
      <c r="Z2419" s="381">
        <v>-1.54E-2</v>
      </c>
      <c r="AA2419" s="381">
        <v>2.3199999999999998E-5</v>
      </c>
      <c r="AB2419" s="381">
        <v>0</v>
      </c>
      <c r="AC2419" s="382">
        <v>0.14702319999999999</v>
      </c>
      <c r="AD2419" s="382">
        <v>0</v>
      </c>
      <c r="AE2419" s="381" t="s">
        <v>168</v>
      </c>
    </row>
    <row r="2420" spans="1:31" ht="15" customHeight="1" x14ac:dyDescent="0.25">
      <c r="A2420" s="20" t="s">
        <v>3395</v>
      </c>
      <c r="B2420" s="20" t="s">
        <v>3396</v>
      </c>
      <c r="C2420" s="20" t="s">
        <v>3397</v>
      </c>
      <c r="D2420" s="378" t="s">
        <v>3420</v>
      </c>
      <c r="E2420" s="384">
        <v>45013</v>
      </c>
      <c r="F2420" s="384">
        <v>46839</v>
      </c>
      <c r="G2420" s="378" t="s">
        <v>2837</v>
      </c>
      <c r="H2420" s="20" t="s">
        <v>3399</v>
      </c>
      <c r="I2420" s="378">
        <v>0</v>
      </c>
      <c r="J2420" s="20" t="s">
        <v>2831</v>
      </c>
      <c r="K2420" s="378" t="s">
        <v>3400</v>
      </c>
      <c r="L2420" s="378" t="s">
        <v>2848</v>
      </c>
      <c r="M2420" s="380" t="s">
        <v>443</v>
      </c>
      <c r="N2420" s="380" t="s">
        <v>443</v>
      </c>
      <c r="O2420" s="380" t="s">
        <v>443</v>
      </c>
      <c r="P2420" s="380" t="s">
        <v>443</v>
      </c>
      <c r="Q2420" s="381">
        <v>132</v>
      </c>
      <c r="R2420" s="381">
        <v>147</v>
      </c>
      <c r="S2420" s="381">
        <v>-15.4</v>
      </c>
      <c r="T2420" s="381">
        <v>2.3199999999999998E-2</v>
      </c>
      <c r="U2420" s="381">
        <v>0</v>
      </c>
      <c r="V2420" s="382">
        <v>147.0232</v>
      </c>
      <c r="W2420" s="382">
        <v>0</v>
      </c>
      <c r="X2420" s="381">
        <v>0.13200000000000001</v>
      </c>
      <c r="Y2420" s="381">
        <v>0.14699999999999999</v>
      </c>
      <c r="Z2420" s="381">
        <v>-1.54E-2</v>
      </c>
      <c r="AA2420" s="381">
        <v>2.3199999999999998E-5</v>
      </c>
      <c r="AB2420" s="381">
        <v>0</v>
      </c>
      <c r="AC2420" s="382">
        <v>0.14702319999999999</v>
      </c>
      <c r="AD2420" s="382">
        <v>0</v>
      </c>
      <c r="AE2420" s="381" t="s">
        <v>168</v>
      </c>
    </row>
    <row r="2421" spans="1:31" ht="15" customHeight="1" x14ac:dyDescent="0.25">
      <c r="A2421" s="20" t="s">
        <v>3395</v>
      </c>
      <c r="B2421" s="20" t="s">
        <v>3396</v>
      </c>
      <c r="C2421" s="20" t="s">
        <v>3397</v>
      </c>
      <c r="D2421" s="378" t="s">
        <v>3421</v>
      </c>
      <c r="E2421" s="384">
        <v>45013</v>
      </c>
      <c r="F2421" s="384">
        <v>46839</v>
      </c>
      <c r="G2421" s="378" t="s">
        <v>2837</v>
      </c>
      <c r="H2421" s="20" t="s">
        <v>3399</v>
      </c>
      <c r="I2421" s="378">
        <v>0</v>
      </c>
      <c r="J2421" s="20" t="s">
        <v>2831</v>
      </c>
      <c r="K2421" s="378" t="s">
        <v>3400</v>
      </c>
      <c r="L2421" s="378" t="s">
        <v>2848</v>
      </c>
      <c r="M2421" s="380" t="s">
        <v>443</v>
      </c>
      <c r="N2421" s="380" t="s">
        <v>443</v>
      </c>
      <c r="O2421" s="380" t="s">
        <v>443</v>
      </c>
      <c r="P2421" s="380" t="s">
        <v>443</v>
      </c>
      <c r="Q2421" s="381">
        <v>132</v>
      </c>
      <c r="R2421" s="381">
        <v>147</v>
      </c>
      <c r="S2421" s="381">
        <v>-15.4</v>
      </c>
      <c r="T2421" s="381">
        <v>2.3199999999999998E-2</v>
      </c>
      <c r="U2421" s="381">
        <v>0</v>
      </c>
      <c r="V2421" s="382">
        <v>147.0232</v>
      </c>
      <c r="W2421" s="382">
        <v>0</v>
      </c>
      <c r="X2421" s="381">
        <v>0.13200000000000001</v>
      </c>
      <c r="Y2421" s="381">
        <v>0.14699999999999999</v>
      </c>
      <c r="Z2421" s="381">
        <v>-1.54E-2</v>
      </c>
      <c r="AA2421" s="381">
        <v>2.3199999999999998E-5</v>
      </c>
      <c r="AB2421" s="381">
        <v>0</v>
      </c>
      <c r="AC2421" s="382">
        <v>0.14702319999999999</v>
      </c>
      <c r="AD2421" s="382">
        <v>0</v>
      </c>
      <c r="AE2421" s="381" t="s">
        <v>168</v>
      </c>
    </row>
    <row r="2422" spans="1:31" ht="15" customHeight="1" x14ac:dyDescent="0.25">
      <c r="A2422" s="20" t="s">
        <v>3395</v>
      </c>
      <c r="B2422" s="20" t="s">
        <v>3396</v>
      </c>
      <c r="C2422" s="20" t="s">
        <v>3397</v>
      </c>
      <c r="D2422" s="378" t="s">
        <v>3422</v>
      </c>
      <c r="E2422" s="384">
        <v>45013</v>
      </c>
      <c r="F2422" s="384">
        <v>46839</v>
      </c>
      <c r="G2422" s="378" t="s">
        <v>2837</v>
      </c>
      <c r="H2422" s="20" t="s">
        <v>3399</v>
      </c>
      <c r="I2422" s="378">
        <v>0</v>
      </c>
      <c r="J2422" s="20" t="s">
        <v>2831</v>
      </c>
      <c r="K2422" s="378" t="s">
        <v>3400</v>
      </c>
      <c r="L2422" s="378" t="s">
        <v>2848</v>
      </c>
      <c r="M2422" s="380" t="s">
        <v>443</v>
      </c>
      <c r="N2422" s="380" t="s">
        <v>443</v>
      </c>
      <c r="O2422" s="380" t="s">
        <v>443</v>
      </c>
      <c r="P2422" s="380" t="s">
        <v>443</v>
      </c>
      <c r="Q2422" s="381">
        <v>132</v>
      </c>
      <c r="R2422" s="381">
        <v>147</v>
      </c>
      <c r="S2422" s="381">
        <v>-15.4</v>
      </c>
      <c r="T2422" s="381">
        <v>2.3199999999999998E-2</v>
      </c>
      <c r="U2422" s="381">
        <v>0</v>
      </c>
      <c r="V2422" s="382">
        <v>147.0232</v>
      </c>
      <c r="W2422" s="382">
        <v>0</v>
      </c>
      <c r="X2422" s="381">
        <v>0.13200000000000001</v>
      </c>
      <c r="Y2422" s="381">
        <v>0.14699999999999999</v>
      </c>
      <c r="Z2422" s="381">
        <v>-1.54E-2</v>
      </c>
      <c r="AA2422" s="381">
        <v>2.3199999999999998E-5</v>
      </c>
      <c r="AB2422" s="381">
        <v>0</v>
      </c>
      <c r="AC2422" s="382">
        <v>0.14702319999999999</v>
      </c>
      <c r="AD2422" s="382">
        <v>0</v>
      </c>
      <c r="AE2422" s="381" t="s">
        <v>168</v>
      </c>
    </row>
    <row r="2423" spans="1:31" ht="15" customHeight="1" x14ac:dyDescent="0.25">
      <c r="A2423" s="20" t="s">
        <v>3395</v>
      </c>
      <c r="B2423" s="20" t="s">
        <v>3396</v>
      </c>
      <c r="C2423" s="20" t="s">
        <v>3397</v>
      </c>
      <c r="D2423" s="378" t="s">
        <v>3423</v>
      </c>
      <c r="E2423" s="384">
        <v>45013</v>
      </c>
      <c r="F2423" s="384">
        <v>46839</v>
      </c>
      <c r="G2423" s="378" t="s">
        <v>2837</v>
      </c>
      <c r="H2423" s="20" t="s">
        <v>3399</v>
      </c>
      <c r="I2423" s="378">
        <v>0</v>
      </c>
      <c r="J2423" s="20" t="s">
        <v>2831</v>
      </c>
      <c r="K2423" s="378" t="s">
        <v>3400</v>
      </c>
      <c r="L2423" s="378" t="s">
        <v>2848</v>
      </c>
      <c r="M2423" s="380" t="s">
        <v>443</v>
      </c>
      <c r="N2423" s="380" t="s">
        <v>443</v>
      </c>
      <c r="O2423" s="380" t="s">
        <v>443</v>
      </c>
      <c r="P2423" s="380" t="s">
        <v>443</v>
      </c>
      <c r="Q2423" s="381">
        <v>132</v>
      </c>
      <c r="R2423" s="381">
        <v>147</v>
      </c>
      <c r="S2423" s="381">
        <v>-15.4</v>
      </c>
      <c r="T2423" s="381">
        <v>2.3199999999999998E-2</v>
      </c>
      <c r="U2423" s="381">
        <v>0</v>
      </c>
      <c r="V2423" s="382">
        <v>147.0232</v>
      </c>
      <c r="W2423" s="382">
        <v>0</v>
      </c>
      <c r="X2423" s="381">
        <v>0.13200000000000001</v>
      </c>
      <c r="Y2423" s="381">
        <v>0.14699999999999999</v>
      </c>
      <c r="Z2423" s="381">
        <v>-1.54E-2</v>
      </c>
      <c r="AA2423" s="381">
        <v>2.3199999999999998E-5</v>
      </c>
      <c r="AB2423" s="381">
        <v>0</v>
      </c>
      <c r="AC2423" s="382">
        <v>0.14702319999999999</v>
      </c>
      <c r="AD2423" s="382">
        <v>0</v>
      </c>
      <c r="AE2423" s="381" t="s">
        <v>168</v>
      </c>
    </row>
    <row r="2424" spans="1:31" ht="15" customHeight="1" x14ac:dyDescent="0.25">
      <c r="A2424" s="20" t="s">
        <v>3395</v>
      </c>
      <c r="B2424" s="20" t="s">
        <v>3396</v>
      </c>
      <c r="C2424" s="20" t="s">
        <v>3397</v>
      </c>
      <c r="D2424" s="378" t="s">
        <v>3424</v>
      </c>
      <c r="E2424" s="384">
        <v>45013</v>
      </c>
      <c r="F2424" s="384">
        <v>46839</v>
      </c>
      <c r="G2424" s="378" t="s">
        <v>2837</v>
      </c>
      <c r="H2424" s="20" t="s">
        <v>3399</v>
      </c>
      <c r="I2424" s="378">
        <v>0</v>
      </c>
      <c r="J2424" s="20" t="s">
        <v>2831</v>
      </c>
      <c r="K2424" s="378" t="s">
        <v>3400</v>
      </c>
      <c r="L2424" s="378" t="s">
        <v>2848</v>
      </c>
      <c r="M2424" s="380" t="s">
        <v>443</v>
      </c>
      <c r="N2424" s="380" t="s">
        <v>443</v>
      </c>
      <c r="O2424" s="380" t="s">
        <v>443</v>
      </c>
      <c r="P2424" s="380" t="s">
        <v>443</v>
      </c>
      <c r="Q2424" s="381">
        <v>132</v>
      </c>
      <c r="R2424" s="381">
        <v>147</v>
      </c>
      <c r="S2424" s="381">
        <v>-15.4</v>
      </c>
      <c r="T2424" s="381">
        <v>2.3199999999999998E-2</v>
      </c>
      <c r="U2424" s="381">
        <v>0</v>
      </c>
      <c r="V2424" s="382">
        <v>147.0232</v>
      </c>
      <c r="W2424" s="382">
        <v>0</v>
      </c>
      <c r="X2424" s="381">
        <v>0.13200000000000001</v>
      </c>
      <c r="Y2424" s="381">
        <v>0.14699999999999999</v>
      </c>
      <c r="Z2424" s="381">
        <v>-1.54E-2</v>
      </c>
      <c r="AA2424" s="381">
        <v>2.3199999999999998E-5</v>
      </c>
      <c r="AB2424" s="381">
        <v>0</v>
      </c>
      <c r="AC2424" s="382">
        <v>0.14702319999999999</v>
      </c>
      <c r="AD2424" s="382">
        <v>0</v>
      </c>
      <c r="AE2424" s="381" t="s">
        <v>168</v>
      </c>
    </row>
    <row r="2425" spans="1:31" ht="15" customHeight="1" x14ac:dyDescent="0.25">
      <c r="A2425" s="20" t="s">
        <v>3395</v>
      </c>
      <c r="B2425" s="20" t="s">
        <v>3396</v>
      </c>
      <c r="C2425" s="20" t="s">
        <v>3397</v>
      </c>
      <c r="D2425" s="378" t="s">
        <v>3424</v>
      </c>
      <c r="E2425" s="384">
        <v>45013</v>
      </c>
      <c r="F2425" s="384">
        <v>46839</v>
      </c>
      <c r="G2425" s="378" t="s">
        <v>2837</v>
      </c>
      <c r="H2425" s="20" t="s">
        <v>3399</v>
      </c>
      <c r="I2425" s="378">
        <v>0</v>
      </c>
      <c r="J2425" s="20" t="s">
        <v>2831</v>
      </c>
      <c r="K2425" s="378" t="s">
        <v>3400</v>
      </c>
      <c r="L2425" s="378" t="s">
        <v>2848</v>
      </c>
      <c r="M2425" s="380" t="s">
        <v>443</v>
      </c>
      <c r="N2425" s="380" t="s">
        <v>443</v>
      </c>
      <c r="O2425" s="380" t="s">
        <v>443</v>
      </c>
      <c r="P2425" s="380" t="s">
        <v>443</v>
      </c>
      <c r="Q2425" s="381">
        <v>132</v>
      </c>
      <c r="R2425" s="381">
        <v>147</v>
      </c>
      <c r="S2425" s="381">
        <v>-15.4</v>
      </c>
      <c r="T2425" s="381">
        <v>2.3199999999999998E-2</v>
      </c>
      <c r="U2425" s="381">
        <v>0</v>
      </c>
      <c r="V2425" s="382">
        <v>147.0232</v>
      </c>
      <c r="W2425" s="382">
        <v>0</v>
      </c>
      <c r="X2425" s="381">
        <v>0.13200000000000001</v>
      </c>
      <c r="Y2425" s="381">
        <v>0.14699999999999999</v>
      </c>
      <c r="Z2425" s="381">
        <v>-1.54E-2</v>
      </c>
      <c r="AA2425" s="381">
        <v>2.3199999999999998E-5</v>
      </c>
      <c r="AB2425" s="381">
        <v>0</v>
      </c>
      <c r="AC2425" s="382">
        <v>0.14702319999999999</v>
      </c>
      <c r="AD2425" s="382">
        <v>0</v>
      </c>
      <c r="AE2425" s="381" t="s">
        <v>168</v>
      </c>
    </row>
    <row r="2426" spans="1:31" ht="15" customHeight="1" x14ac:dyDescent="0.25">
      <c r="A2426" s="20" t="s">
        <v>3395</v>
      </c>
      <c r="B2426" s="20" t="s">
        <v>3396</v>
      </c>
      <c r="C2426" s="20" t="s">
        <v>3397</v>
      </c>
      <c r="D2426" s="378" t="s">
        <v>3425</v>
      </c>
      <c r="E2426" s="384">
        <v>45013</v>
      </c>
      <c r="F2426" s="384">
        <v>46839</v>
      </c>
      <c r="G2426" s="378" t="s">
        <v>2837</v>
      </c>
      <c r="H2426" s="20" t="s">
        <v>3399</v>
      </c>
      <c r="I2426" s="378">
        <v>0</v>
      </c>
      <c r="J2426" s="20" t="s">
        <v>2831</v>
      </c>
      <c r="K2426" s="378" t="s">
        <v>3400</v>
      </c>
      <c r="L2426" s="378" t="s">
        <v>2848</v>
      </c>
      <c r="M2426" s="380" t="s">
        <v>443</v>
      </c>
      <c r="N2426" s="380" t="s">
        <v>443</v>
      </c>
      <c r="O2426" s="380" t="s">
        <v>443</v>
      </c>
      <c r="P2426" s="380" t="s">
        <v>443</v>
      </c>
      <c r="Q2426" s="381">
        <v>184</v>
      </c>
      <c r="R2426" s="381">
        <v>199</v>
      </c>
      <c r="S2426" s="381">
        <v>-15</v>
      </c>
      <c r="T2426" s="381">
        <v>2.3300000000000001E-2</v>
      </c>
      <c r="U2426" s="381">
        <v>0</v>
      </c>
      <c r="V2426" s="382">
        <v>199.02330000000001</v>
      </c>
      <c r="W2426" s="382">
        <v>0</v>
      </c>
      <c r="X2426" s="381">
        <v>0.184</v>
      </c>
      <c r="Y2426" s="381">
        <v>0.19900000000000001</v>
      </c>
      <c r="Z2426" s="381">
        <v>-1.4999999999999999E-2</v>
      </c>
      <c r="AA2426" s="381">
        <v>2.3300000000000001E-5</v>
      </c>
      <c r="AB2426" s="381">
        <v>0</v>
      </c>
      <c r="AC2426" s="382">
        <v>0.19902330000000001</v>
      </c>
      <c r="AD2426" s="382">
        <v>0</v>
      </c>
      <c r="AE2426" s="381" t="s">
        <v>168</v>
      </c>
    </row>
    <row r="2427" spans="1:31" ht="15" customHeight="1" x14ac:dyDescent="0.25">
      <c r="A2427" s="20" t="s">
        <v>3395</v>
      </c>
      <c r="B2427" s="20" t="s">
        <v>3396</v>
      </c>
      <c r="C2427" s="20" t="s">
        <v>3397</v>
      </c>
      <c r="D2427" s="378" t="s">
        <v>3426</v>
      </c>
      <c r="E2427" s="384">
        <v>45013</v>
      </c>
      <c r="F2427" s="384">
        <v>46839</v>
      </c>
      <c r="G2427" s="378" t="s">
        <v>2837</v>
      </c>
      <c r="H2427" s="20" t="s">
        <v>3399</v>
      </c>
      <c r="I2427" s="378">
        <v>0</v>
      </c>
      <c r="J2427" s="20" t="s">
        <v>2831</v>
      </c>
      <c r="K2427" s="378" t="s">
        <v>3400</v>
      </c>
      <c r="L2427" s="378" t="s">
        <v>2848</v>
      </c>
      <c r="M2427" s="380" t="s">
        <v>443</v>
      </c>
      <c r="N2427" s="380" t="s">
        <v>443</v>
      </c>
      <c r="O2427" s="380" t="s">
        <v>443</v>
      </c>
      <c r="P2427" s="380" t="s">
        <v>443</v>
      </c>
      <c r="Q2427" s="381">
        <v>184</v>
      </c>
      <c r="R2427" s="381">
        <v>199</v>
      </c>
      <c r="S2427" s="381">
        <v>-15</v>
      </c>
      <c r="T2427" s="381">
        <v>2.3300000000000001E-2</v>
      </c>
      <c r="U2427" s="381">
        <v>0</v>
      </c>
      <c r="V2427" s="382">
        <v>199.02330000000001</v>
      </c>
      <c r="W2427" s="382">
        <v>0</v>
      </c>
      <c r="X2427" s="381">
        <v>0.184</v>
      </c>
      <c r="Y2427" s="381">
        <v>0.19900000000000001</v>
      </c>
      <c r="Z2427" s="381">
        <v>-1.4999999999999999E-2</v>
      </c>
      <c r="AA2427" s="381">
        <v>2.3300000000000001E-5</v>
      </c>
      <c r="AB2427" s="381">
        <v>0</v>
      </c>
      <c r="AC2427" s="382">
        <v>0.19902330000000001</v>
      </c>
      <c r="AD2427" s="382">
        <v>0</v>
      </c>
      <c r="AE2427" s="381" t="s">
        <v>168</v>
      </c>
    </row>
    <row r="2428" spans="1:31" ht="15" customHeight="1" x14ac:dyDescent="0.25">
      <c r="A2428" s="20" t="s">
        <v>3395</v>
      </c>
      <c r="B2428" s="20" t="s">
        <v>3396</v>
      </c>
      <c r="C2428" s="20" t="s">
        <v>3397</v>
      </c>
      <c r="D2428" s="378" t="s">
        <v>3427</v>
      </c>
      <c r="E2428" s="384">
        <v>45013</v>
      </c>
      <c r="F2428" s="384">
        <v>46839</v>
      </c>
      <c r="G2428" s="378" t="s">
        <v>2837</v>
      </c>
      <c r="H2428" s="20" t="s">
        <v>3399</v>
      </c>
      <c r="I2428" s="378">
        <v>0</v>
      </c>
      <c r="J2428" s="20" t="s">
        <v>2831</v>
      </c>
      <c r="K2428" s="378" t="s">
        <v>3400</v>
      </c>
      <c r="L2428" s="378" t="s">
        <v>2848</v>
      </c>
      <c r="M2428" s="380" t="s">
        <v>443</v>
      </c>
      <c r="N2428" s="380" t="s">
        <v>443</v>
      </c>
      <c r="O2428" s="380" t="s">
        <v>443</v>
      </c>
      <c r="P2428" s="380" t="s">
        <v>443</v>
      </c>
      <c r="Q2428" s="381">
        <v>184</v>
      </c>
      <c r="R2428" s="381">
        <v>199</v>
      </c>
      <c r="S2428" s="381">
        <v>-15</v>
      </c>
      <c r="T2428" s="381">
        <v>2.3300000000000001E-2</v>
      </c>
      <c r="U2428" s="381">
        <v>0</v>
      </c>
      <c r="V2428" s="382">
        <v>199.02330000000001</v>
      </c>
      <c r="W2428" s="382">
        <v>0</v>
      </c>
      <c r="X2428" s="381">
        <v>0.184</v>
      </c>
      <c r="Y2428" s="381">
        <v>0.19900000000000001</v>
      </c>
      <c r="Z2428" s="381">
        <v>-1.4999999999999999E-2</v>
      </c>
      <c r="AA2428" s="381">
        <v>2.3300000000000001E-5</v>
      </c>
      <c r="AB2428" s="381">
        <v>0</v>
      </c>
      <c r="AC2428" s="382">
        <v>0.19902330000000001</v>
      </c>
      <c r="AD2428" s="382">
        <v>0</v>
      </c>
      <c r="AE2428" s="381" t="s">
        <v>168</v>
      </c>
    </row>
    <row r="2429" spans="1:31" ht="15" customHeight="1" x14ac:dyDescent="0.25">
      <c r="A2429" s="20" t="s">
        <v>3395</v>
      </c>
      <c r="B2429" s="20" t="s">
        <v>3396</v>
      </c>
      <c r="C2429" s="20" t="s">
        <v>3397</v>
      </c>
      <c r="D2429" s="378" t="s">
        <v>3428</v>
      </c>
      <c r="E2429" s="384">
        <v>45013</v>
      </c>
      <c r="F2429" s="384">
        <v>46839</v>
      </c>
      <c r="G2429" s="378" t="s">
        <v>2837</v>
      </c>
      <c r="H2429" s="20" t="s">
        <v>3399</v>
      </c>
      <c r="I2429" s="378">
        <v>0</v>
      </c>
      <c r="J2429" s="20" t="s">
        <v>2831</v>
      </c>
      <c r="K2429" s="378" t="s">
        <v>3400</v>
      </c>
      <c r="L2429" s="378" t="s">
        <v>2848</v>
      </c>
      <c r="M2429" s="380" t="s">
        <v>443</v>
      </c>
      <c r="N2429" s="380" t="s">
        <v>443</v>
      </c>
      <c r="O2429" s="380" t="s">
        <v>443</v>
      </c>
      <c r="P2429" s="380" t="s">
        <v>443</v>
      </c>
      <c r="Q2429" s="381">
        <v>184</v>
      </c>
      <c r="R2429" s="381">
        <v>199</v>
      </c>
      <c r="S2429" s="381">
        <v>-15</v>
      </c>
      <c r="T2429" s="381">
        <v>2.3300000000000001E-2</v>
      </c>
      <c r="U2429" s="381">
        <v>0</v>
      </c>
      <c r="V2429" s="382">
        <v>199.02330000000001</v>
      </c>
      <c r="W2429" s="382">
        <v>0</v>
      </c>
      <c r="X2429" s="381">
        <v>0.184</v>
      </c>
      <c r="Y2429" s="381">
        <v>0.19900000000000001</v>
      </c>
      <c r="Z2429" s="381">
        <v>-1.4999999999999999E-2</v>
      </c>
      <c r="AA2429" s="381">
        <v>2.3300000000000001E-5</v>
      </c>
      <c r="AB2429" s="381">
        <v>0</v>
      </c>
      <c r="AC2429" s="382">
        <v>0.19902330000000001</v>
      </c>
      <c r="AD2429" s="382">
        <v>0</v>
      </c>
      <c r="AE2429" s="381" t="s">
        <v>168</v>
      </c>
    </row>
    <row r="2430" spans="1:31" ht="15" customHeight="1" x14ac:dyDescent="0.25">
      <c r="A2430" s="20" t="s">
        <v>3395</v>
      </c>
      <c r="B2430" s="20" t="s">
        <v>3396</v>
      </c>
      <c r="C2430" s="20" t="s">
        <v>3397</v>
      </c>
      <c r="D2430" s="378" t="s">
        <v>3429</v>
      </c>
      <c r="E2430" s="384">
        <v>45013</v>
      </c>
      <c r="F2430" s="384">
        <v>46839</v>
      </c>
      <c r="G2430" s="378" t="s">
        <v>2837</v>
      </c>
      <c r="H2430" s="20" t="s">
        <v>3399</v>
      </c>
      <c r="I2430" s="378">
        <v>0</v>
      </c>
      <c r="J2430" s="20" t="s">
        <v>2831</v>
      </c>
      <c r="K2430" s="378" t="s">
        <v>3400</v>
      </c>
      <c r="L2430" s="378" t="s">
        <v>2848</v>
      </c>
      <c r="M2430" s="380" t="s">
        <v>443</v>
      </c>
      <c r="N2430" s="380" t="s">
        <v>443</v>
      </c>
      <c r="O2430" s="380" t="s">
        <v>443</v>
      </c>
      <c r="P2430" s="380" t="s">
        <v>443</v>
      </c>
      <c r="Q2430" s="381">
        <v>184</v>
      </c>
      <c r="R2430" s="381">
        <v>199</v>
      </c>
      <c r="S2430" s="381">
        <v>-15</v>
      </c>
      <c r="T2430" s="381">
        <v>2.3300000000000001E-2</v>
      </c>
      <c r="U2430" s="381">
        <v>0</v>
      </c>
      <c r="V2430" s="382">
        <v>199.02330000000001</v>
      </c>
      <c r="W2430" s="382">
        <v>0</v>
      </c>
      <c r="X2430" s="381">
        <v>0.184</v>
      </c>
      <c r="Y2430" s="381">
        <v>0.19900000000000001</v>
      </c>
      <c r="Z2430" s="381">
        <v>-1.4999999999999999E-2</v>
      </c>
      <c r="AA2430" s="381">
        <v>2.3300000000000001E-5</v>
      </c>
      <c r="AB2430" s="381">
        <v>0</v>
      </c>
      <c r="AC2430" s="382">
        <v>0.19902330000000001</v>
      </c>
      <c r="AD2430" s="382">
        <v>0</v>
      </c>
      <c r="AE2430" s="381" t="s">
        <v>168</v>
      </c>
    </row>
    <row r="2431" spans="1:31" ht="15" customHeight="1" x14ac:dyDescent="0.25">
      <c r="A2431" s="20" t="s">
        <v>3395</v>
      </c>
      <c r="B2431" s="20" t="s">
        <v>3396</v>
      </c>
      <c r="C2431" s="20" t="s">
        <v>3397</v>
      </c>
      <c r="D2431" s="378" t="s">
        <v>3430</v>
      </c>
      <c r="E2431" s="384">
        <v>45013</v>
      </c>
      <c r="F2431" s="384">
        <v>46839</v>
      </c>
      <c r="G2431" s="378" t="s">
        <v>2837</v>
      </c>
      <c r="H2431" s="20" t="s">
        <v>3399</v>
      </c>
      <c r="I2431" s="378">
        <v>0</v>
      </c>
      <c r="J2431" s="20" t="s">
        <v>2831</v>
      </c>
      <c r="K2431" s="378" t="s">
        <v>3400</v>
      </c>
      <c r="L2431" s="378" t="s">
        <v>2848</v>
      </c>
      <c r="M2431" s="380" t="s">
        <v>443</v>
      </c>
      <c r="N2431" s="380" t="s">
        <v>443</v>
      </c>
      <c r="O2431" s="380" t="s">
        <v>443</v>
      </c>
      <c r="P2431" s="380" t="s">
        <v>443</v>
      </c>
      <c r="Q2431" s="381">
        <v>184</v>
      </c>
      <c r="R2431" s="381">
        <v>199</v>
      </c>
      <c r="S2431" s="381">
        <v>-15</v>
      </c>
      <c r="T2431" s="381">
        <v>2.3300000000000001E-2</v>
      </c>
      <c r="U2431" s="381">
        <v>0</v>
      </c>
      <c r="V2431" s="382">
        <v>199.02330000000001</v>
      </c>
      <c r="W2431" s="382">
        <v>0</v>
      </c>
      <c r="X2431" s="381">
        <v>0.184</v>
      </c>
      <c r="Y2431" s="381">
        <v>0.19900000000000001</v>
      </c>
      <c r="Z2431" s="381">
        <v>-1.4999999999999999E-2</v>
      </c>
      <c r="AA2431" s="381">
        <v>2.3300000000000001E-5</v>
      </c>
      <c r="AB2431" s="381">
        <v>0</v>
      </c>
      <c r="AC2431" s="382">
        <v>0.19902330000000001</v>
      </c>
      <c r="AD2431" s="382">
        <v>0</v>
      </c>
      <c r="AE2431" s="381" t="s">
        <v>168</v>
      </c>
    </row>
    <row r="2432" spans="1:31" ht="15" customHeight="1" x14ac:dyDescent="0.25">
      <c r="A2432" s="20" t="s">
        <v>3395</v>
      </c>
      <c r="B2432" s="20" t="s">
        <v>3396</v>
      </c>
      <c r="C2432" s="20" t="s">
        <v>3397</v>
      </c>
      <c r="D2432" s="378" t="s">
        <v>3431</v>
      </c>
      <c r="E2432" s="384">
        <v>45013</v>
      </c>
      <c r="F2432" s="384">
        <v>46839</v>
      </c>
      <c r="G2432" s="378" t="s">
        <v>2837</v>
      </c>
      <c r="H2432" s="20" t="s">
        <v>3399</v>
      </c>
      <c r="I2432" s="378">
        <v>0</v>
      </c>
      <c r="J2432" s="20" t="s">
        <v>2831</v>
      </c>
      <c r="K2432" s="378" t="s">
        <v>3400</v>
      </c>
      <c r="L2432" s="378" t="s">
        <v>2848</v>
      </c>
      <c r="M2432" s="380" t="s">
        <v>443</v>
      </c>
      <c r="N2432" s="380" t="s">
        <v>443</v>
      </c>
      <c r="O2432" s="380" t="s">
        <v>443</v>
      </c>
      <c r="P2432" s="380" t="s">
        <v>443</v>
      </c>
      <c r="Q2432" s="381">
        <v>184</v>
      </c>
      <c r="R2432" s="381">
        <v>199</v>
      </c>
      <c r="S2432" s="381">
        <v>-15</v>
      </c>
      <c r="T2432" s="381">
        <v>2.3300000000000001E-2</v>
      </c>
      <c r="U2432" s="381">
        <v>0</v>
      </c>
      <c r="V2432" s="382">
        <v>199.02330000000001</v>
      </c>
      <c r="W2432" s="382">
        <v>0</v>
      </c>
      <c r="X2432" s="381">
        <v>0.184</v>
      </c>
      <c r="Y2432" s="381">
        <v>0.19900000000000001</v>
      </c>
      <c r="Z2432" s="381">
        <v>-1.4999999999999999E-2</v>
      </c>
      <c r="AA2432" s="381">
        <v>2.3300000000000001E-5</v>
      </c>
      <c r="AB2432" s="381">
        <v>0</v>
      </c>
      <c r="AC2432" s="382">
        <v>0.19902330000000001</v>
      </c>
      <c r="AD2432" s="382">
        <v>0</v>
      </c>
      <c r="AE2432" s="381" t="s">
        <v>168</v>
      </c>
    </row>
    <row r="2433" spans="1:31" ht="15" customHeight="1" x14ac:dyDescent="0.25">
      <c r="A2433" s="20" t="s">
        <v>3395</v>
      </c>
      <c r="B2433" s="20" t="s">
        <v>3396</v>
      </c>
      <c r="C2433" s="20" t="s">
        <v>3397</v>
      </c>
      <c r="D2433" s="378" t="s">
        <v>3432</v>
      </c>
      <c r="E2433" s="384">
        <v>45013</v>
      </c>
      <c r="F2433" s="384">
        <v>46839</v>
      </c>
      <c r="G2433" s="378" t="s">
        <v>2837</v>
      </c>
      <c r="H2433" s="20" t="s">
        <v>3399</v>
      </c>
      <c r="I2433" s="378">
        <v>0</v>
      </c>
      <c r="J2433" s="20" t="s">
        <v>2831</v>
      </c>
      <c r="K2433" s="378" t="s">
        <v>3400</v>
      </c>
      <c r="L2433" s="378" t="s">
        <v>2848</v>
      </c>
      <c r="M2433" s="380" t="s">
        <v>443</v>
      </c>
      <c r="N2433" s="380" t="s">
        <v>443</v>
      </c>
      <c r="O2433" s="380" t="s">
        <v>443</v>
      </c>
      <c r="P2433" s="380" t="s">
        <v>443</v>
      </c>
      <c r="Q2433" s="381">
        <v>184</v>
      </c>
      <c r="R2433" s="381">
        <v>199</v>
      </c>
      <c r="S2433" s="381">
        <v>-15</v>
      </c>
      <c r="T2433" s="381">
        <v>2.3300000000000001E-2</v>
      </c>
      <c r="U2433" s="381">
        <v>0</v>
      </c>
      <c r="V2433" s="382">
        <v>199.02330000000001</v>
      </c>
      <c r="W2433" s="382">
        <v>0</v>
      </c>
      <c r="X2433" s="381">
        <v>0.184</v>
      </c>
      <c r="Y2433" s="381">
        <v>0.19900000000000001</v>
      </c>
      <c r="Z2433" s="381">
        <v>-1.4999999999999999E-2</v>
      </c>
      <c r="AA2433" s="381">
        <v>2.3300000000000001E-5</v>
      </c>
      <c r="AB2433" s="381">
        <v>0</v>
      </c>
      <c r="AC2433" s="382">
        <v>0.19902330000000001</v>
      </c>
      <c r="AD2433" s="382">
        <v>0</v>
      </c>
      <c r="AE2433" s="381" t="s">
        <v>168</v>
      </c>
    </row>
    <row r="2434" spans="1:31" ht="15" customHeight="1" x14ac:dyDescent="0.25">
      <c r="A2434" s="20" t="s">
        <v>3395</v>
      </c>
      <c r="B2434" s="20" t="s">
        <v>3396</v>
      </c>
      <c r="C2434" s="20" t="s">
        <v>3397</v>
      </c>
      <c r="D2434" s="378" t="s">
        <v>3433</v>
      </c>
      <c r="E2434" s="384">
        <v>45013</v>
      </c>
      <c r="F2434" s="384">
        <v>46839</v>
      </c>
      <c r="G2434" s="378" t="s">
        <v>2837</v>
      </c>
      <c r="H2434" s="20" t="s">
        <v>3399</v>
      </c>
      <c r="I2434" s="378">
        <v>0</v>
      </c>
      <c r="J2434" s="20" t="s">
        <v>2831</v>
      </c>
      <c r="K2434" s="378" t="s">
        <v>3400</v>
      </c>
      <c r="L2434" s="378" t="s">
        <v>2848</v>
      </c>
      <c r="M2434" s="380" t="s">
        <v>443</v>
      </c>
      <c r="N2434" s="380" t="s">
        <v>443</v>
      </c>
      <c r="O2434" s="380" t="s">
        <v>443</v>
      </c>
      <c r="P2434" s="380" t="s">
        <v>443</v>
      </c>
      <c r="Q2434" s="381">
        <v>184</v>
      </c>
      <c r="R2434" s="381">
        <v>199</v>
      </c>
      <c r="S2434" s="381">
        <v>-15</v>
      </c>
      <c r="T2434" s="381">
        <v>2.3300000000000001E-2</v>
      </c>
      <c r="U2434" s="381">
        <v>0</v>
      </c>
      <c r="V2434" s="382">
        <v>199.02330000000001</v>
      </c>
      <c r="W2434" s="382">
        <v>0</v>
      </c>
      <c r="X2434" s="381">
        <v>0.184</v>
      </c>
      <c r="Y2434" s="381">
        <v>0.19900000000000001</v>
      </c>
      <c r="Z2434" s="381">
        <v>-1.4999999999999999E-2</v>
      </c>
      <c r="AA2434" s="381">
        <v>2.3300000000000001E-5</v>
      </c>
      <c r="AB2434" s="381">
        <v>0</v>
      </c>
      <c r="AC2434" s="382">
        <v>0.19902330000000001</v>
      </c>
      <c r="AD2434" s="382">
        <v>0</v>
      </c>
      <c r="AE2434" s="381" t="s">
        <v>168</v>
      </c>
    </row>
    <row r="2435" spans="1:31" ht="15" customHeight="1" x14ac:dyDescent="0.25">
      <c r="A2435" s="20" t="s">
        <v>3395</v>
      </c>
      <c r="B2435" s="20" t="s">
        <v>3396</v>
      </c>
      <c r="C2435" s="20" t="s">
        <v>3397</v>
      </c>
      <c r="D2435" s="378" t="s">
        <v>3434</v>
      </c>
      <c r="E2435" s="384">
        <v>45013</v>
      </c>
      <c r="F2435" s="384">
        <v>46839</v>
      </c>
      <c r="G2435" s="378" t="s">
        <v>2837</v>
      </c>
      <c r="H2435" s="20" t="s">
        <v>3399</v>
      </c>
      <c r="I2435" s="378">
        <v>0</v>
      </c>
      <c r="J2435" s="20" t="s">
        <v>2831</v>
      </c>
      <c r="K2435" s="378" t="s">
        <v>3400</v>
      </c>
      <c r="L2435" s="378" t="s">
        <v>2848</v>
      </c>
      <c r="M2435" s="380" t="s">
        <v>443</v>
      </c>
      <c r="N2435" s="380" t="s">
        <v>443</v>
      </c>
      <c r="O2435" s="380" t="s">
        <v>443</v>
      </c>
      <c r="P2435" s="380" t="s">
        <v>443</v>
      </c>
      <c r="Q2435" s="381">
        <v>184</v>
      </c>
      <c r="R2435" s="381">
        <v>199</v>
      </c>
      <c r="S2435" s="381">
        <v>-15</v>
      </c>
      <c r="T2435" s="381">
        <v>2.3300000000000001E-2</v>
      </c>
      <c r="U2435" s="381">
        <v>0</v>
      </c>
      <c r="V2435" s="382">
        <v>199.02330000000001</v>
      </c>
      <c r="W2435" s="382">
        <v>0</v>
      </c>
      <c r="X2435" s="381">
        <v>0.184</v>
      </c>
      <c r="Y2435" s="381">
        <v>0.19900000000000001</v>
      </c>
      <c r="Z2435" s="381">
        <v>-1.4999999999999999E-2</v>
      </c>
      <c r="AA2435" s="381">
        <v>2.3300000000000001E-5</v>
      </c>
      <c r="AB2435" s="381">
        <v>0</v>
      </c>
      <c r="AC2435" s="382">
        <v>0.19902330000000001</v>
      </c>
      <c r="AD2435" s="382">
        <v>0</v>
      </c>
      <c r="AE2435" s="381" t="s">
        <v>168</v>
      </c>
    </row>
    <row r="2436" spans="1:31" ht="15" customHeight="1" x14ac:dyDescent="0.25">
      <c r="A2436" s="20" t="s">
        <v>3395</v>
      </c>
      <c r="B2436" s="20" t="s">
        <v>3396</v>
      </c>
      <c r="C2436" s="20" t="s">
        <v>3397</v>
      </c>
      <c r="D2436" s="378" t="s">
        <v>3435</v>
      </c>
      <c r="E2436" s="384">
        <v>45211</v>
      </c>
      <c r="F2436" s="384">
        <v>47037</v>
      </c>
      <c r="G2436" s="378" t="s">
        <v>2856</v>
      </c>
      <c r="H2436" s="20" t="s">
        <v>3436</v>
      </c>
      <c r="I2436" s="378">
        <v>0</v>
      </c>
      <c r="J2436" s="20" t="s">
        <v>2831</v>
      </c>
      <c r="K2436" s="378" t="s">
        <v>3437</v>
      </c>
      <c r="L2436" s="378" t="s">
        <v>2848</v>
      </c>
      <c r="M2436" s="380" t="s">
        <v>443</v>
      </c>
      <c r="N2436" s="380" t="s">
        <v>443</v>
      </c>
      <c r="O2436" s="380" t="s">
        <v>443</v>
      </c>
      <c r="P2436" s="380" t="s">
        <v>443</v>
      </c>
      <c r="Q2436" s="381">
        <v>150</v>
      </c>
      <c r="R2436" s="381">
        <v>150</v>
      </c>
      <c r="S2436" s="381">
        <v>0.39</v>
      </c>
      <c r="T2436" s="381">
        <v>5.0999999999999997E-2</v>
      </c>
      <c r="U2436" s="381">
        <v>0</v>
      </c>
      <c r="V2436" s="382">
        <v>150.44099999999997</v>
      </c>
      <c r="W2436" s="382">
        <v>0</v>
      </c>
      <c r="X2436" s="381">
        <v>0.15</v>
      </c>
      <c r="Y2436" s="381">
        <v>0.15</v>
      </c>
      <c r="Z2436" s="381">
        <v>3.8999999999999999E-4</v>
      </c>
      <c r="AA2436" s="381">
        <v>5.1E-5</v>
      </c>
      <c r="AB2436" s="381">
        <v>0</v>
      </c>
      <c r="AC2436" s="382">
        <v>0.15044099999999999</v>
      </c>
      <c r="AD2436" s="382">
        <v>0</v>
      </c>
      <c r="AE2436" s="381" t="s">
        <v>168</v>
      </c>
    </row>
    <row r="2437" spans="1:31" ht="15" customHeight="1" x14ac:dyDescent="0.25">
      <c r="A2437" s="20" t="s">
        <v>3395</v>
      </c>
      <c r="B2437" s="20" t="s">
        <v>3396</v>
      </c>
      <c r="C2437" s="20" t="s">
        <v>3397</v>
      </c>
      <c r="D2437" s="378" t="s">
        <v>3438</v>
      </c>
      <c r="E2437" s="384">
        <v>45211</v>
      </c>
      <c r="F2437" s="384">
        <v>47037</v>
      </c>
      <c r="G2437" s="378" t="s">
        <v>2856</v>
      </c>
      <c r="H2437" s="20" t="s">
        <v>3436</v>
      </c>
      <c r="I2437" s="378">
        <v>0</v>
      </c>
      <c r="J2437" s="20" t="s">
        <v>2831</v>
      </c>
      <c r="K2437" s="378" t="s">
        <v>3437</v>
      </c>
      <c r="L2437" s="378" t="s">
        <v>2848</v>
      </c>
      <c r="M2437" s="380" t="s">
        <v>443</v>
      </c>
      <c r="N2437" s="380" t="s">
        <v>443</v>
      </c>
      <c r="O2437" s="380" t="s">
        <v>443</v>
      </c>
      <c r="P2437" s="380" t="s">
        <v>443</v>
      </c>
      <c r="Q2437" s="381">
        <v>150</v>
      </c>
      <c r="R2437" s="381">
        <v>150</v>
      </c>
      <c r="S2437" s="381">
        <v>0.39</v>
      </c>
      <c r="T2437" s="381">
        <v>5.0999999999999997E-2</v>
      </c>
      <c r="U2437" s="381">
        <v>0</v>
      </c>
      <c r="V2437" s="382">
        <v>150.44099999999997</v>
      </c>
      <c r="W2437" s="382">
        <v>0</v>
      </c>
      <c r="X2437" s="381">
        <v>0.15</v>
      </c>
      <c r="Y2437" s="381">
        <v>0.15</v>
      </c>
      <c r="Z2437" s="381">
        <v>3.8999999999999999E-4</v>
      </c>
      <c r="AA2437" s="381">
        <v>5.1E-5</v>
      </c>
      <c r="AB2437" s="381">
        <v>0</v>
      </c>
      <c r="AC2437" s="382">
        <v>0.15044099999999999</v>
      </c>
      <c r="AD2437" s="382">
        <v>0</v>
      </c>
      <c r="AE2437" s="381" t="s">
        <v>168</v>
      </c>
    </row>
    <row r="2438" spans="1:31" ht="15" customHeight="1" x14ac:dyDescent="0.25">
      <c r="A2438" s="20" t="s">
        <v>3395</v>
      </c>
      <c r="B2438" s="20" t="s">
        <v>3396</v>
      </c>
      <c r="C2438" s="20" t="s">
        <v>3397</v>
      </c>
      <c r="D2438" s="378" t="s">
        <v>3439</v>
      </c>
      <c r="E2438" s="384">
        <v>45211</v>
      </c>
      <c r="F2438" s="384">
        <v>47037</v>
      </c>
      <c r="G2438" s="378" t="s">
        <v>2856</v>
      </c>
      <c r="H2438" s="20" t="s">
        <v>3436</v>
      </c>
      <c r="I2438" s="378">
        <v>0</v>
      </c>
      <c r="J2438" s="20" t="s">
        <v>2831</v>
      </c>
      <c r="K2438" s="378" t="s">
        <v>3437</v>
      </c>
      <c r="L2438" s="378" t="s">
        <v>2848</v>
      </c>
      <c r="M2438" s="380" t="s">
        <v>443</v>
      </c>
      <c r="N2438" s="380" t="s">
        <v>443</v>
      </c>
      <c r="O2438" s="380" t="s">
        <v>443</v>
      </c>
      <c r="P2438" s="380" t="s">
        <v>443</v>
      </c>
      <c r="Q2438" s="381">
        <v>150</v>
      </c>
      <c r="R2438" s="381">
        <v>150</v>
      </c>
      <c r="S2438" s="381">
        <v>0.39</v>
      </c>
      <c r="T2438" s="381">
        <v>5.0999999999999997E-2</v>
      </c>
      <c r="U2438" s="381">
        <v>0</v>
      </c>
      <c r="V2438" s="382">
        <v>150.44099999999997</v>
      </c>
      <c r="W2438" s="382">
        <v>0</v>
      </c>
      <c r="X2438" s="381">
        <v>0.15</v>
      </c>
      <c r="Y2438" s="381">
        <v>0.15</v>
      </c>
      <c r="Z2438" s="381">
        <v>3.8999999999999999E-4</v>
      </c>
      <c r="AA2438" s="381">
        <v>5.1E-5</v>
      </c>
      <c r="AB2438" s="381">
        <v>0</v>
      </c>
      <c r="AC2438" s="382">
        <v>0.15044099999999999</v>
      </c>
      <c r="AD2438" s="382">
        <v>0</v>
      </c>
      <c r="AE2438" s="381" t="s">
        <v>168</v>
      </c>
    </row>
    <row r="2439" spans="1:31" ht="15" customHeight="1" x14ac:dyDescent="0.25">
      <c r="A2439" s="20" t="s">
        <v>3395</v>
      </c>
      <c r="B2439" s="20" t="s">
        <v>3396</v>
      </c>
      <c r="C2439" s="20" t="s">
        <v>3397</v>
      </c>
      <c r="D2439" s="378" t="s">
        <v>3440</v>
      </c>
      <c r="E2439" s="384">
        <v>45211</v>
      </c>
      <c r="F2439" s="384">
        <v>47037</v>
      </c>
      <c r="G2439" s="378" t="s">
        <v>2856</v>
      </c>
      <c r="H2439" s="20" t="s">
        <v>3436</v>
      </c>
      <c r="I2439" s="378">
        <v>0</v>
      </c>
      <c r="J2439" s="20" t="s">
        <v>2831</v>
      </c>
      <c r="K2439" s="378" t="s">
        <v>3437</v>
      </c>
      <c r="L2439" s="378" t="s">
        <v>2848</v>
      </c>
      <c r="M2439" s="380" t="s">
        <v>443</v>
      </c>
      <c r="N2439" s="380" t="s">
        <v>443</v>
      </c>
      <c r="O2439" s="380" t="s">
        <v>443</v>
      </c>
      <c r="P2439" s="380" t="s">
        <v>443</v>
      </c>
      <c r="Q2439" s="381">
        <v>150</v>
      </c>
      <c r="R2439" s="381">
        <v>150</v>
      </c>
      <c r="S2439" s="381">
        <v>0.39</v>
      </c>
      <c r="T2439" s="381">
        <v>5.0999999999999997E-2</v>
      </c>
      <c r="U2439" s="381">
        <v>0</v>
      </c>
      <c r="V2439" s="382">
        <v>150.44099999999997</v>
      </c>
      <c r="W2439" s="382">
        <v>0</v>
      </c>
      <c r="X2439" s="381">
        <v>0.15</v>
      </c>
      <c r="Y2439" s="381">
        <v>0.15</v>
      </c>
      <c r="Z2439" s="381">
        <v>3.8999999999999999E-4</v>
      </c>
      <c r="AA2439" s="381">
        <v>5.1E-5</v>
      </c>
      <c r="AB2439" s="381">
        <v>0</v>
      </c>
      <c r="AC2439" s="382">
        <v>0.15044099999999999</v>
      </c>
      <c r="AD2439" s="382">
        <v>0</v>
      </c>
      <c r="AE2439" s="381" t="s">
        <v>168</v>
      </c>
    </row>
    <row r="2440" spans="1:31" ht="15" customHeight="1" x14ac:dyDescent="0.25">
      <c r="A2440" s="20" t="s">
        <v>3395</v>
      </c>
      <c r="B2440" s="20" t="s">
        <v>3396</v>
      </c>
      <c r="C2440" s="20" t="s">
        <v>3397</v>
      </c>
      <c r="D2440" s="378" t="s">
        <v>3441</v>
      </c>
      <c r="E2440" s="384">
        <v>45211</v>
      </c>
      <c r="F2440" s="384">
        <v>47037</v>
      </c>
      <c r="G2440" s="378" t="s">
        <v>2856</v>
      </c>
      <c r="H2440" s="20" t="s">
        <v>3436</v>
      </c>
      <c r="I2440" s="378">
        <v>0</v>
      </c>
      <c r="J2440" s="20" t="s">
        <v>2831</v>
      </c>
      <c r="K2440" s="378" t="s">
        <v>3437</v>
      </c>
      <c r="L2440" s="378" t="s">
        <v>2848</v>
      </c>
      <c r="M2440" s="380" t="s">
        <v>443</v>
      </c>
      <c r="N2440" s="380" t="s">
        <v>443</v>
      </c>
      <c r="O2440" s="380" t="s">
        <v>443</v>
      </c>
      <c r="P2440" s="380" t="s">
        <v>443</v>
      </c>
      <c r="Q2440" s="381">
        <v>150</v>
      </c>
      <c r="R2440" s="381">
        <v>150</v>
      </c>
      <c r="S2440" s="381">
        <v>0.39</v>
      </c>
      <c r="T2440" s="381">
        <v>5.0999999999999997E-2</v>
      </c>
      <c r="U2440" s="381">
        <v>0</v>
      </c>
      <c r="V2440" s="382">
        <v>150.44099999999997</v>
      </c>
      <c r="W2440" s="382">
        <v>0</v>
      </c>
      <c r="X2440" s="381">
        <v>0.15</v>
      </c>
      <c r="Y2440" s="381">
        <v>0.15</v>
      </c>
      <c r="Z2440" s="381">
        <v>3.8999999999999999E-4</v>
      </c>
      <c r="AA2440" s="381">
        <v>5.1E-5</v>
      </c>
      <c r="AB2440" s="381">
        <v>0</v>
      </c>
      <c r="AC2440" s="382">
        <v>0.15044099999999999</v>
      </c>
      <c r="AD2440" s="382">
        <v>0</v>
      </c>
      <c r="AE2440" s="381" t="s">
        <v>168</v>
      </c>
    </row>
    <row r="2441" spans="1:31" ht="15" customHeight="1" x14ac:dyDescent="0.25">
      <c r="A2441" s="20" t="s">
        <v>3395</v>
      </c>
      <c r="B2441" s="20" t="s">
        <v>3396</v>
      </c>
      <c r="C2441" s="20" t="s">
        <v>3397</v>
      </c>
      <c r="D2441" s="378" t="s">
        <v>3442</v>
      </c>
      <c r="E2441" s="384">
        <v>45211</v>
      </c>
      <c r="F2441" s="384">
        <v>47037</v>
      </c>
      <c r="G2441" s="378" t="s">
        <v>2856</v>
      </c>
      <c r="H2441" s="20" t="s">
        <v>3436</v>
      </c>
      <c r="I2441" s="378">
        <v>0</v>
      </c>
      <c r="J2441" s="20" t="s">
        <v>2831</v>
      </c>
      <c r="K2441" s="378" t="s">
        <v>3437</v>
      </c>
      <c r="L2441" s="378" t="s">
        <v>2848</v>
      </c>
      <c r="M2441" s="380" t="s">
        <v>443</v>
      </c>
      <c r="N2441" s="380" t="s">
        <v>443</v>
      </c>
      <c r="O2441" s="380" t="s">
        <v>443</v>
      </c>
      <c r="P2441" s="380" t="s">
        <v>443</v>
      </c>
      <c r="Q2441" s="381">
        <v>150</v>
      </c>
      <c r="R2441" s="381">
        <v>150</v>
      </c>
      <c r="S2441" s="381">
        <v>0.39</v>
      </c>
      <c r="T2441" s="381">
        <v>5.0999999999999997E-2</v>
      </c>
      <c r="U2441" s="381">
        <v>0</v>
      </c>
      <c r="V2441" s="382">
        <v>150.44099999999997</v>
      </c>
      <c r="W2441" s="382">
        <v>0</v>
      </c>
      <c r="X2441" s="381">
        <v>0.15</v>
      </c>
      <c r="Y2441" s="381">
        <v>0.15</v>
      </c>
      <c r="Z2441" s="381">
        <v>3.8999999999999999E-4</v>
      </c>
      <c r="AA2441" s="381">
        <v>5.1E-5</v>
      </c>
      <c r="AB2441" s="381">
        <v>0</v>
      </c>
      <c r="AC2441" s="382">
        <v>0.15044099999999999</v>
      </c>
      <c r="AD2441" s="382">
        <v>0</v>
      </c>
      <c r="AE2441" s="381" t="s">
        <v>168</v>
      </c>
    </row>
    <row r="2442" spans="1:31" ht="15" customHeight="1" x14ac:dyDescent="0.25">
      <c r="A2442" s="20" t="s">
        <v>3395</v>
      </c>
      <c r="B2442" s="20" t="s">
        <v>3396</v>
      </c>
      <c r="C2442" s="20" t="s">
        <v>3397</v>
      </c>
      <c r="D2442" s="378" t="s">
        <v>3443</v>
      </c>
      <c r="E2442" s="384">
        <v>45211</v>
      </c>
      <c r="F2442" s="384">
        <v>47037</v>
      </c>
      <c r="G2442" s="378" t="s">
        <v>2856</v>
      </c>
      <c r="H2442" s="20" t="s">
        <v>3436</v>
      </c>
      <c r="I2442" s="378">
        <v>0</v>
      </c>
      <c r="J2442" s="20" t="s">
        <v>2831</v>
      </c>
      <c r="K2442" s="378" t="s">
        <v>3437</v>
      </c>
      <c r="L2442" s="378" t="s">
        <v>2848</v>
      </c>
      <c r="M2442" s="380" t="s">
        <v>443</v>
      </c>
      <c r="N2442" s="380" t="s">
        <v>443</v>
      </c>
      <c r="O2442" s="380" t="s">
        <v>443</v>
      </c>
      <c r="P2442" s="380" t="s">
        <v>443</v>
      </c>
      <c r="Q2442" s="381">
        <v>150</v>
      </c>
      <c r="R2442" s="381">
        <v>150</v>
      </c>
      <c r="S2442" s="381">
        <v>0.39</v>
      </c>
      <c r="T2442" s="381">
        <v>5.0999999999999997E-2</v>
      </c>
      <c r="U2442" s="381">
        <v>0</v>
      </c>
      <c r="V2442" s="382">
        <v>150.44099999999997</v>
      </c>
      <c r="W2442" s="382">
        <v>0</v>
      </c>
      <c r="X2442" s="381">
        <v>0.15</v>
      </c>
      <c r="Y2442" s="381">
        <v>0.15</v>
      </c>
      <c r="Z2442" s="381">
        <v>3.8999999999999999E-4</v>
      </c>
      <c r="AA2442" s="381">
        <v>5.1E-5</v>
      </c>
      <c r="AB2442" s="381">
        <v>0</v>
      </c>
      <c r="AC2442" s="382">
        <v>0.15044099999999999</v>
      </c>
      <c r="AD2442" s="382">
        <v>0</v>
      </c>
      <c r="AE2442" s="381" t="s">
        <v>168</v>
      </c>
    </row>
    <row r="2443" spans="1:31" ht="15" customHeight="1" x14ac:dyDescent="0.25">
      <c r="A2443" s="20" t="s">
        <v>3395</v>
      </c>
      <c r="B2443" s="20" t="s">
        <v>3396</v>
      </c>
      <c r="C2443" s="20" t="s">
        <v>3397</v>
      </c>
      <c r="D2443" s="378" t="s">
        <v>3444</v>
      </c>
      <c r="E2443" s="384">
        <v>45211</v>
      </c>
      <c r="F2443" s="384">
        <v>47037</v>
      </c>
      <c r="G2443" s="378" t="s">
        <v>2856</v>
      </c>
      <c r="H2443" s="20" t="s">
        <v>3436</v>
      </c>
      <c r="I2443" s="378">
        <v>0</v>
      </c>
      <c r="J2443" s="20" t="s">
        <v>2831</v>
      </c>
      <c r="K2443" s="378" t="s">
        <v>3437</v>
      </c>
      <c r="L2443" s="378" t="s">
        <v>2848</v>
      </c>
      <c r="M2443" s="380" t="s">
        <v>443</v>
      </c>
      <c r="N2443" s="380" t="s">
        <v>443</v>
      </c>
      <c r="O2443" s="380" t="s">
        <v>443</v>
      </c>
      <c r="P2443" s="380" t="s">
        <v>443</v>
      </c>
      <c r="Q2443" s="381">
        <v>150</v>
      </c>
      <c r="R2443" s="381">
        <v>150</v>
      </c>
      <c r="S2443" s="381">
        <v>0.39</v>
      </c>
      <c r="T2443" s="381">
        <v>5.0999999999999997E-2</v>
      </c>
      <c r="U2443" s="381">
        <v>0</v>
      </c>
      <c r="V2443" s="382">
        <v>150.44099999999997</v>
      </c>
      <c r="W2443" s="382">
        <v>0</v>
      </c>
      <c r="X2443" s="381">
        <v>0.15</v>
      </c>
      <c r="Y2443" s="381">
        <v>0.15</v>
      </c>
      <c r="Z2443" s="381">
        <v>3.8999999999999999E-4</v>
      </c>
      <c r="AA2443" s="381">
        <v>5.1E-5</v>
      </c>
      <c r="AB2443" s="381">
        <v>0</v>
      </c>
      <c r="AC2443" s="382">
        <v>0.15044099999999999</v>
      </c>
      <c r="AD2443" s="382">
        <v>0</v>
      </c>
      <c r="AE2443" s="381" t="s">
        <v>168</v>
      </c>
    </row>
    <row r="2444" spans="1:31" ht="15" customHeight="1" x14ac:dyDescent="0.25">
      <c r="A2444" s="20" t="s">
        <v>3395</v>
      </c>
      <c r="B2444" s="20" t="s">
        <v>3396</v>
      </c>
      <c r="C2444" s="20" t="s">
        <v>3397</v>
      </c>
      <c r="D2444" s="378" t="s">
        <v>3445</v>
      </c>
      <c r="E2444" s="384">
        <v>45211</v>
      </c>
      <c r="F2444" s="384">
        <v>47037</v>
      </c>
      <c r="G2444" s="378" t="s">
        <v>2856</v>
      </c>
      <c r="H2444" s="20" t="s">
        <v>3436</v>
      </c>
      <c r="I2444" s="378">
        <v>0</v>
      </c>
      <c r="J2444" s="20" t="s">
        <v>2831</v>
      </c>
      <c r="K2444" s="378" t="s">
        <v>3437</v>
      </c>
      <c r="L2444" s="378" t="s">
        <v>2848</v>
      </c>
      <c r="M2444" s="380" t="s">
        <v>443</v>
      </c>
      <c r="N2444" s="380" t="s">
        <v>443</v>
      </c>
      <c r="O2444" s="380" t="s">
        <v>443</v>
      </c>
      <c r="P2444" s="380" t="s">
        <v>443</v>
      </c>
      <c r="Q2444" s="381">
        <v>150</v>
      </c>
      <c r="R2444" s="381">
        <v>150</v>
      </c>
      <c r="S2444" s="381">
        <v>0.39</v>
      </c>
      <c r="T2444" s="381">
        <v>5.0999999999999997E-2</v>
      </c>
      <c r="U2444" s="381">
        <v>0</v>
      </c>
      <c r="V2444" s="382">
        <v>150.44099999999997</v>
      </c>
      <c r="W2444" s="382">
        <v>0</v>
      </c>
      <c r="X2444" s="381">
        <v>0.15</v>
      </c>
      <c r="Y2444" s="381">
        <v>0.15</v>
      </c>
      <c r="Z2444" s="381">
        <v>3.8999999999999999E-4</v>
      </c>
      <c r="AA2444" s="381">
        <v>5.1E-5</v>
      </c>
      <c r="AB2444" s="381">
        <v>0</v>
      </c>
      <c r="AC2444" s="382">
        <v>0.15044099999999999</v>
      </c>
      <c r="AD2444" s="382">
        <v>0</v>
      </c>
      <c r="AE2444" s="381" t="s">
        <v>168</v>
      </c>
    </row>
    <row r="2445" spans="1:31" ht="15" customHeight="1" x14ac:dyDescent="0.25">
      <c r="A2445" s="20" t="s">
        <v>3395</v>
      </c>
      <c r="B2445" s="20" t="s">
        <v>3396</v>
      </c>
      <c r="C2445" s="20" t="s">
        <v>3397</v>
      </c>
      <c r="D2445" s="378" t="s">
        <v>3446</v>
      </c>
      <c r="E2445" s="384">
        <v>45211</v>
      </c>
      <c r="F2445" s="384">
        <v>47037</v>
      </c>
      <c r="G2445" s="378" t="s">
        <v>2856</v>
      </c>
      <c r="H2445" s="20" t="s">
        <v>3447</v>
      </c>
      <c r="I2445" s="378">
        <v>0</v>
      </c>
      <c r="J2445" s="20" t="s">
        <v>2831</v>
      </c>
      <c r="K2445" s="378" t="s">
        <v>3448</v>
      </c>
      <c r="L2445" s="378" t="s">
        <v>2848</v>
      </c>
      <c r="M2445" s="380" t="s">
        <v>443</v>
      </c>
      <c r="N2445" s="380" t="s">
        <v>443</v>
      </c>
      <c r="O2445" s="380" t="s">
        <v>443</v>
      </c>
      <c r="P2445" s="380" t="s">
        <v>443</v>
      </c>
      <c r="Q2445" s="381">
        <v>200</v>
      </c>
      <c r="R2445" s="381">
        <v>200</v>
      </c>
      <c r="S2445" s="381">
        <v>0.34</v>
      </c>
      <c r="T2445" s="381">
        <v>8.5999999999999993E-2</v>
      </c>
      <c r="U2445" s="381">
        <v>0</v>
      </c>
      <c r="V2445" s="382">
        <v>200.42600000000002</v>
      </c>
      <c r="W2445" s="382">
        <v>0</v>
      </c>
      <c r="X2445" s="381">
        <v>0.2</v>
      </c>
      <c r="Y2445" s="381">
        <v>0.2</v>
      </c>
      <c r="Z2445" s="381">
        <v>3.4000000000000002E-4</v>
      </c>
      <c r="AA2445" s="381">
        <v>8.599999999999999E-5</v>
      </c>
      <c r="AB2445" s="381">
        <v>0</v>
      </c>
      <c r="AC2445" s="382">
        <v>0.20042600000000002</v>
      </c>
      <c r="AD2445" s="382">
        <v>0</v>
      </c>
      <c r="AE2445" s="381" t="s">
        <v>168</v>
      </c>
    </row>
    <row r="2446" spans="1:31" ht="15" customHeight="1" x14ac:dyDescent="0.25">
      <c r="A2446" s="20" t="s">
        <v>3395</v>
      </c>
      <c r="B2446" s="20" t="s">
        <v>3396</v>
      </c>
      <c r="C2446" s="20" t="s">
        <v>3397</v>
      </c>
      <c r="D2446" s="378" t="s">
        <v>3449</v>
      </c>
      <c r="E2446" s="384">
        <v>45211</v>
      </c>
      <c r="F2446" s="384">
        <v>47037</v>
      </c>
      <c r="G2446" s="378" t="s">
        <v>2856</v>
      </c>
      <c r="H2446" s="20" t="s">
        <v>3447</v>
      </c>
      <c r="I2446" s="378">
        <v>0</v>
      </c>
      <c r="J2446" s="20" t="s">
        <v>2831</v>
      </c>
      <c r="K2446" s="378" t="s">
        <v>3448</v>
      </c>
      <c r="L2446" s="378" t="s">
        <v>2848</v>
      </c>
      <c r="M2446" s="380" t="s">
        <v>443</v>
      </c>
      <c r="N2446" s="380" t="s">
        <v>443</v>
      </c>
      <c r="O2446" s="380" t="s">
        <v>443</v>
      </c>
      <c r="P2446" s="380" t="s">
        <v>443</v>
      </c>
      <c r="Q2446" s="381">
        <v>200</v>
      </c>
      <c r="R2446" s="381">
        <v>200</v>
      </c>
      <c r="S2446" s="381">
        <v>0.34</v>
      </c>
      <c r="T2446" s="381">
        <v>8.5999999999999993E-2</v>
      </c>
      <c r="U2446" s="381">
        <v>0</v>
      </c>
      <c r="V2446" s="382">
        <v>200.42600000000002</v>
      </c>
      <c r="W2446" s="382">
        <v>0</v>
      </c>
      <c r="X2446" s="381">
        <v>0.2</v>
      </c>
      <c r="Y2446" s="381">
        <v>0.2</v>
      </c>
      <c r="Z2446" s="381">
        <v>3.4000000000000002E-4</v>
      </c>
      <c r="AA2446" s="381">
        <v>8.599999999999999E-5</v>
      </c>
      <c r="AB2446" s="381">
        <v>0</v>
      </c>
      <c r="AC2446" s="382">
        <v>0.20042600000000002</v>
      </c>
      <c r="AD2446" s="382">
        <v>0</v>
      </c>
      <c r="AE2446" s="381" t="s">
        <v>168</v>
      </c>
    </row>
    <row r="2447" spans="1:31" ht="15" customHeight="1" x14ac:dyDescent="0.25">
      <c r="A2447" s="20" t="s">
        <v>3395</v>
      </c>
      <c r="B2447" s="20" t="s">
        <v>3396</v>
      </c>
      <c r="C2447" s="20" t="s">
        <v>3397</v>
      </c>
      <c r="D2447" s="378" t="s">
        <v>3450</v>
      </c>
      <c r="E2447" s="384">
        <v>45211</v>
      </c>
      <c r="F2447" s="384">
        <v>47037</v>
      </c>
      <c r="G2447" s="378" t="s">
        <v>2856</v>
      </c>
      <c r="H2447" s="20" t="s">
        <v>3447</v>
      </c>
      <c r="I2447" s="378">
        <v>0</v>
      </c>
      <c r="J2447" s="20" t="s">
        <v>2831</v>
      </c>
      <c r="K2447" s="378" t="s">
        <v>3448</v>
      </c>
      <c r="L2447" s="378" t="s">
        <v>2848</v>
      </c>
      <c r="M2447" s="380" t="s">
        <v>443</v>
      </c>
      <c r="N2447" s="380" t="s">
        <v>443</v>
      </c>
      <c r="O2447" s="380" t="s">
        <v>443</v>
      </c>
      <c r="P2447" s="380" t="s">
        <v>443</v>
      </c>
      <c r="Q2447" s="381">
        <v>200</v>
      </c>
      <c r="R2447" s="381">
        <v>200</v>
      </c>
      <c r="S2447" s="381">
        <v>0.34</v>
      </c>
      <c r="T2447" s="381">
        <v>8.5999999999999993E-2</v>
      </c>
      <c r="U2447" s="381">
        <v>0</v>
      </c>
      <c r="V2447" s="382">
        <v>200.42600000000002</v>
      </c>
      <c r="W2447" s="382">
        <v>0</v>
      </c>
      <c r="X2447" s="381">
        <v>0.2</v>
      </c>
      <c r="Y2447" s="381">
        <v>0.2</v>
      </c>
      <c r="Z2447" s="381">
        <v>3.4000000000000002E-4</v>
      </c>
      <c r="AA2447" s="381">
        <v>8.599999999999999E-5</v>
      </c>
      <c r="AB2447" s="381">
        <v>0</v>
      </c>
      <c r="AC2447" s="382">
        <v>0.20042600000000002</v>
      </c>
      <c r="AD2447" s="382">
        <v>0</v>
      </c>
      <c r="AE2447" s="381" t="s">
        <v>168</v>
      </c>
    </row>
    <row r="2448" spans="1:31" ht="15" customHeight="1" x14ac:dyDescent="0.25">
      <c r="A2448" s="20" t="s">
        <v>3395</v>
      </c>
      <c r="B2448" s="20" t="s">
        <v>3396</v>
      </c>
      <c r="C2448" s="20" t="s">
        <v>3397</v>
      </c>
      <c r="D2448" s="378" t="s">
        <v>3451</v>
      </c>
      <c r="E2448" s="384">
        <v>45211</v>
      </c>
      <c r="F2448" s="384">
        <v>47037</v>
      </c>
      <c r="G2448" s="378" t="s">
        <v>2856</v>
      </c>
      <c r="H2448" s="20" t="s">
        <v>3447</v>
      </c>
      <c r="I2448" s="378">
        <v>0</v>
      </c>
      <c r="J2448" s="20" t="s">
        <v>2831</v>
      </c>
      <c r="K2448" s="378" t="s">
        <v>3448</v>
      </c>
      <c r="L2448" s="378" t="s">
        <v>2848</v>
      </c>
      <c r="M2448" s="380" t="s">
        <v>443</v>
      </c>
      <c r="N2448" s="380" t="s">
        <v>443</v>
      </c>
      <c r="O2448" s="380" t="s">
        <v>443</v>
      </c>
      <c r="P2448" s="380" t="s">
        <v>443</v>
      </c>
      <c r="Q2448" s="381">
        <v>200</v>
      </c>
      <c r="R2448" s="381">
        <v>200</v>
      </c>
      <c r="S2448" s="381">
        <v>0.34</v>
      </c>
      <c r="T2448" s="381">
        <v>8.5999999999999993E-2</v>
      </c>
      <c r="U2448" s="381">
        <v>0</v>
      </c>
      <c r="V2448" s="382">
        <v>200.42600000000002</v>
      </c>
      <c r="W2448" s="382">
        <v>0</v>
      </c>
      <c r="X2448" s="381">
        <v>0.2</v>
      </c>
      <c r="Y2448" s="381">
        <v>0.2</v>
      </c>
      <c r="Z2448" s="381">
        <v>3.4000000000000002E-4</v>
      </c>
      <c r="AA2448" s="381">
        <v>8.599999999999999E-5</v>
      </c>
      <c r="AB2448" s="381">
        <v>0</v>
      </c>
      <c r="AC2448" s="382">
        <v>0.20042600000000002</v>
      </c>
      <c r="AD2448" s="382">
        <v>0</v>
      </c>
      <c r="AE2448" s="381" t="s">
        <v>168</v>
      </c>
    </row>
    <row r="2449" spans="1:31" ht="15" customHeight="1" x14ac:dyDescent="0.25">
      <c r="A2449" s="20" t="s">
        <v>3395</v>
      </c>
      <c r="B2449" s="20" t="s">
        <v>3396</v>
      </c>
      <c r="C2449" s="20" t="s">
        <v>3397</v>
      </c>
      <c r="D2449" s="378" t="s">
        <v>3452</v>
      </c>
      <c r="E2449" s="384">
        <v>45211</v>
      </c>
      <c r="F2449" s="384">
        <v>47037</v>
      </c>
      <c r="G2449" s="378" t="s">
        <v>2856</v>
      </c>
      <c r="H2449" s="20" t="s">
        <v>3447</v>
      </c>
      <c r="I2449" s="378">
        <v>0</v>
      </c>
      <c r="J2449" s="20" t="s">
        <v>2831</v>
      </c>
      <c r="K2449" s="378" t="s">
        <v>3448</v>
      </c>
      <c r="L2449" s="378" t="s">
        <v>2848</v>
      </c>
      <c r="M2449" s="380" t="s">
        <v>443</v>
      </c>
      <c r="N2449" s="380" t="s">
        <v>443</v>
      </c>
      <c r="O2449" s="380" t="s">
        <v>443</v>
      </c>
      <c r="P2449" s="380" t="s">
        <v>443</v>
      </c>
      <c r="Q2449" s="381">
        <v>200</v>
      </c>
      <c r="R2449" s="381">
        <v>200</v>
      </c>
      <c r="S2449" s="381">
        <v>0.34</v>
      </c>
      <c r="T2449" s="381">
        <v>8.5999999999999993E-2</v>
      </c>
      <c r="U2449" s="381">
        <v>0</v>
      </c>
      <c r="V2449" s="382">
        <v>200.42600000000002</v>
      </c>
      <c r="W2449" s="382">
        <v>0</v>
      </c>
      <c r="X2449" s="381">
        <v>0.2</v>
      </c>
      <c r="Y2449" s="381">
        <v>0.2</v>
      </c>
      <c r="Z2449" s="381">
        <v>3.4000000000000002E-4</v>
      </c>
      <c r="AA2449" s="381">
        <v>8.599999999999999E-5</v>
      </c>
      <c r="AB2449" s="381">
        <v>0</v>
      </c>
      <c r="AC2449" s="382">
        <v>0.20042600000000002</v>
      </c>
      <c r="AD2449" s="382">
        <v>0</v>
      </c>
      <c r="AE2449" s="381" t="s">
        <v>168</v>
      </c>
    </row>
    <row r="2450" spans="1:31" ht="15" customHeight="1" x14ac:dyDescent="0.25">
      <c r="A2450" s="20" t="s">
        <v>3395</v>
      </c>
      <c r="B2450" s="20" t="s">
        <v>3396</v>
      </c>
      <c r="C2450" s="20" t="s">
        <v>3397</v>
      </c>
      <c r="D2450" s="378" t="s">
        <v>3453</v>
      </c>
      <c r="E2450" s="384">
        <v>45211</v>
      </c>
      <c r="F2450" s="384">
        <v>47037</v>
      </c>
      <c r="G2450" s="378" t="s">
        <v>2856</v>
      </c>
      <c r="H2450" s="20" t="s">
        <v>3447</v>
      </c>
      <c r="I2450" s="378">
        <v>0</v>
      </c>
      <c r="J2450" s="20" t="s">
        <v>2831</v>
      </c>
      <c r="K2450" s="378" t="s">
        <v>3448</v>
      </c>
      <c r="L2450" s="378" t="s">
        <v>2848</v>
      </c>
      <c r="M2450" s="380" t="s">
        <v>443</v>
      </c>
      <c r="N2450" s="380" t="s">
        <v>443</v>
      </c>
      <c r="O2450" s="380" t="s">
        <v>443</v>
      </c>
      <c r="P2450" s="380" t="s">
        <v>443</v>
      </c>
      <c r="Q2450" s="381">
        <v>200</v>
      </c>
      <c r="R2450" s="381">
        <v>200</v>
      </c>
      <c r="S2450" s="381">
        <v>0.34</v>
      </c>
      <c r="T2450" s="381">
        <v>8.5999999999999993E-2</v>
      </c>
      <c r="U2450" s="381">
        <v>0</v>
      </c>
      <c r="V2450" s="382">
        <v>200.42600000000002</v>
      </c>
      <c r="W2450" s="382">
        <v>0</v>
      </c>
      <c r="X2450" s="381">
        <v>0.2</v>
      </c>
      <c r="Y2450" s="381">
        <v>0.2</v>
      </c>
      <c r="Z2450" s="381">
        <v>3.4000000000000002E-4</v>
      </c>
      <c r="AA2450" s="381">
        <v>8.599999999999999E-5</v>
      </c>
      <c r="AB2450" s="381">
        <v>0</v>
      </c>
      <c r="AC2450" s="382">
        <v>0.20042600000000002</v>
      </c>
      <c r="AD2450" s="382">
        <v>0</v>
      </c>
      <c r="AE2450" s="381" t="s">
        <v>168</v>
      </c>
    </row>
    <row r="2451" spans="1:31" ht="15" customHeight="1" x14ac:dyDescent="0.25">
      <c r="A2451" s="20" t="s">
        <v>3395</v>
      </c>
      <c r="B2451" s="20" t="s">
        <v>3396</v>
      </c>
      <c r="C2451" s="20" t="s">
        <v>3397</v>
      </c>
      <c r="D2451" s="378" t="s">
        <v>3454</v>
      </c>
      <c r="E2451" s="384">
        <v>45211</v>
      </c>
      <c r="F2451" s="384">
        <v>47037</v>
      </c>
      <c r="G2451" s="378" t="s">
        <v>2856</v>
      </c>
      <c r="H2451" s="20" t="s">
        <v>3447</v>
      </c>
      <c r="I2451" s="378">
        <v>0</v>
      </c>
      <c r="J2451" s="20" t="s">
        <v>2831</v>
      </c>
      <c r="K2451" s="378" t="s">
        <v>3448</v>
      </c>
      <c r="L2451" s="378" t="s">
        <v>2848</v>
      </c>
      <c r="M2451" s="380" t="s">
        <v>443</v>
      </c>
      <c r="N2451" s="380" t="s">
        <v>443</v>
      </c>
      <c r="O2451" s="380" t="s">
        <v>443</v>
      </c>
      <c r="P2451" s="380" t="s">
        <v>443</v>
      </c>
      <c r="Q2451" s="381">
        <v>200</v>
      </c>
      <c r="R2451" s="381">
        <v>200</v>
      </c>
      <c r="S2451" s="381">
        <v>0.34</v>
      </c>
      <c r="T2451" s="381">
        <v>8.5999999999999993E-2</v>
      </c>
      <c r="U2451" s="381">
        <v>0</v>
      </c>
      <c r="V2451" s="382">
        <v>200.42600000000002</v>
      </c>
      <c r="W2451" s="382">
        <v>0</v>
      </c>
      <c r="X2451" s="381">
        <v>0.2</v>
      </c>
      <c r="Y2451" s="381">
        <v>0.2</v>
      </c>
      <c r="Z2451" s="381">
        <v>3.4000000000000002E-4</v>
      </c>
      <c r="AA2451" s="381">
        <v>8.599999999999999E-5</v>
      </c>
      <c r="AB2451" s="381">
        <v>0</v>
      </c>
      <c r="AC2451" s="382">
        <v>0.20042600000000002</v>
      </c>
      <c r="AD2451" s="382">
        <v>0</v>
      </c>
      <c r="AE2451" s="381" t="s">
        <v>168</v>
      </c>
    </row>
    <row r="2452" spans="1:31" ht="15" customHeight="1" x14ac:dyDescent="0.25">
      <c r="A2452" s="20" t="s">
        <v>3395</v>
      </c>
      <c r="B2452" s="20" t="s">
        <v>3396</v>
      </c>
      <c r="C2452" s="20" t="s">
        <v>3397</v>
      </c>
      <c r="D2452" s="378" t="s">
        <v>3455</v>
      </c>
      <c r="E2452" s="384">
        <v>45211</v>
      </c>
      <c r="F2452" s="384">
        <v>47037</v>
      </c>
      <c r="G2452" s="378" t="s">
        <v>2856</v>
      </c>
      <c r="H2452" s="20" t="s">
        <v>3456</v>
      </c>
      <c r="I2452" s="378">
        <v>0</v>
      </c>
      <c r="J2452" s="20" t="s">
        <v>2831</v>
      </c>
      <c r="K2452" s="378" t="s">
        <v>3457</v>
      </c>
      <c r="L2452" s="378" t="s">
        <v>2848</v>
      </c>
      <c r="M2452" s="380" t="s">
        <v>443</v>
      </c>
      <c r="N2452" s="380" t="s">
        <v>443</v>
      </c>
      <c r="O2452" s="380" t="s">
        <v>443</v>
      </c>
      <c r="P2452" s="380" t="s">
        <v>443</v>
      </c>
      <c r="Q2452" s="381">
        <v>380</v>
      </c>
      <c r="R2452" s="381">
        <v>380</v>
      </c>
      <c r="S2452" s="381">
        <v>0.39</v>
      </c>
      <c r="T2452" s="381">
        <v>7.0000000000000007E-2</v>
      </c>
      <c r="U2452" s="381">
        <v>0</v>
      </c>
      <c r="V2452" s="382">
        <v>380.46</v>
      </c>
      <c r="W2452" s="382">
        <v>0</v>
      </c>
      <c r="X2452" s="381">
        <v>0.38</v>
      </c>
      <c r="Y2452" s="381">
        <v>0.38</v>
      </c>
      <c r="Z2452" s="381">
        <v>3.8999999999999999E-4</v>
      </c>
      <c r="AA2452" s="381">
        <v>7.0000000000000007E-5</v>
      </c>
      <c r="AB2452" s="381">
        <v>0</v>
      </c>
      <c r="AC2452" s="382">
        <v>0.38046000000000002</v>
      </c>
      <c r="AD2452" s="382">
        <v>0</v>
      </c>
      <c r="AE2452" s="381" t="s">
        <v>168</v>
      </c>
    </row>
    <row r="2453" spans="1:31" ht="15" customHeight="1" x14ac:dyDescent="0.25">
      <c r="A2453" s="20" t="s">
        <v>3395</v>
      </c>
      <c r="B2453" s="20" t="s">
        <v>3396</v>
      </c>
      <c r="C2453" s="20" t="s">
        <v>3397</v>
      </c>
      <c r="D2453" s="378" t="s">
        <v>3458</v>
      </c>
      <c r="E2453" s="384">
        <v>45211</v>
      </c>
      <c r="F2453" s="384">
        <v>47037</v>
      </c>
      <c r="G2453" s="378" t="s">
        <v>2856</v>
      </c>
      <c r="H2453" s="20" t="s">
        <v>3456</v>
      </c>
      <c r="I2453" s="378">
        <v>0</v>
      </c>
      <c r="J2453" s="20" t="s">
        <v>2831</v>
      </c>
      <c r="K2453" s="378" t="s">
        <v>3457</v>
      </c>
      <c r="L2453" s="378" t="s">
        <v>2848</v>
      </c>
      <c r="M2453" s="380" t="s">
        <v>443</v>
      </c>
      <c r="N2453" s="380" t="s">
        <v>443</v>
      </c>
      <c r="O2453" s="380" t="s">
        <v>443</v>
      </c>
      <c r="P2453" s="380" t="s">
        <v>443</v>
      </c>
      <c r="Q2453" s="381">
        <v>380</v>
      </c>
      <c r="R2453" s="381">
        <v>380</v>
      </c>
      <c r="S2453" s="381">
        <v>0.39</v>
      </c>
      <c r="T2453" s="381">
        <v>7.0000000000000007E-2</v>
      </c>
      <c r="U2453" s="381">
        <v>0</v>
      </c>
      <c r="V2453" s="382">
        <v>380.46</v>
      </c>
      <c r="W2453" s="382">
        <v>0</v>
      </c>
      <c r="X2453" s="381">
        <v>0.38</v>
      </c>
      <c r="Y2453" s="381">
        <v>0.38</v>
      </c>
      <c r="Z2453" s="381">
        <v>3.8999999999999999E-4</v>
      </c>
      <c r="AA2453" s="381">
        <v>7.0000000000000007E-5</v>
      </c>
      <c r="AB2453" s="381">
        <v>0</v>
      </c>
      <c r="AC2453" s="382">
        <v>0.38046000000000002</v>
      </c>
      <c r="AD2453" s="382">
        <v>0</v>
      </c>
      <c r="AE2453" s="381" t="s">
        <v>168</v>
      </c>
    </row>
    <row r="2454" spans="1:31" ht="15" customHeight="1" x14ac:dyDescent="0.25">
      <c r="A2454" s="20" t="s">
        <v>3395</v>
      </c>
      <c r="B2454" s="20" t="s">
        <v>3396</v>
      </c>
      <c r="C2454" s="20" t="s">
        <v>3397</v>
      </c>
      <c r="D2454" s="378" t="s">
        <v>3459</v>
      </c>
      <c r="E2454" s="384">
        <v>45211</v>
      </c>
      <c r="F2454" s="384">
        <v>47037</v>
      </c>
      <c r="G2454" s="378" t="s">
        <v>2856</v>
      </c>
      <c r="H2454" s="20" t="s">
        <v>3456</v>
      </c>
      <c r="I2454" s="378">
        <v>0</v>
      </c>
      <c r="J2454" s="20" t="s">
        <v>2831</v>
      </c>
      <c r="K2454" s="378" t="s">
        <v>3457</v>
      </c>
      <c r="L2454" s="378" t="s">
        <v>2848</v>
      </c>
      <c r="M2454" s="380" t="s">
        <v>443</v>
      </c>
      <c r="N2454" s="380" t="s">
        <v>443</v>
      </c>
      <c r="O2454" s="380" t="s">
        <v>443</v>
      </c>
      <c r="P2454" s="380" t="s">
        <v>443</v>
      </c>
      <c r="Q2454" s="381">
        <v>380</v>
      </c>
      <c r="R2454" s="381">
        <v>380</v>
      </c>
      <c r="S2454" s="381">
        <v>0.39</v>
      </c>
      <c r="T2454" s="381">
        <v>7.0000000000000007E-2</v>
      </c>
      <c r="U2454" s="381">
        <v>0</v>
      </c>
      <c r="V2454" s="382">
        <v>380.46</v>
      </c>
      <c r="W2454" s="382">
        <v>0</v>
      </c>
      <c r="X2454" s="381">
        <v>0.38</v>
      </c>
      <c r="Y2454" s="381">
        <v>0.38</v>
      </c>
      <c r="Z2454" s="381">
        <v>3.8999999999999999E-4</v>
      </c>
      <c r="AA2454" s="381">
        <v>7.0000000000000007E-5</v>
      </c>
      <c r="AB2454" s="381">
        <v>0</v>
      </c>
      <c r="AC2454" s="382">
        <v>0.38046000000000002</v>
      </c>
      <c r="AD2454" s="382">
        <v>0</v>
      </c>
      <c r="AE2454" s="381" t="s">
        <v>168</v>
      </c>
    </row>
    <row r="2455" spans="1:31" ht="15" customHeight="1" x14ac:dyDescent="0.25">
      <c r="A2455" s="20" t="s">
        <v>3395</v>
      </c>
      <c r="B2455" s="20" t="s">
        <v>3396</v>
      </c>
      <c r="C2455" s="20" t="s">
        <v>3397</v>
      </c>
      <c r="D2455" s="378" t="s">
        <v>3460</v>
      </c>
      <c r="E2455" s="384">
        <v>45211</v>
      </c>
      <c r="F2455" s="384">
        <v>47037</v>
      </c>
      <c r="G2455" s="378" t="s">
        <v>2856</v>
      </c>
      <c r="H2455" s="20" t="s">
        <v>3461</v>
      </c>
      <c r="I2455" s="378">
        <v>0</v>
      </c>
      <c r="J2455" s="20" t="s">
        <v>2831</v>
      </c>
      <c r="K2455" s="378" t="s">
        <v>3462</v>
      </c>
      <c r="L2455" s="378" t="s">
        <v>2848</v>
      </c>
      <c r="M2455" s="380" t="s">
        <v>443</v>
      </c>
      <c r="N2455" s="380" t="s">
        <v>443</v>
      </c>
      <c r="O2455" s="380" t="s">
        <v>443</v>
      </c>
      <c r="P2455" s="380" t="s">
        <v>443</v>
      </c>
      <c r="Q2455" s="381">
        <v>310</v>
      </c>
      <c r="R2455" s="381">
        <v>310</v>
      </c>
      <c r="S2455" s="381">
        <v>3.7999999999999999E-2</v>
      </c>
      <c r="T2455" s="381">
        <v>8.3000000000000004E-2</v>
      </c>
      <c r="U2455" s="381">
        <v>0</v>
      </c>
      <c r="V2455" s="382">
        <v>310.12100000000004</v>
      </c>
      <c r="W2455" s="382">
        <v>0</v>
      </c>
      <c r="X2455" s="381">
        <v>0.31</v>
      </c>
      <c r="Y2455" s="381">
        <v>0.31</v>
      </c>
      <c r="Z2455" s="381">
        <v>3.8000000000000002E-5</v>
      </c>
      <c r="AA2455" s="381">
        <v>8.2999999999999998E-5</v>
      </c>
      <c r="AB2455" s="381">
        <v>0</v>
      </c>
      <c r="AC2455" s="382">
        <v>0.31012099999999998</v>
      </c>
      <c r="AD2455" s="382">
        <v>0</v>
      </c>
      <c r="AE2455" s="381" t="s">
        <v>168</v>
      </c>
    </row>
    <row r="2456" spans="1:31" ht="15" customHeight="1" x14ac:dyDescent="0.25">
      <c r="A2456" s="20" t="s">
        <v>3395</v>
      </c>
      <c r="B2456" s="20" t="s">
        <v>3396</v>
      </c>
      <c r="C2456" s="20" t="s">
        <v>3397</v>
      </c>
      <c r="D2456" s="378" t="s">
        <v>3463</v>
      </c>
      <c r="E2456" s="384">
        <v>45211</v>
      </c>
      <c r="F2456" s="384">
        <v>47037</v>
      </c>
      <c r="G2456" s="378" t="s">
        <v>2856</v>
      </c>
      <c r="H2456" s="20" t="s">
        <v>3461</v>
      </c>
      <c r="I2456" s="378">
        <v>0</v>
      </c>
      <c r="J2456" s="20" t="s">
        <v>2831</v>
      </c>
      <c r="K2456" s="378" t="s">
        <v>3462</v>
      </c>
      <c r="L2456" s="378" t="s">
        <v>2848</v>
      </c>
      <c r="M2456" s="380" t="s">
        <v>443</v>
      </c>
      <c r="N2456" s="380" t="s">
        <v>443</v>
      </c>
      <c r="O2456" s="380" t="s">
        <v>443</v>
      </c>
      <c r="P2456" s="380" t="s">
        <v>443</v>
      </c>
      <c r="Q2456" s="381">
        <v>310</v>
      </c>
      <c r="R2456" s="381">
        <v>310</v>
      </c>
      <c r="S2456" s="381">
        <v>3.7999999999999999E-2</v>
      </c>
      <c r="T2456" s="381">
        <v>8.3000000000000004E-2</v>
      </c>
      <c r="U2456" s="381">
        <v>0</v>
      </c>
      <c r="V2456" s="382">
        <v>310.12100000000004</v>
      </c>
      <c r="W2456" s="382">
        <v>0</v>
      </c>
      <c r="X2456" s="381">
        <v>0.31</v>
      </c>
      <c r="Y2456" s="381">
        <v>0.31</v>
      </c>
      <c r="Z2456" s="381">
        <v>3.8000000000000002E-5</v>
      </c>
      <c r="AA2456" s="381">
        <v>8.2999999999999998E-5</v>
      </c>
      <c r="AB2456" s="381">
        <v>0</v>
      </c>
      <c r="AC2456" s="382">
        <v>0.31012099999999998</v>
      </c>
      <c r="AD2456" s="382">
        <v>0</v>
      </c>
      <c r="AE2456" s="381" t="s">
        <v>168</v>
      </c>
    </row>
    <row r="2457" spans="1:31" ht="15" customHeight="1" x14ac:dyDescent="0.25">
      <c r="A2457" s="20" t="s">
        <v>3395</v>
      </c>
      <c r="B2457" s="20" t="s">
        <v>3396</v>
      </c>
      <c r="C2457" s="20" t="s">
        <v>3397</v>
      </c>
      <c r="D2457" s="378" t="s">
        <v>3464</v>
      </c>
      <c r="E2457" s="384">
        <v>44960</v>
      </c>
      <c r="F2457" s="384">
        <v>46785</v>
      </c>
      <c r="G2457" s="378" t="s">
        <v>2837</v>
      </c>
      <c r="H2457" s="20" t="s">
        <v>3465</v>
      </c>
      <c r="I2457" s="378">
        <v>0</v>
      </c>
      <c r="J2457" s="20" t="s">
        <v>2831</v>
      </c>
      <c r="K2457" s="378" t="s">
        <v>3466</v>
      </c>
      <c r="L2457" s="378" t="s">
        <v>2848</v>
      </c>
      <c r="M2457" s="380" t="s">
        <v>443</v>
      </c>
      <c r="N2457" s="380" t="s">
        <v>443</v>
      </c>
      <c r="O2457" s="380" t="s">
        <v>443</v>
      </c>
      <c r="P2457" s="380" t="s">
        <v>443</v>
      </c>
      <c r="Q2457" s="381">
        <v>47.9</v>
      </c>
      <c r="R2457" s="381">
        <v>47.4</v>
      </c>
      <c r="S2457" s="381">
        <v>0.42399999999999999</v>
      </c>
      <c r="T2457" s="381">
        <v>8.09E-3</v>
      </c>
      <c r="U2457" s="381">
        <v>0</v>
      </c>
      <c r="V2457" s="382">
        <v>47.832090000000001</v>
      </c>
      <c r="W2457" s="382">
        <v>0</v>
      </c>
      <c r="X2457" s="381">
        <v>4.7899999999999998E-2</v>
      </c>
      <c r="Y2457" s="381">
        <v>4.7399999999999998E-2</v>
      </c>
      <c r="Z2457" s="381">
        <v>4.2400000000000001E-4</v>
      </c>
      <c r="AA2457" s="381">
        <v>8.0900000000000005E-6</v>
      </c>
      <c r="AB2457" s="381">
        <v>0</v>
      </c>
      <c r="AC2457" s="382">
        <v>4.7832090000000001E-2</v>
      </c>
      <c r="AD2457" s="382">
        <v>0</v>
      </c>
      <c r="AE2457" s="381" t="s">
        <v>168</v>
      </c>
    </row>
    <row r="2458" spans="1:31" ht="15" customHeight="1" x14ac:dyDescent="0.25">
      <c r="A2458" s="20" t="s">
        <v>3395</v>
      </c>
      <c r="B2458" s="20" t="s">
        <v>3396</v>
      </c>
      <c r="C2458" s="20" t="s">
        <v>3397</v>
      </c>
      <c r="D2458" s="378" t="s">
        <v>3467</v>
      </c>
      <c r="E2458" s="384">
        <v>44960</v>
      </c>
      <c r="F2458" s="384">
        <v>46785</v>
      </c>
      <c r="G2458" s="378" t="s">
        <v>2837</v>
      </c>
      <c r="H2458" s="20" t="s">
        <v>3465</v>
      </c>
      <c r="I2458" s="378">
        <v>0</v>
      </c>
      <c r="J2458" s="20" t="s">
        <v>2831</v>
      </c>
      <c r="K2458" s="378" t="s">
        <v>3466</v>
      </c>
      <c r="L2458" s="378" t="s">
        <v>2848</v>
      </c>
      <c r="M2458" s="380" t="s">
        <v>443</v>
      </c>
      <c r="N2458" s="380" t="s">
        <v>443</v>
      </c>
      <c r="O2458" s="380" t="s">
        <v>443</v>
      </c>
      <c r="P2458" s="380" t="s">
        <v>443</v>
      </c>
      <c r="Q2458" s="381">
        <v>47.9</v>
      </c>
      <c r="R2458" s="381">
        <v>47.4</v>
      </c>
      <c r="S2458" s="381">
        <v>0.42399999999999999</v>
      </c>
      <c r="T2458" s="381">
        <v>8.09E-3</v>
      </c>
      <c r="U2458" s="381">
        <v>0</v>
      </c>
      <c r="V2458" s="382">
        <v>47.832090000000001</v>
      </c>
      <c r="W2458" s="382">
        <v>0</v>
      </c>
      <c r="X2458" s="381">
        <v>4.7899999999999998E-2</v>
      </c>
      <c r="Y2458" s="381">
        <v>4.7399999999999998E-2</v>
      </c>
      <c r="Z2458" s="381">
        <v>4.2400000000000001E-4</v>
      </c>
      <c r="AA2458" s="381">
        <v>8.0900000000000005E-6</v>
      </c>
      <c r="AB2458" s="381">
        <v>0</v>
      </c>
      <c r="AC2458" s="382">
        <v>4.7832090000000001E-2</v>
      </c>
      <c r="AD2458" s="382">
        <v>0</v>
      </c>
      <c r="AE2458" s="381" t="s">
        <v>168</v>
      </c>
    </row>
    <row r="2459" spans="1:31" ht="15" customHeight="1" x14ac:dyDescent="0.25">
      <c r="A2459" s="20" t="s">
        <v>3395</v>
      </c>
      <c r="B2459" s="20" t="s">
        <v>3396</v>
      </c>
      <c r="C2459" s="20" t="s">
        <v>3397</v>
      </c>
      <c r="D2459" s="378" t="s">
        <v>3468</v>
      </c>
      <c r="E2459" s="384">
        <v>44960</v>
      </c>
      <c r="F2459" s="384">
        <v>46785</v>
      </c>
      <c r="G2459" s="378" t="s">
        <v>2837</v>
      </c>
      <c r="H2459" s="20" t="s">
        <v>3465</v>
      </c>
      <c r="I2459" s="378">
        <v>0</v>
      </c>
      <c r="J2459" s="20" t="s">
        <v>2831</v>
      </c>
      <c r="K2459" s="378" t="s">
        <v>3466</v>
      </c>
      <c r="L2459" s="378" t="s">
        <v>2848</v>
      </c>
      <c r="M2459" s="380" t="s">
        <v>443</v>
      </c>
      <c r="N2459" s="380" t="s">
        <v>443</v>
      </c>
      <c r="O2459" s="380" t="s">
        <v>443</v>
      </c>
      <c r="P2459" s="380" t="s">
        <v>443</v>
      </c>
      <c r="Q2459" s="381">
        <v>47.9</v>
      </c>
      <c r="R2459" s="381">
        <v>47.4</v>
      </c>
      <c r="S2459" s="381">
        <v>0.42399999999999999</v>
      </c>
      <c r="T2459" s="381">
        <v>8.09E-3</v>
      </c>
      <c r="U2459" s="381">
        <v>0</v>
      </c>
      <c r="V2459" s="382">
        <v>47.832090000000001</v>
      </c>
      <c r="W2459" s="382">
        <v>0</v>
      </c>
      <c r="X2459" s="381">
        <v>4.7899999999999998E-2</v>
      </c>
      <c r="Y2459" s="381">
        <v>4.7399999999999998E-2</v>
      </c>
      <c r="Z2459" s="381">
        <v>4.2400000000000001E-4</v>
      </c>
      <c r="AA2459" s="381">
        <v>8.0900000000000005E-6</v>
      </c>
      <c r="AB2459" s="381">
        <v>0</v>
      </c>
      <c r="AC2459" s="382">
        <v>4.7832090000000001E-2</v>
      </c>
      <c r="AD2459" s="382">
        <v>0</v>
      </c>
      <c r="AE2459" s="381" t="s">
        <v>168</v>
      </c>
    </row>
    <row r="2460" spans="1:31" ht="15" customHeight="1" x14ac:dyDescent="0.25">
      <c r="A2460" s="20" t="s">
        <v>3395</v>
      </c>
      <c r="B2460" s="20" t="s">
        <v>3396</v>
      </c>
      <c r="C2460" s="20" t="s">
        <v>3397</v>
      </c>
      <c r="D2460" s="378" t="s">
        <v>3469</v>
      </c>
      <c r="E2460" s="384">
        <v>45622</v>
      </c>
      <c r="F2460" s="384">
        <v>47448</v>
      </c>
      <c r="G2460" s="378" t="s">
        <v>439</v>
      </c>
      <c r="H2460" s="20" t="s">
        <v>3470</v>
      </c>
      <c r="I2460" s="378" t="s">
        <v>441</v>
      </c>
      <c r="J2460" s="20" t="s">
        <v>163</v>
      </c>
      <c r="K2460" s="378" t="s">
        <v>3471</v>
      </c>
      <c r="L2460" s="378" t="s">
        <v>2848</v>
      </c>
      <c r="M2460" s="380" t="s">
        <v>443</v>
      </c>
      <c r="N2460" s="380" t="s">
        <v>443</v>
      </c>
      <c r="O2460" s="380" t="s">
        <v>443</v>
      </c>
      <c r="P2460" s="380" t="s">
        <v>443</v>
      </c>
      <c r="Q2460" s="381">
        <v>387</v>
      </c>
      <c r="R2460" s="381">
        <v>0</v>
      </c>
      <c r="S2460" s="381">
        <v>0</v>
      </c>
      <c r="T2460" s="381">
        <v>0</v>
      </c>
      <c r="U2460" s="381">
        <v>0</v>
      </c>
      <c r="V2460" s="382">
        <v>387</v>
      </c>
      <c r="W2460" s="382">
        <v>0</v>
      </c>
      <c r="X2460" s="381">
        <v>0.38700000000000001</v>
      </c>
      <c r="Y2460" s="381">
        <v>0</v>
      </c>
      <c r="Z2460" s="381">
        <v>0</v>
      </c>
      <c r="AA2460" s="381">
        <v>0</v>
      </c>
      <c r="AB2460" s="381">
        <v>0</v>
      </c>
      <c r="AC2460" s="382">
        <v>0.38700000000000001</v>
      </c>
      <c r="AD2460" s="382">
        <v>0</v>
      </c>
      <c r="AE2460" s="381" t="s">
        <v>444</v>
      </c>
    </row>
    <row r="2461" spans="1:31" ht="15" customHeight="1" x14ac:dyDescent="0.25">
      <c r="A2461" s="20" t="s">
        <v>3395</v>
      </c>
      <c r="B2461" s="20" t="s">
        <v>3396</v>
      </c>
      <c r="C2461" s="20" t="s">
        <v>3397</v>
      </c>
      <c r="D2461" s="378" t="s">
        <v>3472</v>
      </c>
      <c r="E2461" s="384">
        <v>45622</v>
      </c>
      <c r="F2461" s="384">
        <v>47448</v>
      </c>
      <c r="G2461" s="378" t="s">
        <v>439</v>
      </c>
      <c r="H2461" s="20" t="s">
        <v>3473</v>
      </c>
      <c r="I2461" s="378" t="s">
        <v>441</v>
      </c>
      <c r="J2461" s="20" t="s">
        <v>163</v>
      </c>
      <c r="K2461" s="378" t="s">
        <v>3474</v>
      </c>
      <c r="L2461" s="378" t="s">
        <v>2848</v>
      </c>
      <c r="M2461" s="380" t="s">
        <v>443</v>
      </c>
      <c r="N2461" s="380" t="s">
        <v>443</v>
      </c>
      <c r="O2461" s="380" t="s">
        <v>443</v>
      </c>
      <c r="P2461" s="380" t="s">
        <v>443</v>
      </c>
      <c r="Q2461" s="381">
        <v>254</v>
      </c>
      <c r="R2461" s="381">
        <v>0</v>
      </c>
      <c r="S2461" s="381">
        <v>0</v>
      </c>
      <c r="T2461" s="381">
        <v>0</v>
      </c>
      <c r="U2461" s="381">
        <v>0</v>
      </c>
      <c r="V2461" s="382">
        <v>254</v>
      </c>
      <c r="W2461" s="382">
        <v>0</v>
      </c>
      <c r="X2461" s="381">
        <v>0.254</v>
      </c>
      <c r="Y2461" s="381">
        <v>0</v>
      </c>
      <c r="Z2461" s="381">
        <v>0</v>
      </c>
      <c r="AA2461" s="381">
        <v>0</v>
      </c>
      <c r="AB2461" s="381">
        <v>0</v>
      </c>
      <c r="AC2461" s="382">
        <v>0.254</v>
      </c>
      <c r="AD2461" s="382">
        <v>0</v>
      </c>
      <c r="AE2461" s="381" t="s">
        <v>444</v>
      </c>
    </row>
    <row r="2462" spans="1:31" ht="15" customHeight="1" x14ac:dyDescent="0.25">
      <c r="A2462" s="20" t="s">
        <v>3395</v>
      </c>
      <c r="B2462" s="20" t="s">
        <v>3396</v>
      </c>
      <c r="C2462" s="20" t="s">
        <v>3397</v>
      </c>
      <c r="D2462" s="378" t="s">
        <v>3475</v>
      </c>
      <c r="E2462" s="384">
        <v>45622</v>
      </c>
      <c r="F2462" s="384">
        <v>47448</v>
      </c>
      <c r="G2462" s="378" t="s">
        <v>439</v>
      </c>
      <c r="H2462" s="20" t="s">
        <v>3476</v>
      </c>
      <c r="I2462" s="378" t="s">
        <v>441</v>
      </c>
      <c r="J2462" s="20" t="s">
        <v>163</v>
      </c>
      <c r="K2462" s="378" t="s">
        <v>3477</v>
      </c>
      <c r="L2462" s="378" t="s">
        <v>2848</v>
      </c>
      <c r="M2462" s="380" t="s">
        <v>443</v>
      </c>
      <c r="N2462" s="380" t="s">
        <v>443</v>
      </c>
      <c r="O2462" s="380" t="s">
        <v>443</v>
      </c>
      <c r="P2462" s="380" t="s">
        <v>443</v>
      </c>
      <c r="Q2462" s="381">
        <v>255</v>
      </c>
      <c r="R2462" s="381">
        <v>0</v>
      </c>
      <c r="S2462" s="381">
        <v>0</v>
      </c>
      <c r="T2462" s="381">
        <v>0</v>
      </c>
      <c r="U2462" s="381">
        <v>0</v>
      </c>
      <c r="V2462" s="382">
        <v>255</v>
      </c>
      <c r="W2462" s="382">
        <v>0</v>
      </c>
      <c r="X2462" s="381">
        <v>0.255</v>
      </c>
      <c r="Y2462" s="381">
        <v>0</v>
      </c>
      <c r="Z2462" s="381">
        <v>0</v>
      </c>
      <c r="AA2462" s="381">
        <v>0</v>
      </c>
      <c r="AB2462" s="381">
        <v>0</v>
      </c>
      <c r="AC2462" s="382">
        <v>0.255</v>
      </c>
      <c r="AD2462" s="382">
        <v>0</v>
      </c>
      <c r="AE2462" s="381" t="s">
        <v>444</v>
      </c>
    </row>
    <row r="2463" spans="1:31" ht="15" customHeight="1" x14ac:dyDescent="0.25">
      <c r="A2463" s="20" t="s">
        <v>3395</v>
      </c>
      <c r="B2463" s="20" t="s">
        <v>3396</v>
      </c>
      <c r="C2463" s="20" t="s">
        <v>3397</v>
      </c>
      <c r="D2463" s="378" t="s">
        <v>3478</v>
      </c>
      <c r="E2463" s="384">
        <v>45622</v>
      </c>
      <c r="F2463" s="384">
        <v>47448</v>
      </c>
      <c r="G2463" s="378" t="s">
        <v>439</v>
      </c>
      <c r="H2463" s="20" t="s">
        <v>3479</v>
      </c>
      <c r="I2463" s="378" t="s">
        <v>441</v>
      </c>
      <c r="J2463" s="20" t="s">
        <v>163</v>
      </c>
      <c r="K2463" s="378" t="s">
        <v>3480</v>
      </c>
      <c r="L2463" s="378" t="s">
        <v>2848</v>
      </c>
      <c r="M2463" s="380" t="s">
        <v>443</v>
      </c>
      <c r="N2463" s="380" t="s">
        <v>443</v>
      </c>
      <c r="O2463" s="380" t="s">
        <v>443</v>
      </c>
      <c r="P2463" s="380" t="s">
        <v>443</v>
      </c>
      <c r="Q2463" s="381">
        <v>158</v>
      </c>
      <c r="R2463" s="381">
        <v>0</v>
      </c>
      <c r="S2463" s="381">
        <v>0</v>
      </c>
      <c r="T2463" s="381">
        <v>0</v>
      </c>
      <c r="U2463" s="381">
        <v>0</v>
      </c>
      <c r="V2463" s="382">
        <v>158</v>
      </c>
      <c r="W2463" s="382">
        <v>0</v>
      </c>
      <c r="X2463" s="381">
        <v>0.158</v>
      </c>
      <c r="Y2463" s="381">
        <v>0</v>
      </c>
      <c r="Z2463" s="381">
        <v>0</v>
      </c>
      <c r="AA2463" s="381">
        <v>0</v>
      </c>
      <c r="AB2463" s="381">
        <v>0</v>
      </c>
      <c r="AC2463" s="382">
        <v>0.158</v>
      </c>
      <c r="AD2463" s="382">
        <v>0</v>
      </c>
      <c r="AE2463" s="381" t="s">
        <v>444</v>
      </c>
    </row>
    <row r="2464" spans="1:31" ht="15" customHeight="1" x14ac:dyDescent="0.25">
      <c r="A2464" s="20" t="s">
        <v>3395</v>
      </c>
      <c r="B2464" s="20" t="s">
        <v>3396</v>
      </c>
      <c r="C2464" s="20" t="s">
        <v>3397</v>
      </c>
      <c r="D2464" s="378" t="s">
        <v>3481</v>
      </c>
      <c r="E2464" s="384">
        <v>45622</v>
      </c>
      <c r="F2464" s="384">
        <v>47448</v>
      </c>
      <c r="G2464" s="378" t="s">
        <v>439</v>
      </c>
      <c r="H2464" s="20" t="s">
        <v>3482</v>
      </c>
      <c r="I2464" s="378" t="s">
        <v>441</v>
      </c>
      <c r="J2464" s="20" t="s">
        <v>163</v>
      </c>
      <c r="K2464" s="378" t="s">
        <v>3483</v>
      </c>
      <c r="L2464" s="378" t="s">
        <v>2848</v>
      </c>
      <c r="M2464" s="380" t="s">
        <v>443</v>
      </c>
      <c r="N2464" s="380" t="s">
        <v>443</v>
      </c>
      <c r="O2464" s="380" t="s">
        <v>443</v>
      </c>
      <c r="P2464" s="380" t="s">
        <v>443</v>
      </c>
      <c r="Q2464" s="381">
        <v>342</v>
      </c>
      <c r="R2464" s="381">
        <v>0</v>
      </c>
      <c r="S2464" s="381">
        <v>0</v>
      </c>
      <c r="T2464" s="381">
        <v>0</v>
      </c>
      <c r="U2464" s="381">
        <v>0</v>
      </c>
      <c r="V2464" s="382">
        <v>342</v>
      </c>
      <c r="W2464" s="382">
        <v>0</v>
      </c>
      <c r="X2464" s="381">
        <v>0.34200000000000003</v>
      </c>
      <c r="Y2464" s="381">
        <v>0</v>
      </c>
      <c r="Z2464" s="381">
        <v>0</v>
      </c>
      <c r="AA2464" s="381">
        <v>0</v>
      </c>
      <c r="AB2464" s="381">
        <v>0</v>
      </c>
      <c r="AC2464" s="382">
        <v>0.34200000000000003</v>
      </c>
      <c r="AD2464" s="382">
        <v>0</v>
      </c>
      <c r="AE2464" s="381" t="s">
        <v>444</v>
      </c>
    </row>
    <row r="2465" spans="1:31" ht="15" customHeight="1" x14ac:dyDescent="0.25">
      <c r="A2465" s="20" t="s">
        <v>3395</v>
      </c>
      <c r="B2465" s="20" t="s">
        <v>3396</v>
      </c>
      <c r="C2465" s="20" t="s">
        <v>3397</v>
      </c>
      <c r="D2465" s="378" t="s">
        <v>3484</v>
      </c>
      <c r="E2465" s="384">
        <v>45622</v>
      </c>
      <c r="F2465" s="384">
        <v>47448</v>
      </c>
      <c r="G2465" s="378" t="s">
        <v>439</v>
      </c>
      <c r="H2465" s="20" t="s">
        <v>3485</v>
      </c>
      <c r="I2465" s="378" t="s">
        <v>441</v>
      </c>
      <c r="J2465" s="20" t="s">
        <v>163</v>
      </c>
      <c r="K2465" s="378" t="s">
        <v>3486</v>
      </c>
      <c r="L2465" s="378" t="s">
        <v>2848</v>
      </c>
      <c r="M2465" s="380" t="s">
        <v>443</v>
      </c>
      <c r="N2465" s="380" t="s">
        <v>443</v>
      </c>
      <c r="O2465" s="380" t="s">
        <v>443</v>
      </c>
      <c r="P2465" s="380" t="s">
        <v>443</v>
      </c>
      <c r="Q2465" s="381">
        <v>196</v>
      </c>
      <c r="R2465" s="381">
        <v>0</v>
      </c>
      <c r="S2465" s="381">
        <v>0</v>
      </c>
      <c r="T2465" s="381">
        <v>0</v>
      </c>
      <c r="U2465" s="381">
        <v>0</v>
      </c>
      <c r="V2465" s="382">
        <v>196</v>
      </c>
      <c r="W2465" s="382">
        <v>0</v>
      </c>
      <c r="X2465" s="381">
        <v>0.19600000000000001</v>
      </c>
      <c r="Y2465" s="381">
        <v>0</v>
      </c>
      <c r="Z2465" s="381">
        <v>0</v>
      </c>
      <c r="AA2465" s="381">
        <v>0</v>
      </c>
      <c r="AB2465" s="381">
        <v>0</v>
      </c>
      <c r="AC2465" s="382">
        <v>0.19600000000000001</v>
      </c>
      <c r="AD2465" s="382">
        <v>0</v>
      </c>
      <c r="AE2465" s="381" t="s">
        <v>444</v>
      </c>
    </row>
    <row r="2466" spans="1:31" ht="15" customHeight="1" x14ac:dyDescent="0.25">
      <c r="A2466" s="20" t="s">
        <v>3395</v>
      </c>
      <c r="B2466" s="20" t="s">
        <v>3396</v>
      </c>
      <c r="C2466" s="20" t="s">
        <v>3397</v>
      </c>
      <c r="D2466" s="378" t="s">
        <v>3487</v>
      </c>
      <c r="E2466" s="384">
        <v>45622</v>
      </c>
      <c r="F2466" s="384">
        <v>47448</v>
      </c>
      <c r="G2466" s="378" t="s">
        <v>439</v>
      </c>
      <c r="H2466" s="20" t="s">
        <v>3488</v>
      </c>
      <c r="I2466" s="378" t="s">
        <v>441</v>
      </c>
      <c r="J2466" s="20" t="s">
        <v>163</v>
      </c>
      <c r="K2466" s="378" t="s">
        <v>3489</v>
      </c>
      <c r="L2466" s="378" t="s">
        <v>2848</v>
      </c>
      <c r="M2466" s="380" t="s">
        <v>443</v>
      </c>
      <c r="N2466" s="380" t="s">
        <v>443</v>
      </c>
      <c r="O2466" s="380" t="s">
        <v>443</v>
      </c>
      <c r="P2466" s="380" t="s">
        <v>443</v>
      </c>
      <c r="Q2466" s="381">
        <v>196</v>
      </c>
      <c r="R2466" s="381">
        <v>0</v>
      </c>
      <c r="S2466" s="381">
        <v>0</v>
      </c>
      <c r="T2466" s="381">
        <v>0</v>
      </c>
      <c r="U2466" s="381">
        <v>0</v>
      </c>
      <c r="V2466" s="382">
        <v>196</v>
      </c>
      <c r="W2466" s="382">
        <v>0</v>
      </c>
      <c r="X2466" s="381">
        <v>0.19600000000000001</v>
      </c>
      <c r="Y2466" s="381">
        <v>0</v>
      </c>
      <c r="Z2466" s="381">
        <v>0</v>
      </c>
      <c r="AA2466" s="381">
        <v>0</v>
      </c>
      <c r="AB2466" s="381">
        <v>0</v>
      </c>
      <c r="AC2466" s="382">
        <v>0.19600000000000001</v>
      </c>
      <c r="AD2466" s="382">
        <v>0</v>
      </c>
      <c r="AE2466" s="381" t="s">
        <v>444</v>
      </c>
    </row>
    <row r="2467" spans="1:31" ht="15" customHeight="1" x14ac:dyDescent="0.25">
      <c r="A2467" s="20" t="s">
        <v>3490</v>
      </c>
      <c r="B2467" s="20" t="s">
        <v>3491</v>
      </c>
      <c r="C2467" s="20" t="s">
        <v>3492</v>
      </c>
      <c r="D2467" s="378" t="s">
        <v>3493</v>
      </c>
      <c r="E2467" s="384">
        <v>43077</v>
      </c>
      <c r="F2467" s="384">
        <v>44903</v>
      </c>
      <c r="G2467" s="378" t="s">
        <v>439</v>
      </c>
      <c r="H2467" s="20" t="s">
        <v>3494</v>
      </c>
      <c r="I2467" s="20" t="s">
        <v>353</v>
      </c>
      <c r="J2467" s="20" t="s">
        <v>163</v>
      </c>
      <c r="K2467" s="378" t="s">
        <v>3495</v>
      </c>
      <c r="L2467" s="20" t="s">
        <v>165</v>
      </c>
      <c r="M2467" s="381">
        <v>656</v>
      </c>
      <c r="N2467" s="381"/>
      <c r="O2467" s="380"/>
      <c r="P2467" s="380"/>
      <c r="Q2467" s="381">
        <v>-486.99661016949148</v>
      </c>
      <c r="R2467" s="381">
        <v>522.57627118644064</v>
      </c>
      <c r="S2467" s="381">
        <v>-1011.7966101694914</v>
      </c>
      <c r="T2467" s="381">
        <v>0</v>
      </c>
      <c r="U2467" s="381">
        <v>1118.4799999999998</v>
      </c>
      <c r="V2467" s="382">
        <v>629.25966101694905</v>
      </c>
      <c r="W2467" s="382">
        <v>1118.4799999999998</v>
      </c>
      <c r="X2467" s="381">
        <v>-0.74237288135593216</v>
      </c>
      <c r="Y2467" s="381">
        <v>0.79661016949152541</v>
      </c>
      <c r="Z2467" s="381">
        <v>-1.5423728813559319</v>
      </c>
      <c r="AA2467" s="381">
        <v>0</v>
      </c>
      <c r="AB2467" s="381">
        <v>1.7049999999999996</v>
      </c>
      <c r="AC2467" s="382">
        <v>0.95923728813559317</v>
      </c>
      <c r="AD2467" s="382">
        <v>1.7049999999999996</v>
      </c>
      <c r="AE2467" s="381" t="s">
        <v>168</v>
      </c>
    </row>
    <row r="2468" spans="1:31" ht="15" customHeight="1" x14ac:dyDescent="0.25">
      <c r="A2468" s="20" t="s">
        <v>3490</v>
      </c>
      <c r="B2468" s="20" t="s">
        <v>3491</v>
      </c>
      <c r="C2468" s="20" t="s">
        <v>3492</v>
      </c>
      <c r="D2468" s="378" t="s">
        <v>3496</v>
      </c>
      <c r="E2468" s="384">
        <v>43077</v>
      </c>
      <c r="F2468" s="384" t="s">
        <v>3497</v>
      </c>
      <c r="G2468" s="378" t="s">
        <v>439</v>
      </c>
      <c r="H2468" s="20" t="s">
        <v>3494</v>
      </c>
      <c r="I2468" s="378">
        <v>0</v>
      </c>
      <c r="J2468" s="20" t="s">
        <v>163</v>
      </c>
      <c r="K2468" s="378" t="s">
        <v>3495</v>
      </c>
      <c r="L2468" s="378" t="s">
        <v>165</v>
      </c>
      <c r="M2468" s="380">
        <v>660</v>
      </c>
      <c r="N2468" s="380" t="s">
        <v>443</v>
      </c>
      <c r="O2468" s="380" t="s">
        <v>443</v>
      </c>
      <c r="P2468" s="380" t="s">
        <v>443</v>
      </c>
      <c r="Q2468" s="381">
        <v>-674.73232075471651</v>
      </c>
      <c r="R2468" s="381">
        <v>346.39975471698159</v>
      </c>
      <c r="S2468" s="381">
        <v>-1021.1320754716982</v>
      </c>
      <c r="T2468" s="381">
        <v>0</v>
      </c>
      <c r="U2468" s="381">
        <v>1113.2</v>
      </c>
      <c r="V2468" s="382">
        <v>438.46767924528353</v>
      </c>
      <c r="W2468" s="382">
        <v>1113.2</v>
      </c>
      <c r="X2468" s="381">
        <v>-1.0223216981132068</v>
      </c>
      <c r="Y2468" s="381">
        <v>0.52484811320754787</v>
      </c>
      <c r="Z2468" s="381">
        <v>-1.5471698113207548</v>
      </c>
      <c r="AA2468" s="381">
        <v>0</v>
      </c>
      <c r="AB2468" s="381">
        <v>1.6866666666666668</v>
      </c>
      <c r="AC2468" s="382">
        <v>0.6643449685534597</v>
      </c>
      <c r="AD2468" s="382">
        <v>1.6866666666666668</v>
      </c>
      <c r="AE2468" s="381" t="s">
        <v>168</v>
      </c>
    </row>
    <row r="2469" spans="1:31" ht="15" customHeight="1" x14ac:dyDescent="0.25">
      <c r="A2469" s="20" t="s">
        <v>3490</v>
      </c>
      <c r="B2469" s="20" t="s">
        <v>3491</v>
      </c>
      <c r="C2469" s="20" t="s">
        <v>3492</v>
      </c>
      <c r="D2469" s="378" t="s">
        <v>3498</v>
      </c>
      <c r="E2469" s="384">
        <v>43077</v>
      </c>
      <c r="F2469" s="384" t="s">
        <v>3497</v>
      </c>
      <c r="G2469" s="378" t="s">
        <v>439</v>
      </c>
      <c r="H2469" s="20" t="s">
        <v>3494</v>
      </c>
      <c r="I2469" s="378">
        <v>0</v>
      </c>
      <c r="J2469" s="20" t="s">
        <v>163</v>
      </c>
      <c r="K2469" s="378" t="s">
        <v>3495</v>
      </c>
      <c r="L2469" s="378" t="s">
        <v>165</v>
      </c>
      <c r="M2469" s="380">
        <v>660</v>
      </c>
      <c r="N2469" s="380" t="s">
        <v>443</v>
      </c>
      <c r="O2469" s="380" t="s">
        <v>443</v>
      </c>
      <c r="P2469" s="380" t="s">
        <v>443</v>
      </c>
      <c r="Q2469" s="381">
        <v>-482.04905037735853</v>
      </c>
      <c r="R2469" s="381">
        <v>532.85661000000005</v>
      </c>
      <c r="S2469" s="381">
        <v>-1014.9056603773586</v>
      </c>
      <c r="T2469" s="381">
        <v>0</v>
      </c>
      <c r="U2469" s="381">
        <v>1113.2</v>
      </c>
      <c r="V2469" s="382">
        <v>631.15094962264152</v>
      </c>
      <c r="W2469" s="382">
        <v>1113.2</v>
      </c>
      <c r="X2469" s="381">
        <v>-0.73037734905660379</v>
      </c>
      <c r="Y2469" s="381">
        <v>0.80735850000000009</v>
      </c>
      <c r="Z2469" s="381">
        <v>-1.537735849056604</v>
      </c>
      <c r="AA2469" s="381">
        <v>0</v>
      </c>
      <c r="AB2469" s="381">
        <v>1.6866666666666668</v>
      </c>
      <c r="AC2469" s="382">
        <v>0.95628931761006286</v>
      </c>
      <c r="AD2469" s="382">
        <v>1.6866666666666668</v>
      </c>
      <c r="AE2469" s="381" t="s">
        <v>168</v>
      </c>
    </row>
    <row r="2470" spans="1:31" ht="15" customHeight="1" x14ac:dyDescent="0.25">
      <c r="A2470" s="20" t="s">
        <v>3490</v>
      </c>
      <c r="B2470" s="20" t="s">
        <v>3491</v>
      </c>
      <c r="C2470" s="20" t="s">
        <v>3492</v>
      </c>
      <c r="D2470" s="378" t="s">
        <v>3499</v>
      </c>
      <c r="E2470" s="384">
        <v>45257</v>
      </c>
      <c r="F2470" s="384">
        <v>47084</v>
      </c>
      <c r="G2470" s="378" t="s">
        <v>2829</v>
      </c>
      <c r="H2470" s="20" t="s">
        <v>3500</v>
      </c>
      <c r="I2470" s="378">
        <v>0</v>
      </c>
      <c r="J2470" s="20" t="s">
        <v>2831</v>
      </c>
      <c r="K2470" s="378" t="s">
        <v>3501</v>
      </c>
      <c r="L2470" s="378" t="s">
        <v>165</v>
      </c>
      <c r="M2470" s="380">
        <v>620</v>
      </c>
      <c r="N2470" s="380">
        <v>5.79</v>
      </c>
      <c r="O2470" s="380" t="s">
        <v>443</v>
      </c>
      <c r="P2470" s="380" t="s">
        <v>443</v>
      </c>
      <c r="Q2470" s="381">
        <v>-820.24179620034545</v>
      </c>
      <c r="R2470" s="381">
        <v>175.61312607944731</v>
      </c>
      <c r="S2470" s="381">
        <v>-995.85492227979285</v>
      </c>
      <c r="T2470" s="381">
        <v>1.7668393782383419E-2</v>
      </c>
      <c r="U2470" s="381">
        <v>997.28267127230868</v>
      </c>
      <c r="V2470" s="382">
        <v>177.05854346574552</v>
      </c>
      <c r="W2470" s="382">
        <v>997.28267127230868</v>
      </c>
      <c r="X2470" s="381">
        <v>-1.3229706390328153</v>
      </c>
      <c r="Y2470" s="381">
        <v>0.28324697754749567</v>
      </c>
      <c r="Z2470" s="381">
        <v>-1.606217616580311</v>
      </c>
      <c r="AA2470" s="381">
        <v>2.8497409326424869E-5</v>
      </c>
      <c r="AB2470" s="381">
        <v>1.6085204375359818</v>
      </c>
      <c r="AC2470" s="382">
        <v>0.28557829591249306</v>
      </c>
      <c r="AD2470" s="382">
        <v>1.6085204375359818</v>
      </c>
      <c r="AE2470" s="381" t="s">
        <v>168</v>
      </c>
    </row>
    <row r="2471" spans="1:31" ht="15" customHeight="1" x14ac:dyDescent="0.25">
      <c r="A2471" s="20" t="s">
        <v>3490</v>
      </c>
      <c r="B2471" s="20" t="s">
        <v>3491</v>
      </c>
      <c r="C2471" s="20" t="s">
        <v>3492</v>
      </c>
      <c r="D2471" s="378" t="s">
        <v>3502</v>
      </c>
      <c r="E2471" s="384">
        <v>43077</v>
      </c>
      <c r="F2471" s="384">
        <v>44903</v>
      </c>
      <c r="G2471" s="378" t="s">
        <v>439</v>
      </c>
      <c r="H2471" s="20" t="s">
        <v>3494</v>
      </c>
      <c r="I2471" s="20" t="s">
        <v>353</v>
      </c>
      <c r="J2471" s="20" t="s">
        <v>163</v>
      </c>
      <c r="K2471" s="378" t="s">
        <v>3495</v>
      </c>
      <c r="L2471" s="20" t="s">
        <v>165</v>
      </c>
      <c r="M2471" s="381">
        <v>660</v>
      </c>
      <c r="N2471" s="381"/>
      <c r="O2471" s="380"/>
      <c r="P2471" s="380"/>
      <c r="Q2471" s="381">
        <v>-531.11320754716985</v>
      </c>
      <c r="R2471" s="381">
        <v>484.41509433962267</v>
      </c>
      <c r="S2471" s="381">
        <v>-1014.9056603773586</v>
      </c>
      <c r="T2471" s="381">
        <v>0</v>
      </c>
      <c r="U2471" s="381">
        <v>1113.2</v>
      </c>
      <c r="V2471" s="382">
        <v>582.70943396226414</v>
      </c>
      <c r="W2471" s="382">
        <v>1113.2</v>
      </c>
      <c r="X2471" s="381">
        <v>-0.80471698113207557</v>
      </c>
      <c r="Y2471" s="381">
        <v>0.73396226415094346</v>
      </c>
      <c r="Z2471" s="381">
        <v>-1.537735849056604</v>
      </c>
      <c r="AA2471" s="381">
        <v>0</v>
      </c>
      <c r="AB2471" s="381">
        <v>1.6866666666666668</v>
      </c>
      <c r="AC2471" s="382">
        <v>0.88289308176100623</v>
      </c>
      <c r="AD2471" s="382">
        <v>1.6866666666666668</v>
      </c>
      <c r="AE2471" s="381" t="s">
        <v>168</v>
      </c>
    </row>
    <row r="2472" spans="1:31" ht="15" customHeight="1" x14ac:dyDescent="0.25">
      <c r="A2472" s="20" t="s">
        <v>3490</v>
      </c>
      <c r="B2472" s="20" t="s">
        <v>3491</v>
      </c>
      <c r="C2472" s="20" t="s">
        <v>3492</v>
      </c>
      <c r="D2472" s="378" t="s">
        <v>3503</v>
      </c>
      <c r="E2472" s="384">
        <v>43077</v>
      </c>
      <c r="F2472" s="384">
        <v>44903</v>
      </c>
      <c r="G2472" s="378" t="s">
        <v>439</v>
      </c>
      <c r="H2472" s="20" t="s">
        <v>3494</v>
      </c>
      <c r="I2472" s="20" t="s">
        <v>353</v>
      </c>
      <c r="J2472" s="20" t="s">
        <v>163</v>
      </c>
      <c r="K2472" s="378" t="s">
        <v>3495</v>
      </c>
      <c r="L2472" s="20" t="s">
        <v>165</v>
      </c>
      <c r="M2472" s="381">
        <v>660</v>
      </c>
      <c r="N2472" s="381"/>
      <c r="O2472" s="380"/>
      <c r="P2472" s="380"/>
      <c r="Q2472" s="381">
        <v>-635.09433962264154</v>
      </c>
      <c r="R2472" s="381">
        <v>387.90566037735903</v>
      </c>
      <c r="S2472" s="381">
        <v>-1021.1320754716982</v>
      </c>
      <c r="T2472" s="381">
        <v>0</v>
      </c>
      <c r="U2472" s="381">
        <v>1113.2</v>
      </c>
      <c r="V2472" s="382">
        <v>479.97358490566091</v>
      </c>
      <c r="W2472" s="382">
        <v>1113.2</v>
      </c>
      <c r="X2472" s="381">
        <v>-0.96226415094339623</v>
      </c>
      <c r="Y2472" s="381">
        <v>0.58773584905660459</v>
      </c>
      <c r="Z2472" s="381">
        <v>-1.5471698113207548</v>
      </c>
      <c r="AA2472" s="381">
        <v>0</v>
      </c>
      <c r="AB2472" s="381">
        <v>1.6866666666666668</v>
      </c>
      <c r="AC2472" s="382">
        <v>0.72723270440251653</v>
      </c>
      <c r="AD2472" s="382">
        <v>1.6866666666666668</v>
      </c>
      <c r="AE2472" s="381" t="s">
        <v>168</v>
      </c>
    </row>
    <row r="2473" spans="1:31" ht="15" customHeight="1" x14ac:dyDescent="0.25">
      <c r="A2473" s="20" t="s">
        <v>3490</v>
      </c>
      <c r="B2473" s="20" t="s">
        <v>3491</v>
      </c>
      <c r="C2473" s="20" t="s">
        <v>3492</v>
      </c>
      <c r="D2473" s="378" t="s">
        <v>3504</v>
      </c>
      <c r="E2473" s="384">
        <v>43077</v>
      </c>
      <c r="F2473" s="384">
        <v>44903</v>
      </c>
      <c r="G2473" s="378" t="s">
        <v>439</v>
      </c>
      <c r="H2473" s="20" t="s">
        <v>3494</v>
      </c>
      <c r="I2473" s="20" t="s">
        <v>353</v>
      </c>
      <c r="J2473" s="20" t="s">
        <v>163</v>
      </c>
      <c r="K2473" s="378" t="s">
        <v>3495</v>
      </c>
      <c r="L2473" s="20" t="s">
        <v>165</v>
      </c>
      <c r="M2473" s="381">
        <v>656</v>
      </c>
      <c r="N2473" s="381"/>
      <c r="O2473" s="380"/>
      <c r="P2473" s="380"/>
      <c r="Q2473" s="381">
        <v>-617.0847457627118</v>
      </c>
      <c r="R2473" s="381">
        <v>403.6067796610169</v>
      </c>
      <c r="S2473" s="381">
        <v>-1017.3559322033898</v>
      </c>
      <c r="T2473" s="381">
        <v>0</v>
      </c>
      <c r="U2473" s="381">
        <v>1118.4799999999998</v>
      </c>
      <c r="V2473" s="382">
        <v>504.73084745762685</v>
      </c>
      <c r="W2473" s="382">
        <v>1118.4799999999998</v>
      </c>
      <c r="X2473" s="381">
        <v>-0.94067796610169485</v>
      </c>
      <c r="Y2473" s="381">
        <v>0.61525423728813555</v>
      </c>
      <c r="Z2473" s="381">
        <v>-1.5508474576271185</v>
      </c>
      <c r="AA2473" s="381">
        <v>0</v>
      </c>
      <c r="AB2473" s="381">
        <v>1.7049999999999996</v>
      </c>
      <c r="AC2473" s="382">
        <v>0.76940677966101667</v>
      </c>
      <c r="AD2473" s="382">
        <v>1.7049999999999996</v>
      </c>
      <c r="AE2473" s="381" t="s">
        <v>168</v>
      </c>
    </row>
    <row r="2474" spans="1:31" ht="15" customHeight="1" x14ac:dyDescent="0.25">
      <c r="A2474" s="20" t="s">
        <v>3505</v>
      </c>
      <c r="B2474" s="20" t="s">
        <v>3506</v>
      </c>
      <c r="C2474" s="20" t="s">
        <v>3507</v>
      </c>
      <c r="D2474" s="378" t="s">
        <v>3508</v>
      </c>
      <c r="E2474" s="384">
        <v>44910</v>
      </c>
      <c r="F2474" s="384">
        <v>46736</v>
      </c>
      <c r="G2474" s="378" t="s">
        <v>439</v>
      </c>
      <c r="H2474" s="20" t="s">
        <v>3509</v>
      </c>
      <c r="I2474" s="378">
        <v>0</v>
      </c>
      <c r="J2474" s="20" t="s">
        <v>163</v>
      </c>
      <c r="K2474" s="378" t="s">
        <v>3510</v>
      </c>
      <c r="L2474" s="378" t="s">
        <v>2848</v>
      </c>
      <c r="M2474" s="380">
        <v>1800</v>
      </c>
      <c r="N2474" s="380" t="s">
        <v>443</v>
      </c>
      <c r="O2474" s="380" t="s">
        <v>443</v>
      </c>
      <c r="P2474" s="380" t="s">
        <v>443</v>
      </c>
      <c r="Q2474" s="381">
        <v>4.96</v>
      </c>
      <c r="R2474" s="381">
        <v>4.95</v>
      </c>
      <c r="S2474" s="381">
        <v>1.2200000000000001E-2</v>
      </c>
      <c r="T2474" s="381">
        <v>1.6699999999999999E-4</v>
      </c>
      <c r="U2474" s="381">
        <v>0</v>
      </c>
      <c r="V2474" s="382">
        <v>4.9623670000000004</v>
      </c>
      <c r="W2474" s="382">
        <v>0</v>
      </c>
      <c r="X2474" s="381">
        <v>4.96E-3</v>
      </c>
      <c r="Y2474" s="381">
        <v>4.9500000000000004E-3</v>
      </c>
      <c r="Z2474" s="381">
        <v>1.22E-5</v>
      </c>
      <c r="AA2474" s="381">
        <v>1.67E-7</v>
      </c>
      <c r="AB2474" s="381">
        <v>0</v>
      </c>
      <c r="AC2474" s="382">
        <v>4.9623670000000005E-3</v>
      </c>
      <c r="AD2474" s="382">
        <v>0</v>
      </c>
      <c r="AE2474" s="381" t="s">
        <v>168</v>
      </c>
    </row>
    <row r="2475" spans="1:31" ht="15" customHeight="1" x14ac:dyDescent="0.25">
      <c r="A2475" s="20" t="s">
        <v>3505</v>
      </c>
      <c r="B2475" s="20" t="s">
        <v>3506</v>
      </c>
      <c r="C2475" s="20" t="s">
        <v>3507</v>
      </c>
      <c r="D2475" s="378" t="s">
        <v>3511</v>
      </c>
      <c r="E2475" s="384">
        <v>44616</v>
      </c>
      <c r="F2475" s="384">
        <v>46442</v>
      </c>
      <c r="G2475" s="378" t="s">
        <v>439</v>
      </c>
      <c r="H2475" s="20" t="s">
        <v>3512</v>
      </c>
      <c r="I2475" s="378">
        <v>0</v>
      </c>
      <c r="J2475" s="20" t="s">
        <v>163</v>
      </c>
      <c r="K2475" s="378" t="s">
        <v>3513</v>
      </c>
      <c r="L2475" s="378" t="s">
        <v>2848</v>
      </c>
      <c r="M2475" s="380">
        <v>1800</v>
      </c>
      <c r="N2475" s="380" t="s">
        <v>443</v>
      </c>
      <c r="O2475" s="380" t="s">
        <v>443</v>
      </c>
      <c r="P2475" s="380" t="s">
        <v>443</v>
      </c>
      <c r="Q2475" s="381">
        <v>5.0999999999999996</v>
      </c>
      <c r="R2475" s="381">
        <v>0</v>
      </c>
      <c r="S2475" s="381">
        <v>0</v>
      </c>
      <c r="T2475" s="381">
        <v>0</v>
      </c>
      <c r="U2475" s="381">
        <v>0</v>
      </c>
      <c r="V2475" s="382">
        <v>5.0999999999999996</v>
      </c>
      <c r="W2475" s="382">
        <v>0</v>
      </c>
      <c r="X2475" s="381">
        <v>5.0999999999999995E-3</v>
      </c>
      <c r="Y2475" s="381">
        <v>0</v>
      </c>
      <c r="Z2475" s="381">
        <v>0</v>
      </c>
      <c r="AA2475" s="381">
        <v>0</v>
      </c>
      <c r="AB2475" s="381">
        <v>0</v>
      </c>
      <c r="AC2475" s="382">
        <v>5.0999999999999995E-3</v>
      </c>
      <c r="AD2475" s="382">
        <v>0</v>
      </c>
      <c r="AE2475" s="381" t="s">
        <v>168</v>
      </c>
    </row>
    <row r="2476" spans="1:31" ht="15" customHeight="1" x14ac:dyDescent="0.25">
      <c r="A2476" s="20" t="s">
        <v>3505</v>
      </c>
      <c r="B2476" s="20" t="s">
        <v>3506</v>
      </c>
      <c r="C2476" s="20" t="s">
        <v>3507</v>
      </c>
      <c r="D2476" s="378" t="s">
        <v>3514</v>
      </c>
      <c r="E2476" s="384">
        <v>44616</v>
      </c>
      <c r="F2476" s="384">
        <v>46442</v>
      </c>
      <c r="G2476" s="378" t="s">
        <v>439</v>
      </c>
      <c r="H2476" s="20" t="s">
        <v>3512</v>
      </c>
      <c r="I2476" s="378">
        <v>0</v>
      </c>
      <c r="J2476" s="20" t="s">
        <v>163</v>
      </c>
      <c r="K2476" s="378" t="s">
        <v>3513</v>
      </c>
      <c r="L2476" s="378" t="s">
        <v>2848</v>
      </c>
      <c r="M2476" s="380">
        <v>1800</v>
      </c>
      <c r="N2476" s="380" t="s">
        <v>443</v>
      </c>
      <c r="O2476" s="380" t="s">
        <v>443</v>
      </c>
      <c r="P2476" s="380" t="s">
        <v>443</v>
      </c>
      <c r="Q2476" s="381">
        <v>7.8</v>
      </c>
      <c r="R2476" s="381">
        <v>0</v>
      </c>
      <c r="S2476" s="381">
        <v>0</v>
      </c>
      <c r="T2476" s="381">
        <v>0</v>
      </c>
      <c r="U2476" s="381">
        <v>0</v>
      </c>
      <c r="V2476" s="382">
        <v>7.8</v>
      </c>
      <c r="W2476" s="382">
        <v>0</v>
      </c>
      <c r="X2476" s="381">
        <v>7.7999999999999996E-3</v>
      </c>
      <c r="Y2476" s="381">
        <v>0</v>
      </c>
      <c r="Z2476" s="381">
        <v>0</v>
      </c>
      <c r="AA2476" s="381">
        <v>0</v>
      </c>
      <c r="AB2476" s="381">
        <v>0</v>
      </c>
      <c r="AC2476" s="382">
        <v>7.7999999999999996E-3</v>
      </c>
      <c r="AD2476" s="382">
        <v>0</v>
      </c>
      <c r="AE2476" s="381" t="s">
        <v>168</v>
      </c>
    </row>
    <row r="2477" spans="1:31" ht="15" customHeight="1" x14ac:dyDescent="0.25">
      <c r="A2477" s="20" t="s">
        <v>3505</v>
      </c>
      <c r="B2477" s="20" t="s">
        <v>3506</v>
      </c>
      <c r="C2477" s="20" t="s">
        <v>3507</v>
      </c>
      <c r="D2477" s="378" t="s">
        <v>3515</v>
      </c>
      <c r="E2477" s="384">
        <v>44334</v>
      </c>
      <c r="F2477" s="384">
        <v>46159</v>
      </c>
      <c r="G2477" s="378" t="s">
        <v>439</v>
      </c>
      <c r="H2477" s="20" t="s">
        <v>3516</v>
      </c>
      <c r="I2477" s="378">
        <v>0</v>
      </c>
      <c r="J2477" s="20" t="s">
        <v>163</v>
      </c>
      <c r="K2477" s="378" t="s">
        <v>3513</v>
      </c>
      <c r="L2477" s="378" t="s">
        <v>2848</v>
      </c>
      <c r="M2477" s="380">
        <v>1800</v>
      </c>
      <c r="N2477" s="380" t="s">
        <v>443</v>
      </c>
      <c r="O2477" s="380" t="s">
        <v>443</v>
      </c>
      <c r="P2477" s="380" t="s">
        <v>443</v>
      </c>
      <c r="Q2477" s="381">
        <v>7.81</v>
      </c>
      <c r="R2477" s="381">
        <v>0</v>
      </c>
      <c r="S2477" s="381">
        <v>0</v>
      </c>
      <c r="T2477" s="381">
        <v>0</v>
      </c>
      <c r="U2477" s="381">
        <v>0</v>
      </c>
      <c r="V2477" s="382">
        <v>7.81</v>
      </c>
      <c r="W2477" s="382">
        <v>0</v>
      </c>
      <c r="X2477" s="381">
        <v>7.8099999999999992E-3</v>
      </c>
      <c r="Y2477" s="381">
        <v>0</v>
      </c>
      <c r="Z2477" s="381">
        <v>0</v>
      </c>
      <c r="AA2477" s="381">
        <v>0</v>
      </c>
      <c r="AB2477" s="381">
        <v>0</v>
      </c>
      <c r="AC2477" s="382">
        <v>7.8099999999999992E-3</v>
      </c>
      <c r="AD2477" s="382">
        <v>0</v>
      </c>
      <c r="AE2477" s="381" t="s">
        <v>168</v>
      </c>
    </row>
    <row r="2478" spans="1:31" ht="15" customHeight="1" x14ac:dyDescent="0.25">
      <c r="A2478" s="20" t="s">
        <v>3505</v>
      </c>
      <c r="B2478" s="20" t="s">
        <v>3506</v>
      </c>
      <c r="C2478" s="20" t="s">
        <v>3507</v>
      </c>
      <c r="D2478" s="378" t="s">
        <v>3517</v>
      </c>
      <c r="E2478" s="384">
        <v>44334</v>
      </c>
      <c r="F2478" s="384">
        <v>46159</v>
      </c>
      <c r="G2478" s="378" t="s">
        <v>439</v>
      </c>
      <c r="H2478" s="20" t="s">
        <v>3516</v>
      </c>
      <c r="I2478" s="378">
        <v>0</v>
      </c>
      <c r="J2478" s="20" t="s">
        <v>163</v>
      </c>
      <c r="K2478" s="378" t="s">
        <v>3518</v>
      </c>
      <c r="L2478" s="378" t="s">
        <v>2848</v>
      </c>
      <c r="M2478" s="380">
        <v>1800</v>
      </c>
      <c r="N2478" s="380" t="s">
        <v>443</v>
      </c>
      <c r="O2478" s="380" t="s">
        <v>443</v>
      </c>
      <c r="P2478" s="380" t="s">
        <v>443</v>
      </c>
      <c r="Q2478" s="381">
        <v>6.12</v>
      </c>
      <c r="R2478" s="381">
        <v>0</v>
      </c>
      <c r="S2478" s="381">
        <v>0</v>
      </c>
      <c r="T2478" s="381">
        <v>0</v>
      </c>
      <c r="U2478" s="381">
        <v>0</v>
      </c>
      <c r="V2478" s="382">
        <v>6.12</v>
      </c>
      <c r="W2478" s="382">
        <v>0</v>
      </c>
      <c r="X2478" s="381">
        <v>6.1200000000000004E-3</v>
      </c>
      <c r="Y2478" s="381">
        <v>0</v>
      </c>
      <c r="Z2478" s="381">
        <v>0</v>
      </c>
      <c r="AA2478" s="381">
        <v>0</v>
      </c>
      <c r="AB2478" s="381">
        <v>0</v>
      </c>
      <c r="AC2478" s="382">
        <v>6.1200000000000004E-3</v>
      </c>
      <c r="AD2478" s="382">
        <v>0</v>
      </c>
      <c r="AE2478" s="381" t="s">
        <v>168</v>
      </c>
    </row>
    <row r="2479" spans="1:31" ht="15" customHeight="1" x14ac:dyDescent="0.25">
      <c r="A2479" s="20" t="s">
        <v>3505</v>
      </c>
      <c r="B2479" s="20" t="s">
        <v>3506</v>
      </c>
      <c r="C2479" s="20" t="s">
        <v>3507</v>
      </c>
      <c r="D2479" s="378" t="s">
        <v>3519</v>
      </c>
      <c r="E2479" s="384">
        <v>44334</v>
      </c>
      <c r="F2479" s="384">
        <v>46159</v>
      </c>
      <c r="G2479" s="378" t="s">
        <v>439</v>
      </c>
      <c r="H2479" s="20" t="s">
        <v>3516</v>
      </c>
      <c r="I2479" s="378">
        <v>0</v>
      </c>
      <c r="J2479" s="20" t="s">
        <v>163</v>
      </c>
      <c r="K2479" s="378" t="s">
        <v>3518</v>
      </c>
      <c r="L2479" s="378" t="s">
        <v>2848</v>
      </c>
      <c r="M2479" s="380">
        <v>1800</v>
      </c>
      <c r="N2479" s="380" t="s">
        <v>443</v>
      </c>
      <c r="O2479" s="380" t="s">
        <v>443</v>
      </c>
      <c r="P2479" s="380" t="s">
        <v>443</v>
      </c>
      <c r="Q2479" s="381">
        <v>9.24</v>
      </c>
      <c r="R2479" s="381">
        <v>0</v>
      </c>
      <c r="S2479" s="381">
        <v>0</v>
      </c>
      <c r="T2479" s="381">
        <v>0</v>
      </c>
      <c r="U2479" s="381">
        <v>0</v>
      </c>
      <c r="V2479" s="382">
        <v>9.24</v>
      </c>
      <c r="W2479" s="382">
        <v>0</v>
      </c>
      <c r="X2479" s="381">
        <v>9.2399999999999999E-3</v>
      </c>
      <c r="Y2479" s="381">
        <v>0</v>
      </c>
      <c r="Z2479" s="381">
        <v>0</v>
      </c>
      <c r="AA2479" s="381">
        <v>0</v>
      </c>
      <c r="AB2479" s="381">
        <v>0</v>
      </c>
      <c r="AC2479" s="382">
        <v>9.2399999999999999E-3</v>
      </c>
      <c r="AD2479" s="382">
        <v>0</v>
      </c>
      <c r="AE2479" s="381" t="s">
        <v>168</v>
      </c>
    </row>
    <row r="2480" spans="1:31" ht="15" customHeight="1" x14ac:dyDescent="0.25">
      <c r="A2480" s="20" t="s">
        <v>3505</v>
      </c>
      <c r="B2480" s="20" t="s">
        <v>3506</v>
      </c>
      <c r="C2480" s="20" t="s">
        <v>3507</v>
      </c>
      <c r="D2480" s="378" t="s">
        <v>3520</v>
      </c>
      <c r="E2480" s="384">
        <v>44334</v>
      </c>
      <c r="F2480" s="384">
        <v>46159</v>
      </c>
      <c r="G2480" s="378" t="s">
        <v>439</v>
      </c>
      <c r="H2480" s="20" t="s">
        <v>3516</v>
      </c>
      <c r="I2480" s="378">
        <v>0</v>
      </c>
      <c r="J2480" s="20" t="s">
        <v>163</v>
      </c>
      <c r="K2480" s="378" t="s">
        <v>3518</v>
      </c>
      <c r="L2480" s="378" t="s">
        <v>2848</v>
      </c>
      <c r="M2480" s="380">
        <v>1800</v>
      </c>
      <c r="N2480" s="380" t="s">
        <v>443</v>
      </c>
      <c r="O2480" s="380" t="s">
        <v>443</v>
      </c>
      <c r="P2480" s="380" t="s">
        <v>443</v>
      </c>
      <c r="Q2480" s="381">
        <v>8.16</v>
      </c>
      <c r="R2480" s="381">
        <v>0</v>
      </c>
      <c r="S2480" s="381">
        <v>0</v>
      </c>
      <c r="T2480" s="381">
        <v>0</v>
      </c>
      <c r="U2480" s="381">
        <v>0</v>
      </c>
      <c r="V2480" s="382">
        <v>8.16</v>
      </c>
      <c r="W2480" s="382">
        <v>0</v>
      </c>
      <c r="X2480" s="381">
        <v>8.1600000000000006E-3</v>
      </c>
      <c r="Y2480" s="381">
        <v>0</v>
      </c>
      <c r="Z2480" s="381">
        <v>0</v>
      </c>
      <c r="AA2480" s="381">
        <v>0</v>
      </c>
      <c r="AB2480" s="381">
        <v>0</v>
      </c>
      <c r="AC2480" s="382">
        <v>8.1600000000000006E-3</v>
      </c>
      <c r="AD2480" s="382">
        <v>0</v>
      </c>
      <c r="AE2480" s="381" t="s">
        <v>168</v>
      </c>
    </row>
    <row r="2481" spans="1:31" ht="15" customHeight="1" x14ac:dyDescent="0.25">
      <c r="A2481" s="20" t="s">
        <v>3505</v>
      </c>
      <c r="B2481" s="20" t="s">
        <v>3506</v>
      </c>
      <c r="C2481" s="20" t="s">
        <v>3507</v>
      </c>
      <c r="D2481" s="378" t="s">
        <v>3521</v>
      </c>
      <c r="E2481" s="384">
        <v>44334</v>
      </c>
      <c r="F2481" s="384">
        <v>46159</v>
      </c>
      <c r="G2481" s="378" t="s">
        <v>439</v>
      </c>
      <c r="H2481" s="20" t="s">
        <v>3516</v>
      </c>
      <c r="I2481" s="378">
        <v>0</v>
      </c>
      <c r="J2481" s="20" t="s">
        <v>163</v>
      </c>
      <c r="K2481" s="378" t="s">
        <v>3518</v>
      </c>
      <c r="L2481" s="378" t="s">
        <v>2848</v>
      </c>
      <c r="M2481" s="380">
        <v>1800</v>
      </c>
      <c r="N2481" s="380" t="s">
        <v>443</v>
      </c>
      <c r="O2481" s="380" t="s">
        <v>443</v>
      </c>
      <c r="P2481" s="380" t="s">
        <v>443</v>
      </c>
      <c r="Q2481" s="381">
        <v>7.98</v>
      </c>
      <c r="R2481" s="381">
        <v>0</v>
      </c>
      <c r="S2481" s="381">
        <v>0</v>
      </c>
      <c r="T2481" s="381">
        <v>0</v>
      </c>
      <c r="U2481" s="381">
        <v>0</v>
      </c>
      <c r="V2481" s="382">
        <v>7.98</v>
      </c>
      <c r="W2481" s="382">
        <v>0</v>
      </c>
      <c r="X2481" s="381">
        <v>7.980000000000001E-3</v>
      </c>
      <c r="Y2481" s="381">
        <v>0</v>
      </c>
      <c r="Z2481" s="381">
        <v>0</v>
      </c>
      <c r="AA2481" s="381">
        <v>0</v>
      </c>
      <c r="AB2481" s="381">
        <v>0</v>
      </c>
      <c r="AC2481" s="382">
        <v>7.980000000000001E-3</v>
      </c>
      <c r="AD2481" s="382">
        <v>0</v>
      </c>
      <c r="AE2481" s="381" t="s">
        <v>168</v>
      </c>
    </row>
    <row r="2482" spans="1:31" ht="15" customHeight="1" x14ac:dyDescent="0.25">
      <c r="A2482" s="20" t="s">
        <v>3505</v>
      </c>
      <c r="B2482" s="20" t="s">
        <v>3506</v>
      </c>
      <c r="C2482" s="20" t="s">
        <v>3507</v>
      </c>
      <c r="D2482" s="378" t="s">
        <v>3522</v>
      </c>
      <c r="E2482" s="384">
        <v>44334</v>
      </c>
      <c r="F2482" s="384">
        <v>46159</v>
      </c>
      <c r="G2482" s="378" t="s">
        <v>439</v>
      </c>
      <c r="H2482" s="20" t="s">
        <v>3516</v>
      </c>
      <c r="I2482" s="378">
        <v>0</v>
      </c>
      <c r="J2482" s="20" t="s">
        <v>163</v>
      </c>
      <c r="K2482" s="378" t="s">
        <v>3518</v>
      </c>
      <c r="L2482" s="378" t="s">
        <v>2848</v>
      </c>
      <c r="M2482" s="380">
        <v>1800</v>
      </c>
      <c r="N2482" s="380" t="s">
        <v>443</v>
      </c>
      <c r="O2482" s="380" t="s">
        <v>443</v>
      </c>
      <c r="P2482" s="380" t="s">
        <v>443</v>
      </c>
      <c r="Q2482" s="381">
        <v>6.17</v>
      </c>
      <c r="R2482" s="381">
        <v>0</v>
      </c>
      <c r="S2482" s="381">
        <v>0</v>
      </c>
      <c r="T2482" s="381">
        <v>0</v>
      </c>
      <c r="U2482" s="381">
        <v>0</v>
      </c>
      <c r="V2482" s="382">
        <v>6.17</v>
      </c>
      <c r="W2482" s="382">
        <v>0</v>
      </c>
      <c r="X2482" s="381">
        <v>6.1700000000000001E-3</v>
      </c>
      <c r="Y2482" s="381">
        <v>0</v>
      </c>
      <c r="Z2482" s="381">
        <v>0</v>
      </c>
      <c r="AA2482" s="381">
        <v>0</v>
      </c>
      <c r="AB2482" s="381">
        <v>0</v>
      </c>
      <c r="AC2482" s="382">
        <v>6.1700000000000001E-3</v>
      </c>
      <c r="AD2482" s="382">
        <v>0</v>
      </c>
      <c r="AE2482" s="381" t="s">
        <v>168</v>
      </c>
    </row>
    <row r="2483" spans="1:31" ht="15" customHeight="1" x14ac:dyDescent="0.25">
      <c r="A2483" s="20" t="s">
        <v>3505</v>
      </c>
      <c r="B2483" s="20" t="s">
        <v>3506</v>
      </c>
      <c r="C2483" s="20" t="s">
        <v>3507</v>
      </c>
      <c r="D2483" s="378" t="s">
        <v>3523</v>
      </c>
      <c r="E2483" s="384">
        <v>44334</v>
      </c>
      <c r="F2483" s="384">
        <v>46159</v>
      </c>
      <c r="G2483" s="378" t="s">
        <v>439</v>
      </c>
      <c r="H2483" s="20" t="s">
        <v>3516</v>
      </c>
      <c r="I2483" s="378">
        <v>0</v>
      </c>
      <c r="J2483" s="20" t="s">
        <v>163</v>
      </c>
      <c r="K2483" s="378" t="s">
        <v>3518</v>
      </c>
      <c r="L2483" s="378" t="s">
        <v>2848</v>
      </c>
      <c r="M2483" s="380">
        <v>1800</v>
      </c>
      <c r="N2483" s="380" t="s">
        <v>443</v>
      </c>
      <c r="O2483" s="380" t="s">
        <v>443</v>
      </c>
      <c r="P2483" s="380" t="s">
        <v>443</v>
      </c>
      <c r="Q2483" s="381">
        <v>3.26</v>
      </c>
      <c r="R2483" s="381">
        <v>0</v>
      </c>
      <c r="S2483" s="381">
        <v>0</v>
      </c>
      <c r="T2483" s="381">
        <v>0</v>
      </c>
      <c r="U2483" s="381">
        <v>0</v>
      </c>
      <c r="V2483" s="382">
        <v>3.26</v>
      </c>
      <c r="W2483" s="382">
        <v>0</v>
      </c>
      <c r="X2483" s="381">
        <v>3.2599999999999999E-3</v>
      </c>
      <c r="Y2483" s="381">
        <v>0</v>
      </c>
      <c r="Z2483" s="381">
        <v>0</v>
      </c>
      <c r="AA2483" s="381">
        <v>0</v>
      </c>
      <c r="AB2483" s="381">
        <v>0</v>
      </c>
      <c r="AC2483" s="382">
        <v>3.2599999999999999E-3</v>
      </c>
      <c r="AD2483" s="382">
        <v>0</v>
      </c>
      <c r="AE2483" s="381" t="s">
        <v>168</v>
      </c>
    </row>
    <row r="2484" spans="1:31" ht="15" customHeight="1" x14ac:dyDescent="0.25">
      <c r="A2484" s="20" t="s">
        <v>3524</v>
      </c>
      <c r="B2484" s="20" t="s">
        <v>3525</v>
      </c>
      <c r="C2484" s="20" t="s">
        <v>3525</v>
      </c>
      <c r="D2484" s="378" t="s">
        <v>3526</v>
      </c>
      <c r="E2484" s="384">
        <v>45079</v>
      </c>
      <c r="F2484" s="384">
        <v>46905</v>
      </c>
      <c r="G2484" s="378" t="s">
        <v>2837</v>
      </c>
      <c r="H2484" s="20" t="s">
        <v>3527</v>
      </c>
      <c r="I2484" s="378">
        <v>0</v>
      </c>
      <c r="J2484" s="20" t="s">
        <v>2831</v>
      </c>
      <c r="K2484" s="378" t="s">
        <v>2854</v>
      </c>
      <c r="L2484" s="378" t="s">
        <v>2774</v>
      </c>
      <c r="M2484" s="380">
        <v>1100</v>
      </c>
      <c r="N2484" s="380" t="s">
        <v>443</v>
      </c>
      <c r="O2484" s="380" t="s">
        <v>443</v>
      </c>
      <c r="P2484" s="380" t="s">
        <v>443</v>
      </c>
      <c r="Q2484" s="381">
        <v>3.7454545454545456</v>
      </c>
      <c r="R2484" s="381">
        <v>0</v>
      </c>
      <c r="S2484" s="381">
        <v>0</v>
      </c>
      <c r="T2484" s="381">
        <v>0</v>
      </c>
      <c r="U2484" s="381">
        <v>0</v>
      </c>
      <c r="V2484" s="382">
        <v>3.7454545454545456</v>
      </c>
      <c r="W2484" s="382">
        <v>0</v>
      </c>
      <c r="X2484" s="381">
        <v>3.7454545454545456</v>
      </c>
      <c r="Y2484" s="381">
        <v>0</v>
      </c>
      <c r="Z2484" s="381">
        <v>0</v>
      </c>
      <c r="AA2484" s="381">
        <v>0</v>
      </c>
      <c r="AB2484" s="381">
        <v>0</v>
      </c>
      <c r="AC2484" s="382">
        <v>3.7454545454545456</v>
      </c>
      <c r="AD2484" s="382">
        <v>0</v>
      </c>
      <c r="AE2484" s="381" t="s">
        <v>168</v>
      </c>
    </row>
    <row r="2485" spans="1:31" ht="15" customHeight="1" x14ac:dyDescent="0.25">
      <c r="A2485" s="20" t="s">
        <v>3524</v>
      </c>
      <c r="B2485" s="20" t="s">
        <v>3525</v>
      </c>
      <c r="C2485" s="20" t="s">
        <v>3525</v>
      </c>
      <c r="D2485" s="378" t="s">
        <v>3528</v>
      </c>
      <c r="E2485" s="384">
        <v>45335</v>
      </c>
      <c r="F2485" s="384">
        <v>47161</v>
      </c>
      <c r="G2485" s="378" t="s">
        <v>2837</v>
      </c>
      <c r="H2485" s="20" t="s">
        <v>3529</v>
      </c>
      <c r="I2485" s="378">
        <v>0</v>
      </c>
      <c r="J2485" s="20" t="s">
        <v>2831</v>
      </c>
      <c r="K2485" s="378" t="s">
        <v>3530</v>
      </c>
      <c r="L2485" s="378" t="s">
        <v>2774</v>
      </c>
      <c r="M2485" s="380" t="s">
        <v>443</v>
      </c>
      <c r="N2485" s="380">
        <v>1.32</v>
      </c>
      <c r="O2485" s="380" t="s">
        <v>443</v>
      </c>
      <c r="P2485" s="380" t="s">
        <v>443</v>
      </c>
      <c r="Q2485" s="381">
        <v>2.2651515151515151</v>
      </c>
      <c r="R2485" s="381">
        <v>0</v>
      </c>
      <c r="S2485" s="381">
        <v>0</v>
      </c>
      <c r="T2485" s="381">
        <v>0</v>
      </c>
      <c r="U2485" s="381">
        <v>0</v>
      </c>
      <c r="V2485" s="382">
        <v>2.2651515151515151</v>
      </c>
      <c r="W2485" s="382">
        <v>0</v>
      </c>
      <c r="X2485" s="381">
        <v>2.2651515151515151</v>
      </c>
      <c r="Y2485" s="381">
        <v>0</v>
      </c>
      <c r="Z2485" s="381">
        <v>0</v>
      </c>
      <c r="AA2485" s="381">
        <v>0</v>
      </c>
      <c r="AB2485" s="381">
        <v>0</v>
      </c>
      <c r="AC2485" s="382">
        <v>2.2651515151515151</v>
      </c>
      <c r="AD2485" s="382">
        <v>0</v>
      </c>
      <c r="AE2485" s="381" t="s">
        <v>168</v>
      </c>
    </row>
    <row r="2486" spans="1:31" ht="15" customHeight="1" x14ac:dyDescent="0.25">
      <c r="A2486" s="20" t="s">
        <v>3524</v>
      </c>
      <c r="B2486" s="20" t="s">
        <v>3525</v>
      </c>
      <c r="C2486" s="20" t="s">
        <v>3525</v>
      </c>
      <c r="D2486" s="378" t="s">
        <v>3531</v>
      </c>
      <c r="E2486" s="384">
        <v>43847</v>
      </c>
      <c r="F2486" s="384">
        <v>45673</v>
      </c>
      <c r="G2486" s="378" t="s">
        <v>2837</v>
      </c>
      <c r="H2486" s="20" t="s">
        <v>3532</v>
      </c>
      <c r="I2486" s="378">
        <v>0</v>
      </c>
      <c r="J2486" s="20" t="s">
        <v>2831</v>
      </c>
      <c r="K2486" s="378" t="s">
        <v>3533</v>
      </c>
      <c r="L2486" s="378" t="s">
        <v>2774</v>
      </c>
      <c r="M2486" s="380" t="s">
        <v>443</v>
      </c>
      <c r="N2486" s="380">
        <v>1.96</v>
      </c>
      <c r="O2486" s="380" t="s">
        <v>443</v>
      </c>
      <c r="P2486" s="380" t="s">
        <v>443</v>
      </c>
      <c r="Q2486" s="381">
        <v>4.3928571428571423</v>
      </c>
      <c r="R2486" s="381">
        <v>0</v>
      </c>
      <c r="S2486" s="381">
        <v>0</v>
      </c>
      <c r="T2486" s="381">
        <v>0</v>
      </c>
      <c r="U2486" s="381">
        <v>0</v>
      </c>
      <c r="V2486" s="382">
        <v>4.3928571428571423</v>
      </c>
      <c r="W2486" s="382">
        <v>0</v>
      </c>
      <c r="X2486" s="381">
        <v>4.3928571428571423</v>
      </c>
      <c r="Y2486" s="381">
        <v>0</v>
      </c>
      <c r="Z2486" s="381">
        <v>0</v>
      </c>
      <c r="AA2486" s="381">
        <v>0</v>
      </c>
      <c r="AB2486" s="381">
        <v>0</v>
      </c>
      <c r="AC2486" s="382">
        <v>4.3928571428571423</v>
      </c>
      <c r="AD2486" s="382">
        <v>0</v>
      </c>
      <c r="AE2486" s="381" t="s">
        <v>168</v>
      </c>
    </row>
    <row r="2487" spans="1:31" ht="15" customHeight="1" x14ac:dyDescent="0.25">
      <c r="A2487" s="20" t="s">
        <v>2783</v>
      </c>
      <c r="B2487" s="20" t="s">
        <v>3534</v>
      </c>
      <c r="C2487" s="20" t="s">
        <v>3534</v>
      </c>
      <c r="D2487" s="378" t="s">
        <v>3535</v>
      </c>
      <c r="E2487" s="384">
        <v>45380</v>
      </c>
      <c r="F2487" s="384">
        <v>46897</v>
      </c>
      <c r="G2487" s="378" t="s">
        <v>2837</v>
      </c>
      <c r="H2487" s="20" t="s">
        <v>3536</v>
      </c>
      <c r="I2487" s="378">
        <v>0</v>
      </c>
      <c r="J2487" s="20" t="s">
        <v>3537</v>
      </c>
      <c r="K2487" s="378" t="s">
        <v>3538</v>
      </c>
      <c r="L2487" s="378" t="s">
        <v>2774</v>
      </c>
      <c r="M2487" s="380" t="s">
        <v>443</v>
      </c>
      <c r="N2487" s="380">
        <v>0.80800000000000005</v>
      </c>
      <c r="O2487" s="380" t="s">
        <v>443</v>
      </c>
      <c r="P2487" s="380" t="s">
        <v>443</v>
      </c>
      <c r="Q2487" s="381">
        <v>2.7103960396039604</v>
      </c>
      <c r="R2487" s="381">
        <v>2.7599009900990099</v>
      </c>
      <c r="S2487" s="381">
        <v>-5.1237623762376235E-2</v>
      </c>
      <c r="T2487" s="381">
        <v>1.7450495049504949E-3</v>
      </c>
      <c r="U2487" s="381">
        <v>0</v>
      </c>
      <c r="V2487" s="382">
        <v>2.7616460396039604</v>
      </c>
      <c r="W2487" s="382">
        <v>0</v>
      </c>
      <c r="X2487" s="381">
        <v>2.7103960396039604</v>
      </c>
      <c r="Y2487" s="381">
        <v>2.7599009900990099</v>
      </c>
      <c r="Z2487" s="381">
        <v>-5.1237623762376235E-2</v>
      </c>
      <c r="AA2487" s="381">
        <v>1.7450495049504949E-3</v>
      </c>
      <c r="AB2487" s="381">
        <v>0</v>
      </c>
      <c r="AC2487" s="382">
        <v>2.7616460396039604</v>
      </c>
      <c r="AD2487" s="382">
        <v>0</v>
      </c>
      <c r="AE2487" s="381" t="s">
        <v>444</v>
      </c>
    </row>
    <row r="2488" spans="1:31" ht="15" customHeight="1" x14ac:dyDescent="0.25">
      <c r="A2488" s="20" t="s">
        <v>2783</v>
      </c>
      <c r="B2488" s="20" t="s">
        <v>3534</v>
      </c>
      <c r="C2488" s="20" t="s">
        <v>3534</v>
      </c>
      <c r="D2488" s="378" t="s">
        <v>3539</v>
      </c>
      <c r="E2488" s="384">
        <v>45583</v>
      </c>
      <c r="F2488" s="384">
        <v>47408</v>
      </c>
      <c r="G2488" s="378" t="s">
        <v>2837</v>
      </c>
      <c r="H2488" s="20" t="s">
        <v>3540</v>
      </c>
      <c r="I2488" s="378" t="s">
        <v>441</v>
      </c>
      <c r="J2488" s="20" t="s">
        <v>3537</v>
      </c>
      <c r="K2488" s="378" t="s">
        <v>3541</v>
      </c>
      <c r="L2488" s="378" t="s">
        <v>2774</v>
      </c>
      <c r="M2488" s="380" t="s">
        <v>443</v>
      </c>
      <c r="N2488" s="380" t="s">
        <v>443</v>
      </c>
      <c r="O2488" s="380" t="s">
        <v>443</v>
      </c>
      <c r="P2488" s="380" t="s">
        <v>443</v>
      </c>
      <c r="Q2488" s="381">
        <v>2.4500000000000002</v>
      </c>
      <c r="R2488" s="381">
        <v>2.44</v>
      </c>
      <c r="S2488" s="381">
        <v>6.3800000000000003E-3</v>
      </c>
      <c r="T2488" s="381">
        <v>1.17E-3</v>
      </c>
      <c r="U2488" s="381">
        <v>0</v>
      </c>
      <c r="V2488" s="382">
        <v>2.4475500000000001</v>
      </c>
      <c r="W2488" s="382">
        <v>0</v>
      </c>
      <c r="X2488" s="381">
        <v>2.4500000000000002</v>
      </c>
      <c r="Y2488" s="381">
        <v>2.44</v>
      </c>
      <c r="Z2488" s="381">
        <v>6.3800000000000003E-3</v>
      </c>
      <c r="AA2488" s="381">
        <v>1.17E-3</v>
      </c>
      <c r="AB2488" s="381">
        <v>0</v>
      </c>
      <c r="AC2488" s="382">
        <v>2.4475500000000001</v>
      </c>
      <c r="AD2488" s="382">
        <v>0</v>
      </c>
      <c r="AE2488" s="381" t="s">
        <v>444</v>
      </c>
    </row>
    <row r="2489" spans="1:31" ht="15" customHeight="1" x14ac:dyDescent="0.25">
      <c r="A2489" s="20" t="s">
        <v>2783</v>
      </c>
      <c r="B2489" s="20" t="s">
        <v>3534</v>
      </c>
      <c r="C2489" s="20" t="s">
        <v>3534</v>
      </c>
      <c r="D2489" s="378" t="s">
        <v>3542</v>
      </c>
      <c r="E2489" s="384">
        <v>45253</v>
      </c>
      <c r="F2489" s="384">
        <v>47079</v>
      </c>
      <c r="G2489" s="378" t="s">
        <v>2837</v>
      </c>
      <c r="H2489" s="20" t="s">
        <v>3543</v>
      </c>
      <c r="I2489" s="378">
        <v>0</v>
      </c>
      <c r="J2489" s="20" t="s">
        <v>3537</v>
      </c>
      <c r="K2489" s="378" t="s">
        <v>3544</v>
      </c>
      <c r="L2489" s="378" t="s">
        <v>2774</v>
      </c>
      <c r="M2489" s="380" t="s">
        <v>443</v>
      </c>
      <c r="N2489" s="380" t="s">
        <v>443</v>
      </c>
      <c r="O2489" s="380" t="s">
        <v>443</v>
      </c>
      <c r="P2489" s="380" t="s">
        <v>443</v>
      </c>
      <c r="Q2489" s="381">
        <v>3.17</v>
      </c>
      <c r="R2489" s="381">
        <v>3.2</v>
      </c>
      <c r="S2489" s="381">
        <v>-3.9800000000000002E-2</v>
      </c>
      <c r="T2489" s="381">
        <v>2.4099999999999998E-3</v>
      </c>
      <c r="U2489" s="381">
        <v>0</v>
      </c>
      <c r="V2489" s="382">
        <v>3.20241</v>
      </c>
      <c r="W2489" s="382">
        <v>0</v>
      </c>
      <c r="X2489" s="381">
        <v>3.17</v>
      </c>
      <c r="Y2489" s="381">
        <v>3.2</v>
      </c>
      <c r="Z2489" s="381">
        <v>-3.9800000000000002E-2</v>
      </c>
      <c r="AA2489" s="381">
        <v>2.4099999999999998E-3</v>
      </c>
      <c r="AB2489" s="381">
        <v>0</v>
      </c>
      <c r="AC2489" s="382">
        <v>3.20241</v>
      </c>
      <c r="AD2489" s="382">
        <v>0</v>
      </c>
      <c r="AE2489" s="381" t="s">
        <v>444</v>
      </c>
    </row>
    <row r="2490" spans="1:31" ht="15" customHeight="1" x14ac:dyDescent="0.25">
      <c r="A2490" s="20" t="s">
        <v>3328</v>
      </c>
      <c r="B2490" s="20" t="s">
        <v>3545</v>
      </c>
      <c r="C2490" s="20" t="s">
        <v>3545</v>
      </c>
      <c r="D2490" s="378" t="s">
        <v>3546</v>
      </c>
      <c r="E2490" s="384">
        <v>44547</v>
      </c>
      <c r="F2490" s="384">
        <v>46372</v>
      </c>
      <c r="G2490" s="378" t="s">
        <v>2837</v>
      </c>
      <c r="H2490" s="20" t="s">
        <v>3547</v>
      </c>
      <c r="I2490" s="378">
        <v>0</v>
      </c>
      <c r="J2490" s="20" t="s">
        <v>2831</v>
      </c>
      <c r="K2490" s="378" t="s">
        <v>3548</v>
      </c>
      <c r="L2490" s="378" t="s">
        <v>3334</v>
      </c>
      <c r="M2490" s="380" t="s">
        <v>443</v>
      </c>
      <c r="N2490" s="380" t="s">
        <v>443</v>
      </c>
      <c r="O2490" s="380" t="s">
        <v>443</v>
      </c>
      <c r="P2490" s="380">
        <v>20038</v>
      </c>
      <c r="Q2490" s="381">
        <v>116001</v>
      </c>
      <c r="R2490" s="381">
        <v>117960</v>
      </c>
      <c r="S2490" s="381">
        <v>-1792.8</v>
      </c>
      <c r="T2490" s="381">
        <v>205.77</v>
      </c>
      <c r="U2490" s="381">
        <v>0</v>
      </c>
      <c r="V2490" s="382">
        <v>118165.77</v>
      </c>
      <c r="W2490" s="382">
        <v>0</v>
      </c>
      <c r="X2490" s="381" t="s">
        <v>443</v>
      </c>
      <c r="Y2490" s="381" t="s">
        <v>443</v>
      </c>
      <c r="Z2490" s="381" t="s">
        <v>443</v>
      </c>
      <c r="AA2490" s="381" t="s">
        <v>443</v>
      </c>
      <c r="AB2490" s="381" t="s">
        <v>443</v>
      </c>
      <c r="AC2490" s="382">
        <v>0</v>
      </c>
      <c r="AD2490" s="382">
        <v>0</v>
      </c>
      <c r="AE2490" s="381" t="s">
        <v>168</v>
      </c>
    </row>
    <row r="2491" spans="1:31" ht="15" customHeight="1" x14ac:dyDescent="0.25">
      <c r="A2491" s="20" t="s">
        <v>3328</v>
      </c>
      <c r="B2491" s="20" t="s">
        <v>3545</v>
      </c>
      <c r="C2491" s="20" t="s">
        <v>3545</v>
      </c>
      <c r="D2491" s="378" t="s">
        <v>3549</v>
      </c>
      <c r="E2491" s="384">
        <v>44776</v>
      </c>
      <c r="F2491" s="384">
        <v>46588</v>
      </c>
      <c r="G2491" s="378" t="s">
        <v>2837</v>
      </c>
      <c r="H2491" s="20" t="s">
        <v>3550</v>
      </c>
      <c r="I2491" s="378">
        <v>0</v>
      </c>
      <c r="J2491" s="20" t="s">
        <v>2831</v>
      </c>
      <c r="K2491" s="378" t="s">
        <v>3551</v>
      </c>
      <c r="L2491" s="378" t="s">
        <v>3334</v>
      </c>
      <c r="M2491" s="380" t="s">
        <v>443</v>
      </c>
      <c r="N2491" s="380" t="s">
        <v>443</v>
      </c>
      <c r="O2491" s="380" t="s">
        <v>443</v>
      </c>
      <c r="P2491" s="380">
        <v>6426</v>
      </c>
      <c r="Q2491" s="381">
        <v>34615</v>
      </c>
      <c r="R2491" s="381">
        <v>34905</v>
      </c>
      <c r="S2491" s="381">
        <v>-424.91200000000003</v>
      </c>
      <c r="T2491" s="381">
        <v>156.64200000000002</v>
      </c>
      <c r="U2491" s="381">
        <v>0</v>
      </c>
      <c r="V2491" s="382">
        <v>35061.642</v>
      </c>
      <c r="W2491" s="382">
        <v>0</v>
      </c>
      <c r="X2491" s="381" t="s">
        <v>443</v>
      </c>
      <c r="Y2491" s="381" t="s">
        <v>443</v>
      </c>
      <c r="Z2491" s="381" t="s">
        <v>443</v>
      </c>
      <c r="AA2491" s="381" t="s">
        <v>443</v>
      </c>
      <c r="AB2491" s="381" t="s">
        <v>443</v>
      </c>
      <c r="AC2491" s="382">
        <v>0</v>
      </c>
      <c r="AD2491" s="382">
        <v>0</v>
      </c>
      <c r="AE2491" s="381" t="s">
        <v>168</v>
      </c>
    </row>
    <row r="2492" spans="1:31" ht="15" customHeight="1" x14ac:dyDescent="0.25">
      <c r="A2492" s="20" t="s">
        <v>3328</v>
      </c>
      <c r="B2492" s="20" t="s">
        <v>3545</v>
      </c>
      <c r="C2492" s="20" t="s">
        <v>3545</v>
      </c>
      <c r="D2492" s="378" t="s">
        <v>3552</v>
      </c>
      <c r="E2492" s="384">
        <v>45268</v>
      </c>
      <c r="F2492" s="384">
        <v>47095</v>
      </c>
      <c r="G2492" s="378" t="s">
        <v>2837</v>
      </c>
      <c r="H2492" s="20" t="s">
        <v>3553</v>
      </c>
      <c r="I2492" s="378">
        <v>0</v>
      </c>
      <c r="J2492" s="20" t="s">
        <v>2831</v>
      </c>
      <c r="K2492" s="378" t="s">
        <v>3554</v>
      </c>
      <c r="L2492" s="378" t="s">
        <v>3334</v>
      </c>
      <c r="M2492" s="380" t="s">
        <v>443</v>
      </c>
      <c r="N2492" s="380" t="s">
        <v>443</v>
      </c>
      <c r="O2492" s="380" t="s">
        <v>443</v>
      </c>
      <c r="P2492" s="380">
        <v>6117.18</v>
      </c>
      <c r="Q2492" s="381">
        <v>20100</v>
      </c>
      <c r="R2492" s="381">
        <v>20300</v>
      </c>
      <c r="S2492" s="381">
        <v>-257</v>
      </c>
      <c r="T2492" s="381">
        <v>19.100000000000001</v>
      </c>
      <c r="U2492" s="381">
        <v>0</v>
      </c>
      <c r="V2492" s="382">
        <v>20319.099999999999</v>
      </c>
      <c r="W2492" s="382">
        <v>0</v>
      </c>
      <c r="X2492" s="381" t="s">
        <v>443</v>
      </c>
      <c r="Y2492" s="381" t="s">
        <v>443</v>
      </c>
      <c r="Z2492" s="381" t="s">
        <v>443</v>
      </c>
      <c r="AA2492" s="381" t="s">
        <v>443</v>
      </c>
      <c r="AB2492" s="381" t="s">
        <v>443</v>
      </c>
      <c r="AC2492" s="382">
        <v>0</v>
      </c>
      <c r="AD2492" s="382">
        <v>0</v>
      </c>
      <c r="AE2492" s="381" t="s">
        <v>168</v>
      </c>
    </row>
    <row r="2493" spans="1:31" ht="15" customHeight="1" x14ac:dyDescent="0.25">
      <c r="A2493" s="20" t="s">
        <v>3328</v>
      </c>
      <c r="B2493" s="20" t="s">
        <v>3545</v>
      </c>
      <c r="C2493" s="20" t="s">
        <v>3545</v>
      </c>
      <c r="D2493" s="378" t="s">
        <v>3555</v>
      </c>
      <c r="E2493" s="384">
        <v>44776</v>
      </c>
      <c r="F2493" s="384">
        <v>46598</v>
      </c>
      <c r="G2493" s="378" t="s">
        <v>2837</v>
      </c>
      <c r="H2493" s="20" t="s">
        <v>3556</v>
      </c>
      <c r="I2493" s="378">
        <v>0</v>
      </c>
      <c r="J2493" s="20" t="s">
        <v>2831</v>
      </c>
      <c r="K2493" s="378" t="s">
        <v>3557</v>
      </c>
      <c r="L2493" s="378" t="s">
        <v>3334</v>
      </c>
      <c r="M2493" s="380" t="s">
        <v>443</v>
      </c>
      <c r="N2493" s="380" t="s">
        <v>443</v>
      </c>
      <c r="O2493" s="380" t="s">
        <v>443</v>
      </c>
      <c r="P2493" s="380">
        <v>7008</v>
      </c>
      <c r="Q2493" s="381">
        <v>37384</v>
      </c>
      <c r="R2493" s="381">
        <v>37614</v>
      </c>
      <c r="S2493" s="381">
        <v>-457.92500000000001</v>
      </c>
      <c r="T2493" s="381">
        <v>150.63300000000001</v>
      </c>
      <c r="U2493" s="381">
        <v>0</v>
      </c>
      <c r="V2493" s="382">
        <v>37764.633000000002</v>
      </c>
      <c r="W2493" s="382">
        <v>0</v>
      </c>
      <c r="X2493" s="381" t="s">
        <v>443</v>
      </c>
      <c r="Y2493" s="381" t="s">
        <v>443</v>
      </c>
      <c r="Z2493" s="381" t="s">
        <v>443</v>
      </c>
      <c r="AA2493" s="381" t="s">
        <v>443</v>
      </c>
      <c r="AB2493" s="381" t="s">
        <v>443</v>
      </c>
      <c r="AC2493" s="382">
        <v>0</v>
      </c>
      <c r="AD2493" s="382">
        <v>0</v>
      </c>
      <c r="AE2493" s="381" t="s">
        <v>168</v>
      </c>
    </row>
    <row r="2494" spans="1:31" ht="15" customHeight="1" x14ac:dyDescent="0.25">
      <c r="A2494" s="20" t="s">
        <v>3328</v>
      </c>
      <c r="B2494" s="20" t="s">
        <v>3545</v>
      </c>
      <c r="C2494" s="20" t="s">
        <v>3545</v>
      </c>
      <c r="D2494" s="378" t="s">
        <v>3558</v>
      </c>
      <c r="E2494" s="384">
        <v>45183</v>
      </c>
      <c r="F2494" s="384">
        <v>47009</v>
      </c>
      <c r="G2494" s="378" t="s">
        <v>2837</v>
      </c>
      <c r="H2494" s="20" t="s">
        <v>3559</v>
      </c>
      <c r="I2494" s="378">
        <v>0</v>
      </c>
      <c r="J2494" s="20" t="s">
        <v>2831</v>
      </c>
      <c r="K2494" s="378" t="s">
        <v>3560</v>
      </c>
      <c r="L2494" s="378" t="s">
        <v>3334</v>
      </c>
      <c r="M2494" s="380" t="s">
        <v>443</v>
      </c>
      <c r="N2494" s="380" t="s">
        <v>443</v>
      </c>
      <c r="O2494" s="380" t="s">
        <v>443</v>
      </c>
      <c r="P2494" s="380">
        <v>6557</v>
      </c>
      <c r="Q2494" s="381">
        <v>41057</v>
      </c>
      <c r="R2494" s="381">
        <v>41107</v>
      </c>
      <c r="S2494" s="381">
        <v>-154</v>
      </c>
      <c r="T2494" s="381">
        <v>132.17000000000002</v>
      </c>
      <c r="U2494" s="381">
        <v>0</v>
      </c>
      <c r="V2494" s="382">
        <v>41239.17</v>
      </c>
      <c r="W2494" s="382">
        <v>0</v>
      </c>
      <c r="X2494" s="381" t="s">
        <v>443</v>
      </c>
      <c r="Y2494" s="381" t="s">
        <v>443</v>
      </c>
      <c r="Z2494" s="381" t="s">
        <v>443</v>
      </c>
      <c r="AA2494" s="381" t="s">
        <v>443</v>
      </c>
      <c r="AB2494" s="381" t="s">
        <v>443</v>
      </c>
      <c r="AC2494" s="382">
        <v>0</v>
      </c>
      <c r="AD2494" s="382">
        <v>0</v>
      </c>
      <c r="AE2494" s="381" t="s">
        <v>168</v>
      </c>
    </row>
    <row r="2495" spans="1:31" ht="15" customHeight="1" x14ac:dyDescent="0.25">
      <c r="A2495" s="20" t="s">
        <v>3561</v>
      </c>
      <c r="B2495" s="20" t="s">
        <v>3562</v>
      </c>
      <c r="C2495" s="20" t="s">
        <v>3561</v>
      </c>
      <c r="D2495" s="378" t="s">
        <v>3563</v>
      </c>
      <c r="E2495" s="384" t="s">
        <v>3564</v>
      </c>
      <c r="F2495" s="384" t="s">
        <v>3565</v>
      </c>
      <c r="G2495" s="378" t="s">
        <v>439</v>
      </c>
      <c r="H2495" s="20" t="s">
        <v>3566</v>
      </c>
      <c r="I2495" s="378" t="s">
        <v>168</v>
      </c>
      <c r="J2495" s="20" t="s">
        <v>163</v>
      </c>
      <c r="K2495" s="378" t="s">
        <v>3567</v>
      </c>
      <c r="L2495" s="378" t="s">
        <v>2789</v>
      </c>
      <c r="M2495" s="380" t="s">
        <v>443</v>
      </c>
      <c r="N2495" s="380">
        <v>5.4</v>
      </c>
      <c r="O2495" s="380" t="s">
        <v>443</v>
      </c>
      <c r="P2495" s="380" t="s">
        <v>443</v>
      </c>
      <c r="Q2495" s="381">
        <v>4.5199999999999996</v>
      </c>
      <c r="R2495" s="381">
        <v>4.9000000000000004</v>
      </c>
      <c r="S2495" s="381">
        <v>-0.374</v>
      </c>
      <c r="T2495" s="381">
        <v>7.8600000000000002E-4</v>
      </c>
      <c r="U2495" s="381">
        <v>0</v>
      </c>
      <c r="V2495" s="382">
        <v>4.9007860000000001</v>
      </c>
      <c r="W2495" s="382">
        <v>0</v>
      </c>
      <c r="X2495" s="381">
        <v>0.83703703703703691</v>
      </c>
      <c r="Y2495" s="381">
        <v>0.90740740740740744</v>
      </c>
      <c r="Z2495" s="381">
        <v>-6.9259259259259257E-2</v>
      </c>
      <c r="AA2495" s="381">
        <v>1.4555555555555554E-4</v>
      </c>
      <c r="AB2495" s="381">
        <v>0</v>
      </c>
      <c r="AC2495" s="382">
        <v>0.90755296296296295</v>
      </c>
      <c r="AD2495" s="382">
        <v>0</v>
      </c>
      <c r="AE2495" s="381" t="s">
        <v>444</v>
      </c>
    </row>
    <row r="2496" spans="1:31" ht="15" customHeight="1" x14ac:dyDescent="0.25">
      <c r="A2496" s="20" t="s">
        <v>3561</v>
      </c>
      <c r="B2496" s="20" t="s">
        <v>3562</v>
      </c>
      <c r="C2496" s="20" t="s">
        <v>3561</v>
      </c>
      <c r="D2496" s="378" t="s">
        <v>3568</v>
      </c>
      <c r="E2496" s="384" t="s">
        <v>3564</v>
      </c>
      <c r="F2496" s="384" t="s">
        <v>3565</v>
      </c>
      <c r="G2496" s="378" t="s">
        <v>439</v>
      </c>
      <c r="H2496" s="20" t="s">
        <v>3566</v>
      </c>
      <c r="I2496" s="378" t="s">
        <v>168</v>
      </c>
      <c r="J2496" s="20" t="s">
        <v>163</v>
      </c>
      <c r="K2496" s="378" t="s">
        <v>3567</v>
      </c>
      <c r="L2496" s="378" t="s">
        <v>2789</v>
      </c>
      <c r="M2496" s="380" t="s">
        <v>443</v>
      </c>
      <c r="N2496" s="380">
        <v>7.2</v>
      </c>
      <c r="O2496" s="380" t="s">
        <v>443</v>
      </c>
      <c r="P2496" s="380" t="s">
        <v>443</v>
      </c>
      <c r="Q2496" s="381">
        <v>6.34</v>
      </c>
      <c r="R2496" s="381">
        <v>6.89</v>
      </c>
      <c r="S2496" s="381">
        <v>-0.55700000000000005</v>
      </c>
      <c r="T2496" s="381">
        <v>1.1100000000000001E-3</v>
      </c>
      <c r="U2496" s="381">
        <v>0</v>
      </c>
      <c r="V2496" s="382">
        <v>6.8911099999999994</v>
      </c>
      <c r="W2496" s="382">
        <v>0</v>
      </c>
      <c r="X2496" s="381">
        <v>0.88055555555555554</v>
      </c>
      <c r="Y2496" s="381">
        <v>0.95694444444444438</v>
      </c>
      <c r="Z2496" s="381">
        <v>-7.7361111111111117E-2</v>
      </c>
      <c r="AA2496" s="381">
        <v>1.5416666666666668E-4</v>
      </c>
      <c r="AB2496" s="381">
        <v>0</v>
      </c>
      <c r="AC2496" s="382">
        <v>0.95709861111111105</v>
      </c>
      <c r="AD2496" s="382">
        <v>0</v>
      </c>
      <c r="AE2496" s="381" t="s">
        <v>444</v>
      </c>
    </row>
    <row r="2497" spans="1:31" ht="15" customHeight="1" x14ac:dyDescent="0.25">
      <c r="A2497" s="20" t="s">
        <v>3561</v>
      </c>
      <c r="B2497" s="20" t="s">
        <v>3562</v>
      </c>
      <c r="C2497" s="20" t="s">
        <v>3561</v>
      </c>
      <c r="D2497" s="378" t="s">
        <v>3569</v>
      </c>
      <c r="E2497" s="384" t="s">
        <v>3564</v>
      </c>
      <c r="F2497" s="384" t="s">
        <v>3565</v>
      </c>
      <c r="G2497" s="378" t="s">
        <v>439</v>
      </c>
      <c r="H2497" s="20" t="s">
        <v>3566</v>
      </c>
      <c r="I2497" s="378" t="s">
        <v>168</v>
      </c>
      <c r="J2497" s="20" t="s">
        <v>163</v>
      </c>
      <c r="K2497" s="378" t="s">
        <v>3567</v>
      </c>
      <c r="L2497" s="378" t="s">
        <v>2789</v>
      </c>
      <c r="M2497" s="380" t="s">
        <v>443</v>
      </c>
      <c r="N2497" s="380">
        <v>5.4</v>
      </c>
      <c r="O2497" s="380" t="s">
        <v>443</v>
      </c>
      <c r="P2497" s="380" t="s">
        <v>443</v>
      </c>
      <c r="Q2497" s="381">
        <v>4.46</v>
      </c>
      <c r="R2497" s="381">
        <v>4.8499999999999996</v>
      </c>
      <c r="S2497" s="381">
        <v>-0.38900000000000001</v>
      </c>
      <c r="T2497" s="381">
        <v>7.7800000000000005E-4</v>
      </c>
      <c r="U2497" s="381">
        <v>0</v>
      </c>
      <c r="V2497" s="382">
        <v>4.850778</v>
      </c>
      <c r="W2497" s="382">
        <v>0</v>
      </c>
      <c r="X2497" s="381">
        <v>0.82592592592592584</v>
      </c>
      <c r="Y2497" s="381">
        <v>0.89814814814814803</v>
      </c>
      <c r="Z2497" s="381">
        <v>-7.2037037037037038E-2</v>
      </c>
      <c r="AA2497" s="381">
        <v>1.4407407407407408E-4</v>
      </c>
      <c r="AB2497" s="381">
        <v>0</v>
      </c>
      <c r="AC2497" s="382">
        <v>0.89829222222222205</v>
      </c>
      <c r="AD2497" s="382">
        <v>0</v>
      </c>
      <c r="AE2497" s="381" t="s">
        <v>444</v>
      </c>
    </row>
    <row r="2498" spans="1:31" ht="15" customHeight="1" x14ac:dyDescent="0.25">
      <c r="A2498" s="20" t="s">
        <v>3561</v>
      </c>
      <c r="B2498" s="20" t="s">
        <v>3562</v>
      </c>
      <c r="C2498" s="20" t="s">
        <v>3561</v>
      </c>
      <c r="D2498" s="378" t="s">
        <v>3570</v>
      </c>
      <c r="E2498" s="384" t="s">
        <v>3564</v>
      </c>
      <c r="F2498" s="384" t="s">
        <v>3565</v>
      </c>
      <c r="G2498" s="378" t="s">
        <v>439</v>
      </c>
      <c r="H2498" s="20" t="s">
        <v>3566</v>
      </c>
      <c r="I2498" s="378" t="s">
        <v>168</v>
      </c>
      <c r="J2498" s="20" t="s">
        <v>163</v>
      </c>
      <c r="K2498" s="378" t="s">
        <v>3567</v>
      </c>
      <c r="L2498" s="378" t="s">
        <v>2789</v>
      </c>
      <c r="M2498" s="380" t="s">
        <v>443</v>
      </c>
      <c r="N2498" s="380">
        <v>11.04</v>
      </c>
      <c r="O2498" s="380" t="s">
        <v>443</v>
      </c>
      <c r="P2498" s="380" t="s">
        <v>443</v>
      </c>
      <c r="Q2498" s="381">
        <v>9.1300000000000008</v>
      </c>
      <c r="R2498" s="381">
        <v>9.9499999999999993</v>
      </c>
      <c r="S2498" s="381">
        <v>-0.82199999999999995</v>
      </c>
      <c r="T2498" s="381">
        <v>1.5E-3</v>
      </c>
      <c r="U2498" s="381">
        <v>0</v>
      </c>
      <c r="V2498" s="382">
        <v>9.9514999999999993</v>
      </c>
      <c r="W2498" s="382">
        <v>0</v>
      </c>
      <c r="X2498" s="381">
        <v>0.82699275362318858</v>
      </c>
      <c r="Y2498" s="381">
        <v>0.90126811594202894</v>
      </c>
      <c r="Z2498" s="381">
        <v>-7.4456521739130435E-2</v>
      </c>
      <c r="AA2498" s="381">
        <v>1.3586956521739131E-4</v>
      </c>
      <c r="AB2498" s="381">
        <v>0</v>
      </c>
      <c r="AC2498" s="382">
        <v>0.90140398550724632</v>
      </c>
      <c r="AD2498" s="382">
        <v>0</v>
      </c>
      <c r="AE2498" s="381" t="s">
        <v>444</v>
      </c>
    </row>
    <row r="2499" spans="1:31" ht="15" customHeight="1" x14ac:dyDescent="0.25">
      <c r="A2499" s="20" t="s">
        <v>3561</v>
      </c>
      <c r="B2499" s="20" t="s">
        <v>3562</v>
      </c>
      <c r="C2499" s="20" t="s">
        <v>3561</v>
      </c>
      <c r="D2499" s="378" t="s">
        <v>3571</v>
      </c>
      <c r="E2499" s="384" t="s">
        <v>3564</v>
      </c>
      <c r="F2499" s="384" t="s">
        <v>3565</v>
      </c>
      <c r="G2499" s="378" t="s">
        <v>439</v>
      </c>
      <c r="H2499" s="20" t="s">
        <v>3566</v>
      </c>
      <c r="I2499" s="378" t="s">
        <v>168</v>
      </c>
      <c r="J2499" s="20" t="s">
        <v>163</v>
      </c>
      <c r="K2499" s="378" t="s">
        <v>3567</v>
      </c>
      <c r="L2499" s="378" t="s">
        <v>2789</v>
      </c>
      <c r="M2499" s="380" t="s">
        <v>443</v>
      </c>
      <c r="N2499" s="380">
        <v>9</v>
      </c>
      <c r="O2499" s="380" t="s">
        <v>443</v>
      </c>
      <c r="P2499" s="380" t="s">
        <v>443</v>
      </c>
      <c r="Q2499" s="381">
        <v>7.21</v>
      </c>
      <c r="R2499" s="381">
        <v>7.95</v>
      </c>
      <c r="S2499" s="381">
        <v>-0.73199999999999998</v>
      </c>
      <c r="T2499" s="381">
        <v>1.31E-3</v>
      </c>
      <c r="U2499" s="381">
        <v>0</v>
      </c>
      <c r="V2499" s="382">
        <v>7.9513100000000003</v>
      </c>
      <c r="W2499" s="382">
        <v>0</v>
      </c>
      <c r="X2499" s="381">
        <v>0.80111111111111111</v>
      </c>
      <c r="Y2499" s="381">
        <v>0.8833333333333333</v>
      </c>
      <c r="Z2499" s="381">
        <v>-8.1333333333333327E-2</v>
      </c>
      <c r="AA2499" s="381">
        <v>1.4555555555555556E-4</v>
      </c>
      <c r="AB2499" s="381">
        <v>0</v>
      </c>
      <c r="AC2499" s="382">
        <v>0.88347888888888881</v>
      </c>
      <c r="AD2499" s="382">
        <v>0</v>
      </c>
      <c r="AE2499" s="381" t="s">
        <v>444</v>
      </c>
    </row>
    <row r="2500" spans="1:31" ht="15" customHeight="1" x14ac:dyDescent="0.25">
      <c r="A2500" s="20" t="s">
        <v>3561</v>
      </c>
      <c r="B2500" s="20" t="s">
        <v>3562</v>
      </c>
      <c r="C2500" s="20" t="s">
        <v>3561</v>
      </c>
      <c r="D2500" s="378" t="s">
        <v>3572</v>
      </c>
      <c r="E2500" s="384" t="s">
        <v>3564</v>
      </c>
      <c r="F2500" s="384" t="s">
        <v>3565</v>
      </c>
      <c r="G2500" s="378" t="s">
        <v>439</v>
      </c>
      <c r="H2500" s="20" t="s">
        <v>3566</v>
      </c>
      <c r="I2500" s="378" t="s">
        <v>168</v>
      </c>
      <c r="J2500" s="20" t="s">
        <v>163</v>
      </c>
      <c r="K2500" s="378" t="s">
        <v>3567</v>
      </c>
      <c r="L2500" s="378" t="s">
        <v>2789</v>
      </c>
      <c r="M2500" s="380" t="s">
        <v>443</v>
      </c>
      <c r="N2500" s="380">
        <v>13.7</v>
      </c>
      <c r="O2500" s="380" t="s">
        <v>443</v>
      </c>
      <c r="P2500" s="380" t="s">
        <v>443</v>
      </c>
      <c r="Q2500" s="381">
        <v>11.1</v>
      </c>
      <c r="R2500" s="381">
        <v>12.3</v>
      </c>
      <c r="S2500" s="381">
        <v>-1.1299999999999999</v>
      </c>
      <c r="T2500" s="381">
        <v>2.2300000000000002E-3</v>
      </c>
      <c r="U2500" s="381">
        <v>0</v>
      </c>
      <c r="V2500" s="382">
        <v>12.302230000000002</v>
      </c>
      <c r="W2500" s="382">
        <v>0</v>
      </c>
      <c r="X2500" s="381">
        <v>0.81021897810218979</v>
      </c>
      <c r="Y2500" s="381">
        <v>0.89781021897810231</v>
      </c>
      <c r="Z2500" s="381">
        <v>-8.2481751824817512E-2</v>
      </c>
      <c r="AA2500" s="381">
        <v>1.6277372262773725E-4</v>
      </c>
      <c r="AB2500" s="381">
        <v>0</v>
      </c>
      <c r="AC2500" s="382">
        <v>0.89797299270073005</v>
      </c>
      <c r="AD2500" s="382">
        <v>0</v>
      </c>
      <c r="AE2500" s="381" t="s">
        <v>444</v>
      </c>
    </row>
    <row r="2501" spans="1:31" ht="15" customHeight="1" x14ac:dyDescent="0.25">
      <c r="A2501" s="20" t="s">
        <v>3561</v>
      </c>
      <c r="B2501" s="20" t="s">
        <v>3562</v>
      </c>
      <c r="C2501" s="20" t="s">
        <v>3561</v>
      </c>
      <c r="D2501" s="378" t="s">
        <v>3573</v>
      </c>
      <c r="E2501" s="384" t="s">
        <v>3564</v>
      </c>
      <c r="F2501" s="384" t="s">
        <v>3565</v>
      </c>
      <c r="G2501" s="378" t="s">
        <v>439</v>
      </c>
      <c r="H2501" s="20" t="s">
        <v>3566</v>
      </c>
      <c r="I2501" s="378" t="s">
        <v>168</v>
      </c>
      <c r="J2501" s="20" t="s">
        <v>163</v>
      </c>
      <c r="K2501" s="378" t="s">
        <v>3567</v>
      </c>
      <c r="L2501" s="378" t="s">
        <v>2789</v>
      </c>
      <c r="M2501" s="380" t="s">
        <v>443</v>
      </c>
      <c r="N2501" s="380">
        <v>10.199999999999999</v>
      </c>
      <c r="O2501" s="380" t="s">
        <v>443</v>
      </c>
      <c r="P2501" s="380" t="s">
        <v>443</v>
      </c>
      <c r="Q2501" s="381">
        <v>8.93</v>
      </c>
      <c r="R2501" s="381">
        <v>9.7899999999999991</v>
      </c>
      <c r="S2501" s="381">
        <v>-0.86799999999999999</v>
      </c>
      <c r="T2501" s="381">
        <v>1.6000000000000001E-3</v>
      </c>
      <c r="U2501" s="381">
        <v>0</v>
      </c>
      <c r="V2501" s="382">
        <v>9.791599999999999</v>
      </c>
      <c r="W2501" s="382">
        <v>0</v>
      </c>
      <c r="X2501" s="381">
        <v>0.87549019607843137</v>
      </c>
      <c r="Y2501" s="381">
        <v>0.95980392156862748</v>
      </c>
      <c r="Z2501" s="381">
        <v>-8.5098039215686275E-2</v>
      </c>
      <c r="AA2501" s="381">
        <v>1.5686274509803925E-4</v>
      </c>
      <c r="AB2501" s="381">
        <v>0</v>
      </c>
      <c r="AC2501" s="382">
        <v>0.95996078431372556</v>
      </c>
      <c r="AD2501" s="382">
        <v>0</v>
      </c>
      <c r="AE2501" s="381" t="s">
        <v>444</v>
      </c>
    </row>
    <row r="2502" spans="1:31" ht="15" customHeight="1" x14ac:dyDescent="0.25">
      <c r="A2502" s="20" t="s">
        <v>3561</v>
      </c>
      <c r="B2502" s="20" t="s">
        <v>3562</v>
      </c>
      <c r="C2502" s="20" t="s">
        <v>3561</v>
      </c>
      <c r="D2502" s="378" t="s">
        <v>3574</v>
      </c>
      <c r="E2502" s="384" t="s">
        <v>3564</v>
      </c>
      <c r="F2502" s="384" t="s">
        <v>3565</v>
      </c>
      <c r="G2502" s="378" t="s">
        <v>439</v>
      </c>
      <c r="H2502" s="20" t="s">
        <v>3566</v>
      </c>
      <c r="I2502" s="378" t="s">
        <v>168</v>
      </c>
      <c r="J2502" s="20" t="s">
        <v>163</v>
      </c>
      <c r="K2502" s="378" t="s">
        <v>3567</v>
      </c>
      <c r="L2502" s="378" t="s">
        <v>2789</v>
      </c>
      <c r="M2502" s="380" t="s">
        <v>443</v>
      </c>
      <c r="N2502" s="380">
        <v>15.4</v>
      </c>
      <c r="O2502" s="380" t="s">
        <v>443</v>
      </c>
      <c r="P2502" s="380" t="s">
        <v>443</v>
      </c>
      <c r="Q2502" s="381">
        <v>15.1</v>
      </c>
      <c r="R2502" s="381">
        <v>16.3</v>
      </c>
      <c r="S2502" s="381">
        <v>-1.24</v>
      </c>
      <c r="T2502" s="381">
        <v>2.3600000000000001E-3</v>
      </c>
      <c r="U2502" s="381">
        <v>0</v>
      </c>
      <c r="V2502" s="382">
        <v>16.30236</v>
      </c>
      <c r="W2502" s="382">
        <v>0</v>
      </c>
      <c r="X2502" s="381">
        <v>0.98051948051948046</v>
      </c>
      <c r="Y2502" s="381">
        <v>1.0584415584415585</v>
      </c>
      <c r="Z2502" s="381">
        <v>-8.0519480519480519E-2</v>
      </c>
      <c r="AA2502" s="381">
        <v>1.5324675324675325E-4</v>
      </c>
      <c r="AB2502" s="381">
        <v>0</v>
      </c>
      <c r="AC2502" s="382">
        <v>1.0585948051948053</v>
      </c>
      <c r="AD2502" s="382">
        <v>0</v>
      </c>
      <c r="AE2502" s="381" t="s">
        <v>444</v>
      </c>
    </row>
    <row r="2503" spans="1:31" ht="15" customHeight="1" x14ac:dyDescent="0.25">
      <c r="A2503" s="20" t="s">
        <v>3561</v>
      </c>
      <c r="B2503" s="20" t="s">
        <v>3562</v>
      </c>
      <c r="C2503" s="20" t="s">
        <v>3561</v>
      </c>
      <c r="D2503" s="378" t="s">
        <v>3575</v>
      </c>
      <c r="E2503" s="384" t="s">
        <v>3564</v>
      </c>
      <c r="F2503" s="384" t="s">
        <v>3565</v>
      </c>
      <c r="G2503" s="378" t="s">
        <v>439</v>
      </c>
      <c r="H2503" s="20" t="s">
        <v>3566</v>
      </c>
      <c r="I2503" s="378" t="s">
        <v>168</v>
      </c>
      <c r="J2503" s="20" t="s">
        <v>163</v>
      </c>
      <c r="K2503" s="378" t="s">
        <v>3567</v>
      </c>
      <c r="L2503" s="378" t="s">
        <v>2789</v>
      </c>
      <c r="M2503" s="380" t="s">
        <v>443</v>
      </c>
      <c r="N2503" s="380">
        <v>17.600000000000001</v>
      </c>
      <c r="O2503" s="380" t="s">
        <v>443</v>
      </c>
      <c r="P2503" s="380" t="s">
        <v>443</v>
      </c>
      <c r="Q2503" s="381">
        <v>15.8</v>
      </c>
      <c r="R2503" s="381">
        <v>17.100000000000001</v>
      </c>
      <c r="S2503" s="381">
        <v>-1.32</v>
      </c>
      <c r="T2503" s="381">
        <v>2.49E-3</v>
      </c>
      <c r="U2503" s="381">
        <v>0</v>
      </c>
      <c r="V2503" s="382">
        <v>17.10249</v>
      </c>
      <c r="W2503" s="382">
        <v>0</v>
      </c>
      <c r="X2503" s="381">
        <v>0.89772727272727271</v>
      </c>
      <c r="Y2503" s="381">
        <v>0.97159090909090906</v>
      </c>
      <c r="Z2503" s="381">
        <v>-7.4999999999999997E-2</v>
      </c>
      <c r="AA2503" s="381">
        <v>1.4147727272727272E-4</v>
      </c>
      <c r="AB2503" s="381">
        <v>0</v>
      </c>
      <c r="AC2503" s="382">
        <v>0.97173238636363635</v>
      </c>
      <c r="AD2503" s="382">
        <v>0</v>
      </c>
      <c r="AE2503" s="381" t="s">
        <v>444</v>
      </c>
    </row>
    <row r="2504" spans="1:31" ht="15" customHeight="1" x14ac:dyDescent="0.25">
      <c r="A2504" s="20" t="s">
        <v>3561</v>
      </c>
      <c r="B2504" s="20" t="s">
        <v>3562</v>
      </c>
      <c r="C2504" s="20" t="s">
        <v>3561</v>
      </c>
      <c r="D2504" s="378" t="s">
        <v>3576</v>
      </c>
      <c r="E2504" s="384" t="s">
        <v>3564</v>
      </c>
      <c r="F2504" s="384" t="s">
        <v>3565</v>
      </c>
      <c r="G2504" s="378" t="s">
        <v>439</v>
      </c>
      <c r="H2504" s="20" t="s">
        <v>3566</v>
      </c>
      <c r="I2504" s="378" t="s">
        <v>168</v>
      </c>
      <c r="J2504" s="20" t="s">
        <v>163</v>
      </c>
      <c r="K2504" s="378" t="s">
        <v>3567</v>
      </c>
      <c r="L2504" s="378" t="s">
        <v>2789</v>
      </c>
      <c r="M2504" s="380" t="s">
        <v>443</v>
      </c>
      <c r="N2504" s="380">
        <v>15.36</v>
      </c>
      <c r="O2504" s="380" t="s">
        <v>443</v>
      </c>
      <c r="P2504" s="380" t="s">
        <v>443</v>
      </c>
      <c r="Q2504" s="381">
        <v>14</v>
      </c>
      <c r="R2504" s="381">
        <v>15.2</v>
      </c>
      <c r="S2504" s="381">
        <v>-1.1399999999999999</v>
      </c>
      <c r="T2504" s="381">
        <v>2.1700000000000001E-3</v>
      </c>
      <c r="U2504" s="381">
        <v>0</v>
      </c>
      <c r="V2504" s="382">
        <v>15.202169999999999</v>
      </c>
      <c r="W2504" s="382">
        <v>0</v>
      </c>
      <c r="X2504" s="381">
        <v>0.91145833333333337</v>
      </c>
      <c r="Y2504" s="381">
        <v>0.98958333333333337</v>
      </c>
      <c r="Z2504" s="381">
        <v>-7.421875E-2</v>
      </c>
      <c r="AA2504" s="381">
        <v>1.4127604166666667E-4</v>
      </c>
      <c r="AB2504" s="381">
        <v>0</v>
      </c>
      <c r="AC2504" s="382">
        <v>0.98972460937500006</v>
      </c>
      <c r="AD2504" s="382">
        <v>0</v>
      </c>
      <c r="AE2504" s="381" t="s">
        <v>444</v>
      </c>
    </row>
    <row r="2505" spans="1:31" ht="15" customHeight="1" x14ac:dyDescent="0.25">
      <c r="A2505" s="20" t="s">
        <v>3561</v>
      </c>
      <c r="B2505" s="20" t="s">
        <v>3562</v>
      </c>
      <c r="C2505" s="20" t="s">
        <v>3561</v>
      </c>
      <c r="D2505" s="378" t="s">
        <v>3577</v>
      </c>
      <c r="E2505" s="384" t="s">
        <v>3564</v>
      </c>
      <c r="F2505" s="384" t="s">
        <v>3565</v>
      </c>
      <c r="G2505" s="378" t="s">
        <v>439</v>
      </c>
      <c r="H2505" s="20" t="s">
        <v>3566</v>
      </c>
      <c r="I2505" s="378" t="s">
        <v>168</v>
      </c>
      <c r="J2505" s="20" t="s">
        <v>163</v>
      </c>
      <c r="K2505" s="378" t="s">
        <v>3567</v>
      </c>
      <c r="L2505" s="378" t="s">
        <v>2789</v>
      </c>
      <c r="M2505" s="380" t="s">
        <v>443</v>
      </c>
      <c r="N2505" s="380">
        <v>31</v>
      </c>
      <c r="O2505" s="380" t="s">
        <v>443</v>
      </c>
      <c r="P2505" s="380" t="s">
        <v>443</v>
      </c>
      <c r="Q2505" s="381">
        <v>29.7</v>
      </c>
      <c r="R2505" s="381">
        <v>32.5</v>
      </c>
      <c r="S2505" s="381">
        <v>-2.81</v>
      </c>
      <c r="T2505" s="381">
        <v>5.4000000000000003E-3</v>
      </c>
      <c r="U2505" s="381">
        <v>0</v>
      </c>
      <c r="V2505" s="382">
        <v>32.505400000000002</v>
      </c>
      <c r="W2505" s="382">
        <v>0</v>
      </c>
      <c r="X2505" s="381">
        <v>0.95806451612903221</v>
      </c>
      <c r="Y2505" s="381">
        <v>1.0483870967741935</v>
      </c>
      <c r="Z2505" s="381">
        <v>-9.0645161290322587E-2</v>
      </c>
      <c r="AA2505" s="381">
        <v>1.7419354838709678E-4</v>
      </c>
      <c r="AB2505" s="381">
        <v>0</v>
      </c>
      <c r="AC2505" s="382">
        <v>1.0485612903225805</v>
      </c>
      <c r="AD2505" s="382">
        <v>0</v>
      </c>
      <c r="AE2505" s="381" t="s">
        <v>444</v>
      </c>
    </row>
    <row r="2506" spans="1:31" ht="15" customHeight="1" x14ac:dyDescent="0.25">
      <c r="A2506" s="20" t="s">
        <v>3561</v>
      </c>
      <c r="B2506" s="20" t="s">
        <v>3562</v>
      </c>
      <c r="C2506" s="20" t="s">
        <v>3561</v>
      </c>
      <c r="D2506" s="378" t="s">
        <v>3578</v>
      </c>
      <c r="E2506" s="384" t="s">
        <v>3564</v>
      </c>
      <c r="F2506" s="384" t="s">
        <v>3565</v>
      </c>
      <c r="G2506" s="378" t="s">
        <v>439</v>
      </c>
      <c r="H2506" s="20" t="s">
        <v>3566</v>
      </c>
      <c r="I2506" s="378" t="s">
        <v>168</v>
      </c>
      <c r="J2506" s="20" t="s">
        <v>163</v>
      </c>
      <c r="K2506" s="378" t="s">
        <v>3567</v>
      </c>
      <c r="L2506" s="378" t="s">
        <v>2789</v>
      </c>
      <c r="M2506" s="380" t="s">
        <v>443</v>
      </c>
      <c r="N2506" s="380">
        <v>20.8</v>
      </c>
      <c r="O2506" s="380" t="s">
        <v>443</v>
      </c>
      <c r="P2506" s="380" t="s">
        <v>443</v>
      </c>
      <c r="Q2506" s="381">
        <v>15.7</v>
      </c>
      <c r="R2506" s="381">
        <v>18.399999999999999</v>
      </c>
      <c r="S2506" s="381">
        <v>-2.66</v>
      </c>
      <c r="T2506" s="381">
        <v>2.63E-3</v>
      </c>
      <c r="U2506" s="381">
        <v>0</v>
      </c>
      <c r="V2506" s="382">
        <v>18.402629999999998</v>
      </c>
      <c r="W2506" s="382">
        <v>0</v>
      </c>
      <c r="X2506" s="381">
        <v>0.75480769230769229</v>
      </c>
      <c r="Y2506" s="381">
        <v>0.88461538461538447</v>
      </c>
      <c r="Z2506" s="381">
        <v>-0.12788461538461537</v>
      </c>
      <c r="AA2506" s="381">
        <v>1.2644230769230769E-4</v>
      </c>
      <c r="AB2506" s="381">
        <v>0</v>
      </c>
      <c r="AC2506" s="382">
        <v>0.88474182692307679</v>
      </c>
      <c r="AD2506" s="382">
        <v>0</v>
      </c>
      <c r="AE2506" s="381" t="s">
        <v>444</v>
      </c>
    </row>
    <row r="2507" spans="1:31" ht="15" customHeight="1" x14ac:dyDescent="0.25">
      <c r="A2507" s="20" t="s">
        <v>3561</v>
      </c>
      <c r="B2507" s="20" t="s">
        <v>3562</v>
      </c>
      <c r="C2507" s="20" t="s">
        <v>3561</v>
      </c>
      <c r="D2507" s="378" t="s">
        <v>3579</v>
      </c>
      <c r="E2507" s="384" t="s">
        <v>3564</v>
      </c>
      <c r="F2507" s="384" t="s">
        <v>3565</v>
      </c>
      <c r="G2507" s="378" t="s">
        <v>439</v>
      </c>
      <c r="H2507" s="20" t="s">
        <v>3566</v>
      </c>
      <c r="I2507" s="378" t="s">
        <v>168</v>
      </c>
      <c r="J2507" s="20" t="s">
        <v>163</v>
      </c>
      <c r="K2507" s="378" t="s">
        <v>3567</v>
      </c>
      <c r="L2507" s="378" t="s">
        <v>2789</v>
      </c>
      <c r="M2507" s="380" t="s">
        <v>443</v>
      </c>
      <c r="N2507" s="380">
        <v>7.2</v>
      </c>
      <c r="O2507" s="380" t="s">
        <v>443</v>
      </c>
      <c r="P2507" s="380" t="s">
        <v>443</v>
      </c>
      <c r="Q2507" s="381">
        <v>5.72</v>
      </c>
      <c r="R2507" s="381">
        <v>6.22</v>
      </c>
      <c r="S2507" s="381">
        <v>-0.49399999999999999</v>
      </c>
      <c r="T2507" s="381">
        <v>9.5100000000000002E-4</v>
      </c>
      <c r="U2507" s="381">
        <v>0</v>
      </c>
      <c r="V2507" s="382">
        <v>6.2209509999999995</v>
      </c>
      <c r="W2507" s="382">
        <v>0</v>
      </c>
      <c r="X2507" s="381">
        <v>0.7944444444444444</v>
      </c>
      <c r="Y2507" s="381">
        <v>0.86388888888888882</v>
      </c>
      <c r="Z2507" s="381">
        <v>-6.8611111111111109E-2</v>
      </c>
      <c r="AA2507" s="381">
        <v>1.3208333333333334E-4</v>
      </c>
      <c r="AB2507" s="381">
        <v>0</v>
      </c>
      <c r="AC2507" s="382">
        <v>0.86402097222222218</v>
      </c>
      <c r="AD2507" s="382">
        <v>0</v>
      </c>
      <c r="AE2507" s="381" t="s">
        <v>444</v>
      </c>
    </row>
    <row r="2508" spans="1:31" ht="15" customHeight="1" x14ac:dyDescent="0.25">
      <c r="A2508" s="20" t="s">
        <v>3561</v>
      </c>
      <c r="B2508" s="20" t="s">
        <v>3562</v>
      </c>
      <c r="C2508" s="20" t="s">
        <v>3561</v>
      </c>
      <c r="D2508" s="378" t="s">
        <v>3580</v>
      </c>
      <c r="E2508" s="384" t="s">
        <v>3564</v>
      </c>
      <c r="F2508" s="384" t="s">
        <v>3565</v>
      </c>
      <c r="G2508" s="378" t="s">
        <v>439</v>
      </c>
      <c r="H2508" s="20" t="s">
        <v>3566</v>
      </c>
      <c r="I2508" s="378" t="s">
        <v>168</v>
      </c>
      <c r="J2508" s="20" t="s">
        <v>163</v>
      </c>
      <c r="K2508" s="378" t="s">
        <v>3567</v>
      </c>
      <c r="L2508" s="378" t="s">
        <v>2789</v>
      </c>
      <c r="M2508" s="380" t="s">
        <v>443</v>
      </c>
      <c r="N2508" s="380">
        <v>10.8</v>
      </c>
      <c r="O2508" s="380" t="s">
        <v>443</v>
      </c>
      <c r="P2508" s="380" t="s">
        <v>443</v>
      </c>
      <c r="Q2508" s="381">
        <v>8.5399999999999991</v>
      </c>
      <c r="R2508" s="381">
        <v>9.2899999999999991</v>
      </c>
      <c r="S2508" s="381">
        <v>-0.753</v>
      </c>
      <c r="T2508" s="381">
        <v>1.42E-3</v>
      </c>
      <c r="U2508" s="381">
        <v>0</v>
      </c>
      <c r="V2508" s="382">
        <v>9.2914199999999987</v>
      </c>
      <c r="W2508" s="382">
        <v>0</v>
      </c>
      <c r="X2508" s="381">
        <v>0.79074074074074063</v>
      </c>
      <c r="Y2508" s="381">
        <v>0.86018518518518505</v>
      </c>
      <c r="Z2508" s="381">
        <v>-6.9722222222222213E-2</v>
      </c>
      <c r="AA2508" s="381">
        <v>1.3148148148148147E-4</v>
      </c>
      <c r="AB2508" s="381">
        <v>0</v>
      </c>
      <c r="AC2508" s="382">
        <v>0.86031666666666651</v>
      </c>
      <c r="AD2508" s="382">
        <v>0</v>
      </c>
      <c r="AE2508" s="381" t="s">
        <v>444</v>
      </c>
    </row>
    <row r="2509" spans="1:31" ht="15" customHeight="1" x14ac:dyDescent="0.25">
      <c r="A2509" s="20" t="s">
        <v>3561</v>
      </c>
      <c r="B2509" s="20" t="s">
        <v>3562</v>
      </c>
      <c r="C2509" s="20" t="s">
        <v>3561</v>
      </c>
      <c r="D2509" s="378" t="s">
        <v>3581</v>
      </c>
      <c r="E2509" s="384" t="s">
        <v>3564</v>
      </c>
      <c r="F2509" s="384" t="s">
        <v>3565</v>
      </c>
      <c r="G2509" s="378" t="s">
        <v>439</v>
      </c>
      <c r="H2509" s="20" t="s">
        <v>3566</v>
      </c>
      <c r="I2509" s="378" t="s">
        <v>168</v>
      </c>
      <c r="J2509" s="20" t="s">
        <v>163</v>
      </c>
      <c r="K2509" s="378" t="s">
        <v>3567</v>
      </c>
      <c r="L2509" s="378" t="s">
        <v>2789</v>
      </c>
      <c r="M2509" s="380" t="s">
        <v>443</v>
      </c>
      <c r="N2509" s="380">
        <v>5.4</v>
      </c>
      <c r="O2509" s="380" t="s">
        <v>443</v>
      </c>
      <c r="P2509" s="380" t="s">
        <v>443</v>
      </c>
      <c r="Q2509" s="381">
        <v>4.82</v>
      </c>
      <c r="R2509" s="381">
        <v>5.24</v>
      </c>
      <c r="S2509" s="381">
        <v>-0.42299999999999999</v>
      </c>
      <c r="T2509" s="381">
        <v>8.2799999999999996E-4</v>
      </c>
      <c r="U2509" s="381">
        <v>0</v>
      </c>
      <c r="V2509" s="382">
        <v>5.2408280000000005</v>
      </c>
      <c r="W2509" s="382">
        <v>0</v>
      </c>
      <c r="X2509" s="381">
        <v>0.8925925925925926</v>
      </c>
      <c r="Y2509" s="381">
        <v>0.97037037037037033</v>
      </c>
      <c r="Z2509" s="381">
        <v>-7.8333333333333324E-2</v>
      </c>
      <c r="AA2509" s="381">
        <v>1.5333333333333331E-4</v>
      </c>
      <c r="AB2509" s="381">
        <v>0</v>
      </c>
      <c r="AC2509" s="382">
        <v>0.97052370370370367</v>
      </c>
      <c r="AD2509" s="382">
        <v>0</v>
      </c>
      <c r="AE2509" s="381" t="s">
        <v>444</v>
      </c>
    </row>
    <row r="2510" spans="1:31" ht="15" customHeight="1" x14ac:dyDescent="0.25">
      <c r="A2510" s="20" t="s">
        <v>3561</v>
      </c>
      <c r="B2510" s="20" t="s">
        <v>3562</v>
      </c>
      <c r="C2510" s="20" t="s">
        <v>3561</v>
      </c>
      <c r="D2510" s="378" t="s">
        <v>3582</v>
      </c>
      <c r="E2510" s="384" t="s">
        <v>3564</v>
      </c>
      <c r="F2510" s="384" t="s">
        <v>3565</v>
      </c>
      <c r="G2510" s="378" t="s">
        <v>439</v>
      </c>
      <c r="H2510" s="20" t="s">
        <v>3566</v>
      </c>
      <c r="I2510" s="378" t="s">
        <v>168</v>
      </c>
      <c r="J2510" s="20" t="s">
        <v>163</v>
      </c>
      <c r="K2510" s="378" t="s">
        <v>3567</v>
      </c>
      <c r="L2510" s="378" t="s">
        <v>2789</v>
      </c>
      <c r="M2510" s="380" t="s">
        <v>443</v>
      </c>
      <c r="N2510" s="380">
        <v>7.2</v>
      </c>
      <c r="O2510" s="380" t="s">
        <v>443</v>
      </c>
      <c r="P2510" s="380" t="s">
        <v>443</v>
      </c>
      <c r="Q2510" s="381">
        <v>6.43</v>
      </c>
      <c r="R2510" s="381">
        <v>6.96</v>
      </c>
      <c r="S2510" s="381">
        <v>-0.53600000000000003</v>
      </c>
      <c r="T2510" s="381">
        <v>1.1000000000000001E-3</v>
      </c>
      <c r="U2510" s="381">
        <v>0</v>
      </c>
      <c r="V2510" s="382">
        <v>6.9611000000000001</v>
      </c>
      <c r="W2510" s="382">
        <v>0</v>
      </c>
      <c r="X2510" s="381">
        <v>0.89305555555555549</v>
      </c>
      <c r="Y2510" s="381">
        <v>0.96666666666666667</v>
      </c>
      <c r="Z2510" s="381">
        <v>-7.4444444444444452E-2</v>
      </c>
      <c r="AA2510" s="381">
        <v>1.5277777777777777E-4</v>
      </c>
      <c r="AB2510" s="381">
        <v>0</v>
      </c>
      <c r="AC2510" s="382">
        <v>0.96681944444444445</v>
      </c>
      <c r="AD2510" s="382">
        <v>0</v>
      </c>
      <c r="AE2510" s="381" t="s">
        <v>444</v>
      </c>
    </row>
    <row r="2511" spans="1:31" ht="15" customHeight="1" x14ac:dyDescent="0.25">
      <c r="A2511" s="20" t="s">
        <v>3561</v>
      </c>
      <c r="B2511" s="20" t="s">
        <v>3562</v>
      </c>
      <c r="C2511" s="20" t="s">
        <v>3561</v>
      </c>
      <c r="D2511" s="378" t="s">
        <v>3583</v>
      </c>
      <c r="E2511" s="384" t="s">
        <v>3564</v>
      </c>
      <c r="F2511" s="384" t="s">
        <v>3565</v>
      </c>
      <c r="G2511" s="378" t="s">
        <v>439</v>
      </c>
      <c r="H2511" s="20" t="s">
        <v>3566</v>
      </c>
      <c r="I2511" s="378" t="s">
        <v>168</v>
      </c>
      <c r="J2511" s="20" t="s">
        <v>163</v>
      </c>
      <c r="K2511" s="378" t="s">
        <v>3567</v>
      </c>
      <c r="L2511" s="378" t="s">
        <v>2789</v>
      </c>
      <c r="M2511" s="380" t="s">
        <v>443</v>
      </c>
      <c r="N2511" s="380">
        <v>10.8</v>
      </c>
      <c r="O2511" s="380" t="s">
        <v>443</v>
      </c>
      <c r="P2511" s="380" t="s">
        <v>443</v>
      </c>
      <c r="Q2511" s="381">
        <v>9.5299999999999994</v>
      </c>
      <c r="R2511" s="381">
        <v>10.4</v>
      </c>
      <c r="S2511" s="381">
        <v>-0.874</v>
      </c>
      <c r="T2511" s="381">
        <v>1.67E-3</v>
      </c>
      <c r="U2511" s="381">
        <v>0</v>
      </c>
      <c r="V2511" s="382">
        <v>10.401670000000001</v>
      </c>
      <c r="W2511" s="382">
        <v>0</v>
      </c>
      <c r="X2511" s="381">
        <v>0.88240740740740731</v>
      </c>
      <c r="Y2511" s="381">
        <v>0.96296296296296291</v>
      </c>
      <c r="Z2511" s="381">
        <v>-8.0925925925925915E-2</v>
      </c>
      <c r="AA2511" s="381">
        <v>1.5462962962962962E-4</v>
      </c>
      <c r="AB2511" s="381">
        <v>0</v>
      </c>
      <c r="AC2511" s="382">
        <v>0.96311759259259255</v>
      </c>
      <c r="AD2511" s="382">
        <v>0</v>
      </c>
      <c r="AE2511" s="381" t="s">
        <v>444</v>
      </c>
    </row>
    <row r="2512" spans="1:31" ht="15" customHeight="1" x14ac:dyDescent="0.25">
      <c r="A2512" s="20" t="s">
        <v>3561</v>
      </c>
      <c r="B2512" s="20" t="s">
        <v>3562</v>
      </c>
      <c r="C2512" s="20" t="s">
        <v>3561</v>
      </c>
      <c r="D2512" s="378" t="s">
        <v>3584</v>
      </c>
      <c r="E2512" s="384" t="s">
        <v>3564</v>
      </c>
      <c r="F2512" s="384" t="s">
        <v>3565</v>
      </c>
      <c r="G2512" s="378" t="s">
        <v>439</v>
      </c>
      <c r="H2512" s="20" t="s">
        <v>3566</v>
      </c>
      <c r="I2512" s="378" t="s">
        <v>168</v>
      </c>
      <c r="J2512" s="20" t="s">
        <v>163</v>
      </c>
      <c r="K2512" s="378" t="s">
        <v>3567</v>
      </c>
      <c r="L2512" s="378" t="s">
        <v>2789</v>
      </c>
      <c r="M2512" s="380" t="s">
        <v>443</v>
      </c>
      <c r="N2512" s="380">
        <v>7.2</v>
      </c>
      <c r="O2512" s="380" t="s">
        <v>443</v>
      </c>
      <c r="P2512" s="380" t="s">
        <v>443</v>
      </c>
      <c r="Q2512" s="381">
        <v>4.3899999999999997</v>
      </c>
      <c r="R2512" s="381">
        <v>4.8499999999999996</v>
      </c>
      <c r="S2512" s="381">
        <v>-0.46100000000000002</v>
      </c>
      <c r="T2512" s="381">
        <v>5.3799999999999996E-4</v>
      </c>
      <c r="U2512" s="381">
        <v>0</v>
      </c>
      <c r="V2512" s="382">
        <v>4.8505379999999994</v>
      </c>
      <c r="W2512" s="382">
        <v>0</v>
      </c>
      <c r="X2512" s="381">
        <v>0.60972222222222217</v>
      </c>
      <c r="Y2512" s="381">
        <v>0.67361111111111105</v>
      </c>
      <c r="Z2512" s="381">
        <v>-6.4027777777777781E-2</v>
      </c>
      <c r="AA2512" s="381">
        <v>7.4722222222222212E-5</v>
      </c>
      <c r="AB2512" s="381">
        <v>0</v>
      </c>
      <c r="AC2512" s="382">
        <v>0.67368583333333332</v>
      </c>
      <c r="AD2512" s="382">
        <v>0</v>
      </c>
      <c r="AE2512" s="381" t="s">
        <v>444</v>
      </c>
    </row>
    <row r="2513" spans="1:31" ht="15" customHeight="1" x14ac:dyDescent="0.25">
      <c r="A2513" s="20" t="s">
        <v>3561</v>
      </c>
      <c r="B2513" s="20" t="s">
        <v>3562</v>
      </c>
      <c r="C2513" s="20" t="s">
        <v>3561</v>
      </c>
      <c r="D2513" s="378" t="s">
        <v>3585</v>
      </c>
      <c r="E2513" s="384" t="s">
        <v>3564</v>
      </c>
      <c r="F2513" s="384" t="s">
        <v>3565</v>
      </c>
      <c r="G2513" s="378" t="s">
        <v>439</v>
      </c>
      <c r="H2513" s="20" t="s">
        <v>3566</v>
      </c>
      <c r="I2513" s="378" t="s">
        <v>168</v>
      </c>
      <c r="J2513" s="20" t="s">
        <v>163</v>
      </c>
      <c r="K2513" s="378" t="s">
        <v>3567</v>
      </c>
      <c r="L2513" s="378" t="s">
        <v>2789</v>
      </c>
      <c r="M2513" s="380" t="s">
        <v>443</v>
      </c>
      <c r="N2513" s="380">
        <v>9</v>
      </c>
      <c r="O2513" s="380" t="s">
        <v>443</v>
      </c>
      <c r="P2513" s="380" t="s">
        <v>443</v>
      </c>
      <c r="Q2513" s="381">
        <v>7.44</v>
      </c>
      <c r="R2513" s="381">
        <v>8.15</v>
      </c>
      <c r="S2513" s="381">
        <v>-0.70499999999999996</v>
      </c>
      <c r="T2513" s="381">
        <v>1.2800000000000001E-3</v>
      </c>
      <c r="U2513" s="381">
        <v>0</v>
      </c>
      <c r="V2513" s="382">
        <v>8.1512799999999999</v>
      </c>
      <c r="W2513" s="382">
        <v>0</v>
      </c>
      <c r="X2513" s="381">
        <v>0.82666666666666666</v>
      </c>
      <c r="Y2513" s="381">
        <v>0.90555555555555556</v>
      </c>
      <c r="Z2513" s="381">
        <v>-7.8333333333333324E-2</v>
      </c>
      <c r="AA2513" s="381">
        <v>1.4222222222222224E-4</v>
      </c>
      <c r="AB2513" s="381">
        <v>0</v>
      </c>
      <c r="AC2513" s="382">
        <v>0.90569777777777782</v>
      </c>
      <c r="AD2513" s="382">
        <v>0</v>
      </c>
      <c r="AE2513" s="381" t="s">
        <v>444</v>
      </c>
    </row>
    <row r="2514" spans="1:31" ht="15" customHeight="1" x14ac:dyDescent="0.25">
      <c r="A2514" s="20" t="s">
        <v>3561</v>
      </c>
      <c r="B2514" s="20" t="s">
        <v>3586</v>
      </c>
      <c r="C2514" s="20" t="s">
        <v>3562</v>
      </c>
      <c r="D2514" s="378" t="s">
        <v>3587</v>
      </c>
      <c r="E2514" s="384">
        <v>45124</v>
      </c>
      <c r="F2514" s="384">
        <v>46951</v>
      </c>
      <c r="G2514" s="378" t="s">
        <v>439</v>
      </c>
      <c r="H2514" s="20" t="s">
        <v>3588</v>
      </c>
      <c r="I2514" s="378"/>
      <c r="J2514" s="20" t="s">
        <v>163</v>
      </c>
      <c r="K2514" s="378" t="s">
        <v>3589</v>
      </c>
      <c r="L2514" s="378" t="s">
        <v>2789</v>
      </c>
      <c r="M2514" s="380"/>
      <c r="N2514" s="380">
        <v>20.8</v>
      </c>
      <c r="O2514" s="380"/>
      <c r="P2514" s="380"/>
      <c r="Q2514" s="381">
        <v>15.7</v>
      </c>
      <c r="R2514" s="381">
        <v>18.399999999999999</v>
      </c>
      <c r="S2514" s="381">
        <v>-2.66</v>
      </c>
      <c r="T2514" s="381"/>
      <c r="U2514" s="381">
        <v>4.4999999999999998E-2</v>
      </c>
      <c r="V2514" s="382">
        <v>18.399999999999999</v>
      </c>
      <c r="W2514" s="382">
        <v>4.4999999999999998E-2</v>
      </c>
      <c r="X2514" s="381">
        <v>0.75480769230769229</v>
      </c>
      <c r="Y2514" s="381">
        <v>0.88461538461538447</v>
      </c>
      <c r="Z2514" s="381">
        <v>-0.12788461538461537</v>
      </c>
      <c r="AA2514" s="381">
        <v>0</v>
      </c>
      <c r="AB2514" s="381">
        <v>2.1634615384615381E-3</v>
      </c>
      <c r="AC2514" s="382">
        <v>0.88461538461538447</v>
      </c>
      <c r="AD2514" s="382">
        <v>2.1634615384615381E-3</v>
      </c>
      <c r="AE2514" s="381" t="s">
        <v>168</v>
      </c>
    </row>
    <row r="2515" spans="1:31" ht="15" customHeight="1" x14ac:dyDescent="0.25">
      <c r="A2515" s="20" t="s">
        <v>3561</v>
      </c>
      <c r="B2515" s="20" t="s">
        <v>3586</v>
      </c>
      <c r="C2515" s="20" t="s">
        <v>3562</v>
      </c>
      <c r="D2515" s="378" t="s">
        <v>3590</v>
      </c>
      <c r="E2515" s="384">
        <v>45124</v>
      </c>
      <c r="F2515" s="384">
        <v>46951</v>
      </c>
      <c r="G2515" s="378" t="s">
        <v>439</v>
      </c>
      <c r="H2515" s="20" t="s">
        <v>3588</v>
      </c>
      <c r="I2515" s="378"/>
      <c r="J2515" s="20" t="s">
        <v>163</v>
      </c>
      <c r="K2515" s="378" t="s">
        <v>3589</v>
      </c>
      <c r="L2515" s="378" t="s">
        <v>2789</v>
      </c>
      <c r="M2515" s="380"/>
      <c r="N2515" s="380">
        <v>24.1</v>
      </c>
      <c r="O2515" s="380"/>
      <c r="P2515" s="380"/>
      <c r="Q2515" s="381">
        <v>18.5</v>
      </c>
      <c r="R2515" s="381">
        <v>21.6</v>
      </c>
      <c r="S2515" s="381">
        <v>-3.11</v>
      </c>
      <c r="T2515" s="381"/>
      <c r="U2515" s="381">
        <v>4.4999999999999998E-2</v>
      </c>
      <c r="V2515" s="382">
        <v>21.6</v>
      </c>
      <c r="W2515" s="382">
        <v>4.4999999999999998E-2</v>
      </c>
      <c r="X2515" s="381">
        <v>0.76763485477178417</v>
      </c>
      <c r="Y2515" s="381">
        <v>0.89626556016597514</v>
      </c>
      <c r="Z2515" s="381">
        <v>-0.12904564315352696</v>
      </c>
      <c r="AA2515" s="381">
        <v>0</v>
      </c>
      <c r="AB2515" s="381">
        <v>1.867219917012448E-3</v>
      </c>
      <c r="AC2515" s="382">
        <v>0.89626556016597514</v>
      </c>
      <c r="AD2515" s="382">
        <v>1.867219917012448E-3</v>
      </c>
      <c r="AE2515" s="381" t="s">
        <v>168</v>
      </c>
    </row>
    <row r="2516" spans="1:31" ht="15" customHeight="1" x14ac:dyDescent="0.25">
      <c r="A2516" s="20" t="s">
        <v>3561</v>
      </c>
      <c r="B2516" s="20" t="s">
        <v>3591</v>
      </c>
      <c r="C2516" s="20" t="s">
        <v>3562</v>
      </c>
      <c r="D2516" s="378" t="s">
        <v>3592</v>
      </c>
      <c r="E2516" s="384">
        <v>45124</v>
      </c>
      <c r="F2516" s="384">
        <v>46951</v>
      </c>
      <c r="G2516" s="378" t="s">
        <v>439</v>
      </c>
      <c r="H2516" s="20" t="s">
        <v>3588</v>
      </c>
      <c r="I2516" s="378"/>
      <c r="J2516" s="20" t="s">
        <v>163</v>
      </c>
      <c r="K2516" s="378" t="s">
        <v>3589</v>
      </c>
      <c r="L2516" s="378" t="s">
        <v>2789</v>
      </c>
      <c r="M2516" s="380"/>
      <c r="N2516" s="380">
        <v>24.1</v>
      </c>
      <c r="O2516" s="380"/>
      <c r="P2516" s="380"/>
      <c r="Q2516" s="381">
        <v>18.600000000000001</v>
      </c>
      <c r="R2516" s="381">
        <v>21.7</v>
      </c>
      <c r="S2516" s="381">
        <v>-3.11</v>
      </c>
      <c r="T2516" s="381"/>
      <c r="U2516" s="381">
        <v>4.4999999999999998E-2</v>
      </c>
      <c r="V2516" s="382">
        <v>21.7</v>
      </c>
      <c r="W2516" s="382">
        <v>4.4999999999999998E-2</v>
      </c>
      <c r="X2516" s="381">
        <v>0.77178423236514526</v>
      </c>
      <c r="Y2516" s="381">
        <v>0.90041493775933601</v>
      </c>
      <c r="Z2516" s="381">
        <v>-0.12904564315352696</v>
      </c>
      <c r="AA2516" s="381">
        <v>0</v>
      </c>
      <c r="AB2516" s="381">
        <v>1.867219917012448E-3</v>
      </c>
      <c r="AC2516" s="382">
        <v>0.90041493775933601</v>
      </c>
      <c r="AD2516" s="382">
        <v>1.867219917012448E-3</v>
      </c>
      <c r="AE2516" s="381" t="s">
        <v>168</v>
      </c>
    </row>
    <row r="2517" spans="1:31" ht="15" customHeight="1" x14ac:dyDescent="0.25">
      <c r="A2517" s="20" t="s">
        <v>3561</v>
      </c>
      <c r="B2517" s="20" t="s">
        <v>3586</v>
      </c>
      <c r="C2517" s="20" t="s">
        <v>3562</v>
      </c>
      <c r="D2517" s="378" t="s">
        <v>3593</v>
      </c>
      <c r="E2517" s="384">
        <v>45124</v>
      </c>
      <c r="F2517" s="384">
        <v>46951</v>
      </c>
      <c r="G2517" s="378" t="s">
        <v>439</v>
      </c>
      <c r="H2517" s="20" t="s">
        <v>3588</v>
      </c>
      <c r="I2517" s="378"/>
      <c r="J2517" s="20" t="s">
        <v>163</v>
      </c>
      <c r="K2517" s="378" t="s">
        <v>3589</v>
      </c>
      <c r="L2517" s="378" t="s">
        <v>2789</v>
      </c>
      <c r="M2517" s="380"/>
      <c r="N2517" s="380">
        <v>20.8</v>
      </c>
      <c r="O2517" s="380"/>
      <c r="P2517" s="380"/>
      <c r="Q2517" s="381">
        <v>16.100000000000001</v>
      </c>
      <c r="R2517" s="381">
        <v>18.7</v>
      </c>
      <c r="S2517" s="381">
        <v>-2.66</v>
      </c>
      <c r="T2517" s="381"/>
      <c r="U2517" s="381">
        <v>4.4999999999999998E-2</v>
      </c>
      <c r="V2517" s="382">
        <v>18.7</v>
      </c>
      <c r="W2517" s="382">
        <v>4.4999999999999998E-2</v>
      </c>
      <c r="X2517" s="381">
        <v>0.77403846153846156</v>
      </c>
      <c r="Y2517" s="381">
        <v>0.89903846153846145</v>
      </c>
      <c r="Z2517" s="381">
        <v>-0.12788461538461537</v>
      </c>
      <c r="AA2517" s="381">
        <v>0</v>
      </c>
      <c r="AB2517" s="381">
        <v>2.1634615384615381E-3</v>
      </c>
      <c r="AC2517" s="382">
        <v>0.89903846153846145</v>
      </c>
      <c r="AD2517" s="382">
        <v>2.1634615384615381E-3</v>
      </c>
      <c r="AE2517" s="381" t="s">
        <v>168</v>
      </c>
    </row>
    <row r="2518" spans="1:31" ht="15" customHeight="1" x14ac:dyDescent="0.25">
      <c r="A2518" s="20" t="s">
        <v>3561</v>
      </c>
      <c r="B2518" s="20" t="s">
        <v>3594</v>
      </c>
      <c r="C2518" s="20" t="s">
        <v>3562</v>
      </c>
      <c r="D2518" s="378" t="s">
        <v>3595</v>
      </c>
      <c r="E2518" s="384">
        <v>45124</v>
      </c>
      <c r="F2518" s="384">
        <v>46951</v>
      </c>
      <c r="G2518" s="378" t="s">
        <v>439</v>
      </c>
      <c r="H2518" s="20" t="s">
        <v>3588</v>
      </c>
      <c r="I2518" s="378"/>
      <c r="J2518" s="20" t="s">
        <v>163</v>
      </c>
      <c r="K2518" s="378" t="s">
        <v>3589</v>
      </c>
      <c r="L2518" s="378" t="s">
        <v>2789</v>
      </c>
      <c r="M2518" s="380"/>
      <c r="N2518" s="380">
        <v>10.199999999999999</v>
      </c>
      <c r="O2518" s="380"/>
      <c r="P2518" s="380"/>
      <c r="Q2518" s="381">
        <v>6.66</v>
      </c>
      <c r="R2518" s="381">
        <v>7.51</v>
      </c>
      <c r="S2518" s="381">
        <v>-0.85099999999999998</v>
      </c>
      <c r="T2518" s="381"/>
      <c r="U2518" s="381">
        <v>4.4999999999999998E-2</v>
      </c>
      <c r="V2518" s="382">
        <v>7.51</v>
      </c>
      <c r="W2518" s="382">
        <v>4.4999999999999998E-2</v>
      </c>
      <c r="X2518" s="381">
        <v>0.65294117647058825</v>
      </c>
      <c r="Y2518" s="381">
        <v>0.73627450980392162</v>
      </c>
      <c r="Z2518" s="381">
        <v>-8.3431372549019611E-2</v>
      </c>
      <c r="AA2518" s="381">
        <v>0</v>
      </c>
      <c r="AB2518" s="381">
        <v>4.4117647058823529E-3</v>
      </c>
      <c r="AC2518" s="382">
        <v>0.73627450980392162</v>
      </c>
      <c r="AD2518" s="382">
        <v>4.4117647058823529E-3</v>
      </c>
      <c r="AE2518" s="381" t="s">
        <v>168</v>
      </c>
    </row>
    <row r="2519" spans="1:31" ht="15" customHeight="1" x14ac:dyDescent="0.25">
      <c r="A2519" s="20" t="s">
        <v>3561</v>
      </c>
      <c r="B2519" s="20" t="s">
        <v>3594</v>
      </c>
      <c r="C2519" s="20" t="s">
        <v>3562</v>
      </c>
      <c r="D2519" s="378" t="s">
        <v>3596</v>
      </c>
      <c r="E2519" s="384">
        <v>45124</v>
      </c>
      <c r="F2519" s="384">
        <v>46951</v>
      </c>
      <c r="G2519" s="378" t="s">
        <v>439</v>
      </c>
      <c r="H2519" s="20" t="s">
        <v>3588</v>
      </c>
      <c r="I2519" s="378"/>
      <c r="J2519" s="20" t="s">
        <v>163</v>
      </c>
      <c r="K2519" s="378" t="s">
        <v>3589</v>
      </c>
      <c r="L2519" s="378" t="s">
        <v>2789</v>
      </c>
      <c r="M2519" s="380"/>
      <c r="N2519" s="380">
        <v>9</v>
      </c>
      <c r="O2519" s="380"/>
      <c r="P2519" s="380"/>
      <c r="Q2519" s="381">
        <v>6.09</v>
      </c>
      <c r="R2519" s="381">
        <v>6.86</v>
      </c>
      <c r="S2519" s="381">
        <v>-0.77200000000000002</v>
      </c>
      <c r="T2519" s="381"/>
      <c r="U2519" s="381">
        <v>4.4999999999999998E-2</v>
      </c>
      <c r="V2519" s="382">
        <v>6.86</v>
      </c>
      <c r="W2519" s="382">
        <v>4.4999999999999998E-2</v>
      </c>
      <c r="X2519" s="381">
        <v>0.67666666666666664</v>
      </c>
      <c r="Y2519" s="381">
        <v>0.76222222222222225</v>
      </c>
      <c r="Z2519" s="381">
        <v>-8.5777777777777786E-2</v>
      </c>
      <c r="AA2519" s="381">
        <v>0</v>
      </c>
      <c r="AB2519" s="381">
        <v>5.0000000000000001E-3</v>
      </c>
      <c r="AC2519" s="382">
        <v>0.76222222222222213</v>
      </c>
      <c r="AD2519" s="382">
        <v>5.0000000000000001E-3</v>
      </c>
      <c r="AE2519" s="381" t="s">
        <v>168</v>
      </c>
    </row>
    <row r="2520" spans="1:31" ht="15" customHeight="1" x14ac:dyDescent="0.25">
      <c r="A2520" s="20" t="s">
        <v>3561</v>
      </c>
      <c r="B2520" s="20" t="s">
        <v>3586</v>
      </c>
      <c r="C2520" s="20" t="s">
        <v>3562</v>
      </c>
      <c r="D2520" s="378" t="s">
        <v>3597</v>
      </c>
      <c r="E2520" s="384">
        <v>45124</v>
      </c>
      <c r="F2520" s="384">
        <v>46951</v>
      </c>
      <c r="G2520" s="378" t="s">
        <v>439</v>
      </c>
      <c r="H2520" s="20" t="s">
        <v>3588</v>
      </c>
      <c r="I2520" s="378"/>
      <c r="J2520" s="20" t="s">
        <v>163</v>
      </c>
      <c r="K2520" s="378" t="s">
        <v>3589</v>
      </c>
      <c r="L2520" s="378" t="s">
        <v>2789</v>
      </c>
      <c r="M2520" s="380"/>
      <c r="N2520" s="380">
        <v>19.0364</v>
      </c>
      <c r="O2520" s="380"/>
      <c r="P2520" s="380"/>
      <c r="Q2520" s="381">
        <v>22.5</v>
      </c>
      <c r="R2520" s="381">
        <v>25.2</v>
      </c>
      <c r="S2520" s="381">
        <v>-2.63</v>
      </c>
      <c r="T2520" s="381"/>
      <c r="U2520" s="381">
        <v>4.4999999999999998E-2</v>
      </c>
      <c r="V2520" s="382">
        <v>25.2</v>
      </c>
      <c r="W2520" s="382">
        <v>4.4999999999999998E-2</v>
      </c>
      <c r="X2520" s="381">
        <v>1.1819461662919459</v>
      </c>
      <c r="Y2520" s="381">
        <v>1.3237797062469794</v>
      </c>
      <c r="Z2520" s="381">
        <v>-0.13815637410434745</v>
      </c>
      <c r="AA2520" s="381">
        <v>0</v>
      </c>
      <c r="AB2520" s="381">
        <v>2.3638923325838917E-3</v>
      </c>
      <c r="AC2520" s="382">
        <v>1.3237797062469794</v>
      </c>
      <c r="AD2520" s="382">
        <v>2.3638923325838917E-3</v>
      </c>
      <c r="AE2520" s="381" t="s">
        <v>168</v>
      </c>
    </row>
    <row r="2521" spans="1:31" ht="15" customHeight="1" x14ac:dyDescent="0.25">
      <c r="A2521" s="20" t="s">
        <v>3561</v>
      </c>
      <c r="B2521" s="20" t="s">
        <v>3594</v>
      </c>
      <c r="C2521" s="20" t="s">
        <v>3562</v>
      </c>
      <c r="D2521" s="378" t="s">
        <v>3598</v>
      </c>
      <c r="E2521" s="384">
        <v>45124</v>
      </c>
      <c r="F2521" s="384">
        <v>46951</v>
      </c>
      <c r="G2521" s="378" t="s">
        <v>439</v>
      </c>
      <c r="H2521" s="20" t="s">
        <v>3588</v>
      </c>
      <c r="I2521" s="378"/>
      <c r="J2521" s="20" t="s">
        <v>163</v>
      </c>
      <c r="K2521" s="378" t="s">
        <v>3589</v>
      </c>
      <c r="L2521" s="378" t="s">
        <v>2789</v>
      </c>
      <c r="M2521" s="380"/>
      <c r="N2521" s="380">
        <v>10.199999999999999</v>
      </c>
      <c r="O2521" s="380"/>
      <c r="P2521" s="380"/>
      <c r="Q2521" s="381">
        <v>7.17</v>
      </c>
      <c r="R2521" s="381">
        <v>8</v>
      </c>
      <c r="S2521" s="381">
        <v>-0.82699999999999996</v>
      </c>
      <c r="T2521" s="381"/>
      <c r="U2521" s="381">
        <v>4.4999999999999998E-2</v>
      </c>
      <c r="V2521" s="382">
        <v>8</v>
      </c>
      <c r="W2521" s="382">
        <v>4.4999999999999998E-2</v>
      </c>
      <c r="X2521" s="381">
        <v>0.70294117647058829</v>
      </c>
      <c r="Y2521" s="381">
        <v>0.78431372549019618</v>
      </c>
      <c r="Z2521" s="381">
        <v>-8.1078431372549026E-2</v>
      </c>
      <c r="AA2521" s="381">
        <v>0</v>
      </c>
      <c r="AB2521" s="381">
        <v>4.4117647058823529E-3</v>
      </c>
      <c r="AC2521" s="382">
        <v>0.78431372549019618</v>
      </c>
      <c r="AD2521" s="382">
        <v>4.4117647058823529E-3</v>
      </c>
      <c r="AE2521" s="381" t="s">
        <v>168</v>
      </c>
    </row>
    <row r="2522" spans="1:31" ht="15" customHeight="1" x14ac:dyDescent="0.25">
      <c r="A2522" s="20" t="s">
        <v>3561</v>
      </c>
      <c r="B2522" s="20" t="s">
        <v>3594</v>
      </c>
      <c r="C2522" s="20" t="s">
        <v>3562</v>
      </c>
      <c r="D2522" s="378" t="s">
        <v>3599</v>
      </c>
      <c r="E2522" s="384">
        <v>45124</v>
      </c>
      <c r="F2522" s="384">
        <v>46951</v>
      </c>
      <c r="G2522" s="378" t="s">
        <v>439</v>
      </c>
      <c r="H2522" s="20" t="s">
        <v>3588</v>
      </c>
      <c r="I2522" s="378"/>
      <c r="J2522" s="20" t="s">
        <v>163</v>
      </c>
      <c r="K2522" s="378" t="s">
        <v>3589</v>
      </c>
      <c r="L2522" s="378" t="s">
        <v>2789</v>
      </c>
      <c r="M2522" s="380"/>
      <c r="N2522" s="380">
        <v>10.8</v>
      </c>
      <c r="O2522" s="380"/>
      <c r="P2522" s="380"/>
      <c r="Q2522" s="381">
        <v>8.8800000000000008</v>
      </c>
      <c r="R2522" s="381">
        <v>9.85</v>
      </c>
      <c r="S2522" s="381">
        <v>-0.97599999999999998</v>
      </c>
      <c r="T2522" s="381"/>
      <c r="U2522" s="381">
        <v>4.4999999999999998E-2</v>
      </c>
      <c r="V2522" s="382">
        <v>9.8499999999999979</v>
      </c>
      <c r="W2522" s="382">
        <v>4.4999999999999998E-2</v>
      </c>
      <c r="X2522" s="381">
        <v>0.82222222222222219</v>
      </c>
      <c r="Y2522" s="381">
        <v>0.91203703703703698</v>
      </c>
      <c r="Z2522" s="381">
        <v>-9.0370370370370365E-2</v>
      </c>
      <c r="AA2522" s="381">
        <v>0</v>
      </c>
      <c r="AB2522" s="381">
        <v>4.1666666666666666E-3</v>
      </c>
      <c r="AC2522" s="382">
        <v>0.91203703703703698</v>
      </c>
      <c r="AD2522" s="382">
        <v>4.1666666666666666E-3</v>
      </c>
      <c r="AE2522" s="381" t="s">
        <v>168</v>
      </c>
    </row>
    <row r="2523" spans="1:31" ht="15" customHeight="1" x14ac:dyDescent="0.25">
      <c r="A2523" s="20" t="s">
        <v>3561</v>
      </c>
      <c r="B2523" s="20" t="s">
        <v>3594</v>
      </c>
      <c r="C2523" s="20" t="s">
        <v>3562</v>
      </c>
      <c r="D2523" s="378" t="s">
        <v>3600</v>
      </c>
      <c r="E2523" s="384">
        <v>45124</v>
      </c>
      <c r="F2523" s="384">
        <v>46951</v>
      </c>
      <c r="G2523" s="378" t="s">
        <v>439</v>
      </c>
      <c r="H2523" s="20" t="s">
        <v>3588</v>
      </c>
      <c r="I2523" s="378"/>
      <c r="J2523" s="20" t="s">
        <v>163</v>
      </c>
      <c r="K2523" s="378" t="s">
        <v>3589</v>
      </c>
      <c r="L2523" s="378" t="s">
        <v>2789</v>
      </c>
      <c r="M2523" s="380"/>
      <c r="N2523" s="380">
        <v>13.7</v>
      </c>
      <c r="O2523" s="380"/>
      <c r="P2523" s="380"/>
      <c r="Q2523" s="381">
        <v>11.1</v>
      </c>
      <c r="R2523" s="381">
        <v>12.3</v>
      </c>
      <c r="S2523" s="381">
        <v>-1.1299999999999999</v>
      </c>
      <c r="T2523" s="381"/>
      <c r="U2523" s="381">
        <v>4.4999999999999998E-2</v>
      </c>
      <c r="V2523" s="382">
        <v>12.3</v>
      </c>
      <c r="W2523" s="382">
        <v>4.4999999999999998E-2</v>
      </c>
      <c r="X2523" s="381">
        <v>0.81021897810218979</v>
      </c>
      <c r="Y2523" s="381">
        <v>0.89781021897810231</v>
      </c>
      <c r="Z2523" s="381">
        <v>-8.2481751824817512E-2</v>
      </c>
      <c r="AA2523" s="381">
        <v>0</v>
      </c>
      <c r="AB2523" s="381">
        <v>3.2846715328467154E-3</v>
      </c>
      <c r="AC2523" s="382">
        <v>0.89781021897810231</v>
      </c>
      <c r="AD2523" s="382">
        <v>3.2846715328467154E-3</v>
      </c>
      <c r="AE2523" s="381" t="s">
        <v>168</v>
      </c>
    </row>
    <row r="2524" spans="1:31" ht="15" customHeight="1" x14ac:dyDescent="0.25">
      <c r="A2524" s="20" t="s">
        <v>3561</v>
      </c>
      <c r="B2524" s="20" t="s">
        <v>3591</v>
      </c>
      <c r="C2524" s="20" t="s">
        <v>3562</v>
      </c>
      <c r="D2524" s="378" t="s">
        <v>3601</v>
      </c>
      <c r="E2524" s="384">
        <v>45124</v>
      </c>
      <c r="F2524" s="384">
        <v>46951</v>
      </c>
      <c r="G2524" s="378" t="s">
        <v>439</v>
      </c>
      <c r="H2524" s="20" t="s">
        <v>3588</v>
      </c>
      <c r="I2524" s="378"/>
      <c r="J2524" s="20" t="s">
        <v>163</v>
      </c>
      <c r="K2524" s="378" t="s">
        <v>3589</v>
      </c>
      <c r="L2524" s="378" t="s">
        <v>2789</v>
      </c>
      <c r="M2524" s="380"/>
      <c r="N2524" s="380">
        <v>10.8</v>
      </c>
      <c r="O2524" s="380"/>
      <c r="P2524" s="380"/>
      <c r="Q2524" s="381">
        <v>7.84</v>
      </c>
      <c r="R2524" s="381">
        <v>8.65</v>
      </c>
      <c r="S2524" s="381">
        <v>-0.80200000000000005</v>
      </c>
      <c r="T2524" s="381"/>
      <c r="U2524" s="381">
        <v>4.4999999999999998E-2</v>
      </c>
      <c r="V2524" s="382">
        <v>8.65</v>
      </c>
      <c r="W2524" s="382">
        <v>4.4999999999999998E-2</v>
      </c>
      <c r="X2524" s="381">
        <v>0.72592592592592586</v>
      </c>
      <c r="Y2524" s="381">
        <v>0.80092592592592593</v>
      </c>
      <c r="Z2524" s="381">
        <v>-7.4259259259259261E-2</v>
      </c>
      <c r="AA2524" s="381">
        <v>0</v>
      </c>
      <c r="AB2524" s="381">
        <v>4.1666666666666666E-3</v>
      </c>
      <c r="AC2524" s="382">
        <v>0.80092592592592593</v>
      </c>
      <c r="AD2524" s="382">
        <v>4.1666666666666666E-3</v>
      </c>
      <c r="AE2524" s="381" t="s">
        <v>168</v>
      </c>
    </row>
    <row r="2525" spans="1:31" ht="15" customHeight="1" x14ac:dyDescent="0.25">
      <c r="A2525" s="20" t="s">
        <v>3561</v>
      </c>
      <c r="B2525" s="20" t="s">
        <v>3594</v>
      </c>
      <c r="C2525" s="20" t="s">
        <v>3562</v>
      </c>
      <c r="D2525" s="378" t="s">
        <v>3602</v>
      </c>
      <c r="E2525" s="384">
        <v>45124</v>
      </c>
      <c r="F2525" s="384">
        <v>46951</v>
      </c>
      <c r="G2525" s="378" t="s">
        <v>439</v>
      </c>
      <c r="H2525" s="20" t="s">
        <v>3588</v>
      </c>
      <c r="I2525" s="378"/>
      <c r="J2525" s="20" t="s">
        <v>163</v>
      </c>
      <c r="K2525" s="378" t="s">
        <v>3589</v>
      </c>
      <c r="L2525" s="378" t="s">
        <v>2789</v>
      </c>
      <c r="M2525" s="380"/>
      <c r="N2525" s="380">
        <v>17.600000000000001</v>
      </c>
      <c r="O2525" s="380"/>
      <c r="P2525" s="380"/>
      <c r="Q2525" s="381">
        <v>14.2</v>
      </c>
      <c r="R2525" s="381">
        <v>15.6</v>
      </c>
      <c r="S2525" s="381">
        <v>-1.38</v>
      </c>
      <c r="T2525" s="381"/>
      <c r="U2525" s="381">
        <v>4.4999999999999998E-2</v>
      </c>
      <c r="V2525" s="382">
        <v>15.599999999999998</v>
      </c>
      <c r="W2525" s="382">
        <v>4.4999999999999998E-2</v>
      </c>
      <c r="X2525" s="381">
        <v>0.80681818181818177</v>
      </c>
      <c r="Y2525" s="381">
        <v>0.88636363636363624</v>
      </c>
      <c r="Z2525" s="381">
        <v>-7.8409090909090901E-2</v>
      </c>
      <c r="AA2525" s="381">
        <v>0</v>
      </c>
      <c r="AB2525" s="381">
        <v>2.5568181818181814E-3</v>
      </c>
      <c r="AC2525" s="382">
        <v>0.88636363636363624</v>
      </c>
      <c r="AD2525" s="382">
        <v>2.5568181818181814E-3</v>
      </c>
      <c r="AE2525" s="381" t="s">
        <v>168</v>
      </c>
    </row>
    <row r="2526" spans="1:31" ht="15" customHeight="1" x14ac:dyDescent="0.25">
      <c r="A2526" s="20" t="s">
        <v>3561</v>
      </c>
      <c r="B2526" s="20" t="s">
        <v>3591</v>
      </c>
      <c r="C2526" s="20" t="s">
        <v>3562</v>
      </c>
      <c r="D2526" s="378" t="s">
        <v>3603</v>
      </c>
      <c r="E2526" s="384">
        <v>45124</v>
      </c>
      <c r="F2526" s="384">
        <v>46951</v>
      </c>
      <c r="G2526" s="378" t="s">
        <v>439</v>
      </c>
      <c r="H2526" s="20" t="s">
        <v>3588</v>
      </c>
      <c r="I2526" s="378"/>
      <c r="J2526" s="20" t="s">
        <v>163</v>
      </c>
      <c r="K2526" s="378" t="s">
        <v>3589</v>
      </c>
      <c r="L2526" s="378" t="s">
        <v>2789</v>
      </c>
      <c r="M2526" s="380"/>
      <c r="N2526" s="380">
        <v>7.2</v>
      </c>
      <c r="O2526" s="380"/>
      <c r="P2526" s="380"/>
      <c r="Q2526" s="381">
        <v>5.09</v>
      </c>
      <c r="R2526" s="381">
        <v>5.62</v>
      </c>
      <c r="S2526" s="381">
        <v>-0.52400000000000002</v>
      </c>
      <c r="T2526" s="381"/>
      <c r="U2526" s="381">
        <v>4.4999999999999998E-2</v>
      </c>
      <c r="V2526" s="382">
        <v>5.62</v>
      </c>
      <c r="W2526" s="382">
        <v>4.4999999999999998E-2</v>
      </c>
      <c r="X2526" s="381">
        <v>0.70694444444444438</v>
      </c>
      <c r="Y2526" s="381">
        <v>0.78055555555555556</v>
      </c>
      <c r="Z2526" s="381">
        <v>-7.2777777777777775E-2</v>
      </c>
      <c r="AA2526" s="381">
        <v>0</v>
      </c>
      <c r="AB2526" s="381">
        <v>6.2499999999999995E-3</v>
      </c>
      <c r="AC2526" s="382">
        <v>0.78055555555555567</v>
      </c>
      <c r="AD2526" s="382">
        <v>6.2499999999999995E-3</v>
      </c>
      <c r="AE2526" s="381" t="s">
        <v>168</v>
      </c>
    </row>
    <row r="2527" spans="1:31" ht="15" customHeight="1" x14ac:dyDescent="0.25">
      <c r="A2527" s="20" t="s">
        <v>3561</v>
      </c>
      <c r="B2527" s="20" t="s">
        <v>3594</v>
      </c>
      <c r="C2527" s="20" t="s">
        <v>3562</v>
      </c>
      <c r="D2527" s="378" t="s">
        <v>3604</v>
      </c>
      <c r="E2527" s="384">
        <v>45124</v>
      </c>
      <c r="F2527" s="384">
        <v>46951</v>
      </c>
      <c r="G2527" s="378" t="s">
        <v>439</v>
      </c>
      <c r="H2527" s="20" t="s">
        <v>3588</v>
      </c>
      <c r="I2527" s="378"/>
      <c r="J2527" s="20" t="s">
        <v>163</v>
      </c>
      <c r="K2527" s="378" t="s">
        <v>3589</v>
      </c>
      <c r="L2527" s="378" t="s">
        <v>2789</v>
      </c>
      <c r="M2527" s="380"/>
      <c r="N2527" s="380">
        <v>41.2</v>
      </c>
      <c r="O2527" s="380"/>
      <c r="P2527" s="380"/>
      <c r="Q2527" s="381">
        <v>41.9</v>
      </c>
      <c r="R2527" s="381">
        <v>45.9</v>
      </c>
      <c r="S2527" s="381">
        <v>-3.97</v>
      </c>
      <c r="T2527" s="381"/>
      <c r="U2527" s="381">
        <v>4.4999999999999998E-2</v>
      </c>
      <c r="V2527" s="382">
        <v>45.9</v>
      </c>
      <c r="W2527" s="382">
        <v>4.4999999999999998E-2</v>
      </c>
      <c r="X2527" s="381">
        <v>1.0169902912621358</v>
      </c>
      <c r="Y2527" s="381">
        <v>1.1140776699029125</v>
      </c>
      <c r="Z2527" s="381">
        <v>-9.6359223300970867E-2</v>
      </c>
      <c r="AA2527" s="381">
        <v>0</v>
      </c>
      <c r="AB2527" s="381">
        <v>1.0922330097087377E-3</v>
      </c>
      <c r="AC2527" s="382">
        <v>1.1140776699029125</v>
      </c>
      <c r="AD2527" s="382">
        <v>1.0922330097087377E-3</v>
      </c>
      <c r="AE2527" s="381" t="s">
        <v>168</v>
      </c>
    </row>
    <row r="2528" spans="1:31" ht="15" customHeight="1" x14ac:dyDescent="0.25">
      <c r="A2528" s="20" t="s">
        <v>3561</v>
      </c>
      <c r="B2528" s="20" t="s">
        <v>3591</v>
      </c>
      <c r="C2528" s="20" t="s">
        <v>3562</v>
      </c>
      <c r="D2528" s="378" t="s">
        <v>3605</v>
      </c>
      <c r="E2528" s="384">
        <v>45124</v>
      </c>
      <c r="F2528" s="384">
        <v>46951</v>
      </c>
      <c r="G2528" s="378" t="s">
        <v>439</v>
      </c>
      <c r="H2528" s="20" t="s">
        <v>3588</v>
      </c>
      <c r="I2528" s="378"/>
      <c r="J2528" s="20" t="s">
        <v>163</v>
      </c>
      <c r="K2528" s="378" t="s">
        <v>3589</v>
      </c>
      <c r="L2528" s="378" t="s">
        <v>2789</v>
      </c>
      <c r="M2528" s="380"/>
      <c r="N2528" s="380">
        <v>10.8</v>
      </c>
      <c r="O2528" s="380"/>
      <c r="P2528" s="380"/>
      <c r="Q2528" s="381">
        <v>7.9</v>
      </c>
      <c r="R2528" s="381">
        <v>8.68</v>
      </c>
      <c r="S2528" s="381">
        <v>-0.77800000000000002</v>
      </c>
      <c r="T2528" s="381"/>
      <c r="U2528" s="381">
        <v>4.4999999999999998E-2</v>
      </c>
      <c r="V2528" s="382">
        <v>8.68</v>
      </c>
      <c r="W2528" s="382">
        <v>4.4999999999999998E-2</v>
      </c>
      <c r="X2528" s="381">
        <v>0.73148148148148151</v>
      </c>
      <c r="Y2528" s="381">
        <v>0.80370370370370359</v>
      </c>
      <c r="Z2528" s="381">
        <v>-7.2037037037037038E-2</v>
      </c>
      <c r="AA2528" s="381">
        <v>0</v>
      </c>
      <c r="AB2528" s="381">
        <v>4.1666666666666666E-3</v>
      </c>
      <c r="AC2528" s="382">
        <v>0.80370370370370359</v>
      </c>
      <c r="AD2528" s="382">
        <v>4.1666666666666666E-3</v>
      </c>
      <c r="AE2528" s="381" t="s">
        <v>168</v>
      </c>
    </row>
    <row r="2529" spans="1:31" ht="15" customHeight="1" x14ac:dyDescent="0.25">
      <c r="A2529" s="20" t="s">
        <v>3561</v>
      </c>
      <c r="B2529" s="20" t="s">
        <v>3594</v>
      </c>
      <c r="C2529" s="20" t="s">
        <v>3562</v>
      </c>
      <c r="D2529" s="378" t="s">
        <v>3606</v>
      </c>
      <c r="E2529" s="384">
        <v>45124</v>
      </c>
      <c r="F2529" s="384">
        <v>46951</v>
      </c>
      <c r="G2529" s="378" t="s">
        <v>439</v>
      </c>
      <c r="H2529" s="20" t="s">
        <v>3588</v>
      </c>
      <c r="I2529" s="378"/>
      <c r="J2529" s="20" t="s">
        <v>163</v>
      </c>
      <c r="K2529" s="378" t="s">
        <v>3589</v>
      </c>
      <c r="L2529" s="378" t="s">
        <v>2789</v>
      </c>
      <c r="M2529" s="380"/>
      <c r="N2529" s="380">
        <v>31</v>
      </c>
      <c r="O2529" s="380"/>
      <c r="P2529" s="380"/>
      <c r="Q2529" s="381">
        <v>29.7</v>
      </c>
      <c r="R2529" s="381">
        <v>32.5</v>
      </c>
      <c r="S2529" s="381">
        <v>-2.81</v>
      </c>
      <c r="T2529" s="381"/>
      <c r="U2529" s="381">
        <v>4.4999999999999998E-2</v>
      </c>
      <c r="V2529" s="382">
        <v>32.5</v>
      </c>
      <c r="W2529" s="382">
        <v>4.4999999999999998E-2</v>
      </c>
      <c r="X2529" s="381">
        <v>0.95806451612903221</v>
      </c>
      <c r="Y2529" s="381">
        <v>1.0483870967741935</v>
      </c>
      <c r="Z2529" s="381">
        <v>-9.0645161290322587E-2</v>
      </c>
      <c r="AA2529" s="381">
        <v>0</v>
      </c>
      <c r="AB2529" s="381">
        <v>1.4516129032258063E-3</v>
      </c>
      <c r="AC2529" s="382">
        <v>1.0483870967741935</v>
      </c>
      <c r="AD2529" s="382">
        <v>1.4516129032258063E-3</v>
      </c>
      <c r="AE2529" s="381" t="s">
        <v>168</v>
      </c>
    </row>
    <row r="2530" spans="1:31" ht="15" customHeight="1" x14ac:dyDescent="0.25">
      <c r="A2530" s="20" t="s">
        <v>3561</v>
      </c>
      <c r="B2530" s="20" t="s">
        <v>3594</v>
      </c>
      <c r="C2530" s="20" t="s">
        <v>3562</v>
      </c>
      <c r="D2530" s="378" t="s">
        <v>3607</v>
      </c>
      <c r="E2530" s="384">
        <v>45124</v>
      </c>
      <c r="F2530" s="384">
        <v>46951</v>
      </c>
      <c r="G2530" s="378" t="s">
        <v>439</v>
      </c>
      <c r="H2530" s="20" t="s">
        <v>3588</v>
      </c>
      <c r="I2530" s="378"/>
      <c r="J2530" s="20" t="s">
        <v>163</v>
      </c>
      <c r="K2530" s="378" t="s">
        <v>3589</v>
      </c>
      <c r="L2530" s="378" t="s">
        <v>2789</v>
      </c>
      <c r="M2530" s="380"/>
      <c r="N2530" s="380">
        <v>25.9</v>
      </c>
      <c r="O2530" s="380"/>
      <c r="P2530" s="380"/>
      <c r="Q2530" s="381">
        <v>25.5</v>
      </c>
      <c r="R2530" s="381">
        <v>27.9</v>
      </c>
      <c r="S2530" s="381">
        <v>-2.44</v>
      </c>
      <c r="T2530" s="381"/>
      <c r="U2530" s="381">
        <v>4.4999999999999998E-2</v>
      </c>
      <c r="V2530" s="382">
        <v>27.9</v>
      </c>
      <c r="W2530" s="382">
        <v>4.4999999999999998E-2</v>
      </c>
      <c r="X2530" s="381">
        <v>0.98455598455598459</v>
      </c>
      <c r="Y2530" s="381">
        <v>1.0772200772200773</v>
      </c>
      <c r="Z2530" s="381">
        <v>-9.4208494208494212E-2</v>
      </c>
      <c r="AA2530" s="381">
        <v>0</v>
      </c>
      <c r="AB2530" s="381">
        <v>1.7374517374517376E-3</v>
      </c>
      <c r="AC2530" s="382">
        <v>1.0772200772200773</v>
      </c>
      <c r="AD2530" s="382">
        <v>1.7374517374517376E-3</v>
      </c>
      <c r="AE2530" s="381" t="s">
        <v>168</v>
      </c>
    </row>
    <row r="2531" spans="1:31" ht="15" customHeight="1" x14ac:dyDescent="0.25">
      <c r="A2531" s="20" t="s">
        <v>3561</v>
      </c>
      <c r="B2531" s="20" t="s">
        <v>3591</v>
      </c>
      <c r="C2531" s="20" t="s">
        <v>3562</v>
      </c>
      <c r="D2531" s="378" t="s">
        <v>3608</v>
      </c>
      <c r="E2531" s="384">
        <v>45124</v>
      </c>
      <c r="F2531" s="384">
        <v>46951</v>
      </c>
      <c r="G2531" s="378" t="s">
        <v>439</v>
      </c>
      <c r="H2531" s="20" t="s">
        <v>3588</v>
      </c>
      <c r="I2531" s="378"/>
      <c r="J2531" s="20" t="s">
        <v>163</v>
      </c>
      <c r="K2531" s="378" t="s">
        <v>3589</v>
      </c>
      <c r="L2531" s="378" t="s">
        <v>2789</v>
      </c>
      <c r="M2531" s="380"/>
      <c r="N2531" s="380">
        <v>7.2</v>
      </c>
      <c r="O2531" s="380"/>
      <c r="P2531" s="380"/>
      <c r="Q2531" s="381">
        <v>5.19</v>
      </c>
      <c r="R2531" s="381">
        <v>5.71</v>
      </c>
      <c r="S2531" s="381">
        <v>-0.52700000000000002</v>
      </c>
      <c r="T2531" s="381"/>
      <c r="U2531" s="381">
        <v>4.4999999999999998E-2</v>
      </c>
      <c r="V2531" s="382">
        <v>5.71</v>
      </c>
      <c r="W2531" s="382">
        <v>4.4999999999999998E-2</v>
      </c>
      <c r="X2531" s="381">
        <v>0.72083333333333333</v>
      </c>
      <c r="Y2531" s="381">
        <v>0.79305555555555551</v>
      </c>
      <c r="Z2531" s="381">
        <v>-7.3194444444444451E-2</v>
      </c>
      <c r="AA2531" s="381">
        <v>0</v>
      </c>
      <c r="AB2531" s="381">
        <v>6.2499999999999995E-3</v>
      </c>
      <c r="AC2531" s="382">
        <v>0.79305555555555551</v>
      </c>
      <c r="AD2531" s="382">
        <v>6.2499999999999995E-3</v>
      </c>
      <c r="AE2531" s="381" t="s">
        <v>168</v>
      </c>
    </row>
    <row r="2532" spans="1:31" ht="15" customHeight="1" x14ac:dyDescent="0.25">
      <c r="A2532" s="20" t="s">
        <v>3561</v>
      </c>
      <c r="B2532" s="20" t="s">
        <v>3594</v>
      </c>
      <c r="C2532" s="20" t="s">
        <v>3562</v>
      </c>
      <c r="D2532" s="378" t="s">
        <v>3609</v>
      </c>
      <c r="E2532" s="384">
        <v>45124</v>
      </c>
      <c r="F2532" s="384">
        <v>46951</v>
      </c>
      <c r="G2532" s="378" t="s">
        <v>439</v>
      </c>
      <c r="H2532" s="20" t="s">
        <v>3588</v>
      </c>
      <c r="I2532" s="378"/>
      <c r="J2532" s="20" t="s">
        <v>163</v>
      </c>
      <c r="K2532" s="378" t="s">
        <v>3589</v>
      </c>
      <c r="L2532" s="378" t="s">
        <v>2789</v>
      </c>
      <c r="M2532" s="380"/>
      <c r="N2532" s="380">
        <v>10.199999999999999</v>
      </c>
      <c r="O2532" s="380"/>
      <c r="P2532" s="380"/>
      <c r="Q2532" s="381">
        <v>8.93</v>
      </c>
      <c r="R2532" s="381">
        <v>9.7899999999999991</v>
      </c>
      <c r="S2532" s="381">
        <v>-0.86799999999999999</v>
      </c>
      <c r="T2532" s="381"/>
      <c r="U2532" s="381">
        <v>4.4999999999999998E-2</v>
      </c>
      <c r="V2532" s="382">
        <v>9.7899999999999991</v>
      </c>
      <c r="W2532" s="382">
        <v>4.4999999999999998E-2</v>
      </c>
      <c r="X2532" s="381">
        <v>0.87549019607843137</v>
      </c>
      <c r="Y2532" s="381">
        <v>0.95980392156862748</v>
      </c>
      <c r="Z2532" s="381">
        <v>-8.5098039215686275E-2</v>
      </c>
      <c r="AA2532" s="381">
        <v>0</v>
      </c>
      <c r="AB2532" s="381">
        <v>4.4117647058823529E-3</v>
      </c>
      <c r="AC2532" s="382">
        <v>0.95980392156862748</v>
      </c>
      <c r="AD2532" s="382">
        <v>4.4117647058823529E-3</v>
      </c>
      <c r="AE2532" s="381" t="s">
        <v>168</v>
      </c>
    </row>
    <row r="2533" spans="1:31" ht="15" customHeight="1" x14ac:dyDescent="0.25">
      <c r="A2533" s="20" t="s">
        <v>3561</v>
      </c>
      <c r="B2533" s="20" t="s">
        <v>3586</v>
      </c>
      <c r="C2533" s="20" t="s">
        <v>3562</v>
      </c>
      <c r="D2533" s="378" t="s">
        <v>3610</v>
      </c>
      <c r="E2533" s="384">
        <v>45124</v>
      </c>
      <c r="F2533" s="384">
        <v>46951</v>
      </c>
      <c r="G2533" s="378" t="s">
        <v>439</v>
      </c>
      <c r="H2533" s="20" t="s">
        <v>3588</v>
      </c>
      <c r="I2533" s="378"/>
      <c r="J2533" s="20" t="s">
        <v>163</v>
      </c>
      <c r="K2533" s="378" t="s">
        <v>3589</v>
      </c>
      <c r="L2533" s="378" t="s">
        <v>2789</v>
      </c>
      <c r="M2533" s="380"/>
      <c r="N2533" s="380">
        <v>20.019938461538501</v>
      </c>
      <c r="O2533" s="380"/>
      <c r="P2533" s="380"/>
      <c r="Q2533" s="381">
        <v>7.44</v>
      </c>
      <c r="R2533" s="381">
        <v>8.15</v>
      </c>
      <c r="S2533" s="381">
        <v>-0.70499999999999996</v>
      </c>
      <c r="T2533" s="381"/>
      <c r="U2533" s="381">
        <v>4.4999999999999998E-2</v>
      </c>
      <c r="V2533" s="382">
        <v>8.15</v>
      </c>
      <c r="W2533" s="382">
        <v>4.4999999999999998E-2</v>
      </c>
      <c r="X2533" s="381">
        <v>0.37162951396146537</v>
      </c>
      <c r="Y2533" s="381">
        <v>0.40709415843897084</v>
      </c>
      <c r="Z2533" s="381">
        <v>-3.5214893460058211E-2</v>
      </c>
      <c r="AA2533" s="381">
        <v>0</v>
      </c>
      <c r="AB2533" s="381">
        <v>2.2477591570249922E-3</v>
      </c>
      <c r="AC2533" s="382">
        <v>0.4070941584389709</v>
      </c>
      <c r="AD2533" s="382">
        <v>2.2477591570249922E-3</v>
      </c>
      <c r="AE2533" s="381" t="s">
        <v>168</v>
      </c>
    </row>
    <row r="2534" spans="1:31" ht="15" customHeight="1" x14ac:dyDescent="0.25">
      <c r="A2534" s="20" t="s">
        <v>3561</v>
      </c>
      <c r="B2534" s="20" t="s">
        <v>3594</v>
      </c>
      <c r="C2534" s="20" t="s">
        <v>3562</v>
      </c>
      <c r="D2534" s="378" t="s">
        <v>3611</v>
      </c>
      <c r="E2534" s="384">
        <v>45124</v>
      </c>
      <c r="F2534" s="384">
        <v>46951</v>
      </c>
      <c r="G2534" s="378" t="s">
        <v>439</v>
      </c>
      <c r="H2534" s="20" t="s">
        <v>3588</v>
      </c>
      <c r="I2534" s="378"/>
      <c r="J2534" s="20" t="s">
        <v>163</v>
      </c>
      <c r="K2534" s="378" t="s">
        <v>3589</v>
      </c>
      <c r="L2534" s="378" t="s">
        <v>2789</v>
      </c>
      <c r="M2534" s="380"/>
      <c r="N2534" s="380">
        <v>5.4</v>
      </c>
      <c r="O2534" s="380"/>
      <c r="P2534" s="380"/>
      <c r="Q2534" s="381">
        <v>4.09</v>
      </c>
      <c r="R2534" s="381">
        <v>4.5</v>
      </c>
      <c r="S2534" s="381">
        <v>-0.41099999999999998</v>
      </c>
      <c r="T2534" s="381"/>
      <c r="U2534" s="381">
        <v>4.4999999999999998E-2</v>
      </c>
      <c r="V2534" s="382">
        <v>4.5</v>
      </c>
      <c r="W2534" s="382">
        <v>4.4999999999999998E-2</v>
      </c>
      <c r="X2534" s="381">
        <v>0.75740740740740731</v>
      </c>
      <c r="Y2534" s="381">
        <v>0.83333333333333326</v>
      </c>
      <c r="Z2534" s="381">
        <v>-7.6111111111111102E-2</v>
      </c>
      <c r="AA2534" s="381">
        <v>0</v>
      </c>
      <c r="AB2534" s="381">
        <v>8.3333333333333332E-3</v>
      </c>
      <c r="AC2534" s="382">
        <v>0.83333333333333326</v>
      </c>
      <c r="AD2534" s="382">
        <v>8.3333333333333332E-3</v>
      </c>
      <c r="AE2534" s="381" t="s">
        <v>168</v>
      </c>
    </row>
    <row r="2535" spans="1:31" ht="15" customHeight="1" x14ac:dyDescent="0.25">
      <c r="A2535" s="20" t="s">
        <v>3561</v>
      </c>
      <c r="B2535" s="20" t="s">
        <v>3594</v>
      </c>
      <c r="C2535" s="20" t="s">
        <v>3562</v>
      </c>
      <c r="D2535" s="378" t="s">
        <v>3612</v>
      </c>
      <c r="E2535" s="384">
        <v>45124</v>
      </c>
      <c r="F2535" s="384">
        <v>46951</v>
      </c>
      <c r="G2535" s="378" t="s">
        <v>439</v>
      </c>
      <c r="H2535" s="20" t="s">
        <v>3588</v>
      </c>
      <c r="I2535" s="378"/>
      <c r="J2535" s="20" t="s">
        <v>163</v>
      </c>
      <c r="K2535" s="378" t="s">
        <v>3589</v>
      </c>
      <c r="L2535" s="378" t="s">
        <v>2789</v>
      </c>
      <c r="M2535" s="380"/>
      <c r="N2535" s="380">
        <v>7.2</v>
      </c>
      <c r="O2535" s="380"/>
      <c r="P2535" s="380"/>
      <c r="Q2535" s="381">
        <v>6.05</v>
      </c>
      <c r="R2535" s="381">
        <v>6.62</v>
      </c>
      <c r="S2535" s="381">
        <v>-0.57099999999999995</v>
      </c>
      <c r="T2535" s="381"/>
      <c r="U2535" s="381">
        <v>4.4999999999999998E-2</v>
      </c>
      <c r="V2535" s="382">
        <v>6.62</v>
      </c>
      <c r="W2535" s="382">
        <v>4.4999999999999998E-2</v>
      </c>
      <c r="X2535" s="381">
        <v>0.84027777777777768</v>
      </c>
      <c r="Y2535" s="381">
        <v>0.9194444444444444</v>
      </c>
      <c r="Z2535" s="381">
        <v>-7.9305555555555546E-2</v>
      </c>
      <c r="AA2535" s="381">
        <v>0</v>
      </c>
      <c r="AB2535" s="381">
        <v>6.2499999999999995E-3</v>
      </c>
      <c r="AC2535" s="382">
        <v>0.9194444444444444</v>
      </c>
      <c r="AD2535" s="382">
        <v>6.2499999999999995E-3</v>
      </c>
      <c r="AE2535" s="381" t="s">
        <v>168</v>
      </c>
    </row>
    <row r="2536" spans="1:31" ht="15" customHeight="1" x14ac:dyDescent="0.25">
      <c r="A2536" s="20" t="s">
        <v>3561</v>
      </c>
      <c r="B2536" s="20" t="s">
        <v>3594</v>
      </c>
      <c r="C2536" s="20" t="s">
        <v>3562</v>
      </c>
      <c r="D2536" s="378" t="s">
        <v>3613</v>
      </c>
      <c r="E2536" s="384">
        <v>45124</v>
      </c>
      <c r="F2536" s="384">
        <v>46951</v>
      </c>
      <c r="G2536" s="378" t="s">
        <v>439</v>
      </c>
      <c r="H2536" s="20" t="s">
        <v>3588</v>
      </c>
      <c r="I2536" s="378"/>
      <c r="J2536" s="20" t="s">
        <v>163</v>
      </c>
      <c r="K2536" s="378" t="s">
        <v>3589</v>
      </c>
      <c r="L2536" s="378" t="s">
        <v>2789</v>
      </c>
      <c r="M2536" s="380"/>
      <c r="N2536" s="380">
        <v>5.4</v>
      </c>
      <c r="O2536" s="380"/>
      <c r="P2536" s="380"/>
      <c r="Q2536" s="381">
        <v>4.2300000000000004</v>
      </c>
      <c r="R2536" s="381">
        <v>4.62</v>
      </c>
      <c r="S2536" s="381">
        <v>-0.39200000000000002</v>
      </c>
      <c r="T2536" s="381"/>
      <c r="U2536" s="381">
        <v>4.4999999999999998E-2</v>
      </c>
      <c r="V2536" s="382">
        <v>4.62</v>
      </c>
      <c r="W2536" s="382">
        <v>4.4999999999999998E-2</v>
      </c>
      <c r="X2536" s="381">
        <v>0.78333333333333333</v>
      </c>
      <c r="Y2536" s="381">
        <v>0.85555555555555551</v>
      </c>
      <c r="Z2536" s="381">
        <v>-7.2592592592592597E-2</v>
      </c>
      <c r="AA2536" s="381">
        <v>0</v>
      </c>
      <c r="AB2536" s="381">
        <v>8.3333333333333332E-3</v>
      </c>
      <c r="AC2536" s="382">
        <v>0.8555555555555554</v>
      </c>
      <c r="AD2536" s="382">
        <v>8.3333333333333332E-3</v>
      </c>
      <c r="AE2536" s="381" t="s">
        <v>168</v>
      </c>
    </row>
    <row r="2537" spans="1:31" ht="15" customHeight="1" x14ac:dyDescent="0.25">
      <c r="A2537" s="20" t="s">
        <v>3561</v>
      </c>
      <c r="B2537" s="20" t="s">
        <v>3594</v>
      </c>
      <c r="C2537" s="20" t="s">
        <v>3562</v>
      </c>
      <c r="D2537" s="378" t="s">
        <v>3614</v>
      </c>
      <c r="E2537" s="384">
        <v>45124</v>
      </c>
      <c r="F2537" s="384">
        <v>46951</v>
      </c>
      <c r="G2537" s="378" t="s">
        <v>439</v>
      </c>
      <c r="H2537" s="20" t="s">
        <v>3588</v>
      </c>
      <c r="I2537" s="378"/>
      <c r="J2537" s="20" t="s">
        <v>163</v>
      </c>
      <c r="K2537" s="378" t="s">
        <v>3589</v>
      </c>
      <c r="L2537" s="378" t="s">
        <v>2789</v>
      </c>
      <c r="M2537" s="380"/>
      <c r="N2537" s="380">
        <v>15.4</v>
      </c>
      <c r="O2537" s="380"/>
      <c r="P2537" s="380"/>
      <c r="Q2537" s="381">
        <v>13.8</v>
      </c>
      <c r="R2537" s="381">
        <v>14.9</v>
      </c>
      <c r="S2537" s="381">
        <v>-1.1299999999999999</v>
      </c>
      <c r="T2537" s="381"/>
      <c r="U2537" s="381">
        <v>4.4999999999999998E-2</v>
      </c>
      <c r="V2537" s="382">
        <v>14.899999999999999</v>
      </c>
      <c r="W2537" s="382">
        <v>4.4999999999999998E-2</v>
      </c>
      <c r="X2537" s="381">
        <v>0.89610389610389618</v>
      </c>
      <c r="Y2537" s="381">
        <v>0.96753246753246758</v>
      </c>
      <c r="Z2537" s="381">
        <v>-7.3376623376623373E-2</v>
      </c>
      <c r="AA2537" s="381">
        <v>0</v>
      </c>
      <c r="AB2537" s="381">
        <v>2.9220779220779218E-3</v>
      </c>
      <c r="AC2537" s="382">
        <v>0.96753246753246747</v>
      </c>
      <c r="AD2537" s="382">
        <v>2.9220779220779218E-3</v>
      </c>
      <c r="AE2537" s="381" t="s">
        <v>168</v>
      </c>
    </row>
    <row r="2538" spans="1:31" ht="15" customHeight="1" x14ac:dyDescent="0.25">
      <c r="A2538" s="20" t="s">
        <v>3561</v>
      </c>
      <c r="B2538" s="20" t="s">
        <v>3594</v>
      </c>
      <c r="C2538" s="20" t="s">
        <v>3562</v>
      </c>
      <c r="D2538" s="378" t="s">
        <v>3615</v>
      </c>
      <c r="E2538" s="384">
        <v>45124</v>
      </c>
      <c r="F2538" s="384">
        <v>46951</v>
      </c>
      <c r="G2538" s="378" t="s">
        <v>439</v>
      </c>
      <c r="H2538" s="20" t="s">
        <v>3588</v>
      </c>
      <c r="I2538" s="378"/>
      <c r="J2538" s="20" t="s">
        <v>163</v>
      </c>
      <c r="K2538" s="378" t="s">
        <v>3589</v>
      </c>
      <c r="L2538" s="378" t="s">
        <v>2789</v>
      </c>
      <c r="M2538" s="380"/>
      <c r="N2538" s="380">
        <v>15.36</v>
      </c>
      <c r="O2538" s="380"/>
      <c r="P2538" s="380"/>
      <c r="Q2538" s="381">
        <v>13.9</v>
      </c>
      <c r="R2538" s="381">
        <v>15</v>
      </c>
      <c r="S2538" s="381">
        <v>-1.1200000000000001</v>
      </c>
      <c r="T2538" s="381"/>
      <c r="U2538" s="381">
        <v>4.4999999999999998E-2</v>
      </c>
      <c r="V2538" s="382">
        <v>15</v>
      </c>
      <c r="W2538" s="382">
        <v>4.4999999999999998E-2</v>
      </c>
      <c r="X2538" s="381">
        <v>0.90494791666666674</v>
      </c>
      <c r="Y2538" s="381">
        <v>0.9765625</v>
      </c>
      <c r="Z2538" s="381">
        <v>-7.2916666666666671E-2</v>
      </c>
      <c r="AA2538" s="381">
        <v>0</v>
      </c>
      <c r="AB2538" s="381">
        <v>2.9296875E-3</v>
      </c>
      <c r="AC2538" s="382">
        <v>0.9765625</v>
      </c>
      <c r="AD2538" s="382">
        <v>2.9296875E-3</v>
      </c>
      <c r="AE2538" s="381" t="s">
        <v>168</v>
      </c>
    </row>
    <row r="2539" spans="1:31" ht="15" customHeight="1" x14ac:dyDescent="0.25">
      <c r="A2539" s="20" t="s">
        <v>3561</v>
      </c>
      <c r="B2539" s="20" t="s">
        <v>3586</v>
      </c>
      <c r="C2539" s="20" t="s">
        <v>3562</v>
      </c>
      <c r="D2539" s="378" t="s">
        <v>3616</v>
      </c>
      <c r="E2539" s="384">
        <v>45124</v>
      </c>
      <c r="F2539" s="384">
        <v>46951</v>
      </c>
      <c r="G2539" s="378" t="s">
        <v>439</v>
      </c>
      <c r="H2539" s="20" t="s">
        <v>3588</v>
      </c>
      <c r="I2539" s="378"/>
      <c r="J2539" s="20" t="s">
        <v>163</v>
      </c>
      <c r="K2539" s="378" t="s">
        <v>3589</v>
      </c>
      <c r="L2539" s="378" t="s">
        <v>2789</v>
      </c>
      <c r="M2539" s="380"/>
      <c r="N2539" s="380">
        <v>19.3642461538461</v>
      </c>
      <c r="O2539" s="380"/>
      <c r="P2539" s="380"/>
      <c r="Q2539" s="381">
        <v>6.43</v>
      </c>
      <c r="R2539" s="381">
        <v>6.96</v>
      </c>
      <c r="S2539" s="381">
        <v>-0.53600000000000003</v>
      </c>
      <c r="T2539" s="381"/>
      <c r="U2539" s="381">
        <v>4.4999999999999998E-2</v>
      </c>
      <c r="V2539" s="382">
        <v>6.9599999999999991</v>
      </c>
      <c r="W2539" s="382">
        <v>4.4999999999999998E-2</v>
      </c>
      <c r="X2539" s="381">
        <v>0.33205527077659475</v>
      </c>
      <c r="Y2539" s="381">
        <v>0.35942530087171065</v>
      </c>
      <c r="Z2539" s="381">
        <v>-2.7679879492419096E-2</v>
      </c>
      <c r="AA2539" s="381">
        <v>0</v>
      </c>
      <c r="AB2539" s="381">
        <v>2.323870479773991E-3</v>
      </c>
      <c r="AC2539" s="382">
        <v>0.35942530087171065</v>
      </c>
      <c r="AD2539" s="382">
        <v>2.323870479773991E-3</v>
      </c>
      <c r="AE2539" s="381" t="s">
        <v>168</v>
      </c>
    </row>
    <row r="2540" spans="1:31" ht="15" customHeight="1" x14ac:dyDescent="0.25">
      <c r="A2540" s="20" t="s">
        <v>3561</v>
      </c>
      <c r="B2540" s="20" t="s">
        <v>3586</v>
      </c>
      <c r="C2540" s="20" t="s">
        <v>3562</v>
      </c>
      <c r="D2540" s="378" t="s">
        <v>3617</v>
      </c>
      <c r="E2540" s="384">
        <v>45124</v>
      </c>
      <c r="F2540" s="384">
        <v>46951</v>
      </c>
      <c r="G2540" s="378" t="s">
        <v>439</v>
      </c>
      <c r="H2540" s="20" t="s">
        <v>3588</v>
      </c>
      <c r="I2540" s="378"/>
      <c r="J2540" s="20" t="s">
        <v>163</v>
      </c>
      <c r="K2540" s="378" t="s">
        <v>3589</v>
      </c>
      <c r="L2540" s="378" t="s">
        <v>2789</v>
      </c>
      <c r="M2540" s="380"/>
      <c r="N2540" s="380">
        <v>19.692092307692299</v>
      </c>
      <c r="O2540" s="380"/>
      <c r="P2540" s="380"/>
      <c r="Q2540" s="381">
        <v>5.59</v>
      </c>
      <c r="R2540" s="381">
        <v>6.05</v>
      </c>
      <c r="S2540" s="381">
        <v>-0.46600000000000003</v>
      </c>
      <c r="T2540" s="381"/>
      <c r="U2540" s="381">
        <v>4.4999999999999998E-2</v>
      </c>
      <c r="V2540" s="382">
        <v>6.05</v>
      </c>
      <c r="W2540" s="382">
        <v>4.4999999999999998E-2</v>
      </c>
      <c r="X2540" s="381">
        <v>0.28387029233132249</v>
      </c>
      <c r="Y2540" s="381">
        <v>0.30722992282728107</v>
      </c>
      <c r="Z2540" s="381">
        <v>-2.3664321328514544E-2</v>
      </c>
      <c r="AA2540" s="381">
        <v>0</v>
      </c>
      <c r="AB2540" s="381">
        <v>2.2851812441698591E-3</v>
      </c>
      <c r="AC2540" s="382">
        <v>0.30722992282728107</v>
      </c>
      <c r="AD2540" s="382">
        <v>2.2851812441698591E-3</v>
      </c>
      <c r="AE2540" s="381" t="s">
        <v>168</v>
      </c>
    </row>
    <row r="2541" spans="1:31" ht="15" customHeight="1" x14ac:dyDescent="0.25">
      <c r="A2541" s="20" t="s">
        <v>3561</v>
      </c>
      <c r="B2541" s="20" t="s">
        <v>3594</v>
      </c>
      <c r="C2541" s="20" t="s">
        <v>3562</v>
      </c>
      <c r="D2541" s="378" t="s">
        <v>3618</v>
      </c>
      <c r="E2541" s="384">
        <v>45124</v>
      </c>
      <c r="F2541" s="384">
        <v>46951</v>
      </c>
      <c r="G2541" s="378" t="s">
        <v>439</v>
      </c>
      <c r="H2541" s="20" t="s">
        <v>3588</v>
      </c>
      <c r="I2541" s="378"/>
      <c r="J2541" s="20" t="s">
        <v>163</v>
      </c>
      <c r="K2541" s="378" t="s">
        <v>3589</v>
      </c>
      <c r="L2541" s="378" t="s">
        <v>2789</v>
      </c>
      <c r="M2541" s="380"/>
      <c r="N2541" s="380">
        <v>9.6</v>
      </c>
      <c r="O2541" s="380"/>
      <c r="P2541" s="380"/>
      <c r="Q2541" s="381">
        <v>8.1</v>
      </c>
      <c r="R2541" s="381">
        <v>8.7100000000000009</v>
      </c>
      <c r="S2541" s="381">
        <v>-0.60799999999999998</v>
      </c>
      <c r="T2541" s="381"/>
      <c r="U2541" s="381">
        <v>4.4999999999999998E-2</v>
      </c>
      <c r="V2541" s="382">
        <v>8.7100000000000009</v>
      </c>
      <c r="W2541" s="382">
        <v>4.4999999999999998E-2</v>
      </c>
      <c r="X2541" s="381">
        <v>0.84375</v>
      </c>
      <c r="Y2541" s="381">
        <v>0.90729166666666683</v>
      </c>
      <c r="Z2541" s="381">
        <v>-6.3333333333333339E-2</v>
      </c>
      <c r="AA2541" s="381">
        <v>0</v>
      </c>
      <c r="AB2541" s="381">
        <v>4.6874999999999998E-3</v>
      </c>
      <c r="AC2541" s="382">
        <v>0.90729166666666683</v>
      </c>
      <c r="AD2541" s="382">
        <v>4.6874999999999998E-3</v>
      </c>
      <c r="AE2541" s="381" t="s">
        <v>168</v>
      </c>
    </row>
    <row r="2542" spans="1:31" ht="15" customHeight="1" x14ac:dyDescent="0.25">
      <c r="A2542" s="20" t="s">
        <v>3561</v>
      </c>
      <c r="B2542" s="20" t="s">
        <v>3591</v>
      </c>
      <c r="C2542" s="20" t="s">
        <v>3562</v>
      </c>
      <c r="D2542" s="378" t="s">
        <v>3619</v>
      </c>
      <c r="E2542" s="384">
        <v>45124</v>
      </c>
      <c r="F2542" s="384">
        <v>46951</v>
      </c>
      <c r="G2542" s="378" t="s">
        <v>439</v>
      </c>
      <c r="H2542" s="20" t="s">
        <v>3588</v>
      </c>
      <c r="I2542" s="378"/>
      <c r="J2542" s="20" t="s">
        <v>163</v>
      </c>
      <c r="K2542" s="378" t="s">
        <v>3589</v>
      </c>
      <c r="L2542" s="378" t="s">
        <v>2789</v>
      </c>
      <c r="M2542" s="380"/>
      <c r="N2542" s="380">
        <v>5.4</v>
      </c>
      <c r="O2542" s="380"/>
      <c r="P2542" s="380"/>
      <c r="Q2542" s="381">
        <v>4.33</v>
      </c>
      <c r="R2542" s="381">
        <v>4.67</v>
      </c>
      <c r="S2542" s="381">
        <v>-0.34</v>
      </c>
      <c r="T2542" s="381"/>
      <c r="U2542" s="381">
        <v>4.4999999999999998E-2</v>
      </c>
      <c r="V2542" s="382">
        <v>4.67</v>
      </c>
      <c r="W2542" s="382">
        <v>4.4999999999999998E-2</v>
      </c>
      <c r="X2542" s="381">
        <v>0.80185185185185182</v>
      </c>
      <c r="Y2542" s="381">
        <v>0.8648148148148147</v>
      </c>
      <c r="Z2542" s="381">
        <v>-6.2962962962962957E-2</v>
      </c>
      <c r="AA2542" s="381">
        <v>0</v>
      </c>
      <c r="AB2542" s="381">
        <v>8.3333333333333332E-3</v>
      </c>
      <c r="AC2542" s="382">
        <v>0.8648148148148147</v>
      </c>
      <c r="AD2542" s="382">
        <v>8.3333333333333332E-3</v>
      </c>
      <c r="AE2542" s="381" t="s">
        <v>168</v>
      </c>
    </row>
    <row r="2543" spans="1:31" ht="15" customHeight="1" x14ac:dyDescent="0.25">
      <c r="A2543" s="20" t="s">
        <v>3561</v>
      </c>
      <c r="B2543" s="20" t="s">
        <v>3594</v>
      </c>
      <c r="C2543" s="20" t="s">
        <v>3562</v>
      </c>
      <c r="D2543" s="378" t="s">
        <v>3620</v>
      </c>
      <c r="E2543" s="384">
        <v>44414</v>
      </c>
      <c r="F2543" s="384">
        <v>46238</v>
      </c>
      <c r="G2543" s="378" t="s">
        <v>2881</v>
      </c>
      <c r="H2543" s="20" t="s">
        <v>3621</v>
      </c>
      <c r="I2543" s="378">
        <v>0</v>
      </c>
      <c r="J2543" s="20" t="s">
        <v>2831</v>
      </c>
      <c r="K2543" s="378" t="s">
        <v>3622</v>
      </c>
      <c r="L2543" s="378" t="s">
        <v>2789</v>
      </c>
      <c r="M2543" s="380" t="s">
        <v>443</v>
      </c>
      <c r="N2543" s="380">
        <v>14.4</v>
      </c>
      <c r="O2543" s="380" t="s">
        <v>443</v>
      </c>
      <c r="P2543" s="380" t="s">
        <v>443</v>
      </c>
      <c r="Q2543" s="381">
        <v>10.8</v>
      </c>
      <c r="R2543" s="381">
        <v>0</v>
      </c>
      <c r="S2543" s="381">
        <v>0</v>
      </c>
      <c r="T2543" s="381">
        <v>0</v>
      </c>
      <c r="U2543" s="381">
        <v>0</v>
      </c>
      <c r="V2543" s="382">
        <v>10.8</v>
      </c>
      <c r="W2543" s="382">
        <v>0</v>
      </c>
      <c r="X2543" s="381">
        <v>0.75</v>
      </c>
      <c r="Y2543" s="381">
        <v>0</v>
      </c>
      <c r="Z2543" s="381">
        <v>0</v>
      </c>
      <c r="AA2543" s="381">
        <v>0</v>
      </c>
      <c r="AB2543" s="381">
        <v>0</v>
      </c>
      <c r="AC2543" s="382">
        <v>0.75</v>
      </c>
      <c r="AD2543" s="382">
        <v>0</v>
      </c>
      <c r="AE2543" s="381" t="s">
        <v>168</v>
      </c>
    </row>
    <row r="2544" spans="1:31" ht="15" customHeight="1" x14ac:dyDescent="0.25">
      <c r="A2544" s="20" t="s">
        <v>3561</v>
      </c>
      <c r="B2544" s="20" t="s">
        <v>3594</v>
      </c>
      <c r="C2544" s="20" t="s">
        <v>3562</v>
      </c>
      <c r="D2544" s="378" t="s">
        <v>3623</v>
      </c>
      <c r="E2544" s="384">
        <v>44414</v>
      </c>
      <c r="F2544" s="384">
        <v>46238</v>
      </c>
      <c r="G2544" s="378" t="s">
        <v>2881</v>
      </c>
      <c r="H2544" s="20" t="s">
        <v>3621</v>
      </c>
      <c r="I2544" s="378">
        <v>0</v>
      </c>
      <c r="J2544" s="20" t="s">
        <v>2831</v>
      </c>
      <c r="K2544" s="378" t="s">
        <v>3622</v>
      </c>
      <c r="L2544" s="378" t="s">
        <v>2789</v>
      </c>
      <c r="M2544" s="380" t="s">
        <v>443</v>
      </c>
      <c r="N2544" s="380">
        <v>18</v>
      </c>
      <c r="O2544" s="380" t="s">
        <v>443</v>
      </c>
      <c r="P2544" s="380" t="s">
        <v>443</v>
      </c>
      <c r="Q2544" s="381">
        <v>13.5</v>
      </c>
      <c r="R2544" s="381">
        <v>0</v>
      </c>
      <c r="S2544" s="381">
        <v>0</v>
      </c>
      <c r="T2544" s="381">
        <v>0</v>
      </c>
      <c r="U2544" s="381">
        <v>0</v>
      </c>
      <c r="V2544" s="382">
        <v>13.5</v>
      </c>
      <c r="W2544" s="382">
        <v>0</v>
      </c>
      <c r="X2544" s="381">
        <v>0.75</v>
      </c>
      <c r="Y2544" s="381">
        <v>0</v>
      </c>
      <c r="Z2544" s="381">
        <v>0</v>
      </c>
      <c r="AA2544" s="381">
        <v>0</v>
      </c>
      <c r="AB2544" s="381">
        <v>0</v>
      </c>
      <c r="AC2544" s="382">
        <v>0.75</v>
      </c>
      <c r="AD2544" s="382">
        <v>0</v>
      </c>
      <c r="AE2544" s="381" t="s">
        <v>168</v>
      </c>
    </row>
    <row r="2545" spans="1:31" ht="15" customHeight="1" x14ac:dyDescent="0.25">
      <c r="A2545" s="20" t="s">
        <v>3561</v>
      </c>
      <c r="B2545" s="20" t="s">
        <v>3594</v>
      </c>
      <c r="C2545" s="20" t="s">
        <v>3562</v>
      </c>
      <c r="D2545" s="378" t="s">
        <v>3624</v>
      </c>
      <c r="E2545" s="384">
        <v>44414</v>
      </c>
      <c r="F2545" s="384">
        <v>46238</v>
      </c>
      <c r="G2545" s="378" t="s">
        <v>2881</v>
      </c>
      <c r="H2545" s="20" t="s">
        <v>3621</v>
      </c>
      <c r="I2545" s="378">
        <v>0</v>
      </c>
      <c r="J2545" s="20" t="s">
        <v>2831</v>
      </c>
      <c r="K2545" s="378" t="s">
        <v>3622</v>
      </c>
      <c r="L2545" s="378" t="s">
        <v>2789</v>
      </c>
      <c r="M2545" s="380" t="s">
        <v>443</v>
      </c>
      <c r="N2545" s="380">
        <v>21.6</v>
      </c>
      <c r="O2545" s="380" t="s">
        <v>443</v>
      </c>
      <c r="P2545" s="380" t="s">
        <v>443</v>
      </c>
      <c r="Q2545" s="381">
        <v>18.100000000000001</v>
      </c>
      <c r="R2545" s="381">
        <v>0</v>
      </c>
      <c r="S2545" s="381">
        <v>0</v>
      </c>
      <c r="T2545" s="381">
        <v>0</v>
      </c>
      <c r="U2545" s="381">
        <v>0</v>
      </c>
      <c r="V2545" s="382">
        <v>18.100000000000001</v>
      </c>
      <c r="W2545" s="382">
        <v>0</v>
      </c>
      <c r="X2545" s="381">
        <v>0.83796296296296302</v>
      </c>
      <c r="Y2545" s="381">
        <v>0</v>
      </c>
      <c r="Z2545" s="381">
        <v>0</v>
      </c>
      <c r="AA2545" s="381">
        <v>0</v>
      </c>
      <c r="AB2545" s="381">
        <v>0</v>
      </c>
      <c r="AC2545" s="382">
        <v>0.83796296296296302</v>
      </c>
      <c r="AD2545" s="382">
        <v>0</v>
      </c>
      <c r="AE2545" s="381" t="s">
        <v>168</v>
      </c>
    </row>
    <row r="2546" spans="1:31" ht="15" customHeight="1" x14ac:dyDescent="0.25">
      <c r="A2546" s="20" t="s">
        <v>3561</v>
      </c>
      <c r="B2546" s="20" t="s">
        <v>3562</v>
      </c>
      <c r="C2546" s="20" t="s">
        <v>3562</v>
      </c>
      <c r="D2546" s="378" t="s">
        <v>3625</v>
      </c>
      <c r="E2546" s="384">
        <v>45624</v>
      </c>
      <c r="F2546" s="384">
        <v>47449</v>
      </c>
      <c r="G2546" s="378" t="s">
        <v>439</v>
      </c>
      <c r="H2546" s="20" t="s">
        <v>3626</v>
      </c>
      <c r="I2546" s="378" t="s">
        <v>441</v>
      </c>
      <c r="J2546" s="20" t="s">
        <v>163</v>
      </c>
      <c r="K2546" s="378" t="s">
        <v>3627</v>
      </c>
      <c r="L2546" s="378" t="s">
        <v>2789</v>
      </c>
      <c r="M2546" s="380" t="s">
        <v>443</v>
      </c>
      <c r="N2546" s="380">
        <v>9.4</v>
      </c>
      <c r="O2546" s="380" t="s">
        <v>443</v>
      </c>
      <c r="P2546" s="380" t="s">
        <v>443</v>
      </c>
      <c r="Q2546" s="381">
        <v>12.422999999999998</v>
      </c>
      <c r="R2546" s="381">
        <v>0</v>
      </c>
      <c r="S2546" s="381">
        <v>0</v>
      </c>
      <c r="T2546" s="381">
        <v>0</v>
      </c>
      <c r="U2546" s="381">
        <v>0</v>
      </c>
      <c r="V2546" s="382">
        <v>12.422999999999998</v>
      </c>
      <c r="W2546" s="382">
        <v>0</v>
      </c>
      <c r="X2546" s="381">
        <v>1.3215957446808508</v>
      </c>
      <c r="Y2546" s="381">
        <v>0</v>
      </c>
      <c r="Z2546" s="381">
        <v>0</v>
      </c>
      <c r="AA2546" s="381">
        <v>0</v>
      </c>
      <c r="AB2546" s="381">
        <v>0</v>
      </c>
      <c r="AC2546" s="382">
        <v>1.3215957446808508</v>
      </c>
      <c r="AD2546" s="382">
        <v>0</v>
      </c>
      <c r="AE2546" s="381" t="s">
        <v>444</v>
      </c>
    </row>
    <row r="2547" spans="1:31" ht="15" customHeight="1" x14ac:dyDescent="0.25">
      <c r="A2547" s="20" t="s">
        <v>3628</v>
      </c>
      <c r="B2547" s="20" t="s">
        <v>3629</v>
      </c>
      <c r="C2547" s="20" t="s">
        <v>3630</v>
      </c>
      <c r="D2547" s="378" t="s">
        <v>3631</v>
      </c>
      <c r="E2547" s="384">
        <v>45352</v>
      </c>
      <c r="F2547" s="384">
        <v>47178</v>
      </c>
      <c r="G2547" s="378" t="s">
        <v>2837</v>
      </c>
      <c r="H2547" s="20" t="s">
        <v>3632</v>
      </c>
      <c r="I2547" s="378" t="s">
        <v>441</v>
      </c>
      <c r="J2547" s="20" t="s">
        <v>3311</v>
      </c>
      <c r="K2547" s="378" t="s">
        <v>3633</v>
      </c>
      <c r="L2547" s="378" t="s">
        <v>2774</v>
      </c>
      <c r="M2547" s="380">
        <v>2700</v>
      </c>
      <c r="N2547" s="380">
        <v>10</v>
      </c>
      <c r="O2547" s="380" t="s">
        <v>443</v>
      </c>
      <c r="P2547" s="380" t="s">
        <v>443</v>
      </c>
      <c r="Q2547" s="381">
        <v>1.1000000000000001</v>
      </c>
      <c r="R2547" s="381">
        <v>0</v>
      </c>
      <c r="S2547" s="381">
        <v>0</v>
      </c>
      <c r="T2547" s="381">
        <v>0</v>
      </c>
      <c r="U2547" s="381">
        <v>0</v>
      </c>
      <c r="V2547" s="382">
        <v>1.1000000000000001</v>
      </c>
      <c r="W2547" s="382">
        <v>0</v>
      </c>
      <c r="X2547" s="381">
        <v>1.1000000000000001</v>
      </c>
      <c r="Y2547" s="381">
        <v>0</v>
      </c>
      <c r="Z2547" s="381">
        <v>0</v>
      </c>
      <c r="AA2547" s="381">
        <v>0</v>
      </c>
      <c r="AB2547" s="381">
        <v>0</v>
      </c>
      <c r="AC2547" s="382">
        <v>1.1000000000000001</v>
      </c>
      <c r="AD2547" s="382">
        <v>0</v>
      </c>
      <c r="AE2547" s="381" t="s">
        <v>168</v>
      </c>
    </row>
    <row r="2548" spans="1:31" ht="15" customHeight="1" x14ac:dyDescent="0.25">
      <c r="A2548" s="20" t="s">
        <v>3628</v>
      </c>
      <c r="B2548" s="20" t="s">
        <v>3629</v>
      </c>
      <c r="C2548" s="20" t="s">
        <v>3630</v>
      </c>
      <c r="D2548" s="378" t="s">
        <v>3634</v>
      </c>
      <c r="E2548" s="384">
        <v>45352</v>
      </c>
      <c r="F2548" s="384">
        <v>47178</v>
      </c>
      <c r="G2548" s="378" t="s">
        <v>2837</v>
      </c>
      <c r="H2548" s="20" t="s">
        <v>3635</v>
      </c>
      <c r="I2548" s="378" t="s">
        <v>441</v>
      </c>
      <c r="J2548" s="20" t="s">
        <v>3311</v>
      </c>
      <c r="K2548" s="378" t="s">
        <v>3636</v>
      </c>
      <c r="L2548" s="378" t="s">
        <v>2774</v>
      </c>
      <c r="M2548" s="380" t="s">
        <v>443</v>
      </c>
      <c r="N2548" s="380">
        <v>10</v>
      </c>
      <c r="O2548" s="380" t="s">
        <v>443</v>
      </c>
      <c r="P2548" s="380" t="s">
        <v>443</v>
      </c>
      <c r="Q2548" s="381">
        <v>1.3</v>
      </c>
      <c r="R2548" s="381">
        <v>0</v>
      </c>
      <c r="S2548" s="381">
        <v>0</v>
      </c>
      <c r="T2548" s="381">
        <v>0</v>
      </c>
      <c r="U2548" s="381">
        <v>0</v>
      </c>
      <c r="V2548" s="382">
        <v>1.3</v>
      </c>
      <c r="W2548" s="382">
        <v>0</v>
      </c>
      <c r="X2548" s="381">
        <v>1.3</v>
      </c>
      <c r="Y2548" s="381">
        <v>0</v>
      </c>
      <c r="Z2548" s="381">
        <v>0</v>
      </c>
      <c r="AA2548" s="381">
        <v>0</v>
      </c>
      <c r="AB2548" s="381">
        <v>0</v>
      </c>
      <c r="AC2548" s="382">
        <v>1.3</v>
      </c>
      <c r="AD2548" s="382">
        <v>0</v>
      </c>
      <c r="AE2548" s="381" t="s">
        <v>168</v>
      </c>
    </row>
    <row r="2549" spans="1:31" ht="15" customHeight="1" x14ac:dyDescent="0.25">
      <c r="A2549" s="20" t="s">
        <v>3628</v>
      </c>
      <c r="B2549" s="20" t="s">
        <v>3637</v>
      </c>
      <c r="C2549" s="20" t="s">
        <v>3630</v>
      </c>
      <c r="D2549" s="378" t="s">
        <v>3638</v>
      </c>
      <c r="E2549" s="384">
        <v>45230</v>
      </c>
      <c r="F2549" s="384">
        <v>47057</v>
      </c>
      <c r="G2549" s="378" t="s">
        <v>2856</v>
      </c>
      <c r="H2549" s="20" t="s">
        <v>3639</v>
      </c>
      <c r="I2549" s="378">
        <v>0</v>
      </c>
      <c r="J2549" s="20" t="s">
        <v>2831</v>
      </c>
      <c r="K2549" s="378" t="s">
        <v>3640</v>
      </c>
      <c r="L2549" s="378" t="s">
        <v>2774</v>
      </c>
      <c r="M2549" s="380" t="s">
        <v>443</v>
      </c>
      <c r="N2549" s="380">
        <v>26</v>
      </c>
      <c r="O2549" s="380" t="s">
        <v>443</v>
      </c>
      <c r="P2549" s="380" t="s">
        <v>443</v>
      </c>
      <c r="Q2549" s="381">
        <v>1.9653846153846155</v>
      </c>
      <c r="R2549" s="381">
        <v>1.9653846153846155</v>
      </c>
      <c r="S2549" s="381">
        <v>-7.2307692307692307E-3</v>
      </c>
      <c r="T2549" s="381">
        <v>0</v>
      </c>
      <c r="U2549" s="381">
        <v>0</v>
      </c>
      <c r="V2549" s="382">
        <v>1.9653846153846155</v>
      </c>
      <c r="W2549" s="382">
        <v>0</v>
      </c>
      <c r="X2549" s="381">
        <v>1.9653846153846155</v>
      </c>
      <c r="Y2549" s="381">
        <v>1.9653846153846155</v>
      </c>
      <c r="Z2549" s="381">
        <v>-7.2307692307692307E-3</v>
      </c>
      <c r="AA2549" s="381">
        <v>0</v>
      </c>
      <c r="AB2549" s="381">
        <v>0</v>
      </c>
      <c r="AC2549" s="382">
        <v>1.9653846153846155</v>
      </c>
      <c r="AD2549" s="382">
        <v>0</v>
      </c>
      <c r="AE2549" s="381" t="s">
        <v>168</v>
      </c>
    </row>
    <row r="2550" spans="1:31" ht="15" customHeight="1" x14ac:dyDescent="0.25">
      <c r="A2550" s="20" t="s">
        <v>3628</v>
      </c>
      <c r="B2550" s="20" t="s">
        <v>3637</v>
      </c>
      <c r="C2550" s="20" t="s">
        <v>3630</v>
      </c>
      <c r="D2550" s="378" t="s">
        <v>3641</v>
      </c>
      <c r="E2550" s="384">
        <v>45230</v>
      </c>
      <c r="F2550" s="384">
        <v>47057</v>
      </c>
      <c r="G2550" s="378" t="s">
        <v>2856</v>
      </c>
      <c r="H2550" s="20" t="s">
        <v>3639</v>
      </c>
      <c r="I2550" s="378">
        <v>0</v>
      </c>
      <c r="J2550" s="20" t="s">
        <v>2831</v>
      </c>
      <c r="K2550" s="378" t="s">
        <v>3640</v>
      </c>
      <c r="L2550" s="378" t="s">
        <v>2774</v>
      </c>
      <c r="M2550" s="380" t="s">
        <v>443</v>
      </c>
      <c r="N2550" s="380">
        <v>26</v>
      </c>
      <c r="O2550" s="380" t="s">
        <v>443</v>
      </c>
      <c r="P2550" s="380" t="s">
        <v>443</v>
      </c>
      <c r="Q2550" s="381">
        <v>1.9653846153846155</v>
      </c>
      <c r="R2550" s="381">
        <v>1.9653846153846155</v>
      </c>
      <c r="S2550" s="381">
        <v>-7.2307692307692307E-3</v>
      </c>
      <c r="T2550" s="381">
        <v>0</v>
      </c>
      <c r="U2550" s="381">
        <v>0</v>
      </c>
      <c r="V2550" s="382">
        <v>1.9653846153846155</v>
      </c>
      <c r="W2550" s="382">
        <v>0</v>
      </c>
      <c r="X2550" s="381">
        <v>1.9653846153846155</v>
      </c>
      <c r="Y2550" s="381">
        <v>1.9653846153846155</v>
      </c>
      <c r="Z2550" s="381">
        <v>-7.2307692307692307E-3</v>
      </c>
      <c r="AA2550" s="381">
        <v>0</v>
      </c>
      <c r="AB2550" s="381">
        <v>0</v>
      </c>
      <c r="AC2550" s="382">
        <v>1.9653846153846155</v>
      </c>
      <c r="AD2550" s="382">
        <v>0</v>
      </c>
      <c r="AE2550" s="381" t="s">
        <v>168</v>
      </c>
    </row>
    <row r="2551" spans="1:31" ht="15" customHeight="1" x14ac:dyDescent="0.25">
      <c r="A2551" s="20" t="s">
        <v>3628</v>
      </c>
      <c r="B2551" s="20" t="s">
        <v>3637</v>
      </c>
      <c r="C2551" s="20" t="s">
        <v>3630</v>
      </c>
      <c r="D2551" s="378" t="s">
        <v>3642</v>
      </c>
      <c r="E2551" s="384">
        <v>45230</v>
      </c>
      <c r="F2551" s="384">
        <v>47057</v>
      </c>
      <c r="G2551" s="378" t="s">
        <v>2856</v>
      </c>
      <c r="H2551" s="20" t="s">
        <v>3639</v>
      </c>
      <c r="I2551" s="378">
        <v>0</v>
      </c>
      <c r="J2551" s="20" t="s">
        <v>2831</v>
      </c>
      <c r="K2551" s="378" t="s">
        <v>3640</v>
      </c>
      <c r="L2551" s="378" t="s">
        <v>2774</v>
      </c>
      <c r="M2551" s="380" t="s">
        <v>443</v>
      </c>
      <c r="N2551" s="380">
        <v>26</v>
      </c>
      <c r="O2551" s="380" t="s">
        <v>443</v>
      </c>
      <c r="P2551" s="380" t="s">
        <v>443</v>
      </c>
      <c r="Q2551" s="381">
        <v>1.9653846153846155</v>
      </c>
      <c r="R2551" s="381">
        <v>1.9653846153846155</v>
      </c>
      <c r="S2551" s="381">
        <v>-7.2307692307692307E-3</v>
      </c>
      <c r="T2551" s="381">
        <v>0</v>
      </c>
      <c r="U2551" s="381">
        <v>0</v>
      </c>
      <c r="V2551" s="382">
        <v>1.9653846153846155</v>
      </c>
      <c r="W2551" s="382">
        <v>0</v>
      </c>
      <c r="X2551" s="381">
        <v>1.9653846153846155</v>
      </c>
      <c r="Y2551" s="381">
        <v>1.9653846153846155</v>
      </c>
      <c r="Z2551" s="381">
        <v>-7.2307692307692307E-3</v>
      </c>
      <c r="AA2551" s="381">
        <v>0</v>
      </c>
      <c r="AB2551" s="381">
        <v>0</v>
      </c>
      <c r="AC2551" s="382">
        <v>1.9653846153846155</v>
      </c>
      <c r="AD2551" s="382">
        <v>0</v>
      </c>
      <c r="AE2551" s="381" t="s">
        <v>168</v>
      </c>
    </row>
    <row r="2552" spans="1:31" ht="15" customHeight="1" x14ac:dyDescent="0.25">
      <c r="A2552" s="20" t="s">
        <v>3628</v>
      </c>
      <c r="B2552" s="20" t="s">
        <v>3637</v>
      </c>
      <c r="C2552" s="20" t="s">
        <v>3630</v>
      </c>
      <c r="D2552" s="378" t="s">
        <v>3643</v>
      </c>
      <c r="E2552" s="384">
        <v>45230</v>
      </c>
      <c r="F2552" s="384">
        <v>47057</v>
      </c>
      <c r="G2552" s="378" t="s">
        <v>2856</v>
      </c>
      <c r="H2552" s="20" t="s">
        <v>3639</v>
      </c>
      <c r="I2552" s="378">
        <v>0</v>
      </c>
      <c r="J2552" s="20" t="s">
        <v>2831</v>
      </c>
      <c r="K2552" s="378" t="s">
        <v>3640</v>
      </c>
      <c r="L2552" s="378" t="s">
        <v>2774</v>
      </c>
      <c r="M2552" s="380" t="s">
        <v>443</v>
      </c>
      <c r="N2552" s="380">
        <v>26</v>
      </c>
      <c r="O2552" s="380" t="s">
        <v>443</v>
      </c>
      <c r="P2552" s="380" t="s">
        <v>443</v>
      </c>
      <c r="Q2552" s="381">
        <v>1.9653846153846155</v>
      </c>
      <c r="R2552" s="381">
        <v>1.9653846153846155</v>
      </c>
      <c r="S2552" s="381">
        <v>-7.2307692307692307E-3</v>
      </c>
      <c r="T2552" s="381">
        <v>0</v>
      </c>
      <c r="U2552" s="381">
        <v>0</v>
      </c>
      <c r="V2552" s="382">
        <v>1.9653846153846155</v>
      </c>
      <c r="W2552" s="382">
        <v>0</v>
      </c>
      <c r="X2552" s="381">
        <v>1.9653846153846155</v>
      </c>
      <c r="Y2552" s="381">
        <v>1.9653846153846155</v>
      </c>
      <c r="Z2552" s="381">
        <v>-7.2307692307692307E-3</v>
      </c>
      <c r="AA2552" s="381">
        <v>0</v>
      </c>
      <c r="AB2552" s="381">
        <v>0</v>
      </c>
      <c r="AC2552" s="382">
        <v>1.9653846153846155</v>
      </c>
      <c r="AD2552" s="382">
        <v>0</v>
      </c>
      <c r="AE2552" s="381" t="s">
        <v>168</v>
      </c>
    </row>
    <row r="2553" spans="1:31" ht="15" customHeight="1" x14ac:dyDescent="0.25">
      <c r="A2553" s="20" t="s">
        <v>3628</v>
      </c>
      <c r="B2553" s="20" t="s">
        <v>3637</v>
      </c>
      <c r="C2553" s="20" t="s">
        <v>3630</v>
      </c>
      <c r="D2553" s="378" t="s">
        <v>3644</v>
      </c>
      <c r="E2553" s="384">
        <v>45230</v>
      </c>
      <c r="F2553" s="384">
        <v>47057</v>
      </c>
      <c r="G2553" s="378" t="s">
        <v>2856</v>
      </c>
      <c r="H2553" s="20" t="s">
        <v>3639</v>
      </c>
      <c r="I2553" s="378">
        <v>0</v>
      </c>
      <c r="J2553" s="20" t="s">
        <v>2831</v>
      </c>
      <c r="K2553" s="378" t="s">
        <v>3640</v>
      </c>
      <c r="L2553" s="378" t="s">
        <v>2774</v>
      </c>
      <c r="M2553" s="380" t="s">
        <v>443</v>
      </c>
      <c r="N2553" s="380">
        <v>26</v>
      </c>
      <c r="O2553" s="380" t="s">
        <v>443</v>
      </c>
      <c r="P2553" s="380" t="s">
        <v>443</v>
      </c>
      <c r="Q2553" s="381">
        <v>1.9653846153846155</v>
      </c>
      <c r="R2553" s="381">
        <v>1.9653846153846155</v>
      </c>
      <c r="S2553" s="381">
        <v>-7.2307692307692307E-3</v>
      </c>
      <c r="T2553" s="381">
        <v>0</v>
      </c>
      <c r="U2553" s="381">
        <v>0</v>
      </c>
      <c r="V2553" s="382">
        <v>1.9653846153846155</v>
      </c>
      <c r="W2553" s="382">
        <v>0</v>
      </c>
      <c r="X2553" s="381">
        <v>1.9653846153846155</v>
      </c>
      <c r="Y2553" s="381">
        <v>1.9653846153846155</v>
      </c>
      <c r="Z2553" s="381">
        <v>-7.2307692307692307E-3</v>
      </c>
      <c r="AA2553" s="381">
        <v>0</v>
      </c>
      <c r="AB2553" s="381">
        <v>0</v>
      </c>
      <c r="AC2553" s="382">
        <v>1.9653846153846155</v>
      </c>
      <c r="AD2553" s="382">
        <v>0</v>
      </c>
      <c r="AE2553" s="381" t="s">
        <v>168</v>
      </c>
    </row>
    <row r="2554" spans="1:31" ht="15" customHeight="1" x14ac:dyDescent="0.25">
      <c r="A2554" s="20" t="s">
        <v>3628</v>
      </c>
      <c r="B2554" s="20" t="s">
        <v>3637</v>
      </c>
      <c r="C2554" s="20" t="s">
        <v>3630</v>
      </c>
      <c r="D2554" s="378" t="s">
        <v>3645</v>
      </c>
      <c r="E2554" s="384">
        <v>45230</v>
      </c>
      <c r="F2554" s="384">
        <v>47057</v>
      </c>
      <c r="G2554" s="378" t="s">
        <v>2856</v>
      </c>
      <c r="H2554" s="20" t="s">
        <v>3639</v>
      </c>
      <c r="I2554" s="378">
        <v>0</v>
      </c>
      <c r="J2554" s="20" t="s">
        <v>2831</v>
      </c>
      <c r="K2554" s="378" t="s">
        <v>3640</v>
      </c>
      <c r="L2554" s="378" t="s">
        <v>2774</v>
      </c>
      <c r="M2554" s="380" t="s">
        <v>443</v>
      </c>
      <c r="N2554" s="380">
        <v>26</v>
      </c>
      <c r="O2554" s="380" t="s">
        <v>443</v>
      </c>
      <c r="P2554" s="380" t="s">
        <v>443</v>
      </c>
      <c r="Q2554" s="381">
        <v>1.9653846153846155</v>
      </c>
      <c r="R2554" s="381">
        <v>1.9653846153846155</v>
      </c>
      <c r="S2554" s="381">
        <v>-7.2307692307692307E-3</v>
      </c>
      <c r="T2554" s="381">
        <v>0</v>
      </c>
      <c r="U2554" s="381">
        <v>0</v>
      </c>
      <c r="V2554" s="382">
        <v>1.9653846153846155</v>
      </c>
      <c r="W2554" s="382">
        <v>0</v>
      </c>
      <c r="X2554" s="381">
        <v>1.9653846153846155</v>
      </c>
      <c r="Y2554" s="381">
        <v>1.9653846153846155</v>
      </c>
      <c r="Z2554" s="381">
        <v>-7.2307692307692307E-3</v>
      </c>
      <c r="AA2554" s="381">
        <v>0</v>
      </c>
      <c r="AB2554" s="381">
        <v>0</v>
      </c>
      <c r="AC2554" s="382">
        <v>1.9653846153846155</v>
      </c>
      <c r="AD2554" s="382">
        <v>0</v>
      </c>
      <c r="AE2554" s="381" t="s">
        <v>168</v>
      </c>
    </row>
    <row r="2555" spans="1:31" ht="15" customHeight="1" x14ac:dyDescent="0.25">
      <c r="A2555" s="20" t="s">
        <v>3628</v>
      </c>
      <c r="B2555" s="20" t="s">
        <v>3646</v>
      </c>
      <c r="C2555" s="20" t="s">
        <v>3630</v>
      </c>
      <c r="D2555" s="378" t="s">
        <v>3647</v>
      </c>
      <c r="E2555" s="384">
        <v>45230</v>
      </c>
      <c r="F2555" s="384">
        <v>47057</v>
      </c>
      <c r="G2555" s="378" t="s">
        <v>2856</v>
      </c>
      <c r="H2555" s="20" t="s">
        <v>3648</v>
      </c>
      <c r="I2555" s="378">
        <v>0</v>
      </c>
      <c r="J2555" s="20" t="s">
        <v>2831</v>
      </c>
      <c r="K2555" s="378" t="s">
        <v>3649</v>
      </c>
      <c r="L2555" s="378" t="s">
        <v>2774</v>
      </c>
      <c r="M2555" s="380" t="s">
        <v>443</v>
      </c>
      <c r="N2555" s="380">
        <v>52</v>
      </c>
      <c r="O2555" s="380" t="s">
        <v>443</v>
      </c>
      <c r="P2555" s="380" t="s">
        <v>443</v>
      </c>
      <c r="Q2555" s="381">
        <v>1.9807692307692308</v>
      </c>
      <c r="R2555" s="381">
        <v>1.9807692307692308</v>
      </c>
      <c r="S2555" s="381">
        <v>-1.4653846153846154E-3</v>
      </c>
      <c r="T2555" s="381">
        <v>0</v>
      </c>
      <c r="U2555" s="381">
        <v>0</v>
      </c>
      <c r="V2555" s="382">
        <v>1.9807692307692308</v>
      </c>
      <c r="W2555" s="382">
        <v>0</v>
      </c>
      <c r="X2555" s="381">
        <v>1.9807692307692308</v>
      </c>
      <c r="Y2555" s="381">
        <v>1.9807692307692308</v>
      </c>
      <c r="Z2555" s="381">
        <v>-1.4653846153846154E-3</v>
      </c>
      <c r="AA2555" s="381">
        <v>0</v>
      </c>
      <c r="AB2555" s="381">
        <v>0</v>
      </c>
      <c r="AC2555" s="382">
        <v>1.9807692307692308</v>
      </c>
      <c r="AD2555" s="382">
        <v>0</v>
      </c>
      <c r="AE2555" s="381" t="s">
        <v>168</v>
      </c>
    </row>
    <row r="2556" spans="1:31" ht="15" customHeight="1" x14ac:dyDescent="0.25">
      <c r="A2556" s="20" t="s">
        <v>3628</v>
      </c>
      <c r="B2556" s="20" t="s">
        <v>3646</v>
      </c>
      <c r="C2556" s="20" t="s">
        <v>3630</v>
      </c>
      <c r="D2556" s="378" t="s">
        <v>3650</v>
      </c>
      <c r="E2556" s="384">
        <v>45230</v>
      </c>
      <c r="F2556" s="384">
        <v>47057</v>
      </c>
      <c r="G2556" s="378" t="s">
        <v>2856</v>
      </c>
      <c r="H2556" s="20" t="s">
        <v>3648</v>
      </c>
      <c r="I2556" s="378">
        <v>0</v>
      </c>
      <c r="J2556" s="20" t="s">
        <v>2831</v>
      </c>
      <c r="K2556" s="378" t="s">
        <v>3649</v>
      </c>
      <c r="L2556" s="378" t="s">
        <v>2774</v>
      </c>
      <c r="M2556" s="380" t="s">
        <v>443</v>
      </c>
      <c r="N2556" s="380">
        <v>52</v>
      </c>
      <c r="O2556" s="380" t="s">
        <v>443</v>
      </c>
      <c r="P2556" s="380" t="s">
        <v>443</v>
      </c>
      <c r="Q2556" s="381">
        <v>1.9807692307692308</v>
      </c>
      <c r="R2556" s="381">
        <v>1.9807692307692308</v>
      </c>
      <c r="S2556" s="381">
        <v>-1.4653846153846154E-3</v>
      </c>
      <c r="T2556" s="381">
        <v>0</v>
      </c>
      <c r="U2556" s="381">
        <v>0</v>
      </c>
      <c r="V2556" s="382">
        <v>1.9807692307692308</v>
      </c>
      <c r="W2556" s="382">
        <v>0</v>
      </c>
      <c r="X2556" s="381">
        <v>1.9807692307692308</v>
      </c>
      <c r="Y2556" s="381">
        <v>1.9807692307692308</v>
      </c>
      <c r="Z2556" s="381">
        <v>-1.4653846153846154E-3</v>
      </c>
      <c r="AA2556" s="381">
        <v>0</v>
      </c>
      <c r="AB2556" s="381">
        <v>0</v>
      </c>
      <c r="AC2556" s="382">
        <v>1.9807692307692308</v>
      </c>
      <c r="AD2556" s="382">
        <v>0</v>
      </c>
      <c r="AE2556" s="381" t="s">
        <v>168</v>
      </c>
    </row>
    <row r="2557" spans="1:31" ht="15" customHeight="1" x14ac:dyDescent="0.25">
      <c r="A2557" s="20" t="s">
        <v>3628</v>
      </c>
      <c r="B2557" s="20" t="s">
        <v>3646</v>
      </c>
      <c r="C2557" s="20" t="s">
        <v>3630</v>
      </c>
      <c r="D2557" s="378" t="s">
        <v>3651</v>
      </c>
      <c r="E2557" s="384">
        <v>45230</v>
      </c>
      <c r="F2557" s="384">
        <v>47057</v>
      </c>
      <c r="G2557" s="378" t="s">
        <v>2856</v>
      </c>
      <c r="H2557" s="20" t="s">
        <v>3648</v>
      </c>
      <c r="I2557" s="378">
        <v>0</v>
      </c>
      <c r="J2557" s="20" t="s">
        <v>2831</v>
      </c>
      <c r="K2557" s="378" t="s">
        <v>3649</v>
      </c>
      <c r="L2557" s="378" t="s">
        <v>2774</v>
      </c>
      <c r="M2557" s="380" t="s">
        <v>443</v>
      </c>
      <c r="N2557" s="380">
        <v>52</v>
      </c>
      <c r="O2557" s="380" t="s">
        <v>443</v>
      </c>
      <c r="P2557" s="380" t="s">
        <v>443</v>
      </c>
      <c r="Q2557" s="381">
        <v>1.9807692307692308</v>
      </c>
      <c r="R2557" s="381">
        <v>1.9807692307692308</v>
      </c>
      <c r="S2557" s="381">
        <v>-1.4653846153846154E-3</v>
      </c>
      <c r="T2557" s="381">
        <v>0</v>
      </c>
      <c r="U2557" s="381">
        <v>0</v>
      </c>
      <c r="V2557" s="382">
        <v>1.9807692307692308</v>
      </c>
      <c r="W2557" s="382">
        <v>0</v>
      </c>
      <c r="X2557" s="381">
        <v>1.9807692307692308</v>
      </c>
      <c r="Y2557" s="381">
        <v>1.9807692307692308</v>
      </c>
      <c r="Z2557" s="381">
        <v>-1.4653846153846154E-3</v>
      </c>
      <c r="AA2557" s="381">
        <v>0</v>
      </c>
      <c r="AB2557" s="381">
        <v>0</v>
      </c>
      <c r="AC2557" s="382">
        <v>1.9807692307692308</v>
      </c>
      <c r="AD2557" s="382">
        <v>0</v>
      </c>
      <c r="AE2557" s="381" t="s">
        <v>168</v>
      </c>
    </row>
    <row r="2558" spans="1:31" ht="15" customHeight="1" x14ac:dyDescent="0.25">
      <c r="A2558" s="20" t="s">
        <v>3628</v>
      </c>
      <c r="B2558" s="20" t="s">
        <v>3646</v>
      </c>
      <c r="C2558" s="20" t="s">
        <v>3630</v>
      </c>
      <c r="D2558" s="378" t="s">
        <v>3652</v>
      </c>
      <c r="E2558" s="384">
        <v>45230</v>
      </c>
      <c r="F2558" s="384">
        <v>47057</v>
      </c>
      <c r="G2558" s="378" t="s">
        <v>2856</v>
      </c>
      <c r="H2558" s="20" t="s">
        <v>3648</v>
      </c>
      <c r="I2558" s="378">
        <v>0</v>
      </c>
      <c r="J2558" s="20" t="s">
        <v>2831</v>
      </c>
      <c r="K2558" s="378" t="s">
        <v>3649</v>
      </c>
      <c r="L2558" s="378" t="s">
        <v>2774</v>
      </c>
      <c r="M2558" s="380" t="s">
        <v>443</v>
      </c>
      <c r="N2558" s="380">
        <v>52</v>
      </c>
      <c r="O2558" s="380" t="s">
        <v>443</v>
      </c>
      <c r="P2558" s="380" t="s">
        <v>443</v>
      </c>
      <c r="Q2558" s="381">
        <v>1.9807692307692308</v>
      </c>
      <c r="R2558" s="381">
        <v>1.9807692307692308</v>
      </c>
      <c r="S2558" s="381">
        <v>-1.4653846153846154E-3</v>
      </c>
      <c r="T2558" s="381">
        <v>0</v>
      </c>
      <c r="U2558" s="381">
        <v>0</v>
      </c>
      <c r="V2558" s="382">
        <v>1.9807692307692308</v>
      </c>
      <c r="W2558" s="382">
        <v>0</v>
      </c>
      <c r="X2558" s="381">
        <v>1.9807692307692308</v>
      </c>
      <c r="Y2558" s="381">
        <v>1.9807692307692308</v>
      </c>
      <c r="Z2558" s="381">
        <v>-1.4653846153846154E-3</v>
      </c>
      <c r="AA2558" s="381">
        <v>0</v>
      </c>
      <c r="AB2558" s="381">
        <v>0</v>
      </c>
      <c r="AC2558" s="382">
        <v>1.9807692307692308</v>
      </c>
      <c r="AD2558" s="382">
        <v>0</v>
      </c>
      <c r="AE2558" s="381" t="s">
        <v>168</v>
      </c>
    </row>
    <row r="2559" spans="1:31" ht="15" customHeight="1" x14ac:dyDescent="0.25">
      <c r="A2559" s="20" t="s">
        <v>3628</v>
      </c>
      <c r="B2559" s="20" t="s">
        <v>3646</v>
      </c>
      <c r="C2559" s="20" t="s">
        <v>3630</v>
      </c>
      <c r="D2559" s="378" t="s">
        <v>3653</v>
      </c>
      <c r="E2559" s="384">
        <v>45230</v>
      </c>
      <c r="F2559" s="384">
        <v>47057</v>
      </c>
      <c r="G2559" s="378" t="s">
        <v>2856</v>
      </c>
      <c r="H2559" s="20" t="s">
        <v>3648</v>
      </c>
      <c r="I2559" s="378">
        <v>0</v>
      </c>
      <c r="J2559" s="20" t="s">
        <v>2831</v>
      </c>
      <c r="K2559" s="378" t="s">
        <v>3649</v>
      </c>
      <c r="L2559" s="378" t="s">
        <v>2774</v>
      </c>
      <c r="M2559" s="380" t="s">
        <v>443</v>
      </c>
      <c r="N2559" s="380">
        <v>52</v>
      </c>
      <c r="O2559" s="380" t="s">
        <v>443</v>
      </c>
      <c r="P2559" s="380" t="s">
        <v>443</v>
      </c>
      <c r="Q2559" s="381">
        <v>1.9807692307692308</v>
      </c>
      <c r="R2559" s="381">
        <v>1.9807692307692308</v>
      </c>
      <c r="S2559" s="381">
        <v>-1.4653846153846154E-3</v>
      </c>
      <c r="T2559" s="381">
        <v>0</v>
      </c>
      <c r="U2559" s="381">
        <v>0</v>
      </c>
      <c r="V2559" s="382">
        <v>1.9807692307692308</v>
      </c>
      <c r="W2559" s="382">
        <v>0</v>
      </c>
      <c r="X2559" s="381">
        <v>1.9807692307692308</v>
      </c>
      <c r="Y2559" s="381">
        <v>1.9807692307692308</v>
      </c>
      <c r="Z2559" s="381">
        <v>-1.4653846153846154E-3</v>
      </c>
      <c r="AA2559" s="381">
        <v>0</v>
      </c>
      <c r="AB2559" s="381">
        <v>0</v>
      </c>
      <c r="AC2559" s="382">
        <v>1.9807692307692308</v>
      </c>
      <c r="AD2559" s="382">
        <v>0</v>
      </c>
      <c r="AE2559" s="381" t="s">
        <v>168</v>
      </c>
    </row>
    <row r="2560" spans="1:31" ht="15" customHeight="1" x14ac:dyDescent="0.25">
      <c r="A2560" s="20" t="s">
        <v>3628</v>
      </c>
      <c r="B2560" s="20" t="s">
        <v>3646</v>
      </c>
      <c r="C2560" s="20" t="s">
        <v>3630</v>
      </c>
      <c r="D2560" s="378" t="s">
        <v>3654</v>
      </c>
      <c r="E2560" s="384">
        <v>45230</v>
      </c>
      <c r="F2560" s="384">
        <v>47057</v>
      </c>
      <c r="G2560" s="378" t="s">
        <v>2856</v>
      </c>
      <c r="H2560" s="20" t="s">
        <v>3648</v>
      </c>
      <c r="I2560" s="378">
        <v>0</v>
      </c>
      <c r="J2560" s="20" t="s">
        <v>2831</v>
      </c>
      <c r="K2560" s="378" t="s">
        <v>3649</v>
      </c>
      <c r="L2560" s="378" t="s">
        <v>2774</v>
      </c>
      <c r="M2560" s="380" t="s">
        <v>443</v>
      </c>
      <c r="N2560" s="380">
        <v>52</v>
      </c>
      <c r="O2560" s="380" t="s">
        <v>443</v>
      </c>
      <c r="P2560" s="380" t="s">
        <v>443</v>
      </c>
      <c r="Q2560" s="381">
        <v>1.9807692307692308</v>
      </c>
      <c r="R2560" s="381">
        <v>1.9807692307692308</v>
      </c>
      <c r="S2560" s="381">
        <v>-1.4653846153846154E-3</v>
      </c>
      <c r="T2560" s="381">
        <v>0</v>
      </c>
      <c r="U2560" s="381">
        <v>0</v>
      </c>
      <c r="V2560" s="382">
        <v>1.9807692307692308</v>
      </c>
      <c r="W2560" s="382">
        <v>0</v>
      </c>
      <c r="X2560" s="381">
        <v>1.9807692307692308</v>
      </c>
      <c r="Y2560" s="381">
        <v>1.9807692307692308</v>
      </c>
      <c r="Z2560" s="381">
        <v>-1.4653846153846154E-3</v>
      </c>
      <c r="AA2560" s="381">
        <v>0</v>
      </c>
      <c r="AB2560" s="381">
        <v>0</v>
      </c>
      <c r="AC2560" s="382">
        <v>1.9807692307692308</v>
      </c>
      <c r="AD2560" s="382">
        <v>0</v>
      </c>
      <c r="AE2560" s="381" t="s">
        <v>168</v>
      </c>
    </row>
    <row r="2561" spans="1:31" ht="15" customHeight="1" x14ac:dyDescent="0.25">
      <c r="A2561" s="20" t="s">
        <v>3628</v>
      </c>
      <c r="B2561" s="20" t="s">
        <v>3646</v>
      </c>
      <c r="C2561" s="20" t="s">
        <v>3630</v>
      </c>
      <c r="D2561" s="378" t="s">
        <v>3655</v>
      </c>
      <c r="E2561" s="384">
        <v>45230</v>
      </c>
      <c r="F2561" s="384">
        <v>47057</v>
      </c>
      <c r="G2561" s="378" t="s">
        <v>2856</v>
      </c>
      <c r="H2561" s="20" t="s">
        <v>3648</v>
      </c>
      <c r="I2561" s="378">
        <v>0</v>
      </c>
      <c r="J2561" s="20" t="s">
        <v>2831</v>
      </c>
      <c r="K2561" s="378" t="s">
        <v>3649</v>
      </c>
      <c r="L2561" s="378" t="s">
        <v>2774</v>
      </c>
      <c r="M2561" s="380" t="s">
        <v>443</v>
      </c>
      <c r="N2561" s="380">
        <v>52</v>
      </c>
      <c r="O2561" s="380" t="s">
        <v>443</v>
      </c>
      <c r="P2561" s="380" t="s">
        <v>443</v>
      </c>
      <c r="Q2561" s="381">
        <v>1.9807692307692308</v>
      </c>
      <c r="R2561" s="381">
        <v>1.9807692307692308</v>
      </c>
      <c r="S2561" s="381">
        <v>-1.4653846153846154E-3</v>
      </c>
      <c r="T2561" s="381">
        <v>0</v>
      </c>
      <c r="U2561" s="381">
        <v>0</v>
      </c>
      <c r="V2561" s="382">
        <v>1.9807692307692308</v>
      </c>
      <c r="W2561" s="382">
        <v>0</v>
      </c>
      <c r="X2561" s="381">
        <v>1.9807692307692308</v>
      </c>
      <c r="Y2561" s="381">
        <v>1.9807692307692308</v>
      </c>
      <c r="Z2561" s="381">
        <v>-1.4653846153846154E-3</v>
      </c>
      <c r="AA2561" s="381">
        <v>0</v>
      </c>
      <c r="AB2561" s="381">
        <v>0</v>
      </c>
      <c r="AC2561" s="382">
        <v>1.9807692307692308</v>
      </c>
      <c r="AD2561" s="382">
        <v>0</v>
      </c>
      <c r="AE2561" s="381" t="s">
        <v>168</v>
      </c>
    </row>
    <row r="2562" spans="1:31" ht="15" customHeight="1" x14ac:dyDescent="0.25">
      <c r="A2562" s="20" t="s">
        <v>3628</v>
      </c>
      <c r="B2562" s="20" t="s">
        <v>3646</v>
      </c>
      <c r="C2562" s="20" t="s">
        <v>3630</v>
      </c>
      <c r="D2562" s="378" t="s">
        <v>3656</v>
      </c>
      <c r="E2562" s="384">
        <v>45230</v>
      </c>
      <c r="F2562" s="384">
        <v>47057</v>
      </c>
      <c r="G2562" s="378" t="s">
        <v>2856</v>
      </c>
      <c r="H2562" s="20" t="s">
        <v>3648</v>
      </c>
      <c r="I2562" s="378">
        <v>0</v>
      </c>
      <c r="J2562" s="20" t="s">
        <v>2831</v>
      </c>
      <c r="K2562" s="378" t="s">
        <v>3649</v>
      </c>
      <c r="L2562" s="378" t="s">
        <v>2774</v>
      </c>
      <c r="M2562" s="380" t="s">
        <v>443</v>
      </c>
      <c r="N2562" s="380">
        <v>52</v>
      </c>
      <c r="O2562" s="380" t="s">
        <v>443</v>
      </c>
      <c r="P2562" s="380" t="s">
        <v>443</v>
      </c>
      <c r="Q2562" s="381">
        <v>1.9807692307692308</v>
      </c>
      <c r="R2562" s="381">
        <v>1.9807692307692308</v>
      </c>
      <c r="S2562" s="381">
        <v>-1.4653846153846154E-3</v>
      </c>
      <c r="T2562" s="381">
        <v>0</v>
      </c>
      <c r="U2562" s="381">
        <v>0</v>
      </c>
      <c r="V2562" s="382">
        <v>1.9807692307692308</v>
      </c>
      <c r="W2562" s="382">
        <v>0</v>
      </c>
      <c r="X2562" s="381">
        <v>1.9807692307692308</v>
      </c>
      <c r="Y2562" s="381">
        <v>1.9807692307692308</v>
      </c>
      <c r="Z2562" s="381">
        <v>-1.4653846153846154E-3</v>
      </c>
      <c r="AA2562" s="381">
        <v>0</v>
      </c>
      <c r="AB2562" s="381">
        <v>0</v>
      </c>
      <c r="AC2562" s="382">
        <v>1.9807692307692308</v>
      </c>
      <c r="AD2562" s="382">
        <v>0</v>
      </c>
      <c r="AE2562" s="381" t="s">
        <v>168</v>
      </c>
    </row>
    <row r="2563" spans="1:31" ht="15" customHeight="1" x14ac:dyDescent="0.25">
      <c r="A2563" s="20" t="s">
        <v>3628</v>
      </c>
      <c r="B2563" s="20" t="s">
        <v>3646</v>
      </c>
      <c r="C2563" s="20" t="s">
        <v>3630</v>
      </c>
      <c r="D2563" s="378" t="s">
        <v>3657</v>
      </c>
      <c r="E2563" s="384">
        <v>45230</v>
      </c>
      <c r="F2563" s="384">
        <v>47057</v>
      </c>
      <c r="G2563" s="378" t="s">
        <v>2856</v>
      </c>
      <c r="H2563" s="20" t="s">
        <v>3648</v>
      </c>
      <c r="I2563" s="378">
        <v>0</v>
      </c>
      <c r="J2563" s="20" t="s">
        <v>2831</v>
      </c>
      <c r="K2563" s="378" t="s">
        <v>3649</v>
      </c>
      <c r="L2563" s="378" t="s">
        <v>2774</v>
      </c>
      <c r="M2563" s="380" t="s">
        <v>443</v>
      </c>
      <c r="N2563" s="380">
        <v>52</v>
      </c>
      <c r="O2563" s="380" t="s">
        <v>443</v>
      </c>
      <c r="P2563" s="380" t="s">
        <v>443</v>
      </c>
      <c r="Q2563" s="381">
        <v>1.9807692307692308</v>
      </c>
      <c r="R2563" s="381">
        <v>1.9807692307692308</v>
      </c>
      <c r="S2563" s="381">
        <v>-1.4653846153846154E-3</v>
      </c>
      <c r="T2563" s="381">
        <v>0</v>
      </c>
      <c r="U2563" s="381">
        <v>0</v>
      </c>
      <c r="V2563" s="382">
        <v>1.9807692307692308</v>
      </c>
      <c r="W2563" s="382">
        <v>0</v>
      </c>
      <c r="X2563" s="381">
        <v>1.9807692307692308</v>
      </c>
      <c r="Y2563" s="381">
        <v>1.9807692307692308</v>
      </c>
      <c r="Z2563" s="381">
        <v>-1.4653846153846154E-3</v>
      </c>
      <c r="AA2563" s="381">
        <v>0</v>
      </c>
      <c r="AB2563" s="381">
        <v>0</v>
      </c>
      <c r="AC2563" s="382">
        <v>1.9807692307692308</v>
      </c>
      <c r="AD2563" s="382">
        <v>0</v>
      </c>
      <c r="AE2563" s="381" t="s">
        <v>168</v>
      </c>
    </row>
    <row r="2564" spans="1:31" ht="15" customHeight="1" x14ac:dyDescent="0.25">
      <c r="A2564" s="20" t="s">
        <v>3628</v>
      </c>
      <c r="B2564" s="20" t="s">
        <v>3646</v>
      </c>
      <c r="C2564" s="20" t="s">
        <v>3630</v>
      </c>
      <c r="D2564" s="378" t="s">
        <v>3658</v>
      </c>
      <c r="E2564" s="384">
        <v>45230</v>
      </c>
      <c r="F2564" s="384">
        <v>47057</v>
      </c>
      <c r="G2564" s="378" t="s">
        <v>2856</v>
      </c>
      <c r="H2564" s="20" t="s">
        <v>3648</v>
      </c>
      <c r="I2564" s="378">
        <v>0</v>
      </c>
      <c r="J2564" s="20" t="s">
        <v>2831</v>
      </c>
      <c r="K2564" s="378" t="s">
        <v>3649</v>
      </c>
      <c r="L2564" s="378" t="s">
        <v>2774</v>
      </c>
      <c r="M2564" s="380" t="s">
        <v>443</v>
      </c>
      <c r="N2564" s="380">
        <v>52</v>
      </c>
      <c r="O2564" s="380" t="s">
        <v>443</v>
      </c>
      <c r="P2564" s="380" t="s">
        <v>443</v>
      </c>
      <c r="Q2564" s="381">
        <v>1.9807692307692308</v>
      </c>
      <c r="R2564" s="381">
        <v>1.9807692307692308</v>
      </c>
      <c r="S2564" s="381">
        <v>-1.4653846153846154E-3</v>
      </c>
      <c r="T2564" s="381">
        <v>0</v>
      </c>
      <c r="U2564" s="381">
        <v>0</v>
      </c>
      <c r="V2564" s="382">
        <v>1.9807692307692308</v>
      </c>
      <c r="W2564" s="382">
        <v>0</v>
      </c>
      <c r="X2564" s="381">
        <v>1.9807692307692308</v>
      </c>
      <c r="Y2564" s="381">
        <v>1.9807692307692308</v>
      </c>
      <c r="Z2564" s="381">
        <v>-1.4653846153846154E-3</v>
      </c>
      <c r="AA2564" s="381">
        <v>0</v>
      </c>
      <c r="AB2564" s="381">
        <v>0</v>
      </c>
      <c r="AC2564" s="382">
        <v>1.9807692307692308</v>
      </c>
      <c r="AD2564" s="382">
        <v>0</v>
      </c>
      <c r="AE2564" s="381" t="s">
        <v>168</v>
      </c>
    </row>
    <row r="2565" spans="1:31" ht="15" customHeight="1" x14ac:dyDescent="0.25">
      <c r="A2565" s="20" t="s">
        <v>3628</v>
      </c>
      <c r="B2565" s="20" t="s">
        <v>3646</v>
      </c>
      <c r="C2565" s="20" t="s">
        <v>3630</v>
      </c>
      <c r="D2565" s="378" t="s">
        <v>3659</v>
      </c>
      <c r="E2565" s="384">
        <v>45230</v>
      </c>
      <c r="F2565" s="384">
        <v>47057</v>
      </c>
      <c r="G2565" s="378" t="s">
        <v>2856</v>
      </c>
      <c r="H2565" s="20" t="s">
        <v>3648</v>
      </c>
      <c r="I2565" s="378">
        <v>0</v>
      </c>
      <c r="J2565" s="20" t="s">
        <v>2831</v>
      </c>
      <c r="K2565" s="378" t="s">
        <v>3649</v>
      </c>
      <c r="L2565" s="378" t="s">
        <v>2774</v>
      </c>
      <c r="M2565" s="380" t="s">
        <v>443</v>
      </c>
      <c r="N2565" s="380">
        <v>52</v>
      </c>
      <c r="O2565" s="380" t="s">
        <v>443</v>
      </c>
      <c r="P2565" s="380" t="s">
        <v>443</v>
      </c>
      <c r="Q2565" s="381">
        <v>1.9807692307692308</v>
      </c>
      <c r="R2565" s="381">
        <v>1.9807692307692308</v>
      </c>
      <c r="S2565" s="381">
        <v>-1.4653846153846154E-3</v>
      </c>
      <c r="T2565" s="381">
        <v>0</v>
      </c>
      <c r="U2565" s="381">
        <v>0</v>
      </c>
      <c r="V2565" s="382">
        <v>1.9807692307692308</v>
      </c>
      <c r="W2565" s="382">
        <v>0</v>
      </c>
      <c r="X2565" s="381">
        <v>1.9807692307692308</v>
      </c>
      <c r="Y2565" s="381">
        <v>1.9807692307692308</v>
      </c>
      <c r="Z2565" s="381">
        <v>-1.4653846153846154E-3</v>
      </c>
      <c r="AA2565" s="381">
        <v>0</v>
      </c>
      <c r="AB2565" s="381">
        <v>0</v>
      </c>
      <c r="AC2565" s="382">
        <v>1.9807692307692308</v>
      </c>
      <c r="AD2565" s="382">
        <v>0</v>
      </c>
      <c r="AE2565" s="381" t="s">
        <v>168</v>
      </c>
    </row>
    <row r="2566" spans="1:31" ht="15" customHeight="1" x14ac:dyDescent="0.25">
      <c r="A2566" s="20" t="s">
        <v>3628</v>
      </c>
      <c r="B2566" s="20" t="s">
        <v>3629</v>
      </c>
      <c r="C2566" s="20" t="s">
        <v>3630</v>
      </c>
      <c r="D2566" s="378" t="s">
        <v>3660</v>
      </c>
      <c r="E2566" s="384">
        <v>43405</v>
      </c>
      <c r="F2566" s="384" t="s">
        <v>3661</v>
      </c>
      <c r="G2566" s="378" t="s">
        <v>2837</v>
      </c>
      <c r="H2566" s="20" t="s">
        <v>3662</v>
      </c>
      <c r="I2566" s="378">
        <v>0</v>
      </c>
      <c r="J2566" s="20" t="s">
        <v>2831</v>
      </c>
      <c r="K2566" s="378" t="s">
        <v>3663</v>
      </c>
      <c r="L2566" s="378" t="s">
        <v>2774</v>
      </c>
      <c r="M2566" s="380">
        <v>2500</v>
      </c>
      <c r="N2566" s="380">
        <v>7.5</v>
      </c>
      <c r="O2566" s="380" t="s">
        <v>443</v>
      </c>
      <c r="P2566" s="380" t="s">
        <v>443</v>
      </c>
      <c r="Q2566" s="381">
        <v>1.2893333333333332</v>
      </c>
      <c r="R2566" s="381">
        <v>0</v>
      </c>
      <c r="S2566" s="381">
        <v>0</v>
      </c>
      <c r="T2566" s="381">
        <v>0</v>
      </c>
      <c r="U2566" s="381">
        <v>0</v>
      </c>
      <c r="V2566" s="382">
        <v>1.2893333333333332</v>
      </c>
      <c r="W2566" s="382">
        <v>0</v>
      </c>
      <c r="X2566" s="381">
        <v>1.2893333333333332</v>
      </c>
      <c r="Y2566" s="381">
        <v>0</v>
      </c>
      <c r="Z2566" s="381">
        <v>0</v>
      </c>
      <c r="AA2566" s="381">
        <v>0</v>
      </c>
      <c r="AB2566" s="381">
        <v>0</v>
      </c>
      <c r="AC2566" s="382">
        <v>1.2893333333333332</v>
      </c>
      <c r="AD2566" s="382">
        <v>0</v>
      </c>
      <c r="AE2566" s="381" t="s">
        <v>168</v>
      </c>
    </row>
    <row r="2567" spans="1:31" ht="15" customHeight="1" x14ac:dyDescent="0.25">
      <c r="A2567" s="20" t="s">
        <v>3628</v>
      </c>
      <c r="B2567" s="20" t="s">
        <v>3629</v>
      </c>
      <c r="C2567" s="20" t="s">
        <v>3630</v>
      </c>
      <c r="D2567" s="378" t="s">
        <v>3664</v>
      </c>
      <c r="E2567" s="384">
        <v>43405</v>
      </c>
      <c r="F2567" s="384" t="s">
        <v>3661</v>
      </c>
      <c r="G2567" s="378" t="s">
        <v>2837</v>
      </c>
      <c r="H2567" s="20" t="s">
        <v>3662</v>
      </c>
      <c r="I2567" s="378">
        <v>0</v>
      </c>
      <c r="J2567" s="20" t="s">
        <v>2831</v>
      </c>
      <c r="K2567" s="378" t="s">
        <v>3663</v>
      </c>
      <c r="L2567" s="378" t="s">
        <v>2774</v>
      </c>
      <c r="M2567" s="380">
        <v>2500</v>
      </c>
      <c r="N2567" s="380">
        <v>10</v>
      </c>
      <c r="O2567" s="380" t="s">
        <v>443</v>
      </c>
      <c r="P2567" s="380" t="s">
        <v>443</v>
      </c>
      <c r="Q2567" s="381">
        <v>1.29</v>
      </c>
      <c r="R2567" s="381">
        <v>0</v>
      </c>
      <c r="S2567" s="381">
        <v>0</v>
      </c>
      <c r="T2567" s="381">
        <v>0</v>
      </c>
      <c r="U2567" s="381">
        <v>0</v>
      </c>
      <c r="V2567" s="382">
        <v>1.29</v>
      </c>
      <c r="W2567" s="382">
        <v>0</v>
      </c>
      <c r="X2567" s="381">
        <v>1.29</v>
      </c>
      <c r="Y2567" s="381">
        <v>0</v>
      </c>
      <c r="Z2567" s="381">
        <v>0</v>
      </c>
      <c r="AA2567" s="381">
        <v>0</v>
      </c>
      <c r="AB2567" s="381">
        <v>0</v>
      </c>
      <c r="AC2567" s="382">
        <v>1.29</v>
      </c>
      <c r="AD2567" s="382">
        <v>0</v>
      </c>
      <c r="AE2567" s="381" t="s">
        <v>168</v>
      </c>
    </row>
    <row r="2568" spans="1:31" ht="15" customHeight="1" x14ac:dyDescent="0.25">
      <c r="A2568" s="20" t="s">
        <v>3628</v>
      </c>
      <c r="B2568" s="20" t="s">
        <v>3629</v>
      </c>
      <c r="C2568" s="20" t="s">
        <v>3630</v>
      </c>
      <c r="D2568" s="378" t="s">
        <v>3665</v>
      </c>
      <c r="E2568" s="384">
        <v>43405</v>
      </c>
      <c r="F2568" s="384" t="s">
        <v>3661</v>
      </c>
      <c r="G2568" s="378" t="s">
        <v>2837</v>
      </c>
      <c r="H2568" s="20" t="s">
        <v>3662</v>
      </c>
      <c r="I2568" s="378">
        <v>0</v>
      </c>
      <c r="J2568" s="20" t="s">
        <v>2831</v>
      </c>
      <c r="K2568" s="378" t="s">
        <v>3663</v>
      </c>
      <c r="L2568" s="378" t="s">
        <v>2774</v>
      </c>
      <c r="M2568" s="380">
        <v>2500</v>
      </c>
      <c r="N2568" s="380">
        <v>8.75</v>
      </c>
      <c r="O2568" s="380" t="s">
        <v>443</v>
      </c>
      <c r="P2568" s="380" t="s">
        <v>443</v>
      </c>
      <c r="Q2568" s="381">
        <v>1.2914285714285716</v>
      </c>
      <c r="R2568" s="381">
        <v>0</v>
      </c>
      <c r="S2568" s="381">
        <v>0</v>
      </c>
      <c r="T2568" s="381">
        <v>0</v>
      </c>
      <c r="U2568" s="381">
        <v>0</v>
      </c>
      <c r="V2568" s="382">
        <v>1.2914285714285716</v>
      </c>
      <c r="W2568" s="382">
        <v>0</v>
      </c>
      <c r="X2568" s="381">
        <v>1.2914285714285716</v>
      </c>
      <c r="Y2568" s="381">
        <v>0</v>
      </c>
      <c r="Z2568" s="381">
        <v>0</v>
      </c>
      <c r="AA2568" s="381">
        <v>0</v>
      </c>
      <c r="AB2568" s="381">
        <v>0</v>
      </c>
      <c r="AC2568" s="382">
        <v>1.2914285714285716</v>
      </c>
      <c r="AD2568" s="382">
        <v>0</v>
      </c>
      <c r="AE2568" s="381" t="s">
        <v>168</v>
      </c>
    </row>
    <row r="2569" spans="1:31" ht="15" customHeight="1" x14ac:dyDescent="0.25">
      <c r="A2569" s="20" t="s">
        <v>3628</v>
      </c>
      <c r="B2569" s="20" t="s">
        <v>3629</v>
      </c>
      <c r="C2569" s="20" t="s">
        <v>3630</v>
      </c>
      <c r="D2569" s="378" t="s">
        <v>3666</v>
      </c>
      <c r="E2569" s="384">
        <v>43405</v>
      </c>
      <c r="F2569" s="384" t="s">
        <v>3661</v>
      </c>
      <c r="G2569" s="378" t="s">
        <v>2837</v>
      </c>
      <c r="H2569" s="20" t="s">
        <v>3662</v>
      </c>
      <c r="I2569" s="378">
        <v>0</v>
      </c>
      <c r="J2569" s="20" t="s">
        <v>2831</v>
      </c>
      <c r="K2569" s="378" t="s">
        <v>3663</v>
      </c>
      <c r="L2569" s="378" t="s">
        <v>2774</v>
      </c>
      <c r="M2569" s="380">
        <v>2500</v>
      </c>
      <c r="N2569" s="380">
        <v>12.5</v>
      </c>
      <c r="O2569" s="380" t="s">
        <v>443</v>
      </c>
      <c r="P2569" s="380" t="s">
        <v>443</v>
      </c>
      <c r="Q2569" s="381">
        <v>1.288</v>
      </c>
      <c r="R2569" s="381">
        <v>0</v>
      </c>
      <c r="S2569" s="381">
        <v>0</v>
      </c>
      <c r="T2569" s="381">
        <v>0</v>
      </c>
      <c r="U2569" s="381">
        <v>0</v>
      </c>
      <c r="V2569" s="382">
        <v>1.288</v>
      </c>
      <c r="W2569" s="382">
        <v>0</v>
      </c>
      <c r="X2569" s="381">
        <v>1.288</v>
      </c>
      <c r="Y2569" s="381">
        <v>0</v>
      </c>
      <c r="Z2569" s="381">
        <v>0</v>
      </c>
      <c r="AA2569" s="381">
        <v>0</v>
      </c>
      <c r="AB2569" s="381">
        <v>0</v>
      </c>
      <c r="AC2569" s="382">
        <v>1.288</v>
      </c>
      <c r="AD2569" s="382">
        <v>0</v>
      </c>
      <c r="AE2569" s="381" t="s">
        <v>168</v>
      </c>
    </row>
    <row r="2570" spans="1:31" ht="15" customHeight="1" x14ac:dyDescent="0.25">
      <c r="A2570" s="20" t="s">
        <v>3628</v>
      </c>
      <c r="B2570" s="20" t="s">
        <v>3629</v>
      </c>
      <c r="C2570" s="20" t="s">
        <v>3630</v>
      </c>
      <c r="D2570" s="378" t="s">
        <v>3667</v>
      </c>
      <c r="E2570" s="384">
        <v>43405</v>
      </c>
      <c r="F2570" s="384" t="s">
        <v>3661</v>
      </c>
      <c r="G2570" s="378" t="s">
        <v>2837</v>
      </c>
      <c r="H2570" s="20" t="s">
        <v>3662</v>
      </c>
      <c r="I2570" s="378">
        <v>0</v>
      </c>
      <c r="J2570" s="20" t="s">
        <v>2831</v>
      </c>
      <c r="K2570" s="378" t="s">
        <v>3663</v>
      </c>
      <c r="L2570" s="378" t="s">
        <v>2774</v>
      </c>
      <c r="M2570" s="380">
        <v>2500</v>
      </c>
      <c r="N2570" s="380">
        <v>15</v>
      </c>
      <c r="O2570" s="380" t="s">
        <v>443</v>
      </c>
      <c r="P2570" s="380" t="s">
        <v>443</v>
      </c>
      <c r="Q2570" s="381">
        <v>1.2866666666666666</v>
      </c>
      <c r="R2570" s="381">
        <v>0</v>
      </c>
      <c r="S2570" s="381">
        <v>0</v>
      </c>
      <c r="T2570" s="381">
        <v>0</v>
      </c>
      <c r="U2570" s="381">
        <v>0</v>
      </c>
      <c r="V2570" s="382">
        <v>1.2866666666666666</v>
      </c>
      <c r="W2570" s="382">
        <v>0</v>
      </c>
      <c r="X2570" s="381">
        <v>1.2866666666666666</v>
      </c>
      <c r="Y2570" s="381">
        <v>0</v>
      </c>
      <c r="Z2570" s="381">
        <v>0</v>
      </c>
      <c r="AA2570" s="381">
        <v>0</v>
      </c>
      <c r="AB2570" s="381">
        <v>0</v>
      </c>
      <c r="AC2570" s="382">
        <v>1.2866666666666666</v>
      </c>
      <c r="AD2570" s="382">
        <v>0</v>
      </c>
      <c r="AE2570" s="381" t="s">
        <v>168</v>
      </c>
    </row>
    <row r="2571" spans="1:31" ht="15" customHeight="1" x14ac:dyDescent="0.25">
      <c r="A2571" s="20" t="s">
        <v>3628</v>
      </c>
      <c r="B2571" s="20" t="s">
        <v>3629</v>
      </c>
      <c r="C2571" s="20" t="s">
        <v>3630</v>
      </c>
      <c r="D2571" s="378" t="s">
        <v>3668</v>
      </c>
      <c r="E2571" s="384">
        <v>43405</v>
      </c>
      <c r="F2571" s="384" t="s">
        <v>3661</v>
      </c>
      <c r="G2571" s="378" t="s">
        <v>2837</v>
      </c>
      <c r="H2571" s="20" t="s">
        <v>3662</v>
      </c>
      <c r="I2571" s="378">
        <v>0</v>
      </c>
      <c r="J2571" s="20" t="s">
        <v>2831</v>
      </c>
      <c r="K2571" s="378" t="s">
        <v>3663</v>
      </c>
      <c r="L2571" s="378" t="s">
        <v>2774</v>
      </c>
      <c r="M2571" s="380">
        <v>2500</v>
      </c>
      <c r="N2571" s="380">
        <v>20</v>
      </c>
      <c r="O2571" s="380" t="s">
        <v>443</v>
      </c>
      <c r="P2571" s="380" t="s">
        <v>443</v>
      </c>
      <c r="Q2571" s="381">
        <v>1.29</v>
      </c>
      <c r="R2571" s="381">
        <v>0</v>
      </c>
      <c r="S2571" s="381">
        <v>0</v>
      </c>
      <c r="T2571" s="381">
        <v>0</v>
      </c>
      <c r="U2571" s="381">
        <v>0</v>
      </c>
      <c r="V2571" s="382">
        <v>1.29</v>
      </c>
      <c r="W2571" s="382">
        <v>0</v>
      </c>
      <c r="X2571" s="381">
        <v>1.29</v>
      </c>
      <c r="Y2571" s="381">
        <v>0</v>
      </c>
      <c r="Z2571" s="381">
        <v>0</v>
      </c>
      <c r="AA2571" s="381">
        <v>0</v>
      </c>
      <c r="AB2571" s="381">
        <v>0</v>
      </c>
      <c r="AC2571" s="382">
        <v>1.29</v>
      </c>
      <c r="AD2571" s="382">
        <v>0</v>
      </c>
      <c r="AE2571" s="381" t="s">
        <v>168</v>
      </c>
    </row>
    <row r="2572" spans="1:31" ht="15" customHeight="1" x14ac:dyDescent="0.25">
      <c r="A2572" s="20" t="s">
        <v>3628</v>
      </c>
      <c r="B2572" s="20" t="s">
        <v>3629</v>
      </c>
      <c r="C2572" s="20" t="s">
        <v>3630</v>
      </c>
      <c r="D2572" s="378" t="s">
        <v>3669</v>
      </c>
      <c r="E2572" s="384">
        <v>43405</v>
      </c>
      <c r="F2572" s="384" t="s">
        <v>3661</v>
      </c>
      <c r="G2572" s="378" t="s">
        <v>2837</v>
      </c>
      <c r="H2572" s="20" t="s">
        <v>3662</v>
      </c>
      <c r="I2572" s="378">
        <v>0</v>
      </c>
      <c r="J2572" s="20" t="s">
        <v>2831</v>
      </c>
      <c r="K2572" s="378" t="s">
        <v>3663</v>
      </c>
      <c r="L2572" s="378" t="s">
        <v>2774</v>
      </c>
      <c r="M2572" s="380">
        <v>2500</v>
      </c>
      <c r="N2572" s="380">
        <v>25</v>
      </c>
      <c r="O2572" s="380" t="s">
        <v>443</v>
      </c>
      <c r="P2572" s="380" t="s">
        <v>443</v>
      </c>
      <c r="Q2572" s="381">
        <v>1.288</v>
      </c>
      <c r="R2572" s="381">
        <v>0</v>
      </c>
      <c r="S2572" s="381">
        <v>0</v>
      </c>
      <c r="T2572" s="381">
        <v>0</v>
      </c>
      <c r="U2572" s="381">
        <v>0</v>
      </c>
      <c r="V2572" s="382">
        <v>1.288</v>
      </c>
      <c r="W2572" s="382">
        <v>0</v>
      </c>
      <c r="X2572" s="381">
        <v>1.288</v>
      </c>
      <c r="Y2572" s="381">
        <v>0</v>
      </c>
      <c r="Z2572" s="381">
        <v>0</v>
      </c>
      <c r="AA2572" s="381">
        <v>0</v>
      </c>
      <c r="AB2572" s="381">
        <v>0</v>
      </c>
      <c r="AC2572" s="382">
        <v>1.288</v>
      </c>
      <c r="AD2572" s="382">
        <v>0</v>
      </c>
      <c r="AE2572" s="381" t="s">
        <v>168</v>
      </c>
    </row>
    <row r="2573" spans="1:31" ht="15" customHeight="1" x14ac:dyDescent="0.25">
      <c r="A2573" s="20" t="s">
        <v>3628</v>
      </c>
      <c r="B2573" s="20" t="s">
        <v>3629</v>
      </c>
      <c r="C2573" s="20" t="s">
        <v>3630</v>
      </c>
      <c r="D2573" s="378" t="s">
        <v>3670</v>
      </c>
      <c r="E2573" s="384">
        <v>43405</v>
      </c>
      <c r="F2573" s="384" t="s">
        <v>3661</v>
      </c>
      <c r="G2573" s="378" t="s">
        <v>2837</v>
      </c>
      <c r="H2573" s="20" t="s">
        <v>3662</v>
      </c>
      <c r="I2573" s="378">
        <v>0</v>
      </c>
      <c r="J2573" s="20" t="s">
        <v>2831</v>
      </c>
      <c r="K2573" s="378" t="s">
        <v>3663</v>
      </c>
      <c r="L2573" s="378" t="s">
        <v>2774</v>
      </c>
      <c r="M2573" s="380">
        <v>2500</v>
      </c>
      <c r="N2573" s="380">
        <v>30</v>
      </c>
      <c r="O2573" s="380" t="s">
        <v>443</v>
      </c>
      <c r="P2573" s="380" t="s">
        <v>443</v>
      </c>
      <c r="Q2573" s="381">
        <v>1.29</v>
      </c>
      <c r="R2573" s="381">
        <v>0</v>
      </c>
      <c r="S2573" s="381">
        <v>0</v>
      </c>
      <c r="T2573" s="381">
        <v>0</v>
      </c>
      <c r="U2573" s="381">
        <v>0</v>
      </c>
      <c r="V2573" s="382">
        <v>1.29</v>
      </c>
      <c r="W2573" s="382">
        <v>0</v>
      </c>
      <c r="X2573" s="381">
        <v>1.29</v>
      </c>
      <c r="Y2573" s="381">
        <v>0</v>
      </c>
      <c r="Z2573" s="381">
        <v>0</v>
      </c>
      <c r="AA2573" s="381">
        <v>0</v>
      </c>
      <c r="AB2573" s="381">
        <v>0</v>
      </c>
      <c r="AC2573" s="382">
        <v>1.29</v>
      </c>
      <c r="AD2573" s="382">
        <v>0</v>
      </c>
      <c r="AE2573" s="381" t="s">
        <v>168</v>
      </c>
    </row>
    <row r="2574" spans="1:31" ht="15" customHeight="1" x14ac:dyDescent="0.25">
      <c r="A2574" s="20" t="s">
        <v>3628</v>
      </c>
      <c r="B2574" s="20" t="s">
        <v>3629</v>
      </c>
      <c r="C2574" s="20" t="s">
        <v>3630</v>
      </c>
      <c r="D2574" s="378" t="s">
        <v>3671</v>
      </c>
      <c r="E2574" s="384">
        <v>45063</v>
      </c>
      <c r="F2574" s="384">
        <v>46873</v>
      </c>
      <c r="G2574" s="378" t="s">
        <v>2837</v>
      </c>
      <c r="H2574" s="20" t="s">
        <v>3672</v>
      </c>
      <c r="I2574" s="378">
        <v>0</v>
      </c>
      <c r="J2574" s="20" t="s">
        <v>2831</v>
      </c>
      <c r="K2574" s="378" t="s">
        <v>3673</v>
      </c>
      <c r="L2574" s="378" t="s">
        <v>2774</v>
      </c>
      <c r="M2574" s="380">
        <v>2500</v>
      </c>
      <c r="N2574" s="380">
        <v>2.5</v>
      </c>
      <c r="O2574" s="380" t="s">
        <v>443</v>
      </c>
      <c r="P2574" s="380" t="s">
        <v>443</v>
      </c>
      <c r="Q2574" s="381">
        <v>1.468</v>
      </c>
      <c r="R2574" s="381">
        <v>0</v>
      </c>
      <c r="S2574" s="381">
        <v>0</v>
      </c>
      <c r="T2574" s="381">
        <v>0</v>
      </c>
      <c r="U2574" s="381">
        <v>0</v>
      </c>
      <c r="V2574" s="382">
        <v>1.468</v>
      </c>
      <c r="W2574" s="382">
        <v>0</v>
      </c>
      <c r="X2574" s="381">
        <v>1.468</v>
      </c>
      <c r="Y2574" s="381">
        <v>0</v>
      </c>
      <c r="Z2574" s="381">
        <v>0</v>
      </c>
      <c r="AA2574" s="381">
        <v>0</v>
      </c>
      <c r="AB2574" s="381">
        <v>0</v>
      </c>
      <c r="AC2574" s="382">
        <v>1.468</v>
      </c>
      <c r="AD2574" s="382">
        <v>0</v>
      </c>
      <c r="AE2574" s="381" t="s">
        <v>168</v>
      </c>
    </row>
    <row r="2575" spans="1:31" ht="15" customHeight="1" x14ac:dyDescent="0.25">
      <c r="A2575" s="20" t="s">
        <v>3628</v>
      </c>
      <c r="B2575" s="20" t="s">
        <v>3629</v>
      </c>
      <c r="C2575" s="20" t="s">
        <v>3630</v>
      </c>
      <c r="D2575" s="378" t="s">
        <v>3674</v>
      </c>
      <c r="E2575" s="384">
        <v>45352</v>
      </c>
      <c r="F2575" s="384">
        <v>47178</v>
      </c>
      <c r="G2575" s="378" t="s">
        <v>3289</v>
      </c>
      <c r="H2575" s="20" t="s">
        <v>3675</v>
      </c>
      <c r="I2575" s="378" t="s">
        <v>441</v>
      </c>
      <c r="J2575" s="20" t="s">
        <v>3311</v>
      </c>
      <c r="K2575" s="378" t="s">
        <v>3633</v>
      </c>
      <c r="L2575" s="378" t="s">
        <v>2774</v>
      </c>
      <c r="M2575" s="380" t="s">
        <v>443</v>
      </c>
      <c r="N2575" s="380">
        <v>10</v>
      </c>
      <c r="O2575" s="380" t="s">
        <v>443</v>
      </c>
      <c r="P2575" s="380" t="s">
        <v>443</v>
      </c>
      <c r="Q2575" s="381">
        <v>1.3699999999999999</v>
      </c>
      <c r="R2575" s="381">
        <v>0</v>
      </c>
      <c r="S2575" s="381">
        <v>0</v>
      </c>
      <c r="T2575" s="381">
        <v>0</v>
      </c>
      <c r="U2575" s="381">
        <v>0</v>
      </c>
      <c r="V2575" s="382">
        <v>1.3699999999999999</v>
      </c>
      <c r="W2575" s="382">
        <v>0</v>
      </c>
      <c r="X2575" s="381">
        <v>1.3699999999999999</v>
      </c>
      <c r="Y2575" s="381">
        <v>0</v>
      </c>
      <c r="Z2575" s="381">
        <v>0</v>
      </c>
      <c r="AA2575" s="381">
        <v>0</v>
      </c>
      <c r="AB2575" s="381">
        <v>0</v>
      </c>
      <c r="AC2575" s="382">
        <v>1.3699999999999999</v>
      </c>
      <c r="AD2575" s="382">
        <v>0</v>
      </c>
      <c r="AE2575" s="381" t="s">
        <v>168</v>
      </c>
    </row>
    <row r="2576" spans="1:31" ht="15" customHeight="1" x14ac:dyDescent="0.25">
      <c r="A2576" s="20" t="s">
        <v>3628</v>
      </c>
      <c r="B2576" s="20" t="s">
        <v>3629</v>
      </c>
      <c r="C2576" s="20" t="s">
        <v>3630</v>
      </c>
      <c r="D2576" s="378" t="s">
        <v>3676</v>
      </c>
      <c r="E2576" s="384">
        <v>45352</v>
      </c>
      <c r="F2576" s="384">
        <v>47178</v>
      </c>
      <c r="G2576" s="378" t="s">
        <v>3289</v>
      </c>
      <c r="H2576" s="20" t="s">
        <v>3635</v>
      </c>
      <c r="I2576" s="378" t="s">
        <v>441</v>
      </c>
      <c r="J2576" s="20" t="s">
        <v>3311</v>
      </c>
      <c r="K2576" s="378" t="s">
        <v>3633</v>
      </c>
      <c r="L2576" s="378" t="s">
        <v>2774</v>
      </c>
      <c r="M2576" s="380" t="s">
        <v>443</v>
      </c>
      <c r="N2576" s="380">
        <v>10</v>
      </c>
      <c r="O2576" s="380" t="s">
        <v>443</v>
      </c>
      <c r="P2576" s="380" t="s">
        <v>443</v>
      </c>
      <c r="Q2576" s="381">
        <v>1.3</v>
      </c>
      <c r="R2576" s="381">
        <v>0</v>
      </c>
      <c r="S2576" s="381">
        <v>0</v>
      </c>
      <c r="T2576" s="381">
        <v>0</v>
      </c>
      <c r="U2576" s="381">
        <v>0</v>
      </c>
      <c r="V2576" s="382">
        <v>1.3</v>
      </c>
      <c r="W2576" s="382">
        <v>0</v>
      </c>
      <c r="X2576" s="381">
        <v>1.3</v>
      </c>
      <c r="Y2576" s="381">
        <v>0</v>
      </c>
      <c r="Z2576" s="381">
        <v>0</v>
      </c>
      <c r="AA2576" s="381">
        <v>0</v>
      </c>
      <c r="AB2576" s="381">
        <v>0</v>
      </c>
      <c r="AC2576" s="382">
        <v>1.3</v>
      </c>
      <c r="AD2576" s="382">
        <v>0</v>
      </c>
      <c r="AE2576" s="381" t="s">
        <v>168</v>
      </c>
    </row>
    <row r="2577" spans="1:31" ht="15" customHeight="1" x14ac:dyDescent="0.25">
      <c r="A2577" s="20" t="s">
        <v>3628</v>
      </c>
      <c r="B2577" s="20" t="s">
        <v>3629</v>
      </c>
      <c r="C2577" s="20" t="s">
        <v>3630</v>
      </c>
      <c r="D2577" s="378" t="s">
        <v>3677</v>
      </c>
      <c r="E2577" s="384">
        <v>44013</v>
      </c>
      <c r="F2577" s="384">
        <v>45839</v>
      </c>
      <c r="G2577" s="378" t="s">
        <v>2837</v>
      </c>
      <c r="H2577" s="20" t="s">
        <v>3678</v>
      </c>
      <c r="I2577" s="378" t="s">
        <v>441</v>
      </c>
      <c r="J2577" s="20" t="s">
        <v>3311</v>
      </c>
      <c r="K2577" s="378" t="s">
        <v>3679</v>
      </c>
      <c r="L2577" s="378" t="s">
        <v>2774</v>
      </c>
      <c r="M2577" s="380" t="s">
        <v>443</v>
      </c>
      <c r="N2577" s="380">
        <v>10</v>
      </c>
      <c r="O2577" s="380" t="s">
        <v>443</v>
      </c>
      <c r="P2577" s="380" t="s">
        <v>443</v>
      </c>
      <c r="Q2577" s="381">
        <v>1.425</v>
      </c>
      <c r="R2577" s="381">
        <v>0</v>
      </c>
      <c r="S2577" s="381">
        <v>0</v>
      </c>
      <c r="T2577" s="381">
        <v>0</v>
      </c>
      <c r="U2577" s="381">
        <v>0</v>
      </c>
      <c r="V2577" s="382">
        <v>1.425</v>
      </c>
      <c r="W2577" s="382">
        <v>0</v>
      </c>
      <c r="X2577" s="381">
        <v>1.425</v>
      </c>
      <c r="Y2577" s="381">
        <v>0</v>
      </c>
      <c r="Z2577" s="381">
        <v>0</v>
      </c>
      <c r="AA2577" s="381">
        <v>0</v>
      </c>
      <c r="AB2577" s="381">
        <v>0</v>
      </c>
      <c r="AC2577" s="382">
        <v>1.425</v>
      </c>
      <c r="AD2577" s="382">
        <v>0</v>
      </c>
      <c r="AE2577" s="381" t="s">
        <v>168</v>
      </c>
    </row>
    <row r="2578" spans="1:31" ht="15" customHeight="1" x14ac:dyDescent="0.25">
      <c r="A2578" s="20" t="s">
        <v>3628</v>
      </c>
      <c r="B2578" s="20" t="s">
        <v>3637</v>
      </c>
      <c r="C2578" s="20" t="s">
        <v>3630</v>
      </c>
      <c r="D2578" s="378" t="s">
        <v>3680</v>
      </c>
      <c r="E2578" s="384">
        <v>44684</v>
      </c>
      <c r="F2578" s="384">
        <v>46509</v>
      </c>
      <c r="G2578" s="378" t="s">
        <v>2837</v>
      </c>
      <c r="H2578" s="20" t="s">
        <v>3681</v>
      </c>
      <c r="I2578" s="378">
        <v>0</v>
      </c>
      <c r="J2578" s="20" t="s">
        <v>2831</v>
      </c>
      <c r="K2578" s="378" t="s">
        <v>3682</v>
      </c>
      <c r="L2578" s="378" t="s">
        <v>2774</v>
      </c>
      <c r="M2578" s="380" t="s">
        <v>443</v>
      </c>
      <c r="N2578" s="380">
        <v>20</v>
      </c>
      <c r="O2578" s="380" t="s">
        <v>443</v>
      </c>
      <c r="P2578" s="380" t="s">
        <v>443</v>
      </c>
      <c r="Q2578" s="381">
        <v>1.5699999999999998</v>
      </c>
      <c r="R2578" s="381">
        <v>1.5449999999999999</v>
      </c>
      <c r="S2578" s="381">
        <v>2.3549999999999998E-2</v>
      </c>
      <c r="T2578" s="381">
        <v>8.5000000000000006E-4</v>
      </c>
      <c r="U2578" s="381">
        <v>0</v>
      </c>
      <c r="V2578" s="382">
        <v>1.5693999999999999</v>
      </c>
      <c r="W2578" s="382">
        <v>0</v>
      </c>
      <c r="X2578" s="381">
        <v>1.5699999999999998</v>
      </c>
      <c r="Y2578" s="381">
        <v>1.5449999999999999</v>
      </c>
      <c r="Z2578" s="381">
        <v>2.3549999999999998E-2</v>
      </c>
      <c r="AA2578" s="381">
        <v>8.5000000000000006E-4</v>
      </c>
      <c r="AB2578" s="381">
        <v>0</v>
      </c>
      <c r="AC2578" s="382">
        <v>1.5693999999999999</v>
      </c>
      <c r="AD2578" s="382">
        <v>0</v>
      </c>
      <c r="AE2578" s="381" t="s">
        <v>168</v>
      </c>
    </row>
    <row r="2579" spans="1:31" ht="15" customHeight="1" x14ac:dyDescent="0.25">
      <c r="A2579" s="20" t="s">
        <v>3628</v>
      </c>
      <c r="B2579" s="20" t="s">
        <v>3637</v>
      </c>
      <c r="C2579" s="20" t="s">
        <v>3630</v>
      </c>
      <c r="D2579" s="378" t="s">
        <v>3683</v>
      </c>
      <c r="E2579" s="384">
        <v>44684</v>
      </c>
      <c r="F2579" s="384">
        <v>46509</v>
      </c>
      <c r="G2579" s="378" t="s">
        <v>2837</v>
      </c>
      <c r="H2579" s="20" t="s">
        <v>3681</v>
      </c>
      <c r="I2579" s="378">
        <v>0</v>
      </c>
      <c r="J2579" s="20" t="s">
        <v>2831</v>
      </c>
      <c r="K2579" s="378" t="s">
        <v>3682</v>
      </c>
      <c r="L2579" s="378" t="s">
        <v>2774</v>
      </c>
      <c r="M2579" s="380" t="s">
        <v>443</v>
      </c>
      <c r="N2579" s="380">
        <v>35.4</v>
      </c>
      <c r="O2579" s="380" t="s">
        <v>443</v>
      </c>
      <c r="P2579" s="380" t="s">
        <v>443</v>
      </c>
      <c r="Q2579" s="381">
        <v>1.3474576271186443</v>
      </c>
      <c r="R2579" s="381">
        <v>1.3248587570621468</v>
      </c>
      <c r="S2579" s="381">
        <v>2.0480225988700564E-2</v>
      </c>
      <c r="T2579" s="381">
        <v>7.0056497175141239E-4</v>
      </c>
      <c r="U2579" s="381">
        <v>0</v>
      </c>
      <c r="V2579" s="382">
        <v>1.3460395480225986</v>
      </c>
      <c r="W2579" s="382">
        <v>0</v>
      </c>
      <c r="X2579" s="381">
        <v>1.3474576271186443</v>
      </c>
      <c r="Y2579" s="381">
        <v>1.3248587570621468</v>
      </c>
      <c r="Z2579" s="381">
        <v>2.0480225988700564E-2</v>
      </c>
      <c r="AA2579" s="381">
        <v>7.0056497175141239E-4</v>
      </c>
      <c r="AB2579" s="381">
        <v>0</v>
      </c>
      <c r="AC2579" s="382">
        <v>1.3460395480225986</v>
      </c>
      <c r="AD2579" s="382">
        <v>0</v>
      </c>
      <c r="AE2579" s="381" t="s">
        <v>168</v>
      </c>
    </row>
    <row r="2580" spans="1:31" ht="15" customHeight="1" x14ac:dyDescent="0.25">
      <c r="A2580" s="20" t="s">
        <v>3628</v>
      </c>
      <c r="B2580" s="20" t="s">
        <v>3637</v>
      </c>
      <c r="C2580" s="20" t="s">
        <v>3630</v>
      </c>
      <c r="D2580" s="378" t="s">
        <v>3684</v>
      </c>
      <c r="E2580" s="384">
        <v>44684</v>
      </c>
      <c r="F2580" s="384">
        <v>46509</v>
      </c>
      <c r="G2580" s="378" t="s">
        <v>2837</v>
      </c>
      <c r="H2580" s="20" t="s">
        <v>3681</v>
      </c>
      <c r="I2580" s="378">
        <v>0</v>
      </c>
      <c r="J2580" s="20" t="s">
        <v>2831</v>
      </c>
      <c r="K2580" s="378" t="s">
        <v>3682</v>
      </c>
      <c r="L2580" s="378" t="s">
        <v>2774</v>
      </c>
      <c r="M2580" s="380" t="s">
        <v>443</v>
      </c>
      <c r="N2580" s="380">
        <v>25.4</v>
      </c>
      <c r="O2580" s="380" t="s">
        <v>443</v>
      </c>
      <c r="P2580" s="380" t="s">
        <v>443</v>
      </c>
      <c r="Q2580" s="381">
        <v>1.6338582677165354</v>
      </c>
      <c r="R2580" s="381">
        <v>1.6062992125984252</v>
      </c>
      <c r="S2580" s="381">
        <v>2.4251968503937009E-2</v>
      </c>
      <c r="T2580" s="381">
        <v>9.1338582677165348E-4</v>
      </c>
      <c r="U2580" s="381">
        <v>0</v>
      </c>
      <c r="V2580" s="382">
        <v>1.6314645669291339</v>
      </c>
      <c r="W2580" s="382">
        <v>0</v>
      </c>
      <c r="X2580" s="381">
        <v>1.6338582677165354</v>
      </c>
      <c r="Y2580" s="381">
        <v>1.6062992125984252</v>
      </c>
      <c r="Z2580" s="381">
        <v>2.4251968503937009E-2</v>
      </c>
      <c r="AA2580" s="381">
        <v>9.1338582677165348E-4</v>
      </c>
      <c r="AB2580" s="381">
        <v>0</v>
      </c>
      <c r="AC2580" s="382">
        <v>1.6314645669291339</v>
      </c>
      <c r="AD2580" s="382">
        <v>0</v>
      </c>
      <c r="AE2580" s="381" t="s">
        <v>168</v>
      </c>
    </row>
    <row r="2581" spans="1:31" ht="15" customHeight="1" x14ac:dyDescent="0.25">
      <c r="A2581" s="20" t="s">
        <v>3628</v>
      </c>
      <c r="B2581" s="20" t="s">
        <v>3637</v>
      </c>
      <c r="C2581" s="20" t="s">
        <v>3630</v>
      </c>
      <c r="D2581" s="378" t="s">
        <v>3685</v>
      </c>
      <c r="E2581" s="384">
        <v>45230</v>
      </c>
      <c r="F2581" s="384">
        <v>47057</v>
      </c>
      <c r="G2581" s="378" t="s">
        <v>2856</v>
      </c>
      <c r="H2581" s="20" t="s">
        <v>3686</v>
      </c>
      <c r="I2581" s="378">
        <v>0</v>
      </c>
      <c r="J2581" s="20" t="s">
        <v>2831</v>
      </c>
      <c r="K2581" s="378" t="s">
        <v>3687</v>
      </c>
      <c r="L2581" s="378" t="s">
        <v>2774</v>
      </c>
      <c r="M2581" s="380" t="s">
        <v>443</v>
      </c>
      <c r="N2581" s="380">
        <v>31</v>
      </c>
      <c r="O2581" s="380" t="s">
        <v>443</v>
      </c>
      <c r="P2581" s="380" t="s">
        <v>443</v>
      </c>
      <c r="Q2581" s="381">
        <v>1.5387096774193549</v>
      </c>
      <c r="R2581" s="381">
        <v>1.5354838709677421</v>
      </c>
      <c r="S2581" s="381">
        <v>-1.6096774193548387E-3</v>
      </c>
      <c r="T2581" s="381">
        <v>0</v>
      </c>
      <c r="U2581" s="381">
        <v>0</v>
      </c>
      <c r="V2581" s="382">
        <v>1.5354838709677421</v>
      </c>
      <c r="W2581" s="382">
        <v>0</v>
      </c>
      <c r="X2581" s="381">
        <v>1.5387096774193549</v>
      </c>
      <c r="Y2581" s="381">
        <v>1.5354838709677421</v>
      </c>
      <c r="Z2581" s="381">
        <v>-1.6096774193548387E-3</v>
      </c>
      <c r="AA2581" s="381">
        <v>0</v>
      </c>
      <c r="AB2581" s="381">
        <v>0</v>
      </c>
      <c r="AC2581" s="382">
        <v>1.5354838709677421</v>
      </c>
      <c r="AD2581" s="382">
        <v>0</v>
      </c>
      <c r="AE2581" s="381" t="s">
        <v>168</v>
      </c>
    </row>
    <row r="2582" spans="1:31" ht="15" customHeight="1" x14ac:dyDescent="0.25">
      <c r="A2582" s="20" t="s">
        <v>3628</v>
      </c>
      <c r="B2582" s="20" t="s">
        <v>3637</v>
      </c>
      <c r="C2582" s="20" t="s">
        <v>3630</v>
      </c>
      <c r="D2582" s="378" t="s">
        <v>3688</v>
      </c>
      <c r="E2582" s="384">
        <v>45230</v>
      </c>
      <c r="F2582" s="384">
        <v>47057</v>
      </c>
      <c r="G2582" s="378" t="s">
        <v>2856</v>
      </c>
      <c r="H2582" s="20" t="s">
        <v>3686</v>
      </c>
      <c r="I2582" s="378">
        <v>0</v>
      </c>
      <c r="J2582" s="20" t="s">
        <v>2831</v>
      </c>
      <c r="K2582" s="378" t="s">
        <v>3687</v>
      </c>
      <c r="L2582" s="378" t="s">
        <v>2774</v>
      </c>
      <c r="M2582" s="380" t="s">
        <v>443</v>
      </c>
      <c r="N2582" s="380">
        <v>31</v>
      </c>
      <c r="O2582" s="380" t="s">
        <v>443</v>
      </c>
      <c r="P2582" s="380" t="s">
        <v>443</v>
      </c>
      <c r="Q2582" s="381">
        <v>1.5387096774193549</v>
      </c>
      <c r="R2582" s="381">
        <v>1.5354838709677421</v>
      </c>
      <c r="S2582" s="381">
        <v>-1.6096774193548387E-3</v>
      </c>
      <c r="T2582" s="381">
        <v>0</v>
      </c>
      <c r="U2582" s="381">
        <v>0</v>
      </c>
      <c r="V2582" s="382">
        <v>1.5354838709677421</v>
      </c>
      <c r="W2582" s="382">
        <v>0</v>
      </c>
      <c r="X2582" s="381">
        <v>1.5387096774193549</v>
      </c>
      <c r="Y2582" s="381">
        <v>1.5354838709677421</v>
      </c>
      <c r="Z2582" s="381">
        <v>-1.6096774193548387E-3</v>
      </c>
      <c r="AA2582" s="381">
        <v>0</v>
      </c>
      <c r="AB2582" s="381">
        <v>0</v>
      </c>
      <c r="AC2582" s="382">
        <v>1.5354838709677421</v>
      </c>
      <c r="AD2582" s="382">
        <v>0</v>
      </c>
      <c r="AE2582" s="381" t="s">
        <v>168</v>
      </c>
    </row>
    <row r="2583" spans="1:31" ht="15" customHeight="1" x14ac:dyDescent="0.25">
      <c r="A2583" s="20" t="s">
        <v>3628</v>
      </c>
      <c r="B2583" s="20" t="s">
        <v>3637</v>
      </c>
      <c r="C2583" s="20" t="s">
        <v>3630</v>
      </c>
      <c r="D2583" s="378" t="s">
        <v>3689</v>
      </c>
      <c r="E2583" s="384">
        <v>45230</v>
      </c>
      <c r="F2583" s="384">
        <v>47057</v>
      </c>
      <c r="G2583" s="378" t="s">
        <v>2856</v>
      </c>
      <c r="H2583" s="20" t="s">
        <v>3686</v>
      </c>
      <c r="I2583" s="378">
        <v>0</v>
      </c>
      <c r="J2583" s="20" t="s">
        <v>2831</v>
      </c>
      <c r="K2583" s="378" t="s">
        <v>3687</v>
      </c>
      <c r="L2583" s="378" t="s">
        <v>2774</v>
      </c>
      <c r="M2583" s="380" t="s">
        <v>443</v>
      </c>
      <c r="N2583" s="380">
        <v>31</v>
      </c>
      <c r="O2583" s="380" t="s">
        <v>443</v>
      </c>
      <c r="P2583" s="380" t="s">
        <v>443</v>
      </c>
      <c r="Q2583" s="381">
        <v>1.5387096774193549</v>
      </c>
      <c r="R2583" s="381">
        <v>1.5354838709677421</v>
      </c>
      <c r="S2583" s="381">
        <v>-1.6096774193548387E-3</v>
      </c>
      <c r="T2583" s="381">
        <v>0</v>
      </c>
      <c r="U2583" s="381">
        <v>0</v>
      </c>
      <c r="V2583" s="382">
        <v>1.5354838709677421</v>
      </c>
      <c r="W2583" s="382">
        <v>0</v>
      </c>
      <c r="X2583" s="381">
        <v>1.5387096774193549</v>
      </c>
      <c r="Y2583" s="381">
        <v>1.5354838709677421</v>
      </c>
      <c r="Z2583" s="381">
        <v>-1.6096774193548387E-3</v>
      </c>
      <c r="AA2583" s="381">
        <v>0</v>
      </c>
      <c r="AB2583" s="381">
        <v>0</v>
      </c>
      <c r="AC2583" s="382">
        <v>1.5354838709677421</v>
      </c>
      <c r="AD2583" s="382">
        <v>0</v>
      </c>
      <c r="AE2583" s="381" t="s">
        <v>168</v>
      </c>
    </row>
    <row r="2584" spans="1:31" ht="15" customHeight="1" x14ac:dyDescent="0.25">
      <c r="A2584" s="20" t="s">
        <v>3628</v>
      </c>
      <c r="B2584" s="20" t="s">
        <v>3637</v>
      </c>
      <c r="C2584" s="20" t="s">
        <v>3630</v>
      </c>
      <c r="D2584" s="378" t="s">
        <v>3690</v>
      </c>
      <c r="E2584" s="384">
        <v>45230</v>
      </c>
      <c r="F2584" s="384">
        <v>47057</v>
      </c>
      <c r="G2584" s="378" t="s">
        <v>2856</v>
      </c>
      <c r="H2584" s="20" t="s">
        <v>3686</v>
      </c>
      <c r="I2584" s="378">
        <v>0</v>
      </c>
      <c r="J2584" s="20" t="s">
        <v>2831</v>
      </c>
      <c r="K2584" s="378" t="s">
        <v>3687</v>
      </c>
      <c r="L2584" s="378" t="s">
        <v>2774</v>
      </c>
      <c r="M2584" s="380" t="s">
        <v>443</v>
      </c>
      <c r="N2584" s="380">
        <v>31</v>
      </c>
      <c r="O2584" s="380" t="s">
        <v>443</v>
      </c>
      <c r="P2584" s="380" t="s">
        <v>443</v>
      </c>
      <c r="Q2584" s="381">
        <v>1.5387096774193549</v>
      </c>
      <c r="R2584" s="381">
        <v>1.5354838709677421</v>
      </c>
      <c r="S2584" s="381">
        <v>-1.6096774193548387E-3</v>
      </c>
      <c r="T2584" s="381">
        <v>0</v>
      </c>
      <c r="U2584" s="381">
        <v>0</v>
      </c>
      <c r="V2584" s="382">
        <v>1.5354838709677421</v>
      </c>
      <c r="W2584" s="382">
        <v>0</v>
      </c>
      <c r="X2584" s="381">
        <v>1.5387096774193549</v>
      </c>
      <c r="Y2584" s="381">
        <v>1.5354838709677421</v>
      </c>
      <c r="Z2584" s="381">
        <v>-1.6096774193548387E-3</v>
      </c>
      <c r="AA2584" s="381">
        <v>0</v>
      </c>
      <c r="AB2584" s="381">
        <v>0</v>
      </c>
      <c r="AC2584" s="382">
        <v>1.5354838709677421</v>
      </c>
      <c r="AD2584" s="382">
        <v>0</v>
      </c>
      <c r="AE2584" s="381" t="s">
        <v>168</v>
      </c>
    </row>
    <row r="2585" spans="1:31" ht="15" customHeight="1" x14ac:dyDescent="0.25">
      <c r="A2585" s="20" t="s">
        <v>3628</v>
      </c>
      <c r="B2585" s="20" t="s">
        <v>3637</v>
      </c>
      <c r="C2585" s="20" t="s">
        <v>3630</v>
      </c>
      <c r="D2585" s="378" t="s">
        <v>3691</v>
      </c>
      <c r="E2585" s="384">
        <v>45230</v>
      </c>
      <c r="F2585" s="384">
        <v>47057</v>
      </c>
      <c r="G2585" s="378" t="s">
        <v>2856</v>
      </c>
      <c r="H2585" s="20" t="s">
        <v>3686</v>
      </c>
      <c r="I2585" s="378">
        <v>0</v>
      </c>
      <c r="J2585" s="20" t="s">
        <v>2831</v>
      </c>
      <c r="K2585" s="378" t="s">
        <v>3687</v>
      </c>
      <c r="L2585" s="378" t="s">
        <v>2774</v>
      </c>
      <c r="M2585" s="380" t="s">
        <v>443</v>
      </c>
      <c r="N2585" s="380">
        <v>31</v>
      </c>
      <c r="O2585" s="380" t="s">
        <v>443</v>
      </c>
      <c r="P2585" s="380" t="s">
        <v>443</v>
      </c>
      <c r="Q2585" s="381">
        <v>1.5387096774193549</v>
      </c>
      <c r="R2585" s="381">
        <v>1.5354838709677421</v>
      </c>
      <c r="S2585" s="381">
        <v>-1.6096774193548387E-3</v>
      </c>
      <c r="T2585" s="381">
        <v>0</v>
      </c>
      <c r="U2585" s="381">
        <v>0</v>
      </c>
      <c r="V2585" s="382">
        <v>1.5354838709677421</v>
      </c>
      <c r="W2585" s="382">
        <v>0</v>
      </c>
      <c r="X2585" s="381">
        <v>1.5387096774193549</v>
      </c>
      <c r="Y2585" s="381">
        <v>1.5354838709677421</v>
      </c>
      <c r="Z2585" s="381">
        <v>-1.6096774193548387E-3</v>
      </c>
      <c r="AA2585" s="381">
        <v>0</v>
      </c>
      <c r="AB2585" s="381">
        <v>0</v>
      </c>
      <c r="AC2585" s="382">
        <v>1.5354838709677421</v>
      </c>
      <c r="AD2585" s="382">
        <v>0</v>
      </c>
      <c r="AE2585" s="381" t="s">
        <v>168</v>
      </c>
    </row>
    <row r="2586" spans="1:31" ht="15" customHeight="1" x14ac:dyDescent="0.25">
      <c r="A2586" s="20" t="s">
        <v>3628</v>
      </c>
      <c r="B2586" s="20" t="s">
        <v>3637</v>
      </c>
      <c r="C2586" s="20" t="s">
        <v>3630</v>
      </c>
      <c r="D2586" s="378" t="s">
        <v>3692</v>
      </c>
      <c r="E2586" s="384">
        <v>45230</v>
      </c>
      <c r="F2586" s="384">
        <v>47057</v>
      </c>
      <c r="G2586" s="378" t="s">
        <v>2856</v>
      </c>
      <c r="H2586" s="20" t="s">
        <v>3686</v>
      </c>
      <c r="I2586" s="378">
        <v>0</v>
      </c>
      <c r="J2586" s="20" t="s">
        <v>2831</v>
      </c>
      <c r="K2586" s="378" t="s">
        <v>3687</v>
      </c>
      <c r="L2586" s="378" t="s">
        <v>2774</v>
      </c>
      <c r="M2586" s="380" t="s">
        <v>443</v>
      </c>
      <c r="N2586" s="380">
        <v>31</v>
      </c>
      <c r="O2586" s="380" t="s">
        <v>443</v>
      </c>
      <c r="P2586" s="380" t="s">
        <v>443</v>
      </c>
      <c r="Q2586" s="381">
        <v>1.5387096774193549</v>
      </c>
      <c r="R2586" s="381">
        <v>1.5354838709677421</v>
      </c>
      <c r="S2586" s="381">
        <v>-1.6096774193548387E-3</v>
      </c>
      <c r="T2586" s="381">
        <v>0</v>
      </c>
      <c r="U2586" s="381">
        <v>0</v>
      </c>
      <c r="V2586" s="382">
        <v>1.5354838709677421</v>
      </c>
      <c r="W2586" s="382">
        <v>0</v>
      </c>
      <c r="X2586" s="381">
        <v>1.5387096774193549</v>
      </c>
      <c r="Y2586" s="381">
        <v>1.5354838709677421</v>
      </c>
      <c r="Z2586" s="381">
        <v>-1.6096774193548387E-3</v>
      </c>
      <c r="AA2586" s="381">
        <v>0</v>
      </c>
      <c r="AB2586" s="381">
        <v>0</v>
      </c>
      <c r="AC2586" s="382">
        <v>1.5354838709677421</v>
      </c>
      <c r="AD2586" s="382">
        <v>0</v>
      </c>
      <c r="AE2586" s="381" t="s">
        <v>168</v>
      </c>
    </row>
    <row r="2587" spans="1:31" ht="15" customHeight="1" x14ac:dyDescent="0.25">
      <c r="A2587" s="20" t="s">
        <v>3628</v>
      </c>
      <c r="B2587" s="20" t="s">
        <v>3693</v>
      </c>
      <c r="C2587" s="20" t="s">
        <v>3630</v>
      </c>
      <c r="D2587" s="378" t="s">
        <v>3694</v>
      </c>
      <c r="E2587" s="384">
        <v>45125</v>
      </c>
      <c r="F2587" s="384">
        <v>46951</v>
      </c>
      <c r="G2587" s="378" t="s">
        <v>2864</v>
      </c>
      <c r="H2587" s="20" t="s">
        <v>3695</v>
      </c>
      <c r="I2587" s="378">
        <v>0</v>
      </c>
      <c r="J2587" s="20" t="s">
        <v>2831</v>
      </c>
      <c r="K2587" s="378" t="s">
        <v>3696</v>
      </c>
      <c r="L2587" s="378" t="s">
        <v>2774</v>
      </c>
      <c r="M2587" s="380" t="s">
        <v>443</v>
      </c>
      <c r="N2587" s="380">
        <v>15</v>
      </c>
      <c r="O2587" s="380" t="s">
        <v>443</v>
      </c>
      <c r="P2587" s="380" t="s">
        <v>443</v>
      </c>
      <c r="Q2587" s="381">
        <v>1.4066666666666667</v>
      </c>
      <c r="R2587" s="381">
        <v>1.4</v>
      </c>
      <c r="S2587" s="381">
        <v>3.3333333333333335E-3</v>
      </c>
      <c r="T2587" s="381">
        <v>0</v>
      </c>
      <c r="U2587" s="381">
        <v>0</v>
      </c>
      <c r="V2587" s="382">
        <v>1.4033333333333333</v>
      </c>
      <c r="W2587" s="382">
        <v>0</v>
      </c>
      <c r="X2587" s="381">
        <v>1.4066666666666667</v>
      </c>
      <c r="Y2587" s="381">
        <v>1.4</v>
      </c>
      <c r="Z2587" s="381">
        <v>3.3333333333333335E-3</v>
      </c>
      <c r="AA2587" s="381">
        <v>0</v>
      </c>
      <c r="AB2587" s="381">
        <v>0</v>
      </c>
      <c r="AC2587" s="382">
        <v>1.4033333333333333</v>
      </c>
      <c r="AD2587" s="382">
        <v>0</v>
      </c>
      <c r="AE2587" s="381" t="s">
        <v>168</v>
      </c>
    </row>
    <row r="2588" spans="1:31" ht="15" customHeight="1" x14ac:dyDescent="0.25">
      <c r="A2588" s="20" t="s">
        <v>3628</v>
      </c>
      <c r="B2588" s="20" t="s">
        <v>3646</v>
      </c>
      <c r="C2588" s="20" t="s">
        <v>3630</v>
      </c>
      <c r="D2588" s="378" t="s">
        <v>3697</v>
      </c>
      <c r="E2588" s="384">
        <v>45233</v>
      </c>
      <c r="F2588" s="384">
        <v>47057</v>
      </c>
      <c r="G2588" s="378" t="s">
        <v>2856</v>
      </c>
      <c r="H2588" s="20" t="s">
        <v>3698</v>
      </c>
      <c r="I2588" s="378">
        <v>0</v>
      </c>
      <c r="J2588" s="20" t="s">
        <v>2831</v>
      </c>
      <c r="K2588" s="378" t="s">
        <v>3699</v>
      </c>
      <c r="L2588" s="378" t="s">
        <v>2774</v>
      </c>
      <c r="M2588" s="380" t="s">
        <v>443</v>
      </c>
      <c r="N2588" s="380">
        <v>31</v>
      </c>
      <c r="O2588" s="380" t="s">
        <v>443</v>
      </c>
      <c r="P2588" s="380" t="s">
        <v>443</v>
      </c>
      <c r="Q2588" s="381">
        <v>1.5483870967741935</v>
      </c>
      <c r="R2588" s="381">
        <v>1.5419354838709676</v>
      </c>
      <c r="S2588" s="381">
        <v>1.432258064516129E-3</v>
      </c>
      <c r="T2588" s="381">
        <v>0</v>
      </c>
      <c r="U2588" s="381">
        <v>0</v>
      </c>
      <c r="V2588" s="382">
        <v>1.5433677419354837</v>
      </c>
      <c r="W2588" s="382">
        <v>0</v>
      </c>
      <c r="X2588" s="381">
        <v>1.5483870967741935</v>
      </c>
      <c r="Y2588" s="381">
        <v>1.5419354838709676</v>
      </c>
      <c r="Z2588" s="381">
        <v>1.432258064516129E-3</v>
      </c>
      <c r="AA2588" s="381">
        <v>0</v>
      </c>
      <c r="AB2588" s="381">
        <v>0</v>
      </c>
      <c r="AC2588" s="382">
        <v>1.5433677419354837</v>
      </c>
      <c r="AD2588" s="382">
        <v>0</v>
      </c>
      <c r="AE2588" s="381" t="s">
        <v>168</v>
      </c>
    </row>
    <row r="2589" spans="1:31" ht="15" customHeight="1" x14ac:dyDescent="0.25">
      <c r="A2589" s="20" t="s">
        <v>3628</v>
      </c>
      <c r="B2589" s="20" t="s">
        <v>3646</v>
      </c>
      <c r="C2589" s="20" t="s">
        <v>3630</v>
      </c>
      <c r="D2589" s="378" t="s">
        <v>3700</v>
      </c>
      <c r="E2589" s="384">
        <v>45233</v>
      </c>
      <c r="F2589" s="384">
        <v>47057</v>
      </c>
      <c r="G2589" s="378" t="s">
        <v>2856</v>
      </c>
      <c r="H2589" s="20" t="s">
        <v>3698</v>
      </c>
      <c r="I2589" s="378">
        <v>0</v>
      </c>
      <c r="J2589" s="20" t="s">
        <v>2831</v>
      </c>
      <c r="K2589" s="378" t="s">
        <v>3699</v>
      </c>
      <c r="L2589" s="378" t="s">
        <v>2774</v>
      </c>
      <c r="M2589" s="380" t="s">
        <v>443</v>
      </c>
      <c r="N2589" s="380">
        <v>31</v>
      </c>
      <c r="O2589" s="380" t="s">
        <v>443</v>
      </c>
      <c r="P2589" s="380" t="s">
        <v>443</v>
      </c>
      <c r="Q2589" s="381">
        <v>1.5483870967741935</v>
      </c>
      <c r="R2589" s="381">
        <v>1.5419354838709676</v>
      </c>
      <c r="S2589" s="381">
        <v>1.432258064516129E-3</v>
      </c>
      <c r="T2589" s="381">
        <v>0</v>
      </c>
      <c r="U2589" s="381">
        <v>0</v>
      </c>
      <c r="V2589" s="382">
        <v>1.5433677419354837</v>
      </c>
      <c r="W2589" s="382">
        <v>0</v>
      </c>
      <c r="X2589" s="381">
        <v>1.5483870967741935</v>
      </c>
      <c r="Y2589" s="381">
        <v>1.5419354838709676</v>
      </c>
      <c r="Z2589" s="381">
        <v>1.432258064516129E-3</v>
      </c>
      <c r="AA2589" s="381">
        <v>0</v>
      </c>
      <c r="AB2589" s="381">
        <v>0</v>
      </c>
      <c r="AC2589" s="382">
        <v>1.5433677419354837</v>
      </c>
      <c r="AD2589" s="382">
        <v>0</v>
      </c>
      <c r="AE2589" s="381" t="s">
        <v>168</v>
      </c>
    </row>
    <row r="2590" spans="1:31" ht="15" customHeight="1" x14ac:dyDescent="0.25">
      <c r="A2590" s="20" t="s">
        <v>3628</v>
      </c>
      <c r="B2590" s="20" t="s">
        <v>3646</v>
      </c>
      <c r="C2590" s="20" t="s">
        <v>3630</v>
      </c>
      <c r="D2590" s="378" t="s">
        <v>3701</v>
      </c>
      <c r="E2590" s="384">
        <v>45233</v>
      </c>
      <c r="F2590" s="384">
        <v>47057</v>
      </c>
      <c r="G2590" s="378" t="s">
        <v>2856</v>
      </c>
      <c r="H2590" s="20" t="s">
        <v>3698</v>
      </c>
      <c r="I2590" s="378">
        <v>0</v>
      </c>
      <c r="J2590" s="20" t="s">
        <v>2831</v>
      </c>
      <c r="K2590" s="378" t="s">
        <v>3699</v>
      </c>
      <c r="L2590" s="378" t="s">
        <v>2774</v>
      </c>
      <c r="M2590" s="380" t="s">
        <v>443</v>
      </c>
      <c r="N2590" s="380">
        <v>31</v>
      </c>
      <c r="O2590" s="380" t="s">
        <v>443</v>
      </c>
      <c r="P2590" s="380" t="s">
        <v>443</v>
      </c>
      <c r="Q2590" s="381">
        <v>1.5483870967741935</v>
      </c>
      <c r="R2590" s="381">
        <v>1.5419354838709676</v>
      </c>
      <c r="S2590" s="381">
        <v>1.432258064516129E-3</v>
      </c>
      <c r="T2590" s="381">
        <v>0</v>
      </c>
      <c r="U2590" s="381">
        <v>0</v>
      </c>
      <c r="V2590" s="382">
        <v>1.5433677419354837</v>
      </c>
      <c r="W2590" s="382">
        <v>0</v>
      </c>
      <c r="X2590" s="381">
        <v>1.5483870967741935</v>
      </c>
      <c r="Y2590" s="381">
        <v>1.5419354838709676</v>
      </c>
      <c r="Z2590" s="381">
        <v>1.432258064516129E-3</v>
      </c>
      <c r="AA2590" s="381">
        <v>0</v>
      </c>
      <c r="AB2590" s="381">
        <v>0</v>
      </c>
      <c r="AC2590" s="382">
        <v>1.5433677419354837</v>
      </c>
      <c r="AD2590" s="382">
        <v>0</v>
      </c>
      <c r="AE2590" s="381" t="s">
        <v>168</v>
      </c>
    </row>
    <row r="2591" spans="1:31" ht="15" customHeight="1" x14ac:dyDescent="0.25">
      <c r="A2591" s="20" t="s">
        <v>3628</v>
      </c>
      <c r="B2591" s="20" t="s">
        <v>3646</v>
      </c>
      <c r="C2591" s="20" t="s">
        <v>3630</v>
      </c>
      <c r="D2591" s="378" t="s">
        <v>3702</v>
      </c>
      <c r="E2591" s="384">
        <v>45233</v>
      </c>
      <c r="F2591" s="384">
        <v>47057</v>
      </c>
      <c r="G2591" s="378" t="s">
        <v>2856</v>
      </c>
      <c r="H2591" s="20" t="s">
        <v>3698</v>
      </c>
      <c r="I2591" s="378">
        <v>0</v>
      </c>
      <c r="J2591" s="20" t="s">
        <v>2831</v>
      </c>
      <c r="K2591" s="378" t="s">
        <v>3699</v>
      </c>
      <c r="L2591" s="378" t="s">
        <v>2774</v>
      </c>
      <c r="M2591" s="380" t="s">
        <v>443</v>
      </c>
      <c r="N2591" s="380">
        <v>31</v>
      </c>
      <c r="O2591" s="380" t="s">
        <v>443</v>
      </c>
      <c r="P2591" s="380" t="s">
        <v>443</v>
      </c>
      <c r="Q2591" s="381">
        <v>1.5483870967741935</v>
      </c>
      <c r="R2591" s="381">
        <v>1.5419354838709676</v>
      </c>
      <c r="S2591" s="381">
        <v>1.432258064516129E-3</v>
      </c>
      <c r="T2591" s="381">
        <v>0</v>
      </c>
      <c r="U2591" s="381">
        <v>0</v>
      </c>
      <c r="V2591" s="382">
        <v>1.5433677419354837</v>
      </c>
      <c r="W2591" s="382">
        <v>0</v>
      </c>
      <c r="X2591" s="381">
        <v>1.5483870967741935</v>
      </c>
      <c r="Y2591" s="381">
        <v>1.5419354838709676</v>
      </c>
      <c r="Z2591" s="381">
        <v>1.432258064516129E-3</v>
      </c>
      <c r="AA2591" s="381">
        <v>0</v>
      </c>
      <c r="AB2591" s="381">
        <v>0</v>
      </c>
      <c r="AC2591" s="382">
        <v>1.5433677419354837</v>
      </c>
      <c r="AD2591" s="382">
        <v>0</v>
      </c>
      <c r="AE2591" s="381" t="s">
        <v>168</v>
      </c>
    </row>
    <row r="2592" spans="1:31" ht="15" customHeight="1" x14ac:dyDescent="0.25">
      <c r="A2592" s="20" t="s">
        <v>3628</v>
      </c>
      <c r="B2592" s="20" t="s">
        <v>3646</v>
      </c>
      <c r="C2592" s="20" t="s">
        <v>3630</v>
      </c>
      <c r="D2592" s="378" t="s">
        <v>3703</v>
      </c>
      <c r="E2592" s="384">
        <v>45233</v>
      </c>
      <c r="F2592" s="384">
        <v>47057</v>
      </c>
      <c r="G2592" s="378" t="s">
        <v>2856</v>
      </c>
      <c r="H2592" s="20" t="s">
        <v>3698</v>
      </c>
      <c r="I2592" s="378">
        <v>0</v>
      </c>
      <c r="J2592" s="20" t="s">
        <v>2831</v>
      </c>
      <c r="K2592" s="378" t="s">
        <v>3699</v>
      </c>
      <c r="L2592" s="378" t="s">
        <v>2774</v>
      </c>
      <c r="M2592" s="380" t="s">
        <v>443</v>
      </c>
      <c r="N2592" s="380">
        <v>31</v>
      </c>
      <c r="O2592" s="380" t="s">
        <v>443</v>
      </c>
      <c r="P2592" s="380" t="s">
        <v>443</v>
      </c>
      <c r="Q2592" s="381">
        <v>1.5483870967741935</v>
      </c>
      <c r="R2592" s="381">
        <v>1.5419354838709676</v>
      </c>
      <c r="S2592" s="381">
        <v>1.432258064516129E-3</v>
      </c>
      <c r="T2592" s="381">
        <v>0</v>
      </c>
      <c r="U2592" s="381">
        <v>0</v>
      </c>
      <c r="V2592" s="382">
        <v>1.5433677419354837</v>
      </c>
      <c r="W2592" s="382">
        <v>0</v>
      </c>
      <c r="X2592" s="381">
        <v>1.5483870967741935</v>
      </c>
      <c r="Y2592" s="381">
        <v>1.5419354838709676</v>
      </c>
      <c r="Z2592" s="381">
        <v>1.432258064516129E-3</v>
      </c>
      <c r="AA2592" s="381">
        <v>0</v>
      </c>
      <c r="AB2592" s="381">
        <v>0</v>
      </c>
      <c r="AC2592" s="382">
        <v>1.5433677419354837</v>
      </c>
      <c r="AD2592" s="382">
        <v>0</v>
      </c>
      <c r="AE2592" s="381" t="s">
        <v>168</v>
      </c>
    </row>
    <row r="2593" spans="1:31" ht="15" customHeight="1" x14ac:dyDescent="0.25">
      <c r="A2593" s="20" t="s">
        <v>3628</v>
      </c>
      <c r="B2593" s="20" t="s">
        <v>3646</v>
      </c>
      <c r="C2593" s="20" t="s">
        <v>3630</v>
      </c>
      <c r="D2593" s="378" t="s">
        <v>3704</v>
      </c>
      <c r="E2593" s="384">
        <v>45233</v>
      </c>
      <c r="F2593" s="384">
        <v>47057</v>
      </c>
      <c r="G2593" s="378" t="s">
        <v>2856</v>
      </c>
      <c r="H2593" s="20" t="s">
        <v>3698</v>
      </c>
      <c r="I2593" s="378">
        <v>0</v>
      </c>
      <c r="J2593" s="20" t="s">
        <v>2831</v>
      </c>
      <c r="K2593" s="378" t="s">
        <v>3699</v>
      </c>
      <c r="L2593" s="378" t="s">
        <v>2774</v>
      </c>
      <c r="M2593" s="380" t="s">
        <v>443</v>
      </c>
      <c r="N2593" s="380">
        <v>31</v>
      </c>
      <c r="O2593" s="380" t="s">
        <v>443</v>
      </c>
      <c r="P2593" s="380" t="s">
        <v>443</v>
      </c>
      <c r="Q2593" s="381">
        <v>1.5483870967741935</v>
      </c>
      <c r="R2593" s="381">
        <v>1.5419354838709676</v>
      </c>
      <c r="S2593" s="381">
        <v>1.432258064516129E-3</v>
      </c>
      <c r="T2593" s="381">
        <v>0</v>
      </c>
      <c r="U2593" s="381">
        <v>0</v>
      </c>
      <c r="V2593" s="382">
        <v>1.5433677419354837</v>
      </c>
      <c r="W2593" s="382">
        <v>0</v>
      </c>
      <c r="X2593" s="381">
        <v>1.5483870967741935</v>
      </c>
      <c r="Y2593" s="381">
        <v>1.5419354838709676</v>
      </c>
      <c r="Z2593" s="381">
        <v>1.432258064516129E-3</v>
      </c>
      <c r="AA2593" s="381">
        <v>0</v>
      </c>
      <c r="AB2593" s="381">
        <v>0</v>
      </c>
      <c r="AC2593" s="382">
        <v>1.5433677419354837</v>
      </c>
      <c r="AD2593" s="382">
        <v>0</v>
      </c>
      <c r="AE2593" s="381" t="s">
        <v>168</v>
      </c>
    </row>
    <row r="2594" spans="1:31" ht="15" customHeight="1" x14ac:dyDescent="0.25">
      <c r="A2594" s="20" t="s">
        <v>3628</v>
      </c>
      <c r="B2594" s="20" t="s">
        <v>3693</v>
      </c>
      <c r="C2594" s="20" t="s">
        <v>3630</v>
      </c>
      <c r="D2594" s="378" t="s">
        <v>3705</v>
      </c>
      <c r="E2594" s="384">
        <v>45125</v>
      </c>
      <c r="F2594" s="384">
        <v>46951</v>
      </c>
      <c r="G2594" s="378" t="s">
        <v>2864</v>
      </c>
      <c r="H2594" s="20" t="s">
        <v>3706</v>
      </c>
      <c r="I2594" s="378">
        <v>0</v>
      </c>
      <c r="J2594" s="20" t="s">
        <v>2831</v>
      </c>
      <c r="K2594" s="378" t="s">
        <v>3707</v>
      </c>
      <c r="L2594" s="378" t="s">
        <v>2774</v>
      </c>
      <c r="M2594" s="380" t="s">
        <v>443</v>
      </c>
      <c r="N2594" s="380">
        <v>10</v>
      </c>
      <c r="O2594" s="380" t="s">
        <v>443</v>
      </c>
      <c r="P2594" s="380" t="s">
        <v>443</v>
      </c>
      <c r="Q2594" s="381">
        <v>1.58</v>
      </c>
      <c r="R2594" s="381">
        <v>1.5699999999999998</v>
      </c>
      <c r="S2594" s="381">
        <v>4.1200000000000004E-3</v>
      </c>
      <c r="T2594" s="381">
        <v>0</v>
      </c>
      <c r="U2594" s="381">
        <v>0</v>
      </c>
      <c r="V2594" s="382">
        <v>1.5741199999999997</v>
      </c>
      <c r="W2594" s="382">
        <v>0</v>
      </c>
      <c r="X2594" s="381">
        <v>1.58</v>
      </c>
      <c r="Y2594" s="381">
        <v>1.5699999999999998</v>
      </c>
      <c r="Z2594" s="381">
        <v>4.1200000000000004E-3</v>
      </c>
      <c r="AA2594" s="381">
        <v>0</v>
      </c>
      <c r="AB2594" s="381">
        <v>0</v>
      </c>
      <c r="AC2594" s="382">
        <v>1.5741199999999997</v>
      </c>
      <c r="AD2594" s="382">
        <v>0</v>
      </c>
      <c r="AE2594" s="381" t="s">
        <v>168</v>
      </c>
    </row>
    <row r="2595" spans="1:31" ht="15" customHeight="1" x14ac:dyDescent="0.25">
      <c r="A2595" s="20" t="s">
        <v>3628</v>
      </c>
      <c r="B2595" s="20" t="s">
        <v>3637</v>
      </c>
      <c r="C2595" s="20" t="s">
        <v>3630</v>
      </c>
      <c r="D2595" s="378" t="s">
        <v>3708</v>
      </c>
      <c r="E2595" s="384">
        <v>45233</v>
      </c>
      <c r="F2595" s="384">
        <v>47057</v>
      </c>
      <c r="G2595" s="378" t="s">
        <v>2856</v>
      </c>
      <c r="H2595" s="20" t="s">
        <v>3709</v>
      </c>
      <c r="I2595" s="378">
        <v>0</v>
      </c>
      <c r="J2595" s="20" t="s">
        <v>2831</v>
      </c>
      <c r="K2595" s="378" t="s">
        <v>3710</v>
      </c>
      <c r="L2595" s="378" t="s">
        <v>2774</v>
      </c>
      <c r="M2595" s="380" t="s">
        <v>443</v>
      </c>
      <c r="N2595" s="380">
        <v>21</v>
      </c>
      <c r="O2595" s="380" t="s">
        <v>443</v>
      </c>
      <c r="P2595" s="380" t="s">
        <v>443</v>
      </c>
      <c r="Q2595" s="381">
        <v>1.8857142857142857</v>
      </c>
      <c r="R2595" s="381">
        <v>1.8761904761904762</v>
      </c>
      <c r="S2595" s="381">
        <v>-1.8714285714285716E-4</v>
      </c>
      <c r="T2595" s="381">
        <v>0</v>
      </c>
      <c r="U2595" s="381">
        <v>0</v>
      </c>
      <c r="V2595" s="382">
        <v>1.8761904761904762</v>
      </c>
      <c r="W2595" s="382">
        <v>0</v>
      </c>
      <c r="X2595" s="381">
        <v>1.8857142857142857</v>
      </c>
      <c r="Y2595" s="381">
        <v>1.8761904761904762</v>
      </c>
      <c r="Z2595" s="381">
        <v>-1.8714285714285716E-4</v>
      </c>
      <c r="AA2595" s="381">
        <v>0</v>
      </c>
      <c r="AB2595" s="381">
        <v>0</v>
      </c>
      <c r="AC2595" s="382">
        <v>1.8761904761904762</v>
      </c>
      <c r="AD2595" s="382">
        <v>0</v>
      </c>
      <c r="AE2595" s="381" t="s">
        <v>168</v>
      </c>
    </row>
    <row r="2596" spans="1:31" ht="15" customHeight="1" x14ac:dyDescent="0.25">
      <c r="A2596" s="20" t="s">
        <v>3628</v>
      </c>
      <c r="B2596" s="20" t="s">
        <v>3637</v>
      </c>
      <c r="C2596" s="20" t="s">
        <v>3630</v>
      </c>
      <c r="D2596" s="378" t="s">
        <v>3711</v>
      </c>
      <c r="E2596" s="384">
        <v>45233</v>
      </c>
      <c r="F2596" s="384">
        <v>47057</v>
      </c>
      <c r="G2596" s="378" t="s">
        <v>2856</v>
      </c>
      <c r="H2596" s="20" t="s">
        <v>3709</v>
      </c>
      <c r="I2596" s="378">
        <v>0</v>
      </c>
      <c r="J2596" s="20" t="s">
        <v>2831</v>
      </c>
      <c r="K2596" s="378" t="s">
        <v>3710</v>
      </c>
      <c r="L2596" s="378" t="s">
        <v>2774</v>
      </c>
      <c r="M2596" s="380" t="s">
        <v>443</v>
      </c>
      <c r="N2596" s="380">
        <v>21</v>
      </c>
      <c r="O2596" s="380" t="s">
        <v>443</v>
      </c>
      <c r="P2596" s="380" t="s">
        <v>443</v>
      </c>
      <c r="Q2596" s="381">
        <v>1.8857142857142857</v>
      </c>
      <c r="R2596" s="381">
        <v>1.8761904761904762</v>
      </c>
      <c r="S2596" s="381">
        <v>-1.8714285714285716E-4</v>
      </c>
      <c r="T2596" s="381">
        <v>0</v>
      </c>
      <c r="U2596" s="381">
        <v>0</v>
      </c>
      <c r="V2596" s="382">
        <v>1.8761904761904762</v>
      </c>
      <c r="W2596" s="382">
        <v>0</v>
      </c>
      <c r="X2596" s="381">
        <v>1.8857142857142857</v>
      </c>
      <c r="Y2596" s="381">
        <v>1.8761904761904762</v>
      </c>
      <c r="Z2596" s="381">
        <v>-1.8714285714285716E-4</v>
      </c>
      <c r="AA2596" s="381">
        <v>0</v>
      </c>
      <c r="AB2596" s="381">
        <v>0</v>
      </c>
      <c r="AC2596" s="382">
        <v>1.8761904761904762</v>
      </c>
      <c r="AD2596" s="382">
        <v>0</v>
      </c>
      <c r="AE2596" s="381" t="s">
        <v>168</v>
      </c>
    </row>
    <row r="2597" spans="1:31" ht="15" customHeight="1" x14ac:dyDescent="0.25">
      <c r="A2597" s="20" t="s">
        <v>3628</v>
      </c>
      <c r="B2597" s="20" t="s">
        <v>3637</v>
      </c>
      <c r="C2597" s="20" t="s">
        <v>3630</v>
      </c>
      <c r="D2597" s="378" t="s">
        <v>3712</v>
      </c>
      <c r="E2597" s="384">
        <v>45233</v>
      </c>
      <c r="F2597" s="384">
        <v>47057</v>
      </c>
      <c r="G2597" s="378" t="s">
        <v>2856</v>
      </c>
      <c r="H2597" s="20" t="s">
        <v>3709</v>
      </c>
      <c r="I2597" s="378">
        <v>0</v>
      </c>
      <c r="J2597" s="20" t="s">
        <v>2831</v>
      </c>
      <c r="K2597" s="378" t="s">
        <v>3710</v>
      </c>
      <c r="L2597" s="378" t="s">
        <v>2774</v>
      </c>
      <c r="M2597" s="380" t="s">
        <v>443</v>
      </c>
      <c r="N2597" s="380">
        <v>21</v>
      </c>
      <c r="O2597" s="380" t="s">
        <v>443</v>
      </c>
      <c r="P2597" s="380" t="s">
        <v>443</v>
      </c>
      <c r="Q2597" s="381">
        <v>1.8857142857142857</v>
      </c>
      <c r="R2597" s="381">
        <v>1.8761904761904762</v>
      </c>
      <c r="S2597" s="381">
        <v>-1.8714285714285716E-4</v>
      </c>
      <c r="T2597" s="381">
        <v>0</v>
      </c>
      <c r="U2597" s="381">
        <v>0</v>
      </c>
      <c r="V2597" s="382">
        <v>1.8761904761904762</v>
      </c>
      <c r="W2597" s="382">
        <v>0</v>
      </c>
      <c r="X2597" s="381">
        <v>1.8857142857142857</v>
      </c>
      <c r="Y2597" s="381">
        <v>1.8761904761904762</v>
      </c>
      <c r="Z2597" s="381">
        <v>-1.8714285714285716E-4</v>
      </c>
      <c r="AA2597" s="381">
        <v>0</v>
      </c>
      <c r="AB2597" s="381">
        <v>0</v>
      </c>
      <c r="AC2597" s="382">
        <v>1.8761904761904762</v>
      </c>
      <c r="AD2597" s="382">
        <v>0</v>
      </c>
      <c r="AE2597" s="381" t="s">
        <v>168</v>
      </c>
    </row>
    <row r="2598" spans="1:31" ht="15" customHeight="1" x14ac:dyDescent="0.25">
      <c r="A2598" s="20" t="s">
        <v>3628</v>
      </c>
      <c r="B2598" s="20" t="s">
        <v>3637</v>
      </c>
      <c r="C2598" s="20" t="s">
        <v>3630</v>
      </c>
      <c r="D2598" s="378" t="s">
        <v>3713</v>
      </c>
      <c r="E2598" s="384">
        <v>45233</v>
      </c>
      <c r="F2598" s="384">
        <v>47057</v>
      </c>
      <c r="G2598" s="378" t="s">
        <v>2856</v>
      </c>
      <c r="H2598" s="20" t="s">
        <v>3709</v>
      </c>
      <c r="I2598" s="378">
        <v>0</v>
      </c>
      <c r="J2598" s="20" t="s">
        <v>2831</v>
      </c>
      <c r="K2598" s="378" t="s">
        <v>3710</v>
      </c>
      <c r="L2598" s="378" t="s">
        <v>2774</v>
      </c>
      <c r="M2598" s="380" t="s">
        <v>443</v>
      </c>
      <c r="N2598" s="380">
        <v>21</v>
      </c>
      <c r="O2598" s="380" t="s">
        <v>443</v>
      </c>
      <c r="P2598" s="380" t="s">
        <v>443</v>
      </c>
      <c r="Q2598" s="381">
        <v>1.8857142857142857</v>
      </c>
      <c r="R2598" s="381">
        <v>1.8761904761904762</v>
      </c>
      <c r="S2598" s="381">
        <v>-1.8714285714285716E-4</v>
      </c>
      <c r="T2598" s="381">
        <v>0</v>
      </c>
      <c r="U2598" s="381">
        <v>0</v>
      </c>
      <c r="V2598" s="382">
        <v>1.8761904761904762</v>
      </c>
      <c r="W2598" s="382">
        <v>0</v>
      </c>
      <c r="X2598" s="381">
        <v>1.8857142857142857</v>
      </c>
      <c r="Y2598" s="381">
        <v>1.8761904761904762</v>
      </c>
      <c r="Z2598" s="381">
        <v>-1.8714285714285716E-4</v>
      </c>
      <c r="AA2598" s="381">
        <v>0</v>
      </c>
      <c r="AB2598" s="381">
        <v>0</v>
      </c>
      <c r="AC2598" s="382">
        <v>1.8761904761904762</v>
      </c>
      <c r="AD2598" s="382">
        <v>0</v>
      </c>
      <c r="AE2598" s="381" t="s">
        <v>168</v>
      </c>
    </row>
    <row r="2599" spans="1:31" ht="15" customHeight="1" x14ac:dyDescent="0.25">
      <c r="A2599" s="20" t="s">
        <v>3628</v>
      </c>
      <c r="B2599" s="20" t="s">
        <v>3637</v>
      </c>
      <c r="C2599" s="20" t="s">
        <v>3630</v>
      </c>
      <c r="D2599" s="378" t="s">
        <v>3714</v>
      </c>
      <c r="E2599" s="384">
        <v>45233</v>
      </c>
      <c r="F2599" s="384">
        <v>47057</v>
      </c>
      <c r="G2599" s="378" t="s">
        <v>2856</v>
      </c>
      <c r="H2599" s="20" t="s">
        <v>3709</v>
      </c>
      <c r="I2599" s="378">
        <v>0</v>
      </c>
      <c r="J2599" s="20" t="s">
        <v>2831</v>
      </c>
      <c r="K2599" s="378" t="s">
        <v>3710</v>
      </c>
      <c r="L2599" s="378" t="s">
        <v>2774</v>
      </c>
      <c r="M2599" s="380" t="s">
        <v>443</v>
      </c>
      <c r="N2599" s="380">
        <v>21</v>
      </c>
      <c r="O2599" s="380" t="s">
        <v>443</v>
      </c>
      <c r="P2599" s="380" t="s">
        <v>443</v>
      </c>
      <c r="Q2599" s="381">
        <v>1.8857142857142857</v>
      </c>
      <c r="R2599" s="381">
        <v>1.8761904761904762</v>
      </c>
      <c r="S2599" s="381">
        <v>-1.8714285714285716E-4</v>
      </c>
      <c r="T2599" s="381">
        <v>0</v>
      </c>
      <c r="U2599" s="381">
        <v>0</v>
      </c>
      <c r="V2599" s="382">
        <v>1.8761904761904762</v>
      </c>
      <c r="W2599" s="382">
        <v>0</v>
      </c>
      <c r="X2599" s="381">
        <v>1.8857142857142857</v>
      </c>
      <c r="Y2599" s="381">
        <v>1.8761904761904762</v>
      </c>
      <c r="Z2599" s="381">
        <v>-1.8714285714285716E-4</v>
      </c>
      <c r="AA2599" s="381">
        <v>0</v>
      </c>
      <c r="AB2599" s="381">
        <v>0</v>
      </c>
      <c r="AC2599" s="382">
        <v>1.8761904761904762</v>
      </c>
      <c r="AD2599" s="382">
        <v>0</v>
      </c>
      <c r="AE2599" s="381" t="s">
        <v>168</v>
      </c>
    </row>
    <row r="2600" spans="1:31" ht="15" customHeight="1" x14ac:dyDescent="0.25">
      <c r="A2600" s="20" t="s">
        <v>3628</v>
      </c>
      <c r="B2600" s="20" t="s">
        <v>3637</v>
      </c>
      <c r="C2600" s="20" t="s">
        <v>3630</v>
      </c>
      <c r="D2600" s="378" t="s">
        <v>3715</v>
      </c>
      <c r="E2600" s="384">
        <v>45233</v>
      </c>
      <c r="F2600" s="384">
        <v>47057</v>
      </c>
      <c r="G2600" s="378" t="s">
        <v>2856</v>
      </c>
      <c r="H2600" s="20" t="s">
        <v>3709</v>
      </c>
      <c r="I2600" s="378">
        <v>0</v>
      </c>
      <c r="J2600" s="20" t="s">
        <v>2831</v>
      </c>
      <c r="K2600" s="378" t="s">
        <v>3710</v>
      </c>
      <c r="L2600" s="378" t="s">
        <v>2774</v>
      </c>
      <c r="M2600" s="380" t="s">
        <v>443</v>
      </c>
      <c r="N2600" s="380">
        <v>21</v>
      </c>
      <c r="O2600" s="380" t="s">
        <v>443</v>
      </c>
      <c r="P2600" s="380" t="s">
        <v>443</v>
      </c>
      <c r="Q2600" s="381">
        <v>1.8857142857142857</v>
      </c>
      <c r="R2600" s="381">
        <v>1.8761904761904762</v>
      </c>
      <c r="S2600" s="381">
        <v>-1.8714285714285716E-4</v>
      </c>
      <c r="T2600" s="381">
        <v>0</v>
      </c>
      <c r="U2600" s="381">
        <v>0</v>
      </c>
      <c r="V2600" s="382">
        <v>1.8761904761904762</v>
      </c>
      <c r="W2600" s="382">
        <v>0</v>
      </c>
      <c r="X2600" s="381">
        <v>1.8857142857142857</v>
      </c>
      <c r="Y2600" s="381">
        <v>1.8761904761904762</v>
      </c>
      <c r="Z2600" s="381">
        <v>-1.8714285714285716E-4</v>
      </c>
      <c r="AA2600" s="381">
        <v>0</v>
      </c>
      <c r="AB2600" s="381">
        <v>0</v>
      </c>
      <c r="AC2600" s="382">
        <v>1.8761904761904762</v>
      </c>
      <c r="AD2600" s="382">
        <v>0</v>
      </c>
      <c r="AE2600" s="381" t="s">
        <v>168</v>
      </c>
    </row>
    <row r="2601" spans="1:31" ht="15" customHeight="1" x14ac:dyDescent="0.25">
      <c r="A2601" s="20" t="s">
        <v>3628</v>
      </c>
      <c r="B2601" s="20" t="s">
        <v>3637</v>
      </c>
      <c r="C2601" s="20" t="s">
        <v>3630</v>
      </c>
      <c r="D2601" s="378" t="s">
        <v>3716</v>
      </c>
      <c r="E2601" s="384">
        <v>45233</v>
      </c>
      <c r="F2601" s="384">
        <v>47057</v>
      </c>
      <c r="G2601" s="378" t="s">
        <v>2856</v>
      </c>
      <c r="H2601" s="20" t="s">
        <v>3709</v>
      </c>
      <c r="I2601" s="378">
        <v>0</v>
      </c>
      <c r="J2601" s="20" t="s">
        <v>2831</v>
      </c>
      <c r="K2601" s="378" t="s">
        <v>3710</v>
      </c>
      <c r="L2601" s="378" t="s">
        <v>2774</v>
      </c>
      <c r="M2601" s="380" t="s">
        <v>443</v>
      </c>
      <c r="N2601" s="380">
        <v>21</v>
      </c>
      <c r="O2601" s="380" t="s">
        <v>443</v>
      </c>
      <c r="P2601" s="380" t="s">
        <v>443</v>
      </c>
      <c r="Q2601" s="381">
        <v>1.8857142857142857</v>
      </c>
      <c r="R2601" s="381">
        <v>1.8761904761904762</v>
      </c>
      <c r="S2601" s="381">
        <v>-1.8714285714285716E-4</v>
      </c>
      <c r="T2601" s="381">
        <v>0</v>
      </c>
      <c r="U2601" s="381">
        <v>0</v>
      </c>
      <c r="V2601" s="382">
        <v>1.8761904761904762</v>
      </c>
      <c r="W2601" s="382">
        <v>0</v>
      </c>
      <c r="X2601" s="381">
        <v>1.8857142857142857</v>
      </c>
      <c r="Y2601" s="381">
        <v>1.8761904761904762</v>
      </c>
      <c r="Z2601" s="381">
        <v>-1.8714285714285716E-4</v>
      </c>
      <c r="AA2601" s="381">
        <v>0</v>
      </c>
      <c r="AB2601" s="381">
        <v>0</v>
      </c>
      <c r="AC2601" s="382">
        <v>1.8761904761904762</v>
      </c>
      <c r="AD2601" s="382">
        <v>0</v>
      </c>
      <c r="AE2601" s="381" t="s">
        <v>168</v>
      </c>
    </row>
    <row r="2602" spans="1:31" ht="15" customHeight="1" x14ac:dyDescent="0.25">
      <c r="A2602" s="20" t="s">
        <v>3628</v>
      </c>
      <c r="B2602" s="20" t="s">
        <v>3637</v>
      </c>
      <c r="C2602" s="20" t="s">
        <v>3630</v>
      </c>
      <c r="D2602" s="378" t="s">
        <v>3717</v>
      </c>
      <c r="E2602" s="384">
        <v>45233</v>
      </c>
      <c r="F2602" s="384">
        <v>47057</v>
      </c>
      <c r="G2602" s="378" t="s">
        <v>2856</v>
      </c>
      <c r="H2602" s="20" t="s">
        <v>3709</v>
      </c>
      <c r="I2602" s="378">
        <v>0</v>
      </c>
      <c r="J2602" s="20" t="s">
        <v>2831</v>
      </c>
      <c r="K2602" s="378" t="s">
        <v>3710</v>
      </c>
      <c r="L2602" s="378" t="s">
        <v>2774</v>
      </c>
      <c r="M2602" s="380" t="s">
        <v>443</v>
      </c>
      <c r="N2602" s="380">
        <v>21</v>
      </c>
      <c r="O2602" s="380" t="s">
        <v>443</v>
      </c>
      <c r="P2602" s="380" t="s">
        <v>443</v>
      </c>
      <c r="Q2602" s="381">
        <v>1.8857142857142857</v>
      </c>
      <c r="R2602" s="381">
        <v>1.8761904761904762</v>
      </c>
      <c r="S2602" s="381">
        <v>-1.8714285714285716E-4</v>
      </c>
      <c r="T2602" s="381">
        <v>0</v>
      </c>
      <c r="U2602" s="381">
        <v>0</v>
      </c>
      <c r="V2602" s="382">
        <v>1.8761904761904762</v>
      </c>
      <c r="W2602" s="382">
        <v>0</v>
      </c>
      <c r="X2602" s="381">
        <v>1.8857142857142857</v>
      </c>
      <c r="Y2602" s="381">
        <v>1.8761904761904762</v>
      </c>
      <c r="Z2602" s="381">
        <v>-1.8714285714285716E-4</v>
      </c>
      <c r="AA2602" s="381">
        <v>0</v>
      </c>
      <c r="AB2602" s="381">
        <v>0</v>
      </c>
      <c r="AC2602" s="382">
        <v>1.8761904761904762</v>
      </c>
      <c r="AD2602" s="382">
        <v>0</v>
      </c>
      <c r="AE2602" s="381" t="s">
        <v>168</v>
      </c>
    </row>
    <row r="2603" spans="1:31" ht="15" customHeight="1" x14ac:dyDescent="0.25">
      <c r="A2603" s="20" t="s">
        <v>3628</v>
      </c>
      <c r="B2603" s="20" t="s">
        <v>3637</v>
      </c>
      <c r="C2603" s="20" t="s">
        <v>3630</v>
      </c>
      <c r="D2603" s="378" t="s">
        <v>3718</v>
      </c>
      <c r="E2603" s="384">
        <v>45233</v>
      </c>
      <c r="F2603" s="384">
        <v>47057</v>
      </c>
      <c r="G2603" s="378" t="s">
        <v>2856</v>
      </c>
      <c r="H2603" s="20" t="s">
        <v>3709</v>
      </c>
      <c r="I2603" s="378">
        <v>0</v>
      </c>
      <c r="J2603" s="20" t="s">
        <v>2831</v>
      </c>
      <c r="K2603" s="378" t="s">
        <v>3710</v>
      </c>
      <c r="L2603" s="378" t="s">
        <v>2774</v>
      </c>
      <c r="M2603" s="380" t="s">
        <v>443</v>
      </c>
      <c r="N2603" s="380">
        <v>21</v>
      </c>
      <c r="O2603" s="380" t="s">
        <v>443</v>
      </c>
      <c r="P2603" s="380" t="s">
        <v>443</v>
      </c>
      <c r="Q2603" s="381">
        <v>1.8857142857142857</v>
      </c>
      <c r="R2603" s="381">
        <v>1.8761904761904762</v>
      </c>
      <c r="S2603" s="381">
        <v>-1.8714285714285716E-4</v>
      </c>
      <c r="T2603" s="381">
        <v>0</v>
      </c>
      <c r="U2603" s="381">
        <v>0</v>
      </c>
      <c r="V2603" s="382">
        <v>1.8761904761904762</v>
      </c>
      <c r="W2603" s="382">
        <v>0</v>
      </c>
      <c r="X2603" s="381">
        <v>1.8857142857142857</v>
      </c>
      <c r="Y2603" s="381">
        <v>1.8761904761904762</v>
      </c>
      <c r="Z2603" s="381">
        <v>-1.8714285714285716E-4</v>
      </c>
      <c r="AA2603" s="381">
        <v>0</v>
      </c>
      <c r="AB2603" s="381">
        <v>0</v>
      </c>
      <c r="AC2603" s="382">
        <v>1.8761904761904762</v>
      </c>
      <c r="AD2603" s="382">
        <v>0</v>
      </c>
      <c r="AE2603" s="381" t="s">
        <v>168</v>
      </c>
    </row>
    <row r="2604" spans="1:31" ht="15" customHeight="1" x14ac:dyDescent="0.25">
      <c r="A2604" s="20" t="s">
        <v>3628</v>
      </c>
      <c r="B2604" s="20" t="s">
        <v>3637</v>
      </c>
      <c r="C2604" s="20" t="s">
        <v>3630</v>
      </c>
      <c r="D2604" s="378" t="s">
        <v>3719</v>
      </c>
      <c r="E2604" s="384">
        <v>45233</v>
      </c>
      <c r="F2604" s="384">
        <v>47057</v>
      </c>
      <c r="G2604" s="378" t="s">
        <v>2856</v>
      </c>
      <c r="H2604" s="20" t="s">
        <v>3709</v>
      </c>
      <c r="I2604" s="378">
        <v>0</v>
      </c>
      <c r="J2604" s="20" t="s">
        <v>2831</v>
      </c>
      <c r="K2604" s="378" t="s">
        <v>3710</v>
      </c>
      <c r="L2604" s="378" t="s">
        <v>2774</v>
      </c>
      <c r="M2604" s="380" t="s">
        <v>443</v>
      </c>
      <c r="N2604" s="380">
        <v>21</v>
      </c>
      <c r="O2604" s="380" t="s">
        <v>443</v>
      </c>
      <c r="P2604" s="380" t="s">
        <v>443</v>
      </c>
      <c r="Q2604" s="381">
        <v>1.8857142857142857</v>
      </c>
      <c r="R2604" s="381">
        <v>1.8761904761904762</v>
      </c>
      <c r="S2604" s="381">
        <v>-1.8714285714285716E-4</v>
      </c>
      <c r="T2604" s="381">
        <v>0</v>
      </c>
      <c r="U2604" s="381">
        <v>0</v>
      </c>
      <c r="V2604" s="382">
        <v>1.8761904761904762</v>
      </c>
      <c r="W2604" s="382">
        <v>0</v>
      </c>
      <c r="X2604" s="381">
        <v>1.8857142857142857</v>
      </c>
      <c r="Y2604" s="381">
        <v>1.8761904761904762</v>
      </c>
      <c r="Z2604" s="381">
        <v>-1.8714285714285716E-4</v>
      </c>
      <c r="AA2604" s="381">
        <v>0</v>
      </c>
      <c r="AB2604" s="381">
        <v>0</v>
      </c>
      <c r="AC2604" s="382">
        <v>1.8761904761904762</v>
      </c>
      <c r="AD2604" s="382">
        <v>0</v>
      </c>
      <c r="AE2604" s="381" t="s">
        <v>168</v>
      </c>
    </row>
    <row r="2605" spans="1:31" ht="15" customHeight="1" x14ac:dyDescent="0.25">
      <c r="A2605" s="20" t="s">
        <v>3628</v>
      </c>
      <c r="B2605" s="20" t="s">
        <v>3693</v>
      </c>
      <c r="C2605" s="20" t="s">
        <v>3630</v>
      </c>
      <c r="D2605" s="378" t="s">
        <v>3720</v>
      </c>
      <c r="E2605" s="384">
        <v>45125</v>
      </c>
      <c r="F2605" s="384">
        <v>46951</v>
      </c>
      <c r="G2605" s="378" t="s">
        <v>2864</v>
      </c>
      <c r="H2605" s="20" t="s">
        <v>3721</v>
      </c>
      <c r="I2605" s="378">
        <v>0</v>
      </c>
      <c r="J2605" s="20" t="s">
        <v>2831</v>
      </c>
      <c r="K2605" s="378" t="s">
        <v>3722</v>
      </c>
      <c r="L2605" s="378" t="s">
        <v>2774</v>
      </c>
      <c r="M2605" s="380" t="s">
        <v>443</v>
      </c>
      <c r="N2605" s="380">
        <v>15</v>
      </c>
      <c r="O2605" s="380" t="s">
        <v>443</v>
      </c>
      <c r="P2605" s="380" t="s">
        <v>443</v>
      </c>
      <c r="Q2605" s="381">
        <v>1.5133333333333332</v>
      </c>
      <c r="R2605" s="381">
        <v>1.5</v>
      </c>
      <c r="S2605" s="381">
        <v>4.7866666666666665E-3</v>
      </c>
      <c r="T2605" s="381">
        <v>0</v>
      </c>
      <c r="U2605" s="381">
        <v>0</v>
      </c>
      <c r="V2605" s="382">
        <v>1.5047866666666667</v>
      </c>
      <c r="W2605" s="382">
        <v>0</v>
      </c>
      <c r="X2605" s="381">
        <v>1.5133333333333332</v>
      </c>
      <c r="Y2605" s="381">
        <v>1.5</v>
      </c>
      <c r="Z2605" s="381">
        <v>4.7866666666666665E-3</v>
      </c>
      <c r="AA2605" s="381">
        <v>0</v>
      </c>
      <c r="AB2605" s="381">
        <v>0</v>
      </c>
      <c r="AC2605" s="382">
        <v>1.5047866666666667</v>
      </c>
      <c r="AD2605" s="382">
        <v>0</v>
      </c>
      <c r="AE2605" s="381" t="s">
        <v>168</v>
      </c>
    </row>
    <row r="2606" spans="1:31" ht="15" customHeight="1" x14ac:dyDescent="0.25">
      <c r="A2606" s="20" t="s">
        <v>3628</v>
      </c>
      <c r="B2606" s="20" t="s">
        <v>3693</v>
      </c>
      <c r="C2606" s="20" t="s">
        <v>3630</v>
      </c>
      <c r="D2606" s="378" t="s">
        <v>3723</v>
      </c>
      <c r="E2606" s="384">
        <v>45125</v>
      </c>
      <c r="F2606" s="384">
        <v>46951</v>
      </c>
      <c r="G2606" s="378" t="s">
        <v>2864</v>
      </c>
      <c r="H2606" s="20" t="s">
        <v>3724</v>
      </c>
      <c r="I2606" s="378">
        <v>0</v>
      </c>
      <c r="J2606" s="20" t="s">
        <v>2831</v>
      </c>
      <c r="K2606" s="378" t="s">
        <v>3725</v>
      </c>
      <c r="L2606" s="378" t="s">
        <v>2774</v>
      </c>
      <c r="M2606" s="380" t="s">
        <v>443</v>
      </c>
      <c r="N2606" s="380">
        <v>20</v>
      </c>
      <c r="O2606" s="380" t="s">
        <v>443</v>
      </c>
      <c r="P2606" s="380" t="s">
        <v>443</v>
      </c>
      <c r="Q2606" s="381">
        <v>1.48</v>
      </c>
      <c r="R2606" s="381">
        <v>1.4650000000000001</v>
      </c>
      <c r="S2606" s="381">
        <v>5.0999999999999995E-3</v>
      </c>
      <c r="T2606" s="381">
        <v>0</v>
      </c>
      <c r="U2606" s="381">
        <v>0</v>
      </c>
      <c r="V2606" s="382">
        <v>1.4701000000000002</v>
      </c>
      <c r="W2606" s="382">
        <v>0</v>
      </c>
      <c r="X2606" s="381">
        <v>1.48</v>
      </c>
      <c r="Y2606" s="381">
        <v>1.4650000000000001</v>
      </c>
      <c r="Z2606" s="381">
        <v>5.0999999999999995E-3</v>
      </c>
      <c r="AA2606" s="381">
        <v>0</v>
      </c>
      <c r="AB2606" s="381">
        <v>0</v>
      </c>
      <c r="AC2606" s="382">
        <v>1.4701000000000002</v>
      </c>
      <c r="AD2606" s="382">
        <v>0</v>
      </c>
      <c r="AE2606" s="381" t="s">
        <v>168</v>
      </c>
    </row>
    <row r="2607" spans="1:31" ht="15" customHeight="1" x14ac:dyDescent="0.25">
      <c r="A2607" s="20" t="s">
        <v>3490</v>
      </c>
      <c r="B2607" s="20" t="s">
        <v>3726</v>
      </c>
      <c r="C2607" s="20" t="s">
        <v>3727</v>
      </c>
      <c r="D2607" s="378" t="s">
        <v>3728</v>
      </c>
      <c r="E2607" s="384">
        <v>43077</v>
      </c>
      <c r="F2607" s="384" t="s">
        <v>3497</v>
      </c>
      <c r="G2607" s="378" t="s">
        <v>439</v>
      </c>
      <c r="H2607" s="20" t="s">
        <v>3729</v>
      </c>
      <c r="I2607" s="378" t="s">
        <v>162</v>
      </c>
      <c r="J2607" s="20" t="s">
        <v>163</v>
      </c>
      <c r="K2607" s="378" t="s">
        <v>3730</v>
      </c>
      <c r="L2607" s="378" t="s">
        <v>165</v>
      </c>
      <c r="M2607" s="380">
        <v>674</v>
      </c>
      <c r="N2607" s="380" t="s">
        <v>443</v>
      </c>
      <c r="O2607" s="380" t="s">
        <v>443</v>
      </c>
      <c r="P2607" s="380" t="s">
        <v>443</v>
      </c>
      <c r="Q2607" s="381">
        <v>-460.7</v>
      </c>
      <c r="R2607" s="381">
        <v>474.3</v>
      </c>
      <c r="S2607" s="381">
        <v>-935</v>
      </c>
      <c r="T2607" s="381">
        <v>0</v>
      </c>
      <c r="U2607" s="381">
        <v>1087.3866666666665</v>
      </c>
      <c r="V2607" s="382">
        <v>626.6866666666665</v>
      </c>
      <c r="W2607" s="382">
        <v>1087.3866666666665</v>
      </c>
      <c r="X2607" s="381">
        <v>-0.68353115727002967</v>
      </c>
      <c r="Y2607" s="381">
        <v>0.70370919881305638</v>
      </c>
      <c r="Z2607" s="381">
        <v>-1.3872403560830862</v>
      </c>
      <c r="AA2607" s="381">
        <v>0</v>
      </c>
      <c r="AB2607" s="381">
        <v>1.6133333333333331</v>
      </c>
      <c r="AC2607" s="382">
        <v>0.92980217606330329</v>
      </c>
      <c r="AD2607" s="382">
        <v>1.6133333333333331</v>
      </c>
      <c r="AE2607" s="381" t="s">
        <v>168</v>
      </c>
    </row>
    <row r="2608" spans="1:31" ht="15" customHeight="1" x14ac:dyDescent="0.25">
      <c r="A2608" s="20" t="s">
        <v>3490</v>
      </c>
      <c r="B2608" s="20" t="s">
        <v>3726</v>
      </c>
      <c r="C2608" s="20" t="s">
        <v>3727</v>
      </c>
      <c r="D2608" s="378" t="s">
        <v>3731</v>
      </c>
      <c r="E2608" s="384">
        <v>43077</v>
      </c>
      <c r="F2608" s="384">
        <v>44903</v>
      </c>
      <c r="G2608" s="378" t="s">
        <v>439</v>
      </c>
      <c r="H2608" s="378" t="s">
        <v>3729</v>
      </c>
      <c r="I2608" s="378" t="s">
        <v>162</v>
      </c>
      <c r="J2608" s="20" t="s">
        <v>163</v>
      </c>
      <c r="K2608" s="378" t="s">
        <v>3730</v>
      </c>
      <c r="L2608" s="20" t="s">
        <v>165</v>
      </c>
      <c r="M2608" s="381">
        <v>674</v>
      </c>
      <c r="N2608" s="381"/>
      <c r="O2608" s="380"/>
      <c r="P2608" s="380"/>
      <c r="Q2608" s="381">
        <v>-322.62600000000009</v>
      </c>
      <c r="R2608" s="381">
        <v>612.37399999999991</v>
      </c>
      <c r="S2608" s="381">
        <v>-935</v>
      </c>
      <c r="T2608" s="381">
        <v>0</v>
      </c>
      <c r="U2608" s="381">
        <v>1087.3866666666665</v>
      </c>
      <c r="V2608" s="382">
        <v>764.76066666666645</v>
      </c>
      <c r="W2608" s="382">
        <v>1087.3866666666665</v>
      </c>
      <c r="X2608" s="381">
        <v>-0.47867359050445119</v>
      </c>
      <c r="Y2608" s="381">
        <v>0.90856676557863492</v>
      </c>
      <c r="Z2608" s="381">
        <v>-1.3872403560830862</v>
      </c>
      <c r="AA2608" s="381">
        <v>0</v>
      </c>
      <c r="AB2608" s="381">
        <v>1.6133333333333331</v>
      </c>
      <c r="AC2608" s="382">
        <v>1.1346597428288818</v>
      </c>
      <c r="AD2608" s="382">
        <v>1.6133333333333331</v>
      </c>
      <c r="AE2608" s="381" t="s">
        <v>168</v>
      </c>
    </row>
    <row r="2609" spans="1:31" ht="15" customHeight="1" x14ac:dyDescent="0.25">
      <c r="A2609" s="20" t="s">
        <v>3490</v>
      </c>
      <c r="B2609" s="20" t="s">
        <v>3726</v>
      </c>
      <c r="C2609" s="20" t="s">
        <v>3727</v>
      </c>
      <c r="D2609" s="378" t="s">
        <v>3732</v>
      </c>
      <c r="E2609" s="384">
        <v>43077</v>
      </c>
      <c r="F2609" s="384">
        <v>44903</v>
      </c>
      <c r="G2609" s="378" t="s">
        <v>439</v>
      </c>
      <c r="H2609" s="20" t="s">
        <v>3729</v>
      </c>
      <c r="I2609" s="20" t="s">
        <v>162</v>
      </c>
      <c r="J2609" s="20" t="s">
        <v>163</v>
      </c>
      <c r="K2609" s="378" t="s">
        <v>3730</v>
      </c>
      <c r="L2609" s="20" t="s">
        <v>165</v>
      </c>
      <c r="M2609" s="381">
        <v>674</v>
      </c>
      <c r="N2609" s="381"/>
      <c r="O2609" s="380"/>
      <c r="P2609" s="380"/>
      <c r="Q2609" s="381">
        <v>-408</v>
      </c>
      <c r="R2609" s="381">
        <v>527</v>
      </c>
      <c r="S2609" s="381">
        <v>-935</v>
      </c>
      <c r="T2609" s="381">
        <v>0</v>
      </c>
      <c r="U2609" s="381">
        <v>1087.3866666666665</v>
      </c>
      <c r="V2609" s="382">
        <v>679.38666666666654</v>
      </c>
      <c r="W2609" s="382">
        <v>1087.3866666666665</v>
      </c>
      <c r="X2609" s="381">
        <v>-0.60534124629080122</v>
      </c>
      <c r="Y2609" s="381">
        <v>0.78189910979228483</v>
      </c>
      <c r="Z2609" s="381">
        <v>-1.3872403560830862</v>
      </c>
      <c r="AA2609" s="381">
        <v>0</v>
      </c>
      <c r="AB2609" s="381">
        <v>1.6133333333333331</v>
      </c>
      <c r="AC2609" s="382">
        <v>1.0079920870425316</v>
      </c>
      <c r="AD2609" s="382">
        <v>1.6133333333333331</v>
      </c>
      <c r="AE2609" s="381" t="s">
        <v>168</v>
      </c>
    </row>
    <row r="2610" spans="1:31" ht="15" customHeight="1" x14ac:dyDescent="0.25">
      <c r="A2610" s="20" t="s">
        <v>3490</v>
      </c>
      <c r="B2610" s="20" t="s">
        <v>3733</v>
      </c>
      <c r="C2610" s="20" t="s">
        <v>3734</v>
      </c>
      <c r="D2610" s="378" t="s">
        <v>3735</v>
      </c>
      <c r="E2610" s="384">
        <v>44237</v>
      </c>
      <c r="F2610" s="384">
        <v>46064</v>
      </c>
      <c r="G2610" s="378" t="s">
        <v>3736</v>
      </c>
      <c r="H2610" s="20" t="s">
        <v>3737</v>
      </c>
      <c r="I2610" s="378">
        <v>0</v>
      </c>
      <c r="J2610" s="20" t="s">
        <v>2831</v>
      </c>
      <c r="K2610" s="378" t="s">
        <v>3738</v>
      </c>
      <c r="L2610" s="378" t="s">
        <v>165</v>
      </c>
      <c r="M2610" s="380">
        <v>470</v>
      </c>
      <c r="N2610" s="380" t="s">
        <v>443</v>
      </c>
      <c r="O2610" s="380" t="s">
        <v>443</v>
      </c>
      <c r="P2610" s="380" t="s">
        <v>443</v>
      </c>
      <c r="Q2610" s="381">
        <v>-707</v>
      </c>
      <c r="R2610" s="381">
        <v>53.8</v>
      </c>
      <c r="S2610" s="381">
        <v>-779</v>
      </c>
      <c r="T2610" s="381">
        <v>0</v>
      </c>
      <c r="U2610" s="381">
        <v>761.93333333333339</v>
      </c>
      <c r="V2610" s="382">
        <v>53.799999999999955</v>
      </c>
      <c r="W2610" s="382">
        <v>761.93333333333339</v>
      </c>
      <c r="X2610" s="381">
        <v>-1.5042553191489361</v>
      </c>
      <c r="Y2610" s="381">
        <v>0.11446808510638297</v>
      </c>
      <c r="Z2610" s="381">
        <v>-1.6574468085106382</v>
      </c>
      <c r="AA2610" s="381">
        <v>0</v>
      </c>
      <c r="AB2610" s="381">
        <v>1.6211347517730497</v>
      </c>
      <c r="AC2610" s="382">
        <v>0.11446808510638307</v>
      </c>
      <c r="AD2610" s="382">
        <v>1.6211347517730497</v>
      </c>
      <c r="AE2610" s="381" t="s">
        <v>168</v>
      </c>
    </row>
    <row r="2611" spans="1:31" ht="15" customHeight="1" x14ac:dyDescent="0.25">
      <c r="A2611" s="20" t="s">
        <v>3490</v>
      </c>
      <c r="B2611" s="20" t="s">
        <v>3733</v>
      </c>
      <c r="C2611" s="20" t="s">
        <v>3734</v>
      </c>
      <c r="D2611" s="378" t="s">
        <v>3739</v>
      </c>
      <c r="E2611" s="384">
        <v>43077</v>
      </c>
      <c r="F2611" s="384">
        <v>44903</v>
      </c>
      <c r="G2611" s="378" t="s">
        <v>439</v>
      </c>
      <c r="H2611" s="378" t="s">
        <v>3729</v>
      </c>
      <c r="I2611" s="378" t="s">
        <v>162</v>
      </c>
      <c r="J2611" s="20" t="s">
        <v>163</v>
      </c>
      <c r="K2611" s="378" t="s">
        <v>3730</v>
      </c>
      <c r="L2611" s="20" t="s">
        <v>165</v>
      </c>
      <c r="M2611" s="381">
        <v>621</v>
      </c>
      <c r="N2611" s="381"/>
      <c r="O2611" s="380"/>
      <c r="P2611" s="380"/>
      <c r="Q2611" s="381">
        <v>-576.28</v>
      </c>
      <c r="R2611" s="381">
        <v>415.72</v>
      </c>
      <c r="S2611" s="381">
        <v>-992</v>
      </c>
      <c r="T2611" s="381">
        <v>0</v>
      </c>
      <c r="U2611" s="381">
        <v>1001.8800000000001</v>
      </c>
      <c r="V2611" s="382">
        <v>425.60000000000014</v>
      </c>
      <c r="W2611" s="382">
        <v>1001.8800000000001</v>
      </c>
      <c r="X2611" s="381">
        <v>-0.92798711755233487</v>
      </c>
      <c r="Y2611" s="381">
        <v>0.66943639291465384</v>
      </c>
      <c r="Z2611" s="381">
        <v>-1.5974235104669887</v>
      </c>
      <c r="AA2611" s="381">
        <v>0</v>
      </c>
      <c r="AB2611" s="381">
        <v>1.6133333333333335</v>
      </c>
      <c r="AC2611" s="382">
        <v>0.68534621578099864</v>
      </c>
      <c r="AD2611" s="382">
        <v>1.6133333333333335</v>
      </c>
      <c r="AE2611" s="381" t="s">
        <v>168</v>
      </c>
    </row>
    <row r="2612" spans="1:31" ht="15" customHeight="1" x14ac:dyDescent="0.25">
      <c r="A2612" s="20" t="s">
        <v>3490</v>
      </c>
      <c r="B2612" s="20" t="s">
        <v>3733</v>
      </c>
      <c r="C2612" s="20" t="s">
        <v>3734</v>
      </c>
      <c r="D2612" s="378" t="s">
        <v>3740</v>
      </c>
      <c r="E2612" s="384">
        <v>45084</v>
      </c>
      <c r="F2612" s="384">
        <v>46054</v>
      </c>
      <c r="G2612" s="378" t="s">
        <v>439</v>
      </c>
      <c r="H2612" s="20" t="s">
        <v>3741</v>
      </c>
      <c r="I2612" s="20" t="s">
        <v>3742</v>
      </c>
      <c r="J2612" s="20" t="s">
        <v>163</v>
      </c>
      <c r="K2612" s="378" t="s">
        <v>3743</v>
      </c>
      <c r="L2612" s="20" t="s">
        <v>165</v>
      </c>
      <c r="M2612" s="381">
        <v>480</v>
      </c>
      <c r="N2612" s="381"/>
      <c r="O2612" s="380"/>
      <c r="P2612" s="380"/>
      <c r="Q2612" s="381">
        <v>-492</v>
      </c>
      <c r="R2612" s="381">
        <v>248</v>
      </c>
      <c r="S2612" s="381">
        <v>-740</v>
      </c>
      <c r="T2612" s="381">
        <v>0</v>
      </c>
      <c r="U2612" s="381">
        <v>765.6</v>
      </c>
      <c r="V2612" s="382">
        <v>273.60000000000002</v>
      </c>
      <c r="W2612" s="382">
        <v>765.6</v>
      </c>
      <c r="X2612" s="381">
        <v>-1.0249999999999999</v>
      </c>
      <c r="Y2612" s="381">
        <v>0.51666666666666672</v>
      </c>
      <c r="Z2612" s="381">
        <v>-1.5416666666666667</v>
      </c>
      <c r="AA2612" s="381">
        <v>0</v>
      </c>
      <c r="AB2612" s="381">
        <v>1.595</v>
      </c>
      <c r="AC2612" s="382">
        <v>0.57000000000000006</v>
      </c>
      <c r="AD2612" s="382">
        <v>1.595</v>
      </c>
      <c r="AE2612" s="381" t="s">
        <v>168</v>
      </c>
    </row>
    <row r="2613" spans="1:31" ht="15" customHeight="1" x14ac:dyDescent="0.25">
      <c r="A2613" s="20" t="s">
        <v>3490</v>
      </c>
      <c r="B2613" s="20" t="s">
        <v>3733</v>
      </c>
      <c r="C2613" s="20" t="s">
        <v>3734</v>
      </c>
      <c r="D2613" s="378" t="s">
        <v>3744</v>
      </c>
      <c r="E2613" s="384">
        <v>43077</v>
      </c>
      <c r="F2613" s="384">
        <v>44903</v>
      </c>
      <c r="G2613" s="378" t="s">
        <v>439</v>
      </c>
      <c r="H2613" s="20" t="s">
        <v>3729</v>
      </c>
      <c r="I2613" s="20" t="s">
        <v>162</v>
      </c>
      <c r="J2613" s="20" t="s">
        <v>163</v>
      </c>
      <c r="K2613" s="378" t="s">
        <v>3730</v>
      </c>
      <c r="L2613" s="20" t="s">
        <v>165</v>
      </c>
      <c r="M2613" s="381">
        <v>621</v>
      </c>
      <c r="N2613" s="381"/>
      <c r="O2613" s="380"/>
      <c r="P2613" s="380"/>
      <c r="Q2613" s="381">
        <v>-612</v>
      </c>
      <c r="R2613" s="381">
        <v>380</v>
      </c>
      <c r="S2613" s="381">
        <v>-992</v>
      </c>
      <c r="T2613" s="381">
        <v>0</v>
      </c>
      <c r="U2613" s="381">
        <v>1001.8800000000001</v>
      </c>
      <c r="V2613" s="382">
        <v>389.88000000000011</v>
      </c>
      <c r="W2613" s="382">
        <v>1001.8800000000001</v>
      </c>
      <c r="X2613" s="381">
        <v>-0.98550724637681164</v>
      </c>
      <c r="Y2613" s="381">
        <v>0.61191626409017719</v>
      </c>
      <c r="Z2613" s="381">
        <v>-1.5974235104669887</v>
      </c>
      <c r="AA2613" s="381">
        <v>0</v>
      </c>
      <c r="AB2613" s="381">
        <v>1.6133333333333335</v>
      </c>
      <c r="AC2613" s="382">
        <v>0.62782608695652198</v>
      </c>
      <c r="AD2613" s="382">
        <v>1.6133333333333335</v>
      </c>
      <c r="AE2613" s="381" t="s">
        <v>168</v>
      </c>
    </row>
    <row r="2614" spans="1:31" ht="15" customHeight="1" x14ac:dyDescent="0.25">
      <c r="A2614" s="20" t="s">
        <v>3490</v>
      </c>
      <c r="B2614" s="20" t="s">
        <v>3733</v>
      </c>
      <c r="C2614" s="20" t="s">
        <v>3734</v>
      </c>
      <c r="D2614" s="378" t="s">
        <v>3745</v>
      </c>
      <c r="E2614" s="384">
        <v>44475</v>
      </c>
      <c r="F2614" s="384">
        <v>46301</v>
      </c>
      <c r="G2614" s="378" t="s">
        <v>2856</v>
      </c>
      <c r="H2614" s="20" t="s">
        <v>3746</v>
      </c>
      <c r="I2614" s="378" t="s">
        <v>162</v>
      </c>
      <c r="J2614" s="20" t="s">
        <v>2831</v>
      </c>
      <c r="K2614" s="378" t="s">
        <v>3747</v>
      </c>
      <c r="L2614" s="378" t="s">
        <v>165</v>
      </c>
      <c r="M2614" s="380">
        <v>440</v>
      </c>
      <c r="N2614" s="380" t="s">
        <v>443</v>
      </c>
      <c r="O2614" s="380" t="s">
        <v>443</v>
      </c>
      <c r="P2614" s="380" t="s">
        <v>443</v>
      </c>
      <c r="Q2614" s="381">
        <v>-371</v>
      </c>
      <c r="R2614" s="381">
        <v>296</v>
      </c>
      <c r="S2614" s="381">
        <v>-667</v>
      </c>
      <c r="T2614" s="381">
        <v>0</v>
      </c>
      <c r="U2614" s="381">
        <v>709.86666666666667</v>
      </c>
      <c r="V2614" s="382">
        <v>338.86666666666667</v>
      </c>
      <c r="W2614" s="382">
        <v>709.86666666666667</v>
      </c>
      <c r="X2614" s="381">
        <v>-0.84318181818181814</v>
      </c>
      <c r="Y2614" s="381">
        <v>0.67272727272727273</v>
      </c>
      <c r="Z2614" s="381">
        <v>-1.5159090909090909</v>
      </c>
      <c r="AA2614" s="381">
        <v>0</v>
      </c>
      <c r="AB2614" s="381">
        <v>1.6133333333333333</v>
      </c>
      <c r="AC2614" s="382">
        <v>0.77015151515151514</v>
      </c>
      <c r="AD2614" s="382">
        <v>1.6133333333333333</v>
      </c>
      <c r="AE2614" s="381" t="s">
        <v>168</v>
      </c>
    </row>
    <row r="2615" spans="1:31" ht="15" customHeight="1" x14ac:dyDescent="0.25">
      <c r="A2615" s="20" t="s">
        <v>3490</v>
      </c>
      <c r="B2615" s="20" t="s">
        <v>3733</v>
      </c>
      <c r="C2615" s="20" t="s">
        <v>3734</v>
      </c>
      <c r="D2615" s="378" t="s">
        <v>3748</v>
      </c>
      <c r="E2615" s="384">
        <v>44475</v>
      </c>
      <c r="F2615" s="384">
        <v>46301</v>
      </c>
      <c r="G2615" s="378" t="s">
        <v>2856</v>
      </c>
      <c r="H2615" s="20" t="s">
        <v>3746</v>
      </c>
      <c r="I2615" s="378" t="s">
        <v>162</v>
      </c>
      <c r="J2615" s="20" t="s">
        <v>2831</v>
      </c>
      <c r="K2615" s="378" t="s">
        <v>3747</v>
      </c>
      <c r="L2615" s="378" t="s">
        <v>165</v>
      </c>
      <c r="M2615" s="380">
        <v>450</v>
      </c>
      <c r="N2615" s="380" t="s">
        <v>443</v>
      </c>
      <c r="O2615" s="380" t="s">
        <v>443</v>
      </c>
      <c r="P2615" s="380" t="s">
        <v>443</v>
      </c>
      <c r="Q2615" s="381">
        <v>-171</v>
      </c>
      <c r="R2615" s="381">
        <v>374</v>
      </c>
      <c r="S2615" s="381">
        <v>-545</v>
      </c>
      <c r="T2615" s="381">
        <v>0</v>
      </c>
      <c r="U2615" s="381">
        <v>709.5</v>
      </c>
      <c r="V2615" s="382">
        <v>538.5</v>
      </c>
      <c r="W2615" s="382">
        <v>709.5</v>
      </c>
      <c r="X2615" s="381">
        <v>-0.38</v>
      </c>
      <c r="Y2615" s="381">
        <v>0.83111111111111113</v>
      </c>
      <c r="Z2615" s="381">
        <v>-1.211111111111111</v>
      </c>
      <c r="AA2615" s="381">
        <v>0</v>
      </c>
      <c r="AB2615" s="381">
        <v>1.5766666666666667</v>
      </c>
      <c r="AC2615" s="382">
        <v>1.1966666666666668</v>
      </c>
      <c r="AD2615" s="382">
        <v>1.5766666666666667</v>
      </c>
      <c r="AE2615" s="381" t="s">
        <v>168</v>
      </c>
    </row>
    <row r="2616" spans="1:31" ht="15" customHeight="1" x14ac:dyDescent="0.25">
      <c r="A2616" s="20" t="s">
        <v>3490</v>
      </c>
      <c r="B2616" s="20" t="s">
        <v>3733</v>
      </c>
      <c r="C2616" s="20" t="s">
        <v>3734</v>
      </c>
      <c r="D2616" s="378" t="s">
        <v>3749</v>
      </c>
      <c r="E2616" s="384">
        <v>43077</v>
      </c>
      <c r="F2616" s="384" t="s">
        <v>3497</v>
      </c>
      <c r="G2616" s="378" t="s">
        <v>439</v>
      </c>
      <c r="H2616" s="20" t="s">
        <v>3750</v>
      </c>
      <c r="I2616" s="378" t="s">
        <v>353</v>
      </c>
      <c r="J2616" s="20" t="s">
        <v>163</v>
      </c>
      <c r="K2616" s="378" t="s">
        <v>3730</v>
      </c>
      <c r="L2616" s="378" t="s">
        <v>165</v>
      </c>
      <c r="M2616" s="380">
        <v>621</v>
      </c>
      <c r="N2616" s="380" t="s">
        <v>443</v>
      </c>
      <c r="O2616" s="380" t="s">
        <v>443</v>
      </c>
      <c r="P2616" s="380" t="s">
        <v>443</v>
      </c>
      <c r="Q2616" s="381">
        <v>-674.31999999999994</v>
      </c>
      <c r="R2616" s="381">
        <v>317.68</v>
      </c>
      <c r="S2616" s="381">
        <v>-992</v>
      </c>
      <c r="T2616" s="381">
        <v>0</v>
      </c>
      <c r="U2616" s="381">
        <v>1001.8800000000001</v>
      </c>
      <c r="V2616" s="382">
        <v>327.56000000000017</v>
      </c>
      <c r="W2616" s="382">
        <v>1001.8800000000001</v>
      </c>
      <c r="X2616" s="381">
        <v>-1.0858615136876006</v>
      </c>
      <c r="Y2616" s="381">
        <v>0.51156199677938807</v>
      </c>
      <c r="Z2616" s="381">
        <v>-1.5974235104669887</v>
      </c>
      <c r="AA2616" s="381">
        <v>0</v>
      </c>
      <c r="AB2616" s="381">
        <v>1.6133333333333335</v>
      </c>
      <c r="AC2616" s="382">
        <v>0.52747181964573286</v>
      </c>
      <c r="AD2616" s="382">
        <v>1.6133333333333335</v>
      </c>
      <c r="AE2616" s="381" t="s">
        <v>168</v>
      </c>
    </row>
    <row r="2617" spans="1:31" ht="15" customHeight="1" x14ac:dyDescent="0.25">
      <c r="A2617" s="20" t="s">
        <v>3490</v>
      </c>
      <c r="B2617" s="20" t="s">
        <v>3733</v>
      </c>
      <c r="C2617" s="20" t="s">
        <v>3734</v>
      </c>
      <c r="D2617" s="378" t="s">
        <v>3751</v>
      </c>
      <c r="E2617" s="384">
        <v>45106</v>
      </c>
      <c r="F2617" s="384">
        <v>46933</v>
      </c>
      <c r="G2617" s="378" t="s">
        <v>3736</v>
      </c>
      <c r="H2617" s="20" t="s">
        <v>3752</v>
      </c>
      <c r="I2617" s="378">
        <v>0</v>
      </c>
      <c r="J2617" s="20" t="s">
        <v>2831</v>
      </c>
      <c r="K2617" s="378" t="s">
        <v>3753</v>
      </c>
      <c r="L2617" s="378" t="s">
        <v>165</v>
      </c>
      <c r="M2617" s="380">
        <v>470</v>
      </c>
      <c r="N2617" s="380" t="s">
        <v>443</v>
      </c>
      <c r="O2617" s="380" t="s">
        <v>443</v>
      </c>
      <c r="P2617" s="380" t="s">
        <v>443</v>
      </c>
      <c r="Q2617" s="381">
        <v>-675</v>
      </c>
      <c r="R2617" s="381">
        <v>85.3</v>
      </c>
      <c r="S2617" s="381">
        <v>-762</v>
      </c>
      <c r="T2617" s="381">
        <v>2.09</v>
      </c>
      <c r="U2617" s="381">
        <v>758.26666666666677</v>
      </c>
      <c r="V2617" s="382">
        <v>87.389999999999986</v>
      </c>
      <c r="W2617" s="382">
        <v>758.26666666666677</v>
      </c>
      <c r="X2617" s="381">
        <v>-1.4361702127659575</v>
      </c>
      <c r="Y2617" s="381">
        <v>0.18148936170212765</v>
      </c>
      <c r="Z2617" s="381">
        <v>-1.6212765957446809</v>
      </c>
      <c r="AA2617" s="381">
        <v>4.4468085106382973E-3</v>
      </c>
      <c r="AB2617" s="381">
        <v>1.6133333333333335</v>
      </c>
      <c r="AC2617" s="382">
        <v>0.18593617021276598</v>
      </c>
      <c r="AD2617" s="382">
        <v>1.6133333333333335</v>
      </c>
      <c r="AE2617" s="381" t="s">
        <v>168</v>
      </c>
    </row>
    <row r="2618" spans="1:31" ht="15" customHeight="1" x14ac:dyDescent="0.25">
      <c r="A2618" s="20" t="s">
        <v>3490</v>
      </c>
      <c r="B2618" s="20" t="s">
        <v>3733</v>
      </c>
      <c r="C2618" s="20" t="s">
        <v>3734</v>
      </c>
      <c r="D2618" s="378" t="s">
        <v>3754</v>
      </c>
      <c r="E2618" s="384">
        <v>44600</v>
      </c>
      <c r="F2618" s="384">
        <v>46426</v>
      </c>
      <c r="G2618" s="378" t="s">
        <v>2829</v>
      </c>
      <c r="H2618" s="20" t="s">
        <v>3755</v>
      </c>
      <c r="I2618" s="378">
        <v>0</v>
      </c>
      <c r="J2618" s="20" t="s">
        <v>2831</v>
      </c>
      <c r="K2618" s="378" t="s">
        <v>3756</v>
      </c>
      <c r="L2618" s="378" t="s">
        <v>165</v>
      </c>
      <c r="M2618" s="380">
        <v>480</v>
      </c>
      <c r="N2618" s="380" t="s">
        <v>443</v>
      </c>
      <c r="O2618" s="380" t="s">
        <v>443</v>
      </c>
      <c r="P2618" s="380" t="s">
        <v>443</v>
      </c>
      <c r="Q2618" s="381">
        <v>-681</v>
      </c>
      <c r="R2618" s="381">
        <v>97.8</v>
      </c>
      <c r="S2618" s="381">
        <v>-779</v>
      </c>
      <c r="T2618" s="381">
        <v>0</v>
      </c>
      <c r="U2618" s="381">
        <v>774.4</v>
      </c>
      <c r="V2618" s="382">
        <v>97.799999999999955</v>
      </c>
      <c r="W2618" s="382">
        <v>774.4</v>
      </c>
      <c r="X2618" s="381">
        <v>-1.41875</v>
      </c>
      <c r="Y2618" s="381">
        <v>0.20374999999999999</v>
      </c>
      <c r="Z2618" s="381">
        <v>-1.6229166666666666</v>
      </c>
      <c r="AA2618" s="381">
        <v>0</v>
      </c>
      <c r="AB2618" s="381">
        <v>1.6133333333333333</v>
      </c>
      <c r="AC2618" s="382">
        <v>0.2037500000000001</v>
      </c>
      <c r="AD2618" s="382">
        <v>1.6133333333333333</v>
      </c>
      <c r="AE2618" s="381" t="s">
        <v>168</v>
      </c>
    </row>
    <row r="2619" spans="1:31" ht="15" customHeight="1" x14ac:dyDescent="0.25">
      <c r="A2619" s="20" t="s">
        <v>3490</v>
      </c>
      <c r="B2619" s="20" t="s">
        <v>3733</v>
      </c>
      <c r="C2619" s="20" t="s">
        <v>3734</v>
      </c>
      <c r="D2619" s="378" t="s">
        <v>3757</v>
      </c>
      <c r="E2619" s="384">
        <v>44600</v>
      </c>
      <c r="F2619" s="384">
        <v>46426</v>
      </c>
      <c r="G2619" s="378" t="s">
        <v>2829</v>
      </c>
      <c r="H2619" s="20" t="s">
        <v>3755</v>
      </c>
      <c r="I2619" s="378">
        <v>0</v>
      </c>
      <c r="J2619" s="20" t="s">
        <v>2831</v>
      </c>
      <c r="K2619" s="378" t="s">
        <v>3756</v>
      </c>
      <c r="L2619" s="378" t="s">
        <v>165</v>
      </c>
      <c r="M2619" s="380">
        <v>480</v>
      </c>
      <c r="N2619" s="380" t="s">
        <v>443</v>
      </c>
      <c r="O2619" s="380" t="s">
        <v>443</v>
      </c>
      <c r="P2619" s="380" t="s">
        <v>443</v>
      </c>
      <c r="Q2619" s="381">
        <v>-676</v>
      </c>
      <c r="R2619" s="381">
        <v>103</v>
      </c>
      <c r="S2619" s="381">
        <v>-779</v>
      </c>
      <c r="T2619" s="381">
        <v>0</v>
      </c>
      <c r="U2619" s="381">
        <v>774.4</v>
      </c>
      <c r="V2619" s="382">
        <v>103</v>
      </c>
      <c r="W2619" s="382">
        <v>774.4</v>
      </c>
      <c r="X2619" s="381">
        <v>-1.4083333333333334</v>
      </c>
      <c r="Y2619" s="381">
        <v>0.21458333333333332</v>
      </c>
      <c r="Z2619" s="381">
        <v>-1.6229166666666666</v>
      </c>
      <c r="AA2619" s="381">
        <v>0</v>
      </c>
      <c r="AB2619" s="381">
        <v>1.6133333333333333</v>
      </c>
      <c r="AC2619" s="382">
        <v>0.21458333333333335</v>
      </c>
      <c r="AD2619" s="382">
        <v>1.6133333333333333</v>
      </c>
      <c r="AE2619" s="381" t="s">
        <v>168</v>
      </c>
    </row>
    <row r="2620" spans="1:31" ht="15" customHeight="1" x14ac:dyDescent="0.25">
      <c r="A2620" s="20" t="s">
        <v>3490</v>
      </c>
      <c r="B2620" s="20" t="s">
        <v>3733</v>
      </c>
      <c r="C2620" s="20" t="s">
        <v>3734</v>
      </c>
      <c r="D2620" s="378" t="s">
        <v>3758</v>
      </c>
      <c r="E2620" s="384">
        <v>44600</v>
      </c>
      <c r="F2620" s="384">
        <v>46426</v>
      </c>
      <c r="G2620" s="378" t="s">
        <v>2829</v>
      </c>
      <c r="H2620" s="20" t="s">
        <v>3755</v>
      </c>
      <c r="I2620" s="378">
        <v>0</v>
      </c>
      <c r="J2620" s="20" t="s">
        <v>2831</v>
      </c>
      <c r="K2620" s="378" t="s">
        <v>3756</v>
      </c>
      <c r="L2620" s="378" t="s">
        <v>165</v>
      </c>
      <c r="M2620" s="380">
        <v>480</v>
      </c>
      <c r="N2620" s="380" t="s">
        <v>443</v>
      </c>
      <c r="O2620" s="380" t="s">
        <v>443</v>
      </c>
      <c r="P2620" s="380" t="s">
        <v>443</v>
      </c>
      <c r="Q2620" s="381">
        <v>-706</v>
      </c>
      <c r="R2620" s="381">
        <v>73.599999999999994</v>
      </c>
      <c r="S2620" s="381">
        <v>-780</v>
      </c>
      <c r="T2620" s="381">
        <v>0</v>
      </c>
      <c r="U2620" s="381">
        <v>774.4</v>
      </c>
      <c r="V2620" s="382">
        <v>73.600000000000023</v>
      </c>
      <c r="W2620" s="382">
        <v>774.4</v>
      </c>
      <c r="X2620" s="381">
        <v>-1.4708333333333334</v>
      </c>
      <c r="Y2620" s="381">
        <v>0.15333333333333332</v>
      </c>
      <c r="Z2620" s="381">
        <v>-1.625</v>
      </c>
      <c r="AA2620" s="381">
        <v>0</v>
      </c>
      <c r="AB2620" s="381">
        <v>1.6133333333333333</v>
      </c>
      <c r="AC2620" s="382">
        <v>0.15333333333333332</v>
      </c>
      <c r="AD2620" s="382">
        <v>1.6133333333333333</v>
      </c>
      <c r="AE2620" s="381" t="s">
        <v>168</v>
      </c>
    </row>
    <row r="2621" spans="1:31" ht="15" customHeight="1" x14ac:dyDescent="0.25">
      <c r="A2621" s="20" t="s">
        <v>3490</v>
      </c>
      <c r="B2621" s="20" t="s">
        <v>3733</v>
      </c>
      <c r="C2621" s="20" t="s">
        <v>3734</v>
      </c>
      <c r="D2621" s="378" t="s">
        <v>3759</v>
      </c>
      <c r="E2621" s="384">
        <v>44600</v>
      </c>
      <c r="F2621" s="384">
        <v>46426</v>
      </c>
      <c r="G2621" s="378" t="s">
        <v>2829</v>
      </c>
      <c r="H2621" s="20" t="s">
        <v>3755</v>
      </c>
      <c r="I2621" s="378">
        <v>0</v>
      </c>
      <c r="J2621" s="20" t="s">
        <v>2831</v>
      </c>
      <c r="K2621" s="378" t="s">
        <v>3756</v>
      </c>
      <c r="L2621" s="378" t="s">
        <v>165</v>
      </c>
      <c r="M2621" s="380">
        <v>480</v>
      </c>
      <c r="N2621" s="380" t="s">
        <v>443</v>
      </c>
      <c r="O2621" s="380" t="s">
        <v>443</v>
      </c>
      <c r="P2621" s="380" t="s">
        <v>443</v>
      </c>
      <c r="Q2621" s="381">
        <v>-700</v>
      </c>
      <c r="R2621" s="381">
        <v>79.599999999999994</v>
      </c>
      <c r="S2621" s="381">
        <v>-780</v>
      </c>
      <c r="T2621" s="381">
        <v>0</v>
      </c>
      <c r="U2621" s="381">
        <v>774.4</v>
      </c>
      <c r="V2621" s="382">
        <v>79.600000000000023</v>
      </c>
      <c r="W2621" s="382">
        <v>774.4</v>
      </c>
      <c r="X2621" s="381">
        <v>-1.4583333333333333</v>
      </c>
      <c r="Y2621" s="381">
        <v>0.16583333333333333</v>
      </c>
      <c r="Z2621" s="381">
        <v>-1.625</v>
      </c>
      <c r="AA2621" s="381">
        <v>0</v>
      </c>
      <c r="AB2621" s="381">
        <v>1.6133333333333333</v>
      </c>
      <c r="AC2621" s="382">
        <v>0.16583333333333328</v>
      </c>
      <c r="AD2621" s="382">
        <v>1.6133333333333333</v>
      </c>
      <c r="AE2621" s="381" t="s">
        <v>168</v>
      </c>
    </row>
    <row r="2622" spans="1:31" ht="15" customHeight="1" x14ac:dyDescent="0.25">
      <c r="A2622" s="20" t="s">
        <v>3490</v>
      </c>
      <c r="B2622" s="20" t="s">
        <v>3733</v>
      </c>
      <c r="C2622" s="20" t="s">
        <v>3734</v>
      </c>
      <c r="D2622" s="378" t="s">
        <v>3760</v>
      </c>
      <c r="E2622" s="384">
        <v>44600</v>
      </c>
      <c r="F2622" s="384">
        <v>46426</v>
      </c>
      <c r="G2622" s="378" t="s">
        <v>2829</v>
      </c>
      <c r="H2622" s="20" t="s">
        <v>3755</v>
      </c>
      <c r="I2622" s="378">
        <v>0</v>
      </c>
      <c r="J2622" s="20" t="s">
        <v>2831</v>
      </c>
      <c r="K2622" s="378" t="s">
        <v>3756</v>
      </c>
      <c r="L2622" s="378" t="s">
        <v>165</v>
      </c>
      <c r="M2622" s="380">
        <v>480</v>
      </c>
      <c r="N2622" s="380" t="s">
        <v>443</v>
      </c>
      <c r="O2622" s="380" t="s">
        <v>443</v>
      </c>
      <c r="P2622" s="380" t="s">
        <v>443</v>
      </c>
      <c r="Q2622" s="381">
        <v>-711</v>
      </c>
      <c r="R2622" s="381">
        <v>68.7</v>
      </c>
      <c r="S2622" s="381">
        <v>-780</v>
      </c>
      <c r="T2622" s="381">
        <v>0</v>
      </c>
      <c r="U2622" s="381">
        <v>774.4</v>
      </c>
      <c r="V2622" s="382">
        <v>68.700000000000045</v>
      </c>
      <c r="W2622" s="382">
        <v>774.4</v>
      </c>
      <c r="X2622" s="381">
        <v>-1.48125</v>
      </c>
      <c r="Y2622" s="381">
        <v>0.143125</v>
      </c>
      <c r="Z2622" s="381">
        <v>-1.625</v>
      </c>
      <c r="AA2622" s="381">
        <v>0</v>
      </c>
      <c r="AB2622" s="381">
        <v>1.6133333333333333</v>
      </c>
      <c r="AC2622" s="382">
        <v>0.14312499999999995</v>
      </c>
      <c r="AD2622" s="382">
        <v>1.6133333333333333</v>
      </c>
      <c r="AE2622" s="381" t="s">
        <v>168</v>
      </c>
    </row>
    <row r="2623" spans="1:31" ht="15" customHeight="1" x14ac:dyDescent="0.25">
      <c r="A2623" s="20" t="s">
        <v>3490</v>
      </c>
      <c r="B2623" s="20" t="s">
        <v>3733</v>
      </c>
      <c r="C2623" s="20" t="s">
        <v>3734</v>
      </c>
      <c r="D2623" s="378" t="s">
        <v>3761</v>
      </c>
      <c r="E2623" s="384">
        <v>44600</v>
      </c>
      <c r="F2623" s="384">
        <v>46426</v>
      </c>
      <c r="G2623" s="378" t="s">
        <v>2829</v>
      </c>
      <c r="H2623" s="20" t="s">
        <v>3755</v>
      </c>
      <c r="I2623" s="378">
        <v>0</v>
      </c>
      <c r="J2623" s="20" t="s">
        <v>2831</v>
      </c>
      <c r="K2623" s="378" t="s">
        <v>3756</v>
      </c>
      <c r="L2623" s="378" t="s">
        <v>165</v>
      </c>
      <c r="M2623" s="380">
        <v>480</v>
      </c>
      <c r="N2623" s="380" t="s">
        <v>443</v>
      </c>
      <c r="O2623" s="380" t="s">
        <v>443</v>
      </c>
      <c r="P2623" s="380" t="s">
        <v>443</v>
      </c>
      <c r="Q2623" s="381">
        <v>-714</v>
      </c>
      <c r="R2623" s="381">
        <v>65.900000000000006</v>
      </c>
      <c r="S2623" s="381">
        <v>-780</v>
      </c>
      <c r="T2623" s="381">
        <v>0</v>
      </c>
      <c r="U2623" s="381">
        <v>774.4</v>
      </c>
      <c r="V2623" s="382">
        <v>65.899999999999977</v>
      </c>
      <c r="W2623" s="382">
        <v>774.4</v>
      </c>
      <c r="X2623" s="381">
        <v>-1.4875</v>
      </c>
      <c r="Y2623" s="381">
        <v>0.13729166666666667</v>
      </c>
      <c r="Z2623" s="381">
        <v>-1.625</v>
      </c>
      <c r="AA2623" s="381">
        <v>0</v>
      </c>
      <c r="AB2623" s="381">
        <v>1.6133333333333333</v>
      </c>
      <c r="AC2623" s="382">
        <v>0.13729166666666659</v>
      </c>
      <c r="AD2623" s="382">
        <v>1.6133333333333333</v>
      </c>
      <c r="AE2623" s="381" t="s">
        <v>168</v>
      </c>
    </row>
    <row r="2624" spans="1:31" ht="15" customHeight="1" x14ac:dyDescent="0.25">
      <c r="A2624" s="20" t="s">
        <v>3490</v>
      </c>
      <c r="B2624" s="20" t="s">
        <v>3733</v>
      </c>
      <c r="C2624" s="20" t="s">
        <v>3734</v>
      </c>
      <c r="D2624" s="378" t="s">
        <v>3762</v>
      </c>
      <c r="E2624" s="384">
        <v>44600</v>
      </c>
      <c r="F2624" s="384">
        <v>46426</v>
      </c>
      <c r="G2624" s="378" t="s">
        <v>2829</v>
      </c>
      <c r="H2624" s="20" t="s">
        <v>3755</v>
      </c>
      <c r="I2624" s="378">
        <v>0</v>
      </c>
      <c r="J2624" s="20" t="s">
        <v>2831</v>
      </c>
      <c r="K2624" s="378" t="s">
        <v>3756</v>
      </c>
      <c r="L2624" s="378" t="s">
        <v>165</v>
      </c>
      <c r="M2624" s="380">
        <v>480</v>
      </c>
      <c r="N2624" s="380" t="s">
        <v>443</v>
      </c>
      <c r="O2624" s="380" t="s">
        <v>443</v>
      </c>
      <c r="P2624" s="380" t="s">
        <v>443</v>
      </c>
      <c r="Q2624" s="381">
        <v>-687</v>
      </c>
      <c r="R2624" s="381">
        <v>92.7</v>
      </c>
      <c r="S2624" s="381">
        <v>-779</v>
      </c>
      <c r="T2624" s="381">
        <v>0</v>
      </c>
      <c r="U2624" s="381">
        <v>774.4</v>
      </c>
      <c r="V2624" s="382">
        <v>92.700000000000045</v>
      </c>
      <c r="W2624" s="382">
        <v>774.4</v>
      </c>
      <c r="X2624" s="381">
        <v>-1.4312499999999999</v>
      </c>
      <c r="Y2624" s="381">
        <v>0.19312500000000002</v>
      </c>
      <c r="Z2624" s="381">
        <v>-1.6229166666666666</v>
      </c>
      <c r="AA2624" s="381">
        <v>0</v>
      </c>
      <c r="AB2624" s="381">
        <v>1.6133333333333333</v>
      </c>
      <c r="AC2624" s="382">
        <v>0.19312499999999999</v>
      </c>
      <c r="AD2624" s="382">
        <v>1.6133333333333333</v>
      </c>
      <c r="AE2624" s="381" t="s">
        <v>168</v>
      </c>
    </row>
    <row r="2625" spans="1:31" ht="15" customHeight="1" x14ac:dyDescent="0.25">
      <c r="A2625" s="20" t="s">
        <v>3490</v>
      </c>
      <c r="B2625" s="20" t="s">
        <v>3733</v>
      </c>
      <c r="C2625" s="20" t="s">
        <v>3734</v>
      </c>
      <c r="D2625" s="378" t="s">
        <v>3763</v>
      </c>
      <c r="E2625" s="384">
        <v>44600</v>
      </c>
      <c r="F2625" s="384">
        <v>46426</v>
      </c>
      <c r="G2625" s="378" t="s">
        <v>2829</v>
      </c>
      <c r="H2625" s="20" t="s">
        <v>3755</v>
      </c>
      <c r="I2625" s="378">
        <v>0</v>
      </c>
      <c r="J2625" s="20" t="s">
        <v>2831</v>
      </c>
      <c r="K2625" s="378" t="s">
        <v>3756</v>
      </c>
      <c r="L2625" s="378" t="s">
        <v>165</v>
      </c>
      <c r="M2625" s="380">
        <v>480</v>
      </c>
      <c r="N2625" s="380" t="s">
        <v>443</v>
      </c>
      <c r="O2625" s="380" t="s">
        <v>443</v>
      </c>
      <c r="P2625" s="380" t="s">
        <v>443</v>
      </c>
      <c r="Q2625" s="381">
        <v>-692</v>
      </c>
      <c r="R2625" s="381">
        <v>87.8</v>
      </c>
      <c r="S2625" s="381">
        <v>-780</v>
      </c>
      <c r="T2625" s="381">
        <v>0</v>
      </c>
      <c r="U2625" s="381">
        <v>774.4</v>
      </c>
      <c r="V2625" s="382">
        <v>87.799999999999955</v>
      </c>
      <c r="W2625" s="382">
        <v>774.4</v>
      </c>
      <c r="X2625" s="381">
        <v>-1.4416666666666667</v>
      </c>
      <c r="Y2625" s="381">
        <v>0.18291666666666667</v>
      </c>
      <c r="Z2625" s="381">
        <v>-1.625</v>
      </c>
      <c r="AA2625" s="381">
        <v>0</v>
      </c>
      <c r="AB2625" s="381">
        <v>1.6133333333333333</v>
      </c>
      <c r="AC2625" s="382">
        <v>0.18291666666666662</v>
      </c>
      <c r="AD2625" s="382">
        <v>1.6133333333333333</v>
      </c>
      <c r="AE2625" s="381" t="s">
        <v>168</v>
      </c>
    </row>
    <row r="2626" spans="1:31" ht="15" customHeight="1" x14ac:dyDescent="0.25">
      <c r="A2626" s="20" t="s">
        <v>3490</v>
      </c>
      <c r="B2626" s="20" t="s">
        <v>3733</v>
      </c>
      <c r="C2626" s="20" t="s">
        <v>3734</v>
      </c>
      <c r="D2626" s="378" t="s">
        <v>3764</v>
      </c>
      <c r="E2626" s="384">
        <v>44600</v>
      </c>
      <c r="F2626" s="384">
        <v>46426</v>
      </c>
      <c r="G2626" s="378" t="s">
        <v>2829</v>
      </c>
      <c r="H2626" s="20" t="s">
        <v>3755</v>
      </c>
      <c r="I2626" s="378">
        <v>0</v>
      </c>
      <c r="J2626" s="20" t="s">
        <v>2831</v>
      </c>
      <c r="K2626" s="378" t="s">
        <v>3756</v>
      </c>
      <c r="L2626" s="378" t="s">
        <v>165</v>
      </c>
      <c r="M2626" s="380">
        <v>480</v>
      </c>
      <c r="N2626" s="380" t="s">
        <v>443</v>
      </c>
      <c r="O2626" s="380" t="s">
        <v>443</v>
      </c>
      <c r="P2626" s="380" t="s">
        <v>443</v>
      </c>
      <c r="Q2626" s="381">
        <v>-645</v>
      </c>
      <c r="R2626" s="381">
        <v>135</v>
      </c>
      <c r="S2626" s="381">
        <v>-780</v>
      </c>
      <c r="T2626" s="381">
        <v>0</v>
      </c>
      <c r="U2626" s="381">
        <v>774.4</v>
      </c>
      <c r="V2626" s="382">
        <v>135</v>
      </c>
      <c r="W2626" s="382">
        <v>774.4</v>
      </c>
      <c r="X2626" s="381">
        <v>-1.34375</v>
      </c>
      <c r="Y2626" s="381">
        <v>0.28125</v>
      </c>
      <c r="Z2626" s="381">
        <v>-1.625</v>
      </c>
      <c r="AA2626" s="381">
        <v>0</v>
      </c>
      <c r="AB2626" s="381">
        <v>1.6133333333333333</v>
      </c>
      <c r="AC2626" s="382">
        <v>0.28125</v>
      </c>
      <c r="AD2626" s="382">
        <v>1.6133333333333333</v>
      </c>
      <c r="AE2626" s="381" t="s">
        <v>168</v>
      </c>
    </row>
    <row r="2627" spans="1:31" ht="15" customHeight="1" x14ac:dyDescent="0.25">
      <c r="A2627" s="20" t="s">
        <v>3490</v>
      </c>
      <c r="B2627" s="20" t="s">
        <v>3733</v>
      </c>
      <c r="C2627" s="20" t="s">
        <v>3734</v>
      </c>
      <c r="D2627" s="378" t="s">
        <v>3765</v>
      </c>
      <c r="E2627" s="384">
        <v>45082</v>
      </c>
      <c r="F2627" s="384">
        <v>46909</v>
      </c>
      <c r="G2627" s="378" t="s">
        <v>439</v>
      </c>
      <c r="H2627" s="20" t="s">
        <v>3766</v>
      </c>
      <c r="I2627" s="20" t="s">
        <v>162</v>
      </c>
      <c r="J2627" s="20" t="s">
        <v>163</v>
      </c>
      <c r="K2627" s="378" t="s">
        <v>3767</v>
      </c>
      <c r="L2627" s="20" t="s">
        <v>165</v>
      </c>
      <c r="M2627" s="381">
        <v>500</v>
      </c>
      <c r="N2627" s="381"/>
      <c r="O2627" s="380"/>
      <c r="P2627" s="380"/>
      <c r="Q2627" s="381">
        <v>-576</v>
      </c>
      <c r="R2627" s="381">
        <v>253</v>
      </c>
      <c r="S2627" s="381">
        <v>-829</v>
      </c>
      <c r="T2627" s="381">
        <v>1.9599999999999999E-2</v>
      </c>
      <c r="U2627" s="381">
        <v>813.08333333333337</v>
      </c>
      <c r="V2627" s="382">
        <v>253.01959999999997</v>
      </c>
      <c r="W2627" s="382">
        <v>813.08333333333337</v>
      </c>
      <c r="X2627" s="381">
        <v>-1.1519999999999999</v>
      </c>
      <c r="Y2627" s="381">
        <v>0.50600000000000001</v>
      </c>
      <c r="Z2627" s="381">
        <v>-1.6579999999999999</v>
      </c>
      <c r="AA2627" s="381">
        <v>3.9199999999999997E-5</v>
      </c>
      <c r="AB2627" s="381">
        <v>1.6261666666666668</v>
      </c>
      <c r="AC2627" s="382">
        <v>0.50603920000000002</v>
      </c>
      <c r="AD2627" s="382">
        <v>1.6261666666666668</v>
      </c>
      <c r="AE2627" s="381" t="s">
        <v>168</v>
      </c>
    </row>
    <row r="2628" spans="1:31" ht="15" customHeight="1" x14ac:dyDescent="0.25">
      <c r="A2628" s="20" t="s">
        <v>3490</v>
      </c>
      <c r="B2628" s="20" t="s">
        <v>3733</v>
      </c>
      <c r="C2628" s="20" t="s">
        <v>3734</v>
      </c>
      <c r="D2628" s="378" t="s">
        <v>3768</v>
      </c>
      <c r="E2628" s="384">
        <v>45082</v>
      </c>
      <c r="F2628" s="384">
        <v>46909</v>
      </c>
      <c r="G2628" s="378" t="s">
        <v>439</v>
      </c>
      <c r="H2628" s="20" t="s">
        <v>3766</v>
      </c>
      <c r="I2628" s="20" t="s">
        <v>162</v>
      </c>
      <c r="J2628" s="20" t="s">
        <v>163</v>
      </c>
      <c r="K2628" s="378" t="s">
        <v>3767</v>
      </c>
      <c r="L2628" s="20" t="s">
        <v>165</v>
      </c>
      <c r="M2628" s="381">
        <v>500</v>
      </c>
      <c r="N2628" s="381"/>
      <c r="O2628" s="380"/>
      <c r="P2628" s="380"/>
      <c r="Q2628" s="381">
        <v>-522</v>
      </c>
      <c r="R2628" s="381">
        <v>308</v>
      </c>
      <c r="S2628" s="381">
        <v>-830</v>
      </c>
      <c r="T2628" s="381">
        <v>0</v>
      </c>
      <c r="U2628" s="381">
        <v>813.08333333333337</v>
      </c>
      <c r="V2628" s="382">
        <v>308</v>
      </c>
      <c r="W2628" s="382">
        <v>813.08333333333337</v>
      </c>
      <c r="X2628" s="381">
        <v>-1.044</v>
      </c>
      <c r="Y2628" s="381">
        <v>0.61599999999999999</v>
      </c>
      <c r="Z2628" s="381">
        <v>-1.66</v>
      </c>
      <c r="AA2628" s="381">
        <v>0</v>
      </c>
      <c r="AB2628" s="381">
        <v>1.6261666666666668</v>
      </c>
      <c r="AC2628" s="382">
        <v>0.61599999999999988</v>
      </c>
      <c r="AD2628" s="382">
        <v>1.6261666666666668</v>
      </c>
      <c r="AE2628" s="381" t="s">
        <v>168</v>
      </c>
    </row>
    <row r="2629" spans="1:31" ht="15" customHeight="1" x14ac:dyDescent="0.25">
      <c r="A2629" s="20" t="s">
        <v>3490</v>
      </c>
      <c r="B2629" s="20" t="s">
        <v>3733</v>
      </c>
      <c r="C2629" s="20" t="s">
        <v>3734</v>
      </c>
      <c r="D2629" s="378" t="s">
        <v>3769</v>
      </c>
      <c r="E2629" s="384">
        <v>45082</v>
      </c>
      <c r="F2629" s="384">
        <v>46909</v>
      </c>
      <c r="G2629" s="378" t="s">
        <v>439</v>
      </c>
      <c r="H2629" s="20" t="s">
        <v>3766</v>
      </c>
      <c r="I2629" s="20" t="s">
        <v>162</v>
      </c>
      <c r="J2629" s="20" t="s">
        <v>163</v>
      </c>
      <c r="K2629" s="378" t="s">
        <v>3767</v>
      </c>
      <c r="L2629" s="20" t="s">
        <v>165</v>
      </c>
      <c r="M2629" s="381">
        <v>500</v>
      </c>
      <c r="N2629" s="381"/>
      <c r="O2629" s="380"/>
      <c r="P2629" s="380"/>
      <c r="Q2629" s="381">
        <v>-478</v>
      </c>
      <c r="R2629" s="381">
        <v>352</v>
      </c>
      <c r="S2629" s="381">
        <v>-830</v>
      </c>
      <c r="T2629" s="381">
        <v>0</v>
      </c>
      <c r="U2629" s="381">
        <v>813.08333333333337</v>
      </c>
      <c r="V2629" s="382">
        <v>352</v>
      </c>
      <c r="W2629" s="382">
        <v>813.08333333333337</v>
      </c>
      <c r="X2629" s="381">
        <v>-0.95599999999999996</v>
      </c>
      <c r="Y2629" s="381">
        <v>0.70399999999999996</v>
      </c>
      <c r="Z2629" s="381">
        <v>-1.66</v>
      </c>
      <c r="AA2629" s="381">
        <v>0</v>
      </c>
      <c r="AB2629" s="381">
        <v>1.6261666666666668</v>
      </c>
      <c r="AC2629" s="382">
        <v>0.70399999999999996</v>
      </c>
      <c r="AD2629" s="382">
        <v>1.6261666666666668</v>
      </c>
      <c r="AE2629" s="381" t="s">
        <v>168</v>
      </c>
    </row>
    <row r="2630" spans="1:31" ht="15" customHeight="1" x14ac:dyDescent="0.25">
      <c r="A2630" s="20" t="s">
        <v>3490</v>
      </c>
      <c r="B2630" s="20" t="s">
        <v>3733</v>
      </c>
      <c r="C2630" s="20" t="s">
        <v>3734</v>
      </c>
      <c r="D2630" s="378" t="s">
        <v>3770</v>
      </c>
      <c r="E2630" s="384">
        <v>45005</v>
      </c>
      <c r="F2630" s="384">
        <v>45881</v>
      </c>
      <c r="G2630" s="378" t="s">
        <v>2829</v>
      </c>
      <c r="H2630" s="20" t="s">
        <v>3771</v>
      </c>
      <c r="I2630" s="378" t="s">
        <v>3772</v>
      </c>
      <c r="J2630" s="20" t="s">
        <v>2831</v>
      </c>
      <c r="K2630" s="378" t="s">
        <v>3773</v>
      </c>
      <c r="L2630" s="378" t="s">
        <v>165</v>
      </c>
      <c r="M2630" s="380">
        <v>420</v>
      </c>
      <c r="N2630" s="380" t="s">
        <v>443</v>
      </c>
      <c r="O2630" s="380" t="s">
        <v>443</v>
      </c>
      <c r="P2630" s="380" t="s">
        <v>443</v>
      </c>
      <c r="Q2630" s="381">
        <v>-420</v>
      </c>
      <c r="R2630" s="381">
        <v>339</v>
      </c>
      <c r="S2630" s="381">
        <v>-758</v>
      </c>
      <c r="T2630" s="381">
        <v>0</v>
      </c>
      <c r="U2630" s="381">
        <v>716.09999999999991</v>
      </c>
      <c r="V2630" s="382">
        <v>339</v>
      </c>
      <c r="W2630" s="382">
        <v>716.09999999999991</v>
      </c>
      <c r="X2630" s="381">
        <v>-1</v>
      </c>
      <c r="Y2630" s="381">
        <v>0.80714285714285716</v>
      </c>
      <c r="Z2630" s="381">
        <v>-1.8047619047619048</v>
      </c>
      <c r="AA2630" s="381">
        <v>0</v>
      </c>
      <c r="AB2630" s="381">
        <v>1.7049999999999998</v>
      </c>
      <c r="AC2630" s="382">
        <v>0.80714285714285716</v>
      </c>
      <c r="AD2630" s="382">
        <v>1.7049999999999998</v>
      </c>
      <c r="AE2630" s="381" t="s">
        <v>168</v>
      </c>
    </row>
    <row r="2631" spans="1:31" ht="15" customHeight="1" x14ac:dyDescent="0.25">
      <c r="A2631" s="20" t="s">
        <v>3490</v>
      </c>
      <c r="B2631" s="20" t="s">
        <v>3733</v>
      </c>
      <c r="C2631" s="20" t="s">
        <v>3734</v>
      </c>
      <c r="D2631" s="378" t="s">
        <v>3774</v>
      </c>
      <c r="E2631" s="384">
        <v>44293</v>
      </c>
      <c r="F2631" s="384">
        <v>46119</v>
      </c>
      <c r="G2631" s="378" t="s">
        <v>2856</v>
      </c>
      <c r="H2631" s="20" t="s">
        <v>3775</v>
      </c>
      <c r="I2631" s="378" t="s">
        <v>162</v>
      </c>
      <c r="J2631" s="20" t="s">
        <v>2831</v>
      </c>
      <c r="K2631" s="378" t="s">
        <v>3776</v>
      </c>
      <c r="L2631" s="378" t="s">
        <v>165</v>
      </c>
      <c r="M2631" s="380">
        <v>467</v>
      </c>
      <c r="N2631" s="380" t="s">
        <v>443</v>
      </c>
      <c r="O2631" s="380" t="s">
        <v>443</v>
      </c>
      <c r="P2631" s="380" t="s">
        <v>443</v>
      </c>
      <c r="Q2631" s="381">
        <v>-813.9</v>
      </c>
      <c r="R2631" s="381">
        <v>117</v>
      </c>
      <c r="S2631" s="381">
        <v>-932.2</v>
      </c>
      <c r="T2631" s="381">
        <v>0</v>
      </c>
      <c r="U2631" s="381">
        <v>753.42666666666662</v>
      </c>
      <c r="V2631" s="382">
        <v>117</v>
      </c>
      <c r="W2631" s="382">
        <v>753.42666666666662</v>
      </c>
      <c r="X2631" s="381">
        <v>-1.7428265524625268</v>
      </c>
      <c r="Y2631" s="381">
        <v>0.25053533190578159</v>
      </c>
      <c r="Z2631" s="381">
        <v>-1.9961456102783728</v>
      </c>
      <c r="AA2631" s="381">
        <v>0</v>
      </c>
      <c r="AB2631" s="381">
        <v>1.6133333333333333</v>
      </c>
      <c r="AC2631" s="382">
        <v>0.25053533190578148</v>
      </c>
      <c r="AD2631" s="382">
        <v>1.6133333333333333</v>
      </c>
      <c r="AE2631" s="381" t="s">
        <v>168</v>
      </c>
    </row>
    <row r="2632" spans="1:31" ht="15" customHeight="1" x14ac:dyDescent="0.25">
      <c r="A2632" s="20" t="s">
        <v>3490</v>
      </c>
      <c r="B2632" s="20" t="s">
        <v>3733</v>
      </c>
      <c r="C2632" s="20" t="s">
        <v>3734</v>
      </c>
      <c r="D2632" s="378" t="s">
        <v>3777</v>
      </c>
      <c r="E2632" s="384">
        <v>44447</v>
      </c>
      <c r="F2632" s="384">
        <v>46272</v>
      </c>
      <c r="G2632" s="378" t="s">
        <v>2837</v>
      </c>
      <c r="H2632" s="20" t="s">
        <v>3778</v>
      </c>
      <c r="I2632" s="378" t="s">
        <v>3779</v>
      </c>
      <c r="J2632" s="20" t="s">
        <v>2831</v>
      </c>
      <c r="K2632" s="378" t="s">
        <v>3780</v>
      </c>
      <c r="L2632" s="378" t="s">
        <v>165</v>
      </c>
      <c r="M2632" s="380">
        <v>450</v>
      </c>
      <c r="N2632" s="380" t="s">
        <v>443</v>
      </c>
      <c r="O2632" s="380" t="s">
        <v>443</v>
      </c>
      <c r="P2632" s="380" t="s">
        <v>443</v>
      </c>
      <c r="Q2632" s="381">
        <v>-480.8</v>
      </c>
      <c r="R2632" s="381">
        <v>338.1</v>
      </c>
      <c r="S2632" s="381">
        <v>-821.9701</v>
      </c>
      <c r="T2632" s="381">
        <v>0</v>
      </c>
      <c r="U2632" s="381">
        <v>709.5</v>
      </c>
      <c r="V2632" s="382">
        <v>338.1</v>
      </c>
      <c r="W2632" s="382">
        <v>709.5</v>
      </c>
      <c r="X2632" s="381">
        <v>-1.0684444444444445</v>
      </c>
      <c r="Y2632" s="381">
        <v>0.75133333333333341</v>
      </c>
      <c r="Z2632" s="381">
        <v>-1.8266002222222222</v>
      </c>
      <c r="AA2632" s="381">
        <v>0</v>
      </c>
      <c r="AB2632" s="381">
        <v>1.5766666666666667</v>
      </c>
      <c r="AC2632" s="382">
        <v>0.75133333333333341</v>
      </c>
      <c r="AD2632" s="382">
        <v>1.5766666666666667</v>
      </c>
      <c r="AE2632" s="381" t="s">
        <v>168</v>
      </c>
    </row>
    <row r="2633" spans="1:31" ht="15" customHeight="1" x14ac:dyDescent="0.25">
      <c r="A2633" s="20" t="s">
        <v>3781</v>
      </c>
      <c r="B2633" s="20" t="s">
        <v>3782</v>
      </c>
      <c r="C2633" s="20" t="s">
        <v>3783</v>
      </c>
      <c r="D2633" s="378" t="s">
        <v>3784</v>
      </c>
      <c r="E2633" s="384">
        <v>44673</v>
      </c>
      <c r="F2633" s="384">
        <v>46210</v>
      </c>
      <c r="G2633" s="378" t="s">
        <v>2837</v>
      </c>
      <c r="H2633" s="20" t="s">
        <v>3785</v>
      </c>
      <c r="I2633" s="378" t="s">
        <v>441</v>
      </c>
      <c r="J2633" s="20" t="s">
        <v>3786</v>
      </c>
      <c r="K2633" s="378" t="s">
        <v>3787</v>
      </c>
      <c r="L2633" s="378" t="s">
        <v>2848</v>
      </c>
      <c r="M2633" s="380">
        <v>1950</v>
      </c>
      <c r="N2633" s="380">
        <v>65</v>
      </c>
      <c r="O2633" s="380" t="s">
        <v>443</v>
      </c>
      <c r="P2633" s="380" t="s">
        <v>443</v>
      </c>
      <c r="Q2633" s="381">
        <v>407.69230769230768</v>
      </c>
      <c r="R2633" s="381">
        <v>0</v>
      </c>
      <c r="S2633" s="381">
        <v>0</v>
      </c>
      <c r="T2633" s="381">
        <v>0</v>
      </c>
      <c r="U2633" s="381">
        <v>0</v>
      </c>
      <c r="V2633" s="382">
        <v>407.69230769230768</v>
      </c>
      <c r="W2633" s="382">
        <v>0</v>
      </c>
      <c r="X2633" s="381">
        <v>0.40769230769230769</v>
      </c>
      <c r="Y2633" s="381">
        <v>0</v>
      </c>
      <c r="Z2633" s="381">
        <v>0</v>
      </c>
      <c r="AA2633" s="381">
        <v>0</v>
      </c>
      <c r="AB2633" s="381">
        <v>0</v>
      </c>
      <c r="AC2633" s="382">
        <v>0.40769230769230769</v>
      </c>
      <c r="AD2633" s="382">
        <v>0</v>
      </c>
      <c r="AE2633" s="381" t="s">
        <v>168</v>
      </c>
    </row>
    <row r="2634" spans="1:31" ht="15" customHeight="1" x14ac:dyDescent="0.25">
      <c r="A2634" s="20" t="s">
        <v>3781</v>
      </c>
      <c r="B2634" s="20" t="s">
        <v>3782</v>
      </c>
      <c r="C2634" s="20" t="s">
        <v>3783</v>
      </c>
      <c r="D2634" s="378" t="s">
        <v>3788</v>
      </c>
      <c r="E2634" s="384">
        <v>43677</v>
      </c>
      <c r="F2634" s="384" t="s">
        <v>3789</v>
      </c>
      <c r="G2634" s="378" t="s">
        <v>2837</v>
      </c>
      <c r="H2634" s="20" t="s">
        <v>3790</v>
      </c>
      <c r="I2634" s="378" t="s">
        <v>441</v>
      </c>
      <c r="J2634" s="20" t="s">
        <v>3311</v>
      </c>
      <c r="K2634" s="378" t="s">
        <v>3791</v>
      </c>
      <c r="L2634" s="378" t="s">
        <v>2848</v>
      </c>
      <c r="M2634" s="380">
        <v>2200</v>
      </c>
      <c r="N2634" s="380" t="s">
        <v>443</v>
      </c>
      <c r="O2634" s="380" t="s">
        <v>443</v>
      </c>
      <c r="P2634" s="380" t="s">
        <v>443</v>
      </c>
      <c r="Q2634" s="381">
        <v>723.9</v>
      </c>
      <c r="R2634" s="381">
        <v>0</v>
      </c>
      <c r="S2634" s="381">
        <v>0</v>
      </c>
      <c r="T2634" s="381">
        <v>0</v>
      </c>
      <c r="U2634" s="381">
        <v>0</v>
      </c>
      <c r="V2634" s="382">
        <v>723.9</v>
      </c>
      <c r="W2634" s="382">
        <v>0</v>
      </c>
      <c r="X2634" s="381">
        <v>0.72389999999999999</v>
      </c>
      <c r="Y2634" s="381">
        <v>0</v>
      </c>
      <c r="Z2634" s="381">
        <v>0</v>
      </c>
      <c r="AA2634" s="381">
        <v>0</v>
      </c>
      <c r="AB2634" s="381">
        <v>0</v>
      </c>
      <c r="AC2634" s="382">
        <v>0.72389999999999999</v>
      </c>
      <c r="AD2634" s="382">
        <v>0</v>
      </c>
      <c r="AE2634" s="381" t="s">
        <v>168</v>
      </c>
    </row>
    <row r="2635" spans="1:31" ht="15" customHeight="1" x14ac:dyDescent="0.25">
      <c r="A2635" s="20" t="s">
        <v>3781</v>
      </c>
      <c r="B2635" s="20" t="s">
        <v>3782</v>
      </c>
      <c r="C2635" s="20" t="s">
        <v>3783</v>
      </c>
      <c r="D2635" s="378" t="s">
        <v>3792</v>
      </c>
      <c r="E2635" s="384">
        <v>44673</v>
      </c>
      <c r="F2635" s="384">
        <v>46210</v>
      </c>
      <c r="G2635" s="378" t="s">
        <v>2837</v>
      </c>
      <c r="H2635" s="20" t="s">
        <v>3785</v>
      </c>
      <c r="I2635" s="378" t="s">
        <v>441</v>
      </c>
      <c r="J2635" s="20" t="s">
        <v>3786</v>
      </c>
      <c r="K2635" s="378" t="s">
        <v>3793</v>
      </c>
      <c r="L2635" s="378" t="s">
        <v>2848</v>
      </c>
      <c r="M2635" s="380">
        <v>1800</v>
      </c>
      <c r="N2635" s="380">
        <v>110</v>
      </c>
      <c r="O2635" s="380" t="s">
        <v>443</v>
      </c>
      <c r="P2635" s="380" t="s">
        <v>443</v>
      </c>
      <c r="Q2635" s="381">
        <v>501.81818181818181</v>
      </c>
      <c r="R2635" s="381">
        <v>0</v>
      </c>
      <c r="S2635" s="381">
        <v>0</v>
      </c>
      <c r="T2635" s="381">
        <v>0</v>
      </c>
      <c r="U2635" s="381">
        <v>0</v>
      </c>
      <c r="V2635" s="382">
        <v>501.81818181818181</v>
      </c>
      <c r="W2635" s="382">
        <v>0</v>
      </c>
      <c r="X2635" s="381">
        <v>0.50181818181818183</v>
      </c>
      <c r="Y2635" s="381">
        <v>0</v>
      </c>
      <c r="Z2635" s="381">
        <v>0</v>
      </c>
      <c r="AA2635" s="381">
        <v>0</v>
      </c>
      <c r="AB2635" s="381">
        <v>0</v>
      </c>
      <c r="AC2635" s="382">
        <v>0.50181818181818183</v>
      </c>
      <c r="AD2635" s="382">
        <v>0</v>
      </c>
      <c r="AE2635" s="381" t="s">
        <v>168</v>
      </c>
    </row>
    <row r="2636" spans="1:31" ht="15" customHeight="1" x14ac:dyDescent="0.25">
      <c r="A2636" s="20" t="s">
        <v>3794</v>
      </c>
      <c r="B2636" s="20" t="s">
        <v>3795</v>
      </c>
      <c r="C2636" s="20" t="s">
        <v>3796</v>
      </c>
      <c r="D2636" s="378" t="s">
        <v>3797</v>
      </c>
      <c r="E2636" s="384">
        <v>44985</v>
      </c>
      <c r="F2636" s="384">
        <v>46811</v>
      </c>
      <c r="G2636" s="378" t="s">
        <v>439</v>
      </c>
      <c r="H2636" s="20" t="s">
        <v>3798</v>
      </c>
      <c r="I2636" s="378">
        <v>0</v>
      </c>
      <c r="J2636" s="20" t="s">
        <v>2831</v>
      </c>
      <c r="K2636" s="378" t="s">
        <v>3799</v>
      </c>
      <c r="L2636" s="378" t="s">
        <v>165</v>
      </c>
      <c r="M2636" s="380">
        <v>1475</v>
      </c>
      <c r="N2636" s="380" t="s">
        <v>443</v>
      </c>
      <c r="O2636" s="380" t="s">
        <v>443</v>
      </c>
      <c r="P2636" s="380" t="s">
        <v>443</v>
      </c>
      <c r="Q2636" s="381">
        <v>317</v>
      </c>
      <c r="R2636" s="381">
        <v>0</v>
      </c>
      <c r="S2636" s="381">
        <v>0</v>
      </c>
      <c r="T2636" s="381">
        <v>0</v>
      </c>
      <c r="U2636" s="381">
        <v>0</v>
      </c>
      <c r="V2636" s="382">
        <v>317</v>
      </c>
      <c r="W2636" s="382">
        <v>0</v>
      </c>
      <c r="X2636" s="381">
        <v>0.21491525423728813</v>
      </c>
      <c r="Y2636" s="381">
        <v>0</v>
      </c>
      <c r="Z2636" s="381">
        <v>0</v>
      </c>
      <c r="AA2636" s="381">
        <v>0</v>
      </c>
      <c r="AB2636" s="381">
        <v>0</v>
      </c>
      <c r="AC2636" s="382">
        <v>0.21491525423728813</v>
      </c>
      <c r="AD2636" s="382">
        <v>0</v>
      </c>
      <c r="AE2636" s="381" t="s">
        <v>168</v>
      </c>
    </row>
    <row r="2637" spans="1:31" ht="15" customHeight="1" x14ac:dyDescent="0.25">
      <c r="A2637" s="20" t="s">
        <v>3794</v>
      </c>
      <c r="B2637" s="20" t="s">
        <v>3795</v>
      </c>
      <c r="C2637" s="20" t="s">
        <v>3796</v>
      </c>
      <c r="D2637" s="378" t="s">
        <v>3800</v>
      </c>
      <c r="E2637" s="384">
        <v>44985</v>
      </c>
      <c r="F2637" s="384">
        <v>46811</v>
      </c>
      <c r="G2637" s="378" t="s">
        <v>439</v>
      </c>
      <c r="H2637" s="20" t="s">
        <v>3798</v>
      </c>
      <c r="I2637" s="378">
        <v>0</v>
      </c>
      <c r="J2637" s="20" t="s">
        <v>2831</v>
      </c>
      <c r="K2637" s="378" t="s">
        <v>3799</v>
      </c>
      <c r="L2637" s="378" t="s">
        <v>165</v>
      </c>
      <c r="M2637" s="380">
        <v>1475</v>
      </c>
      <c r="N2637" s="380" t="s">
        <v>443</v>
      </c>
      <c r="O2637" s="380" t="s">
        <v>443</v>
      </c>
      <c r="P2637" s="380" t="s">
        <v>443</v>
      </c>
      <c r="Q2637" s="381">
        <v>357</v>
      </c>
      <c r="R2637" s="381">
        <v>0</v>
      </c>
      <c r="S2637" s="381">
        <v>0</v>
      </c>
      <c r="T2637" s="381">
        <v>0</v>
      </c>
      <c r="U2637" s="381">
        <v>0</v>
      </c>
      <c r="V2637" s="382">
        <v>357</v>
      </c>
      <c r="W2637" s="382">
        <v>0</v>
      </c>
      <c r="X2637" s="381">
        <v>0.24203389830508473</v>
      </c>
      <c r="Y2637" s="381">
        <v>0</v>
      </c>
      <c r="Z2637" s="381">
        <v>0</v>
      </c>
      <c r="AA2637" s="381">
        <v>0</v>
      </c>
      <c r="AB2637" s="381">
        <v>0</v>
      </c>
      <c r="AC2637" s="382">
        <v>0.24203389830508473</v>
      </c>
      <c r="AD2637" s="382">
        <v>0</v>
      </c>
      <c r="AE2637" s="381" t="s">
        <v>168</v>
      </c>
    </row>
    <row r="2638" spans="1:31" ht="15" customHeight="1" x14ac:dyDescent="0.25">
      <c r="A2638" s="20" t="s">
        <v>3794</v>
      </c>
      <c r="B2638" s="20" t="s">
        <v>3795</v>
      </c>
      <c r="C2638" s="20" t="s">
        <v>3796</v>
      </c>
      <c r="D2638" s="378" t="s">
        <v>3801</v>
      </c>
      <c r="E2638" s="384">
        <v>44985</v>
      </c>
      <c r="F2638" s="384">
        <v>46811</v>
      </c>
      <c r="G2638" s="378" t="s">
        <v>439</v>
      </c>
      <c r="H2638" s="20" t="s">
        <v>3798</v>
      </c>
      <c r="I2638" s="378">
        <v>0</v>
      </c>
      <c r="J2638" s="20" t="s">
        <v>2831</v>
      </c>
      <c r="K2638" s="378" t="s">
        <v>3799</v>
      </c>
      <c r="L2638" s="378" t="s">
        <v>165</v>
      </c>
      <c r="M2638" s="380">
        <v>1475</v>
      </c>
      <c r="N2638" s="380" t="s">
        <v>443</v>
      </c>
      <c r="O2638" s="380" t="s">
        <v>443</v>
      </c>
      <c r="P2638" s="380" t="s">
        <v>443</v>
      </c>
      <c r="Q2638" s="381">
        <v>332</v>
      </c>
      <c r="R2638" s="381">
        <v>0</v>
      </c>
      <c r="S2638" s="381">
        <v>0</v>
      </c>
      <c r="T2638" s="381">
        <v>0</v>
      </c>
      <c r="U2638" s="381">
        <v>0</v>
      </c>
      <c r="V2638" s="382">
        <v>332</v>
      </c>
      <c r="W2638" s="382">
        <v>0</v>
      </c>
      <c r="X2638" s="381">
        <v>0.22508474576271187</v>
      </c>
      <c r="Y2638" s="381">
        <v>0</v>
      </c>
      <c r="Z2638" s="381">
        <v>0</v>
      </c>
      <c r="AA2638" s="381">
        <v>0</v>
      </c>
      <c r="AB2638" s="381">
        <v>0</v>
      </c>
      <c r="AC2638" s="382">
        <v>0.22508474576271187</v>
      </c>
      <c r="AD2638" s="382">
        <v>0</v>
      </c>
      <c r="AE2638" s="381" t="s">
        <v>168</v>
      </c>
    </row>
    <row r="2639" spans="1:31" ht="15" customHeight="1" x14ac:dyDescent="0.25">
      <c r="A2639" s="20" t="s">
        <v>3794</v>
      </c>
      <c r="B2639" s="20" t="s">
        <v>3795</v>
      </c>
      <c r="C2639" s="20" t="s">
        <v>3796</v>
      </c>
      <c r="D2639" s="378" t="s">
        <v>3802</v>
      </c>
      <c r="E2639" s="384">
        <v>44985</v>
      </c>
      <c r="F2639" s="384">
        <v>46811</v>
      </c>
      <c r="G2639" s="378" t="s">
        <v>439</v>
      </c>
      <c r="H2639" s="20" t="s">
        <v>3798</v>
      </c>
      <c r="I2639" s="378">
        <v>0</v>
      </c>
      <c r="J2639" s="20" t="s">
        <v>2831</v>
      </c>
      <c r="K2639" s="378" t="s">
        <v>3799</v>
      </c>
      <c r="L2639" s="378" t="s">
        <v>165</v>
      </c>
      <c r="M2639" s="380">
        <v>1475</v>
      </c>
      <c r="N2639" s="380" t="s">
        <v>443</v>
      </c>
      <c r="O2639" s="380" t="s">
        <v>443</v>
      </c>
      <c r="P2639" s="380" t="s">
        <v>443</v>
      </c>
      <c r="Q2639" s="381">
        <v>348</v>
      </c>
      <c r="R2639" s="381">
        <v>0</v>
      </c>
      <c r="S2639" s="381">
        <v>0</v>
      </c>
      <c r="T2639" s="381">
        <v>0</v>
      </c>
      <c r="U2639" s="381">
        <v>0</v>
      </c>
      <c r="V2639" s="382">
        <v>348</v>
      </c>
      <c r="W2639" s="382">
        <v>0</v>
      </c>
      <c r="X2639" s="381">
        <v>0.23593220338983051</v>
      </c>
      <c r="Y2639" s="381">
        <v>0</v>
      </c>
      <c r="Z2639" s="381">
        <v>0</v>
      </c>
      <c r="AA2639" s="381">
        <v>0</v>
      </c>
      <c r="AB2639" s="381">
        <v>0</v>
      </c>
      <c r="AC2639" s="382">
        <v>0.23593220338983051</v>
      </c>
      <c r="AD2639" s="382">
        <v>0</v>
      </c>
      <c r="AE2639" s="381" t="s">
        <v>168</v>
      </c>
    </row>
    <row r="2640" spans="1:31" ht="15" customHeight="1" x14ac:dyDescent="0.25">
      <c r="A2640" s="20" t="s">
        <v>2783</v>
      </c>
      <c r="B2640" s="20" t="s">
        <v>3803</v>
      </c>
      <c r="C2640" s="20" t="s">
        <v>3804</v>
      </c>
      <c r="D2640" s="378" t="s">
        <v>3805</v>
      </c>
      <c r="E2640" s="384">
        <v>45310</v>
      </c>
      <c r="F2640" s="384">
        <v>47136</v>
      </c>
      <c r="G2640" s="378" t="s">
        <v>3806</v>
      </c>
      <c r="H2640" s="20" t="s">
        <v>3807</v>
      </c>
      <c r="I2640" s="378">
        <v>0</v>
      </c>
      <c r="J2640" s="20" t="s">
        <v>776</v>
      </c>
      <c r="K2640" s="378" t="s">
        <v>3808</v>
      </c>
      <c r="L2640" s="378" t="s">
        <v>2789</v>
      </c>
      <c r="M2640" s="380" t="s">
        <v>443</v>
      </c>
      <c r="N2640" s="380">
        <v>8.6</v>
      </c>
      <c r="O2640" s="380" t="s">
        <v>443</v>
      </c>
      <c r="P2640" s="380" t="s">
        <v>443</v>
      </c>
      <c r="Q2640" s="381">
        <v>1.37</v>
      </c>
      <c r="R2640" s="381">
        <v>12.9</v>
      </c>
      <c r="S2640" s="381">
        <v>-11.7</v>
      </c>
      <c r="T2640" s="381">
        <v>0.13200000000000001</v>
      </c>
      <c r="U2640" s="381">
        <v>0</v>
      </c>
      <c r="V2640" s="382">
        <v>13.032</v>
      </c>
      <c r="W2640" s="382">
        <v>0</v>
      </c>
      <c r="X2640" s="381">
        <v>0.15930232558139537</v>
      </c>
      <c r="Y2640" s="381">
        <v>1.5</v>
      </c>
      <c r="Z2640" s="381">
        <v>-1.3604651162790697</v>
      </c>
      <c r="AA2640" s="381">
        <v>1.5348837209302328E-2</v>
      </c>
      <c r="AB2640" s="381">
        <v>0</v>
      </c>
      <c r="AC2640" s="382">
        <v>1.5153488372093022</v>
      </c>
      <c r="AD2640" s="382">
        <v>0</v>
      </c>
      <c r="AE2640" s="381" t="s">
        <v>168</v>
      </c>
    </row>
    <row r="2641" spans="1:31" ht="15" customHeight="1" x14ac:dyDescent="0.25">
      <c r="A2641" s="20" t="s">
        <v>2783</v>
      </c>
      <c r="B2641" s="20" t="s">
        <v>3809</v>
      </c>
      <c r="C2641" s="20" t="s">
        <v>3810</v>
      </c>
      <c r="D2641" s="378" t="s">
        <v>3811</v>
      </c>
      <c r="E2641" s="384">
        <v>45092</v>
      </c>
      <c r="F2641" s="384">
        <v>46918</v>
      </c>
      <c r="G2641" s="378" t="s">
        <v>2886</v>
      </c>
      <c r="H2641" s="20" t="s">
        <v>3812</v>
      </c>
      <c r="I2641" s="378">
        <v>0</v>
      </c>
      <c r="J2641" s="20" t="s">
        <v>776</v>
      </c>
      <c r="K2641" s="378" t="s">
        <v>3813</v>
      </c>
      <c r="L2641" s="378" t="s">
        <v>2789</v>
      </c>
      <c r="M2641" s="380" t="s">
        <v>443</v>
      </c>
      <c r="N2641" s="380">
        <v>6.96</v>
      </c>
      <c r="O2641" s="380" t="s">
        <v>443</v>
      </c>
      <c r="P2641" s="380" t="s">
        <v>443</v>
      </c>
      <c r="Q2641" s="381">
        <v>-8.31</v>
      </c>
      <c r="R2641" s="381">
        <v>2.66</v>
      </c>
      <c r="S2641" s="381">
        <v>-11</v>
      </c>
      <c r="T2641" s="381">
        <v>9.3399999999999993E-3</v>
      </c>
      <c r="U2641" s="381">
        <v>0</v>
      </c>
      <c r="V2641" s="382">
        <v>2.66934</v>
      </c>
      <c r="W2641" s="382">
        <v>0</v>
      </c>
      <c r="X2641" s="381">
        <v>-1.1939655172413794</v>
      </c>
      <c r="Y2641" s="381">
        <v>0.38218390804597702</v>
      </c>
      <c r="Z2641" s="381">
        <v>-1.5804597701149425</v>
      </c>
      <c r="AA2641" s="381">
        <v>1.3419540229885057E-3</v>
      </c>
      <c r="AB2641" s="381">
        <v>0</v>
      </c>
      <c r="AC2641" s="382">
        <v>0.38352586206896544</v>
      </c>
      <c r="AD2641" s="382">
        <v>0</v>
      </c>
      <c r="AE2641" s="381" t="s">
        <v>168</v>
      </c>
    </row>
    <row r="2642" spans="1:31" ht="15" customHeight="1" x14ac:dyDescent="0.25">
      <c r="A2642" s="20" t="s">
        <v>2783</v>
      </c>
      <c r="B2642" s="20" t="s">
        <v>3809</v>
      </c>
      <c r="C2642" s="20" t="s">
        <v>3810</v>
      </c>
      <c r="D2642" s="378" t="s">
        <v>3814</v>
      </c>
      <c r="E2642" s="384">
        <v>44583</v>
      </c>
      <c r="F2642" s="384">
        <v>46681</v>
      </c>
      <c r="G2642" s="378" t="s">
        <v>2837</v>
      </c>
      <c r="H2642" s="20" t="s">
        <v>3815</v>
      </c>
      <c r="I2642" s="378">
        <v>0</v>
      </c>
      <c r="J2642" s="20" t="s">
        <v>776</v>
      </c>
      <c r="K2642" s="378" t="s">
        <v>3816</v>
      </c>
      <c r="L2642" s="378" t="s">
        <v>2789</v>
      </c>
      <c r="M2642" s="380" t="s">
        <v>443</v>
      </c>
      <c r="N2642" s="380">
        <v>6.99</v>
      </c>
      <c r="O2642" s="380" t="s">
        <v>443</v>
      </c>
      <c r="P2642" s="380" t="s">
        <v>443</v>
      </c>
      <c r="Q2642" s="381">
        <v>-6.18</v>
      </c>
      <c r="R2642" s="381">
        <v>4.7300000000000004</v>
      </c>
      <c r="S2642" s="381">
        <v>-10.9</v>
      </c>
      <c r="T2642" s="381">
        <v>1.3299999999999999E-2</v>
      </c>
      <c r="U2642" s="381">
        <v>0</v>
      </c>
      <c r="V2642" s="382">
        <v>4.7433000000000005</v>
      </c>
      <c r="W2642" s="382">
        <v>0</v>
      </c>
      <c r="X2642" s="381">
        <v>-0.88412017167381962</v>
      </c>
      <c r="Y2642" s="381">
        <v>0.67668097281831197</v>
      </c>
      <c r="Z2642" s="381">
        <v>-1.5593705293276108</v>
      </c>
      <c r="AA2642" s="381">
        <v>1.9027181688125892E-3</v>
      </c>
      <c r="AB2642" s="381">
        <v>0</v>
      </c>
      <c r="AC2642" s="382">
        <v>0.67858369098712457</v>
      </c>
      <c r="AD2642" s="382">
        <v>0</v>
      </c>
      <c r="AE2642" s="381" t="s">
        <v>168</v>
      </c>
    </row>
    <row r="2643" spans="1:31" ht="15" customHeight="1" x14ac:dyDescent="0.25">
      <c r="A2643" s="20" t="s">
        <v>2783</v>
      </c>
      <c r="B2643" s="20" t="s">
        <v>3817</v>
      </c>
      <c r="C2643" s="20" t="s">
        <v>3817</v>
      </c>
      <c r="D2643" s="378" t="s">
        <v>3818</v>
      </c>
      <c r="E2643" s="384">
        <v>45294</v>
      </c>
      <c r="F2643" s="384">
        <v>47121</v>
      </c>
      <c r="G2643" s="378" t="s">
        <v>2837</v>
      </c>
      <c r="H2643" s="20" t="s">
        <v>3819</v>
      </c>
      <c r="I2643" s="378" t="s">
        <v>441</v>
      </c>
      <c r="J2643" s="20" t="s">
        <v>3311</v>
      </c>
      <c r="K2643" s="378" t="s">
        <v>3820</v>
      </c>
      <c r="L2643" s="378" t="s">
        <v>2789</v>
      </c>
      <c r="M2643" s="380" t="s">
        <v>443</v>
      </c>
      <c r="N2643" s="380">
        <v>2.2999999999999998</v>
      </c>
      <c r="O2643" s="380" t="s">
        <v>443</v>
      </c>
      <c r="P2643" s="380" t="s">
        <v>443</v>
      </c>
      <c r="Q2643" s="381">
        <v>-0.66800000000000004</v>
      </c>
      <c r="R2643" s="381">
        <v>3.59</v>
      </c>
      <c r="S2643" s="381">
        <v>-4.26</v>
      </c>
      <c r="T2643" s="381">
        <v>5.5100000000000001E-3</v>
      </c>
      <c r="U2643" s="381">
        <v>2.2799999999999998</v>
      </c>
      <c r="V2643" s="382">
        <v>3.59551</v>
      </c>
      <c r="W2643" s="382">
        <v>2.2799999999999998</v>
      </c>
      <c r="X2643" s="381">
        <v>-0.29043478260869571</v>
      </c>
      <c r="Y2643" s="381">
        <v>1.5608695652173914</v>
      </c>
      <c r="Z2643" s="381">
        <v>-1.8521739130434782</v>
      </c>
      <c r="AA2643" s="381">
        <v>2.3956521739130435E-3</v>
      </c>
      <c r="AB2643" s="381">
        <v>0.9913043478260869</v>
      </c>
      <c r="AC2643" s="382">
        <v>1.5632652173913044</v>
      </c>
      <c r="AD2643" s="382">
        <v>0.9913043478260869</v>
      </c>
      <c r="AE2643" s="381" t="s">
        <v>444</v>
      </c>
    </row>
    <row r="2644" spans="1:31" ht="15" customHeight="1" x14ac:dyDescent="0.25">
      <c r="A2644" s="20" t="s">
        <v>2783</v>
      </c>
      <c r="B2644" s="20" t="s">
        <v>3817</v>
      </c>
      <c r="C2644" s="20" t="s">
        <v>3817</v>
      </c>
      <c r="D2644" s="378" t="s">
        <v>3821</v>
      </c>
      <c r="E2644" s="384">
        <v>43840</v>
      </c>
      <c r="F2644" s="384">
        <v>45667</v>
      </c>
      <c r="G2644" s="378" t="s">
        <v>3289</v>
      </c>
      <c r="H2644" s="20" t="s">
        <v>3822</v>
      </c>
      <c r="I2644" s="378" t="s">
        <v>441</v>
      </c>
      <c r="J2644" s="20" t="s">
        <v>3311</v>
      </c>
      <c r="K2644" s="378" t="s">
        <v>3823</v>
      </c>
      <c r="L2644" s="378" t="s">
        <v>2789</v>
      </c>
      <c r="M2644" s="380" t="s">
        <v>443</v>
      </c>
      <c r="N2644" s="380">
        <v>2.94</v>
      </c>
      <c r="O2644" s="380" t="s">
        <v>443</v>
      </c>
      <c r="P2644" s="380" t="s">
        <v>443</v>
      </c>
      <c r="Q2644" s="381">
        <v>3.63</v>
      </c>
      <c r="R2644" s="381">
        <v>0</v>
      </c>
      <c r="S2644" s="381">
        <v>0</v>
      </c>
      <c r="T2644" s="381">
        <v>0</v>
      </c>
      <c r="U2644" s="381">
        <v>0</v>
      </c>
      <c r="V2644" s="382">
        <v>3.63</v>
      </c>
      <c r="W2644" s="382">
        <v>0</v>
      </c>
      <c r="X2644" s="381">
        <v>1.2346938775510203</v>
      </c>
      <c r="Y2644" s="381">
        <v>0</v>
      </c>
      <c r="Z2644" s="381">
        <v>0</v>
      </c>
      <c r="AA2644" s="381">
        <v>0</v>
      </c>
      <c r="AB2644" s="381">
        <v>0</v>
      </c>
      <c r="AC2644" s="382">
        <v>1.2346938775510203</v>
      </c>
      <c r="AD2644" s="382">
        <v>0</v>
      </c>
      <c r="AE2644" s="381" t="s">
        <v>444</v>
      </c>
    </row>
    <row r="2645" spans="1:31" ht="15" customHeight="1" x14ac:dyDescent="0.25">
      <c r="A2645" s="20" t="s">
        <v>2783</v>
      </c>
      <c r="B2645" s="20" t="s">
        <v>3817</v>
      </c>
      <c r="C2645" s="20" t="s">
        <v>3817</v>
      </c>
      <c r="D2645" s="378" t="s">
        <v>3824</v>
      </c>
      <c r="E2645" s="384">
        <v>43840</v>
      </c>
      <c r="F2645" s="384">
        <v>45667</v>
      </c>
      <c r="G2645" s="378" t="s">
        <v>2856</v>
      </c>
      <c r="H2645" s="20" t="s">
        <v>3822</v>
      </c>
      <c r="I2645" s="378" t="s">
        <v>441</v>
      </c>
      <c r="J2645" s="20" t="s">
        <v>3311</v>
      </c>
      <c r="K2645" s="378" t="s">
        <v>3823</v>
      </c>
      <c r="L2645" s="378" t="s">
        <v>2789</v>
      </c>
      <c r="M2645" s="380" t="s">
        <v>443</v>
      </c>
      <c r="N2645" s="380">
        <v>2.94</v>
      </c>
      <c r="O2645" s="380" t="s">
        <v>443</v>
      </c>
      <c r="P2645" s="380" t="s">
        <v>443</v>
      </c>
      <c r="Q2645" s="381">
        <v>3.6110000000000002</v>
      </c>
      <c r="R2645" s="381">
        <v>0</v>
      </c>
      <c r="S2645" s="381">
        <v>0</v>
      </c>
      <c r="T2645" s="381">
        <v>0</v>
      </c>
      <c r="U2645" s="381">
        <v>0</v>
      </c>
      <c r="V2645" s="382">
        <v>3.6110000000000002</v>
      </c>
      <c r="W2645" s="382">
        <v>0</v>
      </c>
      <c r="X2645" s="381">
        <v>1.2282312925170069</v>
      </c>
      <c r="Y2645" s="381">
        <v>0</v>
      </c>
      <c r="Z2645" s="381">
        <v>0</v>
      </c>
      <c r="AA2645" s="381">
        <v>0</v>
      </c>
      <c r="AB2645" s="381">
        <v>0</v>
      </c>
      <c r="AC2645" s="382">
        <v>1.2282312925170069</v>
      </c>
      <c r="AD2645" s="382">
        <v>0</v>
      </c>
      <c r="AE2645" s="381" t="s">
        <v>444</v>
      </c>
    </row>
    <row r="2646" spans="1:31" ht="15" customHeight="1" x14ac:dyDescent="0.25">
      <c r="A2646" s="20" t="s">
        <v>3490</v>
      </c>
      <c r="B2646" s="20" t="s">
        <v>3825</v>
      </c>
      <c r="C2646" s="20" t="s">
        <v>3825</v>
      </c>
      <c r="D2646" s="378" t="s">
        <v>3826</v>
      </c>
      <c r="E2646" s="384">
        <v>44582</v>
      </c>
      <c r="F2646" s="384">
        <v>46408</v>
      </c>
      <c r="G2646" s="378" t="s">
        <v>3827</v>
      </c>
      <c r="H2646" s="20" t="s">
        <v>3828</v>
      </c>
      <c r="I2646" s="378" t="s">
        <v>162</v>
      </c>
      <c r="J2646" s="20" t="s">
        <v>2831</v>
      </c>
      <c r="K2646" s="378" t="s">
        <v>3829</v>
      </c>
      <c r="L2646" s="378" t="s">
        <v>165</v>
      </c>
      <c r="M2646" s="380">
        <v>510</v>
      </c>
      <c r="N2646" s="380" t="s">
        <v>443</v>
      </c>
      <c r="O2646" s="380" t="s">
        <v>443</v>
      </c>
      <c r="P2646" s="380" t="s">
        <v>443</v>
      </c>
      <c r="Q2646" s="381">
        <v>-382</v>
      </c>
      <c r="R2646" s="381">
        <v>280</v>
      </c>
      <c r="S2646" s="381">
        <v>-663</v>
      </c>
      <c r="T2646" s="381">
        <v>0</v>
      </c>
      <c r="U2646" s="381">
        <v>784.66666666666663</v>
      </c>
      <c r="V2646" s="382">
        <v>401.66666666666663</v>
      </c>
      <c r="W2646" s="382">
        <v>784.66666666666663</v>
      </c>
      <c r="X2646" s="381">
        <v>-0.74901960784313726</v>
      </c>
      <c r="Y2646" s="381">
        <v>0.5490196078431373</v>
      </c>
      <c r="Z2646" s="381">
        <v>-1.3</v>
      </c>
      <c r="AA2646" s="381">
        <v>0</v>
      </c>
      <c r="AB2646" s="381">
        <v>1.5385620915032678</v>
      </c>
      <c r="AC2646" s="382">
        <v>0.7875816993464051</v>
      </c>
      <c r="AD2646" s="382">
        <v>1.5385620915032678</v>
      </c>
      <c r="AE2646" s="381" t="s">
        <v>168</v>
      </c>
    </row>
    <row r="2647" spans="1:31" ht="15" customHeight="1" x14ac:dyDescent="0.25">
      <c r="A2647" s="20" t="s">
        <v>3490</v>
      </c>
      <c r="B2647" s="20" t="s">
        <v>3825</v>
      </c>
      <c r="C2647" s="20" t="s">
        <v>3825</v>
      </c>
      <c r="D2647" s="378" t="s">
        <v>3830</v>
      </c>
      <c r="E2647" s="384">
        <v>44582</v>
      </c>
      <c r="F2647" s="384">
        <v>46408</v>
      </c>
      <c r="G2647" s="378" t="s">
        <v>3827</v>
      </c>
      <c r="H2647" s="20" t="s">
        <v>3828</v>
      </c>
      <c r="I2647" s="378" t="s">
        <v>162</v>
      </c>
      <c r="J2647" s="20" t="s">
        <v>2831</v>
      </c>
      <c r="K2647" s="378" t="s">
        <v>3829</v>
      </c>
      <c r="L2647" s="378" t="s">
        <v>165</v>
      </c>
      <c r="M2647" s="380">
        <v>510</v>
      </c>
      <c r="N2647" s="380" t="s">
        <v>443</v>
      </c>
      <c r="O2647" s="380" t="s">
        <v>443</v>
      </c>
      <c r="P2647" s="380" t="s">
        <v>443</v>
      </c>
      <c r="Q2647" s="381">
        <v>-382</v>
      </c>
      <c r="R2647" s="381">
        <v>280</v>
      </c>
      <c r="S2647" s="381">
        <v>-663</v>
      </c>
      <c r="T2647" s="381">
        <v>0</v>
      </c>
      <c r="U2647" s="381">
        <v>784.66666666666663</v>
      </c>
      <c r="V2647" s="382">
        <v>401.66666666666663</v>
      </c>
      <c r="W2647" s="382">
        <v>784.66666666666663</v>
      </c>
      <c r="X2647" s="381">
        <v>-0.74901960784313726</v>
      </c>
      <c r="Y2647" s="381">
        <v>0.5490196078431373</v>
      </c>
      <c r="Z2647" s="381">
        <v>-1.3</v>
      </c>
      <c r="AA2647" s="381">
        <v>0</v>
      </c>
      <c r="AB2647" s="381">
        <v>1.5385620915032678</v>
      </c>
      <c r="AC2647" s="382">
        <v>0.7875816993464051</v>
      </c>
      <c r="AD2647" s="382">
        <v>1.5385620915032678</v>
      </c>
      <c r="AE2647" s="381" t="s">
        <v>168</v>
      </c>
    </row>
    <row r="2648" spans="1:31" ht="15" customHeight="1" x14ac:dyDescent="0.25">
      <c r="A2648" s="20" t="s">
        <v>3490</v>
      </c>
      <c r="B2648" s="20" t="s">
        <v>3825</v>
      </c>
      <c r="C2648" s="20" t="s">
        <v>3825</v>
      </c>
      <c r="D2648" s="378" t="s">
        <v>3831</v>
      </c>
      <c r="E2648" s="384">
        <v>44582</v>
      </c>
      <c r="F2648" s="384">
        <v>46408</v>
      </c>
      <c r="G2648" s="378" t="s">
        <v>3827</v>
      </c>
      <c r="H2648" s="20" t="s">
        <v>3828</v>
      </c>
      <c r="I2648" s="378" t="s">
        <v>162</v>
      </c>
      <c r="J2648" s="20" t="s">
        <v>2831</v>
      </c>
      <c r="K2648" s="378" t="s">
        <v>3829</v>
      </c>
      <c r="L2648" s="378" t="s">
        <v>165</v>
      </c>
      <c r="M2648" s="380">
        <v>510</v>
      </c>
      <c r="N2648" s="380" t="s">
        <v>443</v>
      </c>
      <c r="O2648" s="380" t="s">
        <v>443</v>
      </c>
      <c r="P2648" s="380" t="s">
        <v>443</v>
      </c>
      <c r="Q2648" s="381">
        <v>-382</v>
      </c>
      <c r="R2648" s="381">
        <v>280</v>
      </c>
      <c r="S2648" s="381">
        <v>-663</v>
      </c>
      <c r="T2648" s="381">
        <v>0</v>
      </c>
      <c r="U2648" s="381">
        <v>784.66666666666663</v>
      </c>
      <c r="V2648" s="382">
        <v>401.66666666666663</v>
      </c>
      <c r="W2648" s="382">
        <v>784.66666666666663</v>
      </c>
      <c r="X2648" s="381">
        <v>-0.74901960784313726</v>
      </c>
      <c r="Y2648" s="381">
        <v>0.5490196078431373</v>
      </c>
      <c r="Z2648" s="381">
        <v>-1.3</v>
      </c>
      <c r="AA2648" s="381">
        <v>0</v>
      </c>
      <c r="AB2648" s="381">
        <v>1.5385620915032678</v>
      </c>
      <c r="AC2648" s="382">
        <v>0.7875816993464051</v>
      </c>
      <c r="AD2648" s="382">
        <v>1.5385620915032678</v>
      </c>
      <c r="AE2648" s="381" t="s">
        <v>168</v>
      </c>
    </row>
    <row r="2649" spans="1:31" ht="15" customHeight="1" x14ac:dyDescent="0.25">
      <c r="A2649" s="20" t="s">
        <v>3490</v>
      </c>
      <c r="B2649" s="20" t="s">
        <v>3825</v>
      </c>
      <c r="C2649" s="20" t="s">
        <v>3825</v>
      </c>
      <c r="D2649" s="378" t="s">
        <v>3832</v>
      </c>
      <c r="E2649" s="384">
        <v>44582</v>
      </c>
      <c r="F2649" s="384">
        <v>46408</v>
      </c>
      <c r="G2649" s="378" t="s">
        <v>3827</v>
      </c>
      <c r="H2649" s="20" t="s">
        <v>3828</v>
      </c>
      <c r="I2649" s="378" t="s">
        <v>162</v>
      </c>
      <c r="J2649" s="20" t="s">
        <v>2831</v>
      </c>
      <c r="K2649" s="378" t="s">
        <v>3829</v>
      </c>
      <c r="L2649" s="378" t="s">
        <v>165</v>
      </c>
      <c r="M2649" s="380">
        <v>510</v>
      </c>
      <c r="N2649" s="380" t="s">
        <v>443</v>
      </c>
      <c r="O2649" s="380" t="s">
        <v>443</v>
      </c>
      <c r="P2649" s="380" t="s">
        <v>443</v>
      </c>
      <c r="Q2649" s="381">
        <v>-382</v>
      </c>
      <c r="R2649" s="381">
        <v>280</v>
      </c>
      <c r="S2649" s="381">
        <v>-663</v>
      </c>
      <c r="T2649" s="381">
        <v>0</v>
      </c>
      <c r="U2649" s="381">
        <v>784.66666666666663</v>
      </c>
      <c r="V2649" s="382">
        <v>401.66666666666663</v>
      </c>
      <c r="W2649" s="382">
        <v>784.66666666666663</v>
      </c>
      <c r="X2649" s="381">
        <v>-0.74901960784313726</v>
      </c>
      <c r="Y2649" s="381">
        <v>0.5490196078431373</v>
      </c>
      <c r="Z2649" s="381">
        <v>-1.3</v>
      </c>
      <c r="AA2649" s="381">
        <v>0</v>
      </c>
      <c r="AB2649" s="381">
        <v>1.5385620915032678</v>
      </c>
      <c r="AC2649" s="382">
        <v>0.7875816993464051</v>
      </c>
      <c r="AD2649" s="382">
        <v>1.5385620915032678</v>
      </c>
      <c r="AE2649" s="381" t="s">
        <v>168</v>
      </c>
    </row>
    <row r="2650" spans="1:31" ht="15" customHeight="1" x14ac:dyDescent="0.25">
      <c r="A2650" s="20" t="s">
        <v>3490</v>
      </c>
      <c r="B2650" s="20" t="s">
        <v>3825</v>
      </c>
      <c r="C2650" s="20" t="s">
        <v>3825</v>
      </c>
      <c r="D2650" s="378" t="s">
        <v>3833</v>
      </c>
      <c r="E2650" s="384">
        <v>44582</v>
      </c>
      <c r="F2650" s="384">
        <v>46408</v>
      </c>
      <c r="G2650" s="378" t="s">
        <v>3827</v>
      </c>
      <c r="H2650" s="20" t="s">
        <v>3828</v>
      </c>
      <c r="I2650" s="378" t="s">
        <v>162</v>
      </c>
      <c r="J2650" s="20" t="s">
        <v>2831</v>
      </c>
      <c r="K2650" s="378" t="s">
        <v>3829</v>
      </c>
      <c r="L2650" s="378" t="s">
        <v>165</v>
      </c>
      <c r="M2650" s="380">
        <v>440</v>
      </c>
      <c r="N2650" s="380" t="s">
        <v>443</v>
      </c>
      <c r="O2650" s="380" t="s">
        <v>443</v>
      </c>
      <c r="P2650" s="380" t="s">
        <v>443</v>
      </c>
      <c r="Q2650" s="381">
        <v>-382</v>
      </c>
      <c r="R2650" s="381">
        <v>280</v>
      </c>
      <c r="S2650" s="381">
        <v>-663</v>
      </c>
      <c r="T2650" s="381">
        <v>0</v>
      </c>
      <c r="U2650" s="381">
        <v>784.66666666666663</v>
      </c>
      <c r="V2650" s="382">
        <v>401.66666666666663</v>
      </c>
      <c r="W2650" s="382">
        <v>784.66666666666663</v>
      </c>
      <c r="X2650" s="381">
        <v>-0.86818181818181817</v>
      </c>
      <c r="Y2650" s="381">
        <v>0.63636363636363635</v>
      </c>
      <c r="Z2650" s="381">
        <v>-1.5068181818181818</v>
      </c>
      <c r="AA2650" s="381">
        <v>0</v>
      </c>
      <c r="AB2650" s="381">
        <v>1.7833333333333332</v>
      </c>
      <c r="AC2650" s="382">
        <v>0.91287878787878773</v>
      </c>
      <c r="AD2650" s="382">
        <v>1.7833333333333332</v>
      </c>
      <c r="AE2650" s="381" t="s">
        <v>168</v>
      </c>
    </row>
    <row r="2651" spans="1:31" ht="15" customHeight="1" x14ac:dyDescent="0.25">
      <c r="A2651" s="20" t="s">
        <v>3490</v>
      </c>
      <c r="B2651" s="20" t="s">
        <v>3825</v>
      </c>
      <c r="C2651" s="20" t="s">
        <v>3825</v>
      </c>
      <c r="D2651" s="378" t="s">
        <v>3834</v>
      </c>
      <c r="E2651" s="384">
        <v>44582</v>
      </c>
      <c r="F2651" s="384">
        <v>46408</v>
      </c>
      <c r="G2651" s="378" t="s">
        <v>3827</v>
      </c>
      <c r="H2651" s="20" t="s">
        <v>3828</v>
      </c>
      <c r="I2651" s="378" t="s">
        <v>162</v>
      </c>
      <c r="J2651" s="20" t="s">
        <v>2831</v>
      </c>
      <c r="K2651" s="378" t="s">
        <v>3829</v>
      </c>
      <c r="L2651" s="378" t="s">
        <v>165</v>
      </c>
      <c r="M2651" s="380">
        <v>440</v>
      </c>
      <c r="N2651" s="380" t="s">
        <v>443</v>
      </c>
      <c r="O2651" s="380" t="s">
        <v>443</v>
      </c>
      <c r="P2651" s="380" t="s">
        <v>443</v>
      </c>
      <c r="Q2651" s="381">
        <v>-382</v>
      </c>
      <c r="R2651" s="381">
        <v>280</v>
      </c>
      <c r="S2651" s="381">
        <v>-663</v>
      </c>
      <c r="T2651" s="381">
        <v>0</v>
      </c>
      <c r="U2651" s="381">
        <v>784.66666666666663</v>
      </c>
      <c r="V2651" s="382">
        <v>401.66666666666663</v>
      </c>
      <c r="W2651" s="382">
        <v>784.66666666666663</v>
      </c>
      <c r="X2651" s="381">
        <v>-0.86818181818181817</v>
      </c>
      <c r="Y2651" s="381">
        <v>0.63636363636363635</v>
      </c>
      <c r="Z2651" s="381">
        <v>-1.5068181818181818</v>
      </c>
      <c r="AA2651" s="381">
        <v>0</v>
      </c>
      <c r="AB2651" s="381">
        <v>1.7833333333333332</v>
      </c>
      <c r="AC2651" s="382">
        <v>0.91287878787878773</v>
      </c>
      <c r="AD2651" s="382">
        <v>1.7833333333333332</v>
      </c>
      <c r="AE2651" s="381" t="s">
        <v>168</v>
      </c>
    </row>
    <row r="2652" spans="1:31" ht="15" customHeight="1" x14ac:dyDescent="0.25">
      <c r="A2652" s="20" t="s">
        <v>3490</v>
      </c>
      <c r="B2652" s="20" t="s">
        <v>3825</v>
      </c>
      <c r="C2652" s="20" t="s">
        <v>3825</v>
      </c>
      <c r="D2652" s="378" t="s">
        <v>3835</v>
      </c>
      <c r="E2652" s="384">
        <v>45205</v>
      </c>
      <c r="F2652" s="384">
        <v>47032</v>
      </c>
      <c r="G2652" s="378" t="s">
        <v>3827</v>
      </c>
      <c r="H2652" s="20" t="s">
        <v>3836</v>
      </c>
      <c r="I2652" s="378" t="s">
        <v>162</v>
      </c>
      <c r="J2652" s="20" t="s">
        <v>2831</v>
      </c>
      <c r="K2652" s="378" t="s">
        <v>3837</v>
      </c>
      <c r="L2652" s="378" t="s">
        <v>165</v>
      </c>
      <c r="M2652" s="380">
        <v>510</v>
      </c>
      <c r="N2652" s="380" t="s">
        <v>443</v>
      </c>
      <c r="O2652" s="380" t="s">
        <v>443</v>
      </c>
      <c r="P2652" s="380" t="s">
        <v>443</v>
      </c>
      <c r="Q2652" s="381">
        <v>-643</v>
      </c>
      <c r="R2652" s="381">
        <v>121</v>
      </c>
      <c r="S2652" s="381">
        <v>-765</v>
      </c>
      <c r="T2652" s="381">
        <v>0</v>
      </c>
      <c r="U2652" s="381">
        <v>766.33333333333337</v>
      </c>
      <c r="V2652" s="382">
        <v>122.33333333333337</v>
      </c>
      <c r="W2652" s="382">
        <v>766.33333333333337</v>
      </c>
      <c r="X2652" s="381">
        <v>-1.2607843137254902</v>
      </c>
      <c r="Y2652" s="381">
        <v>0.2372549019607843</v>
      </c>
      <c r="Z2652" s="381">
        <v>-1.5</v>
      </c>
      <c r="AA2652" s="381">
        <v>0</v>
      </c>
      <c r="AB2652" s="381">
        <v>1.5026143790849673</v>
      </c>
      <c r="AC2652" s="382">
        <v>0.23986928104575167</v>
      </c>
      <c r="AD2652" s="382">
        <v>1.5026143790849673</v>
      </c>
      <c r="AE2652" s="381" t="s">
        <v>168</v>
      </c>
    </row>
    <row r="2653" spans="1:31" ht="15" customHeight="1" x14ac:dyDescent="0.25">
      <c r="A2653" s="20" t="s">
        <v>3490</v>
      </c>
      <c r="B2653" s="20" t="s">
        <v>3825</v>
      </c>
      <c r="C2653" s="20" t="s">
        <v>3825</v>
      </c>
      <c r="D2653" s="378" t="s">
        <v>3838</v>
      </c>
      <c r="E2653" s="384">
        <v>44013</v>
      </c>
      <c r="F2653" s="384">
        <v>45839</v>
      </c>
      <c r="G2653" s="378" t="s">
        <v>2837</v>
      </c>
      <c r="H2653" s="20" t="s">
        <v>3839</v>
      </c>
      <c r="I2653" s="378" t="s">
        <v>441</v>
      </c>
      <c r="J2653" s="20" t="s">
        <v>3311</v>
      </c>
      <c r="K2653" s="378" t="s">
        <v>3840</v>
      </c>
      <c r="L2653" s="378" t="s">
        <v>165</v>
      </c>
      <c r="M2653" s="380">
        <v>548</v>
      </c>
      <c r="N2653" s="380" t="s">
        <v>443</v>
      </c>
      <c r="O2653" s="380" t="s">
        <v>443</v>
      </c>
      <c r="P2653" s="380" t="s">
        <v>443</v>
      </c>
      <c r="Q2653" s="381">
        <v>-636.8599999999999</v>
      </c>
      <c r="R2653" s="381">
        <v>361.45</v>
      </c>
      <c r="S2653" s="381">
        <v>0</v>
      </c>
      <c r="T2653" s="381">
        <v>0</v>
      </c>
      <c r="U2653" s="381">
        <v>998.31</v>
      </c>
      <c r="V2653" s="382">
        <v>361.45000000000005</v>
      </c>
      <c r="W2653" s="382">
        <v>998.31</v>
      </c>
      <c r="X2653" s="381">
        <v>-1.1621532846715326</v>
      </c>
      <c r="Y2653" s="381">
        <v>0.65958029197080292</v>
      </c>
      <c r="Z2653" s="381">
        <v>0</v>
      </c>
      <c r="AA2653" s="381">
        <v>0</v>
      </c>
      <c r="AB2653" s="381">
        <v>1.8217335766423357</v>
      </c>
      <c r="AC2653" s="382">
        <v>0.65958029197080315</v>
      </c>
      <c r="AD2653" s="382">
        <v>1.8217335766423357</v>
      </c>
      <c r="AE2653" s="381" t="s">
        <v>168</v>
      </c>
    </row>
    <row r="2654" spans="1:31" ht="15" customHeight="1" x14ac:dyDescent="0.25">
      <c r="A2654" s="20" t="s">
        <v>3490</v>
      </c>
      <c r="B2654" s="20" t="s">
        <v>3825</v>
      </c>
      <c r="C2654" s="20" t="s">
        <v>3825</v>
      </c>
      <c r="D2654" s="378" t="s">
        <v>3841</v>
      </c>
      <c r="E2654" s="384">
        <v>45205</v>
      </c>
      <c r="F2654" s="384">
        <v>47032</v>
      </c>
      <c r="G2654" s="378" t="s">
        <v>3806</v>
      </c>
      <c r="H2654" s="20" t="s">
        <v>3842</v>
      </c>
      <c r="I2654" s="378" t="s">
        <v>162</v>
      </c>
      <c r="J2654" s="20" t="s">
        <v>2831</v>
      </c>
      <c r="K2654" s="378" t="s">
        <v>3843</v>
      </c>
      <c r="L2654" s="378" t="s">
        <v>165</v>
      </c>
      <c r="M2654" s="380">
        <v>519</v>
      </c>
      <c r="N2654" s="380">
        <v>64.900000000000006</v>
      </c>
      <c r="O2654" s="380" t="s">
        <v>443</v>
      </c>
      <c r="P2654" s="380" t="s">
        <v>443</v>
      </c>
      <c r="Q2654" s="381">
        <v>-585.31044684129438</v>
      </c>
      <c r="R2654" s="381">
        <v>175.93220338983051</v>
      </c>
      <c r="S2654" s="381">
        <v>-762.90600924499222</v>
      </c>
      <c r="T2654" s="381">
        <v>1.6633590138674881</v>
      </c>
      <c r="U2654" s="381">
        <v>765.30508474576266</v>
      </c>
      <c r="V2654" s="382">
        <v>179.9946379044685</v>
      </c>
      <c r="W2654" s="382">
        <v>765.30508474576266</v>
      </c>
      <c r="X2654" s="381">
        <v>-1.1277657935285055</v>
      </c>
      <c r="Y2654" s="381">
        <v>0.33898305084745761</v>
      </c>
      <c r="Z2654" s="381">
        <v>-1.4699537750385208</v>
      </c>
      <c r="AA2654" s="381">
        <v>3.2049306625577807E-3</v>
      </c>
      <c r="AB2654" s="381">
        <v>1.4745762711864405</v>
      </c>
      <c r="AC2654" s="382">
        <v>0.34681047765793505</v>
      </c>
      <c r="AD2654" s="382">
        <v>1.4745762711864405</v>
      </c>
      <c r="AE2654" s="381" t="s">
        <v>168</v>
      </c>
    </row>
    <row r="2655" spans="1:31" ht="15" customHeight="1" x14ac:dyDescent="0.25">
      <c r="A2655" s="20" t="s">
        <v>3490</v>
      </c>
      <c r="B2655" s="20" t="s">
        <v>3825</v>
      </c>
      <c r="C2655" s="20" t="s">
        <v>3825</v>
      </c>
      <c r="D2655" s="378" t="s">
        <v>3844</v>
      </c>
      <c r="E2655" s="384">
        <v>45028</v>
      </c>
      <c r="F2655" s="384">
        <v>46855</v>
      </c>
      <c r="G2655" s="378" t="s">
        <v>2829</v>
      </c>
      <c r="H2655" s="20" t="s">
        <v>3845</v>
      </c>
      <c r="I2655" s="378" t="s">
        <v>162</v>
      </c>
      <c r="J2655" s="20" t="s">
        <v>2831</v>
      </c>
      <c r="K2655" s="378" t="s">
        <v>3846</v>
      </c>
      <c r="L2655" s="378" t="s">
        <v>165</v>
      </c>
      <c r="M2655" s="380">
        <v>609</v>
      </c>
      <c r="N2655" s="380" t="s">
        <v>443</v>
      </c>
      <c r="O2655" s="380" t="s">
        <v>443</v>
      </c>
      <c r="P2655" s="380" t="s">
        <v>443</v>
      </c>
      <c r="Q2655" s="381">
        <v>-820.53</v>
      </c>
      <c r="R2655" s="381">
        <v>100.79</v>
      </c>
      <c r="S2655" s="381">
        <v>-920.928</v>
      </c>
      <c r="T2655" s="381">
        <v>0</v>
      </c>
      <c r="U2655" s="381">
        <v>924</v>
      </c>
      <c r="V2655" s="382">
        <v>103.86199999999997</v>
      </c>
      <c r="W2655" s="382">
        <v>924</v>
      </c>
      <c r="X2655" s="381">
        <v>-1.3473399014778324</v>
      </c>
      <c r="Y2655" s="381">
        <v>0.16550082101806241</v>
      </c>
      <c r="Z2655" s="381">
        <v>-1.5121970443349753</v>
      </c>
      <c r="AA2655" s="381">
        <v>0</v>
      </c>
      <c r="AB2655" s="381">
        <v>1.5172413793103448</v>
      </c>
      <c r="AC2655" s="382">
        <v>0.1705451559934319</v>
      </c>
      <c r="AD2655" s="382">
        <v>1.5172413793103448</v>
      </c>
      <c r="AE2655" s="381" t="s">
        <v>168</v>
      </c>
    </row>
    <row r="2656" spans="1:31" ht="15" customHeight="1" x14ac:dyDescent="0.25">
      <c r="A2656" s="20" t="s">
        <v>3490</v>
      </c>
      <c r="B2656" s="20" t="s">
        <v>3825</v>
      </c>
      <c r="C2656" s="20" t="s">
        <v>3825</v>
      </c>
      <c r="D2656" s="378" t="s">
        <v>3847</v>
      </c>
      <c r="E2656" s="384">
        <v>45028</v>
      </c>
      <c r="F2656" s="384">
        <v>46855</v>
      </c>
      <c r="G2656" s="378" t="s">
        <v>2829</v>
      </c>
      <c r="H2656" s="20" t="s">
        <v>3845</v>
      </c>
      <c r="I2656" s="378" t="s">
        <v>162</v>
      </c>
      <c r="J2656" s="20" t="s">
        <v>2831</v>
      </c>
      <c r="K2656" s="378" t="s">
        <v>3846</v>
      </c>
      <c r="L2656" s="378" t="s">
        <v>165</v>
      </c>
      <c r="M2656" s="380">
        <v>609</v>
      </c>
      <c r="N2656" s="380" t="s">
        <v>443</v>
      </c>
      <c r="O2656" s="380" t="s">
        <v>443</v>
      </c>
      <c r="P2656" s="380" t="s">
        <v>443</v>
      </c>
      <c r="Q2656" s="381">
        <v>-830</v>
      </c>
      <c r="R2656" s="381">
        <v>91.4</v>
      </c>
      <c r="S2656" s="381">
        <v>-921</v>
      </c>
      <c r="T2656" s="381">
        <v>0</v>
      </c>
      <c r="U2656" s="381">
        <v>924</v>
      </c>
      <c r="V2656" s="382">
        <v>94.399999999999977</v>
      </c>
      <c r="W2656" s="382">
        <v>924</v>
      </c>
      <c r="X2656" s="381">
        <v>-1.3628899835796386</v>
      </c>
      <c r="Y2656" s="381">
        <v>0.15008210180623974</v>
      </c>
      <c r="Z2656" s="381">
        <v>-1.5123152709359606</v>
      </c>
      <c r="AA2656" s="381">
        <v>0</v>
      </c>
      <c r="AB2656" s="381">
        <v>1.5172413793103448</v>
      </c>
      <c r="AC2656" s="382">
        <v>0.15500821018062383</v>
      </c>
      <c r="AD2656" s="382">
        <v>1.5172413793103448</v>
      </c>
      <c r="AE2656" s="381" t="s">
        <v>168</v>
      </c>
    </row>
    <row r="2657" spans="1:31" ht="15" customHeight="1" x14ac:dyDescent="0.25">
      <c r="A2657" s="20" t="s">
        <v>3490</v>
      </c>
      <c r="B2657" s="20" t="s">
        <v>3825</v>
      </c>
      <c r="C2657" s="20" t="s">
        <v>3825</v>
      </c>
      <c r="D2657" s="378" t="s">
        <v>3848</v>
      </c>
      <c r="E2657" s="384">
        <v>45208</v>
      </c>
      <c r="F2657" s="384">
        <v>47034</v>
      </c>
      <c r="G2657" s="378" t="s">
        <v>3806</v>
      </c>
      <c r="H2657" s="20" t="s">
        <v>3849</v>
      </c>
      <c r="I2657" s="378" t="s">
        <v>162</v>
      </c>
      <c r="J2657" s="20" t="s">
        <v>2831</v>
      </c>
      <c r="K2657" s="378" t="s">
        <v>3850</v>
      </c>
      <c r="L2657" s="378" t="s">
        <v>165</v>
      </c>
      <c r="M2657" s="380">
        <v>610</v>
      </c>
      <c r="N2657" s="380" t="s">
        <v>443</v>
      </c>
      <c r="O2657" s="380" t="s">
        <v>443</v>
      </c>
      <c r="P2657" s="380" t="s">
        <v>443</v>
      </c>
      <c r="Q2657" s="381">
        <v>-735</v>
      </c>
      <c r="R2657" s="381">
        <v>300</v>
      </c>
      <c r="S2657" s="381">
        <v>-1040</v>
      </c>
      <c r="T2657" s="381">
        <v>0</v>
      </c>
      <c r="U2657" s="381">
        <v>1034</v>
      </c>
      <c r="V2657" s="382">
        <v>300</v>
      </c>
      <c r="W2657" s="382">
        <v>1034</v>
      </c>
      <c r="X2657" s="381">
        <v>-1.2049180327868851</v>
      </c>
      <c r="Y2657" s="381">
        <v>0.49180327868852458</v>
      </c>
      <c r="Z2657" s="381">
        <v>-1.7049180327868851</v>
      </c>
      <c r="AA2657" s="381">
        <v>0</v>
      </c>
      <c r="AB2657" s="381">
        <v>1.6950819672131148</v>
      </c>
      <c r="AC2657" s="382">
        <v>0.49180327868852447</v>
      </c>
      <c r="AD2657" s="382">
        <v>1.6950819672131148</v>
      </c>
      <c r="AE2657" s="381" t="s">
        <v>168</v>
      </c>
    </row>
    <row r="2658" spans="1:31" ht="15" customHeight="1" x14ac:dyDescent="0.25">
      <c r="A2658" s="20" t="s">
        <v>3395</v>
      </c>
      <c r="B2658" s="20" t="s">
        <v>3851</v>
      </c>
      <c r="C2658" s="20" t="s">
        <v>3851</v>
      </c>
      <c r="D2658" s="378" t="s">
        <v>3852</v>
      </c>
      <c r="E2658" s="384">
        <v>45016</v>
      </c>
      <c r="F2658" s="384">
        <v>46843</v>
      </c>
      <c r="G2658" s="378" t="s">
        <v>179</v>
      </c>
      <c r="H2658" s="20" t="s">
        <v>3853</v>
      </c>
      <c r="I2658" s="20" t="s">
        <v>162</v>
      </c>
      <c r="J2658" s="20" t="s">
        <v>163</v>
      </c>
      <c r="K2658" s="378" t="s">
        <v>3854</v>
      </c>
      <c r="L2658" s="378" t="s">
        <v>2848</v>
      </c>
      <c r="M2658" s="380"/>
      <c r="N2658" s="380"/>
      <c r="O2658" s="380"/>
      <c r="P2658" s="380"/>
      <c r="Q2658" s="381">
        <v>111.67</v>
      </c>
      <c r="R2658" s="381"/>
      <c r="S2658" s="381"/>
      <c r="T2658" s="381"/>
      <c r="U2658" s="381"/>
      <c r="V2658" s="382">
        <v>111.67</v>
      </c>
      <c r="W2658" s="382">
        <v>0</v>
      </c>
      <c r="X2658" s="381">
        <v>0.11167000000000001</v>
      </c>
      <c r="Y2658" s="381">
        <v>0</v>
      </c>
      <c r="Z2658" s="381">
        <v>0</v>
      </c>
      <c r="AA2658" s="381">
        <v>0</v>
      </c>
      <c r="AB2658" s="381">
        <v>0</v>
      </c>
      <c r="AC2658" s="382">
        <v>0.11167000000000001</v>
      </c>
      <c r="AD2658" s="382">
        <v>0</v>
      </c>
      <c r="AE2658" s="381" t="s">
        <v>168</v>
      </c>
    </row>
    <row r="2659" spans="1:31" ht="15" customHeight="1" x14ac:dyDescent="0.25">
      <c r="A2659" s="20" t="s">
        <v>3395</v>
      </c>
      <c r="B2659" s="20" t="s">
        <v>3851</v>
      </c>
      <c r="C2659" s="20" t="s">
        <v>3851</v>
      </c>
      <c r="D2659" s="378" t="s">
        <v>3855</v>
      </c>
      <c r="E2659" s="384">
        <v>45016</v>
      </c>
      <c r="F2659" s="384">
        <v>46843</v>
      </c>
      <c r="G2659" s="378" t="s">
        <v>193</v>
      </c>
      <c r="H2659" s="20" t="s">
        <v>3853</v>
      </c>
      <c r="I2659" s="20" t="s">
        <v>162</v>
      </c>
      <c r="J2659" s="20" t="s">
        <v>163</v>
      </c>
      <c r="K2659" s="378" t="s">
        <v>3854</v>
      </c>
      <c r="L2659" s="378" t="s">
        <v>2848</v>
      </c>
      <c r="M2659" s="380"/>
      <c r="N2659" s="380"/>
      <c r="O2659" s="380"/>
      <c r="P2659" s="380"/>
      <c r="Q2659" s="381">
        <v>182.86</v>
      </c>
      <c r="R2659" s="381"/>
      <c r="S2659" s="381"/>
      <c r="T2659" s="381"/>
      <c r="U2659" s="381"/>
      <c r="V2659" s="382">
        <v>182.86</v>
      </c>
      <c r="W2659" s="382">
        <v>0</v>
      </c>
      <c r="X2659" s="381">
        <v>0.18286000000000002</v>
      </c>
      <c r="Y2659" s="381">
        <v>0</v>
      </c>
      <c r="Z2659" s="381">
        <v>0</v>
      </c>
      <c r="AA2659" s="381">
        <v>0</v>
      </c>
      <c r="AB2659" s="381">
        <v>0</v>
      </c>
      <c r="AC2659" s="382">
        <v>0.18286000000000002</v>
      </c>
      <c r="AD2659" s="382">
        <v>0</v>
      </c>
      <c r="AE2659" s="381" t="s">
        <v>168</v>
      </c>
    </row>
    <row r="2660" spans="1:31" ht="15" customHeight="1" x14ac:dyDescent="0.25">
      <c r="A2660" s="20" t="s">
        <v>3395</v>
      </c>
      <c r="B2660" s="20" t="s">
        <v>3851</v>
      </c>
      <c r="C2660" s="20" t="s">
        <v>3851</v>
      </c>
      <c r="D2660" s="378" t="s">
        <v>3856</v>
      </c>
      <c r="E2660" s="384">
        <v>45016</v>
      </c>
      <c r="F2660" s="384">
        <v>46843</v>
      </c>
      <c r="G2660" s="378" t="s">
        <v>193</v>
      </c>
      <c r="H2660" s="20" t="s">
        <v>3853</v>
      </c>
      <c r="I2660" s="20" t="s">
        <v>162</v>
      </c>
      <c r="J2660" s="20" t="s">
        <v>163</v>
      </c>
      <c r="K2660" s="378" t="s">
        <v>3854</v>
      </c>
      <c r="L2660" s="378" t="s">
        <v>2848</v>
      </c>
      <c r="M2660" s="380"/>
      <c r="N2660" s="380"/>
      <c r="O2660" s="380"/>
      <c r="P2660" s="380"/>
      <c r="Q2660" s="381">
        <v>140.59</v>
      </c>
      <c r="R2660" s="381"/>
      <c r="S2660" s="381"/>
      <c r="T2660" s="381"/>
      <c r="U2660" s="381"/>
      <c r="V2660" s="382">
        <v>140.59</v>
      </c>
      <c r="W2660" s="382">
        <v>0</v>
      </c>
      <c r="X2660" s="381">
        <v>0.14058999999999999</v>
      </c>
      <c r="Y2660" s="381">
        <v>0</v>
      </c>
      <c r="Z2660" s="381">
        <v>0</v>
      </c>
      <c r="AA2660" s="381">
        <v>0</v>
      </c>
      <c r="AB2660" s="381">
        <v>0</v>
      </c>
      <c r="AC2660" s="382">
        <v>0.14058999999999999</v>
      </c>
      <c r="AD2660" s="382">
        <v>0</v>
      </c>
      <c r="AE2660" s="381" t="s">
        <v>168</v>
      </c>
    </row>
    <row r="2661" spans="1:31" ht="15" customHeight="1" x14ac:dyDescent="0.25">
      <c r="A2661" s="20" t="s">
        <v>3395</v>
      </c>
      <c r="B2661" s="20" t="s">
        <v>3851</v>
      </c>
      <c r="C2661" s="20" t="s">
        <v>3851</v>
      </c>
      <c r="D2661" s="378" t="s">
        <v>3857</v>
      </c>
      <c r="E2661" s="384">
        <v>45016</v>
      </c>
      <c r="F2661" s="384">
        <v>46843</v>
      </c>
      <c r="G2661" s="378" t="s">
        <v>2928</v>
      </c>
      <c r="H2661" s="20" t="s">
        <v>3853</v>
      </c>
      <c r="I2661" s="20" t="s">
        <v>162</v>
      </c>
      <c r="J2661" s="20" t="s">
        <v>163</v>
      </c>
      <c r="K2661" s="378" t="s">
        <v>3854</v>
      </c>
      <c r="L2661" s="378" t="s">
        <v>2848</v>
      </c>
      <c r="M2661" s="380"/>
      <c r="N2661" s="380"/>
      <c r="O2661" s="380"/>
      <c r="P2661" s="380"/>
      <c r="Q2661" s="381">
        <v>145.88999999999999</v>
      </c>
      <c r="R2661" s="381"/>
      <c r="S2661" s="381"/>
      <c r="T2661" s="381"/>
      <c r="U2661" s="381"/>
      <c r="V2661" s="382">
        <v>145.88999999999999</v>
      </c>
      <c r="W2661" s="382">
        <v>0</v>
      </c>
      <c r="X2661" s="381">
        <v>0.14588999999999999</v>
      </c>
      <c r="Y2661" s="381">
        <v>0</v>
      </c>
      <c r="Z2661" s="381">
        <v>0</v>
      </c>
      <c r="AA2661" s="381">
        <v>0</v>
      </c>
      <c r="AB2661" s="381">
        <v>0</v>
      </c>
      <c r="AC2661" s="382">
        <v>0.14588999999999999</v>
      </c>
      <c r="AD2661" s="382">
        <v>0</v>
      </c>
      <c r="AE2661" s="381" t="s">
        <v>168</v>
      </c>
    </row>
    <row r="2662" spans="1:31" ht="15" customHeight="1" x14ac:dyDescent="0.25">
      <c r="A2662" s="20" t="s">
        <v>3395</v>
      </c>
      <c r="B2662" s="20" t="s">
        <v>3851</v>
      </c>
      <c r="C2662" s="20" t="s">
        <v>3851</v>
      </c>
      <c r="D2662" s="378" t="s">
        <v>3858</v>
      </c>
      <c r="E2662" s="384">
        <v>45016</v>
      </c>
      <c r="F2662" s="384">
        <v>46843</v>
      </c>
      <c r="G2662" s="378" t="s">
        <v>179</v>
      </c>
      <c r="H2662" s="20" t="s">
        <v>3853</v>
      </c>
      <c r="I2662" s="20" t="s">
        <v>162</v>
      </c>
      <c r="J2662" s="20" t="s">
        <v>163</v>
      </c>
      <c r="K2662" s="378" t="s">
        <v>3854</v>
      </c>
      <c r="L2662" s="378" t="s">
        <v>2848</v>
      </c>
      <c r="M2662" s="380"/>
      <c r="N2662" s="380"/>
      <c r="O2662" s="380"/>
      <c r="P2662" s="380"/>
      <c r="Q2662" s="381">
        <v>113.56</v>
      </c>
      <c r="R2662" s="381"/>
      <c r="S2662" s="381"/>
      <c r="T2662" s="381"/>
      <c r="U2662" s="381"/>
      <c r="V2662" s="382">
        <v>113.56</v>
      </c>
      <c r="W2662" s="382">
        <v>0</v>
      </c>
      <c r="X2662" s="381">
        <v>0.11356000000000001</v>
      </c>
      <c r="Y2662" s="381">
        <v>0</v>
      </c>
      <c r="Z2662" s="381">
        <v>0</v>
      </c>
      <c r="AA2662" s="381">
        <v>0</v>
      </c>
      <c r="AB2662" s="381">
        <v>0</v>
      </c>
      <c r="AC2662" s="382">
        <v>0.11356000000000001</v>
      </c>
      <c r="AD2662" s="382">
        <v>0</v>
      </c>
      <c r="AE2662" s="381" t="s">
        <v>168</v>
      </c>
    </row>
    <row r="2663" spans="1:31" ht="15" customHeight="1" x14ac:dyDescent="0.25">
      <c r="A2663" s="20" t="s">
        <v>3395</v>
      </c>
      <c r="B2663" s="20" t="s">
        <v>3851</v>
      </c>
      <c r="C2663" s="20" t="s">
        <v>3851</v>
      </c>
      <c r="D2663" s="378" t="s">
        <v>3859</v>
      </c>
      <c r="E2663" s="384">
        <v>45016</v>
      </c>
      <c r="F2663" s="384">
        <v>46843</v>
      </c>
      <c r="G2663" s="378" t="s">
        <v>179</v>
      </c>
      <c r="H2663" s="20" t="s">
        <v>3853</v>
      </c>
      <c r="I2663" s="20" t="s">
        <v>162</v>
      </c>
      <c r="J2663" s="20" t="s">
        <v>163</v>
      </c>
      <c r="K2663" s="378" t="s">
        <v>3854</v>
      </c>
      <c r="L2663" s="378" t="s">
        <v>2848</v>
      </c>
      <c r="M2663" s="380"/>
      <c r="N2663" s="380"/>
      <c r="O2663" s="380"/>
      <c r="P2663" s="380"/>
      <c r="Q2663" s="381">
        <v>160.91999999999999</v>
      </c>
      <c r="R2663" s="381"/>
      <c r="S2663" s="381"/>
      <c r="T2663" s="381"/>
      <c r="U2663" s="381"/>
      <c r="V2663" s="382">
        <v>160.91999999999999</v>
      </c>
      <c r="W2663" s="382">
        <v>0</v>
      </c>
      <c r="X2663" s="381">
        <v>0.16091999999999998</v>
      </c>
      <c r="Y2663" s="381">
        <v>0</v>
      </c>
      <c r="Z2663" s="381">
        <v>0</v>
      </c>
      <c r="AA2663" s="381">
        <v>0</v>
      </c>
      <c r="AB2663" s="381">
        <v>0</v>
      </c>
      <c r="AC2663" s="382">
        <v>0.16091999999999998</v>
      </c>
      <c r="AD2663" s="382">
        <v>0</v>
      </c>
      <c r="AE2663" s="381" t="s">
        <v>168</v>
      </c>
    </row>
    <row r="2664" spans="1:31" ht="15" customHeight="1" x14ac:dyDescent="0.25">
      <c r="A2664" s="20" t="s">
        <v>3395</v>
      </c>
      <c r="B2664" s="20" t="s">
        <v>3851</v>
      </c>
      <c r="C2664" s="20" t="s">
        <v>3851</v>
      </c>
      <c r="D2664" s="378" t="s">
        <v>3860</v>
      </c>
      <c r="E2664" s="384">
        <v>45016</v>
      </c>
      <c r="F2664" s="384">
        <v>46843</v>
      </c>
      <c r="G2664" s="378" t="s">
        <v>179</v>
      </c>
      <c r="H2664" s="20" t="s">
        <v>3853</v>
      </c>
      <c r="I2664" s="20" t="s">
        <v>162</v>
      </c>
      <c r="J2664" s="20" t="s">
        <v>163</v>
      </c>
      <c r="K2664" s="378" t="s">
        <v>3854</v>
      </c>
      <c r="L2664" s="378" t="s">
        <v>2848</v>
      </c>
      <c r="M2664" s="380"/>
      <c r="N2664" s="380"/>
      <c r="O2664" s="380"/>
      <c r="P2664" s="380"/>
      <c r="Q2664" s="381">
        <v>138.43</v>
      </c>
      <c r="R2664" s="381"/>
      <c r="S2664" s="381"/>
      <c r="T2664" s="381"/>
      <c r="U2664" s="381"/>
      <c r="V2664" s="382">
        <v>138.43</v>
      </c>
      <c r="W2664" s="382">
        <v>0</v>
      </c>
      <c r="X2664" s="381">
        <v>0.13843</v>
      </c>
      <c r="Y2664" s="381">
        <v>0</v>
      </c>
      <c r="Z2664" s="381">
        <v>0</v>
      </c>
      <c r="AA2664" s="381">
        <v>0</v>
      </c>
      <c r="AB2664" s="381">
        <v>0</v>
      </c>
      <c r="AC2664" s="382">
        <v>0.13843</v>
      </c>
      <c r="AD2664" s="382">
        <v>0</v>
      </c>
      <c r="AE2664" s="381" t="s">
        <v>168</v>
      </c>
    </row>
    <row r="2665" spans="1:31" ht="15" customHeight="1" x14ac:dyDescent="0.25">
      <c r="A2665" s="20" t="s">
        <v>3395</v>
      </c>
      <c r="B2665" s="20" t="s">
        <v>3851</v>
      </c>
      <c r="C2665" s="20" t="s">
        <v>3851</v>
      </c>
      <c r="D2665" s="378" t="s">
        <v>3861</v>
      </c>
      <c r="E2665" s="384">
        <v>45016</v>
      </c>
      <c r="F2665" s="384">
        <v>46843</v>
      </c>
      <c r="G2665" s="378" t="s">
        <v>179</v>
      </c>
      <c r="H2665" s="20" t="s">
        <v>3853</v>
      </c>
      <c r="I2665" s="20" t="s">
        <v>162</v>
      </c>
      <c r="J2665" s="20" t="s">
        <v>163</v>
      </c>
      <c r="K2665" s="378" t="s">
        <v>3854</v>
      </c>
      <c r="L2665" s="378" t="s">
        <v>2848</v>
      </c>
      <c r="M2665" s="380"/>
      <c r="N2665" s="380"/>
      <c r="O2665" s="380"/>
      <c r="P2665" s="380"/>
      <c r="Q2665" s="381">
        <v>240.39</v>
      </c>
      <c r="R2665" s="381"/>
      <c r="S2665" s="381"/>
      <c r="T2665" s="381"/>
      <c r="U2665" s="381"/>
      <c r="V2665" s="382">
        <v>240.39</v>
      </c>
      <c r="W2665" s="382">
        <v>0</v>
      </c>
      <c r="X2665" s="381">
        <v>0.24038999999999999</v>
      </c>
      <c r="Y2665" s="381">
        <v>0</v>
      </c>
      <c r="Z2665" s="381">
        <v>0</v>
      </c>
      <c r="AA2665" s="381">
        <v>0</v>
      </c>
      <c r="AB2665" s="381">
        <v>0</v>
      </c>
      <c r="AC2665" s="382">
        <v>0.24038999999999999</v>
      </c>
      <c r="AD2665" s="382">
        <v>0</v>
      </c>
      <c r="AE2665" s="381" t="s">
        <v>168</v>
      </c>
    </row>
    <row r="2666" spans="1:31" ht="15" customHeight="1" x14ac:dyDescent="0.25">
      <c r="A2666" s="20" t="s">
        <v>3395</v>
      </c>
      <c r="B2666" s="20" t="s">
        <v>3851</v>
      </c>
      <c r="C2666" s="20" t="s">
        <v>3851</v>
      </c>
      <c r="D2666" s="378" t="s">
        <v>3862</v>
      </c>
      <c r="E2666" s="384">
        <v>45016</v>
      </c>
      <c r="F2666" s="384">
        <v>46843</v>
      </c>
      <c r="G2666" s="378" t="s">
        <v>179</v>
      </c>
      <c r="H2666" s="20" t="s">
        <v>3853</v>
      </c>
      <c r="I2666" s="20" t="s">
        <v>162</v>
      </c>
      <c r="J2666" s="20" t="s">
        <v>163</v>
      </c>
      <c r="K2666" s="378" t="s">
        <v>3854</v>
      </c>
      <c r="L2666" s="378" t="s">
        <v>2848</v>
      </c>
      <c r="M2666" s="380"/>
      <c r="N2666" s="380"/>
      <c r="O2666" s="380"/>
      <c r="P2666" s="380"/>
      <c r="Q2666" s="381">
        <v>152.26</v>
      </c>
      <c r="R2666" s="381"/>
      <c r="S2666" s="381"/>
      <c r="T2666" s="381"/>
      <c r="U2666" s="381"/>
      <c r="V2666" s="382">
        <v>152.26</v>
      </c>
      <c r="W2666" s="382">
        <v>0</v>
      </c>
      <c r="X2666" s="381">
        <v>0.15225999999999998</v>
      </c>
      <c r="Y2666" s="381">
        <v>0</v>
      </c>
      <c r="Z2666" s="381">
        <v>0</v>
      </c>
      <c r="AA2666" s="381">
        <v>0</v>
      </c>
      <c r="AB2666" s="381">
        <v>0</v>
      </c>
      <c r="AC2666" s="382">
        <v>0.15225999999999998</v>
      </c>
      <c r="AD2666" s="382">
        <v>0</v>
      </c>
      <c r="AE2666" s="381" t="s">
        <v>168</v>
      </c>
    </row>
    <row r="2667" spans="1:31" ht="15" customHeight="1" x14ac:dyDescent="0.25">
      <c r="A2667" s="20" t="s">
        <v>3395</v>
      </c>
      <c r="B2667" s="20" t="s">
        <v>3851</v>
      </c>
      <c r="C2667" s="20" t="s">
        <v>3851</v>
      </c>
      <c r="D2667" s="378" t="s">
        <v>3863</v>
      </c>
      <c r="E2667" s="384">
        <v>45016</v>
      </c>
      <c r="F2667" s="384">
        <v>46843</v>
      </c>
      <c r="G2667" s="378" t="s">
        <v>193</v>
      </c>
      <c r="H2667" s="20" t="s">
        <v>3853</v>
      </c>
      <c r="I2667" s="20" t="s">
        <v>162</v>
      </c>
      <c r="J2667" s="20" t="s">
        <v>163</v>
      </c>
      <c r="K2667" s="378" t="s">
        <v>3854</v>
      </c>
      <c r="L2667" s="378" t="s">
        <v>2848</v>
      </c>
      <c r="M2667" s="380"/>
      <c r="N2667" s="380"/>
      <c r="O2667" s="380"/>
      <c r="P2667" s="380"/>
      <c r="Q2667" s="381">
        <v>205.51</v>
      </c>
      <c r="R2667" s="381"/>
      <c r="S2667" s="381"/>
      <c r="T2667" s="381"/>
      <c r="U2667" s="381"/>
      <c r="V2667" s="382">
        <v>205.51</v>
      </c>
      <c r="W2667" s="382">
        <v>0</v>
      </c>
      <c r="X2667" s="381">
        <v>0.20551</v>
      </c>
      <c r="Y2667" s="381">
        <v>0</v>
      </c>
      <c r="Z2667" s="381">
        <v>0</v>
      </c>
      <c r="AA2667" s="381">
        <v>0</v>
      </c>
      <c r="AB2667" s="381">
        <v>0</v>
      </c>
      <c r="AC2667" s="382">
        <v>0.20551</v>
      </c>
      <c r="AD2667" s="382">
        <v>0</v>
      </c>
      <c r="AE2667" s="381" t="s">
        <v>168</v>
      </c>
    </row>
    <row r="2668" spans="1:31" ht="15" customHeight="1" x14ac:dyDescent="0.25">
      <c r="A2668" s="20" t="s">
        <v>3395</v>
      </c>
      <c r="B2668" s="20" t="s">
        <v>3851</v>
      </c>
      <c r="C2668" s="20" t="s">
        <v>3851</v>
      </c>
      <c r="D2668" s="378" t="s">
        <v>3864</v>
      </c>
      <c r="E2668" s="384">
        <v>45016</v>
      </c>
      <c r="F2668" s="384">
        <v>46843</v>
      </c>
      <c r="G2668" s="378" t="s">
        <v>2928</v>
      </c>
      <c r="H2668" s="20" t="s">
        <v>3853</v>
      </c>
      <c r="I2668" s="20" t="s">
        <v>162</v>
      </c>
      <c r="J2668" s="20" t="s">
        <v>163</v>
      </c>
      <c r="K2668" s="378" t="s">
        <v>3854</v>
      </c>
      <c r="L2668" s="378" t="s">
        <v>2848</v>
      </c>
      <c r="M2668" s="380"/>
      <c r="N2668" s="380"/>
      <c r="O2668" s="380"/>
      <c r="P2668" s="380"/>
      <c r="Q2668" s="381">
        <v>139.84</v>
      </c>
      <c r="R2668" s="381"/>
      <c r="S2668" s="381"/>
      <c r="T2668" s="381"/>
      <c r="U2668" s="381"/>
      <c r="V2668" s="382">
        <v>139.84</v>
      </c>
      <c r="W2668" s="382">
        <v>0</v>
      </c>
      <c r="X2668" s="381">
        <v>0.13983999999999999</v>
      </c>
      <c r="Y2668" s="381">
        <v>0</v>
      </c>
      <c r="Z2668" s="381">
        <v>0</v>
      </c>
      <c r="AA2668" s="381">
        <v>0</v>
      </c>
      <c r="AB2668" s="381">
        <v>0</v>
      </c>
      <c r="AC2668" s="382">
        <v>0.13983999999999999</v>
      </c>
      <c r="AD2668" s="382">
        <v>0</v>
      </c>
      <c r="AE2668" s="381" t="s">
        <v>168</v>
      </c>
    </row>
    <row r="2669" spans="1:31" ht="15" customHeight="1" x14ac:dyDescent="0.25">
      <c r="A2669" s="20" t="s">
        <v>3395</v>
      </c>
      <c r="B2669" s="20" t="s">
        <v>3851</v>
      </c>
      <c r="C2669" s="20" t="s">
        <v>3851</v>
      </c>
      <c r="D2669" s="378" t="s">
        <v>3865</v>
      </c>
      <c r="E2669" s="384">
        <v>44620</v>
      </c>
      <c r="F2669" s="384">
        <v>46446</v>
      </c>
      <c r="G2669" s="378" t="s">
        <v>439</v>
      </c>
      <c r="H2669" s="20" t="s">
        <v>3866</v>
      </c>
      <c r="I2669" s="20" t="s">
        <v>353</v>
      </c>
      <c r="J2669" s="20" t="s">
        <v>163</v>
      </c>
      <c r="K2669" s="378" t="s">
        <v>3867</v>
      </c>
      <c r="L2669" s="378" t="s">
        <v>2848</v>
      </c>
      <c r="M2669" s="380"/>
      <c r="N2669" s="380"/>
      <c r="O2669" s="380"/>
      <c r="P2669" s="380"/>
      <c r="Q2669" s="381">
        <v>147</v>
      </c>
      <c r="R2669" s="381"/>
      <c r="S2669" s="381"/>
      <c r="T2669" s="381"/>
      <c r="U2669" s="381"/>
      <c r="V2669" s="382">
        <v>147</v>
      </c>
      <c r="W2669" s="382">
        <v>0</v>
      </c>
      <c r="X2669" s="381">
        <v>0.14699999999999999</v>
      </c>
      <c r="Y2669" s="381">
        <v>0</v>
      </c>
      <c r="Z2669" s="381">
        <v>0</v>
      </c>
      <c r="AA2669" s="381">
        <v>0</v>
      </c>
      <c r="AB2669" s="381">
        <v>0</v>
      </c>
      <c r="AC2669" s="382">
        <v>0.14699999999999999</v>
      </c>
      <c r="AD2669" s="382">
        <v>0</v>
      </c>
      <c r="AE2669" s="381" t="s">
        <v>168</v>
      </c>
    </row>
    <row r="2670" spans="1:31" ht="15" customHeight="1" x14ac:dyDescent="0.25">
      <c r="A2670" s="20" t="s">
        <v>3395</v>
      </c>
      <c r="B2670" s="20" t="s">
        <v>3851</v>
      </c>
      <c r="C2670" s="20" t="s">
        <v>3851</v>
      </c>
      <c r="D2670" s="378" t="s">
        <v>3868</v>
      </c>
      <c r="E2670" s="384">
        <v>44620</v>
      </c>
      <c r="F2670" s="384">
        <v>46446</v>
      </c>
      <c r="G2670" s="378" t="s">
        <v>439</v>
      </c>
      <c r="H2670" s="20" t="s">
        <v>3866</v>
      </c>
      <c r="I2670" s="20" t="s">
        <v>353</v>
      </c>
      <c r="J2670" s="20" t="s">
        <v>163</v>
      </c>
      <c r="K2670" s="378" t="s">
        <v>3867</v>
      </c>
      <c r="L2670" s="378" t="s">
        <v>2848</v>
      </c>
      <c r="M2670" s="380"/>
      <c r="N2670" s="380"/>
      <c r="O2670" s="380"/>
      <c r="P2670" s="380"/>
      <c r="Q2670" s="381">
        <v>160</v>
      </c>
      <c r="R2670" s="381"/>
      <c r="S2670" s="381"/>
      <c r="T2670" s="381"/>
      <c r="U2670" s="381"/>
      <c r="V2670" s="382">
        <v>160</v>
      </c>
      <c r="W2670" s="382">
        <v>0</v>
      </c>
      <c r="X2670" s="381">
        <v>0.16</v>
      </c>
      <c r="Y2670" s="381">
        <v>0</v>
      </c>
      <c r="Z2670" s="381">
        <v>0</v>
      </c>
      <c r="AA2670" s="381">
        <v>0</v>
      </c>
      <c r="AB2670" s="381">
        <v>0</v>
      </c>
      <c r="AC2670" s="382">
        <v>0.16</v>
      </c>
      <c r="AD2670" s="382">
        <v>0</v>
      </c>
      <c r="AE2670" s="381" t="s">
        <v>168</v>
      </c>
    </row>
    <row r="2671" spans="1:31" ht="15" customHeight="1" x14ac:dyDescent="0.25">
      <c r="A2671" s="20" t="s">
        <v>3395</v>
      </c>
      <c r="B2671" s="20" t="s">
        <v>3851</v>
      </c>
      <c r="C2671" s="20" t="s">
        <v>3851</v>
      </c>
      <c r="D2671" s="378" t="s">
        <v>3869</v>
      </c>
      <c r="E2671" s="384">
        <v>44620</v>
      </c>
      <c r="F2671" s="384">
        <v>46446</v>
      </c>
      <c r="G2671" s="378" t="s">
        <v>439</v>
      </c>
      <c r="H2671" s="20" t="s">
        <v>3866</v>
      </c>
      <c r="I2671" s="20" t="s">
        <v>353</v>
      </c>
      <c r="J2671" s="20" t="s">
        <v>163</v>
      </c>
      <c r="K2671" s="378" t="s">
        <v>3867</v>
      </c>
      <c r="L2671" s="378" t="s">
        <v>2848</v>
      </c>
      <c r="M2671" s="380"/>
      <c r="N2671" s="380"/>
      <c r="O2671" s="380"/>
      <c r="P2671" s="380"/>
      <c r="Q2671" s="381">
        <v>160</v>
      </c>
      <c r="R2671" s="381"/>
      <c r="S2671" s="381"/>
      <c r="T2671" s="381"/>
      <c r="U2671" s="381"/>
      <c r="V2671" s="382">
        <v>160</v>
      </c>
      <c r="W2671" s="382">
        <v>0</v>
      </c>
      <c r="X2671" s="381">
        <v>0.16</v>
      </c>
      <c r="Y2671" s="381">
        <v>0</v>
      </c>
      <c r="Z2671" s="381">
        <v>0</v>
      </c>
      <c r="AA2671" s="381">
        <v>0</v>
      </c>
      <c r="AB2671" s="381">
        <v>0</v>
      </c>
      <c r="AC2671" s="382">
        <v>0.16</v>
      </c>
      <c r="AD2671" s="382">
        <v>0</v>
      </c>
      <c r="AE2671" s="381" t="s">
        <v>168</v>
      </c>
    </row>
    <row r="2672" spans="1:31" ht="15" customHeight="1" x14ac:dyDescent="0.25">
      <c r="A2672" s="20" t="s">
        <v>3395</v>
      </c>
      <c r="B2672" s="20" t="s">
        <v>3851</v>
      </c>
      <c r="C2672" s="20" t="s">
        <v>3851</v>
      </c>
      <c r="D2672" s="378" t="s">
        <v>3870</v>
      </c>
      <c r="E2672" s="384">
        <v>44620</v>
      </c>
      <c r="F2672" s="384">
        <v>46446</v>
      </c>
      <c r="G2672" s="378" t="s">
        <v>439</v>
      </c>
      <c r="H2672" s="20" t="s">
        <v>3866</v>
      </c>
      <c r="I2672" s="20" t="s">
        <v>353</v>
      </c>
      <c r="J2672" s="20" t="s">
        <v>163</v>
      </c>
      <c r="K2672" s="378" t="s">
        <v>3867</v>
      </c>
      <c r="L2672" s="378" t="s">
        <v>2848</v>
      </c>
      <c r="M2672" s="380"/>
      <c r="N2672" s="380"/>
      <c r="O2672" s="380"/>
      <c r="P2672" s="380"/>
      <c r="Q2672" s="381">
        <v>170</v>
      </c>
      <c r="R2672" s="381"/>
      <c r="S2672" s="381"/>
      <c r="T2672" s="381"/>
      <c r="U2672" s="381"/>
      <c r="V2672" s="382">
        <v>170</v>
      </c>
      <c r="W2672" s="382">
        <v>0</v>
      </c>
      <c r="X2672" s="381">
        <v>0.17</v>
      </c>
      <c r="Y2672" s="381">
        <v>0</v>
      </c>
      <c r="Z2672" s="381">
        <v>0</v>
      </c>
      <c r="AA2672" s="381">
        <v>0</v>
      </c>
      <c r="AB2672" s="381">
        <v>0</v>
      </c>
      <c r="AC2672" s="382">
        <v>0.17</v>
      </c>
      <c r="AD2672" s="382">
        <v>0</v>
      </c>
      <c r="AE2672" s="381" t="s">
        <v>168</v>
      </c>
    </row>
    <row r="2673" spans="1:31" ht="15" customHeight="1" x14ac:dyDescent="0.25">
      <c r="A2673" s="20" t="s">
        <v>3395</v>
      </c>
      <c r="B2673" s="20" t="s">
        <v>3851</v>
      </c>
      <c r="C2673" s="20" t="s">
        <v>3851</v>
      </c>
      <c r="D2673" s="378" t="s">
        <v>3871</v>
      </c>
      <c r="E2673" s="384">
        <v>44620</v>
      </c>
      <c r="F2673" s="384">
        <v>46446</v>
      </c>
      <c r="G2673" s="378" t="s">
        <v>439</v>
      </c>
      <c r="H2673" s="20" t="s">
        <v>3866</v>
      </c>
      <c r="I2673" s="20" t="s">
        <v>353</v>
      </c>
      <c r="J2673" s="20" t="s">
        <v>163</v>
      </c>
      <c r="K2673" s="378" t="s">
        <v>3867</v>
      </c>
      <c r="L2673" s="378" t="s">
        <v>2848</v>
      </c>
      <c r="M2673" s="380"/>
      <c r="N2673" s="380"/>
      <c r="O2673" s="380"/>
      <c r="P2673" s="380"/>
      <c r="Q2673" s="381">
        <v>162</v>
      </c>
      <c r="R2673" s="381"/>
      <c r="S2673" s="381"/>
      <c r="T2673" s="381"/>
      <c r="U2673" s="381"/>
      <c r="V2673" s="382">
        <v>162</v>
      </c>
      <c r="W2673" s="382">
        <v>0</v>
      </c>
      <c r="X2673" s="381">
        <v>0.16200000000000001</v>
      </c>
      <c r="Y2673" s="381">
        <v>0</v>
      </c>
      <c r="Z2673" s="381">
        <v>0</v>
      </c>
      <c r="AA2673" s="381">
        <v>0</v>
      </c>
      <c r="AB2673" s="381">
        <v>0</v>
      </c>
      <c r="AC2673" s="382">
        <v>0.16200000000000001</v>
      </c>
      <c r="AD2673" s="382">
        <v>0</v>
      </c>
      <c r="AE2673" s="381" t="s">
        <v>168</v>
      </c>
    </row>
    <row r="2674" spans="1:31" ht="15" customHeight="1" x14ac:dyDescent="0.25">
      <c r="A2674" s="20" t="s">
        <v>3395</v>
      </c>
      <c r="B2674" s="20" t="s">
        <v>3851</v>
      </c>
      <c r="C2674" s="20" t="s">
        <v>3851</v>
      </c>
      <c r="D2674" s="378" t="s">
        <v>3872</v>
      </c>
      <c r="E2674" s="384">
        <v>44620</v>
      </c>
      <c r="F2674" s="384">
        <v>46446</v>
      </c>
      <c r="G2674" s="378" t="s">
        <v>439</v>
      </c>
      <c r="H2674" s="20" t="s">
        <v>3866</v>
      </c>
      <c r="I2674" s="20" t="s">
        <v>353</v>
      </c>
      <c r="J2674" s="20" t="s">
        <v>163</v>
      </c>
      <c r="K2674" s="378" t="s">
        <v>3867</v>
      </c>
      <c r="L2674" s="378" t="s">
        <v>2848</v>
      </c>
      <c r="M2674" s="380"/>
      <c r="N2674" s="380"/>
      <c r="O2674" s="380"/>
      <c r="P2674" s="380"/>
      <c r="Q2674" s="381">
        <v>168</v>
      </c>
      <c r="R2674" s="381"/>
      <c r="S2674" s="381"/>
      <c r="T2674" s="381"/>
      <c r="U2674" s="381"/>
      <c r="V2674" s="382">
        <v>168</v>
      </c>
      <c r="W2674" s="382">
        <v>0</v>
      </c>
      <c r="X2674" s="381">
        <v>0.16800000000000001</v>
      </c>
      <c r="Y2674" s="381">
        <v>0</v>
      </c>
      <c r="Z2674" s="381">
        <v>0</v>
      </c>
      <c r="AA2674" s="381">
        <v>0</v>
      </c>
      <c r="AB2674" s="381">
        <v>0</v>
      </c>
      <c r="AC2674" s="382">
        <v>0.16800000000000001</v>
      </c>
      <c r="AD2674" s="382">
        <v>0</v>
      </c>
      <c r="AE2674" s="381" t="s">
        <v>168</v>
      </c>
    </row>
    <row r="2675" spans="1:31" ht="15" customHeight="1" x14ac:dyDescent="0.25">
      <c r="A2675" s="20" t="s">
        <v>3395</v>
      </c>
      <c r="B2675" s="20" t="s">
        <v>3851</v>
      </c>
      <c r="C2675" s="20" t="s">
        <v>3851</v>
      </c>
      <c r="D2675" s="378" t="s">
        <v>3873</v>
      </c>
      <c r="E2675" s="384">
        <v>44620</v>
      </c>
      <c r="F2675" s="384">
        <v>46446</v>
      </c>
      <c r="G2675" s="378" t="s">
        <v>439</v>
      </c>
      <c r="H2675" s="20" t="s">
        <v>3866</v>
      </c>
      <c r="I2675" s="20" t="s">
        <v>353</v>
      </c>
      <c r="J2675" s="20" t="s">
        <v>163</v>
      </c>
      <c r="K2675" s="378" t="s">
        <v>3867</v>
      </c>
      <c r="L2675" s="378" t="s">
        <v>2848</v>
      </c>
      <c r="M2675" s="380"/>
      <c r="N2675" s="380"/>
      <c r="O2675" s="380"/>
      <c r="P2675" s="380"/>
      <c r="Q2675" s="381">
        <v>160</v>
      </c>
      <c r="R2675" s="381"/>
      <c r="S2675" s="381"/>
      <c r="T2675" s="381"/>
      <c r="U2675" s="381"/>
      <c r="V2675" s="382">
        <v>160</v>
      </c>
      <c r="W2675" s="382">
        <v>0</v>
      </c>
      <c r="X2675" s="381">
        <v>0.16</v>
      </c>
      <c r="Y2675" s="381">
        <v>0</v>
      </c>
      <c r="Z2675" s="381">
        <v>0</v>
      </c>
      <c r="AA2675" s="381">
        <v>0</v>
      </c>
      <c r="AB2675" s="381">
        <v>0</v>
      </c>
      <c r="AC2675" s="382">
        <v>0.16</v>
      </c>
      <c r="AD2675" s="382">
        <v>0</v>
      </c>
      <c r="AE2675" s="381" t="s">
        <v>168</v>
      </c>
    </row>
    <row r="2676" spans="1:31" ht="15" customHeight="1" x14ac:dyDescent="0.25">
      <c r="A2676" s="20" t="s">
        <v>3395</v>
      </c>
      <c r="B2676" s="20" t="s">
        <v>3851</v>
      </c>
      <c r="C2676" s="20" t="s">
        <v>3851</v>
      </c>
      <c r="D2676" s="378" t="s">
        <v>3874</v>
      </c>
      <c r="E2676" s="384">
        <v>44620</v>
      </c>
      <c r="F2676" s="384">
        <v>46446</v>
      </c>
      <c r="G2676" s="378" t="s">
        <v>439</v>
      </c>
      <c r="H2676" s="20" t="s">
        <v>3866</v>
      </c>
      <c r="I2676" s="20" t="s">
        <v>353</v>
      </c>
      <c r="J2676" s="20" t="s">
        <v>163</v>
      </c>
      <c r="K2676" s="378" t="s">
        <v>3867</v>
      </c>
      <c r="L2676" s="378" t="s">
        <v>2848</v>
      </c>
      <c r="M2676" s="380"/>
      <c r="N2676" s="380"/>
      <c r="O2676" s="380"/>
      <c r="P2676" s="380"/>
      <c r="Q2676" s="381">
        <v>163</v>
      </c>
      <c r="R2676" s="381"/>
      <c r="S2676" s="381"/>
      <c r="T2676" s="381"/>
      <c r="U2676" s="381"/>
      <c r="V2676" s="382">
        <v>163</v>
      </c>
      <c r="W2676" s="382">
        <v>0</v>
      </c>
      <c r="X2676" s="381">
        <v>0.16300000000000001</v>
      </c>
      <c r="Y2676" s="381">
        <v>0</v>
      </c>
      <c r="Z2676" s="381">
        <v>0</v>
      </c>
      <c r="AA2676" s="381">
        <v>0</v>
      </c>
      <c r="AB2676" s="381">
        <v>0</v>
      </c>
      <c r="AC2676" s="382">
        <v>0.16300000000000001</v>
      </c>
      <c r="AD2676" s="382">
        <v>0</v>
      </c>
      <c r="AE2676" s="381" t="s">
        <v>168</v>
      </c>
    </row>
    <row r="2677" spans="1:31" ht="15" customHeight="1" x14ac:dyDescent="0.25">
      <c r="A2677" s="20" t="s">
        <v>3395</v>
      </c>
      <c r="B2677" s="20" t="s">
        <v>3851</v>
      </c>
      <c r="C2677" s="20" t="s">
        <v>3851</v>
      </c>
      <c r="D2677" s="378" t="s">
        <v>3875</v>
      </c>
      <c r="E2677" s="384">
        <v>44620</v>
      </c>
      <c r="F2677" s="384">
        <v>46446</v>
      </c>
      <c r="G2677" s="378" t="s">
        <v>439</v>
      </c>
      <c r="H2677" s="20" t="s">
        <v>3866</v>
      </c>
      <c r="I2677" s="20" t="s">
        <v>353</v>
      </c>
      <c r="J2677" s="20" t="s">
        <v>163</v>
      </c>
      <c r="K2677" s="378" t="s">
        <v>3867</v>
      </c>
      <c r="L2677" s="378" t="s">
        <v>2848</v>
      </c>
      <c r="M2677" s="380"/>
      <c r="N2677" s="380"/>
      <c r="O2677" s="380"/>
      <c r="P2677" s="380"/>
      <c r="Q2677" s="381">
        <v>168</v>
      </c>
      <c r="R2677" s="381"/>
      <c r="S2677" s="381"/>
      <c r="T2677" s="381"/>
      <c r="U2677" s="381"/>
      <c r="V2677" s="382">
        <v>168</v>
      </c>
      <c r="W2677" s="382">
        <v>0</v>
      </c>
      <c r="X2677" s="381">
        <v>0.16800000000000001</v>
      </c>
      <c r="Y2677" s="381">
        <v>0</v>
      </c>
      <c r="Z2677" s="381">
        <v>0</v>
      </c>
      <c r="AA2677" s="381">
        <v>0</v>
      </c>
      <c r="AB2677" s="381">
        <v>0</v>
      </c>
      <c r="AC2677" s="382">
        <v>0.16800000000000001</v>
      </c>
      <c r="AD2677" s="382">
        <v>0</v>
      </c>
      <c r="AE2677" s="381" t="s">
        <v>168</v>
      </c>
    </row>
    <row r="2678" spans="1:31" ht="15" customHeight="1" x14ac:dyDescent="0.25">
      <c r="A2678" s="20" t="s">
        <v>3395</v>
      </c>
      <c r="B2678" s="20" t="s">
        <v>3851</v>
      </c>
      <c r="C2678" s="20" t="s">
        <v>3851</v>
      </c>
      <c r="D2678" s="378" t="s">
        <v>3876</v>
      </c>
      <c r="E2678" s="384">
        <v>44620</v>
      </c>
      <c r="F2678" s="384">
        <v>46446</v>
      </c>
      <c r="G2678" s="378" t="s">
        <v>439</v>
      </c>
      <c r="H2678" s="20" t="s">
        <v>3866</v>
      </c>
      <c r="I2678" s="20" t="s">
        <v>353</v>
      </c>
      <c r="J2678" s="20" t="s">
        <v>163</v>
      </c>
      <c r="K2678" s="378" t="s">
        <v>3867</v>
      </c>
      <c r="L2678" s="378" t="s">
        <v>2848</v>
      </c>
      <c r="M2678" s="380"/>
      <c r="N2678" s="380"/>
      <c r="O2678" s="380"/>
      <c r="P2678" s="380"/>
      <c r="Q2678" s="381">
        <v>174</v>
      </c>
      <c r="R2678" s="381"/>
      <c r="S2678" s="381"/>
      <c r="T2678" s="381"/>
      <c r="U2678" s="381"/>
      <c r="V2678" s="382">
        <v>174</v>
      </c>
      <c r="W2678" s="382">
        <v>0</v>
      </c>
      <c r="X2678" s="381">
        <v>0.17399999999999999</v>
      </c>
      <c r="Y2678" s="381">
        <v>0</v>
      </c>
      <c r="Z2678" s="381">
        <v>0</v>
      </c>
      <c r="AA2678" s="381">
        <v>0</v>
      </c>
      <c r="AB2678" s="381">
        <v>0</v>
      </c>
      <c r="AC2678" s="382">
        <v>0.17399999999999999</v>
      </c>
      <c r="AD2678" s="382">
        <v>0</v>
      </c>
      <c r="AE2678" s="381" t="s">
        <v>168</v>
      </c>
    </row>
    <row r="2679" spans="1:31" ht="15" customHeight="1" x14ac:dyDescent="0.25">
      <c r="A2679" s="20" t="s">
        <v>3395</v>
      </c>
      <c r="B2679" s="20" t="s">
        <v>3851</v>
      </c>
      <c r="C2679" s="20" t="s">
        <v>3851</v>
      </c>
      <c r="D2679" s="378" t="s">
        <v>3877</v>
      </c>
      <c r="E2679" s="384">
        <v>44620</v>
      </c>
      <c r="F2679" s="384">
        <v>46446</v>
      </c>
      <c r="G2679" s="378" t="s">
        <v>439</v>
      </c>
      <c r="H2679" s="20" t="s">
        <v>3866</v>
      </c>
      <c r="I2679" s="20" t="s">
        <v>353</v>
      </c>
      <c r="J2679" s="20" t="s">
        <v>163</v>
      </c>
      <c r="K2679" s="378" t="s">
        <v>3867</v>
      </c>
      <c r="L2679" s="378" t="s">
        <v>2848</v>
      </c>
      <c r="M2679" s="380"/>
      <c r="N2679" s="380"/>
      <c r="O2679" s="380"/>
      <c r="P2679" s="380"/>
      <c r="Q2679" s="381">
        <v>172</v>
      </c>
      <c r="R2679" s="381"/>
      <c r="S2679" s="381"/>
      <c r="T2679" s="381"/>
      <c r="U2679" s="381"/>
      <c r="V2679" s="382">
        <v>172</v>
      </c>
      <c r="W2679" s="382">
        <v>0</v>
      </c>
      <c r="X2679" s="381">
        <v>0.17199999999999999</v>
      </c>
      <c r="Y2679" s="381">
        <v>0</v>
      </c>
      <c r="Z2679" s="381">
        <v>0</v>
      </c>
      <c r="AA2679" s="381">
        <v>0</v>
      </c>
      <c r="AB2679" s="381">
        <v>0</v>
      </c>
      <c r="AC2679" s="382">
        <v>0.17199999999999999</v>
      </c>
      <c r="AD2679" s="382">
        <v>0</v>
      </c>
      <c r="AE2679" s="381" t="s">
        <v>168</v>
      </c>
    </row>
    <row r="2680" spans="1:31" ht="15" customHeight="1" x14ac:dyDescent="0.25">
      <c r="A2680" s="20" t="s">
        <v>3395</v>
      </c>
      <c r="B2680" s="20" t="s">
        <v>3851</v>
      </c>
      <c r="C2680" s="20" t="s">
        <v>3851</v>
      </c>
      <c r="D2680" s="378" t="s">
        <v>3878</v>
      </c>
      <c r="E2680" s="384">
        <v>44620</v>
      </c>
      <c r="F2680" s="384">
        <v>46446</v>
      </c>
      <c r="G2680" s="378" t="s">
        <v>439</v>
      </c>
      <c r="H2680" s="20" t="s">
        <v>3866</v>
      </c>
      <c r="I2680" s="20" t="s">
        <v>353</v>
      </c>
      <c r="J2680" s="20" t="s">
        <v>163</v>
      </c>
      <c r="K2680" s="378" t="s">
        <v>3867</v>
      </c>
      <c r="L2680" s="378" t="s">
        <v>2848</v>
      </c>
      <c r="M2680" s="380"/>
      <c r="N2680" s="380"/>
      <c r="O2680" s="380"/>
      <c r="P2680" s="380"/>
      <c r="Q2680" s="381">
        <v>164</v>
      </c>
      <c r="R2680" s="381"/>
      <c r="S2680" s="381"/>
      <c r="T2680" s="381"/>
      <c r="U2680" s="381"/>
      <c r="V2680" s="382">
        <v>164</v>
      </c>
      <c r="W2680" s="382">
        <v>0</v>
      </c>
      <c r="X2680" s="381">
        <v>0.16400000000000001</v>
      </c>
      <c r="Y2680" s="381">
        <v>0</v>
      </c>
      <c r="Z2680" s="381">
        <v>0</v>
      </c>
      <c r="AA2680" s="381">
        <v>0</v>
      </c>
      <c r="AB2680" s="381">
        <v>0</v>
      </c>
      <c r="AC2680" s="382">
        <v>0.16400000000000001</v>
      </c>
      <c r="AD2680" s="382">
        <v>0</v>
      </c>
      <c r="AE2680" s="381" t="s">
        <v>168</v>
      </c>
    </row>
    <row r="2681" spans="1:31" ht="15" customHeight="1" x14ac:dyDescent="0.25">
      <c r="A2681" s="20" t="s">
        <v>3395</v>
      </c>
      <c r="B2681" s="20" t="s">
        <v>3851</v>
      </c>
      <c r="C2681" s="20" t="s">
        <v>3851</v>
      </c>
      <c r="D2681" s="378" t="s">
        <v>3879</v>
      </c>
      <c r="E2681" s="384">
        <v>44620</v>
      </c>
      <c r="F2681" s="384">
        <v>46446</v>
      </c>
      <c r="G2681" s="378" t="s">
        <v>439</v>
      </c>
      <c r="H2681" s="20" t="s">
        <v>3866</v>
      </c>
      <c r="I2681" s="20" t="s">
        <v>353</v>
      </c>
      <c r="J2681" s="20" t="s">
        <v>163</v>
      </c>
      <c r="K2681" s="378" t="s">
        <v>3867</v>
      </c>
      <c r="L2681" s="378" t="s">
        <v>2848</v>
      </c>
      <c r="M2681" s="380"/>
      <c r="N2681" s="380"/>
      <c r="O2681" s="380"/>
      <c r="P2681" s="380"/>
      <c r="Q2681" s="381">
        <v>142</v>
      </c>
      <c r="R2681" s="381"/>
      <c r="S2681" s="381"/>
      <c r="T2681" s="381"/>
      <c r="U2681" s="381"/>
      <c r="V2681" s="382">
        <v>142</v>
      </c>
      <c r="W2681" s="382">
        <v>0</v>
      </c>
      <c r="X2681" s="381">
        <v>0.14199999999999999</v>
      </c>
      <c r="Y2681" s="381">
        <v>0</v>
      </c>
      <c r="Z2681" s="381">
        <v>0</v>
      </c>
      <c r="AA2681" s="381">
        <v>0</v>
      </c>
      <c r="AB2681" s="381">
        <v>0</v>
      </c>
      <c r="AC2681" s="382">
        <v>0.14199999999999999</v>
      </c>
      <c r="AD2681" s="382">
        <v>0</v>
      </c>
      <c r="AE2681" s="381" t="s">
        <v>168</v>
      </c>
    </row>
    <row r="2682" spans="1:31" ht="15" customHeight="1" x14ac:dyDescent="0.25">
      <c r="A2682" s="20" t="s">
        <v>3395</v>
      </c>
      <c r="B2682" s="20" t="s">
        <v>3851</v>
      </c>
      <c r="C2682" s="20" t="s">
        <v>3851</v>
      </c>
      <c r="D2682" s="378" t="s">
        <v>3880</v>
      </c>
      <c r="E2682" s="384">
        <v>44620</v>
      </c>
      <c r="F2682" s="384">
        <v>46446</v>
      </c>
      <c r="G2682" s="378" t="s">
        <v>439</v>
      </c>
      <c r="H2682" s="20" t="s">
        <v>3866</v>
      </c>
      <c r="I2682" s="20" t="s">
        <v>353</v>
      </c>
      <c r="J2682" s="20" t="s">
        <v>163</v>
      </c>
      <c r="K2682" s="378" t="s">
        <v>3867</v>
      </c>
      <c r="L2682" s="378" t="s">
        <v>2848</v>
      </c>
      <c r="M2682" s="380"/>
      <c r="N2682" s="380"/>
      <c r="O2682" s="380"/>
      <c r="P2682" s="380"/>
      <c r="Q2682" s="381">
        <v>142</v>
      </c>
      <c r="R2682" s="381"/>
      <c r="S2682" s="381"/>
      <c r="T2682" s="381"/>
      <c r="U2682" s="381"/>
      <c r="V2682" s="382">
        <v>142</v>
      </c>
      <c r="W2682" s="382">
        <v>0</v>
      </c>
      <c r="X2682" s="381">
        <v>0.14199999999999999</v>
      </c>
      <c r="Y2682" s="381">
        <v>0</v>
      </c>
      <c r="Z2682" s="381">
        <v>0</v>
      </c>
      <c r="AA2682" s="381">
        <v>0</v>
      </c>
      <c r="AB2682" s="381">
        <v>0</v>
      </c>
      <c r="AC2682" s="382">
        <v>0.14199999999999999</v>
      </c>
      <c r="AD2682" s="382">
        <v>0</v>
      </c>
      <c r="AE2682" s="381" t="s">
        <v>168</v>
      </c>
    </row>
    <row r="2683" spans="1:31" ht="15" customHeight="1" x14ac:dyDescent="0.25">
      <c r="A2683" s="20" t="s">
        <v>3395</v>
      </c>
      <c r="B2683" s="20" t="s">
        <v>3851</v>
      </c>
      <c r="C2683" s="20" t="s">
        <v>3851</v>
      </c>
      <c r="D2683" s="378" t="s">
        <v>3881</v>
      </c>
      <c r="E2683" s="384">
        <v>44620</v>
      </c>
      <c r="F2683" s="384">
        <v>46446</v>
      </c>
      <c r="G2683" s="378" t="s">
        <v>439</v>
      </c>
      <c r="H2683" s="20" t="s">
        <v>3866</v>
      </c>
      <c r="I2683" s="20" t="s">
        <v>353</v>
      </c>
      <c r="J2683" s="20" t="s">
        <v>163</v>
      </c>
      <c r="K2683" s="378" t="s">
        <v>3867</v>
      </c>
      <c r="L2683" s="378" t="s">
        <v>2848</v>
      </c>
      <c r="M2683" s="380"/>
      <c r="N2683" s="380"/>
      <c r="O2683" s="380"/>
      <c r="P2683" s="380"/>
      <c r="Q2683" s="381">
        <v>142</v>
      </c>
      <c r="R2683" s="381"/>
      <c r="S2683" s="381"/>
      <c r="T2683" s="381"/>
      <c r="U2683" s="381"/>
      <c r="V2683" s="382">
        <v>142</v>
      </c>
      <c r="W2683" s="382">
        <v>0</v>
      </c>
      <c r="X2683" s="381">
        <v>0.14199999999999999</v>
      </c>
      <c r="Y2683" s="381">
        <v>0</v>
      </c>
      <c r="Z2683" s="381">
        <v>0</v>
      </c>
      <c r="AA2683" s="381">
        <v>0</v>
      </c>
      <c r="AB2683" s="381">
        <v>0</v>
      </c>
      <c r="AC2683" s="382">
        <v>0.14199999999999999</v>
      </c>
      <c r="AD2683" s="382">
        <v>0</v>
      </c>
      <c r="AE2683" s="381" t="s">
        <v>168</v>
      </c>
    </row>
    <row r="2684" spans="1:31" ht="15" customHeight="1" x14ac:dyDescent="0.25">
      <c r="A2684" s="20" t="s">
        <v>3882</v>
      </c>
      <c r="B2684" s="20" t="s">
        <v>3883</v>
      </c>
      <c r="C2684" s="20" t="s">
        <v>3883</v>
      </c>
      <c r="D2684" s="378" t="s">
        <v>3884</v>
      </c>
      <c r="E2684" s="384">
        <v>43077</v>
      </c>
      <c r="F2684" s="384">
        <v>44903</v>
      </c>
      <c r="G2684" s="378" t="s">
        <v>439</v>
      </c>
      <c r="H2684" s="20" t="s">
        <v>3885</v>
      </c>
      <c r="I2684" s="20" t="s">
        <v>353</v>
      </c>
      <c r="J2684" s="20" t="s">
        <v>163</v>
      </c>
      <c r="K2684" s="378" t="s">
        <v>3886</v>
      </c>
      <c r="L2684" s="20" t="s">
        <v>165</v>
      </c>
      <c r="M2684" s="381">
        <v>705</v>
      </c>
      <c r="N2684" s="381">
        <v>705</v>
      </c>
      <c r="O2684" s="380"/>
      <c r="P2684" s="380"/>
      <c r="Q2684" s="381">
        <v>-187.06534090909091</v>
      </c>
      <c r="R2684" s="381">
        <v>849.20454545454504</v>
      </c>
      <c r="S2684" s="381">
        <v>-1037.4715909090908</v>
      </c>
      <c r="T2684" s="381">
        <v>0</v>
      </c>
      <c r="U2684" s="381">
        <v>1202.0249999999999</v>
      </c>
      <c r="V2684" s="382">
        <v>1013.7579545454541</v>
      </c>
      <c r="W2684" s="382">
        <v>1202.0249999999999</v>
      </c>
      <c r="X2684" s="381">
        <v>-0.26534090909090907</v>
      </c>
      <c r="Y2684" s="381">
        <v>1.2045454545454539</v>
      </c>
      <c r="Z2684" s="381">
        <v>-1.4715909090909089</v>
      </c>
      <c r="AA2684" s="381">
        <v>0</v>
      </c>
      <c r="AB2684" s="381">
        <v>1.7049999999999998</v>
      </c>
      <c r="AC2684" s="382">
        <v>1.4379545454545448</v>
      </c>
      <c r="AD2684" s="382">
        <v>1.7049999999999998</v>
      </c>
      <c r="AE2684" s="381" t="s">
        <v>168</v>
      </c>
    </row>
    <row r="2685" spans="1:31" ht="15" customHeight="1" x14ac:dyDescent="0.25">
      <c r="A2685" s="20" t="s">
        <v>3882</v>
      </c>
      <c r="B2685" s="20" t="s">
        <v>3883</v>
      </c>
      <c r="C2685" s="20" t="s">
        <v>3883</v>
      </c>
      <c r="D2685" s="378" t="s">
        <v>3887</v>
      </c>
      <c r="E2685" s="384">
        <v>43077</v>
      </c>
      <c r="F2685" s="384">
        <v>44903</v>
      </c>
      <c r="G2685" s="378" t="s">
        <v>439</v>
      </c>
      <c r="H2685" s="20" t="s">
        <v>3885</v>
      </c>
      <c r="I2685" s="20" t="s">
        <v>353</v>
      </c>
      <c r="J2685" s="20" t="s">
        <v>163</v>
      </c>
      <c r="K2685" s="378" t="s">
        <v>3886</v>
      </c>
      <c r="L2685" s="20" t="s">
        <v>165</v>
      </c>
      <c r="M2685" s="381">
        <v>722</v>
      </c>
      <c r="N2685" s="381">
        <v>722</v>
      </c>
      <c r="O2685" s="380"/>
      <c r="P2685" s="380"/>
      <c r="Q2685" s="381">
        <v>-515.95230769230761</v>
      </c>
      <c r="R2685" s="381">
        <v>572.04615384615386</v>
      </c>
      <c r="S2685" s="381">
        <v>-1088.5538461538463</v>
      </c>
      <c r="T2685" s="381">
        <v>0</v>
      </c>
      <c r="U2685" s="381">
        <v>1231.01</v>
      </c>
      <c r="V2685" s="382">
        <v>714.50230769230757</v>
      </c>
      <c r="W2685" s="382">
        <v>1231.01</v>
      </c>
      <c r="X2685" s="381">
        <v>-0.71461538461538454</v>
      </c>
      <c r="Y2685" s="381">
        <v>0.79230769230769227</v>
      </c>
      <c r="Z2685" s="381">
        <v>-1.5076923076923079</v>
      </c>
      <c r="AA2685" s="381">
        <v>0</v>
      </c>
      <c r="AB2685" s="381">
        <v>1.7050000000000001</v>
      </c>
      <c r="AC2685" s="382">
        <v>0.98961538461538445</v>
      </c>
      <c r="AD2685" s="382">
        <v>1.7050000000000001</v>
      </c>
      <c r="AE2685" s="381" t="s">
        <v>168</v>
      </c>
    </row>
    <row r="2686" spans="1:31" ht="15" customHeight="1" x14ac:dyDescent="0.25">
      <c r="A2686" s="20" t="s">
        <v>3882</v>
      </c>
      <c r="B2686" s="20" t="s">
        <v>3883</v>
      </c>
      <c r="C2686" s="20" t="s">
        <v>3883</v>
      </c>
      <c r="D2686" s="378" t="s">
        <v>3888</v>
      </c>
      <c r="E2686" s="384">
        <v>43077</v>
      </c>
      <c r="F2686" s="384">
        <v>44903</v>
      </c>
      <c r="G2686" s="378" t="s">
        <v>439</v>
      </c>
      <c r="H2686" s="20" t="s">
        <v>3885</v>
      </c>
      <c r="I2686" s="20" t="s">
        <v>353</v>
      </c>
      <c r="J2686" s="20" t="s">
        <v>163</v>
      </c>
      <c r="K2686" s="378" t="s">
        <v>3886</v>
      </c>
      <c r="L2686" s="20" t="s">
        <v>165</v>
      </c>
      <c r="M2686" s="381">
        <v>732</v>
      </c>
      <c r="N2686" s="381">
        <v>732</v>
      </c>
      <c r="O2686" s="380"/>
      <c r="P2686" s="380"/>
      <c r="Q2686" s="381">
        <v>-325.33333333333337</v>
      </c>
      <c r="R2686" s="381">
        <v>757.02564102564111</v>
      </c>
      <c r="S2686" s="381">
        <v>-1082.3589743589746</v>
      </c>
      <c r="T2686" s="381">
        <v>0</v>
      </c>
      <c r="U2686" s="381">
        <v>1248.06</v>
      </c>
      <c r="V2686" s="382">
        <v>922.72666666666646</v>
      </c>
      <c r="W2686" s="382">
        <v>1248.06</v>
      </c>
      <c r="X2686" s="381">
        <v>-0.44444444444444448</v>
      </c>
      <c r="Y2686" s="381">
        <v>1.0341880341880343</v>
      </c>
      <c r="Z2686" s="381">
        <v>-1.4786324786324789</v>
      </c>
      <c r="AA2686" s="381">
        <v>0</v>
      </c>
      <c r="AB2686" s="381">
        <v>1.7049999999999998</v>
      </c>
      <c r="AC2686" s="382">
        <v>1.2605555555555552</v>
      </c>
      <c r="AD2686" s="382">
        <v>1.7049999999999998</v>
      </c>
      <c r="AE2686" s="381" t="s">
        <v>168</v>
      </c>
    </row>
    <row r="2687" spans="1:31" ht="15" customHeight="1" x14ac:dyDescent="0.25">
      <c r="A2687" s="20" t="s">
        <v>3882</v>
      </c>
      <c r="B2687" s="20" t="s">
        <v>3883</v>
      </c>
      <c r="C2687" s="20" t="s">
        <v>3883</v>
      </c>
      <c r="D2687" s="378" t="s">
        <v>3889</v>
      </c>
      <c r="E2687" s="384">
        <v>43077</v>
      </c>
      <c r="F2687" s="384">
        <v>44903</v>
      </c>
      <c r="G2687" s="378" t="s">
        <v>439</v>
      </c>
      <c r="H2687" s="20" t="s">
        <v>3885</v>
      </c>
      <c r="I2687" s="20" t="s">
        <v>353</v>
      </c>
      <c r="J2687" s="20" t="s">
        <v>163</v>
      </c>
      <c r="K2687" s="378" t="s">
        <v>3886</v>
      </c>
      <c r="L2687" s="20" t="s">
        <v>165</v>
      </c>
      <c r="M2687" s="381">
        <v>701</v>
      </c>
      <c r="N2687" s="381">
        <v>701</v>
      </c>
      <c r="O2687" s="380"/>
      <c r="P2687" s="380"/>
      <c r="Q2687" s="381">
        <v>-316.45142857142861</v>
      </c>
      <c r="R2687" s="381">
        <v>721.02857142857147</v>
      </c>
      <c r="S2687" s="381">
        <v>-1037.48</v>
      </c>
      <c r="T2687" s="381">
        <v>0</v>
      </c>
      <c r="U2687" s="381">
        <v>1195.2049999999999</v>
      </c>
      <c r="V2687" s="382">
        <v>878.75357142857138</v>
      </c>
      <c r="W2687" s="382">
        <v>1195.2049999999999</v>
      </c>
      <c r="X2687" s="381">
        <v>-0.45142857142857146</v>
      </c>
      <c r="Y2687" s="381">
        <v>1.0285714285714287</v>
      </c>
      <c r="Z2687" s="381">
        <v>-1.48</v>
      </c>
      <c r="AA2687" s="381">
        <v>0</v>
      </c>
      <c r="AB2687" s="381">
        <v>1.7049999999999998</v>
      </c>
      <c r="AC2687" s="382">
        <v>1.2535714285714286</v>
      </c>
      <c r="AD2687" s="382">
        <v>1.7049999999999998</v>
      </c>
      <c r="AE2687" s="381" t="s">
        <v>168</v>
      </c>
    </row>
    <row r="2688" spans="1:31" ht="15" customHeight="1" x14ac:dyDescent="0.25">
      <c r="A2688" s="20" t="s">
        <v>3882</v>
      </c>
      <c r="B2688" s="20" t="s">
        <v>3883</v>
      </c>
      <c r="C2688" s="20" t="s">
        <v>3883</v>
      </c>
      <c r="D2688" s="378" t="s">
        <v>3890</v>
      </c>
      <c r="E2688" s="384">
        <v>43077</v>
      </c>
      <c r="F2688" s="384">
        <v>44903</v>
      </c>
      <c r="G2688" s="378" t="s">
        <v>439</v>
      </c>
      <c r="H2688" s="20" t="s">
        <v>3885</v>
      </c>
      <c r="I2688" s="20" t="s">
        <v>353</v>
      </c>
      <c r="J2688" s="20" t="s">
        <v>163</v>
      </c>
      <c r="K2688" s="378" t="s">
        <v>3886</v>
      </c>
      <c r="L2688" s="20" t="s">
        <v>165</v>
      </c>
      <c r="M2688" s="381">
        <v>724</v>
      </c>
      <c r="N2688" s="381">
        <v>724</v>
      </c>
      <c r="O2688" s="380"/>
      <c r="P2688" s="380"/>
      <c r="Q2688" s="381">
        <v>-478.08965517241381</v>
      </c>
      <c r="R2688" s="381">
        <v>604.16551724137935</v>
      </c>
      <c r="S2688" s="381">
        <v>-1079.7586206896553</v>
      </c>
      <c r="T2688" s="381">
        <v>0</v>
      </c>
      <c r="U2688" s="381">
        <v>1234.4199999999998</v>
      </c>
      <c r="V2688" s="382">
        <v>758.82689655172385</v>
      </c>
      <c r="W2688" s="382">
        <v>1234.4199999999998</v>
      </c>
      <c r="X2688" s="381">
        <v>-0.66034482758620694</v>
      </c>
      <c r="Y2688" s="381">
        <v>0.83448275862068966</v>
      </c>
      <c r="Z2688" s="381">
        <v>-1.4913793103448278</v>
      </c>
      <c r="AA2688" s="381">
        <v>0</v>
      </c>
      <c r="AB2688" s="381">
        <v>1.7049999999999998</v>
      </c>
      <c r="AC2688" s="382">
        <v>1.0481034482758615</v>
      </c>
      <c r="AD2688" s="382">
        <v>1.7049999999999998</v>
      </c>
      <c r="AE2688" s="381" t="s">
        <v>168</v>
      </c>
    </row>
    <row r="2689" spans="1:31" ht="15" customHeight="1" x14ac:dyDescent="0.25">
      <c r="A2689" s="20" t="s">
        <v>3882</v>
      </c>
      <c r="B2689" s="20" t="s">
        <v>3883</v>
      </c>
      <c r="C2689" s="20" t="s">
        <v>3883</v>
      </c>
      <c r="D2689" s="378" t="s">
        <v>3891</v>
      </c>
      <c r="E2689" s="384">
        <v>43077</v>
      </c>
      <c r="F2689" s="384">
        <v>44903</v>
      </c>
      <c r="G2689" s="378" t="s">
        <v>439</v>
      </c>
      <c r="H2689" s="20" t="s">
        <v>3885</v>
      </c>
      <c r="I2689" s="20" t="s">
        <v>353</v>
      </c>
      <c r="J2689" s="20" t="s">
        <v>163</v>
      </c>
      <c r="K2689" s="378" t="s">
        <v>3886</v>
      </c>
      <c r="L2689" s="20" t="s">
        <v>165</v>
      </c>
      <c r="M2689" s="381">
        <v>721</v>
      </c>
      <c r="N2689" s="381">
        <v>721</v>
      </c>
      <c r="O2689" s="380"/>
      <c r="P2689" s="380"/>
      <c r="Q2689" s="381">
        <v>-196.88846153846151</v>
      </c>
      <c r="R2689" s="381">
        <v>870.74615384615379</v>
      </c>
      <c r="S2689" s="381">
        <v>-1064.8615384615384</v>
      </c>
      <c r="T2689" s="381">
        <v>0</v>
      </c>
      <c r="U2689" s="381">
        <v>1229.3050000000001</v>
      </c>
      <c r="V2689" s="382">
        <v>1035.1896153846155</v>
      </c>
      <c r="W2689" s="382">
        <v>1229.3050000000001</v>
      </c>
      <c r="X2689" s="381">
        <v>-0.27307692307692305</v>
      </c>
      <c r="Y2689" s="381">
        <v>1.2076923076923076</v>
      </c>
      <c r="Z2689" s="381">
        <v>-1.4769230769230768</v>
      </c>
      <c r="AA2689" s="381">
        <v>0</v>
      </c>
      <c r="AB2689" s="381">
        <v>1.7050000000000001</v>
      </c>
      <c r="AC2689" s="382">
        <v>1.4357692307692309</v>
      </c>
      <c r="AD2689" s="382">
        <v>1.7050000000000001</v>
      </c>
      <c r="AE2689" s="381" t="s">
        <v>168</v>
      </c>
    </row>
    <row r="2690" spans="1:31" ht="15" customHeight="1" x14ac:dyDescent="0.25">
      <c r="A2690" s="20" t="s">
        <v>3490</v>
      </c>
      <c r="B2690" s="20" t="s">
        <v>3883</v>
      </c>
      <c r="C2690" s="20" t="s">
        <v>3883</v>
      </c>
      <c r="D2690" s="378" t="s">
        <v>3892</v>
      </c>
      <c r="E2690" s="384">
        <v>43077</v>
      </c>
      <c r="F2690" s="384">
        <v>44903</v>
      </c>
      <c r="G2690" s="378" t="s">
        <v>439</v>
      </c>
      <c r="H2690" s="378" t="s">
        <v>3885</v>
      </c>
      <c r="I2690" s="378" t="s">
        <v>353</v>
      </c>
      <c r="J2690" s="20" t="s">
        <v>163</v>
      </c>
      <c r="K2690" s="378" t="s">
        <v>3886</v>
      </c>
      <c r="L2690" s="20" t="s">
        <v>165</v>
      </c>
      <c r="M2690" s="381">
        <v>720</v>
      </c>
      <c r="N2690" s="381">
        <v>720</v>
      </c>
      <c r="O2690" s="380"/>
      <c r="P2690" s="380"/>
      <c r="Q2690" s="381">
        <v>26.581704545454159</v>
      </c>
      <c r="R2690" s="381">
        <v>1064.0532954545449</v>
      </c>
      <c r="S2690" s="381">
        <v>-1037.4715909090908</v>
      </c>
      <c r="T2690" s="381">
        <v>0</v>
      </c>
      <c r="U2690" s="381">
        <v>1227.5999999999997</v>
      </c>
      <c r="V2690" s="382">
        <v>1254.1817045454538</v>
      </c>
      <c r="W2690" s="382">
        <v>1227.5999999999997</v>
      </c>
      <c r="X2690" s="381">
        <v>3.6919034090908555E-2</v>
      </c>
      <c r="Y2690" s="381">
        <v>1.4778517992424236</v>
      </c>
      <c r="Z2690" s="381">
        <v>-1.4409327651515149</v>
      </c>
      <c r="AA2690" s="381">
        <v>0</v>
      </c>
      <c r="AB2690" s="381">
        <v>1.7049999999999996</v>
      </c>
      <c r="AC2690" s="382">
        <v>1.7419190340909083</v>
      </c>
      <c r="AD2690" s="382">
        <v>1.7049999999999996</v>
      </c>
      <c r="AE2690" s="381" t="s">
        <v>168</v>
      </c>
    </row>
    <row r="2691" spans="1:31" ht="15" customHeight="1" x14ac:dyDescent="0.25">
      <c r="A2691" s="20" t="s">
        <v>3490</v>
      </c>
      <c r="B2691" s="20" t="s">
        <v>3883</v>
      </c>
      <c r="C2691" s="20" t="s">
        <v>3883</v>
      </c>
      <c r="D2691" s="378" t="s">
        <v>3893</v>
      </c>
      <c r="E2691" s="384">
        <v>43077</v>
      </c>
      <c r="F2691" s="384" t="s">
        <v>3497</v>
      </c>
      <c r="G2691" s="378" t="s">
        <v>439</v>
      </c>
      <c r="H2691" s="20" t="s">
        <v>3885</v>
      </c>
      <c r="I2691" s="378" t="s">
        <v>353</v>
      </c>
      <c r="J2691" s="20" t="s">
        <v>163</v>
      </c>
      <c r="K2691" s="378" t="s">
        <v>3886</v>
      </c>
      <c r="L2691" s="378" t="s">
        <v>165</v>
      </c>
      <c r="M2691" s="380">
        <v>720</v>
      </c>
      <c r="N2691" s="380" t="s">
        <v>443</v>
      </c>
      <c r="O2691" s="380" t="s">
        <v>443</v>
      </c>
      <c r="P2691" s="380" t="s">
        <v>443</v>
      </c>
      <c r="Q2691" s="381">
        <v>-275.73511363636385</v>
      </c>
      <c r="R2691" s="381">
        <v>761.73647727272692</v>
      </c>
      <c r="S2691" s="381">
        <v>-1037.4715909090908</v>
      </c>
      <c r="T2691" s="381">
        <v>0</v>
      </c>
      <c r="U2691" s="381">
        <v>1227.5999999999997</v>
      </c>
      <c r="V2691" s="382">
        <v>951.86488636363583</v>
      </c>
      <c r="W2691" s="382">
        <v>1227.5999999999997</v>
      </c>
      <c r="X2691" s="381">
        <v>-0.38296543560606089</v>
      </c>
      <c r="Y2691" s="381">
        <v>1.0579673295454541</v>
      </c>
      <c r="Z2691" s="381">
        <v>-1.4409327651515149</v>
      </c>
      <c r="AA2691" s="381">
        <v>0</v>
      </c>
      <c r="AB2691" s="381">
        <v>1.7049999999999996</v>
      </c>
      <c r="AC2691" s="382">
        <v>1.3220345643939388</v>
      </c>
      <c r="AD2691" s="382">
        <v>1.7049999999999996</v>
      </c>
      <c r="AE2691" s="381" t="s">
        <v>168</v>
      </c>
    </row>
    <row r="2692" spans="1:31" ht="15" customHeight="1" x14ac:dyDescent="0.25">
      <c r="A2692" s="20" t="s">
        <v>3490</v>
      </c>
      <c r="B2692" s="20" t="s">
        <v>3883</v>
      </c>
      <c r="C2692" s="20" t="s">
        <v>3883</v>
      </c>
      <c r="D2692" s="378" t="s">
        <v>3894</v>
      </c>
      <c r="E2692" s="384">
        <v>44237</v>
      </c>
      <c r="F2692" s="384">
        <v>46062</v>
      </c>
      <c r="G2692" s="378" t="s">
        <v>2837</v>
      </c>
      <c r="H2692" s="20" t="s">
        <v>3895</v>
      </c>
      <c r="I2692" s="378">
        <v>0</v>
      </c>
      <c r="J2692" s="20" t="s">
        <v>2831</v>
      </c>
      <c r="K2692" s="378" t="s">
        <v>3896</v>
      </c>
      <c r="L2692" s="378" t="s">
        <v>165</v>
      </c>
      <c r="M2692" s="380">
        <v>737</v>
      </c>
      <c r="N2692" s="380" t="s">
        <v>443</v>
      </c>
      <c r="O2692" s="380" t="s">
        <v>443</v>
      </c>
      <c r="P2692" s="380" t="s">
        <v>443</v>
      </c>
      <c r="Q2692" s="381">
        <v>-724</v>
      </c>
      <c r="R2692" s="381">
        <v>433</v>
      </c>
      <c r="S2692" s="381">
        <v>-1158</v>
      </c>
      <c r="T2692" s="381">
        <v>1.1000000000000001</v>
      </c>
      <c r="U2692" s="381">
        <v>1249.8291666666667</v>
      </c>
      <c r="V2692" s="382">
        <v>525.92916666666667</v>
      </c>
      <c r="W2692" s="382">
        <v>1249.8291666666667</v>
      </c>
      <c r="X2692" s="381">
        <v>-0.98236092265943009</v>
      </c>
      <c r="Y2692" s="381">
        <v>0.587516960651289</v>
      </c>
      <c r="Z2692" s="381">
        <v>-1.5712347354138398</v>
      </c>
      <c r="AA2692" s="381">
        <v>1.4925373134328358E-3</v>
      </c>
      <c r="AB2692" s="381">
        <v>1.6958333333333333</v>
      </c>
      <c r="AC2692" s="382">
        <v>0.71360809588421525</v>
      </c>
      <c r="AD2692" s="382">
        <v>1.6958333333333333</v>
      </c>
      <c r="AE2692" s="381" t="s">
        <v>168</v>
      </c>
    </row>
    <row r="2693" spans="1:31" ht="15" customHeight="1" x14ac:dyDescent="0.25">
      <c r="A2693" s="20" t="s">
        <v>3505</v>
      </c>
      <c r="B2693" s="20" t="s">
        <v>3506</v>
      </c>
      <c r="C2693" s="20" t="s">
        <v>3897</v>
      </c>
      <c r="D2693" s="378" t="s">
        <v>3898</v>
      </c>
      <c r="E2693" s="384">
        <v>43892</v>
      </c>
      <c r="F2693" s="384">
        <v>45717</v>
      </c>
      <c r="G2693" s="378" t="s">
        <v>439</v>
      </c>
      <c r="H2693" s="20" t="s">
        <v>3899</v>
      </c>
      <c r="I2693" s="378">
        <v>0</v>
      </c>
      <c r="J2693" s="20" t="s">
        <v>163</v>
      </c>
      <c r="K2693" s="378" t="s">
        <v>3900</v>
      </c>
      <c r="L2693" s="378" t="s">
        <v>2848</v>
      </c>
      <c r="M2693" s="380" t="s">
        <v>443</v>
      </c>
      <c r="N2693" s="380" t="s">
        <v>443</v>
      </c>
      <c r="O2693" s="380" t="s">
        <v>443</v>
      </c>
      <c r="P2693" s="380" t="s">
        <v>443</v>
      </c>
      <c r="Q2693" s="381">
        <v>16</v>
      </c>
      <c r="R2693" s="381">
        <v>0</v>
      </c>
      <c r="S2693" s="381">
        <v>0</v>
      </c>
      <c r="T2693" s="381">
        <v>0</v>
      </c>
      <c r="U2693" s="381">
        <v>0</v>
      </c>
      <c r="V2693" s="382">
        <v>16</v>
      </c>
      <c r="W2693" s="382">
        <v>0</v>
      </c>
      <c r="X2693" s="381">
        <v>1.6E-2</v>
      </c>
      <c r="Y2693" s="381">
        <v>0</v>
      </c>
      <c r="Z2693" s="381">
        <v>0</v>
      </c>
      <c r="AA2693" s="381">
        <v>0</v>
      </c>
      <c r="AB2693" s="381">
        <v>0</v>
      </c>
      <c r="AC2693" s="382">
        <v>1.6E-2</v>
      </c>
      <c r="AD2693" s="382">
        <v>0</v>
      </c>
      <c r="AE2693" s="381" t="s">
        <v>168</v>
      </c>
    </row>
    <row r="2694" spans="1:31" ht="15" customHeight="1" x14ac:dyDescent="0.25">
      <c r="A2694" s="20" t="s">
        <v>2913</v>
      </c>
      <c r="B2694" s="20" t="s">
        <v>2913</v>
      </c>
      <c r="C2694" s="20" t="s">
        <v>3897</v>
      </c>
      <c r="D2694" s="378" t="s">
        <v>3901</v>
      </c>
      <c r="E2694" s="384" t="s">
        <v>2932</v>
      </c>
      <c r="F2694" s="384" t="s">
        <v>2933</v>
      </c>
      <c r="G2694" s="385" t="s">
        <v>281</v>
      </c>
      <c r="H2694" s="385" t="s">
        <v>2942</v>
      </c>
      <c r="I2694" s="378">
        <v>1</v>
      </c>
      <c r="J2694" s="385" t="s">
        <v>163</v>
      </c>
      <c r="K2694" s="378" t="s">
        <v>2943</v>
      </c>
      <c r="L2694" s="378" t="s">
        <v>2848</v>
      </c>
      <c r="M2694" s="380">
        <v>2400</v>
      </c>
      <c r="N2694" s="380"/>
      <c r="O2694" s="380"/>
      <c r="P2694" s="380"/>
      <c r="Q2694" s="381">
        <v>9.0299999999999994</v>
      </c>
      <c r="R2694" s="381">
        <v>61</v>
      </c>
      <c r="S2694" s="381">
        <v>-52</v>
      </c>
      <c r="T2694" s="381">
        <v>3.48E-3</v>
      </c>
      <c r="U2694" s="381">
        <v>0</v>
      </c>
      <c r="V2694" s="382">
        <v>61.003479999999996</v>
      </c>
      <c r="W2694" s="382">
        <v>0</v>
      </c>
      <c r="X2694" s="381">
        <v>9.0299999999999998E-3</v>
      </c>
      <c r="Y2694" s="381">
        <v>6.0999999999999999E-2</v>
      </c>
      <c r="Z2694" s="381">
        <v>-5.1999999999999998E-2</v>
      </c>
      <c r="AA2694" s="381">
        <v>3.4800000000000001E-6</v>
      </c>
      <c r="AB2694" s="381">
        <v>0</v>
      </c>
      <c r="AC2694" s="382">
        <v>6.1003479999999999E-2</v>
      </c>
      <c r="AD2694" s="382">
        <v>0</v>
      </c>
      <c r="AE2694" s="381" t="s">
        <v>168</v>
      </c>
    </row>
    <row r="2695" spans="1:31" ht="15" customHeight="1" x14ac:dyDescent="0.25">
      <c r="A2695" s="20" t="s">
        <v>2913</v>
      </c>
      <c r="B2695" s="20" t="s">
        <v>2913</v>
      </c>
      <c r="C2695" s="20" t="s">
        <v>3897</v>
      </c>
      <c r="D2695" s="378" t="s">
        <v>3902</v>
      </c>
      <c r="E2695" s="384">
        <v>43840</v>
      </c>
      <c r="F2695" s="384" t="s">
        <v>3903</v>
      </c>
      <c r="G2695" s="385" t="s">
        <v>160</v>
      </c>
      <c r="H2695" s="385" t="s">
        <v>3904</v>
      </c>
      <c r="I2695" s="378">
        <v>0</v>
      </c>
      <c r="J2695" s="385" t="s">
        <v>163</v>
      </c>
      <c r="K2695" s="378" t="s">
        <v>3905</v>
      </c>
      <c r="L2695" s="378" t="s">
        <v>2789</v>
      </c>
      <c r="M2695" s="380">
        <v>2400</v>
      </c>
      <c r="N2695" s="380"/>
      <c r="O2695" s="380"/>
      <c r="P2695" s="380"/>
      <c r="Q2695" s="381">
        <v>4.4000000000000004</v>
      </c>
      <c r="R2695" s="381">
        <v>4.4000000000000004</v>
      </c>
      <c r="S2695" s="381">
        <v>3.48E-3</v>
      </c>
      <c r="T2695" s="381">
        <v>3.4E-5</v>
      </c>
      <c r="U2695" s="381">
        <v>0</v>
      </c>
      <c r="V2695" s="382">
        <v>4.4035140000000004</v>
      </c>
      <c r="W2695" s="382">
        <v>0</v>
      </c>
      <c r="X2695" s="381" t="s">
        <v>443</v>
      </c>
      <c r="Y2695" s="381" t="s">
        <v>443</v>
      </c>
      <c r="Z2695" s="381" t="s">
        <v>443</v>
      </c>
      <c r="AA2695" s="381" t="s">
        <v>443</v>
      </c>
      <c r="AB2695" s="381" t="s">
        <v>443</v>
      </c>
      <c r="AC2695" s="382">
        <v>0</v>
      </c>
      <c r="AD2695" s="382">
        <v>0</v>
      </c>
      <c r="AE2695" s="381" t="s">
        <v>168</v>
      </c>
    </row>
    <row r="2696" spans="1:31" ht="15" customHeight="1" x14ac:dyDescent="0.25">
      <c r="A2696" s="20" t="s">
        <v>2913</v>
      </c>
      <c r="B2696" s="20" t="s">
        <v>2913</v>
      </c>
      <c r="C2696" s="20" t="s">
        <v>3897</v>
      </c>
      <c r="D2696" s="378" t="s">
        <v>3906</v>
      </c>
      <c r="E2696" s="384">
        <v>43840</v>
      </c>
      <c r="F2696" s="384" t="s">
        <v>3903</v>
      </c>
      <c r="G2696" s="385" t="s">
        <v>160</v>
      </c>
      <c r="H2696" s="385" t="s">
        <v>3904</v>
      </c>
      <c r="I2696" s="378">
        <v>0</v>
      </c>
      <c r="J2696" s="385" t="s">
        <v>163</v>
      </c>
      <c r="K2696" s="378" t="s">
        <v>3905</v>
      </c>
      <c r="L2696" s="378" t="s">
        <v>2789</v>
      </c>
      <c r="M2696" s="380">
        <v>2400</v>
      </c>
      <c r="N2696" s="380"/>
      <c r="O2696" s="380"/>
      <c r="P2696" s="380"/>
      <c r="Q2696" s="381">
        <v>6.26</v>
      </c>
      <c r="R2696" s="381">
        <v>6.25</v>
      </c>
      <c r="S2696" s="381">
        <v>5.2500000000000003E-3</v>
      </c>
      <c r="T2696" s="381">
        <v>5.8600000000000001E-5</v>
      </c>
      <c r="U2696" s="381">
        <v>0</v>
      </c>
      <c r="V2696" s="382">
        <v>6.2553086000000002</v>
      </c>
      <c r="W2696" s="382">
        <v>0</v>
      </c>
      <c r="X2696" s="381" t="s">
        <v>443</v>
      </c>
      <c r="Y2696" s="381" t="s">
        <v>443</v>
      </c>
      <c r="Z2696" s="381" t="s">
        <v>443</v>
      </c>
      <c r="AA2696" s="381" t="s">
        <v>443</v>
      </c>
      <c r="AB2696" s="381" t="s">
        <v>443</v>
      </c>
      <c r="AC2696" s="382">
        <v>0</v>
      </c>
      <c r="AD2696" s="382">
        <v>0</v>
      </c>
      <c r="AE2696" s="381" t="s">
        <v>168</v>
      </c>
    </row>
    <row r="2697" spans="1:31" ht="15" customHeight="1" x14ac:dyDescent="0.25">
      <c r="A2697" s="20" t="s">
        <v>2913</v>
      </c>
      <c r="B2697" s="20" t="s">
        <v>2913</v>
      </c>
      <c r="C2697" s="20" t="s">
        <v>3897</v>
      </c>
      <c r="D2697" s="378" t="s">
        <v>3907</v>
      </c>
      <c r="E2697" s="384">
        <v>43840</v>
      </c>
      <c r="F2697" s="384" t="s">
        <v>3903</v>
      </c>
      <c r="G2697" s="385" t="s">
        <v>160</v>
      </c>
      <c r="H2697" s="385" t="s">
        <v>3904</v>
      </c>
      <c r="I2697" s="378">
        <v>0</v>
      </c>
      <c r="J2697" s="385" t="s">
        <v>163</v>
      </c>
      <c r="K2697" s="378" t="s">
        <v>3905</v>
      </c>
      <c r="L2697" s="378" t="s">
        <v>2789</v>
      </c>
      <c r="M2697" s="380">
        <v>2400</v>
      </c>
      <c r="N2697" s="380"/>
      <c r="O2697" s="380"/>
      <c r="P2697" s="380"/>
      <c r="Q2697" s="381">
        <v>5.3</v>
      </c>
      <c r="R2697" s="381">
        <v>5.29</v>
      </c>
      <c r="S2697" s="381">
        <v>4.2900000000000004E-3</v>
      </c>
      <c r="T2697" s="381">
        <v>4.6300000000000001E-5</v>
      </c>
      <c r="U2697" s="381">
        <v>0</v>
      </c>
      <c r="V2697" s="382">
        <v>5.2943363000000003</v>
      </c>
      <c r="W2697" s="382">
        <v>0</v>
      </c>
      <c r="X2697" s="381" t="s">
        <v>443</v>
      </c>
      <c r="Y2697" s="381" t="s">
        <v>443</v>
      </c>
      <c r="Z2697" s="381" t="s">
        <v>443</v>
      </c>
      <c r="AA2697" s="381" t="s">
        <v>443</v>
      </c>
      <c r="AB2697" s="381" t="s">
        <v>443</v>
      </c>
      <c r="AC2697" s="382">
        <v>0</v>
      </c>
      <c r="AD2697" s="382">
        <v>0</v>
      </c>
      <c r="AE2697" s="381" t="s">
        <v>168</v>
      </c>
    </row>
    <row r="2698" spans="1:31" ht="15" customHeight="1" x14ac:dyDescent="0.25">
      <c r="A2698" s="20" t="s">
        <v>156</v>
      </c>
      <c r="B2698" s="20" t="s">
        <v>3908</v>
      </c>
      <c r="C2698" s="20" t="s">
        <v>3897</v>
      </c>
      <c r="D2698" s="378" t="s">
        <v>3909</v>
      </c>
      <c r="E2698" s="384">
        <v>44945</v>
      </c>
      <c r="F2698" s="384">
        <v>46771</v>
      </c>
      <c r="G2698" s="378" t="s">
        <v>2837</v>
      </c>
      <c r="H2698" s="20" t="s">
        <v>3910</v>
      </c>
      <c r="I2698" s="378">
        <v>0</v>
      </c>
      <c r="J2698" s="20" t="s">
        <v>2831</v>
      </c>
      <c r="K2698" s="378" t="s">
        <v>3911</v>
      </c>
      <c r="L2698" s="378" t="s">
        <v>2848</v>
      </c>
      <c r="M2698" s="380" t="s">
        <v>443</v>
      </c>
      <c r="N2698" s="380" t="s">
        <v>443</v>
      </c>
      <c r="O2698" s="380" t="s">
        <v>443</v>
      </c>
      <c r="P2698" s="380" t="s">
        <v>443</v>
      </c>
      <c r="Q2698" s="381">
        <v>-1160</v>
      </c>
      <c r="R2698" s="381">
        <v>452</v>
      </c>
      <c r="S2698" s="381">
        <v>-1610</v>
      </c>
      <c r="T2698" s="381">
        <v>4.5600000000000002E-2</v>
      </c>
      <c r="U2698" s="381">
        <v>0</v>
      </c>
      <c r="V2698" s="382">
        <v>452.04559999999992</v>
      </c>
      <c r="W2698" s="382">
        <v>0</v>
      </c>
      <c r="X2698" s="381">
        <v>-1.1599999999999999</v>
      </c>
      <c r="Y2698" s="381">
        <v>0.45200000000000001</v>
      </c>
      <c r="Z2698" s="381">
        <v>-1.61</v>
      </c>
      <c r="AA2698" s="381">
        <v>4.5600000000000004E-5</v>
      </c>
      <c r="AB2698" s="381">
        <v>0</v>
      </c>
      <c r="AC2698" s="382">
        <v>0.45204559999999994</v>
      </c>
      <c r="AD2698" s="382">
        <v>0</v>
      </c>
      <c r="AE2698" s="381" t="s">
        <v>168</v>
      </c>
    </row>
    <row r="2699" spans="1:31" ht="15" customHeight="1" x14ac:dyDescent="0.25">
      <c r="A2699" s="20" t="s">
        <v>156</v>
      </c>
      <c r="B2699" s="20" t="s">
        <v>3912</v>
      </c>
      <c r="C2699" s="20" t="s">
        <v>3897</v>
      </c>
      <c r="D2699" s="378" t="s">
        <v>3913</v>
      </c>
      <c r="E2699" s="379">
        <v>44910</v>
      </c>
      <c r="F2699" s="379">
        <v>46736</v>
      </c>
      <c r="G2699" s="378" t="s">
        <v>173</v>
      </c>
      <c r="H2699" s="20" t="s">
        <v>174</v>
      </c>
      <c r="I2699" s="20" t="s">
        <v>162</v>
      </c>
      <c r="J2699" s="20" t="s">
        <v>163</v>
      </c>
      <c r="K2699" s="378" t="s">
        <v>175</v>
      </c>
      <c r="L2699" s="20" t="s">
        <v>165</v>
      </c>
      <c r="M2699" s="380">
        <v>2400</v>
      </c>
      <c r="N2699" s="380"/>
      <c r="O2699" s="380"/>
      <c r="P2699" s="380"/>
      <c r="Q2699" s="381">
        <v>201</v>
      </c>
      <c r="R2699" s="381">
        <v>199</v>
      </c>
      <c r="S2699" s="381">
        <v>2.39</v>
      </c>
      <c r="T2699" s="381"/>
      <c r="U2699" s="381"/>
      <c r="V2699" s="382">
        <v>201.39</v>
      </c>
      <c r="W2699" s="382">
        <v>0</v>
      </c>
      <c r="X2699" s="381">
        <v>8.3750000000000005E-2</v>
      </c>
      <c r="Y2699" s="381">
        <v>8.2916666666666666E-2</v>
      </c>
      <c r="Z2699" s="381">
        <v>9.9583333333333338E-4</v>
      </c>
      <c r="AA2699" s="381">
        <v>0</v>
      </c>
      <c r="AB2699" s="381">
        <v>0</v>
      </c>
      <c r="AC2699" s="382">
        <v>8.3912500000000001E-2</v>
      </c>
      <c r="AD2699" s="382">
        <v>0</v>
      </c>
      <c r="AE2699" s="381" t="s">
        <v>168</v>
      </c>
    </row>
    <row r="2700" spans="1:31" ht="15" customHeight="1" x14ac:dyDescent="0.25">
      <c r="A2700" s="20" t="s">
        <v>156</v>
      </c>
      <c r="B2700" s="20" t="s">
        <v>3912</v>
      </c>
      <c r="C2700" s="20" t="s">
        <v>3897</v>
      </c>
      <c r="D2700" s="378" t="s">
        <v>3914</v>
      </c>
      <c r="E2700" s="379">
        <v>45016</v>
      </c>
      <c r="F2700" s="379">
        <v>46843</v>
      </c>
      <c r="G2700" s="378" t="s">
        <v>193</v>
      </c>
      <c r="H2700" s="20" t="s">
        <v>194</v>
      </c>
      <c r="I2700" s="20" t="s">
        <v>162</v>
      </c>
      <c r="J2700" s="20" t="s">
        <v>163</v>
      </c>
      <c r="K2700" s="378" t="s">
        <v>195</v>
      </c>
      <c r="L2700" s="20" t="s">
        <v>165</v>
      </c>
      <c r="M2700" s="380">
        <v>2400</v>
      </c>
      <c r="N2700" s="380"/>
      <c r="O2700" s="380"/>
      <c r="P2700" s="380"/>
      <c r="Q2700" s="381">
        <v>251</v>
      </c>
      <c r="R2700" s="381">
        <v>251</v>
      </c>
      <c r="S2700" s="381">
        <v>0.25900000000000001</v>
      </c>
      <c r="T2700" s="381"/>
      <c r="U2700" s="381"/>
      <c r="V2700" s="382">
        <v>251.25899999999999</v>
      </c>
      <c r="W2700" s="382">
        <v>0</v>
      </c>
      <c r="X2700" s="381">
        <v>0.10458333333333333</v>
      </c>
      <c r="Y2700" s="381">
        <v>0.10458333333333333</v>
      </c>
      <c r="Z2700" s="381">
        <v>1.0791666666666667E-4</v>
      </c>
      <c r="AA2700" s="381">
        <v>0</v>
      </c>
      <c r="AB2700" s="381">
        <v>0</v>
      </c>
      <c r="AC2700" s="382">
        <v>0.10469125</v>
      </c>
      <c r="AD2700" s="382">
        <v>0</v>
      </c>
      <c r="AE2700" s="381" t="s">
        <v>168</v>
      </c>
    </row>
    <row r="2701" spans="1:31" ht="15" customHeight="1" x14ac:dyDescent="0.25">
      <c r="A2701" s="20" t="s">
        <v>156</v>
      </c>
      <c r="B2701" s="20" t="s">
        <v>3912</v>
      </c>
      <c r="C2701" s="20" t="s">
        <v>3897</v>
      </c>
      <c r="D2701" s="378" t="s">
        <v>3915</v>
      </c>
      <c r="E2701" s="379">
        <v>45016</v>
      </c>
      <c r="F2701" s="379">
        <v>46843</v>
      </c>
      <c r="G2701" s="378" t="s">
        <v>193</v>
      </c>
      <c r="H2701" s="20" t="s">
        <v>194</v>
      </c>
      <c r="I2701" s="20" t="s">
        <v>162</v>
      </c>
      <c r="J2701" s="20" t="s">
        <v>163</v>
      </c>
      <c r="K2701" s="378" t="s">
        <v>195</v>
      </c>
      <c r="L2701" s="20" t="s">
        <v>165</v>
      </c>
      <c r="M2701" s="380">
        <v>2400</v>
      </c>
      <c r="N2701" s="380"/>
      <c r="O2701" s="380"/>
      <c r="P2701" s="380"/>
      <c r="Q2701" s="381">
        <v>186</v>
      </c>
      <c r="R2701" s="381">
        <v>186</v>
      </c>
      <c r="S2701" s="381">
        <v>0.188</v>
      </c>
      <c r="T2701" s="381"/>
      <c r="U2701" s="381"/>
      <c r="V2701" s="382">
        <v>186.18799999999999</v>
      </c>
      <c r="W2701" s="382">
        <v>0</v>
      </c>
      <c r="X2701" s="381">
        <v>7.7499999999999999E-2</v>
      </c>
      <c r="Y2701" s="381">
        <v>7.7499999999999999E-2</v>
      </c>
      <c r="Z2701" s="381">
        <v>7.8333333333333331E-5</v>
      </c>
      <c r="AA2701" s="381">
        <v>0</v>
      </c>
      <c r="AB2701" s="381">
        <v>0</v>
      </c>
      <c r="AC2701" s="382">
        <v>7.7578333333333332E-2</v>
      </c>
      <c r="AD2701" s="382">
        <v>0</v>
      </c>
      <c r="AE2701" s="381" t="s">
        <v>168</v>
      </c>
    </row>
    <row r="2702" spans="1:31" ht="15" customHeight="1" x14ac:dyDescent="0.25">
      <c r="A2702" s="20" t="s">
        <v>156</v>
      </c>
      <c r="B2702" s="20" t="s">
        <v>3912</v>
      </c>
      <c r="C2702" s="20" t="s">
        <v>3897</v>
      </c>
      <c r="D2702" s="378" t="s">
        <v>3916</v>
      </c>
      <c r="E2702" s="379">
        <v>45016</v>
      </c>
      <c r="F2702" s="379">
        <v>46843</v>
      </c>
      <c r="G2702" s="378" t="s">
        <v>193</v>
      </c>
      <c r="H2702" s="20" t="s">
        <v>194</v>
      </c>
      <c r="I2702" s="20" t="s">
        <v>162</v>
      </c>
      <c r="J2702" s="20" t="s">
        <v>163</v>
      </c>
      <c r="K2702" s="378" t="s">
        <v>195</v>
      </c>
      <c r="L2702" s="20" t="s">
        <v>165</v>
      </c>
      <c r="M2702" s="380">
        <v>2400</v>
      </c>
      <c r="N2702" s="380"/>
      <c r="O2702" s="380"/>
      <c r="P2702" s="380"/>
      <c r="Q2702" s="381">
        <v>164</v>
      </c>
      <c r="R2702" s="381">
        <v>164</v>
      </c>
      <c r="S2702" s="381">
        <v>0.15</v>
      </c>
      <c r="T2702" s="381"/>
      <c r="U2702" s="381"/>
      <c r="V2702" s="382">
        <v>164.15</v>
      </c>
      <c r="W2702" s="382">
        <v>0</v>
      </c>
      <c r="X2702" s="381">
        <v>6.8333333333333329E-2</v>
      </c>
      <c r="Y2702" s="381">
        <v>6.8333333333333329E-2</v>
      </c>
      <c r="Z2702" s="381">
        <v>6.2500000000000001E-5</v>
      </c>
      <c r="AA2702" s="381">
        <v>0</v>
      </c>
      <c r="AB2702" s="381">
        <v>0</v>
      </c>
      <c r="AC2702" s="382">
        <v>6.8395833333333322E-2</v>
      </c>
      <c r="AD2702" s="382">
        <v>0</v>
      </c>
      <c r="AE2702" s="381" t="s">
        <v>168</v>
      </c>
    </row>
    <row r="2703" spans="1:31" ht="15" customHeight="1" x14ac:dyDescent="0.25">
      <c r="A2703" s="20" t="s">
        <v>156</v>
      </c>
      <c r="B2703" s="20" t="s">
        <v>3912</v>
      </c>
      <c r="C2703" s="20" t="s">
        <v>3897</v>
      </c>
      <c r="D2703" s="378" t="s">
        <v>3917</v>
      </c>
      <c r="E2703" s="379">
        <v>45016</v>
      </c>
      <c r="F2703" s="379">
        <v>46843</v>
      </c>
      <c r="G2703" s="378" t="s">
        <v>179</v>
      </c>
      <c r="H2703" s="20" t="s">
        <v>202</v>
      </c>
      <c r="I2703" s="20" t="s">
        <v>162</v>
      </c>
      <c r="J2703" s="20" t="s">
        <v>163</v>
      </c>
      <c r="K2703" s="378" t="s">
        <v>203</v>
      </c>
      <c r="L2703" s="20" t="s">
        <v>165</v>
      </c>
      <c r="M2703" s="380">
        <v>2400</v>
      </c>
      <c r="N2703" s="380"/>
      <c r="O2703" s="380"/>
      <c r="P2703" s="380"/>
      <c r="Q2703" s="381">
        <v>302</v>
      </c>
      <c r="R2703" s="381">
        <v>302</v>
      </c>
      <c r="S2703" s="381">
        <v>0.24</v>
      </c>
      <c r="T2703" s="381"/>
      <c r="U2703" s="381"/>
      <c r="V2703" s="382">
        <v>302.24</v>
      </c>
      <c r="W2703" s="382">
        <v>0</v>
      </c>
      <c r="X2703" s="381">
        <v>0.12583333333333332</v>
      </c>
      <c r="Y2703" s="381">
        <v>0.12583333333333332</v>
      </c>
      <c r="Z2703" s="381">
        <v>9.9999999999999991E-5</v>
      </c>
      <c r="AA2703" s="381">
        <v>0</v>
      </c>
      <c r="AB2703" s="381">
        <v>0</v>
      </c>
      <c r="AC2703" s="382">
        <v>0.12593333333333331</v>
      </c>
      <c r="AD2703" s="382">
        <v>0</v>
      </c>
      <c r="AE2703" s="381" t="s">
        <v>168</v>
      </c>
    </row>
    <row r="2704" spans="1:31" ht="15" customHeight="1" x14ac:dyDescent="0.25">
      <c r="A2704" s="20" t="s">
        <v>156</v>
      </c>
      <c r="B2704" s="20" t="s">
        <v>3912</v>
      </c>
      <c r="C2704" s="20" t="s">
        <v>3897</v>
      </c>
      <c r="D2704" s="378" t="s">
        <v>3918</v>
      </c>
      <c r="E2704" s="379">
        <v>45016</v>
      </c>
      <c r="F2704" s="379">
        <v>46843</v>
      </c>
      <c r="G2704" s="378" t="s">
        <v>281</v>
      </c>
      <c r="H2704" s="20" t="s">
        <v>282</v>
      </c>
      <c r="I2704" s="20" t="s">
        <v>162</v>
      </c>
      <c r="J2704" s="20" t="s">
        <v>163</v>
      </c>
      <c r="K2704" s="378" t="s">
        <v>283</v>
      </c>
      <c r="L2704" s="20" t="s">
        <v>165</v>
      </c>
      <c r="M2704" s="380">
        <v>2400</v>
      </c>
      <c r="N2704" s="380"/>
      <c r="O2704" s="380"/>
      <c r="P2704" s="380"/>
      <c r="Q2704" s="381">
        <v>347.95</v>
      </c>
      <c r="R2704" s="381">
        <v>347.9</v>
      </c>
      <c r="S2704" s="381">
        <v>5.4100000000000002E-2</v>
      </c>
      <c r="T2704" s="381"/>
      <c r="U2704" s="381"/>
      <c r="V2704" s="382">
        <v>347.95409999999998</v>
      </c>
      <c r="W2704" s="382">
        <v>0</v>
      </c>
      <c r="X2704" s="381">
        <v>0.14497916666666666</v>
      </c>
      <c r="Y2704" s="381">
        <v>0.14495833333333333</v>
      </c>
      <c r="Z2704" s="381">
        <v>2.2541666666666668E-5</v>
      </c>
      <c r="AA2704" s="381">
        <v>0</v>
      </c>
      <c r="AB2704" s="381">
        <v>0</v>
      </c>
      <c r="AC2704" s="382">
        <v>0.14498087499999998</v>
      </c>
      <c r="AD2704" s="382">
        <v>0</v>
      </c>
      <c r="AE2704" s="381" t="s">
        <v>168</v>
      </c>
    </row>
    <row r="2705" spans="1:31" ht="15" customHeight="1" x14ac:dyDescent="0.25">
      <c r="A2705" s="20" t="s">
        <v>156</v>
      </c>
      <c r="B2705" s="20" t="s">
        <v>3912</v>
      </c>
      <c r="C2705" s="20" t="s">
        <v>3897</v>
      </c>
      <c r="D2705" s="378" t="s">
        <v>3919</v>
      </c>
      <c r="E2705" s="379">
        <v>45016</v>
      </c>
      <c r="F2705" s="379">
        <v>46843</v>
      </c>
      <c r="G2705" s="378" t="s">
        <v>281</v>
      </c>
      <c r="H2705" s="20" t="s">
        <v>282</v>
      </c>
      <c r="I2705" s="20" t="s">
        <v>162</v>
      </c>
      <c r="J2705" s="20" t="s">
        <v>163</v>
      </c>
      <c r="K2705" s="378" t="s">
        <v>283</v>
      </c>
      <c r="L2705" s="20" t="s">
        <v>165</v>
      </c>
      <c r="M2705" s="380">
        <v>2400</v>
      </c>
      <c r="N2705" s="380"/>
      <c r="O2705" s="380"/>
      <c r="P2705" s="380"/>
      <c r="Q2705" s="381">
        <v>395.12</v>
      </c>
      <c r="R2705" s="381">
        <v>395.09</v>
      </c>
      <c r="S2705" s="381">
        <v>3.15E-2</v>
      </c>
      <c r="T2705" s="381"/>
      <c r="U2705" s="381"/>
      <c r="V2705" s="382">
        <v>395.12149999999997</v>
      </c>
      <c r="W2705" s="382">
        <v>0</v>
      </c>
      <c r="X2705" s="381">
        <v>0.16463333333333333</v>
      </c>
      <c r="Y2705" s="381">
        <v>0.16462083333333333</v>
      </c>
      <c r="Z2705" s="381">
        <v>1.3125000000000001E-5</v>
      </c>
      <c r="AA2705" s="381">
        <v>0</v>
      </c>
      <c r="AB2705" s="381">
        <v>0</v>
      </c>
      <c r="AC2705" s="382">
        <v>0.16463395833333333</v>
      </c>
      <c r="AD2705" s="382">
        <v>0</v>
      </c>
      <c r="AE2705" s="381" t="s">
        <v>168</v>
      </c>
    </row>
    <row r="2706" spans="1:31" ht="15" customHeight="1" x14ac:dyDescent="0.25">
      <c r="A2706" s="20" t="s">
        <v>156</v>
      </c>
      <c r="B2706" s="20" t="s">
        <v>3912</v>
      </c>
      <c r="C2706" s="20" t="s">
        <v>3897</v>
      </c>
      <c r="D2706" s="378" t="s">
        <v>3920</v>
      </c>
      <c r="E2706" s="379">
        <v>45016</v>
      </c>
      <c r="F2706" s="379">
        <v>46843</v>
      </c>
      <c r="G2706" s="378" t="s">
        <v>281</v>
      </c>
      <c r="H2706" s="20" t="s">
        <v>282</v>
      </c>
      <c r="I2706" s="20" t="s">
        <v>162</v>
      </c>
      <c r="J2706" s="20" t="s">
        <v>163</v>
      </c>
      <c r="K2706" s="378" t="s">
        <v>283</v>
      </c>
      <c r="L2706" s="20" t="s">
        <v>165</v>
      </c>
      <c r="M2706" s="380">
        <v>2400</v>
      </c>
      <c r="N2706" s="380"/>
      <c r="O2706" s="380"/>
      <c r="P2706" s="380"/>
      <c r="Q2706" s="381">
        <v>105.88</v>
      </c>
      <c r="R2706" s="381">
        <v>105.88</v>
      </c>
      <c r="S2706" s="381">
        <v>-1.5200000000000001E-3</v>
      </c>
      <c r="T2706" s="381"/>
      <c r="U2706" s="381"/>
      <c r="V2706" s="382">
        <v>105.88</v>
      </c>
      <c r="W2706" s="382">
        <v>0</v>
      </c>
      <c r="X2706" s="381">
        <v>4.4116666666666665E-2</v>
      </c>
      <c r="Y2706" s="381">
        <v>4.4116666666666665E-2</v>
      </c>
      <c r="Z2706" s="381">
        <v>-6.3333333333333334E-7</v>
      </c>
      <c r="AA2706" s="381">
        <v>0</v>
      </c>
      <c r="AB2706" s="381">
        <v>0</v>
      </c>
      <c r="AC2706" s="382">
        <v>4.4116666666666665E-2</v>
      </c>
      <c r="AD2706" s="382">
        <v>0</v>
      </c>
      <c r="AE2706" s="381" t="s">
        <v>168</v>
      </c>
    </row>
    <row r="2707" spans="1:31" ht="15" customHeight="1" x14ac:dyDescent="0.25">
      <c r="A2707" s="20" t="s">
        <v>156</v>
      </c>
      <c r="B2707" s="20" t="s">
        <v>3912</v>
      </c>
      <c r="C2707" s="20" t="s">
        <v>3897</v>
      </c>
      <c r="D2707" s="378" t="s">
        <v>3921</v>
      </c>
      <c r="E2707" s="379">
        <v>44788</v>
      </c>
      <c r="F2707" s="379">
        <v>46113</v>
      </c>
      <c r="G2707" s="378" t="s">
        <v>320</v>
      </c>
      <c r="H2707" s="20" t="s">
        <v>352</v>
      </c>
      <c r="I2707" s="20" t="s">
        <v>353</v>
      </c>
      <c r="J2707" s="20" t="s">
        <v>163</v>
      </c>
      <c r="K2707" s="378" t="s">
        <v>354</v>
      </c>
      <c r="L2707" s="20" t="s">
        <v>165</v>
      </c>
      <c r="M2707" s="380">
        <v>2400</v>
      </c>
      <c r="N2707" s="380"/>
      <c r="O2707" s="380"/>
      <c r="P2707" s="380"/>
      <c r="Q2707" s="381">
        <v>237</v>
      </c>
      <c r="R2707" s="381"/>
      <c r="S2707" s="381"/>
      <c r="T2707" s="381"/>
      <c r="U2707" s="381"/>
      <c r="V2707" s="382">
        <v>237</v>
      </c>
      <c r="W2707" s="382">
        <v>0</v>
      </c>
      <c r="X2707" s="381">
        <v>9.8750000000000004E-2</v>
      </c>
      <c r="Y2707" s="381">
        <v>0</v>
      </c>
      <c r="Z2707" s="381">
        <v>0</v>
      </c>
      <c r="AA2707" s="381">
        <v>0</v>
      </c>
      <c r="AB2707" s="381">
        <v>0</v>
      </c>
      <c r="AC2707" s="382">
        <v>9.8750000000000004E-2</v>
      </c>
      <c r="AD2707" s="382">
        <v>0</v>
      </c>
      <c r="AE2707" s="381" t="s">
        <v>168</v>
      </c>
    </row>
    <row r="2708" spans="1:31" ht="15" customHeight="1" x14ac:dyDescent="0.25">
      <c r="A2708" s="20" t="s">
        <v>156</v>
      </c>
      <c r="B2708" s="20" t="s">
        <v>3912</v>
      </c>
      <c r="C2708" s="20" t="s">
        <v>3897</v>
      </c>
      <c r="D2708" s="378" t="s">
        <v>3922</v>
      </c>
      <c r="E2708" s="379">
        <v>44788</v>
      </c>
      <c r="F2708" s="379">
        <v>46113</v>
      </c>
      <c r="G2708" s="378" t="s">
        <v>362</v>
      </c>
      <c r="H2708" s="20" t="s">
        <v>352</v>
      </c>
      <c r="I2708" s="20" t="s">
        <v>353</v>
      </c>
      <c r="J2708" s="20" t="s">
        <v>163</v>
      </c>
      <c r="K2708" s="378" t="s">
        <v>354</v>
      </c>
      <c r="L2708" s="20" t="s">
        <v>165</v>
      </c>
      <c r="M2708" s="380">
        <v>2400</v>
      </c>
      <c r="N2708" s="380"/>
      <c r="O2708" s="380"/>
      <c r="P2708" s="380"/>
      <c r="Q2708" s="381">
        <v>193</v>
      </c>
      <c r="R2708" s="381"/>
      <c r="S2708" s="381"/>
      <c r="T2708" s="381"/>
      <c r="U2708" s="381"/>
      <c r="V2708" s="382">
        <v>193</v>
      </c>
      <c r="W2708" s="382">
        <v>0</v>
      </c>
      <c r="X2708" s="381">
        <v>8.0416666666666664E-2</v>
      </c>
      <c r="Y2708" s="381">
        <v>0</v>
      </c>
      <c r="Z2708" s="381">
        <v>0</v>
      </c>
      <c r="AA2708" s="381">
        <v>0</v>
      </c>
      <c r="AB2708" s="381">
        <v>0</v>
      </c>
      <c r="AC2708" s="382">
        <v>8.0416666666666664E-2</v>
      </c>
      <c r="AD2708" s="382">
        <v>0</v>
      </c>
      <c r="AE2708" s="381" t="s">
        <v>168</v>
      </c>
    </row>
    <row r="2709" spans="1:31" ht="15" customHeight="1" x14ac:dyDescent="0.25">
      <c r="A2709" s="20" t="s">
        <v>156</v>
      </c>
      <c r="B2709" s="20" t="s">
        <v>3912</v>
      </c>
      <c r="C2709" s="20" t="s">
        <v>3897</v>
      </c>
      <c r="D2709" s="378" t="s">
        <v>3923</v>
      </c>
      <c r="E2709" s="379">
        <v>44788</v>
      </c>
      <c r="F2709" s="379">
        <v>46113</v>
      </c>
      <c r="G2709" s="378" t="s">
        <v>219</v>
      </c>
      <c r="H2709" s="20" t="s">
        <v>352</v>
      </c>
      <c r="I2709" s="20" t="s">
        <v>353</v>
      </c>
      <c r="J2709" s="20" t="s">
        <v>163</v>
      </c>
      <c r="K2709" s="378" t="s">
        <v>354</v>
      </c>
      <c r="L2709" s="20" t="s">
        <v>165</v>
      </c>
      <c r="M2709" s="380">
        <v>2400</v>
      </c>
      <c r="N2709" s="380"/>
      <c r="O2709" s="380"/>
      <c r="P2709" s="380"/>
      <c r="Q2709" s="381">
        <v>250</v>
      </c>
      <c r="R2709" s="381"/>
      <c r="S2709" s="381"/>
      <c r="T2709" s="381"/>
      <c r="U2709" s="381"/>
      <c r="V2709" s="382">
        <v>250</v>
      </c>
      <c r="W2709" s="382">
        <v>0</v>
      </c>
      <c r="X2709" s="381">
        <v>0.10416666666666667</v>
      </c>
      <c r="Y2709" s="381">
        <v>0</v>
      </c>
      <c r="Z2709" s="381">
        <v>0</v>
      </c>
      <c r="AA2709" s="381">
        <v>0</v>
      </c>
      <c r="AB2709" s="381">
        <v>0</v>
      </c>
      <c r="AC2709" s="382">
        <v>0.10416666666666667</v>
      </c>
      <c r="AD2709" s="382">
        <v>0</v>
      </c>
      <c r="AE2709" s="381" t="s">
        <v>168</v>
      </c>
    </row>
    <row r="2710" spans="1:31" ht="15" customHeight="1" x14ac:dyDescent="0.25">
      <c r="A2710" s="20" t="s">
        <v>156</v>
      </c>
      <c r="B2710" s="20" t="s">
        <v>3912</v>
      </c>
      <c r="C2710" s="20" t="s">
        <v>3897</v>
      </c>
      <c r="D2710" s="378" t="s">
        <v>3924</v>
      </c>
      <c r="E2710" s="379">
        <v>44788</v>
      </c>
      <c r="F2710" s="379">
        <v>46113</v>
      </c>
      <c r="G2710" s="378" t="s">
        <v>378</v>
      </c>
      <c r="H2710" s="20" t="s">
        <v>352</v>
      </c>
      <c r="I2710" s="20" t="s">
        <v>353</v>
      </c>
      <c r="J2710" s="20" t="s">
        <v>163</v>
      </c>
      <c r="K2710" s="378" t="s">
        <v>354</v>
      </c>
      <c r="L2710" s="20" t="s">
        <v>165</v>
      </c>
      <c r="M2710" s="380">
        <v>2400</v>
      </c>
      <c r="N2710" s="380"/>
      <c r="O2710" s="380"/>
      <c r="P2710" s="380"/>
      <c r="Q2710" s="381">
        <v>235</v>
      </c>
      <c r="R2710" s="381"/>
      <c r="S2710" s="381"/>
      <c r="T2710" s="381"/>
      <c r="U2710" s="381"/>
      <c r="V2710" s="382">
        <v>235</v>
      </c>
      <c r="W2710" s="382">
        <v>0</v>
      </c>
      <c r="X2710" s="381">
        <v>9.7916666666666666E-2</v>
      </c>
      <c r="Y2710" s="381">
        <v>0</v>
      </c>
      <c r="Z2710" s="381">
        <v>0</v>
      </c>
      <c r="AA2710" s="381">
        <v>0</v>
      </c>
      <c r="AB2710" s="381">
        <v>0</v>
      </c>
      <c r="AC2710" s="382">
        <v>9.7916666666666666E-2</v>
      </c>
      <c r="AD2710" s="382">
        <v>0</v>
      </c>
      <c r="AE2710" s="381" t="s">
        <v>168</v>
      </c>
    </row>
    <row r="2711" spans="1:31" ht="15" customHeight="1" x14ac:dyDescent="0.25">
      <c r="A2711" s="20" t="s">
        <v>156</v>
      </c>
      <c r="B2711" s="20" t="s">
        <v>3912</v>
      </c>
      <c r="C2711" s="20" t="s">
        <v>3897</v>
      </c>
      <c r="D2711" s="378" t="s">
        <v>3925</v>
      </c>
      <c r="E2711" s="379">
        <v>44788</v>
      </c>
      <c r="F2711" s="379">
        <v>46113</v>
      </c>
      <c r="G2711" s="378" t="s">
        <v>378</v>
      </c>
      <c r="H2711" s="20" t="s">
        <v>352</v>
      </c>
      <c r="I2711" s="20" t="s">
        <v>353</v>
      </c>
      <c r="J2711" s="20" t="s">
        <v>163</v>
      </c>
      <c r="K2711" s="378" t="s">
        <v>354</v>
      </c>
      <c r="L2711" s="20" t="s">
        <v>165</v>
      </c>
      <c r="M2711" s="380">
        <v>2400</v>
      </c>
      <c r="N2711" s="380"/>
      <c r="O2711" s="380"/>
      <c r="P2711" s="380"/>
      <c r="Q2711" s="381">
        <v>408</v>
      </c>
      <c r="R2711" s="381"/>
      <c r="S2711" s="381"/>
      <c r="T2711" s="381"/>
      <c r="U2711" s="381"/>
      <c r="V2711" s="382">
        <v>408</v>
      </c>
      <c r="W2711" s="382">
        <v>0</v>
      </c>
      <c r="X2711" s="381">
        <v>0.17</v>
      </c>
      <c r="Y2711" s="381">
        <v>0</v>
      </c>
      <c r="Z2711" s="381">
        <v>0</v>
      </c>
      <c r="AA2711" s="381">
        <v>0</v>
      </c>
      <c r="AB2711" s="381">
        <v>0</v>
      </c>
      <c r="AC2711" s="382">
        <v>0.17</v>
      </c>
      <c r="AD2711" s="382">
        <v>0</v>
      </c>
      <c r="AE2711" s="381" t="s">
        <v>168</v>
      </c>
    </row>
    <row r="2712" spans="1:31" ht="15" customHeight="1" x14ac:dyDescent="0.25">
      <c r="A2712" s="20" t="s">
        <v>156</v>
      </c>
      <c r="B2712" s="20" t="s">
        <v>3912</v>
      </c>
      <c r="C2712" s="20" t="s">
        <v>3897</v>
      </c>
      <c r="D2712" s="378" t="s">
        <v>3926</v>
      </c>
      <c r="E2712" s="379">
        <v>44484</v>
      </c>
      <c r="F2712" s="379">
        <v>46143</v>
      </c>
      <c r="G2712" s="378" t="s">
        <v>387</v>
      </c>
      <c r="H2712" s="20" t="s">
        <v>388</v>
      </c>
      <c r="I2712" s="20">
        <v>0</v>
      </c>
      <c r="J2712" s="20" t="s">
        <v>163</v>
      </c>
      <c r="K2712" s="378" t="s">
        <v>389</v>
      </c>
      <c r="L2712" s="20" t="s">
        <v>165</v>
      </c>
      <c r="M2712" s="380">
        <v>2400</v>
      </c>
      <c r="N2712" s="380"/>
      <c r="O2712" s="380"/>
      <c r="P2712" s="380"/>
      <c r="Q2712" s="381">
        <v>455</v>
      </c>
      <c r="R2712" s="381"/>
      <c r="S2712" s="381"/>
      <c r="T2712" s="381"/>
      <c r="U2712" s="381"/>
      <c r="V2712" s="382">
        <v>455</v>
      </c>
      <c r="W2712" s="382">
        <v>0</v>
      </c>
      <c r="X2712" s="381">
        <v>0.18958333333333333</v>
      </c>
      <c r="Y2712" s="381">
        <v>0</v>
      </c>
      <c r="Z2712" s="381">
        <v>0</v>
      </c>
      <c r="AA2712" s="381">
        <v>0</v>
      </c>
      <c r="AB2712" s="381">
        <v>0</v>
      </c>
      <c r="AC2712" s="382">
        <v>0.18958333333333333</v>
      </c>
      <c r="AD2712" s="382">
        <v>0</v>
      </c>
      <c r="AE2712" s="381" t="s">
        <v>168</v>
      </c>
    </row>
    <row r="2713" spans="1:31" ht="15" customHeight="1" x14ac:dyDescent="0.25">
      <c r="A2713" s="20" t="s">
        <v>156</v>
      </c>
      <c r="B2713" s="20" t="s">
        <v>3912</v>
      </c>
      <c r="C2713" s="20" t="s">
        <v>3897</v>
      </c>
      <c r="D2713" s="378" t="s">
        <v>3927</v>
      </c>
      <c r="E2713" s="379">
        <v>44484</v>
      </c>
      <c r="F2713" s="379">
        <v>46143</v>
      </c>
      <c r="G2713" s="378" t="s">
        <v>391</v>
      </c>
      <c r="H2713" s="20" t="s">
        <v>388</v>
      </c>
      <c r="I2713" s="20">
        <v>0</v>
      </c>
      <c r="J2713" s="20" t="s">
        <v>163</v>
      </c>
      <c r="K2713" s="378" t="s">
        <v>389</v>
      </c>
      <c r="L2713" s="20" t="s">
        <v>165</v>
      </c>
      <c r="M2713" s="380">
        <v>2400</v>
      </c>
      <c r="N2713" s="380"/>
      <c r="O2713" s="380"/>
      <c r="P2713" s="380"/>
      <c r="Q2713" s="381">
        <v>407</v>
      </c>
      <c r="R2713" s="381"/>
      <c r="S2713" s="381"/>
      <c r="T2713" s="381"/>
      <c r="U2713" s="381"/>
      <c r="V2713" s="382">
        <v>407</v>
      </c>
      <c r="W2713" s="382">
        <v>0</v>
      </c>
      <c r="X2713" s="381">
        <v>0.16958333333333334</v>
      </c>
      <c r="Y2713" s="381">
        <v>0</v>
      </c>
      <c r="Z2713" s="381">
        <v>0</v>
      </c>
      <c r="AA2713" s="381">
        <v>0</v>
      </c>
      <c r="AB2713" s="381">
        <v>0</v>
      </c>
      <c r="AC2713" s="382">
        <v>0.16958333333333334</v>
      </c>
      <c r="AD2713" s="382">
        <v>0</v>
      </c>
      <c r="AE2713" s="381" t="s">
        <v>168</v>
      </c>
    </row>
    <row r="2714" spans="1:31" ht="15" customHeight="1" x14ac:dyDescent="0.25">
      <c r="A2714" s="20" t="s">
        <v>156</v>
      </c>
      <c r="B2714" s="20" t="s">
        <v>3912</v>
      </c>
      <c r="C2714" s="20" t="s">
        <v>3897</v>
      </c>
      <c r="D2714" s="378" t="s">
        <v>3928</v>
      </c>
      <c r="E2714" s="379">
        <v>44620</v>
      </c>
      <c r="F2714" s="379">
        <v>46446</v>
      </c>
      <c r="G2714" s="378" t="s">
        <v>173</v>
      </c>
      <c r="H2714" s="20" t="s">
        <v>393</v>
      </c>
      <c r="I2714" s="20"/>
      <c r="J2714" s="20" t="s">
        <v>163</v>
      </c>
      <c r="K2714" s="378" t="s">
        <v>394</v>
      </c>
      <c r="L2714" s="20" t="s">
        <v>165</v>
      </c>
      <c r="M2714" s="380">
        <v>2400</v>
      </c>
      <c r="N2714" s="380"/>
      <c r="O2714" s="380"/>
      <c r="P2714" s="380"/>
      <c r="Q2714" s="381">
        <v>282</v>
      </c>
      <c r="R2714" s="381"/>
      <c r="S2714" s="381"/>
      <c r="T2714" s="381"/>
      <c r="U2714" s="381"/>
      <c r="V2714" s="382">
        <v>282</v>
      </c>
      <c r="W2714" s="382">
        <v>0</v>
      </c>
      <c r="X2714" s="381">
        <v>0.11749999999999999</v>
      </c>
      <c r="Y2714" s="381">
        <v>0</v>
      </c>
      <c r="Z2714" s="381">
        <v>0</v>
      </c>
      <c r="AA2714" s="381">
        <v>0</v>
      </c>
      <c r="AB2714" s="381">
        <v>0</v>
      </c>
      <c r="AC2714" s="382">
        <v>0.11749999999999999</v>
      </c>
      <c r="AD2714" s="382">
        <v>0</v>
      </c>
      <c r="AE2714" s="381" t="s">
        <v>168</v>
      </c>
    </row>
    <row r="2715" spans="1:31" ht="15" customHeight="1" x14ac:dyDescent="0.25">
      <c r="A2715" s="20" t="s">
        <v>156</v>
      </c>
      <c r="B2715" s="20" t="s">
        <v>3912</v>
      </c>
      <c r="C2715" s="20" t="s">
        <v>3897</v>
      </c>
      <c r="D2715" s="378" t="s">
        <v>3929</v>
      </c>
      <c r="E2715" s="379">
        <v>44620</v>
      </c>
      <c r="F2715" s="379">
        <v>46446</v>
      </c>
      <c r="G2715" s="378" t="s">
        <v>173</v>
      </c>
      <c r="H2715" s="20" t="s">
        <v>393</v>
      </c>
      <c r="I2715" s="20"/>
      <c r="J2715" s="20" t="s">
        <v>163</v>
      </c>
      <c r="K2715" s="378" t="s">
        <v>394</v>
      </c>
      <c r="L2715" s="20" t="s">
        <v>165</v>
      </c>
      <c r="M2715" s="380">
        <v>2400</v>
      </c>
      <c r="N2715" s="380"/>
      <c r="O2715" s="380"/>
      <c r="P2715" s="380"/>
      <c r="Q2715" s="381">
        <v>235</v>
      </c>
      <c r="R2715" s="381"/>
      <c r="S2715" s="381"/>
      <c r="T2715" s="381"/>
      <c r="U2715" s="381"/>
      <c r="V2715" s="382">
        <v>235</v>
      </c>
      <c r="W2715" s="382">
        <v>0</v>
      </c>
      <c r="X2715" s="381">
        <v>9.7916666666666666E-2</v>
      </c>
      <c r="Y2715" s="381">
        <v>0</v>
      </c>
      <c r="Z2715" s="381">
        <v>0</v>
      </c>
      <c r="AA2715" s="381">
        <v>0</v>
      </c>
      <c r="AB2715" s="381">
        <v>0</v>
      </c>
      <c r="AC2715" s="382">
        <v>9.7916666666666666E-2</v>
      </c>
      <c r="AD2715" s="382">
        <v>0</v>
      </c>
      <c r="AE2715" s="381" t="s">
        <v>168</v>
      </c>
    </row>
    <row r="2716" spans="1:31" ht="15" customHeight="1" x14ac:dyDescent="0.25">
      <c r="A2716" s="20" t="s">
        <v>156</v>
      </c>
      <c r="B2716" s="20" t="s">
        <v>3912</v>
      </c>
      <c r="C2716" s="20" t="s">
        <v>3897</v>
      </c>
      <c r="D2716" s="378" t="s">
        <v>3930</v>
      </c>
      <c r="E2716" s="379">
        <v>44620</v>
      </c>
      <c r="F2716" s="379">
        <v>46446</v>
      </c>
      <c r="G2716" s="378" t="s">
        <v>173</v>
      </c>
      <c r="H2716" s="20" t="s">
        <v>393</v>
      </c>
      <c r="I2716" s="20"/>
      <c r="J2716" s="20" t="s">
        <v>163</v>
      </c>
      <c r="K2716" s="378" t="s">
        <v>394</v>
      </c>
      <c r="L2716" s="20" t="s">
        <v>165</v>
      </c>
      <c r="M2716" s="380">
        <v>2400</v>
      </c>
      <c r="N2716" s="380"/>
      <c r="O2716" s="380"/>
      <c r="P2716" s="380"/>
      <c r="Q2716" s="381">
        <v>122</v>
      </c>
      <c r="R2716" s="381"/>
      <c r="S2716" s="381"/>
      <c r="T2716" s="381"/>
      <c r="U2716" s="381"/>
      <c r="V2716" s="382">
        <v>122</v>
      </c>
      <c r="W2716" s="382">
        <v>0</v>
      </c>
      <c r="X2716" s="381">
        <v>5.0833333333333335E-2</v>
      </c>
      <c r="Y2716" s="381">
        <v>0</v>
      </c>
      <c r="Z2716" s="381">
        <v>0</v>
      </c>
      <c r="AA2716" s="381">
        <v>0</v>
      </c>
      <c r="AB2716" s="381">
        <v>0</v>
      </c>
      <c r="AC2716" s="382">
        <v>5.0833333333333335E-2</v>
      </c>
      <c r="AD2716" s="382">
        <v>0</v>
      </c>
      <c r="AE2716" s="381" t="s">
        <v>168</v>
      </c>
    </row>
    <row r="2717" spans="1:31" ht="15" customHeight="1" x14ac:dyDescent="0.25">
      <c r="A2717" s="20" t="s">
        <v>156</v>
      </c>
      <c r="B2717" s="20" t="s">
        <v>3912</v>
      </c>
      <c r="C2717" s="20" t="s">
        <v>3897</v>
      </c>
      <c r="D2717" s="378" t="s">
        <v>3931</v>
      </c>
      <c r="E2717" s="379">
        <v>44620</v>
      </c>
      <c r="F2717" s="379">
        <v>46446</v>
      </c>
      <c r="G2717" s="378" t="s">
        <v>173</v>
      </c>
      <c r="H2717" s="20" t="s">
        <v>393</v>
      </c>
      <c r="I2717" s="20"/>
      <c r="J2717" s="20" t="s">
        <v>163</v>
      </c>
      <c r="K2717" s="378" t="s">
        <v>394</v>
      </c>
      <c r="L2717" s="20" t="s">
        <v>165</v>
      </c>
      <c r="M2717" s="380">
        <v>2400</v>
      </c>
      <c r="N2717" s="380"/>
      <c r="O2717" s="380"/>
      <c r="P2717" s="380"/>
      <c r="Q2717" s="381">
        <v>173</v>
      </c>
      <c r="R2717" s="381"/>
      <c r="S2717" s="381"/>
      <c r="T2717" s="381"/>
      <c r="U2717" s="381"/>
      <c r="V2717" s="382">
        <v>173</v>
      </c>
      <c r="W2717" s="382">
        <v>0</v>
      </c>
      <c r="X2717" s="381">
        <v>7.2083333333333333E-2</v>
      </c>
      <c r="Y2717" s="381">
        <v>0</v>
      </c>
      <c r="Z2717" s="381">
        <v>0</v>
      </c>
      <c r="AA2717" s="381">
        <v>0</v>
      </c>
      <c r="AB2717" s="381">
        <v>0</v>
      </c>
      <c r="AC2717" s="382">
        <v>7.2083333333333333E-2</v>
      </c>
      <c r="AD2717" s="382">
        <v>0</v>
      </c>
      <c r="AE2717" s="381" t="s">
        <v>168</v>
      </c>
    </row>
    <row r="2718" spans="1:31" ht="15" customHeight="1" x14ac:dyDescent="0.25">
      <c r="A2718" s="20" t="s">
        <v>156</v>
      </c>
      <c r="B2718" s="20" t="s">
        <v>3932</v>
      </c>
      <c r="C2718" s="20" t="s">
        <v>3897</v>
      </c>
      <c r="D2718" s="378" t="s">
        <v>3933</v>
      </c>
      <c r="E2718" s="379">
        <v>44620</v>
      </c>
      <c r="F2718" s="379">
        <v>46446</v>
      </c>
      <c r="G2718" s="378" t="s">
        <v>173</v>
      </c>
      <c r="H2718" s="20" t="s">
        <v>393</v>
      </c>
      <c r="I2718" s="20"/>
      <c r="J2718" s="20" t="s">
        <v>163</v>
      </c>
      <c r="K2718" s="378" t="s">
        <v>394</v>
      </c>
      <c r="L2718" s="20" t="s">
        <v>165</v>
      </c>
      <c r="M2718" s="380">
        <v>2400</v>
      </c>
      <c r="N2718" s="380"/>
      <c r="O2718" s="380"/>
      <c r="P2718" s="380"/>
      <c r="Q2718" s="381">
        <v>1240</v>
      </c>
      <c r="R2718" s="381"/>
      <c r="S2718" s="381"/>
      <c r="T2718" s="381"/>
      <c r="U2718" s="381"/>
      <c r="V2718" s="382">
        <v>1240</v>
      </c>
      <c r="W2718" s="382">
        <v>0</v>
      </c>
      <c r="X2718" s="381">
        <v>0.51666666666666672</v>
      </c>
      <c r="Y2718" s="381">
        <v>0</v>
      </c>
      <c r="Z2718" s="381">
        <v>0</v>
      </c>
      <c r="AA2718" s="381">
        <v>0</v>
      </c>
      <c r="AB2718" s="381">
        <v>0</v>
      </c>
      <c r="AC2718" s="382">
        <v>0.51666666666666672</v>
      </c>
      <c r="AD2718" s="382">
        <v>0</v>
      </c>
      <c r="AE2718" s="381" t="s">
        <v>168</v>
      </c>
    </row>
    <row r="2719" spans="1:31" ht="15" customHeight="1" x14ac:dyDescent="0.25">
      <c r="A2719" s="20" t="s">
        <v>156</v>
      </c>
      <c r="B2719" s="20" t="s">
        <v>3932</v>
      </c>
      <c r="C2719" s="20" t="s">
        <v>3897</v>
      </c>
      <c r="D2719" s="378" t="s">
        <v>3934</v>
      </c>
      <c r="E2719" s="379">
        <v>44620</v>
      </c>
      <c r="F2719" s="379">
        <v>46446</v>
      </c>
      <c r="G2719" s="378" t="s">
        <v>173</v>
      </c>
      <c r="H2719" s="20" t="s">
        <v>393</v>
      </c>
      <c r="I2719" s="20"/>
      <c r="J2719" s="20" t="s">
        <v>163</v>
      </c>
      <c r="K2719" s="378" t="s">
        <v>394</v>
      </c>
      <c r="L2719" s="20" t="s">
        <v>165</v>
      </c>
      <c r="M2719" s="380">
        <v>2400</v>
      </c>
      <c r="N2719" s="380"/>
      <c r="O2719" s="380"/>
      <c r="P2719" s="380"/>
      <c r="Q2719" s="381">
        <v>1270</v>
      </c>
      <c r="R2719" s="381"/>
      <c r="S2719" s="381"/>
      <c r="T2719" s="381"/>
      <c r="U2719" s="381"/>
      <c r="V2719" s="382">
        <v>1270</v>
      </c>
      <c r="W2719" s="382">
        <v>0</v>
      </c>
      <c r="X2719" s="381">
        <v>0.52916666666666667</v>
      </c>
      <c r="Y2719" s="381">
        <v>0</v>
      </c>
      <c r="Z2719" s="381">
        <v>0</v>
      </c>
      <c r="AA2719" s="381">
        <v>0</v>
      </c>
      <c r="AB2719" s="381">
        <v>0</v>
      </c>
      <c r="AC2719" s="382">
        <v>0.52916666666666667</v>
      </c>
      <c r="AD2719" s="382">
        <v>0</v>
      </c>
      <c r="AE2719" s="381" t="s">
        <v>168</v>
      </c>
    </row>
    <row r="2720" spans="1:31" ht="15" customHeight="1" x14ac:dyDescent="0.25">
      <c r="A2720" s="20" t="s">
        <v>156</v>
      </c>
      <c r="B2720" s="20" t="s">
        <v>3932</v>
      </c>
      <c r="C2720" s="20" t="s">
        <v>3897</v>
      </c>
      <c r="D2720" s="378" t="s">
        <v>3935</v>
      </c>
      <c r="E2720" s="379">
        <v>44620</v>
      </c>
      <c r="F2720" s="379">
        <v>46446</v>
      </c>
      <c r="G2720" s="378" t="s">
        <v>173</v>
      </c>
      <c r="H2720" s="20" t="s">
        <v>393</v>
      </c>
      <c r="I2720" s="20"/>
      <c r="J2720" s="20" t="s">
        <v>163</v>
      </c>
      <c r="K2720" s="378" t="s">
        <v>394</v>
      </c>
      <c r="L2720" s="20" t="s">
        <v>165</v>
      </c>
      <c r="M2720" s="380">
        <v>2400</v>
      </c>
      <c r="N2720" s="380"/>
      <c r="O2720" s="380"/>
      <c r="P2720" s="380"/>
      <c r="Q2720" s="381">
        <v>579</v>
      </c>
      <c r="R2720" s="381"/>
      <c r="S2720" s="381"/>
      <c r="T2720" s="381"/>
      <c r="U2720" s="381"/>
      <c r="V2720" s="382">
        <v>579</v>
      </c>
      <c r="W2720" s="382">
        <v>0</v>
      </c>
      <c r="X2720" s="381">
        <v>0.24124999999999999</v>
      </c>
      <c r="Y2720" s="381">
        <v>0</v>
      </c>
      <c r="Z2720" s="381">
        <v>0</v>
      </c>
      <c r="AA2720" s="381">
        <v>0</v>
      </c>
      <c r="AB2720" s="381">
        <v>0</v>
      </c>
      <c r="AC2720" s="382">
        <v>0.24124999999999999</v>
      </c>
      <c r="AD2720" s="382">
        <v>0</v>
      </c>
      <c r="AE2720" s="381" t="s">
        <v>168</v>
      </c>
    </row>
    <row r="2721" spans="1:31" ht="15" customHeight="1" x14ac:dyDescent="0.25">
      <c r="A2721" s="20" t="s">
        <v>156</v>
      </c>
      <c r="B2721" s="20" t="s">
        <v>3932</v>
      </c>
      <c r="C2721" s="20" t="s">
        <v>3897</v>
      </c>
      <c r="D2721" s="378" t="s">
        <v>3936</v>
      </c>
      <c r="E2721" s="379">
        <v>44620</v>
      </c>
      <c r="F2721" s="379">
        <v>46446</v>
      </c>
      <c r="G2721" s="378" t="s">
        <v>173</v>
      </c>
      <c r="H2721" s="20" t="s">
        <v>393</v>
      </c>
      <c r="I2721" s="20"/>
      <c r="J2721" s="20" t="s">
        <v>163</v>
      </c>
      <c r="K2721" s="378" t="s">
        <v>394</v>
      </c>
      <c r="L2721" s="20" t="s">
        <v>165</v>
      </c>
      <c r="M2721" s="380">
        <v>2400</v>
      </c>
      <c r="N2721" s="380"/>
      <c r="O2721" s="380"/>
      <c r="P2721" s="380"/>
      <c r="Q2721" s="381">
        <v>587</v>
      </c>
      <c r="R2721" s="381"/>
      <c r="S2721" s="381"/>
      <c r="T2721" s="381"/>
      <c r="U2721" s="381"/>
      <c r="V2721" s="382">
        <v>587</v>
      </c>
      <c r="W2721" s="382">
        <v>0</v>
      </c>
      <c r="X2721" s="381">
        <v>0.24458333333333335</v>
      </c>
      <c r="Y2721" s="381">
        <v>0</v>
      </c>
      <c r="Z2721" s="381">
        <v>0</v>
      </c>
      <c r="AA2721" s="381">
        <v>0</v>
      </c>
      <c r="AB2721" s="381">
        <v>0</v>
      </c>
      <c r="AC2721" s="382">
        <v>0.24458333333333335</v>
      </c>
      <c r="AD2721" s="382">
        <v>0</v>
      </c>
      <c r="AE2721" s="381" t="s">
        <v>168</v>
      </c>
    </row>
    <row r="2722" spans="1:31" ht="15" customHeight="1" x14ac:dyDescent="0.25">
      <c r="A2722" s="20" t="s">
        <v>156</v>
      </c>
      <c r="B2722" s="20" t="s">
        <v>3932</v>
      </c>
      <c r="C2722" s="20" t="s">
        <v>3897</v>
      </c>
      <c r="D2722" s="378" t="s">
        <v>3937</v>
      </c>
      <c r="E2722" s="379">
        <v>44620</v>
      </c>
      <c r="F2722" s="379">
        <v>46446</v>
      </c>
      <c r="G2722" s="378" t="s">
        <v>173</v>
      </c>
      <c r="H2722" s="20" t="s">
        <v>393</v>
      </c>
      <c r="I2722" s="20"/>
      <c r="J2722" s="20" t="s">
        <v>163</v>
      </c>
      <c r="K2722" s="378" t="s">
        <v>394</v>
      </c>
      <c r="L2722" s="20" t="s">
        <v>165</v>
      </c>
      <c r="M2722" s="380">
        <v>2400</v>
      </c>
      <c r="N2722" s="380"/>
      <c r="O2722" s="380"/>
      <c r="P2722" s="380"/>
      <c r="Q2722" s="381">
        <v>296</v>
      </c>
      <c r="R2722" s="381"/>
      <c r="S2722" s="381"/>
      <c r="T2722" s="381"/>
      <c r="U2722" s="381"/>
      <c r="V2722" s="382">
        <v>296</v>
      </c>
      <c r="W2722" s="382">
        <v>0</v>
      </c>
      <c r="X2722" s="381">
        <v>0.12333333333333334</v>
      </c>
      <c r="Y2722" s="381">
        <v>0</v>
      </c>
      <c r="Z2722" s="381">
        <v>0</v>
      </c>
      <c r="AA2722" s="381">
        <v>0</v>
      </c>
      <c r="AB2722" s="381">
        <v>0</v>
      </c>
      <c r="AC2722" s="382">
        <v>0.12333333333333334</v>
      </c>
      <c r="AD2722" s="382">
        <v>0</v>
      </c>
      <c r="AE2722" s="381" t="s">
        <v>168</v>
      </c>
    </row>
    <row r="2723" spans="1:31" ht="15" customHeight="1" x14ac:dyDescent="0.25">
      <c r="A2723" s="20" t="s">
        <v>156</v>
      </c>
      <c r="B2723" s="20" t="s">
        <v>3932</v>
      </c>
      <c r="C2723" s="20" t="s">
        <v>3897</v>
      </c>
      <c r="D2723" s="378" t="s">
        <v>3938</v>
      </c>
      <c r="E2723" s="379">
        <v>44620</v>
      </c>
      <c r="F2723" s="379">
        <v>46446</v>
      </c>
      <c r="G2723" s="378" t="s">
        <v>173</v>
      </c>
      <c r="H2723" s="20" t="s">
        <v>393</v>
      </c>
      <c r="I2723" s="20"/>
      <c r="J2723" s="20" t="s">
        <v>163</v>
      </c>
      <c r="K2723" s="378" t="s">
        <v>394</v>
      </c>
      <c r="L2723" s="20" t="s">
        <v>165</v>
      </c>
      <c r="M2723" s="380">
        <v>2400</v>
      </c>
      <c r="N2723" s="380"/>
      <c r="O2723" s="380"/>
      <c r="P2723" s="380"/>
      <c r="Q2723" s="381">
        <v>481</v>
      </c>
      <c r="R2723" s="381"/>
      <c r="S2723" s="381"/>
      <c r="T2723" s="381"/>
      <c r="U2723" s="381"/>
      <c r="V2723" s="382">
        <v>481</v>
      </c>
      <c r="W2723" s="382">
        <v>0</v>
      </c>
      <c r="X2723" s="381">
        <v>0.20041666666666666</v>
      </c>
      <c r="Y2723" s="381">
        <v>0</v>
      </c>
      <c r="Z2723" s="381">
        <v>0</v>
      </c>
      <c r="AA2723" s="381">
        <v>0</v>
      </c>
      <c r="AB2723" s="381">
        <v>0</v>
      </c>
      <c r="AC2723" s="382">
        <v>0.20041666666666666</v>
      </c>
      <c r="AD2723" s="382">
        <v>0</v>
      </c>
      <c r="AE2723" s="381" t="s">
        <v>168</v>
      </c>
    </row>
    <row r="2724" spans="1:31" ht="15" customHeight="1" x14ac:dyDescent="0.25">
      <c r="A2724" s="20" t="s">
        <v>156</v>
      </c>
      <c r="B2724" s="20" t="s">
        <v>3932</v>
      </c>
      <c r="C2724" s="20" t="s">
        <v>3897</v>
      </c>
      <c r="D2724" s="378" t="s">
        <v>3939</v>
      </c>
      <c r="E2724" s="379">
        <v>44620</v>
      </c>
      <c r="F2724" s="379">
        <v>46446</v>
      </c>
      <c r="G2724" s="378" t="s">
        <v>173</v>
      </c>
      <c r="H2724" s="20" t="s">
        <v>393</v>
      </c>
      <c r="I2724" s="20"/>
      <c r="J2724" s="20" t="s">
        <v>163</v>
      </c>
      <c r="K2724" s="378" t="s">
        <v>394</v>
      </c>
      <c r="L2724" s="20" t="s">
        <v>165</v>
      </c>
      <c r="M2724" s="380">
        <v>2400</v>
      </c>
      <c r="N2724" s="380"/>
      <c r="O2724" s="380"/>
      <c r="P2724" s="380"/>
      <c r="Q2724" s="381">
        <v>296</v>
      </c>
      <c r="R2724" s="381"/>
      <c r="S2724" s="381"/>
      <c r="T2724" s="381"/>
      <c r="U2724" s="381"/>
      <c r="V2724" s="382">
        <v>296</v>
      </c>
      <c r="W2724" s="382">
        <v>0</v>
      </c>
      <c r="X2724" s="381">
        <v>0.12333333333333334</v>
      </c>
      <c r="Y2724" s="381">
        <v>0</v>
      </c>
      <c r="Z2724" s="381">
        <v>0</v>
      </c>
      <c r="AA2724" s="381">
        <v>0</v>
      </c>
      <c r="AB2724" s="381">
        <v>0</v>
      </c>
      <c r="AC2724" s="382">
        <v>0.12333333333333334</v>
      </c>
      <c r="AD2724" s="382">
        <v>0</v>
      </c>
      <c r="AE2724" s="381" t="s">
        <v>168</v>
      </c>
    </row>
    <row r="2725" spans="1:31" ht="15" customHeight="1" x14ac:dyDescent="0.25">
      <c r="A2725" s="20" t="s">
        <v>156</v>
      </c>
      <c r="B2725" s="20" t="s">
        <v>3932</v>
      </c>
      <c r="C2725" s="20" t="s">
        <v>3897</v>
      </c>
      <c r="D2725" s="378" t="s">
        <v>3940</v>
      </c>
      <c r="E2725" s="379">
        <v>44620</v>
      </c>
      <c r="F2725" s="379">
        <v>46446</v>
      </c>
      <c r="G2725" s="378" t="s">
        <v>173</v>
      </c>
      <c r="H2725" s="20" t="s">
        <v>393</v>
      </c>
      <c r="I2725" s="20"/>
      <c r="J2725" s="20" t="s">
        <v>163</v>
      </c>
      <c r="K2725" s="378" t="s">
        <v>394</v>
      </c>
      <c r="L2725" s="20" t="s">
        <v>165</v>
      </c>
      <c r="M2725" s="380">
        <v>2400</v>
      </c>
      <c r="N2725" s="380"/>
      <c r="O2725" s="380"/>
      <c r="P2725" s="380"/>
      <c r="Q2725" s="381">
        <v>481</v>
      </c>
      <c r="R2725" s="381"/>
      <c r="S2725" s="381"/>
      <c r="T2725" s="381"/>
      <c r="U2725" s="381"/>
      <c r="V2725" s="382">
        <v>481</v>
      </c>
      <c r="W2725" s="382">
        <v>0</v>
      </c>
      <c r="X2725" s="381">
        <v>0.20041666666666666</v>
      </c>
      <c r="Y2725" s="381">
        <v>0</v>
      </c>
      <c r="Z2725" s="381">
        <v>0</v>
      </c>
      <c r="AA2725" s="381">
        <v>0</v>
      </c>
      <c r="AB2725" s="381">
        <v>0</v>
      </c>
      <c r="AC2725" s="382">
        <v>0.20041666666666666</v>
      </c>
      <c r="AD2725" s="382">
        <v>0</v>
      </c>
      <c r="AE2725" s="381" t="s">
        <v>168</v>
      </c>
    </row>
    <row r="2726" spans="1:31" ht="15" customHeight="1" x14ac:dyDescent="0.25">
      <c r="A2726" s="20" t="s">
        <v>156</v>
      </c>
      <c r="B2726" s="20" t="s">
        <v>3912</v>
      </c>
      <c r="C2726" s="20" t="s">
        <v>3897</v>
      </c>
      <c r="D2726" s="378" t="s">
        <v>3941</v>
      </c>
      <c r="E2726" s="379">
        <v>44620</v>
      </c>
      <c r="F2726" s="379">
        <v>46446</v>
      </c>
      <c r="G2726" s="378" t="s">
        <v>396</v>
      </c>
      <c r="H2726" s="20" t="s">
        <v>393</v>
      </c>
      <c r="I2726" s="20"/>
      <c r="J2726" s="20" t="s">
        <v>163</v>
      </c>
      <c r="K2726" s="378" t="s">
        <v>397</v>
      </c>
      <c r="L2726" s="20" t="s">
        <v>165</v>
      </c>
      <c r="M2726" s="380">
        <v>2400</v>
      </c>
      <c r="N2726" s="380"/>
      <c r="O2726" s="380"/>
      <c r="P2726" s="380"/>
      <c r="Q2726" s="381">
        <v>339</v>
      </c>
      <c r="R2726" s="381"/>
      <c r="S2726" s="381"/>
      <c r="T2726" s="381"/>
      <c r="U2726" s="381"/>
      <c r="V2726" s="382">
        <v>339</v>
      </c>
      <c r="W2726" s="382">
        <v>0</v>
      </c>
      <c r="X2726" s="381">
        <v>0.14124999999999999</v>
      </c>
      <c r="Y2726" s="381">
        <v>0</v>
      </c>
      <c r="Z2726" s="381">
        <v>0</v>
      </c>
      <c r="AA2726" s="381">
        <v>0</v>
      </c>
      <c r="AB2726" s="381">
        <v>0</v>
      </c>
      <c r="AC2726" s="382">
        <v>0.14124999999999999</v>
      </c>
      <c r="AD2726" s="382">
        <v>0</v>
      </c>
      <c r="AE2726" s="381" t="s">
        <v>168</v>
      </c>
    </row>
    <row r="2727" spans="1:31" ht="15" customHeight="1" x14ac:dyDescent="0.25">
      <c r="A2727" s="20" t="s">
        <v>156</v>
      </c>
      <c r="B2727" s="20" t="s">
        <v>3912</v>
      </c>
      <c r="C2727" s="20" t="s">
        <v>3897</v>
      </c>
      <c r="D2727" s="378" t="s">
        <v>3942</v>
      </c>
      <c r="E2727" s="379">
        <v>44620</v>
      </c>
      <c r="F2727" s="379">
        <v>46446</v>
      </c>
      <c r="G2727" s="378" t="s">
        <v>396</v>
      </c>
      <c r="H2727" s="20" t="s">
        <v>393</v>
      </c>
      <c r="I2727" s="20"/>
      <c r="J2727" s="20" t="s">
        <v>163</v>
      </c>
      <c r="K2727" s="378" t="s">
        <v>397</v>
      </c>
      <c r="L2727" s="20" t="s">
        <v>165</v>
      </c>
      <c r="M2727" s="380">
        <v>2400</v>
      </c>
      <c r="N2727" s="380"/>
      <c r="O2727" s="380"/>
      <c r="P2727" s="380"/>
      <c r="Q2727" s="381">
        <v>342</v>
      </c>
      <c r="R2727" s="381"/>
      <c r="S2727" s="381"/>
      <c r="T2727" s="381"/>
      <c r="U2727" s="381"/>
      <c r="V2727" s="382">
        <v>342</v>
      </c>
      <c r="W2727" s="382">
        <v>0</v>
      </c>
      <c r="X2727" s="381">
        <v>0.14249999999999999</v>
      </c>
      <c r="Y2727" s="381">
        <v>0</v>
      </c>
      <c r="Z2727" s="381">
        <v>0</v>
      </c>
      <c r="AA2727" s="381">
        <v>0</v>
      </c>
      <c r="AB2727" s="381">
        <v>0</v>
      </c>
      <c r="AC2727" s="382">
        <v>0.14249999999999999</v>
      </c>
      <c r="AD2727" s="382">
        <v>0</v>
      </c>
      <c r="AE2727" s="381" t="s">
        <v>168</v>
      </c>
    </row>
    <row r="2728" spans="1:31" ht="15" customHeight="1" x14ac:dyDescent="0.25">
      <c r="A2728" s="20" t="s">
        <v>156</v>
      </c>
      <c r="B2728" s="20" t="s">
        <v>3912</v>
      </c>
      <c r="C2728" s="20" t="s">
        <v>3897</v>
      </c>
      <c r="D2728" s="378" t="s">
        <v>3943</v>
      </c>
      <c r="E2728" s="379">
        <v>44620</v>
      </c>
      <c r="F2728" s="379">
        <v>46446</v>
      </c>
      <c r="G2728" s="378" t="s">
        <v>407</v>
      </c>
      <c r="H2728" s="20" t="s">
        <v>393</v>
      </c>
      <c r="I2728" s="20"/>
      <c r="J2728" s="20" t="s">
        <v>163</v>
      </c>
      <c r="K2728" s="378" t="s">
        <v>397</v>
      </c>
      <c r="L2728" s="20" t="s">
        <v>165</v>
      </c>
      <c r="M2728" s="380">
        <v>2400</v>
      </c>
      <c r="N2728" s="380"/>
      <c r="O2728" s="380"/>
      <c r="P2728" s="380"/>
      <c r="Q2728" s="381">
        <v>232</v>
      </c>
      <c r="R2728" s="381"/>
      <c r="S2728" s="381"/>
      <c r="T2728" s="381"/>
      <c r="U2728" s="381"/>
      <c r="V2728" s="382">
        <v>232</v>
      </c>
      <c r="W2728" s="382">
        <v>0</v>
      </c>
      <c r="X2728" s="381">
        <v>9.6666666666666665E-2</v>
      </c>
      <c r="Y2728" s="381">
        <v>0</v>
      </c>
      <c r="Z2728" s="381">
        <v>0</v>
      </c>
      <c r="AA2728" s="381">
        <v>0</v>
      </c>
      <c r="AB2728" s="381">
        <v>0</v>
      </c>
      <c r="AC2728" s="382">
        <v>9.6666666666666665E-2</v>
      </c>
      <c r="AD2728" s="382">
        <v>0</v>
      </c>
      <c r="AE2728" s="381" t="s">
        <v>168</v>
      </c>
    </row>
    <row r="2729" spans="1:31" ht="15" customHeight="1" x14ac:dyDescent="0.25">
      <c r="A2729" s="20" t="s">
        <v>156</v>
      </c>
      <c r="B2729" s="20" t="s">
        <v>3912</v>
      </c>
      <c r="C2729" s="20" t="s">
        <v>3897</v>
      </c>
      <c r="D2729" s="378" t="s">
        <v>3944</v>
      </c>
      <c r="E2729" s="379">
        <v>44620</v>
      </c>
      <c r="F2729" s="379">
        <v>46446</v>
      </c>
      <c r="G2729" s="378" t="s">
        <v>407</v>
      </c>
      <c r="H2729" s="20" t="s">
        <v>393</v>
      </c>
      <c r="I2729" s="20"/>
      <c r="J2729" s="20" t="s">
        <v>163</v>
      </c>
      <c r="K2729" s="378" t="s">
        <v>397</v>
      </c>
      <c r="L2729" s="20" t="s">
        <v>165</v>
      </c>
      <c r="M2729" s="380">
        <v>2400</v>
      </c>
      <c r="N2729" s="380"/>
      <c r="O2729" s="380"/>
      <c r="P2729" s="380"/>
      <c r="Q2729" s="381">
        <v>295</v>
      </c>
      <c r="R2729" s="381"/>
      <c r="S2729" s="381"/>
      <c r="T2729" s="381"/>
      <c r="U2729" s="381"/>
      <c r="V2729" s="382">
        <v>295</v>
      </c>
      <c r="W2729" s="382">
        <v>0</v>
      </c>
      <c r="X2729" s="381">
        <v>0.12291666666666666</v>
      </c>
      <c r="Y2729" s="381">
        <v>0</v>
      </c>
      <c r="Z2729" s="381">
        <v>0</v>
      </c>
      <c r="AA2729" s="381">
        <v>0</v>
      </c>
      <c r="AB2729" s="381">
        <v>0</v>
      </c>
      <c r="AC2729" s="382">
        <v>0.12291666666666666</v>
      </c>
      <c r="AD2729" s="382">
        <v>0</v>
      </c>
      <c r="AE2729" s="381" t="s">
        <v>168</v>
      </c>
    </row>
    <row r="2730" spans="1:31" ht="15" customHeight="1" x14ac:dyDescent="0.25">
      <c r="A2730" s="20" t="s">
        <v>156</v>
      </c>
      <c r="B2730" s="20" t="s">
        <v>3912</v>
      </c>
      <c r="C2730" s="20" t="s">
        <v>3897</v>
      </c>
      <c r="D2730" s="378" t="s">
        <v>3945</v>
      </c>
      <c r="E2730" s="379">
        <v>44620</v>
      </c>
      <c r="F2730" s="379">
        <v>46446</v>
      </c>
      <c r="G2730" s="378" t="s">
        <v>320</v>
      </c>
      <c r="H2730" s="20" t="s">
        <v>393</v>
      </c>
      <c r="I2730" s="20"/>
      <c r="J2730" s="20" t="s">
        <v>163</v>
      </c>
      <c r="K2730" s="378" t="s">
        <v>397</v>
      </c>
      <c r="L2730" s="20" t="s">
        <v>165</v>
      </c>
      <c r="M2730" s="380">
        <v>2400</v>
      </c>
      <c r="N2730" s="380"/>
      <c r="O2730" s="380"/>
      <c r="P2730" s="380"/>
      <c r="Q2730" s="381">
        <v>243</v>
      </c>
      <c r="R2730" s="381"/>
      <c r="S2730" s="381"/>
      <c r="T2730" s="381"/>
      <c r="U2730" s="381"/>
      <c r="V2730" s="382">
        <v>243</v>
      </c>
      <c r="W2730" s="382">
        <v>0</v>
      </c>
      <c r="X2730" s="381">
        <v>0.10125000000000001</v>
      </c>
      <c r="Y2730" s="381">
        <v>0</v>
      </c>
      <c r="Z2730" s="381">
        <v>0</v>
      </c>
      <c r="AA2730" s="381">
        <v>0</v>
      </c>
      <c r="AB2730" s="381">
        <v>0</v>
      </c>
      <c r="AC2730" s="382">
        <v>0.10125000000000001</v>
      </c>
      <c r="AD2730" s="382">
        <v>0</v>
      </c>
      <c r="AE2730" s="381" t="s">
        <v>168</v>
      </c>
    </row>
    <row r="2731" spans="1:31" ht="15" customHeight="1" x14ac:dyDescent="0.25">
      <c r="A2731" s="20" t="s">
        <v>156</v>
      </c>
      <c r="B2731" s="20" t="s">
        <v>3912</v>
      </c>
      <c r="C2731" s="20" t="s">
        <v>3897</v>
      </c>
      <c r="D2731" s="378" t="s">
        <v>3946</v>
      </c>
      <c r="E2731" s="379">
        <v>45016</v>
      </c>
      <c r="F2731" s="379">
        <v>46843</v>
      </c>
      <c r="G2731" s="378" t="s">
        <v>281</v>
      </c>
      <c r="H2731" s="20" t="s">
        <v>282</v>
      </c>
      <c r="I2731" s="20" t="s">
        <v>162</v>
      </c>
      <c r="J2731" s="20" t="s">
        <v>163</v>
      </c>
      <c r="K2731" s="378" t="s">
        <v>283</v>
      </c>
      <c r="L2731" s="20" t="s">
        <v>165</v>
      </c>
      <c r="M2731" s="380">
        <v>2400</v>
      </c>
      <c r="N2731" s="380"/>
      <c r="O2731" s="380"/>
      <c r="P2731" s="380"/>
      <c r="Q2731" s="381">
        <v>320.11</v>
      </c>
      <c r="R2731" s="381">
        <v>320.06</v>
      </c>
      <c r="S2731" s="381">
        <v>4.9500000000000002E-2</v>
      </c>
      <c r="T2731" s="381"/>
      <c r="U2731" s="381"/>
      <c r="V2731" s="382">
        <v>320.10950000000003</v>
      </c>
      <c r="W2731" s="382">
        <v>0</v>
      </c>
      <c r="X2731" s="381">
        <v>0.13337916666666666</v>
      </c>
      <c r="Y2731" s="381">
        <v>0.13335833333333333</v>
      </c>
      <c r="Z2731" s="381">
        <v>2.0625E-5</v>
      </c>
      <c r="AA2731" s="381">
        <v>0</v>
      </c>
      <c r="AB2731" s="381">
        <v>0</v>
      </c>
      <c r="AC2731" s="382">
        <v>0.13337895833333333</v>
      </c>
      <c r="AD2731" s="382">
        <v>0</v>
      </c>
      <c r="AE2731" s="381" t="s">
        <v>168</v>
      </c>
    </row>
    <row r="2732" spans="1:31" ht="15" customHeight="1" x14ac:dyDescent="0.25">
      <c r="A2732" s="20" t="s">
        <v>156</v>
      </c>
      <c r="B2732" s="20" t="s">
        <v>3912</v>
      </c>
      <c r="C2732" s="20" t="s">
        <v>3897</v>
      </c>
      <c r="D2732" s="378" t="s">
        <v>3947</v>
      </c>
      <c r="E2732" s="379">
        <v>45016</v>
      </c>
      <c r="F2732" s="379">
        <v>46843</v>
      </c>
      <c r="G2732" s="378" t="s">
        <v>281</v>
      </c>
      <c r="H2732" s="20" t="s">
        <v>282</v>
      </c>
      <c r="I2732" s="20" t="s">
        <v>162</v>
      </c>
      <c r="J2732" s="20" t="s">
        <v>163</v>
      </c>
      <c r="K2732" s="378" t="s">
        <v>283</v>
      </c>
      <c r="L2732" s="20" t="s">
        <v>165</v>
      </c>
      <c r="M2732" s="380">
        <v>2400</v>
      </c>
      <c r="N2732" s="380"/>
      <c r="O2732" s="380"/>
      <c r="P2732" s="380"/>
      <c r="Q2732" s="381">
        <v>332.26</v>
      </c>
      <c r="R2732" s="381">
        <v>332.23</v>
      </c>
      <c r="S2732" s="381">
        <v>2.8299999999999999E-2</v>
      </c>
      <c r="T2732" s="381"/>
      <c r="U2732" s="381"/>
      <c r="V2732" s="382">
        <v>332.25830000000002</v>
      </c>
      <c r="W2732" s="382">
        <v>0</v>
      </c>
      <c r="X2732" s="381">
        <v>0.13844166666666666</v>
      </c>
      <c r="Y2732" s="381">
        <v>0.13842916666666669</v>
      </c>
      <c r="Z2732" s="381">
        <v>1.1791666666666666E-5</v>
      </c>
      <c r="AA2732" s="381">
        <v>0</v>
      </c>
      <c r="AB2732" s="381">
        <v>0</v>
      </c>
      <c r="AC2732" s="382">
        <v>0.13844095833333336</v>
      </c>
      <c r="AD2732" s="382">
        <v>0</v>
      </c>
      <c r="AE2732" s="381" t="s">
        <v>168</v>
      </c>
    </row>
    <row r="2733" spans="1:31" ht="15" customHeight="1" x14ac:dyDescent="0.25">
      <c r="A2733" s="20" t="s">
        <v>156</v>
      </c>
      <c r="B2733" s="20" t="s">
        <v>3912</v>
      </c>
      <c r="C2733" s="20" t="s">
        <v>3897</v>
      </c>
      <c r="D2733" s="378" t="s">
        <v>3948</v>
      </c>
      <c r="E2733" s="379">
        <v>44910</v>
      </c>
      <c r="F2733" s="379">
        <v>46736</v>
      </c>
      <c r="G2733" s="378" t="s">
        <v>173</v>
      </c>
      <c r="H2733" s="20" t="s">
        <v>174</v>
      </c>
      <c r="I2733" s="20" t="s">
        <v>162</v>
      </c>
      <c r="J2733" s="20" t="s">
        <v>163</v>
      </c>
      <c r="K2733" s="378" t="s">
        <v>175</v>
      </c>
      <c r="L2733" s="20" t="s">
        <v>165</v>
      </c>
      <c r="M2733" s="380">
        <v>2400</v>
      </c>
      <c r="N2733" s="380"/>
      <c r="O2733" s="380"/>
      <c r="P2733" s="380"/>
      <c r="Q2733" s="381">
        <v>129</v>
      </c>
      <c r="R2733" s="381">
        <v>127</v>
      </c>
      <c r="S2733" s="381">
        <v>1.51</v>
      </c>
      <c r="T2733" s="381"/>
      <c r="U2733" s="381"/>
      <c r="V2733" s="382">
        <v>128.51</v>
      </c>
      <c r="W2733" s="382">
        <v>0</v>
      </c>
      <c r="X2733" s="381">
        <v>5.3749999999999999E-2</v>
      </c>
      <c r="Y2733" s="381">
        <v>5.2916666666666667E-2</v>
      </c>
      <c r="Z2733" s="381">
        <v>6.2916666666666665E-4</v>
      </c>
      <c r="AA2733" s="381">
        <v>0</v>
      </c>
      <c r="AB2733" s="381">
        <v>0</v>
      </c>
      <c r="AC2733" s="382">
        <v>5.3545833333333334E-2</v>
      </c>
      <c r="AD2733" s="382">
        <v>0</v>
      </c>
      <c r="AE2733" s="381" t="s">
        <v>168</v>
      </c>
    </row>
    <row r="2734" spans="1:31" ht="15" customHeight="1" x14ac:dyDescent="0.25">
      <c r="A2734" s="20" t="s">
        <v>3794</v>
      </c>
      <c r="B2734" s="20" t="s">
        <v>3949</v>
      </c>
      <c r="C2734" s="20" t="s">
        <v>3897</v>
      </c>
      <c r="D2734" s="378" t="s">
        <v>3950</v>
      </c>
      <c r="E2734" s="384">
        <v>0</v>
      </c>
      <c r="F2734" s="384">
        <v>0</v>
      </c>
      <c r="G2734" s="378" t="s">
        <v>439</v>
      </c>
      <c r="H2734" s="20">
        <v>0</v>
      </c>
      <c r="I2734" s="378" t="s">
        <v>441</v>
      </c>
      <c r="J2734" s="20" t="s">
        <v>3951</v>
      </c>
      <c r="K2734" s="378" t="s">
        <v>3952</v>
      </c>
      <c r="L2734" s="378" t="s">
        <v>2848</v>
      </c>
      <c r="M2734" s="380">
        <v>2400</v>
      </c>
      <c r="N2734" s="380" t="s">
        <v>443</v>
      </c>
      <c r="O2734" s="380" t="s">
        <v>443</v>
      </c>
      <c r="P2734" s="380" t="s">
        <v>443</v>
      </c>
      <c r="Q2734" s="381">
        <v>418.69247000000001</v>
      </c>
      <c r="R2734" s="381">
        <v>0</v>
      </c>
      <c r="S2734" s="381">
        <v>0</v>
      </c>
      <c r="T2734" s="381">
        <v>0</v>
      </c>
      <c r="U2734" s="381">
        <v>0</v>
      </c>
      <c r="V2734" s="382">
        <v>418.69247000000001</v>
      </c>
      <c r="W2734" s="382">
        <v>0</v>
      </c>
      <c r="X2734" s="381">
        <v>0.41869247000000004</v>
      </c>
      <c r="Y2734" s="381">
        <v>0</v>
      </c>
      <c r="Z2734" s="381">
        <v>0</v>
      </c>
      <c r="AA2734" s="381">
        <v>0</v>
      </c>
      <c r="AB2734" s="381">
        <v>0</v>
      </c>
      <c r="AC2734" s="382">
        <v>0.41869247000000004</v>
      </c>
      <c r="AD2734" s="382">
        <v>0</v>
      </c>
      <c r="AE2734" s="381" t="s">
        <v>168</v>
      </c>
    </row>
    <row r="2735" spans="1:31" ht="15" customHeight="1" x14ac:dyDescent="0.25">
      <c r="A2735" s="20" t="s">
        <v>3794</v>
      </c>
      <c r="B2735" s="20" t="s">
        <v>3949</v>
      </c>
      <c r="C2735" s="20" t="s">
        <v>3897</v>
      </c>
      <c r="D2735" s="378" t="s">
        <v>3953</v>
      </c>
      <c r="E2735" s="384">
        <v>0</v>
      </c>
      <c r="F2735" s="384">
        <v>0</v>
      </c>
      <c r="G2735" s="378" t="s">
        <v>439</v>
      </c>
      <c r="H2735" s="20">
        <v>0</v>
      </c>
      <c r="I2735" s="378" t="s">
        <v>441</v>
      </c>
      <c r="J2735" s="20" t="s">
        <v>3951</v>
      </c>
      <c r="K2735" s="378" t="s">
        <v>3952</v>
      </c>
      <c r="L2735" s="378" t="s">
        <v>2848</v>
      </c>
      <c r="M2735" s="380">
        <v>2400</v>
      </c>
      <c r="N2735" s="380" t="s">
        <v>443</v>
      </c>
      <c r="O2735" s="380" t="s">
        <v>443</v>
      </c>
      <c r="P2735" s="380" t="s">
        <v>443</v>
      </c>
      <c r="Q2735" s="381">
        <v>383.47147035199993</v>
      </c>
      <c r="R2735" s="381">
        <v>0</v>
      </c>
      <c r="S2735" s="381">
        <v>0</v>
      </c>
      <c r="T2735" s="381">
        <v>0</v>
      </c>
      <c r="U2735" s="381">
        <v>0</v>
      </c>
      <c r="V2735" s="382">
        <v>383.47147035199993</v>
      </c>
      <c r="W2735" s="382">
        <v>0</v>
      </c>
      <c r="X2735" s="381">
        <v>0.38347147035199991</v>
      </c>
      <c r="Y2735" s="381">
        <v>0</v>
      </c>
      <c r="Z2735" s="381">
        <v>0</v>
      </c>
      <c r="AA2735" s="381">
        <v>0</v>
      </c>
      <c r="AB2735" s="381">
        <v>0</v>
      </c>
      <c r="AC2735" s="382">
        <v>0.38347147035199991</v>
      </c>
      <c r="AD2735" s="382">
        <v>0</v>
      </c>
      <c r="AE2735" s="381" t="s">
        <v>168</v>
      </c>
    </row>
    <row r="2736" spans="1:31" ht="15" customHeight="1" x14ac:dyDescent="0.25">
      <c r="A2736" s="20" t="s">
        <v>3954</v>
      </c>
      <c r="B2736" s="20" t="s">
        <v>3954</v>
      </c>
      <c r="C2736" s="20" t="s">
        <v>3897</v>
      </c>
      <c r="D2736" s="378" t="s">
        <v>3955</v>
      </c>
      <c r="E2736" s="384">
        <v>44847</v>
      </c>
      <c r="F2736" s="384">
        <v>46672</v>
      </c>
      <c r="G2736" s="378" t="s">
        <v>2837</v>
      </c>
      <c r="H2736" s="20" t="s">
        <v>3956</v>
      </c>
      <c r="I2736" s="378">
        <v>0</v>
      </c>
      <c r="J2736" s="20" t="s">
        <v>2831</v>
      </c>
      <c r="K2736" s="378" t="s">
        <v>3957</v>
      </c>
      <c r="L2736" s="378" t="s">
        <v>2789</v>
      </c>
      <c r="M2736" s="380" t="s">
        <v>443</v>
      </c>
      <c r="N2736" s="380">
        <v>45.92</v>
      </c>
      <c r="O2736" s="380" t="s">
        <v>443</v>
      </c>
      <c r="P2736" s="380" t="s">
        <v>443</v>
      </c>
      <c r="Q2736" s="381">
        <v>140</v>
      </c>
      <c r="R2736" s="381">
        <v>139</v>
      </c>
      <c r="S2736" s="381">
        <v>0.85399999999999998</v>
      </c>
      <c r="T2736" s="381">
        <v>0.69699999999999995</v>
      </c>
      <c r="U2736" s="381">
        <v>0</v>
      </c>
      <c r="V2736" s="382">
        <v>140.55100000000002</v>
      </c>
      <c r="W2736" s="382">
        <v>0</v>
      </c>
      <c r="X2736" s="381">
        <v>3.0487804878048781</v>
      </c>
      <c r="Y2736" s="381">
        <v>3.0270034843205575</v>
      </c>
      <c r="Z2736" s="381">
        <v>1.8597560975609755E-2</v>
      </c>
      <c r="AA2736" s="381">
        <v>1.5178571428571427E-2</v>
      </c>
      <c r="AB2736" s="381">
        <v>0</v>
      </c>
      <c r="AC2736" s="382">
        <v>3.0607796167247385</v>
      </c>
      <c r="AD2736" s="382">
        <v>0</v>
      </c>
      <c r="AE2736" s="381" t="s">
        <v>168</v>
      </c>
    </row>
    <row r="2737" spans="1:31" ht="15" customHeight="1" x14ac:dyDescent="0.25">
      <c r="A2737" s="20" t="s">
        <v>3954</v>
      </c>
      <c r="B2737" s="20" t="s">
        <v>3954</v>
      </c>
      <c r="C2737" s="20" t="s">
        <v>3897</v>
      </c>
      <c r="D2737" s="378" t="s">
        <v>3958</v>
      </c>
      <c r="E2737" s="384">
        <v>44571</v>
      </c>
      <c r="F2737" s="384">
        <v>46397</v>
      </c>
      <c r="G2737" s="378" t="s">
        <v>2837</v>
      </c>
      <c r="H2737" s="20" t="s">
        <v>3959</v>
      </c>
      <c r="I2737" s="378">
        <v>0</v>
      </c>
      <c r="J2737" s="20" t="s">
        <v>2831</v>
      </c>
      <c r="K2737" s="378" t="s">
        <v>3960</v>
      </c>
      <c r="L2737" s="378" t="s">
        <v>2789</v>
      </c>
      <c r="M2737" s="380" t="s">
        <v>443</v>
      </c>
      <c r="N2737" s="380">
        <v>53.62812499999999</v>
      </c>
      <c r="O2737" s="380" t="s">
        <v>443</v>
      </c>
      <c r="P2737" s="380" t="s">
        <v>443</v>
      </c>
      <c r="Q2737" s="381">
        <v>86.4</v>
      </c>
      <c r="R2737" s="381">
        <v>85.8</v>
      </c>
      <c r="S2737" s="381">
        <v>0.44700000000000001</v>
      </c>
      <c r="T2737" s="381">
        <v>0.19800000000000001</v>
      </c>
      <c r="U2737" s="381">
        <v>0</v>
      </c>
      <c r="V2737" s="382">
        <v>86.444999999999993</v>
      </c>
      <c r="W2737" s="382">
        <v>0</v>
      </c>
      <c r="X2737" s="381">
        <v>1.6110949245381976</v>
      </c>
      <c r="Y2737" s="381">
        <v>1.5999067653400154</v>
      </c>
      <c r="Z2737" s="381">
        <v>8.3351786026455345E-3</v>
      </c>
      <c r="AA2737" s="381">
        <v>3.6920925354000356E-3</v>
      </c>
      <c r="AB2737" s="381">
        <v>0</v>
      </c>
      <c r="AC2737" s="382">
        <v>1.611934036478061</v>
      </c>
      <c r="AD2737" s="382">
        <v>0</v>
      </c>
      <c r="AE2737" s="381" t="s">
        <v>168</v>
      </c>
    </row>
    <row r="2738" spans="1:31" ht="15" customHeight="1" x14ac:dyDescent="0.25">
      <c r="A2738" s="20" t="s">
        <v>3954</v>
      </c>
      <c r="B2738" s="20" t="s">
        <v>3954</v>
      </c>
      <c r="C2738" s="20" t="s">
        <v>3897</v>
      </c>
      <c r="D2738" s="378" t="s">
        <v>3961</v>
      </c>
      <c r="E2738" s="384">
        <v>44571</v>
      </c>
      <c r="F2738" s="384">
        <v>46397</v>
      </c>
      <c r="G2738" s="378" t="s">
        <v>2837</v>
      </c>
      <c r="H2738" s="20" t="s">
        <v>3959</v>
      </c>
      <c r="I2738" s="378">
        <v>0</v>
      </c>
      <c r="J2738" s="20" t="s">
        <v>2831</v>
      </c>
      <c r="K2738" s="378" t="s">
        <v>3960</v>
      </c>
      <c r="L2738" s="378" t="s">
        <v>2789</v>
      </c>
      <c r="M2738" s="380" t="s">
        <v>443</v>
      </c>
      <c r="N2738" s="380">
        <v>53.284375000000004</v>
      </c>
      <c r="O2738" s="380" t="s">
        <v>443</v>
      </c>
      <c r="P2738" s="380" t="s">
        <v>443</v>
      </c>
      <c r="Q2738" s="381">
        <v>84.8</v>
      </c>
      <c r="R2738" s="381">
        <v>84.2</v>
      </c>
      <c r="S2738" s="381">
        <v>0.44500000000000001</v>
      </c>
      <c r="T2738" s="381">
        <v>0.186</v>
      </c>
      <c r="U2738" s="381">
        <v>0</v>
      </c>
      <c r="V2738" s="382">
        <v>84.831000000000003</v>
      </c>
      <c r="W2738" s="382">
        <v>0</v>
      </c>
      <c r="X2738" s="381">
        <v>1.5914609113834963</v>
      </c>
      <c r="Y2738" s="381">
        <v>1.580200574746349</v>
      </c>
      <c r="Z2738" s="381">
        <v>8.3514163392176405E-3</v>
      </c>
      <c r="AA2738" s="381">
        <v>3.4907043575156879E-3</v>
      </c>
      <c r="AB2738" s="381">
        <v>0</v>
      </c>
      <c r="AC2738" s="382">
        <v>1.5920426954430822</v>
      </c>
      <c r="AD2738" s="382">
        <v>0</v>
      </c>
      <c r="AE2738" s="381" t="s">
        <v>168</v>
      </c>
    </row>
    <row r="2739" spans="1:31" ht="15" customHeight="1" x14ac:dyDescent="0.25">
      <c r="A2739" s="20" t="s">
        <v>3954</v>
      </c>
      <c r="B2739" s="20" t="s">
        <v>3954</v>
      </c>
      <c r="C2739" s="20" t="s">
        <v>3897</v>
      </c>
      <c r="D2739" s="378" t="s">
        <v>3962</v>
      </c>
      <c r="E2739" s="384">
        <v>44571</v>
      </c>
      <c r="F2739" s="384">
        <v>46397</v>
      </c>
      <c r="G2739" s="378" t="s">
        <v>2837</v>
      </c>
      <c r="H2739" s="20" t="s">
        <v>3959</v>
      </c>
      <c r="I2739" s="378">
        <v>0</v>
      </c>
      <c r="J2739" s="20" t="s">
        <v>2831</v>
      </c>
      <c r="K2739" s="378" t="s">
        <v>3960</v>
      </c>
      <c r="L2739" s="378" t="s">
        <v>2789</v>
      </c>
      <c r="M2739" s="380" t="s">
        <v>443</v>
      </c>
      <c r="N2739" s="380">
        <v>53.886458333333337</v>
      </c>
      <c r="O2739" s="380" t="s">
        <v>443</v>
      </c>
      <c r="P2739" s="380" t="s">
        <v>443</v>
      </c>
      <c r="Q2739" s="381">
        <v>88.7</v>
      </c>
      <c r="R2739" s="381">
        <v>88</v>
      </c>
      <c r="S2739" s="381">
        <v>0.48499999999999999</v>
      </c>
      <c r="T2739" s="381">
        <v>0.22600000000000001</v>
      </c>
      <c r="U2739" s="381">
        <v>0</v>
      </c>
      <c r="V2739" s="382">
        <v>88.710999999999999</v>
      </c>
      <c r="W2739" s="382">
        <v>0</v>
      </c>
      <c r="X2739" s="381">
        <v>1.6460536235526086</v>
      </c>
      <c r="Y2739" s="381">
        <v>1.6330633469293072</v>
      </c>
      <c r="Z2739" s="381">
        <v>9.0004059461444765E-3</v>
      </c>
      <c r="AA2739" s="381">
        <v>4.1940035955229937E-3</v>
      </c>
      <c r="AB2739" s="381">
        <v>0</v>
      </c>
      <c r="AC2739" s="382">
        <v>1.6462577564709746</v>
      </c>
      <c r="AD2739" s="382">
        <v>0</v>
      </c>
      <c r="AE2739" s="381" t="s">
        <v>168</v>
      </c>
    </row>
    <row r="2740" spans="1:31" ht="15" customHeight="1" x14ac:dyDescent="0.25">
      <c r="A2740" s="20" t="s">
        <v>3954</v>
      </c>
      <c r="B2740" s="20" t="s">
        <v>3954</v>
      </c>
      <c r="C2740" s="20" t="s">
        <v>3897</v>
      </c>
      <c r="D2740" s="378" t="s">
        <v>3963</v>
      </c>
      <c r="E2740" s="384">
        <v>44937</v>
      </c>
      <c r="F2740" s="384">
        <v>46762</v>
      </c>
      <c r="G2740" s="378" t="s">
        <v>2837</v>
      </c>
      <c r="H2740" s="20" t="s">
        <v>3964</v>
      </c>
      <c r="I2740" s="378">
        <v>0</v>
      </c>
      <c r="J2740" s="20" t="s">
        <v>2831</v>
      </c>
      <c r="K2740" s="378" t="s">
        <v>3965</v>
      </c>
      <c r="L2740" s="378" t="s">
        <v>2789</v>
      </c>
      <c r="M2740" s="380" t="s">
        <v>443</v>
      </c>
      <c r="N2740" s="380">
        <v>45.82</v>
      </c>
      <c r="O2740" s="380" t="s">
        <v>443</v>
      </c>
      <c r="P2740" s="380" t="s">
        <v>443</v>
      </c>
      <c r="Q2740" s="381">
        <v>176</v>
      </c>
      <c r="R2740" s="381">
        <v>0</v>
      </c>
      <c r="S2740" s="381">
        <v>0</v>
      </c>
      <c r="T2740" s="381">
        <v>0</v>
      </c>
      <c r="U2740" s="381">
        <v>0</v>
      </c>
      <c r="V2740" s="382">
        <v>176</v>
      </c>
      <c r="W2740" s="382">
        <v>0</v>
      </c>
      <c r="X2740" s="381">
        <v>3.8411174159755563</v>
      </c>
      <c r="Y2740" s="381">
        <v>0</v>
      </c>
      <c r="Z2740" s="381">
        <v>0</v>
      </c>
      <c r="AA2740" s="381">
        <v>0</v>
      </c>
      <c r="AB2740" s="381">
        <v>0</v>
      </c>
      <c r="AC2740" s="382">
        <v>3.8411174159755563</v>
      </c>
      <c r="AD2740" s="382">
        <v>0</v>
      </c>
      <c r="AE2740" s="381" t="s">
        <v>168</v>
      </c>
    </row>
    <row r="2741" spans="1:31" ht="15" customHeight="1" x14ac:dyDescent="0.25">
      <c r="A2741" s="20" t="s">
        <v>3954</v>
      </c>
      <c r="B2741" s="20" t="s">
        <v>3954</v>
      </c>
      <c r="C2741" s="20" t="s">
        <v>3897</v>
      </c>
      <c r="D2741" s="378" t="s">
        <v>3966</v>
      </c>
      <c r="E2741" s="384">
        <v>44571</v>
      </c>
      <c r="F2741" s="384">
        <v>46397</v>
      </c>
      <c r="G2741" s="378" t="s">
        <v>2837</v>
      </c>
      <c r="H2741" s="20" t="s">
        <v>3959</v>
      </c>
      <c r="I2741" s="378">
        <v>0</v>
      </c>
      <c r="J2741" s="20" t="s">
        <v>2831</v>
      </c>
      <c r="K2741" s="378" t="s">
        <v>3960</v>
      </c>
      <c r="L2741" s="378" t="s">
        <v>2789</v>
      </c>
      <c r="M2741" s="380" t="s">
        <v>443</v>
      </c>
      <c r="N2741" s="380">
        <v>54.091666666666661</v>
      </c>
      <c r="O2741" s="380" t="s">
        <v>443</v>
      </c>
      <c r="P2741" s="380" t="s">
        <v>443</v>
      </c>
      <c r="Q2741" s="381">
        <v>87.5</v>
      </c>
      <c r="R2741" s="381">
        <v>86.8</v>
      </c>
      <c r="S2741" s="381">
        <v>0.48</v>
      </c>
      <c r="T2741" s="381">
        <v>0.21099999999999999</v>
      </c>
      <c r="U2741" s="381">
        <v>0</v>
      </c>
      <c r="V2741" s="382">
        <v>87.491</v>
      </c>
      <c r="W2741" s="382">
        <v>0</v>
      </c>
      <c r="X2741" s="381">
        <v>1.6176244030195657</v>
      </c>
      <c r="Y2741" s="381">
        <v>1.6046834077954091</v>
      </c>
      <c r="Z2741" s="381">
        <v>8.8738252965644745E-3</v>
      </c>
      <c r="AA2741" s="381">
        <v>3.9007857032814668E-3</v>
      </c>
      <c r="AB2741" s="381">
        <v>0</v>
      </c>
      <c r="AC2741" s="382">
        <v>1.6174580187952552</v>
      </c>
      <c r="AD2741" s="382">
        <v>0</v>
      </c>
      <c r="AE2741" s="381" t="s">
        <v>168</v>
      </c>
    </row>
    <row r="2742" spans="1:31" ht="15" customHeight="1" x14ac:dyDescent="0.25">
      <c r="A2742" s="20" t="s">
        <v>3967</v>
      </c>
      <c r="B2742" s="20" t="s">
        <v>3968</v>
      </c>
      <c r="C2742" s="20" t="s">
        <v>3897</v>
      </c>
      <c r="D2742" s="378" t="s">
        <v>3969</v>
      </c>
      <c r="E2742" s="384">
        <v>45005</v>
      </c>
      <c r="F2742" s="384">
        <v>46522</v>
      </c>
      <c r="G2742" s="378" t="s">
        <v>3806</v>
      </c>
      <c r="H2742" s="20" t="s">
        <v>3970</v>
      </c>
      <c r="I2742" s="378" t="s">
        <v>3971</v>
      </c>
      <c r="J2742" s="20" t="s">
        <v>2831</v>
      </c>
      <c r="K2742" s="378" t="s">
        <v>3972</v>
      </c>
      <c r="L2742" s="378" t="s">
        <v>2789</v>
      </c>
      <c r="M2742" s="380" t="s">
        <v>443</v>
      </c>
      <c r="N2742" s="380">
        <v>28.66</v>
      </c>
      <c r="O2742" s="380" t="s">
        <v>443</v>
      </c>
      <c r="P2742" s="380" t="s">
        <v>443</v>
      </c>
      <c r="Q2742" s="381">
        <v>14.41</v>
      </c>
      <c r="R2742" s="381">
        <v>37.340000000000003</v>
      </c>
      <c r="S2742" s="381">
        <v>-23.18</v>
      </c>
      <c r="T2742" s="381">
        <v>0.18</v>
      </c>
      <c r="U2742" s="381">
        <v>18.333333333333332</v>
      </c>
      <c r="V2742" s="382">
        <v>37.520000000000003</v>
      </c>
      <c r="W2742" s="382">
        <v>18.333333333333332</v>
      </c>
      <c r="X2742" s="381">
        <v>0.50279134682484294</v>
      </c>
      <c r="Y2742" s="381">
        <v>1.3028611304954643</v>
      </c>
      <c r="Z2742" s="381">
        <v>-0.80879274249825539</v>
      </c>
      <c r="AA2742" s="381">
        <v>6.2805303558967195E-3</v>
      </c>
      <c r="AB2742" s="381">
        <v>0.63968364735985106</v>
      </c>
      <c r="AC2742" s="382">
        <v>1.3091416608513611</v>
      </c>
      <c r="AD2742" s="382">
        <v>0.63968364735985106</v>
      </c>
      <c r="AE2742" s="381" t="s">
        <v>168</v>
      </c>
    </row>
    <row r="2743" spans="1:31" ht="15" customHeight="1" x14ac:dyDescent="0.25">
      <c r="A2743" s="20" t="s">
        <v>3967</v>
      </c>
      <c r="B2743" s="20" t="s">
        <v>3973</v>
      </c>
      <c r="C2743" s="20" t="s">
        <v>3897</v>
      </c>
      <c r="D2743" s="378" t="s">
        <v>3974</v>
      </c>
      <c r="E2743" s="384">
        <v>45005</v>
      </c>
      <c r="F2743" s="384">
        <v>46831</v>
      </c>
      <c r="G2743" s="378" t="s">
        <v>2837</v>
      </c>
      <c r="H2743" s="20" t="s">
        <v>3975</v>
      </c>
      <c r="I2743" s="378">
        <v>0</v>
      </c>
      <c r="J2743" s="20" t="s">
        <v>2831</v>
      </c>
      <c r="K2743" s="378" t="s">
        <v>3976</v>
      </c>
      <c r="L2743" s="378" t="s">
        <v>2789</v>
      </c>
      <c r="M2743" s="380" t="s">
        <v>443</v>
      </c>
      <c r="N2743" s="380">
        <v>30.3</v>
      </c>
      <c r="O2743" s="380" t="s">
        <v>443</v>
      </c>
      <c r="P2743" s="380" t="s">
        <v>443</v>
      </c>
      <c r="Q2743" s="381">
        <v>38.200000000000003</v>
      </c>
      <c r="R2743" s="381">
        <v>52.3</v>
      </c>
      <c r="S2743" s="381">
        <v>-14.4</v>
      </c>
      <c r="T2743" s="381">
        <v>6.3200000000000006E-2</v>
      </c>
      <c r="U2743" s="381">
        <v>26.033333333333331</v>
      </c>
      <c r="V2743" s="382">
        <v>63.996533333333332</v>
      </c>
      <c r="W2743" s="382">
        <v>26.033333333333331</v>
      </c>
      <c r="X2743" s="381">
        <v>1.2607260726072609</v>
      </c>
      <c r="Y2743" s="381">
        <v>1.726072607260726</v>
      </c>
      <c r="Z2743" s="381">
        <v>-0.47524752475247523</v>
      </c>
      <c r="AA2743" s="381">
        <v>2.0858085808580858E-3</v>
      </c>
      <c r="AB2743" s="381">
        <v>0.85918591859185911</v>
      </c>
      <c r="AC2743" s="382">
        <v>2.1120968096809678</v>
      </c>
      <c r="AD2743" s="382">
        <v>0.85918591859185911</v>
      </c>
      <c r="AE2743" s="381" t="s">
        <v>168</v>
      </c>
    </row>
    <row r="2744" spans="1:31" ht="15" customHeight="1" x14ac:dyDescent="0.25">
      <c r="A2744" s="20" t="s">
        <v>3967</v>
      </c>
      <c r="B2744" s="20" t="s">
        <v>3973</v>
      </c>
      <c r="C2744" s="20" t="s">
        <v>3897</v>
      </c>
      <c r="D2744" s="378" t="s">
        <v>3977</v>
      </c>
      <c r="E2744" s="384">
        <v>44614</v>
      </c>
      <c r="F2744" s="384">
        <v>46439</v>
      </c>
      <c r="G2744" s="378" t="s">
        <v>3978</v>
      </c>
      <c r="H2744" s="20" t="s">
        <v>3979</v>
      </c>
      <c r="I2744" s="378">
        <v>0</v>
      </c>
      <c r="J2744" s="20" t="s">
        <v>2831</v>
      </c>
      <c r="K2744" s="378" t="s">
        <v>3980</v>
      </c>
      <c r="L2744" s="378" t="s">
        <v>2789</v>
      </c>
      <c r="M2744" s="380" t="s">
        <v>443</v>
      </c>
      <c r="N2744" s="380">
        <v>38.5</v>
      </c>
      <c r="O2744" s="380" t="s">
        <v>443</v>
      </c>
      <c r="P2744" s="380" t="s">
        <v>443</v>
      </c>
      <c r="Q2744" s="381">
        <v>80.7</v>
      </c>
      <c r="R2744" s="381">
        <v>87.9</v>
      </c>
      <c r="S2744" s="381">
        <v>-7.54</v>
      </c>
      <c r="T2744" s="381">
        <v>0.32500000000000001</v>
      </c>
      <c r="U2744" s="381">
        <v>0</v>
      </c>
      <c r="V2744" s="382">
        <v>88.225000000000009</v>
      </c>
      <c r="W2744" s="382">
        <v>0</v>
      </c>
      <c r="X2744" s="381">
        <v>2.0961038961038962</v>
      </c>
      <c r="Y2744" s="381">
        <v>2.2831168831168833</v>
      </c>
      <c r="Z2744" s="381">
        <v>-0.19584415584415585</v>
      </c>
      <c r="AA2744" s="381">
        <v>8.4415584415584426E-3</v>
      </c>
      <c r="AB2744" s="381">
        <v>0</v>
      </c>
      <c r="AC2744" s="382">
        <v>2.2915584415584416</v>
      </c>
      <c r="AD2744" s="382">
        <v>0</v>
      </c>
      <c r="AE2744" s="381" t="s">
        <v>168</v>
      </c>
    </row>
    <row r="2745" spans="1:31" ht="15" customHeight="1" x14ac:dyDescent="0.25">
      <c r="A2745" s="20" t="s">
        <v>3967</v>
      </c>
      <c r="B2745" s="20" t="s">
        <v>3981</v>
      </c>
      <c r="C2745" s="20" t="s">
        <v>3897</v>
      </c>
      <c r="D2745" s="378" t="s">
        <v>3982</v>
      </c>
      <c r="E2745" s="384">
        <v>44694</v>
      </c>
      <c r="F2745" s="384">
        <v>46517</v>
      </c>
      <c r="G2745" s="378" t="s">
        <v>3983</v>
      </c>
      <c r="H2745" s="20" t="s">
        <v>3984</v>
      </c>
      <c r="I2745" s="378">
        <v>0</v>
      </c>
      <c r="J2745" s="20" t="s">
        <v>2831</v>
      </c>
      <c r="K2745" s="378" t="s">
        <v>3985</v>
      </c>
      <c r="L2745" s="378" t="s">
        <v>2789</v>
      </c>
      <c r="M2745" s="380" t="s">
        <v>443</v>
      </c>
      <c r="N2745" s="380">
        <v>32.82</v>
      </c>
      <c r="O2745" s="380" t="s">
        <v>443</v>
      </c>
      <c r="P2745" s="380" t="s">
        <v>443</v>
      </c>
      <c r="Q2745" s="381">
        <v>109</v>
      </c>
      <c r="R2745" s="381">
        <v>116</v>
      </c>
      <c r="S2745" s="381">
        <v>-6.23</v>
      </c>
      <c r="T2745" s="381">
        <v>8.6400000000000005E-2</v>
      </c>
      <c r="U2745" s="381">
        <v>0</v>
      </c>
      <c r="V2745" s="382">
        <v>116.0864</v>
      </c>
      <c r="W2745" s="382">
        <v>0</v>
      </c>
      <c r="X2745" s="381">
        <v>3.3211456429006705</v>
      </c>
      <c r="Y2745" s="381">
        <v>3.5344302254722728</v>
      </c>
      <c r="Z2745" s="381">
        <v>-0.1898232784887264</v>
      </c>
      <c r="AA2745" s="381">
        <v>2.6325411334552104E-3</v>
      </c>
      <c r="AB2745" s="381">
        <v>0</v>
      </c>
      <c r="AC2745" s="382">
        <v>3.5370627666057279</v>
      </c>
      <c r="AD2745" s="382">
        <v>0</v>
      </c>
      <c r="AE2745" s="381" t="s">
        <v>168</v>
      </c>
    </row>
    <row r="2746" spans="1:31" ht="15" customHeight="1" x14ac:dyDescent="0.25">
      <c r="A2746" s="20" t="s">
        <v>3967</v>
      </c>
      <c r="B2746" s="20" t="s">
        <v>3981</v>
      </c>
      <c r="C2746" s="20" t="s">
        <v>3897</v>
      </c>
      <c r="D2746" s="378" t="s">
        <v>3986</v>
      </c>
      <c r="E2746" s="384">
        <v>44694</v>
      </c>
      <c r="F2746" s="384">
        <v>46517</v>
      </c>
      <c r="G2746" s="378" t="s">
        <v>3983</v>
      </c>
      <c r="H2746" s="20" t="s">
        <v>3984</v>
      </c>
      <c r="I2746" s="378">
        <v>0</v>
      </c>
      <c r="J2746" s="20" t="s">
        <v>2831</v>
      </c>
      <c r="K2746" s="378" t="s">
        <v>3985</v>
      </c>
      <c r="L2746" s="378" t="s">
        <v>2789</v>
      </c>
      <c r="M2746" s="380" t="s">
        <v>443</v>
      </c>
      <c r="N2746" s="380">
        <v>45.42</v>
      </c>
      <c r="O2746" s="380" t="s">
        <v>443</v>
      </c>
      <c r="P2746" s="380" t="s">
        <v>443</v>
      </c>
      <c r="Q2746" s="381">
        <v>109</v>
      </c>
      <c r="R2746" s="381">
        <v>116</v>
      </c>
      <c r="S2746" s="381">
        <v>-6.23</v>
      </c>
      <c r="T2746" s="381">
        <v>8.6400000000000005E-2</v>
      </c>
      <c r="U2746" s="381">
        <v>0</v>
      </c>
      <c r="V2746" s="382">
        <v>116.0864</v>
      </c>
      <c r="W2746" s="382">
        <v>0</v>
      </c>
      <c r="X2746" s="381">
        <v>2.3998238661382651</v>
      </c>
      <c r="Y2746" s="381">
        <v>2.5539409951563186</v>
      </c>
      <c r="Z2746" s="381">
        <v>-0.13716424482606782</v>
      </c>
      <c r="AA2746" s="381">
        <v>1.9022457067371203E-3</v>
      </c>
      <c r="AB2746" s="381">
        <v>0</v>
      </c>
      <c r="AC2746" s="382">
        <v>2.5558432408630556</v>
      </c>
      <c r="AD2746" s="382">
        <v>0</v>
      </c>
      <c r="AE2746" s="381" t="s">
        <v>168</v>
      </c>
    </row>
    <row r="2747" spans="1:31" ht="15" customHeight="1" x14ac:dyDescent="0.25">
      <c r="A2747" s="20" t="s">
        <v>3967</v>
      </c>
      <c r="B2747" s="20" t="s">
        <v>3981</v>
      </c>
      <c r="C2747" s="20" t="s">
        <v>3897</v>
      </c>
      <c r="D2747" s="378" t="s">
        <v>3987</v>
      </c>
      <c r="E2747" s="384">
        <v>44694</v>
      </c>
      <c r="F2747" s="384">
        <v>46517</v>
      </c>
      <c r="G2747" s="378" t="s">
        <v>3983</v>
      </c>
      <c r="H2747" s="20" t="s">
        <v>3984</v>
      </c>
      <c r="I2747" s="378">
        <v>0</v>
      </c>
      <c r="J2747" s="20" t="s">
        <v>2831</v>
      </c>
      <c r="K2747" s="378" t="s">
        <v>3985</v>
      </c>
      <c r="L2747" s="378" t="s">
        <v>2789</v>
      </c>
      <c r="M2747" s="380" t="s">
        <v>443</v>
      </c>
      <c r="N2747" s="380">
        <v>61.91</v>
      </c>
      <c r="O2747" s="380" t="s">
        <v>443</v>
      </c>
      <c r="P2747" s="380" t="s">
        <v>443</v>
      </c>
      <c r="Q2747" s="381">
        <v>109</v>
      </c>
      <c r="R2747" s="381">
        <v>116</v>
      </c>
      <c r="S2747" s="381">
        <v>-6.23</v>
      </c>
      <c r="T2747" s="381">
        <v>8.6400000000000005E-2</v>
      </c>
      <c r="U2747" s="381">
        <v>0</v>
      </c>
      <c r="V2747" s="382">
        <v>116.0864</v>
      </c>
      <c r="W2747" s="382">
        <v>0</v>
      </c>
      <c r="X2747" s="381">
        <v>1.7606202552091748</v>
      </c>
      <c r="Y2747" s="381">
        <v>1.8736876110482961</v>
      </c>
      <c r="Z2747" s="381">
        <v>-0.10062994669681798</v>
      </c>
      <c r="AA2747" s="381">
        <v>1.3955742206428689E-3</v>
      </c>
      <c r="AB2747" s="381">
        <v>0</v>
      </c>
      <c r="AC2747" s="382">
        <v>1.8750831852689389</v>
      </c>
      <c r="AD2747" s="382">
        <v>0</v>
      </c>
      <c r="AE2747" s="381" t="s">
        <v>168</v>
      </c>
    </row>
    <row r="2748" spans="1:31" ht="15" customHeight="1" x14ac:dyDescent="0.25">
      <c r="A2748" s="20" t="s">
        <v>3967</v>
      </c>
      <c r="B2748" s="20" t="s">
        <v>3968</v>
      </c>
      <c r="C2748" s="20" t="s">
        <v>3897</v>
      </c>
      <c r="D2748" s="378" t="s">
        <v>3988</v>
      </c>
      <c r="E2748" s="384">
        <v>44820</v>
      </c>
      <c r="F2748" s="384">
        <v>46645</v>
      </c>
      <c r="G2748" s="378" t="s">
        <v>3806</v>
      </c>
      <c r="H2748" s="20" t="s">
        <v>3989</v>
      </c>
      <c r="I2748" s="378">
        <v>0</v>
      </c>
      <c r="J2748" s="20" t="s">
        <v>2831</v>
      </c>
      <c r="K2748" s="378" t="s">
        <v>3990</v>
      </c>
      <c r="L2748" s="378" t="s">
        <v>2789</v>
      </c>
      <c r="M2748" s="380" t="s">
        <v>443</v>
      </c>
      <c r="N2748" s="380">
        <v>21.471428571428572</v>
      </c>
      <c r="O2748" s="380" t="s">
        <v>443</v>
      </c>
      <c r="P2748" s="380" t="s">
        <v>443</v>
      </c>
      <c r="Q2748" s="381">
        <v>33</v>
      </c>
      <c r="R2748" s="381">
        <v>35</v>
      </c>
      <c r="S2748" s="381">
        <v>-1.4</v>
      </c>
      <c r="T2748" s="381">
        <v>3.1E-2</v>
      </c>
      <c r="U2748" s="381">
        <v>0</v>
      </c>
      <c r="V2748" s="382">
        <v>35.030999999999999</v>
      </c>
      <c r="W2748" s="382">
        <v>0</v>
      </c>
      <c r="X2748" s="381">
        <v>1.5369261477045908</v>
      </c>
      <c r="Y2748" s="381">
        <v>1.6300731869594145</v>
      </c>
      <c r="Z2748" s="381">
        <v>-6.5202927478376582E-2</v>
      </c>
      <c r="AA2748" s="381">
        <v>1.443779108449767E-3</v>
      </c>
      <c r="AB2748" s="381">
        <v>0</v>
      </c>
      <c r="AC2748" s="382">
        <v>1.6315169660678643</v>
      </c>
      <c r="AD2748" s="382">
        <v>0</v>
      </c>
      <c r="AE2748" s="381" t="s">
        <v>168</v>
      </c>
    </row>
    <row r="2749" spans="1:31" ht="15" customHeight="1" x14ac:dyDescent="0.25">
      <c r="A2749" s="20" t="s">
        <v>3967</v>
      </c>
      <c r="B2749" s="20" t="s">
        <v>3968</v>
      </c>
      <c r="C2749" s="20" t="s">
        <v>3897</v>
      </c>
      <c r="D2749" s="378" t="s">
        <v>3988</v>
      </c>
      <c r="E2749" s="384">
        <v>44820</v>
      </c>
      <c r="F2749" s="384">
        <v>46645</v>
      </c>
      <c r="G2749" s="378" t="s">
        <v>3806</v>
      </c>
      <c r="H2749" s="20" t="s">
        <v>3989</v>
      </c>
      <c r="I2749" s="378">
        <v>0</v>
      </c>
      <c r="J2749" s="20" t="s">
        <v>2831</v>
      </c>
      <c r="K2749" s="378" t="s">
        <v>3990</v>
      </c>
      <c r="L2749" s="378" t="s">
        <v>2789</v>
      </c>
      <c r="M2749" s="380" t="s">
        <v>443</v>
      </c>
      <c r="N2749" s="380">
        <v>21.471428571428572</v>
      </c>
      <c r="O2749" s="380" t="s">
        <v>443</v>
      </c>
      <c r="P2749" s="380" t="s">
        <v>443</v>
      </c>
      <c r="Q2749" s="381">
        <v>33</v>
      </c>
      <c r="R2749" s="381">
        <v>35</v>
      </c>
      <c r="S2749" s="381">
        <v>-1.4</v>
      </c>
      <c r="T2749" s="381">
        <v>3.1E-2</v>
      </c>
      <c r="U2749" s="381">
        <v>0</v>
      </c>
      <c r="V2749" s="382">
        <v>35.030999999999999</v>
      </c>
      <c r="W2749" s="382">
        <v>0</v>
      </c>
      <c r="X2749" s="381">
        <v>1.5369261477045908</v>
      </c>
      <c r="Y2749" s="381">
        <v>1.6300731869594145</v>
      </c>
      <c r="Z2749" s="381">
        <v>-6.5202927478376582E-2</v>
      </c>
      <c r="AA2749" s="381">
        <v>1.443779108449767E-3</v>
      </c>
      <c r="AB2749" s="381">
        <v>0</v>
      </c>
      <c r="AC2749" s="382">
        <v>1.6315169660678643</v>
      </c>
      <c r="AD2749" s="382">
        <v>0</v>
      </c>
      <c r="AE2749" s="381" t="s">
        <v>168</v>
      </c>
    </row>
    <row r="2750" spans="1:31" ht="15" customHeight="1" x14ac:dyDescent="0.25">
      <c r="A2750" s="20" t="s">
        <v>3967</v>
      </c>
      <c r="B2750" s="20" t="s">
        <v>3968</v>
      </c>
      <c r="C2750" s="20" t="s">
        <v>3897</v>
      </c>
      <c r="D2750" s="378" t="s">
        <v>3991</v>
      </c>
      <c r="E2750" s="384">
        <v>44820</v>
      </c>
      <c r="F2750" s="384">
        <v>46645</v>
      </c>
      <c r="G2750" s="378" t="s">
        <v>3806</v>
      </c>
      <c r="H2750" s="20" t="s">
        <v>3989</v>
      </c>
      <c r="I2750" s="378">
        <v>0</v>
      </c>
      <c r="J2750" s="20" t="s">
        <v>2831</v>
      </c>
      <c r="K2750" s="378" t="s">
        <v>3990</v>
      </c>
      <c r="L2750" s="378" t="s">
        <v>2789</v>
      </c>
      <c r="M2750" s="380" t="s">
        <v>443</v>
      </c>
      <c r="N2750" s="380">
        <v>21.523809523809526</v>
      </c>
      <c r="O2750" s="380" t="s">
        <v>443</v>
      </c>
      <c r="P2750" s="380" t="s">
        <v>443</v>
      </c>
      <c r="Q2750" s="381">
        <v>34</v>
      </c>
      <c r="R2750" s="381">
        <v>35</v>
      </c>
      <c r="S2750" s="381">
        <v>-1.3</v>
      </c>
      <c r="T2750" s="381">
        <v>3.2000000000000001E-2</v>
      </c>
      <c r="U2750" s="381">
        <v>0</v>
      </c>
      <c r="V2750" s="382">
        <v>35.031999999999996</v>
      </c>
      <c r="W2750" s="382">
        <v>0</v>
      </c>
      <c r="X2750" s="381">
        <v>1.5796460176991149</v>
      </c>
      <c r="Y2750" s="381">
        <v>1.6261061946902653</v>
      </c>
      <c r="Z2750" s="381">
        <v>-6.0398230088495569E-2</v>
      </c>
      <c r="AA2750" s="381">
        <v>1.4867256637168141E-3</v>
      </c>
      <c r="AB2750" s="381">
        <v>0</v>
      </c>
      <c r="AC2750" s="382">
        <v>1.6275929203539821</v>
      </c>
      <c r="AD2750" s="382">
        <v>0</v>
      </c>
      <c r="AE2750" s="381" t="s">
        <v>168</v>
      </c>
    </row>
    <row r="2751" spans="1:31" ht="15" customHeight="1" x14ac:dyDescent="0.25">
      <c r="A2751" s="20" t="s">
        <v>3967</v>
      </c>
      <c r="B2751" s="20" t="s">
        <v>3973</v>
      </c>
      <c r="C2751" s="20" t="s">
        <v>3897</v>
      </c>
      <c r="D2751" s="378" t="s">
        <v>3992</v>
      </c>
      <c r="E2751" s="384">
        <v>44571</v>
      </c>
      <c r="F2751" s="384">
        <v>46397</v>
      </c>
      <c r="G2751" s="378" t="s">
        <v>2837</v>
      </c>
      <c r="H2751" s="20" t="s">
        <v>3993</v>
      </c>
      <c r="I2751" s="378">
        <v>0</v>
      </c>
      <c r="J2751" s="20" t="s">
        <v>2831</v>
      </c>
      <c r="K2751" s="378" t="s">
        <v>3994</v>
      </c>
      <c r="L2751" s="378" t="s">
        <v>2789</v>
      </c>
      <c r="M2751" s="380" t="s">
        <v>443</v>
      </c>
      <c r="N2751" s="380">
        <v>17.566825775656319</v>
      </c>
      <c r="O2751" s="380" t="s">
        <v>443</v>
      </c>
      <c r="P2751" s="380" t="s">
        <v>443</v>
      </c>
      <c r="Q2751" s="381">
        <v>100</v>
      </c>
      <c r="R2751" s="381">
        <v>99.2</v>
      </c>
      <c r="S2751" s="381">
        <v>0.57099999999999995</v>
      </c>
      <c r="T2751" s="381">
        <v>0.44700000000000001</v>
      </c>
      <c r="U2751" s="381">
        <v>0</v>
      </c>
      <c r="V2751" s="382">
        <v>100.218</v>
      </c>
      <c r="W2751" s="382">
        <v>0</v>
      </c>
      <c r="X2751" s="381">
        <v>5.6925480605937118</v>
      </c>
      <c r="Y2751" s="381">
        <v>5.647007676108962</v>
      </c>
      <c r="Z2751" s="381">
        <v>3.2504449425990088E-2</v>
      </c>
      <c r="AA2751" s="381">
        <v>2.544568983085389E-2</v>
      </c>
      <c r="AB2751" s="381">
        <v>0</v>
      </c>
      <c r="AC2751" s="382">
        <v>5.7049578153658063</v>
      </c>
      <c r="AD2751" s="382">
        <v>0</v>
      </c>
      <c r="AE2751" s="381" t="s">
        <v>168</v>
      </c>
    </row>
    <row r="2752" spans="1:31" ht="15" customHeight="1" x14ac:dyDescent="0.25">
      <c r="A2752" s="20" t="s">
        <v>3967</v>
      </c>
      <c r="B2752" s="20" t="s">
        <v>3973</v>
      </c>
      <c r="C2752" s="20" t="s">
        <v>3897</v>
      </c>
      <c r="D2752" s="378" t="s">
        <v>3995</v>
      </c>
      <c r="E2752" s="384">
        <v>44720</v>
      </c>
      <c r="F2752" s="384">
        <v>46546</v>
      </c>
      <c r="G2752" s="378" t="s">
        <v>2837</v>
      </c>
      <c r="H2752" s="20" t="s">
        <v>3996</v>
      </c>
      <c r="I2752" s="378">
        <v>0</v>
      </c>
      <c r="J2752" s="20" t="s">
        <v>2831</v>
      </c>
      <c r="K2752" s="378" t="s">
        <v>3997</v>
      </c>
      <c r="L2752" s="378" t="s">
        <v>2789</v>
      </c>
      <c r="M2752" s="380" t="s">
        <v>443</v>
      </c>
      <c r="N2752" s="380">
        <v>23.55966587112172</v>
      </c>
      <c r="O2752" s="380" t="s">
        <v>443</v>
      </c>
      <c r="P2752" s="380" t="s">
        <v>443</v>
      </c>
      <c r="Q2752" s="381">
        <v>82.6</v>
      </c>
      <c r="R2752" s="381">
        <v>81.400000000000006</v>
      </c>
      <c r="S2752" s="381">
        <v>0.42799999999999999</v>
      </c>
      <c r="T2752" s="381">
        <v>0.83299999999999996</v>
      </c>
      <c r="U2752" s="381">
        <v>0</v>
      </c>
      <c r="V2752" s="382">
        <v>82.661000000000001</v>
      </c>
      <c r="W2752" s="382">
        <v>0</v>
      </c>
      <c r="X2752" s="381">
        <v>3.5059919971635511</v>
      </c>
      <c r="Y2752" s="381">
        <v>3.455057488730183</v>
      </c>
      <c r="Z2752" s="381">
        <v>1.8166641341234867E-2</v>
      </c>
      <c r="AA2752" s="381">
        <v>3.5357037937496831E-2</v>
      </c>
      <c r="AB2752" s="381">
        <v>0</v>
      </c>
      <c r="AC2752" s="382">
        <v>3.5085811680089147</v>
      </c>
      <c r="AD2752" s="382">
        <v>0</v>
      </c>
      <c r="AE2752" s="381" t="s">
        <v>168</v>
      </c>
    </row>
    <row r="2753" spans="1:31" ht="15" customHeight="1" x14ac:dyDescent="0.25">
      <c r="A2753" s="20" t="s">
        <v>3967</v>
      </c>
      <c r="B2753" s="20" t="s">
        <v>3973</v>
      </c>
      <c r="C2753" s="20" t="s">
        <v>3897</v>
      </c>
      <c r="D2753" s="378" t="s">
        <v>3998</v>
      </c>
      <c r="E2753" s="384">
        <v>44571</v>
      </c>
      <c r="F2753" s="384">
        <v>46397</v>
      </c>
      <c r="G2753" s="378" t="s">
        <v>2837</v>
      </c>
      <c r="H2753" s="20" t="s">
        <v>3993</v>
      </c>
      <c r="I2753" s="378">
        <v>0</v>
      </c>
      <c r="J2753" s="20" t="s">
        <v>2831</v>
      </c>
      <c r="K2753" s="378" t="s">
        <v>3994</v>
      </c>
      <c r="L2753" s="378" t="s">
        <v>2789</v>
      </c>
      <c r="M2753" s="380" t="s">
        <v>443</v>
      </c>
      <c r="N2753" s="380">
        <v>50.616945107398564</v>
      </c>
      <c r="O2753" s="380" t="s">
        <v>443</v>
      </c>
      <c r="P2753" s="380" t="s">
        <v>443</v>
      </c>
      <c r="Q2753" s="381">
        <v>122</v>
      </c>
      <c r="R2753" s="381">
        <v>121</v>
      </c>
      <c r="S2753" s="381">
        <v>0.66500000000000004</v>
      </c>
      <c r="T2753" s="381">
        <v>0.33900000000000002</v>
      </c>
      <c r="U2753" s="381">
        <v>0</v>
      </c>
      <c r="V2753" s="382">
        <v>122.004</v>
      </c>
      <c r="W2753" s="382">
        <v>0</v>
      </c>
      <c r="X2753" s="381">
        <v>2.4102600372492162</v>
      </c>
      <c r="Y2753" s="381">
        <v>2.3905038074356981</v>
      </c>
      <c r="Z2753" s="381">
        <v>1.3137892825989581E-2</v>
      </c>
      <c r="AA2753" s="381">
        <v>6.6973619067826591E-3</v>
      </c>
      <c r="AB2753" s="381">
        <v>0</v>
      </c>
      <c r="AC2753" s="382">
        <v>2.4103390621684704</v>
      </c>
      <c r="AD2753" s="382">
        <v>0</v>
      </c>
      <c r="AE2753" s="381" t="s">
        <v>168</v>
      </c>
    </row>
    <row r="2754" spans="1:31" ht="15" customHeight="1" x14ac:dyDescent="0.25">
      <c r="A2754" s="20" t="s">
        <v>3967</v>
      </c>
      <c r="B2754" s="20" t="s">
        <v>3968</v>
      </c>
      <c r="C2754" s="20" t="s">
        <v>3897</v>
      </c>
      <c r="D2754" s="378" t="s">
        <v>3999</v>
      </c>
      <c r="E2754" s="384">
        <v>44179</v>
      </c>
      <c r="F2754" s="384">
        <v>46004</v>
      </c>
      <c r="G2754" s="378" t="s">
        <v>4000</v>
      </c>
      <c r="H2754" s="20" t="s">
        <v>4001</v>
      </c>
      <c r="I2754" s="378">
        <v>0</v>
      </c>
      <c r="J2754" s="20" t="s">
        <v>2831</v>
      </c>
      <c r="K2754" s="378" t="s">
        <v>4002</v>
      </c>
      <c r="L2754" s="378" t="s">
        <v>2789</v>
      </c>
      <c r="M2754" s="380" t="s">
        <v>443</v>
      </c>
      <c r="N2754" s="380">
        <v>13</v>
      </c>
      <c r="O2754" s="380" t="s">
        <v>443</v>
      </c>
      <c r="P2754" s="380" t="s">
        <v>443</v>
      </c>
      <c r="Q2754" s="381">
        <v>31.46</v>
      </c>
      <c r="R2754" s="381">
        <v>0</v>
      </c>
      <c r="S2754" s="381">
        <v>0</v>
      </c>
      <c r="T2754" s="381">
        <v>0</v>
      </c>
      <c r="U2754" s="381">
        <v>0</v>
      </c>
      <c r="V2754" s="382">
        <v>31.46</v>
      </c>
      <c r="W2754" s="382">
        <v>0</v>
      </c>
      <c r="X2754" s="381">
        <v>2.42</v>
      </c>
      <c r="Y2754" s="381">
        <v>0</v>
      </c>
      <c r="Z2754" s="381">
        <v>0</v>
      </c>
      <c r="AA2754" s="381">
        <v>0</v>
      </c>
      <c r="AB2754" s="381">
        <v>0</v>
      </c>
      <c r="AC2754" s="382">
        <v>2.42</v>
      </c>
      <c r="AD2754" s="382">
        <v>0</v>
      </c>
      <c r="AE2754" s="381" t="s">
        <v>168</v>
      </c>
    </row>
    <row r="2755" spans="1:31" ht="15" customHeight="1" x14ac:dyDescent="0.25">
      <c r="A2755" s="20" t="s">
        <v>3967</v>
      </c>
      <c r="B2755" s="20" t="s">
        <v>3968</v>
      </c>
      <c r="C2755" s="20" t="s">
        <v>3897</v>
      </c>
      <c r="D2755" s="378" t="s">
        <v>4003</v>
      </c>
      <c r="E2755" s="384">
        <v>44179</v>
      </c>
      <c r="F2755" s="384">
        <v>46004</v>
      </c>
      <c r="G2755" s="378" t="s">
        <v>4000</v>
      </c>
      <c r="H2755" s="20" t="s">
        <v>4001</v>
      </c>
      <c r="I2755" s="378">
        <v>0</v>
      </c>
      <c r="J2755" s="20" t="s">
        <v>2831</v>
      </c>
      <c r="K2755" s="378" t="s">
        <v>4002</v>
      </c>
      <c r="L2755" s="378" t="s">
        <v>2789</v>
      </c>
      <c r="M2755" s="380" t="s">
        <v>443</v>
      </c>
      <c r="N2755" s="380">
        <v>22</v>
      </c>
      <c r="O2755" s="380" t="s">
        <v>443</v>
      </c>
      <c r="P2755" s="380" t="s">
        <v>443</v>
      </c>
      <c r="Q2755" s="381">
        <v>89.1</v>
      </c>
      <c r="R2755" s="381">
        <v>0</v>
      </c>
      <c r="S2755" s="381">
        <v>0</v>
      </c>
      <c r="T2755" s="381">
        <v>0</v>
      </c>
      <c r="U2755" s="381">
        <v>0</v>
      </c>
      <c r="V2755" s="382">
        <v>89.1</v>
      </c>
      <c r="W2755" s="382">
        <v>0</v>
      </c>
      <c r="X2755" s="381">
        <v>4.05</v>
      </c>
      <c r="Y2755" s="381">
        <v>0</v>
      </c>
      <c r="Z2755" s="381">
        <v>0</v>
      </c>
      <c r="AA2755" s="381">
        <v>0</v>
      </c>
      <c r="AB2755" s="381">
        <v>0</v>
      </c>
      <c r="AC2755" s="382">
        <v>4.05</v>
      </c>
      <c r="AD2755" s="382">
        <v>0</v>
      </c>
      <c r="AE2755" s="381" t="s">
        <v>168</v>
      </c>
    </row>
    <row r="2756" spans="1:31" ht="15" customHeight="1" x14ac:dyDescent="0.25">
      <c r="A2756" s="20" t="s">
        <v>3967</v>
      </c>
      <c r="B2756" s="20" t="s">
        <v>4004</v>
      </c>
      <c r="C2756" s="20" t="s">
        <v>3897</v>
      </c>
      <c r="D2756" s="378" t="s">
        <v>4005</v>
      </c>
      <c r="E2756" s="384">
        <v>44179</v>
      </c>
      <c r="F2756" s="384">
        <v>46004</v>
      </c>
      <c r="G2756" s="378" t="s">
        <v>4000</v>
      </c>
      <c r="H2756" s="20" t="s">
        <v>4001</v>
      </c>
      <c r="I2756" s="378">
        <v>0</v>
      </c>
      <c r="J2756" s="20" t="s">
        <v>2831</v>
      </c>
      <c r="K2756" s="378" t="s">
        <v>4002</v>
      </c>
      <c r="L2756" s="378" t="s">
        <v>2789</v>
      </c>
      <c r="M2756" s="380" t="s">
        <v>443</v>
      </c>
      <c r="N2756" s="380">
        <v>13</v>
      </c>
      <c r="O2756" s="380" t="s">
        <v>443</v>
      </c>
      <c r="P2756" s="380" t="s">
        <v>443</v>
      </c>
      <c r="Q2756" s="381">
        <v>97.37</v>
      </c>
      <c r="R2756" s="381">
        <v>0</v>
      </c>
      <c r="S2756" s="381">
        <v>0</v>
      </c>
      <c r="T2756" s="381">
        <v>0</v>
      </c>
      <c r="U2756" s="381">
        <v>0</v>
      </c>
      <c r="V2756" s="382">
        <v>97.37</v>
      </c>
      <c r="W2756" s="382">
        <v>0</v>
      </c>
      <c r="X2756" s="381">
        <v>7.49</v>
      </c>
      <c r="Y2756" s="381">
        <v>0</v>
      </c>
      <c r="Z2756" s="381">
        <v>0</v>
      </c>
      <c r="AA2756" s="381">
        <v>0</v>
      </c>
      <c r="AB2756" s="381">
        <v>0</v>
      </c>
      <c r="AC2756" s="382">
        <v>7.49</v>
      </c>
      <c r="AD2756" s="382">
        <v>0</v>
      </c>
      <c r="AE2756" s="381" t="s">
        <v>168</v>
      </c>
    </row>
    <row r="2757" spans="1:31" ht="15" customHeight="1" x14ac:dyDescent="0.25">
      <c r="A2757" s="20" t="s">
        <v>3967</v>
      </c>
      <c r="B2757" s="20" t="s">
        <v>3968</v>
      </c>
      <c r="C2757" s="20" t="s">
        <v>3897</v>
      </c>
      <c r="D2757" s="378" t="s">
        <v>4006</v>
      </c>
      <c r="E2757" s="384">
        <v>43480</v>
      </c>
      <c r="F2757" s="384">
        <v>45305</v>
      </c>
      <c r="G2757" s="378" t="s">
        <v>3806</v>
      </c>
      <c r="H2757" s="20" t="s">
        <v>4007</v>
      </c>
      <c r="I2757" s="378">
        <v>0</v>
      </c>
      <c r="J2757" s="20" t="s">
        <v>2831</v>
      </c>
      <c r="K2757" s="378" t="s">
        <v>4008</v>
      </c>
      <c r="L2757" s="378" t="s">
        <v>2789</v>
      </c>
      <c r="M2757" s="380" t="s">
        <v>443</v>
      </c>
      <c r="N2757" s="380">
        <v>31.927710843373497</v>
      </c>
      <c r="O2757" s="380" t="s">
        <v>443</v>
      </c>
      <c r="P2757" s="380">
        <v>53</v>
      </c>
      <c r="Q2757" s="381">
        <v>29.518072289156628</v>
      </c>
      <c r="R2757" s="381">
        <v>0</v>
      </c>
      <c r="S2757" s="381">
        <v>0</v>
      </c>
      <c r="T2757" s="381">
        <v>0</v>
      </c>
      <c r="U2757" s="381">
        <v>0</v>
      </c>
      <c r="V2757" s="382">
        <v>29.518072289156628</v>
      </c>
      <c r="W2757" s="382">
        <v>0</v>
      </c>
      <c r="X2757" s="381">
        <v>0.92452830188679236</v>
      </c>
      <c r="Y2757" s="381">
        <v>0</v>
      </c>
      <c r="Z2757" s="381">
        <v>0</v>
      </c>
      <c r="AA2757" s="381">
        <v>0</v>
      </c>
      <c r="AB2757" s="381">
        <v>0</v>
      </c>
      <c r="AC2757" s="382">
        <v>0.92452830188679236</v>
      </c>
      <c r="AD2757" s="382">
        <v>0</v>
      </c>
      <c r="AE2757" s="381" t="s">
        <v>168</v>
      </c>
    </row>
    <row r="2758" spans="1:31" ht="15" customHeight="1" x14ac:dyDescent="0.25">
      <c r="A2758" s="20" t="s">
        <v>3967</v>
      </c>
      <c r="B2758" s="20" t="s">
        <v>3968</v>
      </c>
      <c r="C2758" s="20" t="s">
        <v>3897</v>
      </c>
      <c r="D2758" s="378" t="s">
        <v>4009</v>
      </c>
      <c r="E2758" s="384">
        <v>43480</v>
      </c>
      <c r="F2758" s="384">
        <v>45305</v>
      </c>
      <c r="G2758" s="378" t="s">
        <v>3806</v>
      </c>
      <c r="H2758" s="20" t="s">
        <v>4007</v>
      </c>
      <c r="I2758" s="378">
        <v>0</v>
      </c>
      <c r="J2758" s="20" t="s">
        <v>2831</v>
      </c>
      <c r="K2758" s="378" t="s">
        <v>4008</v>
      </c>
      <c r="L2758" s="378" t="s">
        <v>2789</v>
      </c>
      <c r="M2758" s="380" t="s">
        <v>443</v>
      </c>
      <c r="N2758" s="380">
        <v>43.975903614457835</v>
      </c>
      <c r="O2758" s="380" t="s">
        <v>443</v>
      </c>
      <c r="P2758" s="380">
        <v>73</v>
      </c>
      <c r="Q2758" s="381">
        <v>52.409638554216869</v>
      </c>
      <c r="R2758" s="381">
        <v>0</v>
      </c>
      <c r="S2758" s="381">
        <v>0</v>
      </c>
      <c r="T2758" s="381">
        <v>0</v>
      </c>
      <c r="U2758" s="381">
        <v>0</v>
      </c>
      <c r="V2758" s="382">
        <v>52.409638554216869</v>
      </c>
      <c r="W2758" s="382">
        <v>0</v>
      </c>
      <c r="X2758" s="381">
        <v>1.1917808219178081</v>
      </c>
      <c r="Y2758" s="381">
        <v>0</v>
      </c>
      <c r="Z2758" s="381">
        <v>0</v>
      </c>
      <c r="AA2758" s="381">
        <v>0</v>
      </c>
      <c r="AB2758" s="381">
        <v>0</v>
      </c>
      <c r="AC2758" s="382">
        <v>1.1917808219178081</v>
      </c>
      <c r="AD2758" s="382">
        <v>0</v>
      </c>
      <c r="AE2758" s="381" t="s">
        <v>168</v>
      </c>
    </row>
    <row r="2759" spans="1:31" ht="15" customHeight="1" x14ac:dyDescent="0.25">
      <c r="A2759" s="20" t="s">
        <v>3967</v>
      </c>
      <c r="B2759" s="20" t="s">
        <v>3968</v>
      </c>
      <c r="C2759" s="20" t="s">
        <v>3897</v>
      </c>
      <c r="D2759" s="378" t="s">
        <v>4010</v>
      </c>
      <c r="E2759" s="384">
        <v>43480</v>
      </c>
      <c r="F2759" s="384">
        <v>45305</v>
      </c>
      <c r="G2759" s="378" t="s">
        <v>3806</v>
      </c>
      <c r="H2759" s="20" t="s">
        <v>4007</v>
      </c>
      <c r="I2759" s="378">
        <v>0</v>
      </c>
      <c r="J2759" s="20" t="s">
        <v>2831</v>
      </c>
      <c r="K2759" s="378" t="s">
        <v>4008</v>
      </c>
      <c r="L2759" s="378" t="s">
        <v>2789</v>
      </c>
      <c r="M2759" s="380" t="s">
        <v>443</v>
      </c>
      <c r="N2759" s="380">
        <v>37.349397590361448</v>
      </c>
      <c r="O2759" s="380" t="s">
        <v>443</v>
      </c>
      <c r="P2759" s="380">
        <v>62</v>
      </c>
      <c r="Q2759" s="381">
        <v>52.409638554216869</v>
      </c>
      <c r="R2759" s="381">
        <v>0</v>
      </c>
      <c r="S2759" s="381">
        <v>0</v>
      </c>
      <c r="T2759" s="381">
        <v>0</v>
      </c>
      <c r="U2759" s="381">
        <v>0</v>
      </c>
      <c r="V2759" s="382">
        <v>52.409638554216869</v>
      </c>
      <c r="W2759" s="382">
        <v>0</v>
      </c>
      <c r="X2759" s="381">
        <v>1.4032258064516128</v>
      </c>
      <c r="Y2759" s="381">
        <v>0</v>
      </c>
      <c r="Z2759" s="381">
        <v>0</v>
      </c>
      <c r="AA2759" s="381">
        <v>0</v>
      </c>
      <c r="AB2759" s="381">
        <v>0</v>
      </c>
      <c r="AC2759" s="382">
        <v>1.4032258064516128</v>
      </c>
      <c r="AD2759" s="382">
        <v>0</v>
      </c>
      <c r="AE2759" s="381" t="s">
        <v>168</v>
      </c>
    </row>
    <row r="2760" spans="1:31" ht="15" customHeight="1" x14ac:dyDescent="0.25">
      <c r="A2760" s="20" t="s">
        <v>3967</v>
      </c>
      <c r="B2760" s="20" t="s">
        <v>3968</v>
      </c>
      <c r="C2760" s="20" t="s">
        <v>3897</v>
      </c>
      <c r="D2760" s="378" t="s">
        <v>4011</v>
      </c>
      <c r="E2760" s="384">
        <v>43480</v>
      </c>
      <c r="F2760" s="384">
        <v>45305</v>
      </c>
      <c r="G2760" s="378" t="s">
        <v>3806</v>
      </c>
      <c r="H2760" s="20" t="s">
        <v>4007</v>
      </c>
      <c r="I2760" s="378">
        <v>0</v>
      </c>
      <c r="J2760" s="20" t="s">
        <v>2831</v>
      </c>
      <c r="K2760" s="378" t="s">
        <v>4008</v>
      </c>
      <c r="L2760" s="378" t="s">
        <v>2789</v>
      </c>
      <c r="M2760" s="380" t="s">
        <v>443</v>
      </c>
      <c r="N2760" s="380">
        <v>49.397590361445786</v>
      </c>
      <c r="O2760" s="380" t="s">
        <v>443</v>
      </c>
      <c r="P2760" s="380">
        <v>82</v>
      </c>
      <c r="Q2760" s="381">
        <v>77.108433734939766</v>
      </c>
      <c r="R2760" s="381">
        <v>0</v>
      </c>
      <c r="S2760" s="381">
        <v>0</v>
      </c>
      <c r="T2760" s="381">
        <v>0</v>
      </c>
      <c r="U2760" s="381">
        <v>0</v>
      </c>
      <c r="V2760" s="382">
        <v>77.108433734939766</v>
      </c>
      <c r="W2760" s="382">
        <v>0</v>
      </c>
      <c r="X2760" s="381">
        <v>1.5609756097560976</v>
      </c>
      <c r="Y2760" s="381">
        <v>0</v>
      </c>
      <c r="Z2760" s="381">
        <v>0</v>
      </c>
      <c r="AA2760" s="381">
        <v>0</v>
      </c>
      <c r="AB2760" s="381">
        <v>0</v>
      </c>
      <c r="AC2760" s="382">
        <v>1.5609756097560976</v>
      </c>
      <c r="AD2760" s="382">
        <v>0</v>
      </c>
      <c r="AE2760" s="381" t="s">
        <v>168</v>
      </c>
    </row>
    <row r="2761" spans="1:31" ht="15" customHeight="1" x14ac:dyDescent="0.25">
      <c r="A2761" s="20" t="s">
        <v>3967</v>
      </c>
      <c r="B2761" s="20" t="s">
        <v>4012</v>
      </c>
      <c r="C2761" s="20" t="s">
        <v>3897</v>
      </c>
      <c r="D2761" s="378" t="s">
        <v>4013</v>
      </c>
      <c r="E2761" s="384">
        <v>43480</v>
      </c>
      <c r="F2761" s="384">
        <v>45305</v>
      </c>
      <c r="G2761" s="378" t="s">
        <v>3806</v>
      </c>
      <c r="H2761" s="20" t="s">
        <v>4014</v>
      </c>
      <c r="I2761" s="378">
        <v>0</v>
      </c>
      <c r="J2761" s="20" t="s">
        <v>2831</v>
      </c>
      <c r="K2761" s="378" t="s">
        <v>4015</v>
      </c>
      <c r="L2761" s="378" t="s">
        <v>3334</v>
      </c>
      <c r="M2761" s="380" t="s">
        <v>443</v>
      </c>
      <c r="N2761" s="380" t="s">
        <v>443</v>
      </c>
      <c r="O2761" s="380" t="s">
        <v>443</v>
      </c>
      <c r="P2761" s="380">
        <v>98</v>
      </c>
      <c r="Q2761" s="381">
        <v>253</v>
      </c>
      <c r="R2761" s="381">
        <v>0</v>
      </c>
      <c r="S2761" s="381">
        <v>0</v>
      </c>
      <c r="T2761" s="381">
        <v>0</v>
      </c>
      <c r="U2761" s="381">
        <v>0</v>
      </c>
      <c r="V2761" s="382">
        <v>253</v>
      </c>
      <c r="W2761" s="382">
        <v>0</v>
      </c>
      <c r="X2761" s="381" t="s">
        <v>443</v>
      </c>
      <c r="Y2761" s="381" t="s">
        <v>443</v>
      </c>
      <c r="Z2761" s="381" t="s">
        <v>443</v>
      </c>
      <c r="AA2761" s="381" t="s">
        <v>443</v>
      </c>
      <c r="AB2761" s="381" t="s">
        <v>443</v>
      </c>
      <c r="AC2761" s="382">
        <v>0</v>
      </c>
      <c r="AD2761" s="382">
        <v>0</v>
      </c>
      <c r="AE2761" s="381" t="s">
        <v>168</v>
      </c>
    </row>
    <row r="2762" spans="1:31" ht="15" customHeight="1" x14ac:dyDescent="0.25">
      <c r="A2762" s="20" t="s">
        <v>3967</v>
      </c>
      <c r="B2762" s="20" t="s">
        <v>4012</v>
      </c>
      <c r="C2762" s="20" t="s">
        <v>3897</v>
      </c>
      <c r="D2762" s="378" t="s">
        <v>4016</v>
      </c>
      <c r="E2762" s="384">
        <v>43480</v>
      </c>
      <c r="F2762" s="384">
        <v>45305</v>
      </c>
      <c r="G2762" s="378" t="s">
        <v>3806</v>
      </c>
      <c r="H2762" s="20" t="s">
        <v>4014</v>
      </c>
      <c r="I2762" s="378">
        <v>0</v>
      </c>
      <c r="J2762" s="20" t="s">
        <v>2831</v>
      </c>
      <c r="K2762" s="378" t="s">
        <v>4015</v>
      </c>
      <c r="L2762" s="378" t="s">
        <v>3334</v>
      </c>
      <c r="M2762" s="380" t="s">
        <v>443</v>
      </c>
      <c r="N2762" s="380" t="s">
        <v>443</v>
      </c>
      <c r="O2762" s="380" t="s">
        <v>443</v>
      </c>
      <c r="P2762" s="380">
        <v>69</v>
      </c>
      <c r="Q2762" s="381">
        <v>315</v>
      </c>
      <c r="R2762" s="381">
        <v>0</v>
      </c>
      <c r="S2762" s="381">
        <v>0</v>
      </c>
      <c r="T2762" s="381">
        <v>0</v>
      </c>
      <c r="U2762" s="381">
        <v>0</v>
      </c>
      <c r="V2762" s="382">
        <v>315</v>
      </c>
      <c r="W2762" s="382">
        <v>0</v>
      </c>
      <c r="X2762" s="381" t="s">
        <v>443</v>
      </c>
      <c r="Y2762" s="381" t="s">
        <v>443</v>
      </c>
      <c r="Z2762" s="381" t="s">
        <v>443</v>
      </c>
      <c r="AA2762" s="381" t="s">
        <v>443</v>
      </c>
      <c r="AB2762" s="381" t="s">
        <v>443</v>
      </c>
      <c r="AC2762" s="382">
        <v>0</v>
      </c>
      <c r="AD2762" s="382">
        <v>0</v>
      </c>
      <c r="AE2762" s="381" t="s">
        <v>168</v>
      </c>
    </row>
    <row r="2763" spans="1:31" ht="15" customHeight="1" x14ac:dyDescent="0.25">
      <c r="A2763" s="20" t="s">
        <v>3967</v>
      </c>
      <c r="B2763" s="20" t="s">
        <v>4012</v>
      </c>
      <c r="C2763" s="20" t="s">
        <v>3897</v>
      </c>
      <c r="D2763" s="378" t="s">
        <v>4017</v>
      </c>
      <c r="E2763" s="384">
        <v>43480</v>
      </c>
      <c r="F2763" s="384">
        <v>45305</v>
      </c>
      <c r="G2763" s="378" t="s">
        <v>3806</v>
      </c>
      <c r="H2763" s="20" t="s">
        <v>4014</v>
      </c>
      <c r="I2763" s="378">
        <v>0</v>
      </c>
      <c r="J2763" s="20" t="s">
        <v>2831</v>
      </c>
      <c r="K2763" s="378" t="s">
        <v>4015</v>
      </c>
      <c r="L2763" s="378" t="s">
        <v>3334</v>
      </c>
      <c r="M2763" s="380" t="s">
        <v>443</v>
      </c>
      <c r="N2763" s="380" t="s">
        <v>443</v>
      </c>
      <c r="O2763" s="380" t="s">
        <v>443</v>
      </c>
      <c r="P2763" s="380">
        <v>105</v>
      </c>
      <c r="Q2763" s="381">
        <v>258</v>
      </c>
      <c r="R2763" s="381">
        <v>0</v>
      </c>
      <c r="S2763" s="381">
        <v>0</v>
      </c>
      <c r="T2763" s="381">
        <v>0</v>
      </c>
      <c r="U2763" s="381">
        <v>0</v>
      </c>
      <c r="V2763" s="382">
        <v>258</v>
      </c>
      <c r="W2763" s="382">
        <v>0</v>
      </c>
      <c r="X2763" s="381" t="s">
        <v>443</v>
      </c>
      <c r="Y2763" s="381" t="s">
        <v>443</v>
      </c>
      <c r="Z2763" s="381" t="s">
        <v>443</v>
      </c>
      <c r="AA2763" s="381" t="s">
        <v>443</v>
      </c>
      <c r="AB2763" s="381" t="s">
        <v>443</v>
      </c>
      <c r="AC2763" s="382">
        <v>0</v>
      </c>
      <c r="AD2763" s="382">
        <v>0</v>
      </c>
      <c r="AE2763" s="381" t="s">
        <v>168</v>
      </c>
    </row>
    <row r="2764" spans="1:31" ht="15" customHeight="1" x14ac:dyDescent="0.25">
      <c r="A2764" s="20" t="s">
        <v>3967</v>
      </c>
      <c r="B2764" s="20" t="s">
        <v>3973</v>
      </c>
      <c r="C2764" s="20" t="s">
        <v>3897</v>
      </c>
      <c r="D2764" s="378" t="s">
        <v>4018</v>
      </c>
      <c r="E2764" s="384">
        <v>44571</v>
      </c>
      <c r="F2764" s="384">
        <v>46397</v>
      </c>
      <c r="G2764" s="378" t="s">
        <v>2837</v>
      </c>
      <c r="H2764" s="20" t="s">
        <v>3993</v>
      </c>
      <c r="I2764" s="378">
        <v>0</v>
      </c>
      <c r="J2764" s="20" t="s">
        <v>2831</v>
      </c>
      <c r="K2764" s="378" t="s">
        <v>3994</v>
      </c>
      <c r="L2764" s="378" t="s">
        <v>2789</v>
      </c>
      <c r="M2764" s="380" t="s">
        <v>443</v>
      </c>
      <c r="N2764" s="380">
        <v>39.935560859188534</v>
      </c>
      <c r="O2764" s="380" t="s">
        <v>443</v>
      </c>
      <c r="P2764" s="380" t="s">
        <v>443</v>
      </c>
      <c r="Q2764" s="381">
        <v>104</v>
      </c>
      <c r="R2764" s="381">
        <v>103</v>
      </c>
      <c r="S2764" s="381">
        <v>0.627</v>
      </c>
      <c r="T2764" s="381">
        <v>0.32500000000000001</v>
      </c>
      <c r="U2764" s="381">
        <v>0</v>
      </c>
      <c r="V2764" s="382">
        <v>103.952</v>
      </c>
      <c r="W2764" s="382">
        <v>0</v>
      </c>
      <c r="X2764" s="381">
        <v>2.6041953026952736</v>
      </c>
      <c r="Y2764" s="381">
        <v>2.5791549632462805</v>
      </c>
      <c r="Z2764" s="381">
        <v>1.5700292834518619E-2</v>
      </c>
      <c r="AA2764" s="381">
        <v>8.1381103209227298E-3</v>
      </c>
      <c r="AB2764" s="381">
        <v>0</v>
      </c>
      <c r="AC2764" s="382">
        <v>2.602993366401722</v>
      </c>
      <c r="AD2764" s="382">
        <v>0</v>
      </c>
      <c r="AE2764" s="381" t="s">
        <v>168</v>
      </c>
    </row>
    <row r="2765" spans="1:31" ht="15" customHeight="1" x14ac:dyDescent="0.25">
      <c r="A2765" s="20" t="s">
        <v>3967</v>
      </c>
      <c r="B2765" s="20" t="s">
        <v>3973</v>
      </c>
      <c r="C2765" s="20" t="s">
        <v>3897</v>
      </c>
      <c r="D2765" s="378" t="s">
        <v>4019</v>
      </c>
      <c r="E2765" s="384">
        <v>44690</v>
      </c>
      <c r="F2765" s="384">
        <v>46515</v>
      </c>
      <c r="G2765" s="378" t="s">
        <v>3978</v>
      </c>
      <c r="H2765" s="20" t="s">
        <v>4020</v>
      </c>
      <c r="I2765" s="378">
        <v>0</v>
      </c>
      <c r="J2765" s="20" t="s">
        <v>2831</v>
      </c>
      <c r="K2765" s="378" t="s">
        <v>4021</v>
      </c>
      <c r="L2765" s="378" t="s">
        <v>2789</v>
      </c>
      <c r="M2765" s="380" t="s">
        <v>443</v>
      </c>
      <c r="N2765" s="380">
        <v>67.5</v>
      </c>
      <c r="O2765" s="380" t="s">
        <v>443</v>
      </c>
      <c r="P2765" s="380" t="s">
        <v>443</v>
      </c>
      <c r="Q2765" s="381">
        <v>126</v>
      </c>
      <c r="R2765" s="381">
        <v>125</v>
      </c>
      <c r="S2765" s="381">
        <v>0.36</v>
      </c>
      <c r="T2765" s="381">
        <v>0.38500000000000001</v>
      </c>
      <c r="U2765" s="381">
        <v>0</v>
      </c>
      <c r="V2765" s="382">
        <v>125.745</v>
      </c>
      <c r="W2765" s="382">
        <v>0</v>
      </c>
      <c r="X2765" s="381">
        <v>1.8666666666666667</v>
      </c>
      <c r="Y2765" s="381">
        <v>1.8518518518518519</v>
      </c>
      <c r="Z2765" s="381">
        <v>5.3333333333333332E-3</v>
      </c>
      <c r="AA2765" s="381">
        <v>5.7037037037037039E-3</v>
      </c>
      <c r="AB2765" s="381">
        <v>0</v>
      </c>
      <c r="AC2765" s="382">
        <v>1.862888888888889</v>
      </c>
      <c r="AD2765" s="382">
        <v>0</v>
      </c>
      <c r="AE2765" s="381" t="s">
        <v>168</v>
      </c>
    </row>
    <row r="2766" spans="1:31" ht="15" customHeight="1" x14ac:dyDescent="0.25">
      <c r="A2766" s="20" t="s">
        <v>3967</v>
      </c>
      <c r="B2766" s="20" t="s">
        <v>3973</v>
      </c>
      <c r="C2766" s="20" t="s">
        <v>3897</v>
      </c>
      <c r="D2766" s="378" t="s">
        <v>4022</v>
      </c>
      <c r="E2766" s="384">
        <v>44571</v>
      </c>
      <c r="F2766" s="384">
        <v>46397</v>
      </c>
      <c r="G2766" s="378" t="s">
        <v>2837</v>
      </c>
      <c r="H2766" s="20" t="s">
        <v>3993</v>
      </c>
      <c r="I2766" s="378">
        <v>0</v>
      </c>
      <c r="J2766" s="20" t="s">
        <v>2831</v>
      </c>
      <c r="K2766" s="378" t="s">
        <v>3994</v>
      </c>
      <c r="L2766" s="378" t="s">
        <v>2789</v>
      </c>
      <c r="M2766" s="380" t="s">
        <v>443</v>
      </c>
      <c r="N2766" s="380">
        <v>55.897374701670635</v>
      </c>
      <c r="O2766" s="380" t="s">
        <v>443</v>
      </c>
      <c r="P2766" s="380" t="s">
        <v>443</v>
      </c>
      <c r="Q2766" s="381">
        <v>147</v>
      </c>
      <c r="R2766" s="381">
        <v>145</v>
      </c>
      <c r="S2766" s="381">
        <v>0.95899999999999996</v>
      </c>
      <c r="T2766" s="381">
        <v>0.52200000000000002</v>
      </c>
      <c r="U2766" s="381">
        <v>0</v>
      </c>
      <c r="V2766" s="382">
        <v>146.48099999999999</v>
      </c>
      <c r="W2766" s="382">
        <v>0</v>
      </c>
      <c r="X2766" s="381">
        <v>2.6298193928525686</v>
      </c>
      <c r="Y2766" s="381">
        <v>2.5940395371674998</v>
      </c>
      <c r="Z2766" s="381">
        <v>1.7156440800990568E-2</v>
      </c>
      <c r="AA2766" s="381">
        <v>9.3385423338029992E-3</v>
      </c>
      <c r="AB2766" s="381">
        <v>0</v>
      </c>
      <c r="AC2766" s="382">
        <v>2.6205345203022934</v>
      </c>
      <c r="AD2766" s="382">
        <v>0</v>
      </c>
      <c r="AE2766" s="381" t="s">
        <v>168</v>
      </c>
    </row>
    <row r="2767" spans="1:31" ht="15" customHeight="1" x14ac:dyDescent="0.25">
      <c r="A2767" s="20" t="s">
        <v>3967</v>
      </c>
      <c r="B2767" s="20" t="s">
        <v>3968</v>
      </c>
      <c r="C2767" s="20" t="s">
        <v>3897</v>
      </c>
      <c r="D2767" s="378" t="s">
        <v>4023</v>
      </c>
      <c r="E2767" s="384">
        <v>44237</v>
      </c>
      <c r="F2767" s="384">
        <v>46062</v>
      </c>
      <c r="G2767" s="378" t="s">
        <v>2886</v>
      </c>
      <c r="H2767" s="20" t="s">
        <v>4024</v>
      </c>
      <c r="I2767" s="378" t="s">
        <v>814</v>
      </c>
      <c r="J2767" s="20" t="s">
        <v>2831</v>
      </c>
      <c r="K2767" s="378" t="s">
        <v>4025</v>
      </c>
      <c r="L2767" s="378" t="s">
        <v>2789</v>
      </c>
      <c r="M2767" s="380" t="s">
        <v>443</v>
      </c>
      <c r="N2767" s="380">
        <v>3.5</v>
      </c>
      <c r="O2767" s="380" t="s">
        <v>443</v>
      </c>
      <c r="P2767" s="380" t="s">
        <v>443</v>
      </c>
      <c r="Q2767" s="381">
        <v>-4.9800000000000004</v>
      </c>
      <c r="R2767" s="381">
        <v>1.35</v>
      </c>
      <c r="S2767" s="381">
        <v>-6.33</v>
      </c>
      <c r="T2767" s="381">
        <v>-4.0000000000000001E-3</v>
      </c>
      <c r="U2767" s="381">
        <v>0</v>
      </c>
      <c r="V2767" s="382">
        <v>1.3460000000000001</v>
      </c>
      <c r="W2767" s="382">
        <v>0</v>
      </c>
      <c r="X2767" s="381">
        <v>-1.422857142857143</v>
      </c>
      <c r="Y2767" s="381">
        <v>0.38571428571428573</v>
      </c>
      <c r="Z2767" s="381">
        <v>-1.8085714285714285</v>
      </c>
      <c r="AA2767" s="381">
        <v>-1.1428571428571429E-3</v>
      </c>
      <c r="AB2767" s="381">
        <v>0</v>
      </c>
      <c r="AC2767" s="382">
        <v>0.38457142857142856</v>
      </c>
      <c r="AD2767" s="382">
        <v>0</v>
      </c>
      <c r="AE2767" s="381" t="s">
        <v>168</v>
      </c>
    </row>
    <row r="2768" spans="1:31" ht="15" customHeight="1" x14ac:dyDescent="0.25">
      <c r="A2768" s="20" t="s">
        <v>4026</v>
      </c>
      <c r="B2768" s="20" t="s">
        <v>4026</v>
      </c>
      <c r="C2768" s="20" t="s">
        <v>3897</v>
      </c>
      <c r="D2768" s="378" t="s">
        <v>4027</v>
      </c>
      <c r="E2768" s="384">
        <v>44897</v>
      </c>
      <c r="F2768" s="384">
        <v>46723</v>
      </c>
      <c r="G2768" s="378" t="s">
        <v>2837</v>
      </c>
      <c r="H2768" s="20" t="s">
        <v>4028</v>
      </c>
      <c r="I2768" s="378">
        <v>0</v>
      </c>
      <c r="J2768" s="20" t="s">
        <v>2831</v>
      </c>
      <c r="K2768" s="378" t="s">
        <v>4029</v>
      </c>
      <c r="L2768" s="378" t="s">
        <v>4030</v>
      </c>
      <c r="M2768" s="380" t="s">
        <v>443</v>
      </c>
      <c r="N2768" s="380" t="s">
        <v>443</v>
      </c>
      <c r="O2768" s="380">
        <v>1.4</v>
      </c>
      <c r="P2768" s="380" t="s">
        <v>443</v>
      </c>
      <c r="Q2768" s="381">
        <v>3.19</v>
      </c>
      <c r="R2768" s="381">
        <v>3.44</v>
      </c>
      <c r="S2768" s="381">
        <v>-0.25600000000000001</v>
      </c>
      <c r="T2768" s="381">
        <v>2.2699999999999999E-3</v>
      </c>
      <c r="U2768" s="381">
        <v>0</v>
      </c>
      <c r="V2768" s="382">
        <v>3.4422700000000006</v>
      </c>
      <c r="W2768" s="382">
        <v>0</v>
      </c>
      <c r="X2768" s="381">
        <v>2.2785714285714285</v>
      </c>
      <c r="Y2768" s="381">
        <v>2.4571428571428573</v>
      </c>
      <c r="Z2768" s="381">
        <v>-0.18285714285714288</v>
      </c>
      <c r="AA2768" s="381">
        <v>1.6214285714285714E-3</v>
      </c>
      <c r="AB2768" s="381">
        <v>0</v>
      </c>
      <c r="AC2768" s="382">
        <v>2.458764285714286</v>
      </c>
      <c r="AD2768" s="382">
        <v>0</v>
      </c>
      <c r="AE2768" s="381" t="s">
        <v>168</v>
      </c>
    </row>
    <row r="2769" spans="1:31" ht="15" customHeight="1" x14ac:dyDescent="0.25">
      <c r="A2769" s="20" t="s">
        <v>4026</v>
      </c>
      <c r="B2769" s="20" t="s">
        <v>4026</v>
      </c>
      <c r="C2769" s="20" t="s">
        <v>3897</v>
      </c>
      <c r="D2769" s="378" t="s">
        <v>4031</v>
      </c>
      <c r="E2769" s="384">
        <v>45215</v>
      </c>
      <c r="F2769" s="384">
        <v>47041</v>
      </c>
      <c r="G2769" s="378" t="s">
        <v>2837</v>
      </c>
      <c r="H2769" s="20" t="s">
        <v>4032</v>
      </c>
      <c r="I2769" s="378">
        <v>0</v>
      </c>
      <c r="J2769" s="20" t="s">
        <v>2831</v>
      </c>
      <c r="K2769" s="378" t="s">
        <v>4033</v>
      </c>
      <c r="L2769" s="378" t="s">
        <v>2774</v>
      </c>
      <c r="M2769" s="380" t="s">
        <v>443</v>
      </c>
      <c r="N2769" s="380" t="s">
        <v>443</v>
      </c>
      <c r="O2769" s="380" t="s">
        <v>443</v>
      </c>
      <c r="P2769" s="380" t="s">
        <v>443</v>
      </c>
      <c r="Q2769" s="381">
        <v>4.17</v>
      </c>
      <c r="R2769" s="381">
        <v>4.16</v>
      </c>
      <c r="S2769" s="381">
        <v>6.0800000000000003E-3</v>
      </c>
      <c r="T2769" s="381">
        <v>4.13E-3</v>
      </c>
      <c r="U2769" s="381">
        <v>0</v>
      </c>
      <c r="V2769" s="382">
        <v>4.17021</v>
      </c>
      <c r="W2769" s="382">
        <v>0</v>
      </c>
      <c r="X2769" s="381">
        <v>4.17</v>
      </c>
      <c r="Y2769" s="381">
        <v>4.16</v>
      </c>
      <c r="Z2769" s="381">
        <v>6.0800000000000003E-3</v>
      </c>
      <c r="AA2769" s="381">
        <v>4.13E-3</v>
      </c>
      <c r="AB2769" s="381">
        <v>0</v>
      </c>
      <c r="AC2769" s="382">
        <v>4.17021</v>
      </c>
      <c r="AD2769" s="382">
        <v>0</v>
      </c>
      <c r="AE2769" s="381" t="s">
        <v>168</v>
      </c>
    </row>
    <row r="2770" spans="1:31" ht="15" customHeight="1" x14ac:dyDescent="0.25">
      <c r="A2770" s="20" t="s">
        <v>4026</v>
      </c>
      <c r="B2770" s="20" t="s">
        <v>4026</v>
      </c>
      <c r="C2770" s="20" t="s">
        <v>3897</v>
      </c>
      <c r="D2770" s="378" t="s">
        <v>4034</v>
      </c>
      <c r="E2770" s="384">
        <v>43604</v>
      </c>
      <c r="F2770" s="384">
        <v>45502</v>
      </c>
      <c r="G2770" s="378" t="s">
        <v>2837</v>
      </c>
      <c r="H2770" s="20" t="s">
        <v>4035</v>
      </c>
      <c r="I2770" s="378">
        <v>0</v>
      </c>
      <c r="J2770" s="20" t="s">
        <v>2831</v>
      </c>
      <c r="K2770" s="378" t="s">
        <v>4036</v>
      </c>
      <c r="L2770" s="378" t="s">
        <v>2789</v>
      </c>
      <c r="M2770" s="380" t="s">
        <v>443</v>
      </c>
      <c r="N2770" s="380">
        <v>1.63</v>
      </c>
      <c r="O2770" s="380" t="s">
        <v>443</v>
      </c>
      <c r="P2770" s="380" t="s">
        <v>443</v>
      </c>
      <c r="Q2770" s="381">
        <v>9.9040029999999994</v>
      </c>
      <c r="R2770" s="381">
        <v>9.8840000000000003</v>
      </c>
      <c r="S2770" s="381">
        <v>0.02</v>
      </c>
      <c r="T2770" s="381">
        <v>3.0000000000000001E-6</v>
      </c>
      <c r="U2770" s="381">
        <v>0</v>
      </c>
      <c r="V2770" s="382">
        <v>9.9040029999999994</v>
      </c>
      <c r="W2770" s="382">
        <v>0</v>
      </c>
      <c r="X2770" s="381">
        <v>6.0760754601226994</v>
      </c>
      <c r="Y2770" s="381">
        <v>6.0638036809815956</v>
      </c>
      <c r="Z2770" s="381">
        <v>1.2269938650306749E-2</v>
      </c>
      <c r="AA2770" s="381">
        <v>1.8404907975460124E-6</v>
      </c>
      <c r="AB2770" s="381">
        <v>0</v>
      </c>
      <c r="AC2770" s="382">
        <v>6.0760754601227003</v>
      </c>
      <c r="AD2770" s="382">
        <v>0</v>
      </c>
      <c r="AE2770" s="381" t="s">
        <v>168</v>
      </c>
    </row>
    <row r="2771" spans="1:31" ht="15" customHeight="1" x14ac:dyDescent="0.25">
      <c r="A2771" s="20" t="s">
        <v>4026</v>
      </c>
      <c r="B2771" s="20" t="s">
        <v>4026</v>
      </c>
      <c r="C2771" s="20" t="s">
        <v>3897</v>
      </c>
      <c r="D2771" s="378" t="s">
        <v>4037</v>
      </c>
      <c r="E2771" s="384">
        <v>44249</v>
      </c>
      <c r="F2771" s="384">
        <v>46044</v>
      </c>
      <c r="G2771" s="378" t="s">
        <v>2837</v>
      </c>
      <c r="H2771" s="20" t="s">
        <v>4038</v>
      </c>
      <c r="I2771" s="378">
        <v>0</v>
      </c>
      <c r="J2771" s="20" t="s">
        <v>2831</v>
      </c>
      <c r="K2771" s="378" t="s">
        <v>4039</v>
      </c>
      <c r="L2771" s="378" t="s">
        <v>2789</v>
      </c>
      <c r="M2771" s="380" t="s">
        <v>443</v>
      </c>
      <c r="N2771" s="380" t="s">
        <v>443</v>
      </c>
      <c r="O2771" s="380" t="s">
        <v>443</v>
      </c>
      <c r="P2771" s="380" t="s">
        <v>443</v>
      </c>
      <c r="Q2771" s="381">
        <v>3.19</v>
      </c>
      <c r="R2771" s="381">
        <v>0</v>
      </c>
      <c r="S2771" s="381">
        <v>0</v>
      </c>
      <c r="T2771" s="381">
        <v>0</v>
      </c>
      <c r="U2771" s="381">
        <v>0</v>
      </c>
      <c r="V2771" s="382">
        <v>3.19</v>
      </c>
      <c r="W2771" s="382">
        <v>0</v>
      </c>
      <c r="X2771" s="381" t="s">
        <v>443</v>
      </c>
      <c r="Y2771" s="381" t="s">
        <v>443</v>
      </c>
      <c r="Z2771" s="381" t="s">
        <v>443</v>
      </c>
      <c r="AA2771" s="381" t="s">
        <v>443</v>
      </c>
      <c r="AB2771" s="381" t="s">
        <v>443</v>
      </c>
      <c r="AC2771" s="382">
        <v>0</v>
      </c>
      <c r="AD2771" s="382">
        <v>0</v>
      </c>
      <c r="AE2771" s="381" t="s">
        <v>168</v>
      </c>
    </row>
    <row r="2772" spans="1:31" ht="15" customHeight="1" x14ac:dyDescent="0.25">
      <c r="A2772" s="20" t="s">
        <v>3561</v>
      </c>
      <c r="B2772" s="20" t="s">
        <v>3562</v>
      </c>
      <c r="C2772" s="20" t="s">
        <v>3897</v>
      </c>
      <c r="D2772" s="378" t="s">
        <v>4040</v>
      </c>
      <c r="E2772" s="384">
        <v>43623</v>
      </c>
      <c r="F2772" s="384">
        <v>45449</v>
      </c>
      <c r="G2772" s="378" t="s">
        <v>2864</v>
      </c>
      <c r="H2772" s="20" t="s">
        <v>4041</v>
      </c>
      <c r="I2772" s="378">
        <v>0</v>
      </c>
      <c r="J2772" s="20" t="s">
        <v>2831</v>
      </c>
      <c r="K2772" s="378" t="s">
        <v>4042</v>
      </c>
      <c r="L2772" s="378" t="s">
        <v>2789</v>
      </c>
      <c r="M2772" s="380">
        <v>1350</v>
      </c>
      <c r="N2772" s="380">
        <v>8.1</v>
      </c>
      <c r="O2772" s="380" t="s">
        <v>443</v>
      </c>
      <c r="P2772" s="380" t="s">
        <v>443</v>
      </c>
      <c r="Q2772" s="381">
        <v>9.33</v>
      </c>
      <c r="R2772" s="381">
        <v>0</v>
      </c>
      <c r="S2772" s="381">
        <v>0</v>
      </c>
      <c r="T2772" s="381">
        <v>0</v>
      </c>
      <c r="U2772" s="381">
        <v>0</v>
      </c>
      <c r="V2772" s="382">
        <v>9.33</v>
      </c>
      <c r="W2772" s="382">
        <v>0</v>
      </c>
      <c r="X2772" s="381">
        <v>1.1518518518518519</v>
      </c>
      <c r="Y2772" s="381">
        <v>0</v>
      </c>
      <c r="Z2772" s="381">
        <v>0</v>
      </c>
      <c r="AA2772" s="381">
        <v>0</v>
      </c>
      <c r="AB2772" s="381">
        <v>0</v>
      </c>
      <c r="AC2772" s="382">
        <v>1.1518518518518519</v>
      </c>
      <c r="AD2772" s="382">
        <v>0</v>
      </c>
      <c r="AE2772" s="381" t="s">
        <v>168</v>
      </c>
    </row>
    <row r="2773" spans="1:31" ht="15" customHeight="1" x14ac:dyDescent="0.25">
      <c r="A2773" s="20" t="s">
        <v>3561</v>
      </c>
      <c r="B2773" s="20" t="s">
        <v>3562</v>
      </c>
      <c r="C2773" s="20" t="s">
        <v>3897</v>
      </c>
      <c r="D2773" s="378" t="s">
        <v>4043</v>
      </c>
      <c r="E2773" s="384">
        <v>43623</v>
      </c>
      <c r="F2773" s="384">
        <v>45449</v>
      </c>
      <c r="G2773" s="378" t="s">
        <v>2864</v>
      </c>
      <c r="H2773" s="20" t="s">
        <v>4041</v>
      </c>
      <c r="I2773" s="378">
        <v>0</v>
      </c>
      <c r="J2773" s="20" t="s">
        <v>2831</v>
      </c>
      <c r="K2773" s="378" t="s">
        <v>4042</v>
      </c>
      <c r="L2773" s="378" t="s">
        <v>2789</v>
      </c>
      <c r="M2773" s="380">
        <v>1200</v>
      </c>
      <c r="N2773" s="380">
        <v>4.8</v>
      </c>
      <c r="O2773" s="380" t="s">
        <v>443</v>
      </c>
      <c r="P2773" s="380" t="s">
        <v>443</v>
      </c>
      <c r="Q2773" s="381">
        <v>3.51</v>
      </c>
      <c r="R2773" s="381">
        <v>0</v>
      </c>
      <c r="S2773" s="381">
        <v>0</v>
      </c>
      <c r="T2773" s="381">
        <v>0</v>
      </c>
      <c r="U2773" s="381">
        <v>0</v>
      </c>
      <c r="V2773" s="382">
        <v>3.51</v>
      </c>
      <c r="W2773" s="382">
        <v>0</v>
      </c>
      <c r="X2773" s="381">
        <v>0.73124999999999996</v>
      </c>
      <c r="Y2773" s="381">
        <v>0</v>
      </c>
      <c r="Z2773" s="381">
        <v>0</v>
      </c>
      <c r="AA2773" s="381">
        <v>0</v>
      </c>
      <c r="AB2773" s="381">
        <v>0</v>
      </c>
      <c r="AC2773" s="382">
        <v>0.73124999999999996</v>
      </c>
      <c r="AD2773" s="382">
        <v>0</v>
      </c>
      <c r="AE2773" s="381" t="s">
        <v>168</v>
      </c>
    </row>
    <row r="2774" spans="1:31" ht="15" customHeight="1" x14ac:dyDescent="0.25">
      <c r="A2774" s="20" t="s">
        <v>3561</v>
      </c>
      <c r="B2774" s="20" t="s">
        <v>3562</v>
      </c>
      <c r="C2774" s="20" t="s">
        <v>3897</v>
      </c>
      <c r="D2774" s="378" t="s">
        <v>4044</v>
      </c>
      <c r="E2774" s="384">
        <v>43623</v>
      </c>
      <c r="F2774" s="384">
        <v>45449</v>
      </c>
      <c r="G2774" s="378" t="s">
        <v>2864</v>
      </c>
      <c r="H2774" s="20" t="s">
        <v>4041</v>
      </c>
      <c r="I2774" s="378">
        <v>0</v>
      </c>
      <c r="J2774" s="20" t="s">
        <v>2831</v>
      </c>
      <c r="K2774" s="378" t="s">
        <v>4042</v>
      </c>
      <c r="L2774" s="378" t="s">
        <v>2789</v>
      </c>
      <c r="M2774" s="380">
        <v>900</v>
      </c>
      <c r="N2774" s="380">
        <v>5.4</v>
      </c>
      <c r="O2774" s="380" t="s">
        <v>443</v>
      </c>
      <c r="P2774" s="380" t="s">
        <v>443</v>
      </c>
      <c r="Q2774" s="381">
        <v>5.26</v>
      </c>
      <c r="R2774" s="381">
        <v>0</v>
      </c>
      <c r="S2774" s="381">
        <v>0</v>
      </c>
      <c r="T2774" s="381">
        <v>0</v>
      </c>
      <c r="U2774" s="381">
        <v>0</v>
      </c>
      <c r="V2774" s="382">
        <v>5.26</v>
      </c>
      <c r="W2774" s="382">
        <v>0</v>
      </c>
      <c r="X2774" s="381">
        <v>0.97407407407407398</v>
      </c>
      <c r="Y2774" s="381">
        <v>0</v>
      </c>
      <c r="Z2774" s="381">
        <v>0</v>
      </c>
      <c r="AA2774" s="381">
        <v>0</v>
      </c>
      <c r="AB2774" s="381">
        <v>0</v>
      </c>
      <c r="AC2774" s="382">
        <v>0.97407407407407398</v>
      </c>
      <c r="AD2774" s="382">
        <v>0</v>
      </c>
      <c r="AE2774" s="381" t="s">
        <v>168</v>
      </c>
    </row>
    <row r="2775" spans="1:31" ht="15" customHeight="1" x14ac:dyDescent="0.25">
      <c r="A2775" s="20" t="s">
        <v>2783</v>
      </c>
      <c r="B2775" s="20" t="s">
        <v>3272</v>
      </c>
      <c r="C2775" s="20" t="s">
        <v>3897</v>
      </c>
      <c r="D2775" s="378" t="s">
        <v>4045</v>
      </c>
      <c r="E2775" s="384">
        <v>45379</v>
      </c>
      <c r="F2775" s="384" t="s">
        <v>4046</v>
      </c>
      <c r="G2775" s="378" t="s">
        <v>2837</v>
      </c>
      <c r="H2775" s="20" t="s">
        <v>4047</v>
      </c>
      <c r="I2775" s="378">
        <v>0</v>
      </c>
      <c r="J2775" s="20" t="s">
        <v>776</v>
      </c>
      <c r="K2775" s="378" t="s">
        <v>4048</v>
      </c>
      <c r="L2775" s="378" t="s">
        <v>2789</v>
      </c>
      <c r="M2775" s="380" t="s">
        <v>443</v>
      </c>
      <c r="N2775" s="380">
        <v>0.9</v>
      </c>
      <c r="O2775" s="380" t="s">
        <v>443</v>
      </c>
      <c r="P2775" s="380" t="s">
        <v>443</v>
      </c>
      <c r="Q2775" s="381">
        <v>3.26</v>
      </c>
      <c r="R2775" s="381">
        <v>3.48</v>
      </c>
      <c r="S2775" s="381">
        <v>-0.22</v>
      </c>
      <c r="T2775" s="381">
        <v>3.2799999999999999E-3</v>
      </c>
      <c r="U2775" s="381">
        <v>0</v>
      </c>
      <c r="V2775" s="382">
        <v>3.4832800000000002</v>
      </c>
      <c r="W2775" s="382">
        <v>0</v>
      </c>
      <c r="X2775" s="381">
        <v>3.6222222222222218</v>
      </c>
      <c r="Y2775" s="381">
        <v>3.8666666666666667</v>
      </c>
      <c r="Z2775" s="381">
        <v>-0.24444444444444444</v>
      </c>
      <c r="AA2775" s="381">
        <v>3.6444444444444441E-3</v>
      </c>
      <c r="AB2775" s="381">
        <v>0</v>
      </c>
      <c r="AC2775" s="382">
        <v>3.870311111111111</v>
      </c>
      <c r="AD2775" s="382">
        <v>0</v>
      </c>
      <c r="AE2775" s="381" t="s">
        <v>168</v>
      </c>
    </row>
    <row r="2776" spans="1:31" ht="15" customHeight="1" x14ac:dyDescent="0.25">
      <c r="A2776" s="20" t="s">
        <v>4049</v>
      </c>
      <c r="B2776" s="20"/>
      <c r="C2776" s="20" t="s">
        <v>3897</v>
      </c>
      <c r="D2776" s="378" t="s">
        <v>4050</v>
      </c>
      <c r="E2776" s="384">
        <v>43734</v>
      </c>
      <c r="F2776" s="384">
        <v>45561</v>
      </c>
      <c r="G2776" s="378" t="s">
        <v>439</v>
      </c>
      <c r="H2776" s="378" t="s">
        <v>4051</v>
      </c>
      <c r="I2776" s="378" t="s">
        <v>162</v>
      </c>
      <c r="J2776" s="20" t="s">
        <v>163</v>
      </c>
      <c r="K2776" s="378" t="s">
        <v>4052</v>
      </c>
      <c r="L2776" s="378" t="s">
        <v>2789</v>
      </c>
      <c r="M2776" s="381"/>
      <c r="N2776" s="381"/>
      <c r="O2776" s="380"/>
      <c r="P2776" s="380"/>
      <c r="Q2776" s="381">
        <v>0.156</v>
      </c>
      <c r="R2776" s="381">
        <v>0.156</v>
      </c>
      <c r="S2776" s="381">
        <v>0</v>
      </c>
      <c r="T2776" s="381"/>
      <c r="U2776" s="381"/>
      <c r="V2776" s="382">
        <v>0.156</v>
      </c>
      <c r="W2776" s="382">
        <v>0</v>
      </c>
      <c r="X2776" s="381" t="s">
        <v>443</v>
      </c>
      <c r="Y2776" s="381" t="s">
        <v>443</v>
      </c>
      <c r="Z2776" s="381" t="s">
        <v>443</v>
      </c>
      <c r="AA2776" s="381" t="s">
        <v>443</v>
      </c>
      <c r="AB2776" s="381" t="s">
        <v>443</v>
      </c>
      <c r="AC2776" s="382">
        <v>0</v>
      </c>
      <c r="AD2776" s="382">
        <v>0</v>
      </c>
      <c r="AE2776" s="381" t="s">
        <v>168</v>
      </c>
    </row>
    <row r="2777" spans="1:31" ht="15" customHeight="1" x14ac:dyDescent="0.25">
      <c r="A2777" s="20" t="s">
        <v>4053</v>
      </c>
      <c r="B2777" s="20"/>
      <c r="C2777" s="20" t="s">
        <v>3897</v>
      </c>
      <c r="D2777" s="378" t="s">
        <v>4054</v>
      </c>
      <c r="E2777" s="384">
        <v>43321</v>
      </c>
      <c r="F2777" s="384">
        <v>45147</v>
      </c>
      <c r="G2777" s="378" t="s">
        <v>439</v>
      </c>
      <c r="H2777" s="20" t="s">
        <v>4055</v>
      </c>
      <c r="I2777" s="20" t="s">
        <v>162</v>
      </c>
      <c r="J2777" s="20" t="s">
        <v>163</v>
      </c>
      <c r="K2777" s="378" t="s">
        <v>4056</v>
      </c>
      <c r="L2777" s="378" t="s">
        <v>2774</v>
      </c>
      <c r="M2777" s="380"/>
      <c r="N2777" s="380">
        <v>0</v>
      </c>
      <c r="O2777" s="380"/>
      <c r="P2777" s="380"/>
      <c r="Q2777" s="381">
        <v>3.76</v>
      </c>
      <c r="R2777" s="381">
        <v>0</v>
      </c>
      <c r="S2777" s="381">
        <v>0</v>
      </c>
      <c r="T2777" s="381"/>
      <c r="U2777" s="381"/>
      <c r="V2777" s="382">
        <v>3.76</v>
      </c>
      <c r="W2777" s="382">
        <v>0</v>
      </c>
      <c r="X2777" s="381">
        <v>3.76</v>
      </c>
      <c r="Y2777" s="381">
        <v>0</v>
      </c>
      <c r="Z2777" s="381">
        <v>0</v>
      </c>
      <c r="AA2777" s="381">
        <v>0</v>
      </c>
      <c r="AB2777" s="381">
        <v>0</v>
      </c>
      <c r="AC2777" s="382">
        <v>3.76</v>
      </c>
      <c r="AD2777" s="382">
        <v>0</v>
      </c>
      <c r="AE2777" s="381" t="s">
        <v>168</v>
      </c>
    </row>
    <row r="2778" spans="1:31" ht="15" customHeight="1" x14ac:dyDescent="0.25">
      <c r="A2778" s="20" t="s">
        <v>4053</v>
      </c>
      <c r="B2778" s="20"/>
      <c r="C2778" s="20" t="s">
        <v>3897</v>
      </c>
      <c r="D2778" s="378" t="s">
        <v>4057</v>
      </c>
      <c r="E2778" s="384">
        <v>43321</v>
      </c>
      <c r="F2778" s="384">
        <v>45147</v>
      </c>
      <c r="G2778" s="378" t="s">
        <v>439</v>
      </c>
      <c r="H2778" s="20" t="s">
        <v>4055</v>
      </c>
      <c r="I2778" s="20" t="s">
        <v>162</v>
      </c>
      <c r="J2778" s="20" t="s">
        <v>163</v>
      </c>
      <c r="K2778" s="378" t="s">
        <v>4056</v>
      </c>
      <c r="L2778" s="378" t="s">
        <v>2774</v>
      </c>
      <c r="M2778" s="380"/>
      <c r="N2778" s="380">
        <v>0</v>
      </c>
      <c r="O2778" s="380"/>
      <c r="P2778" s="380"/>
      <c r="Q2778" s="381">
        <v>4.53</v>
      </c>
      <c r="R2778" s="381">
        <v>0</v>
      </c>
      <c r="S2778" s="381">
        <v>0</v>
      </c>
      <c r="T2778" s="381"/>
      <c r="U2778" s="381"/>
      <c r="V2778" s="382">
        <v>4.53</v>
      </c>
      <c r="W2778" s="382">
        <v>0</v>
      </c>
      <c r="X2778" s="381">
        <v>4.53</v>
      </c>
      <c r="Y2778" s="381">
        <v>0</v>
      </c>
      <c r="Z2778" s="381">
        <v>0</v>
      </c>
      <c r="AA2778" s="381">
        <v>0</v>
      </c>
      <c r="AB2778" s="381">
        <v>0</v>
      </c>
      <c r="AC2778" s="382">
        <v>4.53</v>
      </c>
      <c r="AD2778" s="382">
        <v>0</v>
      </c>
      <c r="AE2778" s="381" t="s">
        <v>168</v>
      </c>
    </row>
    <row r="2779" spans="1:31" ht="15" customHeight="1" x14ac:dyDescent="0.25">
      <c r="A2779" s="20" t="s">
        <v>4053</v>
      </c>
      <c r="B2779" s="20"/>
      <c r="C2779" s="20" t="s">
        <v>3897</v>
      </c>
      <c r="D2779" s="378" t="s">
        <v>4058</v>
      </c>
      <c r="E2779" s="384">
        <v>43321</v>
      </c>
      <c r="F2779" s="384">
        <v>45147</v>
      </c>
      <c r="G2779" s="378" t="s">
        <v>439</v>
      </c>
      <c r="H2779" s="20" t="s">
        <v>4055</v>
      </c>
      <c r="I2779" s="20" t="s">
        <v>162</v>
      </c>
      <c r="J2779" s="20" t="s">
        <v>163</v>
      </c>
      <c r="K2779" s="378" t="s">
        <v>4056</v>
      </c>
      <c r="L2779" s="378" t="s">
        <v>2774</v>
      </c>
      <c r="M2779" s="380"/>
      <c r="N2779" s="380">
        <v>0</v>
      </c>
      <c r="O2779" s="380"/>
      <c r="P2779" s="380"/>
      <c r="Q2779" s="381">
        <v>3.75</v>
      </c>
      <c r="R2779" s="381">
        <v>0</v>
      </c>
      <c r="S2779" s="381">
        <v>0</v>
      </c>
      <c r="T2779" s="381"/>
      <c r="U2779" s="381"/>
      <c r="V2779" s="382">
        <v>3.75</v>
      </c>
      <c r="W2779" s="382">
        <v>0</v>
      </c>
      <c r="X2779" s="381">
        <v>3.75</v>
      </c>
      <c r="Y2779" s="381">
        <v>0</v>
      </c>
      <c r="Z2779" s="381">
        <v>0</v>
      </c>
      <c r="AA2779" s="381">
        <v>0</v>
      </c>
      <c r="AB2779" s="381">
        <v>0</v>
      </c>
      <c r="AC2779" s="382">
        <v>3.75</v>
      </c>
      <c r="AD2779" s="382">
        <v>0</v>
      </c>
      <c r="AE2779" s="381" t="s">
        <v>168</v>
      </c>
    </row>
    <row r="2780" spans="1:31" ht="15" customHeight="1" x14ac:dyDescent="0.25">
      <c r="A2780" s="20" t="s">
        <v>4053</v>
      </c>
      <c r="B2780" s="20"/>
      <c r="C2780" s="20" t="s">
        <v>3897</v>
      </c>
      <c r="D2780" s="378" t="s">
        <v>4059</v>
      </c>
      <c r="E2780" s="384">
        <v>43321</v>
      </c>
      <c r="F2780" s="384">
        <v>45147</v>
      </c>
      <c r="G2780" s="378" t="s">
        <v>439</v>
      </c>
      <c r="H2780" s="20" t="s">
        <v>4055</v>
      </c>
      <c r="I2780" s="20" t="s">
        <v>162</v>
      </c>
      <c r="J2780" s="20" t="s">
        <v>163</v>
      </c>
      <c r="K2780" s="378" t="s">
        <v>4056</v>
      </c>
      <c r="L2780" s="378" t="s">
        <v>2774</v>
      </c>
      <c r="M2780" s="380"/>
      <c r="N2780" s="380">
        <v>0</v>
      </c>
      <c r="O2780" s="380"/>
      <c r="P2780" s="380"/>
      <c r="Q2780" s="381">
        <v>4.5199999999999996</v>
      </c>
      <c r="R2780" s="381">
        <v>0</v>
      </c>
      <c r="S2780" s="381">
        <v>0</v>
      </c>
      <c r="T2780" s="381"/>
      <c r="U2780" s="381"/>
      <c r="V2780" s="382">
        <v>4.5199999999999996</v>
      </c>
      <c r="W2780" s="382">
        <v>0</v>
      </c>
      <c r="X2780" s="381">
        <v>4.5199999999999996</v>
      </c>
      <c r="Y2780" s="381">
        <v>0</v>
      </c>
      <c r="Z2780" s="381">
        <v>0</v>
      </c>
      <c r="AA2780" s="381">
        <v>0</v>
      </c>
      <c r="AB2780" s="381">
        <v>0</v>
      </c>
      <c r="AC2780" s="382">
        <v>4.5199999999999996</v>
      </c>
      <c r="AD2780" s="382">
        <v>0</v>
      </c>
      <c r="AE2780" s="381" t="s">
        <v>168</v>
      </c>
    </row>
    <row r="2781" spans="1:31" ht="15" customHeight="1" x14ac:dyDescent="0.25">
      <c r="A2781" s="20" t="s">
        <v>4053</v>
      </c>
      <c r="B2781" s="20"/>
      <c r="C2781" s="20" t="s">
        <v>3897</v>
      </c>
      <c r="D2781" s="378" t="s">
        <v>4060</v>
      </c>
      <c r="E2781" s="384">
        <v>43321</v>
      </c>
      <c r="F2781" s="384">
        <v>45147</v>
      </c>
      <c r="G2781" s="378" t="s">
        <v>439</v>
      </c>
      <c r="H2781" s="20" t="s">
        <v>4055</v>
      </c>
      <c r="I2781" s="20" t="s">
        <v>162</v>
      </c>
      <c r="J2781" s="20" t="s">
        <v>163</v>
      </c>
      <c r="K2781" s="378" t="s">
        <v>4056</v>
      </c>
      <c r="L2781" s="378" t="s">
        <v>2774</v>
      </c>
      <c r="M2781" s="380"/>
      <c r="N2781" s="380">
        <v>0</v>
      </c>
      <c r="O2781" s="380"/>
      <c r="P2781" s="380"/>
      <c r="Q2781" s="381">
        <v>3.74</v>
      </c>
      <c r="R2781" s="381">
        <v>0</v>
      </c>
      <c r="S2781" s="381">
        <v>0</v>
      </c>
      <c r="T2781" s="381"/>
      <c r="U2781" s="381"/>
      <c r="V2781" s="382">
        <v>3.74</v>
      </c>
      <c r="W2781" s="382">
        <v>0</v>
      </c>
      <c r="X2781" s="381">
        <v>3.74</v>
      </c>
      <c r="Y2781" s="381">
        <v>0</v>
      </c>
      <c r="Z2781" s="381">
        <v>0</v>
      </c>
      <c r="AA2781" s="381">
        <v>0</v>
      </c>
      <c r="AB2781" s="381">
        <v>0</v>
      </c>
      <c r="AC2781" s="382">
        <v>3.74</v>
      </c>
      <c r="AD2781" s="382">
        <v>0</v>
      </c>
      <c r="AE2781" s="381" t="s">
        <v>168</v>
      </c>
    </row>
    <row r="2782" spans="1:31" ht="15" customHeight="1" x14ac:dyDescent="0.25">
      <c r="A2782" s="20" t="s">
        <v>4053</v>
      </c>
      <c r="B2782" s="20"/>
      <c r="C2782" s="20" t="s">
        <v>3897</v>
      </c>
      <c r="D2782" s="378" t="s">
        <v>4061</v>
      </c>
      <c r="E2782" s="384">
        <v>43321</v>
      </c>
      <c r="F2782" s="384">
        <v>45147</v>
      </c>
      <c r="G2782" s="378" t="s">
        <v>439</v>
      </c>
      <c r="H2782" s="20" t="s">
        <v>4055</v>
      </c>
      <c r="I2782" s="20" t="s">
        <v>162</v>
      </c>
      <c r="J2782" s="20" t="s">
        <v>163</v>
      </c>
      <c r="K2782" s="378" t="s">
        <v>4056</v>
      </c>
      <c r="L2782" s="378" t="s">
        <v>2774</v>
      </c>
      <c r="M2782" s="380"/>
      <c r="N2782" s="380">
        <v>0</v>
      </c>
      <c r="O2782" s="380"/>
      <c r="P2782" s="380"/>
      <c r="Q2782" s="381">
        <v>3.74</v>
      </c>
      <c r="R2782" s="381">
        <v>0</v>
      </c>
      <c r="S2782" s="381">
        <v>0</v>
      </c>
      <c r="T2782" s="381"/>
      <c r="U2782" s="381"/>
      <c r="V2782" s="382">
        <v>3.74</v>
      </c>
      <c r="W2782" s="382">
        <v>0</v>
      </c>
      <c r="X2782" s="381">
        <v>3.74</v>
      </c>
      <c r="Y2782" s="381">
        <v>0</v>
      </c>
      <c r="Z2782" s="381">
        <v>0</v>
      </c>
      <c r="AA2782" s="381">
        <v>0</v>
      </c>
      <c r="AB2782" s="381">
        <v>0</v>
      </c>
      <c r="AC2782" s="382">
        <v>3.74</v>
      </c>
      <c r="AD2782" s="382">
        <v>0</v>
      </c>
      <c r="AE2782" s="381" t="s">
        <v>168</v>
      </c>
    </row>
    <row r="2783" spans="1:31" ht="15" customHeight="1" x14ac:dyDescent="0.25">
      <c r="A2783" s="20" t="s">
        <v>4053</v>
      </c>
      <c r="B2783" s="20"/>
      <c r="C2783" s="20" t="s">
        <v>3897</v>
      </c>
      <c r="D2783" s="378" t="s">
        <v>4062</v>
      </c>
      <c r="E2783" s="384">
        <v>43321</v>
      </c>
      <c r="F2783" s="384">
        <v>45147</v>
      </c>
      <c r="G2783" s="378" t="s">
        <v>439</v>
      </c>
      <c r="H2783" s="20" t="s">
        <v>4055</v>
      </c>
      <c r="I2783" s="20" t="s">
        <v>162</v>
      </c>
      <c r="J2783" s="20" t="s">
        <v>163</v>
      </c>
      <c r="K2783" s="378" t="s">
        <v>4056</v>
      </c>
      <c r="L2783" s="378" t="s">
        <v>2774</v>
      </c>
      <c r="M2783" s="380"/>
      <c r="N2783" s="380">
        <v>0</v>
      </c>
      <c r="O2783" s="380"/>
      <c r="P2783" s="380"/>
      <c r="Q2783" s="381">
        <v>3.72</v>
      </c>
      <c r="R2783" s="381">
        <v>0</v>
      </c>
      <c r="S2783" s="381">
        <v>0</v>
      </c>
      <c r="T2783" s="381"/>
      <c r="U2783" s="381"/>
      <c r="V2783" s="382">
        <v>3.72</v>
      </c>
      <c r="W2783" s="382">
        <v>0</v>
      </c>
      <c r="X2783" s="381">
        <v>3.72</v>
      </c>
      <c r="Y2783" s="381">
        <v>0</v>
      </c>
      <c r="Z2783" s="381">
        <v>0</v>
      </c>
      <c r="AA2783" s="381">
        <v>0</v>
      </c>
      <c r="AB2783" s="381">
        <v>0</v>
      </c>
      <c r="AC2783" s="382">
        <v>3.72</v>
      </c>
      <c r="AD2783" s="382">
        <v>0</v>
      </c>
      <c r="AE2783" s="381" t="s">
        <v>168</v>
      </c>
    </row>
    <row r="2784" spans="1:31" ht="15" customHeight="1" x14ac:dyDescent="0.25">
      <c r="A2784" s="20" t="s">
        <v>4053</v>
      </c>
      <c r="B2784" s="20"/>
      <c r="C2784" s="20" t="s">
        <v>3897</v>
      </c>
      <c r="D2784" s="378" t="s">
        <v>4063</v>
      </c>
      <c r="E2784" s="384">
        <v>43321</v>
      </c>
      <c r="F2784" s="384">
        <v>45147</v>
      </c>
      <c r="G2784" s="378" t="s">
        <v>439</v>
      </c>
      <c r="H2784" s="20" t="s">
        <v>4055</v>
      </c>
      <c r="I2784" s="20" t="s">
        <v>162</v>
      </c>
      <c r="J2784" s="20" t="s">
        <v>163</v>
      </c>
      <c r="K2784" s="378" t="s">
        <v>4056</v>
      </c>
      <c r="L2784" s="378" t="s">
        <v>2774</v>
      </c>
      <c r="M2784" s="380"/>
      <c r="N2784" s="380">
        <v>0</v>
      </c>
      <c r="O2784" s="380"/>
      <c r="P2784" s="380"/>
      <c r="Q2784" s="381">
        <v>3.71</v>
      </c>
      <c r="R2784" s="381">
        <v>0</v>
      </c>
      <c r="S2784" s="381">
        <v>0</v>
      </c>
      <c r="T2784" s="381"/>
      <c r="U2784" s="381"/>
      <c r="V2784" s="382">
        <v>3.71</v>
      </c>
      <c r="W2784" s="382">
        <v>0</v>
      </c>
      <c r="X2784" s="381">
        <v>3.71</v>
      </c>
      <c r="Y2784" s="381">
        <v>0</v>
      </c>
      <c r="Z2784" s="381">
        <v>0</v>
      </c>
      <c r="AA2784" s="381">
        <v>0</v>
      </c>
      <c r="AB2784" s="381">
        <v>0</v>
      </c>
      <c r="AC2784" s="382">
        <v>3.71</v>
      </c>
      <c r="AD2784" s="382">
        <v>0</v>
      </c>
      <c r="AE2784" s="381" t="s">
        <v>168</v>
      </c>
    </row>
    <row r="2785" spans="1:31" ht="15" customHeight="1" x14ac:dyDescent="0.25">
      <c r="A2785" s="20" t="s">
        <v>4053</v>
      </c>
      <c r="B2785" s="20"/>
      <c r="C2785" s="20" t="s">
        <v>3897</v>
      </c>
      <c r="D2785" s="378" t="s">
        <v>4064</v>
      </c>
      <c r="E2785" s="384">
        <v>43321</v>
      </c>
      <c r="F2785" s="384">
        <v>45147</v>
      </c>
      <c r="G2785" s="378" t="s">
        <v>439</v>
      </c>
      <c r="H2785" s="20" t="s">
        <v>4055</v>
      </c>
      <c r="I2785" s="20" t="s">
        <v>162</v>
      </c>
      <c r="J2785" s="20" t="s">
        <v>163</v>
      </c>
      <c r="K2785" s="378" t="s">
        <v>4056</v>
      </c>
      <c r="L2785" s="378" t="s">
        <v>2774</v>
      </c>
      <c r="M2785" s="380"/>
      <c r="N2785" s="380">
        <v>0</v>
      </c>
      <c r="O2785" s="380"/>
      <c r="P2785" s="380"/>
      <c r="Q2785" s="381">
        <v>3.37</v>
      </c>
      <c r="R2785" s="381">
        <v>0</v>
      </c>
      <c r="S2785" s="381">
        <v>0</v>
      </c>
      <c r="T2785" s="381"/>
      <c r="U2785" s="381"/>
      <c r="V2785" s="382">
        <v>3.37</v>
      </c>
      <c r="W2785" s="382">
        <v>0</v>
      </c>
      <c r="X2785" s="381">
        <v>3.37</v>
      </c>
      <c r="Y2785" s="381">
        <v>0</v>
      </c>
      <c r="Z2785" s="381">
        <v>0</v>
      </c>
      <c r="AA2785" s="381">
        <v>0</v>
      </c>
      <c r="AB2785" s="381">
        <v>0</v>
      </c>
      <c r="AC2785" s="382">
        <v>3.37</v>
      </c>
      <c r="AD2785" s="382">
        <v>0</v>
      </c>
      <c r="AE2785" s="381" t="s">
        <v>168</v>
      </c>
    </row>
    <row r="2786" spans="1:31" ht="15" customHeight="1" x14ac:dyDescent="0.25">
      <c r="A2786" s="20" t="s">
        <v>4053</v>
      </c>
      <c r="B2786" s="20"/>
      <c r="C2786" s="20" t="s">
        <v>3897</v>
      </c>
      <c r="D2786" s="378" t="s">
        <v>4065</v>
      </c>
      <c r="E2786" s="384">
        <v>43321</v>
      </c>
      <c r="F2786" s="384">
        <v>45147</v>
      </c>
      <c r="G2786" s="378" t="s">
        <v>439</v>
      </c>
      <c r="H2786" s="20" t="s">
        <v>4055</v>
      </c>
      <c r="I2786" s="20" t="s">
        <v>162</v>
      </c>
      <c r="J2786" s="20" t="s">
        <v>163</v>
      </c>
      <c r="K2786" s="378" t="s">
        <v>4056</v>
      </c>
      <c r="L2786" s="378" t="s">
        <v>2774</v>
      </c>
      <c r="M2786" s="380"/>
      <c r="N2786" s="380">
        <v>0</v>
      </c>
      <c r="O2786" s="380"/>
      <c r="P2786" s="380"/>
      <c r="Q2786" s="381">
        <v>3.37</v>
      </c>
      <c r="R2786" s="381">
        <v>0</v>
      </c>
      <c r="S2786" s="381">
        <v>0</v>
      </c>
      <c r="T2786" s="381"/>
      <c r="U2786" s="381"/>
      <c r="V2786" s="382">
        <v>3.37</v>
      </c>
      <c r="W2786" s="382">
        <v>0</v>
      </c>
      <c r="X2786" s="381">
        <v>3.37</v>
      </c>
      <c r="Y2786" s="381">
        <v>0</v>
      </c>
      <c r="Z2786" s="381">
        <v>0</v>
      </c>
      <c r="AA2786" s="381">
        <v>0</v>
      </c>
      <c r="AB2786" s="381">
        <v>0</v>
      </c>
      <c r="AC2786" s="382">
        <v>3.37</v>
      </c>
      <c r="AD2786" s="382">
        <v>0</v>
      </c>
      <c r="AE2786" s="381" t="s">
        <v>168</v>
      </c>
    </row>
    <row r="2787" spans="1:31" ht="15" customHeight="1" x14ac:dyDescent="0.25">
      <c r="A2787" s="20" t="s">
        <v>4053</v>
      </c>
      <c r="B2787" s="20"/>
      <c r="C2787" s="20" t="s">
        <v>3897</v>
      </c>
      <c r="D2787" s="378" t="s">
        <v>4066</v>
      </c>
      <c r="E2787" s="384">
        <v>43321</v>
      </c>
      <c r="F2787" s="384">
        <v>45147</v>
      </c>
      <c r="G2787" s="378" t="s">
        <v>439</v>
      </c>
      <c r="H2787" s="20" t="s">
        <v>4055</v>
      </c>
      <c r="I2787" s="20" t="s">
        <v>162</v>
      </c>
      <c r="J2787" s="20" t="s">
        <v>163</v>
      </c>
      <c r="K2787" s="378" t="s">
        <v>4056</v>
      </c>
      <c r="L2787" s="378" t="s">
        <v>2774</v>
      </c>
      <c r="M2787" s="380"/>
      <c r="N2787" s="380">
        <v>0</v>
      </c>
      <c r="O2787" s="380"/>
      <c r="P2787" s="380"/>
      <c r="Q2787" s="381">
        <v>2.4300000000000002</v>
      </c>
      <c r="R2787" s="381">
        <v>0</v>
      </c>
      <c r="S2787" s="381">
        <v>0</v>
      </c>
      <c r="T2787" s="381"/>
      <c r="U2787" s="381"/>
      <c r="V2787" s="382">
        <v>2.4300000000000002</v>
      </c>
      <c r="W2787" s="382">
        <v>0</v>
      </c>
      <c r="X2787" s="381">
        <v>2.4300000000000002</v>
      </c>
      <c r="Y2787" s="381">
        <v>0</v>
      </c>
      <c r="Z2787" s="381">
        <v>0</v>
      </c>
      <c r="AA2787" s="381">
        <v>0</v>
      </c>
      <c r="AB2787" s="381">
        <v>0</v>
      </c>
      <c r="AC2787" s="382">
        <v>2.4300000000000002</v>
      </c>
      <c r="AD2787" s="382">
        <v>0</v>
      </c>
      <c r="AE2787" s="381" t="s">
        <v>168</v>
      </c>
    </row>
    <row r="2788" spans="1:31" ht="15" customHeight="1" x14ac:dyDescent="0.25">
      <c r="A2788" s="20" t="s">
        <v>4053</v>
      </c>
      <c r="B2788" s="20"/>
      <c r="C2788" s="20" t="s">
        <v>3897</v>
      </c>
      <c r="D2788" s="378" t="s">
        <v>4067</v>
      </c>
      <c r="E2788" s="384">
        <v>43321</v>
      </c>
      <c r="F2788" s="384">
        <v>45147</v>
      </c>
      <c r="G2788" s="378" t="s">
        <v>439</v>
      </c>
      <c r="H2788" s="20" t="s">
        <v>4055</v>
      </c>
      <c r="I2788" s="20" t="s">
        <v>162</v>
      </c>
      <c r="J2788" s="20" t="s">
        <v>163</v>
      </c>
      <c r="K2788" s="378" t="s">
        <v>4056</v>
      </c>
      <c r="L2788" s="378" t="s">
        <v>2774</v>
      </c>
      <c r="M2788" s="380"/>
      <c r="N2788" s="380">
        <v>0</v>
      </c>
      <c r="O2788" s="380"/>
      <c r="P2788" s="380"/>
      <c r="Q2788" s="381">
        <v>2.84</v>
      </c>
      <c r="R2788" s="381">
        <v>0</v>
      </c>
      <c r="S2788" s="381">
        <v>0</v>
      </c>
      <c r="T2788" s="381"/>
      <c r="U2788" s="381"/>
      <c r="V2788" s="382">
        <v>2.84</v>
      </c>
      <c r="W2788" s="382">
        <v>0</v>
      </c>
      <c r="X2788" s="381">
        <v>2.84</v>
      </c>
      <c r="Y2788" s="381">
        <v>0</v>
      </c>
      <c r="Z2788" s="381">
        <v>0</v>
      </c>
      <c r="AA2788" s="381">
        <v>0</v>
      </c>
      <c r="AB2788" s="381">
        <v>0</v>
      </c>
      <c r="AC2788" s="382">
        <v>2.84</v>
      </c>
      <c r="AD2788" s="382">
        <v>0</v>
      </c>
      <c r="AE2788" s="381" t="s">
        <v>168</v>
      </c>
    </row>
    <row r="2789" spans="1:31" ht="15" customHeight="1" x14ac:dyDescent="0.25">
      <c r="A2789" s="20" t="s">
        <v>4053</v>
      </c>
      <c r="B2789" s="20"/>
      <c r="C2789" s="20" t="s">
        <v>3897</v>
      </c>
      <c r="D2789" s="378" t="s">
        <v>4068</v>
      </c>
      <c r="E2789" s="384">
        <v>43321</v>
      </c>
      <c r="F2789" s="384">
        <v>45147</v>
      </c>
      <c r="G2789" s="378" t="s">
        <v>439</v>
      </c>
      <c r="H2789" s="20" t="s">
        <v>4055</v>
      </c>
      <c r="I2789" s="20" t="s">
        <v>162</v>
      </c>
      <c r="J2789" s="20" t="s">
        <v>163</v>
      </c>
      <c r="K2789" s="378" t="s">
        <v>4056</v>
      </c>
      <c r="L2789" s="378" t="s">
        <v>2774</v>
      </c>
      <c r="M2789" s="380"/>
      <c r="N2789" s="380">
        <v>0</v>
      </c>
      <c r="O2789" s="380"/>
      <c r="P2789" s="380"/>
      <c r="Q2789" s="381">
        <v>3.37</v>
      </c>
      <c r="R2789" s="381">
        <v>0</v>
      </c>
      <c r="S2789" s="381">
        <v>0</v>
      </c>
      <c r="T2789" s="381"/>
      <c r="U2789" s="381"/>
      <c r="V2789" s="382">
        <v>3.37</v>
      </c>
      <c r="W2789" s="382">
        <v>0</v>
      </c>
      <c r="X2789" s="381">
        <v>3.37</v>
      </c>
      <c r="Y2789" s="381">
        <v>0</v>
      </c>
      <c r="Z2789" s="381">
        <v>0</v>
      </c>
      <c r="AA2789" s="381">
        <v>0</v>
      </c>
      <c r="AB2789" s="381">
        <v>0</v>
      </c>
      <c r="AC2789" s="382">
        <v>3.37</v>
      </c>
      <c r="AD2789" s="382">
        <v>0</v>
      </c>
      <c r="AE2789" s="381" t="s">
        <v>168</v>
      </c>
    </row>
    <row r="2790" spans="1:31" ht="15" customHeight="1" x14ac:dyDescent="0.25">
      <c r="A2790" s="20" t="s">
        <v>4053</v>
      </c>
      <c r="B2790" s="20"/>
      <c r="C2790" s="20" t="s">
        <v>3897</v>
      </c>
      <c r="D2790" s="378" t="s">
        <v>4069</v>
      </c>
      <c r="E2790" s="384">
        <v>43321</v>
      </c>
      <c r="F2790" s="384">
        <v>45147</v>
      </c>
      <c r="G2790" s="378" t="s">
        <v>439</v>
      </c>
      <c r="H2790" s="20" t="s">
        <v>4055</v>
      </c>
      <c r="I2790" s="20" t="s">
        <v>162</v>
      </c>
      <c r="J2790" s="20" t="s">
        <v>163</v>
      </c>
      <c r="K2790" s="378" t="s">
        <v>4056</v>
      </c>
      <c r="L2790" s="378" t="s">
        <v>2774</v>
      </c>
      <c r="M2790" s="380"/>
      <c r="N2790" s="380">
        <v>0</v>
      </c>
      <c r="O2790" s="380"/>
      <c r="P2790" s="380"/>
      <c r="Q2790" s="381">
        <v>3.41</v>
      </c>
      <c r="R2790" s="381">
        <v>0</v>
      </c>
      <c r="S2790" s="381">
        <v>0</v>
      </c>
      <c r="T2790" s="381"/>
      <c r="U2790" s="381"/>
      <c r="V2790" s="382">
        <v>3.41</v>
      </c>
      <c r="W2790" s="382">
        <v>0</v>
      </c>
      <c r="X2790" s="381">
        <v>3.41</v>
      </c>
      <c r="Y2790" s="381">
        <v>0</v>
      </c>
      <c r="Z2790" s="381">
        <v>0</v>
      </c>
      <c r="AA2790" s="381">
        <v>0</v>
      </c>
      <c r="AB2790" s="381">
        <v>0</v>
      </c>
      <c r="AC2790" s="382">
        <v>3.41</v>
      </c>
      <c r="AD2790" s="382">
        <v>0</v>
      </c>
      <c r="AE2790" s="381" t="s">
        <v>168</v>
      </c>
    </row>
    <row r="2791" spans="1:31" ht="15" customHeight="1" x14ac:dyDescent="0.25">
      <c r="A2791" s="20" t="s">
        <v>4053</v>
      </c>
      <c r="B2791" s="20"/>
      <c r="C2791" s="20" t="s">
        <v>3897</v>
      </c>
      <c r="D2791" s="378" t="s">
        <v>4070</v>
      </c>
      <c r="E2791" s="384">
        <v>43321</v>
      </c>
      <c r="F2791" s="384">
        <v>45147</v>
      </c>
      <c r="G2791" s="378" t="s">
        <v>439</v>
      </c>
      <c r="H2791" s="20" t="s">
        <v>4055</v>
      </c>
      <c r="I2791" s="20" t="s">
        <v>162</v>
      </c>
      <c r="J2791" s="20" t="s">
        <v>163</v>
      </c>
      <c r="K2791" s="378" t="s">
        <v>4056</v>
      </c>
      <c r="L2791" s="378" t="s">
        <v>2774</v>
      </c>
      <c r="M2791" s="380"/>
      <c r="N2791" s="380">
        <v>0</v>
      </c>
      <c r="O2791" s="380"/>
      <c r="P2791" s="380"/>
      <c r="Q2791" s="381">
        <v>3.4</v>
      </c>
      <c r="R2791" s="381">
        <v>0</v>
      </c>
      <c r="S2791" s="381">
        <v>0</v>
      </c>
      <c r="T2791" s="381"/>
      <c r="U2791" s="381"/>
      <c r="V2791" s="382">
        <v>3.4</v>
      </c>
      <c r="W2791" s="382">
        <v>0</v>
      </c>
      <c r="X2791" s="381">
        <v>3.4</v>
      </c>
      <c r="Y2791" s="381">
        <v>0</v>
      </c>
      <c r="Z2791" s="381">
        <v>0</v>
      </c>
      <c r="AA2791" s="381">
        <v>0</v>
      </c>
      <c r="AB2791" s="381">
        <v>0</v>
      </c>
      <c r="AC2791" s="382">
        <v>3.4</v>
      </c>
      <c r="AD2791" s="382">
        <v>0</v>
      </c>
      <c r="AE2791" s="381" t="s">
        <v>168</v>
      </c>
    </row>
    <row r="2792" spans="1:31" ht="15" customHeight="1" x14ac:dyDescent="0.25">
      <c r="A2792" s="20" t="s">
        <v>4053</v>
      </c>
      <c r="B2792" s="20"/>
      <c r="C2792" s="20" t="s">
        <v>3897</v>
      </c>
      <c r="D2792" s="378" t="s">
        <v>4071</v>
      </c>
      <c r="E2792" s="384">
        <v>43321</v>
      </c>
      <c r="F2792" s="384">
        <v>45147</v>
      </c>
      <c r="G2792" s="378" t="s">
        <v>439</v>
      </c>
      <c r="H2792" s="20" t="s">
        <v>4055</v>
      </c>
      <c r="I2792" s="20" t="s">
        <v>162</v>
      </c>
      <c r="J2792" s="20" t="s">
        <v>163</v>
      </c>
      <c r="K2792" s="378" t="s">
        <v>4056</v>
      </c>
      <c r="L2792" s="378" t="s">
        <v>2774</v>
      </c>
      <c r="M2792" s="380"/>
      <c r="N2792" s="380">
        <v>0</v>
      </c>
      <c r="O2792" s="380"/>
      <c r="P2792" s="380"/>
      <c r="Q2792" s="381">
        <v>3.37</v>
      </c>
      <c r="R2792" s="381">
        <v>0</v>
      </c>
      <c r="S2792" s="381">
        <v>0</v>
      </c>
      <c r="T2792" s="381"/>
      <c r="U2792" s="381"/>
      <c r="V2792" s="382">
        <v>3.37</v>
      </c>
      <c r="W2792" s="382">
        <v>0</v>
      </c>
      <c r="X2792" s="381">
        <v>3.37</v>
      </c>
      <c r="Y2792" s="381">
        <v>0</v>
      </c>
      <c r="Z2792" s="381">
        <v>0</v>
      </c>
      <c r="AA2792" s="381">
        <v>0</v>
      </c>
      <c r="AB2792" s="381">
        <v>0</v>
      </c>
      <c r="AC2792" s="382">
        <v>3.37</v>
      </c>
      <c r="AD2792" s="382">
        <v>0</v>
      </c>
      <c r="AE2792" s="381" t="s">
        <v>168</v>
      </c>
    </row>
    <row r="2793" spans="1:31" ht="15" customHeight="1" x14ac:dyDescent="0.25">
      <c r="A2793" s="20" t="s">
        <v>4053</v>
      </c>
      <c r="B2793" s="20"/>
      <c r="C2793" s="20" t="s">
        <v>3897</v>
      </c>
      <c r="D2793" s="378" t="s">
        <v>4072</v>
      </c>
      <c r="E2793" s="384">
        <v>43321</v>
      </c>
      <c r="F2793" s="384">
        <v>45147</v>
      </c>
      <c r="G2793" s="378" t="s">
        <v>439</v>
      </c>
      <c r="H2793" s="20" t="s">
        <v>4055</v>
      </c>
      <c r="I2793" s="20" t="s">
        <v>162</v>
      </c>
      <c r="J2793" s="20" t="s">
        <v>163</v>
      </c>
      <c r="K2793" s="378" t="s">
        <v>4056</v>
      </c>
      <c r="L2793" s="378" t="s">
        <v>2774</v>
      </c>
      <c r="M2793" s="380"/>
      <c r="N2793" s="380">
        <v>0</v>
      </c>
      <c r="O2793" s="380"/>
      <c r="P2793" s="380"/>
      <c r="Q2793" s="381">
        <v>3.41</v>
      </c>
      <c r="R2793" s="381">
        <v>0</v>
      </c>
      <c r="S2793" s="381">
        <v>0</v>
      </c>
      <c r="T2793" s="381"/>
      <c r="U2793" s="381"/>
      <c r="V2793" s="382">
        <v>3.41</v>
      </c>
      <c r="W2793" s="382">
        <v>0</v>
      </c>
      <c r="X2793" s="381">
        <v>3.41</v>
      </c>
      <c r="Y2793" s="381">
        <v>0</v>
      </c>
      <c r="Z2793" s="381">
        <v>0</v>
      </c>
      <c r="AA2793" s="381">
        <v>0</v>
      </c>
      <c r="AB2793" s="381">
        <v>0</v>
      </c>
      <c r="AC2793" s="382">
        <v>3.41</v>
      </c>
      <c r="AD2793" s="382">
        <v>0</v>
      </c>
      <c r="AE2793" s="381" t="s">
        <v>168</v>
      </c>
    </row>
    <row r="2794" spans="1:31" ht="15" customHeight="1" x14ac:dyDescent="0.25">
      <c r="A2794" s="20" t="s">
        <v>4053</v>
      </c>
      <c r="B2794" s="20"/>
      <c r="C2794" s="20" t="s">
        <v>3897</v>
      </c>
      <c r="D2794" s="378" t="s">
        <v>4073</v>
      </c>
      <c r="E2794" s="384">
        <v>43321</v>
      </c>
      <c r="F2794" s="384">
        <v>45147</v>
      </c>
      <c r="G2794" s="378" t="s">
        <v>439</v>
      </c>
      <c r="H2794" s="20" t="s">
        <v>4055</v>
      </c>
      <c r="I2794" s="20" t="s">
        <v>162</v>
      </c>
      <c r="J2794" s="20" t="s">
        <v>163</v>
      </c>
      <c r="K2794" s="378" t="s">
        <v>4056</v>
      </c>
      <c r="L2794" s="378" t="s">
        <v>2774</v>
      </c>
      <c r="M2794" s="380"/>
      <c r="N2794" s="380">
        <v>0</v>
      </c>
      <c r="O2794" s="380"/>
      <c r="P2794" s="380"/>
      <c r="Q2794" s="381">
        <v>3.4</v>
      </c>
      <c r="R2794" s="381">
        <v>0</v>
      </c>
      <c r="S2794" s="381">
        <v>0</v>
      </c>
      <c r="T2794" s="381"/>
      <c r="U2794" s="381"/>
      <c r="V2794" s="382">
        <v>3.4</v>
      </c>
      <c r="W2794" s="382">
        <v>0</v>
      </c>
      <c r="X2794" s="381">
        <v>3.4</v>
      </c>
      <c r="Y2794" s="381">
        <v>0</v>
      </c>
      <c r="Z2794" s="381">
        <v>0</v>
      </c>
      <c r="AA2794" s="381">
        <v>0</v>
      </c>
      <c r="AB2794" s="381">
        <v>0</v>
      </c>
      <c r="AC2794" s="382">
        <v>3.4</v>
      </c>
      <c r="AD2794" s="382">
        <v>0</v>
      </c>
      <c r="AE2794" s="381" t="s">
        <v>168</v>
      </c>
    </row>
    <row r="2795" spans="1:31" ht="15" customHeight="1" x14ac:dyDescent="0.25">
      <c r="A2795" s="20" t="s">
        <v>4053</v>
      </c>
      <c r="B2795" s="20"/>
      <c r="C2795" s="20" t="s">
        <v>3897</v>
      </c>
      <c r="D2795" s="378" t="s">
        <v>4074</v>
      </c>
      <c r="E2795" s="384">
        <v>43321</v>
      </c>
      <c r="F2795" s="384">
        <v>45147</v>
      </c>
      <c r="G2795" s="378" t="s">
        <v>439</v>
      </c>
      <c r="H2795" s="20" t="s">
        <v>4055</v>
      </c>
      <c r="I2795" s="20" t="s">
        <v>162</v>
      </c>
      <c r="J2795" s="20" t="s">
        <v>163</v>
      </c>
      <c r="K2795" s="378" t="s">
        <v>4056</v>
      </c>
      <c r="L2795" s="378" t="s">
        <v>2774</v>
      </c>
      <c r="M2795" s="380"/>
      <c r="N2795" s="380">
        <v>0</v>
      </c>
      <c r="O2795" s="380"/>
      <c r="P2795" s="380"/>
      <c r="Q2795" s="381">
        <v>3.37</v>
      </c>
      <c r="R2795" s="381">
        <v>0</v>
      </c>
      <c r="S2795" s="381">
        <v>0</v>
      </c>
      <c r="T2795" s="381"/>
      <c r="U2795" s="381"/>
      <c r="V2795" s="382">
        <v>3.37</v>
      </c>
      <c r="W2795" s="382">
        <v>0</v>
      </c>
      <c r="X2795" s="381">
        <v>3.37</v>
      </c>
      <c r="Y2795" s="381">
        <v>0</v>
      </c>
      <c r="Z2795" s="381">
        <v>0</v>
      </c>
      <c r="AA2795" s="381">
        <v>0</v>
      </c>
      <c r="AB2795" s="381">
        <v>0</v>
      </c>
      <c r="AC2795" s="382">
        <v>3.37</v>
      </c>
      <c r="AD2795" s="382">
        <v>0</v>
      </c>
      <c r="AE2795" s="381" t="s">
        <v>168</v>
      </c>
    </row>
    <row r="2796" spans="1:31" ht="15" customHeight="1" x14ac:dyDescent="0.25">
      <c r="A2796" s="20" t="s">
        <v>4053</v>
      </c>
      <c r="B2796" s="20"/>
      <c r="C2796" s="20" t="s">
        <v>3897</v>
      </c>
      <c r="D2796" s="378" t="s">
        <v>4075</v>
      </c>
      <c r="E2796" s="384">
        <v>43321</v>
      </c>
      <c r="F2796" s="384">
        <v>45147</v>
      </c>
      <c r="G2796" s="378" t="s">
        <v>439</v>
      </c>
      <c r="H2796" s="20" t="s">
        <v>4055</v>
      </c>
      <c r="I2796" s="20" t="s">
        <v>162</v>
      </c>
      <c r="J2796" s="20" t="s">
        <v>163</v>
      </c>
      <c r="K2796" s="378" t="s">
        <v>4056</v>
      </c>
      <c r="L2796" s="378" t="s">
        <v>2774</v>
      </c>
      <c r="M2796" s="380"/>
      <c r="N2796" s="380">
        <v>0</v>
      </c>
      <c r="O2796" s="380"/>
      <c r="P2796" s="380"/>
      <c r="Q2796" s="381">
        <v>3.4</v>
      </c>
      <c r="R2796" s="381">
        <v>0</v>
      </c>
      <c r="S2796" s="381">
        <v>0</v>
      </c>
      <c r="T2796" s="381"/>
      <c r="U2796" s="381"/>
      <c r="V2796" s="382">
        <v>3.4</v>
      </c>
      <c r="W2796" s="382">
        <v>0</v>
      </c>
      <c r="X2796" s="381">
        <v>3.4</v>
      </c>
      <c r="Y2796" s="381">
        <v>0</v>
      </c>
      <c r="Z2796" s="381">
        <v>0</v>
      </c>
      <c r="AA2796" s="381">
        <v>0</v>
      </c>
      <c r="AB2796" s="381">
        <v>0</v>
      </c>
      <c r="AC2796" s="382">
        <v>3.4</v>
      </c>
      <c r="AD2796" s="382">
        <v>0</v>
      </c>
      <c r="AE2796" s="381" t="s">
        <v>168</v>
      </c>
    </row>
    <row r="2797" spans="1:31" ht="15" customHeight="1" x14ac:dyDescent="0.25">
      <c r="A2797" s="20" t="s">
        <v>4053</v>
      </c>
      <c r="B2797" s="20"/>
      <c r="C2797" s="20" t="s">
        <v>3897</v>
      </c>
      <c r="D2797" s="378" t="s">
        <v>4076</v>
      </c>
      <c r="E2797" s="384">
        <v>43321</v>
      </c>
      <c r="F2797" s="384">
        <v>45147</v>
      </c>
      <c r="G2797" s="378" t="s">
        <v>439</v>
      </c>
      <c r="H2797" s="20" t="s">
        <v>4055</v>
      </c>
      <c r="I2797" s="20" t="s">
        <v>162</v>
      </c>
      <c r="J2797" s="20" t="s">
        <v>163</v>
      </c>
      <c r="K2797" s="378" t="s">
        <v>4056</v>
      </c>
      <c r="L2797" s="378" t="s">
        <v>2774</v>
      </c>
      <c r="M2797" s="380"/>
      <c r="N2797" s="380">
        <v>0</v>
      </c>
      <c r="O2797" s="380"/>
      <c r="P2797" s="380"/>
      <c r="Q2797" s="381">
        <v>3.4</v>
      </c>
      <c r="R2797" s="381">
        <v>0</v>
      </c>
      <c r="S2797" s="381">
        <v>0</v>
      </c>
      <c r="T2797" s="381"/>
      <c r="U2797" s="381"/>
      <c r="V2797" s="382">
        <v>3.4</v>
      </c>
      <c r="W2797" s="382">
        <v>0</v>
      </c>
      <c r="X2797" s="381">
        <v>3.4</v>
      </c>
      <c r="Y2797" s="381">
        <v>0</v>
      </c>
      <c r="Z2797" s="381">
        <v>0</v>
      </c>
      <c r="AA2797" s="381">
        <v>0</v>
      </c>
      <c r="AB2797" s="381">
        <v>0</v>
      </c>
      <c r="AC2797" s="382">
        <v>3.4</v>
      </c>
      <c r="AD2797" s="382">
        <v>0</v>
      </c>
      <c r="AE2797" s="381" t="s">
        <v>168</v>
      </c>
    </row>
    <row r="2798" spans="1:31" ht="15" customHeight="1" x14ac:dyDescent="0.25">
      <c r="A2798" s="20" t="s">
        <v>4053</v>
      </c>
      <c r="B2798" s="20"/>
      <c r="C2798" s="20" t="s">
        <v>3897</v>
      </c>
      <c r="D2798" s="378" t="s">
        <v>4077</v>
      </c>
      <c r="E2798" s="384">
        <v>43321</v>
      </c>
      <c r="F2798" s="384">
        <v>45147</v>
      </c>
      <c r="G2798" s="378" t="s">
        <v>439</v>
      </c>
      <c r="H2798" s="20" t="s">
        <v>4055</v>
      </c>
      <c r="I2798" s="20" t="s">
        <v>162</v>
      </c>
      <c r="J2798" s="20" t="s">
        <v>163</v>
      </c>
      <c r="K2798" s="378" t="s">
        <v>4056</v>
      </c>
      <c r="L2798" s="378" t="s">
        <v>2774</v>
      </c>
      <c r="M2798" s="380"/>
      <c r="N2798" s="380">
        <v>0</v>
      </c>
      <c r="O2798" s="380"/>
      <c r="P2798" s="380"/>
      <c r="Q2798" s="381">
        <v>2.95</v>
      </c>
      <c r="R2798" s="381">
        <v>0</v>
      </c>
      <c r="S2798" s="381">
        <v>0</v>
      </c>
      <c r="T2798" s="381"/>
      <c r="U2798" s="381"/>
      <c r="V2798" s="382">
        <v>2.95</v>
      </c>
      <c r="W2798" s="382">
        <v>0</v>
      </c>
      <c r="X2798" s="381">
        <v>2.95</v>
      </c>
      <c r="Y2798" s="381">
        <v>0</v>
      </c>
      <c r="Z2798" s="381">
        <v>0</v>
      </c>
      <c r="AA2798" s="381">
        <v>0</v>
      </c>
      <c r="AB2798" s="381">
        <v>0</v>
      </c>
      <c r="AC2798" s="382">
        <v>2.95</v>
      </c>
      <c r="AD2798" s="382">
        <v>0</v>
      </c>
      <c r="AE2798" s="381" t="s">
        <v>168</v>
      </c>
    </row>
    <row r="2799" spans="1:31" ht="15" customHeight="1" x14ac:dyDescent="0.25">
      <c r="A2799" s="20" t="s">
        <v>4053</v>
      </c>
      <c r="B2799" s="20"/>
      <c r="C2799" s="20" t="s">
        <v>3897</v>
      </c>
      <c r="D2799" s="378" t="s">
        <v>4078</v>
      </c>
      <c r="E2799" s="384">
        <v>43321</v>
      </c>
      <c r="F2799" s="384">
        <v>45147</v>
      </c>
      <c r="G2799" s="378" t="s">
        <v>439</v>
      </c>
      <c r="H2799" s="20" t="s">
        <v>4055</v>
      </c>
      <c r="I2799" s="20" t="s">
        <v>162</v>
      </c>
      <c r="J2799" s="20" t="s">
        <v>163</v>
      </c>
      <c r="K2799" s="378" t="s">
        <v>4056</v>
      </c>
      <c r="L2799" s="378" t="s">
        <v>2774</v>
      </c>
      <c r="M2799" s="380"/>
      <c r="N2799" s="380">
        <v>0</v>
      </c>
      <c r="O2799" s="380"/>
      <c r="P2799" s="380"/>
      <c r="Q2799" s="381">
        <v>3.19</v>
      </c>
      <c r="R2799" s="381">
        <v>0</v>
      </c>
      <c r="S2799" s="381">
        <v>0</v>
      </c>
      <c r="T2799" s="381"/>
      <c r="U2799" s="381"/>
      <c r="V2799" s="382">
        <v>3.19</v>
      </c>
      <c r="W2799" s="382">
        <v>0</v>
      </c>
      <c r="X2799" s="381">
        <v>3.19</v>
      </c>
      <c r="Y2799" s="381">
        <v>0</v>
      </c>
      <c r="Z2799" s="381">
        <v>0</v>
      </c>
      <c r="AA2799" s="381">
        <v>0</v>
      </c>
      <c r="AB2799" s="381">
        <v>0</v>
      </c>
      <c r="AC2799" s="382">
        <v>3.19</v>
      </c>
      <c r="AD2799" s="382">
        <v>0</v>
      </c>
      <c r="AE2799" s="381" t="s">
        <v>168</v>
      </c>
    </row>
    <row r="2800" spans="1:31" ht="15" customHeight="1" x14ac:dyDescent="0.25">
      <c r="A2800" s="20" t="s">
        <v>4053</v>
      </c>
      <c r="B2800" s="20"/>
      <c r="C2800" s="20" t="s">
        <v>3897</v>
      </c>
      <c r="D2800" s="378" t="s">
        <v>4079</v>
      </c>
      <c r="E2800" s="384">
        <v>43321</v>
      </c>
      <c r="F2800" s="384">
        <v>45147</v>
      </c>
      <c r="G2800" s="378" t="s">
        <v>439</v>
      </c>
      <c r="H2800" s="20" t="s">
        <v>4055</v>
      </c>
      <c r="I2800" s="20" t="s">
        <v>162</v>
      </c>
      <c r="J2800" s="20" t="s">
        <v>163</v>
      </c>
      <c r="K2800" s="378" t="s">
        <v>4056</v>
      </c>
      <c r="L2800" s="378" t="s">
        <v>2774</v>
      </c>
      <c r="M2800" s="380"/>
      <c r="N2800" s="380">
        <v>0</v>
      </c>
      <c r="O2800" s="380"/>
      <c r="P2800" s="380"/>
      <c r="Q2800" s="381">
        <v>3.61</v>
      </c>
      <c r="R2800" s="381">
        <v>0</v>
      </c>
      <c r="S2800" s="381">
        <v>0</v>
      </c>
      <c r="T2800" s="381"/>
      <c r="U2800" s="381"/>
      <c r="V2800" s="382">
        <v>3.61</v>
      </c>
      <c r="W2800" s="382">
        <v>0</v>
      </c>
      <c r="X2800" s="381">
        <v>3.61</v>
      </c>
      <c r="Y2800" s="381">
        <v>0</v>
      </c>
      <c r="Z2800" s="381">
        <v>0</v>
      </c>
      <c r="AA2800" s="381">
        <v>0</v>
      </c>
      <c r="AB2800" s="381">
        <v>0</v>
      </c>
      <c r="AC2800" s="382">
        <v>3.61</v>
      </c>
      <c r="AD2800" s="382">
        <v>0</v>
      </c>
      <c r="AE2800" s="381" t="s">
        <v>168</v>
      </c>
    </row>
    <row r="2801" spans="1:31" ht="15" customHeight="1" x14ac:dyDescent="0.25">
      <c r="A2801" s="20" t="s">
        <v>4053</v>
      </c>
      <c r="B2801" s="20"/>
      <c r="C2801" s="20" t="s">
        <v>3897</v>
      </c>
      <c r="D2801" s="378" t="s">
        <v>4080</v>
      </c>
      <c r="E2801" s="384">
        <v>43321</v>
      </c>
      <c r="F2801" s="384">
        <v>45147</v>
      </c>
      <c r="G2801" s="378" t="s">
        <v>439</v>
      </c>
      <c r="H2801" s="20" t="s">
        <v>4055</v>
      </c>
      <c r="I2801" s="20" t="s">
        <v>162</v>
      </c>
      <c r="J2801" s="20" t="s">
        <v>163</v>
      </c>
      <c r="K2801" s="378" t="s">
        <v>4056</v>
      </c>
      <c r="L2801" s="378" t="s">
        <v>2774</v>
      </c>
      <c r="M2801" s="380"/>
      <c r="N2801" s="380">
        <v>0</v>
      </c>
      <c r="O2801" s="380"/>
      <c r="P2801" s="380"/>
      <c r="Q2801" s="381">
        <v>3.87</v>
      </c>
      <c r="R2801" s="381">
        <v>0</v>
      </c>
      <c r="S2801" s="381">
        <v>0</v>
      </c>
      <c r="T2801" s="381"/>
      <c r="U2801" s="381"/>
      <c r="V2801" s="382">
        <v>3.87</v>
      </c>
      <c r="W2801" s="382">
        <v>0</v>
      </c>
      <c r="X2801" s="381">
        <v>3.87</v>
      </c>
      <c r="Y2801" s="381">
        <v>0</v>
      </c>
      <c r="Z2801" s="381">
        <v>0</v>
      </c>
      <c r="AA2801" s="381">
        <v>0</v>
      </c>
      <c r="AB2801" s="381">
        <v>0</v>
      </c>
      <c r="AC2801" s="382">
        <v>3.87</v>
      </c>
      <c r="AD2801" s="382">
        <v>0</v>
      </c>
      <c r="AE2801" s="381" t="s">
        <v>168</v>
      </c>
    </row>
    <row r="2802" spans="1:31" ht="15" customHeight="1" x14ac:dyDescent="0.25">
      <c r="A2802" s="20" t="s">
        <v>4053</v>
      </c>
      <c r="B2802" s="20"/>
      <c r="C2802" s="20" t="s">
        <v>3897</v>
      </c>
      <c r="D2802" s="378" t="s">
        <v>4081</v>
      </c>
      <c r="E2802" s="384">
        <v>43321</v>
      </c>
      <c r="F2802" s="384">
        <v>45147</v>
      </c>
      <c r="G2802" s="378" t="s">
        <v>439</v>
      </c>
      <c r="H2802" s="20" t="s">
        <v>4055</v>
      </c>
      <c r="I2802" s="20" t="s">
        <v>162</v>
      </c>
      <c r="J2802" s="20" t="s">
        <v>163</v>
      </c>
      <c r="K2802" s="378" t="s">
        <v>4056</v>
      </c>
      <c r="L2802" s="378" t="s">
        <v>2774</v>
      </c>
      <c r="M2802" s="380"/>
      <c r="N2802" s="380">
        <v>0</v>
      </c>
      <c r="O2802" s="380"/>
      <c r="P2802" s="380"/>
      <c r="Q2802" s="381">
        <v>4.74</v>
      </c>
      <c r="R2802" s="381">
        <v>0</v>
      </c>
      <c r="S2802" s="381">
        <v>0</v>
      </c>
      <c r="T2802" s="381"/>
      <c r="U2802" s="381"/>
      <c r="V2802" s="382">
        <v>4.74</v>
      </c>
      <c r="W2802" s="382">
        <v>0</v>
      </c>
      <c r="X2802" s="381">
        <v>4.74</v>
      </c>
      <c r="Y2802" s="381">
        <v>0</v>
      </c>
      <c r="Z2802" s="381">
        <v>0</v>
      </c>
      <c r="AA2802" s="381">
        <v>0</v>
      </c>
      <c r="AB2802" s="381">
        <v>0</v>
      </c>
      <c r="AC2802" s="382">
        <v>4.74</v>
      </c>
      <c r="AD2802" s="382">
        <v>0</v>
      </c>
      <c r="AE2802" s="381" t="s">
        <v>168</v>
      </c>
    </row>
    <row r="2803" spans="1:31" ht="15" customHeight="1" x14ac:dyDescent="0.25">
      <c r="A2803" s="20" t="s">
        <v>4053</v>
      </c>
      <c r="B2803" s="20"/>
      <c r="C2803" s="20" t="s">
        <v>3897</v>
      </c>
      <c r="D2803" s="378" t="s">
        <v>4082</v>
      </c>
      <c r="E2803" s="384">
        <v>43321</v>
      </c>
      <c r="F2803" s="384">
        <v>45147</v>
      </c>
      <c r="G2803" s="378" t="s">
        <v>439</v>
      </c>
      <c r="H2803" s="20" t="s">
        <v>4055</v>
      </c>
      <c r="I2803" s="20" t="s">
        <v>162</v>
      </c>
      <c r="J2803" s="20" t="s">
        <v>163</v>
      </c>
      <c r="K2803" s="378" t="s">
        <v>4056</v>
      </c>
      <c r="L2803" s="378" t="s">
        <v>2774</v>
      </c>
      <c r="M2803" s="380"/>
      <c r="N2803" s="380">
        <v>0</v>
      </c>
      <c r="O2803" s="380"/>
      <c r="P2803" s="380"/>
      <c r="Q2803" s="381">
        <v>3.43</v>
      </c>
      <c r="R2803" s="381">
        <v>0</v>
      </c>
      <c r="S2803" s="381">
        <v>0</v>
      </c>
      <c r="T2803" s="381"/>
      <c r="U2803" s="381"/>
      <c r="V2803" s="382">
        <v>3.43</v>
      </c>
      <c r="W2803" s="382">
        <v>0</v>
      </c>
      <c r="X2803" s="381">
        <v>3.43</v>
      </c>
      <c r="Y2803" s="381">
        <v>0</v>
      </c>
      <c r="Z2803" s="381">
        <v>0</v>
      </c>
      <c r="AA2803" s="381">
        <v>0</v>
      </c>
      <c r="AB2803" s="381">
        <v>0</v>
      </c>
      <c r="AC2803" s="382">
        <v>3.43</v>
      </c>
      <c r="AD2803" s="382">
        <v>0</v>
      </c>
      <c r="AE2803" s="381" t="s">
        <v>168</v>
      </c>
    </row>
    <row r="2804" spans="1:31" ht="15" customHeight="1" x14ac:dyDescent="0.25">
      <c r="A2804" s="20" t="s">
        <v>4053</v>
      </c>
      <c r="B2804" s="20"/>
      <c r="C2804" s="20" t="s">
        <v>3897</v>
      </c>
      <c r="D2804" s="378" t="s">
        <v>4083</v>
      </c>
      <c r="E2804" s="384">
        <v>43321</v>
      </c>
      <c r="F2804" s="384">
        <v>45147</v>
      </c>
      <c r="G2804" s="378" t="s">
        <v>439</v>
      </c>
      <c r="H2804" s="20" t="s">
        <v>4055</v>
      </c>
      <c r="I2804" s="20" t="s">
        <v>162</v>
      </c>
      <c r="J2804" s="20" t="s">
        <v>163</v>
      </c>
      <c r="K2804" s="378" t="s">
        <v>4056</v>
      </c>
      <c r="L2804" s="378" t="s">
        <v>2774</v>
      </c>
      <c r="M2804" s="380"/>
      <c r="N2804" s="380">
        <v>0</v>
      </c>
      <c r="O2804" s="380"/>
      <c r="P2804" s="380"/>
      <c r="Q2804" s="381">
        <v>3.62</v>
      </c>
      <c r="R2804" s="381">
        <v>0</v>
      </c>
      <c r="S2804" s="381">
        <v>0</v>
      </c>
      <c r="T2804" s="381"/>
      <c r="U2804" s="381"/>
      <c r="V2804" s="382">
        <v>3.62</v>
      </c>
      <c r="W2804" s="382">
        <v>0</v>
      </c>
      <c r="X2804" s="381">
        <v>3.62</v>
      </c>
      <c r="Y2804" s="381">
        <v>0</v>
      </c>
      <c r="Z2804" s="381">
        <v>0</v>
      </c>
      <c r="AA2804" s="381">
        <v>0</v>
      </c>
      <c r="AB2804" s="381">
        <v>0</v>
      </c>
      <c r="AC2804" s="382">
        <v>3.62</v>
      </c>
      <c r="AD2804" s="382">
        <v>0</v>
      </c>
      <c r="AE2804" s="381" t="s">
        <v>168</v>
      </c>
    </row>
    <row r="2805" spans="1:31" ht="15" customHeight="1" x14ac:dyDescent="0.25">
      <c r="A2805" s="20" t="s">
        <v>4053</v>
      </c>
      <c r="B2805" s="20"/>
      <c r="C2805" s="20" t="s">
        <v>3897</v>
      </c>
      <c r="D2805" s="378" t="s">
        <v>4084</v>
      </c>
      <c r="E2805" s="384">
        <v>43321</v>
      </c>
      <c r="F2805" s="384">
        <v>45147</v>
      </c>
      <c r="G2805" s="378" t="s">
        <v>439</v>
      </c>
      <c r="H2805" s="20" t="s">
        <v>4055</v>
      </c>
      <c r="I2805" s="20" t="s">
        <v>162</v>
      </c>
      <c r="J2805" s="20" t="s">
        <v>163</v>
      </c>
      <c r="K2805" s="378" t="s">
        <v>4056</v>
      </c>
      <c r="L2805" s="378" t="s">
        <v>2774</v>
      </c>
      <c r="M2805" s="380"/>
      <c r="N2805" s="380">
        <v>0</v>
      </c>
      <c r="O2805" s="380"/>
      <c r="P2805" s="380"/>
      <c r="Q2805" s="381">
        <v>3.69</v>
      </c>
      <c r="R2805" s="381">
        <v>0</v>
      </c>
      <c r="S2805" s="381">
        <v>0</v>
      </c>
      <c r="T2805" s="381"/>
      <c r="U2805" s="381"/>
      <c r="V2805" s="382">
        <v>3.69</v>
      </c>
      <c r="W2805" s="382">
        <v>0</v>
      </c>
      <c r="X2805" s="381">
        <v>3.69</v>
      </c>
      <c r="Y2805" s="381">
        <v>0</v>
      </c>
      <c r="Z2805" s="381">
        <v>0</v>
      </c>
      <c r="AA2805" s="381">
        <v>0</v>
      </c>
      <c r="AB2805" s="381">
        <v>0</v>
      </c>
      <c r="AC2805" s="382">
        <v>3.69</v>
      </c>
      <c r="AD2805" s="382">
        <v>0</v>
      </c>
      <c r="AE2805" s="381" t="s">
        <v>168</v>
      </c>
    </row>
    <row r="2806" spans="1:31" ht="15" customHeight="1" x14ac:dyDescent="0.25">
      <c r="A2806" s="20" t="s">
        <v>4053</v>
      </c>
      <c r="B2806" s="20"/>
      <c r="C2806" s="20" t="s">
        <v>3897</v>
      </c>
      <c r="D2806" s="378" t="s">
        <v>4085</v>
      </c>
      <c r="E2806" s="384">
        <v>43321</v>
      </c>
      <c r="F2806" s="384">
        <v>45147</v>
      </c>
      <c r="G2806" s="378" t="s">
        <v>439</v>
      </c>
      <c r="H2806" s="20" t="s">
        <v>4055</v>
      </c>
      <c r="I2806" s="20" t="s">
        <v>162</v>
      </c>
      <c r="J2806" s="20" t="s">
        <v>163</v>
      </c>
      <c r="K2806" s="378" t="s">
        <v>4056</v>
      </c>
      <c r="L2806" s="378" t="s">
        <v>2774</v>
      </c>
      <c r="M2806" s="380"/>
      <c r="N2806" s="380">
        <v>0</v>
      </c>
      <c r="O2806" s="380"/>
      <c r="P2806" s="380"/>
      <c r="Q2806" s="381">
        <v>3.82</v>
      </c>
      <c r="R2806" s="381">
        <v>0</v>
      </c>
      <c r="S2806" s="381">
        <v>0</v>
      </c>
      <c r="T2806" s="381"/>
      <c r="U2806" s="381"/>
      <c r="V2806" s="382">
        <v>3.82</v>
      </c>
      <c r="W2806" s="382">
        <v>0</v>
      </c>
      <c r="X2806" s="381">
        <v>3.82</v>
      </c>
      <c r="Y2806" s="381">
        <v>0</v>
      </c>
      <c r="Z2806" s="381">
        <v>0</v>
      </c>
      <c r="AA2806" s="381">
        <v>0</v>
      </c>
      <c r="AB2806" s="381">
        <v>0</v>
      </c>
      <c r="AC2806" s="382">
        <v>3.82</v>
      </c>
      <c r="AD2806" s="382">
        <v>0</v>
      </c>
      <c r="AE2806" s="381" t="s">
        <v>168</v>
      </c>
    </row>
    <row r="2807" spans="1:31" ht="15" customHeight="1" x14ac:dyDescent="0.25">
      <c r="A2807" s="20" t="s">
        <v>4053</v>
      </c>
      <c r="B2807" s="20"/>
      <c r="C2807" s="20" t="s">
        <v>3897</v>
      </c>
      <c r="D2807" s="378" t="s">
        <v>4086</v>
      </c>
      <c r="E2807" s="384">
        <v>43321</v>
      </c>
      <c r="F2807" s="384">
        <v>45147</v>
      </c>
      <c r="G2807" s="378" t="s">
        <v>439</v>
      </c>
      <c r="H2807" s="20" t="s">
        <v>4055</v>
      </c>
      <c r="I2807" s="20" t="s">
        <v>162</v>
      </c>
      <c r="J2807" s="20" t="s">
        <v>163</v>
      </c>
      <c r="K2807" s="378" t="s">
        <v>4056</v>
      </c>
      <c r="L2807" s="378" t="s">
        <v>2774</v>
      </c>
      <c r="M2807" s="380"/>
      <c r="N2807" s="380">
        <v>0</v>
      </c>
      <c r="O2807" s="380"/>
      <c r="P2807" s="380"/>
      <c r="Q2807" s="381">
        <v>3.8</v>
      </c>
      <c r="R2807" s="381">
        <v>0</v>
      </c>
      <c r="S2807" s="381">
        <v>0</v>
      </c>
      <c r="T2807" s="381"/>
      <c r="U2807" s="381"/>
      <c r="V2807" s="382">
        <v>3.8</v>
      </c>
      <c r="W2807" s="382">
        <v>0</v>
      </c>
      <c r="X2807" s="381">
        <v>3.8</v>
      </c>
      <c r="Y2807" s="381">
        <v>0</v>
      </c>
      <c r="Z2807" s="381">
        <v>0</v>
      </c>
      <c r="AA2807" s="381">
        <v>0</v>
      </c>
      <c r="AB2807" s="381">
        <v>0</v>
      </c>
      <c r="AC2807" s="382">
        <v>3.8</v>
      </c>
      <c r="AD2807" s="382">
        <v>0</v>
      </c>
      <c r="AE2807" s="381" t="s">
        <v>168</v>
      </c>
    </row>
    <row r="2808" spans="1:31" ht="15" customHeight="1" x14ac:dyDescent="0.25">
      <c r="A2808" s="20" t="s">
        <v>4053</v>
      </c>
      <c r="B2808" s="20"/>
      <c r="C2808" s="20" t="s">
        <v>3897</v>
      </c>
      <c r="D2808" s="378" t="s">
        <v>4087</v>
      </c>
      <c r="E2808" s="384">
        <v>43321</v>
      </c>
      <c r="F2808" s="384">
        <v>45147</v>
      </c>
      <c r="G2808" s="378" t="s">
        <v>439</v>
      </c>
      <c r="H2808" s="20" t="s">
        <v>4055</v>
      </c>
      <c r="I2808" s="20" t="s">
        <v>162</v>
      </c>
      <c r="J2808" s="20" t="s">
        <v>163</v>
      </c>
      <c r="K2808" s="378" t="s">
        <v>4056</v>
      </c>
      <c r="L2808" s="378" t="s">
        <v>2774</v>
      </c>
      <c r="M2808" s="380"/>
      <c r="N2808" s="380">
        <v>0</v>
      </c>
      <c r="O2808" s="380"/>
      <c r="P2808" s="380"/>
      <c r="Q2808" s="381">
        <v>3.93</v>
      </c>
      <c r="R2808" s="381">
        <v>0</v>
      </c>
      <c r="S2808" s="381">
        <v>0</v>
      </c>
      <c r="T2808" s="381"/>
      <c r="U2808" s="381"/>
      <c r="V2808" s="382">
        <v>3.93</v>
      </c>
      <c r="W2808" s="382">
        <v>0</v>
      </c>
      <c r="X2808" s="381">
        <v>3.93</v>
      </c>
      <c r="Y2808" s="381">
        <v>0</v>
      </c>
      <c r="Z2808" s="381">
        <v>0</v>
      </c>
      <c r="AA2808" s="381">
        <v>0</v>
      </c>
      <c r="AB2808" s="381">
        <v>0</v>
      </c>
      <c r="AC2808" s="382">
        <v>3.93</v>
      </c>
      <c r="AD2808" s="382">
        <v>0</v>
      </c>
      <c r="AE2808" s="381" t="s">
        <v>168</v>
      </c>
    </row>
    <row r="2809" spans="1:31" ht="15" customHeight="1" x14ac:dyDescent="0.25">
      <c r="A2809" s="20" t="s">
        <v>4053</v>
      </c>
      <c r="B2809" s="20"/>
      <c r="C2809" s="20" t="s">
        <v>3897</v>
      </c>
      <c r="D2809" s="378" t="s">
        <v>4088</v>
      </c>
      <c r="E2809" s="384">
        <v>43321</v>
      </c>
      <c r="F2809" s="384">
        <v>45147</v>
      </c>
      <c r="G2809" s="378" t="s">
        <v>439</v>
      </c>
      <c r="H2809" s="20" t="s">
        <v>4055</v>
      </c>
      <c r="I2809" s="20" t="s">
        <v>162</v>
      </c>
      <c r="J2809" s="20" t="s">
        <v>163</v>
      </c>
      <c r="K2809" s="378" t="s">
        <v>4056</v>
      </c>
      <c r="L2809" s="378" t="s">
        <v>2774</v>
      </c>
      <c r="M2809" s="380"/>
      <c r="N2809" s="380">
        <v>0</v>
      </c>
      <c r="O2809" s="380"/>
      <c r="P2809" s="380"/>
      <c r="Q2809" s="381">
        <v>3.21</v>
      </c>
      <c r="R2809" s="381">
        <v>0</v>
      </c>
      <c r="S2809" s="381">
        <v>0</v>
      </c>
      <c r="T2809" s="381"/>
      <c r="U2809" s="381"/>
      <c r="V2809" s="382">
        <v>3.21</v>
      </c>
      <c r="W2809" s="382">
        <v>0</v>
      </c>
      <c r="X2809" s="381">
        <v>3.21</v>
      </c>
      <c r="Y2809" s="381">
        <v>0</v>
      </c>
      <c r="Z2809" s="381">
        <v>0</v>
      </c>
      <c r="AA2809" s="381">
        <v>0</v>
      </c>
      <c r="AB2809" s="381">
        <v>0</v>
      </c>
      <c r="AC2809" s="382">
        <v>3.21</v>
      </c>
      <c r="AD2809" s="382">
        <v>0</v>
      </c>
      <c r="AE2809" s="381" t="s">
        <v>168</v>
      </c>
    </row>
    <row r="2810" spans="1:31" ht="15" customHeight="1" x14ac:dyDescent="0.25">
      <c r="A2810" s="20" t="s">
        <v>4053</v>
      </c>
      <c r="B2810" s="20"/>
      <c r="C2810" s="20" t="s">
        <v>3897</v>
      </c>
      <c r="D2810" s="378" t="s">
        <v>4089</v>
      </c>
      <c r="E2810" s="384">
        <v>43321</v>
      </c>
      <c r="F2810" s="384">
        <v>45147</v>
      </c>
      <c r="G2810" s="378" t="s">
        <v>439</v>
      </c>
      <c r="H2810" s="20" t="s">
        <v>4055</v>
      </c>
      <c r="I2810" s="20" t="s">
        <v>162</v>
      </c>
      <c r="J2810" s="20" t="s">
        <v>163</v>
      </c>
      <c r="K2810" s="378" t="s">
        <v>4056</v>
      </c>
      <c r="L2810" s="378" t="s">
        <v>2774</v>
      </c>
      <c r="M2810" s="380"/>
      <c r="N2810" s="380">
        <v>0</v>
      </c>
      <c r="O2810" s="380"/>
      <c r="P2810" s="380"/>
      <c r="Q2810" s="381">
        <v>3.38</v>
      </c>
      <c r="R2810" s="381">
        <v>0</v>
      </c>
      <c r="S2810" s="381">
        <v>0</v>
      </c>
      <c r="T2810" s="381"/>
      <c r="U2810" s="381"/>
      <c r="V2810" s="382">
        <v>3.38</v>
      </c>
      <c r="W2810" s="382">
        <v>0</v>
      </c>
      <c r="X2810" s="381">
        <v>3.38</v>
      </c>
      <c r="Y2810" s="381">
        <v>0</v>
      </c>
      <c r="Z2810" s="381">
        <v>0</v>
      </c>
      <c r="AA2810" s="381">
        <v>0</v>
      </c>
      <c r="AB2810" s="381">
        <v>0</v>
      </c>
      <c r="AC2810" s="382">
        <v>3.38</v>
      </c>
      <c r="AD2810" s="382">
        <v>0</v>
      </c>
      <c r="AE2810" s="381" t="s">
        <v>168</v>
      </c>
    </row>
    <row r="2811" spans="1:31" ht="15" customHeight="1" x14ac:dyDescent="0.25">
      <c r="A2811" s="20" t="s">
        <v>4053</v>
      </c>
      <c r="B2811" s="20"/>
      <c r="C2811" s="20" t="s">
        <v>3897</v>
      </c>
      <c r="D2811" s="378" t="s">
        <v>4090</v>
      </c>
      <c r="E2811" s="384">
        <v>43321</v>
      </c>
      <c r="F2811" s="384">
        <v>45147</v>
      </c>
      <c r="G2811" s="378" t="s">
        <v>439</v>
      </c>
      <c r="H2811" s="20" t="s">
        <v>4055</v>
      </c>
      <c r="I2811" s="20" t="s">
        <v>162</v>
      </c>
      <c r="J2811" s="20" t="s">
        <v>163</v>
      </c>
      <c r="K2811" s="378" t="s">
        <v>4056</v>
      </c>
      <c r="L2811" s="378" t="s">
        <v>2774</v>
      </c>
      <c r="M2811" s="380"/>
      <c r="N2811" s="380">
        <v>0</v>
      </c>
      <c r="O2811" s="380"/>
      <c r="P2811" s="380"/>
      <c r="Q2811" s="381">
        <v>3.25</v>
      </c>
      <c r="R2811" s="381">
        <v>0</v>
      </c>
      <c r="S2811" s="381">
        <v>0</v>
      </c>
      <c r="T2811" s="381"/>
      <c r="U2811" s="381"/>
      <c r="V2811" s="382">
        <v>3.25</v>
      </c>
      <c r="W2811" s="382">
        <v>0</v>
      </c>
      <c r="X2811" s="381">
        <v>3.25</v>
      </c>
      <c r="Y2811" s="381">
        <v>0</v>
      </c>
      <c r="Z2811" s="381">
        <v>0</v>
      </c>
      <c r="AA2811" s="381">
        <v>0</v>
      </c>
      <c r="AB2811" s="381">
        <v>0</v>
      </c>
      <c r="AC2811" s="382">
        <v>3.25</v>
      </c>
      <c r="AD2811" s="382">
        <v>0</v>
      </c>
      <c r="AE2811" s="381" t="s">
        <v>168</v>
      </c>
    </row>
    <row r="2812" spans="1:31" ht="15" customHeight="1" x14ac:dyDescent="0.25">
      <c r="A2812" s="20" t="s">
        <v>4053</v>
      </c>
      <c r="B2812" s="20"/>
      <c r="C2812" s="20" t="s">
        <v>3897</v>
      </c>
      <c r="D2812" s="378" t="s">
        <v>4091</v>
      </c>
      <c r="E2812" s="384">
        <v>43321</v>
      </c>
      <c r="F2812" s="384">
        <v>45147</v>
      </c>
      <c r="G2812" s="378" t="s">
        <v>439</v>
      </c>
      <c r="H2812" s="20" t="s">
        <v>4055</v>
      </c>
      <c r="I2812" s="20" t="s">
        <v>162</v>
      </c>
      <c r="J2812" s="20" t="s">
        <v>163</v>
      </c>
      <c r="K2812" s="378" t="s">
        <v>4056</v>
      </c>
      <c r="L2812" s="378" t="s">
        <v>2774</v>
      </c>
      <c r="M2812" s="380"/>
      <c r="N2812" s="380">
        <v>0</v>
      </c>
      <c r="O2812" s="380"/>
      <c r="P2812" s="380"/>
      <c r="Q2812" s="381">
        <v>3.44</v>
      </c>
      <c r="R2812" s="381">
        <v>0</v>
      </c>
      <c r="S2812" s="381">
        <v>0</v>
      </c>
      <c r="T2812" s="381"/>
      <c r="U2812" s="381"/>
      <c r="V2812" s="382">
        <v>3.44</v>
      </c>
      <c r="W2812" s="382">
        <v>0</v>
      </c>
      <c r="X2812" s="381">
        <v>3.44</v>
      </c>
      <c r="Y2812" s="381">
        <v>0</v>
      </c>
      <c r="Z2812" s="381">
        <v>0</v>
      </c>
      <c r="AA2812" s="381">
        <v>0</v>
      </c>
      <c r="AB2812" s="381">
        <v>0</v>
      </c>
      <c r="AC2812" s="382">
        <v>3.44</v>
      </c>
      <c r="AD2812" s="382">
        <v>0</v>
      </c>
      <c r="AE2812" s="381" t="s">
        <v>168</v>
      </c>
    </row>
    <row r="2813" spans="1:31" ht="15" customHeight="1" x14ac:dyDescent="0.25">
      <c r="A2813" s="20" t="s">
        <v>4053</v>
      </c>
      <c r="B2813" s="20"/>
      <c r="C2813" s="20" t="s">
        <v>3897</v>
      </c>
      <c r="D2813" s="378" t="s">
        <v>4092</v>
      </c>
      <c r="E2813" s="384">
        <v>43321</v>
      </c>
      <c r="F2813" s="384">
        <v>45147</v>
      </c>
      <c r="G2813" s="378" t="s">
        <v>439</v>
      </c>
      <c r="H2813" s="20" t="s">
        <v>4055</v>
      </c>
      <c r="I2813" s="20" t="s">
        <v>162</v>
      </c>
      <c r="J2813" s="20" t="s">
        <v>163</v>
      </c>
      <c r="K2813" s="378" t="s">
        <v>4056</v>
      </c>
      <c r="L2813" s="378" t="s">
        <v>2774</v>
      </c>
      <c r="M2813" s="380"/>
      <c r="N2813" s="380">
        <v>0</v>
      </c>
      <c r="O2813" s="380"/>
      <c r="P2813" s="380"/>
      <c r="Q2813" s="381">
        <v>3.8</v>
      </c>
      <c r="R2813" s="381">
        <v>0</v>
      </c>
      <c r="S2813" s="381">
        <v>0</v>
      </c>
      <c r="T2813" s="381"/>
      <c r="U2813" s="381"/>
      <c r="V2813" s="382">
        <v>3.8</v>
      </c>
      <c r="W2813" s="382">
        <v>0</v>
      </c>
      <c r="X2813" s="381">
        <v>3.8</v>
      </c>
      <c r="Y2813" s="381">
        <v>0</v>
      </c>
      <c r="Z2813" s="381">
        <v>0</v>
      </c>
      <c r="AA2813" s="381">
        <v>0</v>
      </c>
      <c r="AB2813" s="381">
        <v>0</v>
      </c>
      <c r="AC2813" s="382">
        <v>3.8</v>
      </c>
      <c r="AD2813" s="382">
        <v>0</v>
      </c>
      <c r="AE2813" s="381" t="s">
        <v>168</v>
      </c>
    </row>
    <row r="2814" spans="1:31" ht="15" customHeight="1" x14ac:dyDescent="0.25">
      <c r="A2814" s="20" t="s">
        <v>4053</v>
      </c>
      <c r="B2814" s="20"/>
      <c r="C2814" s="20" t="s">
        <v>3897</v>
      </c>
      <c r="D2814" s="378" t="s">
        <v>4093</v>
      </c>
      <c r="E2814" s="384">
        <v>43321</v>
      </c>
      <c r="F2814" s="384">
        <v>45147</v>
      </c>
      <c r="G2814" s="378" t="s">
        <v>439</v>
      </c>
      <c r="H2814" s="20" t="s">
        <v>4055</v>
      </c>
      <c r="I2814" s="20" t="s">
        <v>162</v>
      </c>
      <c r="J2814" s="20" t="s">
        <v>163</v>
      </c>
      <c r="K2814" s="378" t="s">
        <v>4056</v>
      </c>
      <c r="L2814" s="378" t="s">
        <v>2774</v>
      </c>
      <c r="M2814" s="380"/>
      <c r="N2814" s="380">
        <v>0</v>
      </c>
      <c r="O2814" s="380"/>
      <c r="P2814" s="380"/>
      <c r="Q2814" s="381">
        <v>3.94</v>
      </c>
      <c r="R2814" s="381">
        <v>0</v>
      </c>
      <c r="S2814" s="381">
        <v>0</v>
      </c>
      <c r="T2814" s="381"/>
      <c r="U2814" s="381"/>
      <c r="V2814" s="382">
        <v>3.94</v>
      </c>
      <c r="W2814" s="382">
        <v>0</v>
      </c>
      <c r="X2814" s="381">
        <v>3.94</v>
      </c>
      <c r="Y2814" s="381">
        <v>0</v>
      </c>
      <c r="Z2814" s="381">
        <v>0</v>
      </c>
      <c r="AA2814" s="381">
        <v>0</v>
      </c>
      <c r="AB2814" s="381">
        <v>0</v>
      </c>
      <c r="AC2814" s="382">
        <v>3.94</v>
      </c>
      <c r="AD2814" s="382">
        <v>0</v>
      </c>
      <c r="AE2814" s="381" t="s">
        <v>168</v>
      </c>
    </row>
    <row r="2815" spans="1:31" ht="15" customHeight="1" x14ac:dyDescent="0.25">
      <c r="A2815" s="20" t="s">
        <v>4053</v>
      </c>
      <c r="B2815" s="20"/>
      <c r="C2815" s="20" t="s">
        <v>3897</v>
      </c>
      <c r="D2815" s="378" t="s">
        <v>4094</v>
      </c>
      <c r="E2815" s="384">
        <v>43321</v>
      </c>
      <c r="F2815" s="384">
        <v>45147</v>
      </c>
      <c r="G2815" s="378" t="s">
        <v>439</v>
      </c>
      <c r="H2815" s="20" t="s">
        <v>4055</v>
      </c>
      <c r="I2815" s="20" t="s">
        <v>162</v>
      </c>
      <c r="J2815" s="20" t="s">
        <v>163</v>
      </c>
      <c r="K2815" s="378" t="s">
        <v>4056</v>
      </c>
      <c r="L2815" s="378" t="s">
        <v>2774</v>
      </c>
      <c r="M2815" s="380"/>
      <c r="N2815" s="380">
        <v>0</v>
      </c>
      <c r="O2815" s="380"/>
      <c r="P2815" s="380"/>
      <c r="Q2815" s="381">
        <v>3.6</v>
      </c>
      <c r="R2815" s="381">
        <v>0</v>
      </c>
      <c r="S2815" s="381">
        <v>0</v>
      </c>
      <c r="T2815" s="381"/>
      <c r="U2815" s="381"/>
      <c r="V2815" s="382">
        <v>3.6</v>
      </c>
      <c r="W2815" s="382">
        <v>0</v>
      </c>
      <c r="X2815" s="381">
        <v>3.6</v>
      </c>
      <c r="Y2815" s="381">
        <v>0</v>
      </c>
      <c r="Z2815" s="381">
        <v>0</v>
      </c>
      <c r="AA2815" s="381">
        <v>0</v>
      </c>
      <c r="AB2815" s="381">
        <v>0</v>
      </c>
      <c r="AC2815" s="382">
        <v>3.6</v>
      </c>
      <c r="AD2815" s="382">
        <v>0</v>
      </c>
      <c r="AE2815" s="381" t="s">
        <v>168</v>
      </c>
    </row>
    <row r="2816" spans="1:31" ht="15" customHeight="1" x14ac:dyDescent="0.25">
      <c r="A2816" s="20" t="s">
        <v>4053</v>
      </c>
      <c r="B2816" s="20"/>
      <c r="C2816" s="20" t="s">
        <v>3897</v>
      </c>
      <c r="D2816" s="378" t="s">
        <v>4095</v>
      </c>
      <c r="E2816" s="384">
        <v>43321</v>
      </c>
      <c r="F2816" s="384">
        <v>45147</v>
      </c>
      <c r="G2816" s="378" t="s">
        <v>439</v>
      </c>
      <c r="H2816" s="20" t="s">
        <v>4055</v>
      </c>
      <c r="I2816" s="20" t="s">
        <v>162</v>
      </c>
      <c r="J2816" s="20" t="s">
        <v>163</v>
      </c>
      <c r="K2816" s="378" t="s">
        <v>4056</v>
      </c>
      <c r="L2816" s="378" t="s">
        <v>2774</v>
      </c>
      <c r="M2816" s="380"/>
      <c r="N2816" s="380">
        <v>0</v>
      </c>
      <c r="O2816" s="380"/>
      <c r="P2816" s="380"/>
      <c r="Q2816" s="381">
        <v>3.78</v>
      </c>
      <c r="R2816" s="381">
        <v>0</v>
      </c>
      <c r="S2816" s="381">
        <v>0</v>
      </c>
      <c r="T2816" s="381"/>
      <c r="U2816" s="381"/>
      <c r="V2816" s="382">
        <v>3.78</v>
      </c>
      <c r="W2816" s="382">
        <v>0</v>
      </c>
      <c r="X2816" s="381">
        <v>3.78</v>
      </c>
      <c r="Y2816" s="381">
        <v>0</v>
      </c>
      <c r="Z2816" s="381">
        <v>0</v>
      </c>
      <c r="AA2816" s="381">
        <v>0</v>
      </c>
      <c r="AB2816" s="381">
        <v>0</v>
      </c>
      <c r="AC2816" s="382">
        <v>3.78</v>
      </c>
      <c r="AD2816" s="382">
        <v>0</v>
      </c>
      <c r="AE2816" s="381" t="s">
        <v>168</v>
      </c>
    </row>
    <row r="2817" spans="1:31" ht="15" customHeight="1" x14ac:dyDescent="0.25">
      <c r="A2817" s="20" t="s">
        <v>4053</v>
      </c>
      <c r="B2817" s="20"/>
      <c r="C2817" s="20" t="s">
        <v>3897</v>
      </c>
      <c r="D2817" s="378" t="s">
        <v>4096</v>
      </c>
      <c r="E2817" s="384">
        <v>43321</v>
      </c>
      <c r="F2817" s="384">
        <v>45147</v>
      </c>
      <c r="G2817" s="378" t="s">
        <v>439</v>
      </c>
      <c r="H2817" s="20" t="s">
        <v>4055</v>
      </c>
      <c r="I2817" s="20" t="s">
        <v>162</v>
      </c>
      <c r="J2817" s="20" t="s">
        <v>163</v>
      </c>
      <c r="K2817" s="378" t="s">
        <v>4056</v>
      </c>
      <c r="L2817" s="378" t="s">
        <v>2774</v>
      </c>
      <c r="M2817" s="380"/>
      <c r="N2817" s="380">
        <v>0</v>
      </c>
      <c r="O2817" s="380"/>
      <c r="P2817" s="380"/>
      <c r="Q2817" s="381">
        <v>3.67</v>
      </c>
      <c r="R2817" s="381">
        <v>0</v>
      </c>
      <c r="S2817" s="381">
        <v>0</v>
      </c>
      <c r="T2817" s="381"/>
      <c r="U2817" s="381"/>
      <c r="V2817" s="382">
        <v>3.67</v>
      </c>
      <c r="W2817" s="382">
        <v>0</v>
      </c>
      <c r="X2817" s="381">
        <v>3.67</v>
      </c>
      <c r="Y2817" s="381">
        <v>0</v>
      </c>
      <c r="Z2817" s="381">
        <v>0</v>
      </c>
      <c r="AA2817" s="381">
        <v>0</v>
      </c>
      <c r="AB2817" s="381">
        <v>0</v>
      </c>
      <c r="AC2817" s="382">
        <v>3.67</v>
      </c>
      <c r="AD2817" s="382">
        <v>0</v>
      </c>
      <c r="AE2817" s="381" t="s">
        <v>168</v>
      </c>
    </row>
    <row r="2818" spans="1:31" ht="15" customHeight="1" x14ac:dyDescent="0.25">
      <c r="A2818" s="20" t="s">
        <v>4053</v>
      </c>
      <c r="B2818" s="20"/>
      <c r="C2818" s="20" t="s">
        <v>3897</v>
      </c>
      <c r="D2818" s="378" t="s">
        <v>4097</v>
      </c>
      <c r="E2818" s="384">
        <v>43321</v>
      </c>
      <c r="F2818" s="384">
        <v>45147</v>
      </c>
      <c r="G2818" s="378" t="s">
        <v>439</v>
      </c>
      <c r="H2818" s="20" t="s">
        <v>4055</v>
      </c>
      <c r="I2818" s="20" t="s">
        <v>162</v>
      </c>
      <c r="J2818" s="20" t="s">
        <v>163</v>
      </c>
      <c r="K2818" s="378" t="s">
        <v>4056</v>
      </c>
      <c r="L2818" s="378" t="s">
        <v>2774</v>
      </c>
      <c r="M2818" s="380"/>
      <c r="N2818" s="380">
        <v>0</v>
      </c>
      <c r="O2818" s="380"/>
      <c r="P2818" s="380"/>
      <c r="Q2818" s="381">
        <v>3.79</v>
      </c>
      <c r="R2818" s="381">
        <v>0</v>
      </c>
      <c r="S2818" s="381">
        <v>0</v>
      </c>
      <c r="T2818" s="381"/>
      <c r="U2818" s="381"/>
      <c r="V2818" s="382">
        <v>3.79</v>
      </c>
      <c r="W2818" s="382">
        <v>0</v>
      </c>
      <c r="X2818" s="381">
        <v>3.79</v>
      </c>
      <c r="Y2818" s="381">
        <v>0</v>
      </c>
      <c r="Z2818" s="381">
        <v>0</v>
      </c>
      <c r="AA2818" s="381">
        <v>0</v>
      </c>
      <c r="AB2818" s="381">
        <v>0</v>
      </c>
      <c r="AC2818" s="382">
        <v>3.79</v>
      </c>
      <c r="AD2818" s="382">
        <v>0</v>
      </c>
      <c r="AE2818" s="381" t="s">
        <v>168</v>
      </c>
    </row>
    <row r="2819" spans="1:31" ht="15" customHeight="1" x14ac:dyDescent="0.25">
      <c r="A2819" s="20" t="s">
        <v>4053</v>
      </c>
      <c r="B2819" s="20"/>
      <c r="C2819" s="20" t="s">
        <v>3897</v>
      </c>
      <c r="D2819" s="378" t="s">
        <v>4098</v>
      </c>
      <c r="E2819" s="384">
        <v>43321</v>
      </c>
      <c r="F2819" s="384">
        <v>45147</v>
      </c>
      <c r="G2819" s="378" t="s">
        <v>439</v>
      </c>
      <c r="H2819" s="20" t="s">
        <v>4055</v>
      </c>
      <c r="I2819" s="20" t="s">
        <v>162</v>
      </c>
      <c r="J2819" s="20" t="s">
        <v>163</v>
      </c>
      <c r="K2819" s="378" t="s">
        <v>4056</v>
      </c>
      <c r="L2819" s="378" t="s">
        <v>2774</v>
      </c>
      <c r="M2819" s="380"/>
      <c r="N2819" s="380">
        <v>0</v>
      </c>
      <c r="O2819" s="380"/>
      <c r="P2819" s="380"/>
      <c r="Q2819" s="381">
        <v>3.54</v>
      </c>
      <c r="R2819" s="381">
        <v>0</v>
      </c>
      <c r="S2819" s="381">
        <v>0</v>
      </c>
      <c r="T2819" s="381"/>
      <c r="U2819" s="381"/>
      <c r="V2819" s="382">
        <v>3.54</v>
      </c>
      <c r="W2819" s="382">
        <v>0</v>
      </c>
      <c r="X2819" s="381">
        <v>3.54</v>
      </c>
      <c r="Y2819" s="381">
        <v>0</v>
      </c>
      <c r="Z2819" s="381">
        <v>0</v>
      </c>
      <c r="AA2819" s="381">
        <v>0</v>
      </c>
      <c r="AB2819" s="381">
        <v>0</v>
      </c>
      <c r="AC2819" s="382">
        <v>3.54</v>
      </c>
      <c r="AD2819" s="382">
        <v>0</v>
      </c>
      <c r="AE2819" s="381" t="s">
        <v>168</v>
      </c>
    </row>
    <row r="2820" spans="1:31" ht="15" customHeight="1" x14ac:dyDescent="0.25">
      <c r="A2820" s="20" t="s">
        <v>4053</v>
      </c>
      <c r="B2820" s="20"/>
      <c r="C2820" s="20" t="s">
        <v>3897</v>
      </c>
      <c r="D2820" s="378" t="s">
        <v>4099</v>
      </c>
      <c r="E2820" s="384">
        <v>43321</v>
      </c>
      <c r="F2820" s="384">
        <v>45147</v>
      </c>
      <c r="G2820" s="378" t="s">
        <v>439</v>
      </c>
      <c r="H2820" s="20" t="s">
        <v>4055</v>
      </c>
      <c r="I2820" s="20" t="s">
        <v>162</v>
      </c>
      <c r="J2820" s="20" t="s">
        <v>163</v>
      </c>
      <c r="K2820" s="378" t="s">
        <v>4056</v>
      </c>
      <c r="L2820" s="378" t="s">
        <v>2774</v>
      </c>
      <c r="M2820" s="380"/>
      <c r="N2820" s="380">
        <v>0</v>
      </c>
      <c r="O2820" s="380"/>
      <c r="P2820" s="380"/>
      <c r="Q2820" s="381">
        <v>3.69</v>
      </c>
      <c r="R2820" s="381">
        <v>0</v>
      </c>
      <c r="S2820" s="381">
        <v>0</v>
      </c>
      <c r="T2820" s="381"/>
      <c r="U2820" s="381"/>
      <c r="V2820" s="382">
        <v>3.69</v>
      </c>
      <c r="W2820" s="382">
        <v>0</v>
      </c>
      <c r="X2820" s="381">
        <v>3.69</v>
      </c>
      <c r="Y2820" s="381">
        <v>0</v>
      </c>
      <c r="Z2820" s="381">
        <v>0</v>
      </c>
      <c r="AA2820" s="381">
        <v>0</v>
      </c>
      <c r="AB2820" s="381">
        <v>0</v>
      </c>
      <c r="AC2820" s="382">
        <v>3.69</v>
      </c>
      <c r="AD2820" s="382">
        <v>0</v>
      </c>
      <c r="AE2820" s="381" t="s">
        <v>168</v>
      </c>
    </row>
    <row r="2821" spans="1:31" ht="15" customHeight="1" x14ac:dyDescent="0.25">
      <c r="A2821" s="20" t="s">
        <v>4053</v>
      </c>
      <c r="B2821" s="20"/>
      <c r="C2821" s="20" t="s">
        <v>3897</v>
      </c>
      <c r="D2821" s="378" t="s">
        <v>4100</v>
      </c>
      <c r="E2821" s="384">
        <v>43321</v>
      </c>
      <c r="F2821" s="384">
        <v>45147</v>
      </c>
      <c r="G2821" s="378" t="s">
        <v>439</v>
      </c>
      <c r="H2821" s="20" t="s">
        <v>4055</v>
      </c>
      <c r="I2821" s="20" t="s">
        <v>162</v>
      </c>
      <c r="J2821" s="20" t="s">
        <v>163</v>
      </c>
      <c r="K2821" s="378" t="s">
        <v>4056</v>
      </c>
      <c r="L2821" s="378" t="s">
        <v>2774</v>
      </c>
      <c r="M2821" s="380"/>
      <c r="N2821" s="380">
        <v>0</v>
      </c>
      <c r="O2821" s="380"/>
      <c r="P2821" s="380"/>
      <c r="Q2821" s="381">
        <v>4.57</v>
      </c>
      <c r="R2821" s="381">
        <v>0</v>
      </c>
      <c r="S2821" s="381">
        <v>0</v>
      </c>
      <c r="T2821" s="381"/>
      <c r="U2821" s="381"/>
      <c r="V2821" s="382">
        <v>4.57</v>
      </c>
      <c r="W2821" s="382">
        <v>0</v>
      </c>
      <c r="X2821" s="381">
        <v>4.57</v>
      </c>
      <c r="Y2821" s="381">
        <v>0</v>
      </c>
      <c r="Z2821" s="381">
        <v>0</v>
      </c>
      <c r="AA2821" s="381">
        <v>0</v>
      </c>
      <c r="AB2821" s="381">
        <v>0</v>
      </c>
      <c r="AC2821" s="382">
        <v>4.57</v>
      </c>
      <c r="AD2821" s="382">
        <v>0</v>
      </c>
      <c r="AE2821" s="381" t="s">
        <v>168</v>
      </c>
    </row>
    <row r="2822" spans="1:31" ht="15" customHeight="1" x14ac:dyDescent="0.25">
      <c r="A2822" s="20" t="s">
        <v>4053</v>
      </c>
      <c r="B2822" s="20"/>
      <c r="C2822" s="20" t="s">
        <v>3897</v>
      </c>
      <c r="D2822" s="378" t="s">
        <v>4101</v>
      </c>
      <c r="E2822" s="384">
        <v>43321</v>
      </c>
      <c r="F2822" s="384">
        <v>45147</v>
      </c>
      <c r="G2822" s="378" t="s">
        <v>439</v>
      </c>
      <c r="H2822" s="20" t="s">
        <v>4055</v>
      </c>
      <c r="I2822" s="20" t="s">
        <v>162</v>
      </c>
      <c r="J2822" s="20" t="s">
        <v>163</v>
      </c>
      <c r="K2822" s="378" t="s">
        <v>4056</v>
      </c>
      <c r="L2822" s="378" t="s">
        <v>2774</v>
      </c>
      <c r="M2822" s="380"/>
      <c r="N2822" s="380">
        <v>0</v>
      </c>
      <c r="O2822" s="380"/>
      <c r="P2822" s="380"/>
      <c r="Q2822" s="381">
        <v>4.71</v>
      </c>
      <c r="R2822" s="381">
        <v>0</v>
      </c>
      <c r="S2822" s="381">
        <v>0</v>
      </c>
      <c r="T2822" s="381"/>
      <c r="U2822" s="381"/>
      <c r="V2822" s="382">
        <v>4.71</v>
      </c>
      <c r="W2822" s="382">
        <v>0</v>
      </c>
      <c r="X2822" s="381">
        <v>4.71</v>
      </c>
      <c r="Y2822" s="381">
        <v>0</v>
      </c>
      <c r="Z2822" s="381">
        <v>0</v>
      </c>
      <c r="AA2822" s="381">
        <v>0</v>
      </c>
      <c r="AB2822" s="381">
        <v>0</v>
      </c>
      <c r="AC2822" s="382">
        <v>4.71</v>
      </c>
      <c r="AD2822" s="382">
        <v>0</v>
      </c>
      <c r="AE2822" s="381" t="s">
        <v>168</v>
      </c>
    </row>
    <row r="2823" spans="1:31" ht="15" customHeight="1" x14ac:dyDescent="0.25">
      <c r="A2823" s="20" t="s">
        <v>4053</v>
      </c>
      <c r="B2823" s="20"/>
      <c r="C2823" s="20" t="s">
        <v>3897</v>
      </c>
      <c r="D2823" s="378" t="s">
        <v>4102</v>
      </c>
      <c r="E2823" s="384">
        <v>43321</v>
      </c>
      <c r="F2823" s="384">
        <v>45147</v>
      </c>
      <c r="G2823" s="378" t="s">
        <v>439</v>
      </c>
      <c r="H2823" s="20" t="s">
        <v>4055</v>
      </c>
      <c r="I2823" s="20" t="s">
        <v>162</v>
      </c>
      <c r="J2823" s="20" t="s">
        <v>163</v>
      </c>
      <c r="K2823" s="378" t="s">
        <v>4056</v>
      </c>
      <c r="L2823" s="378" t="s">
        <v>2774</v>
      </c>
      <c r="M2823" s="380"/>
      <c r="N2823" s="380">
        <v>0</v>
      </c>
      <c r="O2823" s="380"/>
      <c r="P2823" s="380"/>
      <c r="Q2823" s="381">
        <v>3.67</v>
      </c>
      <c r="R2823" s="381">
        <v>0</v>
      </c>
      <c r="S2823" s="381">
        <v>0</v>
      </c>
      <c r="T2823" s="381"/>
      <c r="U2823" s="381"/>
      <c r="V2823" s="382">
        <v>3.67</v>
      </c>
      <c r="W2823" s="382">
        <v>0</v>
      </c>
      <c r="X2823" s="381">
        <v>3.67</v>
      </c>
      <c r="Y2823" s="381">
        <v>0</v>
      </c>
      <c r="Z2823" s="381">
        <v>0</v>
      </c>
      <c r="AA2823" s="381">
        <v>0</v>
      </c>
      <c r="AB2823" s="381">
        <v>0</v>
      </c>
      <c r="AC2823" s="382">
        <v>3.67</v>
      </c>
      <c r="AD2823" s="382">
        <v>0</v>
      </c>
      <c r="AE2823" s="381" t="s">
        <v>168</v>
      </c>
    </row>
    <row r="2824" spans="1:31" ht="15" customHeight="1" x14ac:dyDescent="0.25">
      <c r="A2824" s="20" t="s">
        <v>4053</v>
      </c>
      <c r="B2824" s="20"/>
      <c r="C2824" s="20" t="s">
        <v>3897</v>
      </c>
      <c r="D2824" s="378" t="s">
        <v>4103</v>
      </c>
      <c r="E2824" s="384">
        <v>43321</v>
      </c>
      <c r="F2824" s="384">
        <v>45147</v>
      </c>
      <c r="G2824" s="378" t="s">
        <v>439</v>
      </c>
      <c r="H2824" s="20" t="s">
        <v>4055</v>
      </c>
      <c r="I2824" s="20" t="s">
        <v>162</v>
      </c>
      <c r="J2824" s="20" t="s">
        <v>163</v>
      </c>
      <c r="K2824" s="378" t="s">
        <v>4056</v>
      </c>
      <c r="L2824" s="378" t="s">
        <v>2774</v>
      </c>
      <c r="M2824" s="380"/>
      <c r="N2824" s="380">
        <v>0</v>
      </c>
      <c r="O2824" s="380"/>
      <c r="P2824" s="380"/>
      <c r="Q2824" s="381">
        <v>3.78</v>
      </c>
      <c r="R2824" s="381">
        <v>0</v>
      </c>
      <c r="S2824" s="381">
        <v>0</v>
      </c>
      <c r="T2824" s="381"/>
      <c r="U2824" s="381"/>
      <c r="V2824" s="382">
        <v>3.78</v>
      </c>
      <c r="W2824" s="382">
        <v>0</v>
      </c>
      <c r="X2824" s="381">
        <v>3.78</v>
      </c>
      <c r="Y2824" s="381">
        <v>0</v>
      </c>
      <c r="Z2824" s="381">
        <v>0</v>
      </c>
      <c r="AA2824" s="381">
        <v>0</v>
      </c>
      <c r="AB2824" s="381">
        <v>0</v>
      </c>
      <c r="AC2824" s="382">
        <v>3.78</v>
      </c>
      <c r="AD2824" s="382">
        <v>0</v>
      </c>
      <c r="AE2824" s="381" t="s">
        <v>168</v>
      </c>
    </row>
    <row r="2825" spans="1:31" ht="15" customHeight="1" x14ac:dyDescent="0.25">
      <c r="A2825" s="20" t="s">
        <v>4053</v>
      </c>
      <c r="B2825" s="20"/>
      <c r="C2825" s="20" t="s">
        <v>3897</v>
      </c>
      <c r="D2825" s="378" t="s">
        <v>4104</v>
      </c>
      <c r="E2825" s="384">
        <v>43321</v>
      </c>
      <c r="F2825" s="384">
        <v>45147</v>
      </c>
      <c r="G2825" s="378" t="s">
        <v>439</v>
      </c>
      <c r="H2825" s="20" t="s">
        <v>4055</v>
      </c>
      <c r="I2825" s="20" t="s">
        <v>162</v>
      </c>
      <c r="J2825" s="20" t="s">
        <v>163</v>
      </c>
      <c r="K2825" s="378" t="s">
        <v>4056</v>
      </c>
      <c r="L2825" s="378" t="s">
        <v>2774</v>
      </c>
      <c r="M2825" s="380"/>
      <c r="N2825" s="380">
        <v>0</v>
      </c>
      <c r="O2825" s="380"/>
      <c r="P2825" s="380"/>
      <c r="Q2825" s="381">
        <v>3.71</v>
      </c>
      <c r="R2825" s="381">
        <v>0</v>
      </c>
      <c r="S2825" s="381">
        <v>0</v>
      </c>
      <c r="T2825" s="381"/>
      <c r="U2825" s="381"/>
      <c r="V2825" s="382">
        <v>3.71</v>
      </c>
      <c r="W2825" s="382">
        <v>0</v>
      </c>
      <c r="X2825" s="381">
        <v>3.71</v>
      </c>
      <c r="Y2825" s="381">
        <v>0</v>
      </c>
      <c r="Z2825" s="381">
        <v>0</v>
      </c>
      <c r="AA2825" s="381">
        <v>0</v>
      </c>
      <c r="AB2825" s="381">
        <v>0</v>
      </c>
      <c r="AC2825" s="382">
        <v>3.71</v>
      </c>
      <c r="AD2825" s="382">
        <v>0</v>
      </c>
      <c r="AE2825" s="381" t="s">
        <v>168</v>
      </c>
    </row>
    <row r="2826" spans="1:31" ht="15" customHeight="1" x14ac:dyDescent="0.25">
      <c r="A2826" s="20" t="s">
        <v>4053</v>
      </c>
      <c r="B2826" s="20"/>
      <c r="C2826" s="20" t="s">
        <v>3897</v>
      </c>
      <c r="D2826" s="378" t="s">
        <v>4105</v>
      </c>
      <c r="E2826" s="384">
        <v>43321</v>
      </c>
      <c r="F2826" s="384">
        <v>45147</v>
      </c>
      <c r="G2826" s="378" t="s">
        <v>439</v>
      </c>
      <c r="H2826" s="20" t="s">
        <v>4055</v>
      </c>
      <c r="I2826" s="20" t="s">
        <v>162</v>
      </c>
      <c r="J2826" s="20" t="s">
        <v>163</v>
      </c>
      <c r="K2826" s="378" t="s">
        <v>4056</v>
      </c>
      <c r="L2826" s="378" t="s">
        <v>2774</v>
      </c>
      <c r="M2826" s="380"/>
      <c r="N2826" s="380">
        <v>0</v>
      </c>
      <c r="O2826" s="380"/>
      <c r="P2826" s="380"/>
      <c r="Q2826" s="381">
        <v>4.16</v>
      </c>
      <c r="R2826" s="381">
        <v>0</v>
      </c>
      <c r="S2826" s="381">
        <v>0</v>
      </c>
      <c r="T2826" s="381"/>
      <c r="U2826" s="381"/>
      <c r="V2826" s="382">
        <v>4.16</v>
      </c>
      <c r="W2826" s="382">
        <v>0</v>
      </c>
      <c r="X2826" s="381">
        <v>4.16</v>
      </c>
      <c r="Y2826" s="381">
        <v>0</v>
      </c>
      <c r="Z2826" s="381">
        <v>0</v>
      </c>
      <c r="AA2826" s="381">
        <v>0</v>
      </c>
      <c r="AB2826" s="381">
        <v>0</v>
      </c>
      <c r="AC2826" s="382">
        <v>4.16</v>
      </c>
      <c r="AD2826" s="382">
        <v>0</v>
      </c>
      <c r="AE2826" s="381" t="s">
        <v>168</v>
      </c>
    </row>
    <row r="2827" spans="1:31" ht="15" customHeight="1" x14ac:dyDescent="0.25">
      <c r="A2827" s="20" t="s">
        <v>4053</v>
      </c>
      <c r="B2827" s="20"/>
      <c r="C2827" s="20" t="s">
        <v>3897</v>
      </c>
      <c r="D2827" s="378" t="s">
        <v>4106</v>
      </c>
      <c r="E2827" s="384">
        <v>43321</v>
      </c>
      <c r="F2827" s="384">
        <v>45147</v>
      </c>
      <c r="G2827" s="378" t="s">
        <v>439</v>
      </c>
      <c r="H2827" s="20" t="s">
        <v>4055</v>
      </c>
      <c r="I2827" s="20" t="s">
        <v>162</v>
      </c>
      <c r="J2827" s="20" t="s">
        <v>163</v>
      </c>
      <c r="K2827" s="378" t="s">
        <v>4056</v>
      </c>
      <c r="L2827" s="378" t="s">
        <v>2774</v>
      </c>
      <c r="M2827" s="380"/>
      <c r="N2827" s="380">
        <v>0</v>
      </c>
      <c r="O2827" s="380"/>
      <c r="P2827" s="380"/>
      <c r="Q2827" s="381">
        <v>4.29</v>
      </c>
      <c r="R2827" s="381">
        <v>0</v>
      </c>
      <c r="S2827" s="381">
        <v>0</v>
      </c>
      <c r="T2827" s="381"/>
      <c r="U2827" s="381"/>
      <c r="V2827" s="382">
        <v>4.29</v>
      </c>
      <c r="W2827" s="382">
        <v>0</v>
      </c>
      <c r="X2827" s="381">
        <v>4.29</v>
      </c>
      <c r="Y2827" s="381">
        <v>0</v>
      </c>
      <c r="Z2827" s="381">
        <v>0</v>
      </c>
      <c r="AA2827" s="381">
        <v>0</v>
      </c>
      <c r="AB2827" s="381">
        <v>0</v>
      </c>
      <c r="AC2827" s="382">
        <v>4.29</v>
      </c>
      <c r="AD2827" s="382">
        <v>0</v>
      </c>
      <c r="AE2827" s="381" t="s">
        <v>168</v>
      </c>
    </row>
    <row r="2828" spans="1:31" ht="15" customHeight="1" x14ac:dyDescent="0.25">
      <c r="A2828" s="20" t="s">
        <v>4053</v>
      </c>
      <c r="B2828" s="20"/>
      <c r="C2828" s="20" t="s">
        <v>3897</v>
      </c>
      <c r="D2828" s="378" t="s">
        <v>4107</v>
      </c>
      <c r="E2828" s="384">
        <v>43321</v>
      </c>
      <c r="F2828" s="384">
        <v>45147</v>
      </c>
      <c r="G2828" s="378" t="s">
        <v>439</v>
      </c>
      <c r="H2828" s="20" t="s">
        <v>4055</v>
      </c>
      <c r="I2828" s="20" t="s">
        <v>162</v>
      </c>
      <c r="J2828" s="20" t="s">
        <v>163</v>
      </c>
      <c r="K2828" s="378" t="s">
        <v>4056</v>
      </c>
      <c r="L2828" s="378" t="s">
        <v>2774</v>
      </c>
      <c r="M2828" s="380"/>
      <c r="N2828" s="380">
        <v>0</v>
      </c>
      <c r="O2828" s="380"/>
      <c r="P2828" s="380"/>
      <c r="Q2828" s="381">
        <v>4.5199999999999996</v>
      </c>
      <c r="R2828" s="381">
        <v>0</v>
      </c>
      <c r="S2828" s="381">
        <v>0</v>
      </c>
      <c r="T2828" s="381"/>
      <c r="U2828" s="381"/>
      <c r="V2828" s="382">
        <v>4.5199999999999996</v>
      </c>
      <c r="W2828" s="382">
        <v>0</v>
      </c>
      <c r="X2828" s="381">
        <v>4.5199999999999996</v>
      </c>
      <c r="Y2828" s="381">
        <v>0</v>
      </c>
      <c r="Z2828" s="381">
        <v>0</v>
      </c>
      <c r="AA2828" s="381">
        <v>0</v>
      </c>
      <c r="AB2828" s="381">
        <v>0</v>
      </c>
      <c r="AC2828" s="382">
        <v>4.5199999999999996</v>
      </c>
      <c r="AD2828" s="382">
        <v>0</v>
      </c>
      <c r="AE2828" s="381" t="s">
        <v>168</v>
      </c>
    </row>
    <row r="2829" spans="1:31" ht="15" customHeight="1" x14ac:dyDescent="0.25">
      <c r="A2829" s="20" t="s">
        <v>4053</v>
      </c>
      <c r="B2829" s="20"/>
      <c r="C2829" s="20" t="s">
        <v>3897</v>
      </c>
      <c r="D2829" s="378" t="s">
        <v>4108</v>
      </c>
      <c r="E2829" s="384">
        <v>43321</v>
      </c>
      <c r="F2829" s="384">
        <v>45147</v>
      </c>
      <c r="G2829" s="378" t="s">
        <v>439</v>
      </c>
      <c r="H2829" s="20" t="s">
        <v>4055</v>
      </c>
      <c r="I2829" s="20" t="s">
        <v>162</v>
      </c>
      <c r="J2829" s="20" t="s">
        <v>163</v>
      </c>
      <c r="K2829" s="378" t="s">
        <v>4056</v>
      </c>
      <c r="L2829" s="378" t="s">
        <v>2774</v>
      </c>
      <c r="M2829" s="380"/>
      <c r="N2829" s="380">
        <v>0</v>
      </c>
      <c r="O2829" s="380"/>
      <c r="P2829" s="380"/>
      <c r="Q2829" s="381">
        <v>4.28</v>
      </c>
      <c r="R2829" s="381">
        <v>0</v>
      </c>
      <c r="S2829" s="381">
        <v>0</v>
      </c>
      <c r="T2829" s="381"/>
      <c r="U2829" s="381"/>
      <c r="V2829" s="382">
        <v>4.28</v>
      </c>
      <c r="W2829" s="382">
        <v>0</v>
      </c>
      <c r="X2829" s="381">
        <v>4.28</v>
      </c>
      <c r="Y2829" s="381">
        <v>0</v>
      </c>
      <c r="Z2829" s="381">
        <v>0</v>
      </c>
      <c r="AA2829" s="381">
        <v>0</v>
      </c>
      <c r="AB2829" s="381">
        <v>0</v>
      </c>
      <c r="AC2829" s="382">
        <v>4.28</v>
      </c>
      <c r="AD2829" s="382">
        <v>0</v>
      </c>
      <c r="AE2829" s="381" t="s">
        <v>168</v>
      </c>
    </row>
    <row r="2830" spans="1:31" ht="15" customHeight="1" x14ac:dyDescent="0.25">
      <c r="A2830" s="20" t="s">
        <v>4053</v>
      </c>
      <c r="B2830" s="20"/>
      <c r="C2830" s="20" t="s">
        <v>3897</v>
      </c>
      <c r="D2830" s="378" t="s">
        <v>4109</v>
      </c>
      <c r="E2830" s="384">
        <v>43321</v>
      </c>
      <c r="F2830" s="384">
        <v>45147</v>
      </c>
      <c r="G2830" s="378" t="s">
        <v>439</v>
      </c>
      <c r="H2830" s="20" t="s">
        <v>4055</v>
      </c>
      <c r="I2830" s="20" t="s">
        <v>162</v>
      </c>
      <c r="J2830" s="20" t="s">
        <v>163</v>
      </c>
      <c r="K2830" s="378" t="s">
        <v>4056</v>
      </c>
      <c r="L2830" s="378" t="s">
        <v>2774</v>
      </c>
      <c r="M2830" s="380"/>
      <c r="N2830" s="380">
        <v>0</v>
      </c>
      <c r="O2830" s="380"/>
      <c r="P2830" s="380"/>
      <c r="Q2830" s="381">
        <v>4.42</v>
      </c>
      <c r="R2830" s="381">
        <v>0</v>
      </c>
      <c r="S2830" s="381">
        <v>0</v>
      </c>
      <c r="T2830" s="381"/>
      <c r="U2830" s="381"/>
      <c r="V2830" s="382">
        <v>4.42</v>
      </c>
      <c r="W2830" s="382">
        <v>0</v>
      </c>
      <c r="X2830" s="381">
        <v>4.42</v>
      </c>
      <c r="Y2830" s="381">
        <v>0</v>
      </c>
      <c r="Z2830" s="381">
        <v>0</v>
      </c>
      <c r="AA2830" s="381">
        <v>0</v>
      </c>
      <c r="AB2830" s="381">
        <v>0</v>
      </c>
      <c r="AC2830" s="382">
        <v>4.42</v>
      </c>
      <c r="AD2830" s="382">
        <v>0</v>
      </c>
      <c r="AE2830" s="381" t="s">
        <v>168</v>
      </c>
    </row>
    <row r="2831" spans="1:31" ht="15" customHeight="1" x14ac:dyDescent="0.25">
      <c r="A2831" s="20" t="s">
        <v>4053</v>
      </c>
      <c r="B2831" s="20"/>
      <c r="C2831" s="20" t="s">
        <v>3897</v>
      </c>
      <c r="D2831" s="378" t="s">
        <v>4110</v>
      </c>
      <c r="E2831" s="384">
        <v>43321</v>
      </c>
      <c r="F2831" s="384">
        <v>45147</v>
      </c>
      <c r="G2831" s="378" t="s">
        <v>439</v>
      </c>
      <c r="H2831" s="20" t="s">
        <v>4055</v>
      </c>
      <c r="I2831" s="20" t="s">
        <v>162</v>
      </c>
      <c r="J2831" s="20" t="s">
        <v>163</v>
      </c>
      <c r="K2831" s="378" t="s">
        <v>4056</v>
      </c>
      <c r="L2831" s="378" t="s">
        <v>2774</v>
      </c>
      <c r="M2831" s="380"/>
      <c r="N2831" s="380">
        <v>0</v>
      </c>
      <c r="O2831" s="380"/>
      <c r="P2831" s="380"/>
      <c r="Q2831" s="381">
        <v>3.73</v>
      </c>
      <c r="R2831" s="381">
        <v>0</v>
      </c>
      <c r="S2831" s="381">
        <v>0</v>
      </c>
      <c r="T2831" s="381"/>
      <c r="U2831" s="381"/>
      <c r="V2831" s="382">
        <v>3.73</v>
      </c>
      <c r="W2831" s="382">
        <v>0</v>
      </c>
      <c r="X2831" s="381">
        <v>3.73</v>
      </c>
      <c r="Y2831" s="381">
        <v>0</v>
      </c>
      <c r="Z2831" s="381">
        <v>0</v>
      </c>
      <c r="AA2831" s="381">
        <v>0</v>
      </c>
      <c r="AB2831" s="381">
        <v>0</v>
      </c>
      <c r="AC2831" s="382">
        <v>3.73</v>
      </c>
      <c r="AD2831" s="382">
        <v>0</v>
      </c>
      <c r="AE2831" s="381" t="s">
        <v>168</v>
      </c>
    </row>
    <row r="2832" spans="1:31" ht="15" customHeight="1" x14ac:dyDescent="0.25">
      <c r="A2832" s="20" t="s">
        <v>4053</v>
      </c>
      <c r="B2832" s="20"/>
      <c r="C2832" s="20" t="s">
        <v>3897</v>
      </c>
      <c r="D2832" s="378" t="s">
        <v>4111</v>
      </c>
      <c r="E2832" s="384">
        <v>43321</v>
      </c>
      <c r="F2832" s="384">
        <v>45147</v>
      </c>
      <c r="G2832" s="378" t="s">
        <v>439</v>
      </c>
      <c r="H2832" s="20" t="s">
        <v>4055</v>
      </c>
      <c r="I2832" s="20" t="s">
        <v>162</v>
      </c>
      <c r="J2832" s="20" t="s">
        <v>163</v>
      </c>
      <c r="K2832" s="378" t="s">
        <v>4056</v>
      </c>
      <c r="L2832" s="378" t="s">
        <v>2774</v>
      </c>
      <c r="M2832" s="380"/>
      <c r="N2832" s="380">
        <v>0</v>
      </c>
      <c r="O2832" s="380"/>
      <c r="P2832" s="380"/>
      <c r="Q2832" s="381">
        <v>4.2</v>
      </c>
      <c r="R2832" s="381">
        <v>0</v>
      </c>
      <c r="S2832" s="381">
        <v>0</v>
      </c>
      <c r="T2832" s="381"/>
      <c r="U2832" s="381"/>
      <c r="V2832" s="382">
        <v>4.2</v>
      </c>
      <c r="W2832" s="382">
        <v>0</v>
      </c>
      <c r="X2832" s="381">
        <v>4.2</v>
      </c>
      <c r="Y2832" s="381">
        <v>0</v>
      </c>
      <c r="Z2832" s="381">
        <v>0</v>
      </c>
      <c r="AA2832" s="381">
        <v>0</v>
      </c>
      <c r="AB2832" s="381">
        <v>0</v>
      </c>
      <c r="AC2832" s="382">
        <v>4.2</v>
      </c>
      <c r="AD2832" s="382">
        <v>0</v>
      </c>
      <c r="AE2832" s="381" t="s">
        <v>168</v>
      </c>
    </row>
    <row r="2833" spans="1:31" ht="15" customHeight="1" x14ac:dyDescent="0.25">
      <c r="A2833" s="20" t="s">
        <v>4053</v>
      </c>
      <c r="B2833" s="20"/>
      <c r="C2833" s="20" t="s">
        <v>3897</v>
      </c>
      <c r="D2833" s="378" t="s">
        <v>4112</v>
      </c>
      <c r="E2833" s="384">
        <v>43321</v>
      </c>
      <c r="F2833" s="384">
        <v>45147</v>
      </c>
      <c r="G2833" s="378" t="s">
        <v>439</v>
      </c>
      <c r="H2833" s="20" t="s">
        <v>4055</v>
      </c>
      <c r="I2833" s="20" t="s">
        <v>162</v>
      </c>
      <c r="J2833" s="20" t="s">
        <v>163</v>
      </c>
      <c r="K2833" s="378" t="s">
        <v>4056</v>
      </c>
      <c r="L2833" s="378" t="s">
        <v>2774</v>
      </c>
      <c r="M2833" s="380"/>
      <c r="N2833" s="380">
        <v>0</v>
      </c>
      <c r="O2833" s="380"/>
      <c r="P2833" s="380"/>
      <c r="Q2833" s="381">
        <v>3.36</v>
      </c>
      <c r="R2833" s="381">
        <v>0</v>
      </c>
      <c r="S2833" s="381">
        <v>0</v>
      </c>
      <c r="T2833" s="381"/>
      <c r="U2833" s="381"/>
      <c r="V2833" s="382">
        <v>3.36</v>
      </c>
      <c r="W2833" s="382">
        <v>0</v>
      </c>
      <c r="X2833" s="381">
        <v>3.36</v>
      </c>
      <c r="Y2833" s="381">
        <v>0</v>
      </c>
      <c r="Z2833" s="381">
        <v>0</v>
      </c>
      <c r="AA2833" s="381">
        <v>0</v>
      </c>
      <c r="AB2833" s="381">
        <v>0</v>
      </c>
      <c r="AC2833" s="382">
        <v>3.36</v>
      </c>
      <c r="AD2833" s="382">
        <v>0</v>
      </c>
      <c r="AE2833" s="381" t="s">
        <v>168</v>
      </c>
    </row>
    <row r="2834" spans="1:31" ht="15" customHeight="1" x14ac:dyDescent="0.25">
      <c r="A2834" s="20" t="s">
        <v>4053</v>
      </c>
      <c r="B2834" s="20"/>
      <c r="C2834" s="20" t="s">
        <v>3897</v>
      </c>
      <c r="D2834" s="378" t="s">
        <v>4113</v>
      </c>
      <c r="E2834" s="384">
        <v>43321</v>
      </c>
      <c r="F2834" s="384">
        <v>45147</v>
      </c>
      <c r="G2834" s="378" t="s">
        <v>439</v>
      </c>
      <c r="H2834" s="20" t="s">
        <v>4055</v>
      </c>
      <c r="I2834" s="20" t="s">
        <v>162</v>
      </c>
      <c r="J2834" s="20" t="s">
        <v>163</v>
      </c>
      <c r="K2834" s="378" t="s">
        <v>4056</v>
      </c>
      <c r="L2834" s="378" t="s">
        <v>2774</v>
      </c>
      <c r="M2834" s="380"/>
      <c r="N2834" s="380">
        <v>0</v>
      </c>
      <c r="O2834" s="380"/>
      <c r="P2834" s="380"/>
      <c r="Q2834" s="381">
        <v>3.36</v>
      </c>
      <c r="R2834" s="381">
        <v>0</v>
      </c>
      <c r="S2834" s="381">
        <v>0</v>
      </c>
      <c r="T2834" s="381"/>
      <c r="U2834" s="381"/>
      <c r="V2834" s="382">
        <v>3.36</v>
      </c>
      <c r="W2834" s="382">
        <v>0</v>
      </c>
      <c r="X2834" s="381">
        <v>3.36</v>
      </c>
      <c r="Y2834" s="381">
        <v>0</v>
      </c>
      <c r="Z2834" s="381">
        <v>0</v>
      </c>
      <c r="AA2834" s="381">
        <v>0</v>
      </c>
      <c r="AB2834" s="381">
        <v>0</v>
      </c>
      <c r="AC2834" s="382">
        <v>3.36</v>
      </c>
      <c r="AD2834" s="382">
        <v>0</v>
      </c>
      <c r="AE2834" s="381" t="s">
        <v>168</v>
      </c>
    </row>
    <row r="2835" spans="1:31" ht="15" customHeight="1" x14ac:dyDescent="0.25">
      <c r="A2835" s="20" t="s">
        <v>4053</v>
      </c>
      <c r="B2835" s="20"/>
      <c r="C2835" s="20" t="s">
        <v>3897</v>
      </c>
      <c r="D2835" s="378" t="s">
        <v>4114</v>
      </c>
      <c r="E2835" s="384">
        <v>43321</v>
      </c>
      <c r="F2835" s="384">
        <v>45147</v>
      </c>
      <c r="G2835" s="378" t="s">
        <v>439</v>
      </c>
      <c r="H2835" s="20" t="s">
        <v>4055</v>
      </c>
      <c r="I2835" s="20" t="s">
        <v>162</v>
      </c>
      <c r="J2835" s="20" t="s">
        <v>163</v>
      </c>
      <c r="K2835" s="378" t="s">
        <v>4056</v>
      </c>
      <c r="L2835" s="378" t="s">
        <v>2774</v>
      </c>
      <c r="M2835" s="380"/>
      <c r="N2835" s="380">
        <v>0</v>
      </c>
      <c r="O2835" s="380"/>
      <c r="P2835" s="380"/>
      <c r="Q2835" s="381">
        <v>3.44</v>
      </c>
      <c r="R2835" s="381">
        <v>0</v>
      </c>
      <c r="S2835" s="381">
        <v>0</v>
      </c>
      <c r="T2835" s="381"/>
      <c r="U2835" s="381"/>
      <c r="V2835" s="382">
        <v>3.44</v>
      </c>
      <c r="W2835" s="382">
        <v>0</v>
      </c>
      <c r="X2835" s="381">
        <v>3.44</v>
      </c>
      <c r="Y2835" s="381">
        <v>0</v>
      </c>
      <c r="Z2835" s="381">
        <v>0</v>
      </c>
      <c r="AA2835" s="381">
        <v>0</v>
      </c>
      <c r="AB2835" s="381">
        <v>0</v>
      </c>
      <c r="AC2835" s="382">
        <v>3.44</v>
      </c>
      <c r="AD2835" s="382">
        <v>0</v>
      </c>
      <c r="AE2835" s="381" t="s">
        <v>168</v>
      </c>
    </row>
    <row r="2836" spans="1:31" ht="15" customHeight="1" x14ac:dyDescent="0.25">
      <c r="A2836" s="20" t="s">
        <v>4053</v>
      </c>
      <c r="B2836" s="20"/>
      <c r="C2836" s="20" t="s">
        <v>3897</v>
      </c>
      <c r="D2836" s="378" t="s">
        <v>4115</v>
      </c>
      <c r="E2836" s="384">
        <v>43321</v>
      </c>
      <c r="F2836" s="384">
        <v>45147</v>
      </c>
      <c r="G2836" s="378" t="s">
        <v>439</v>
      </c>
      <c r="H2836" s="20" t="s">
        <v>4055</v>
      </c>
      <c r="I2836" s="20" t="s">
        <v>162</v>
      </c>
      <c r="J2836" s="20" t="s">
        <v>163</v>
      </c>
      <c r="K2836" s="378" t="s">
        <v>4056</v>
      </c>
      <c r="L2836" s="378" t="s">
        <v>2774</v>
      </c>
      <c r="M2836" s="380"/>
      <c r="N2836" s="380">
        <v>0</v>
      </c>
      <c r="O2836" s="380"/>
      <c r="P2836" s="380"/>
      <c r="Q2836" s="381">
        <v>4.07</v>
      </c>
      <c r="R2836" s="381">
        <v>0</v>
      </c>
      <c r="S2836" s="381">
        <v>0</v>
      </c>
      <c r="T2836" s="381"/>
      <c r="U2836" s="381"/>
      <c r="V2836" s="382">
        <v>4.07</v>
      </c>
      <c r="W2836" s="382">
        <v>0</v>
      </c>
      <c r="X2836" s="381">
        <v>4.07</v>
      </c>
      <c r="Y2836" s="381">
        <v>0</v>
      </c>
      <c r="Z2836" s="381">
        <v>0</v>
      </c>
      <c r="AA2836" s="381">
        <v>0</v>
      </c>
      <c r="AB2836" s="381">
        <v>0</v>
      </c>
      <c r="AC2836" s="382">
        <v>4.07</v>
      </c>
      <c r="AD2836" s="382">
        <v>0</v>
      </c>
      <c r="AE2836" s="381" t="s">
        <v>168</v>
      </c>
    </row>
    <row r="2837" spans="1:31" ht="15" customHeight="1" x14ac:dyDescent="0.25">
      <c r="A2837" s="20" t="s">
        <v>4053</v>
      </c>
      <c r="B2837" s="20"/>
      <c r="C2837" s="20" t="s">
        <v>3897</v>
      </c>
      <c r="D2837" s="378" t="s">
        <v>4116</v>
      </c>
      <c r="E2837" s="384">
        <v>43321</v>
      </c>
      <c r="F2837" s="384">
        <v>45147</v>
      </c>
      <c r="G2837" s="378" t="s">
        <v>439</v>
      </c>
      <c r="H2837" s="20" t="s">
        <v>4055</v>
      </c>
      <c r="I2837" s="20" t="s">
        <v>162</v>
      </c>
      <c r="J2837" s="20" t="s">
        <v>163</v>
      </c>
      <c r="K2837" s="378" t="s">
        <v>4056</v>
      </c>
      <c r="L2837" s="378" t="s">
        <v>2774</v>
      </c>
      <c r="M2837" s="380"/>
      <c r="N2837" s="380">
        <v>0</v>
      </c>
      <c r="O2837" s="380"/>
      <c r="P2837" s="380"/>
      <c r="Q2837" s="381">
        <v>3.04</v>
      </c>
      <c r="R2837" s="381">
        <v>0</v>
      </c>
      <c r="S2837" s="381">
        <v>0</v>
      </c>
      <c r="T2837" s="381"/>
      <c r="U2837" s="381"/>
      <c r="V2837" s="382">
        <v>3.04</v>
      </c>
      <c r="W2837" s="382">
        <v>0</v>
      </c>
      <c r="X2837" s="381">
        <v>3.04</v>
      </c>
      <c r="Y2837" s="381">
        <v>0</v>
      </c>
      <c r="Z2837" s="381">
        <v>0</v>
      </c>
      <c r="AA2837" s="381">
        <v>0</v>
      </c>
      <c r="AB2837" s="381">
        <v>0</v>
      </c>
      <c r="AC2837" s="382">
        <v>3.04</v>
      </c>
      <c r="AD2837" s="382">
        <v>0</v>
      </c>
      <c r="AE2837" s="381" t="s">
        <v>168</v>
      </c>
    </row>
    <row r="2838" spans="1:31" ht="15" customHeight="1" x14ac:dyDescent="0.25">
      <c r="A2838" s="20" t="s">
        <v>4053</v>
      </c>
      <c r="B2838" s="20"/>
      <c r="C2838" s="20" t="s">
        <v>3897</v>
      </c>
      <c r="D2838" s="378" t="s">
        <v>4117</v>
      </c>
      <c r="E2838" s="384">
        <v>43321</v>
      </c>
      <c r="F2838" s="384">
        <v>45147</v>
      </c>
      <c r="G2838" s="378" t="s">
        <v>439</v>
      </c>
      <c r="H2838" s="20" t="s">
        <v>4055</v>
      </c>
      <c r="I2838" s="20" t="s">
        <v>162</v>
      </c>
      <c r="J2838" s="20" t="s">
        <v>163</v>
      </c>
      <c r="K2838" s="378" t="s">
        <v>4056</v>
      </c>
      <c r="L2838" s="378" t="s">
        <v>2774</v>
      </c>
      <c r="M2838" s="380"/>
      <c r="N2838" s="380">
        <v>0</v>
      </c>
      <c r="O2838" s="380"/>
      <c r="P2838" s="380"/>
      <c r="Q2838" s="381">
        <v>3.3</v>
      </c>
      <c r="R2838" s="381">
        <v>0</v>
      </c>
      <c r="S2838" s="381">
        <v>0</v>
      </c>
      <c r="T2838" s="381"/>
      <c r="U2838" s="381"/>
      <c r="V2838" s="382">
        <v>3.3</v>
      </c>
      <c r="W2838" s="382">
        <v>0</v>
      </c>
      <c r="X2838" s="381">
        <v>3.3</v>
      </c>
      <c r="Y2838" s="381">
        <v>0</v>
      </c>
      <c r="Z2838" s="381">
        <v>0</v>
      </c>
      <c r="AA2838" s="381">
        <v>0</v>
      </c>
      <c r="AB2838" s="381">
        <v>0</v>
      </c>
      <c r="AC2838" s="382">
        <v>3.3</v>
      </c>
      <c r="AD2838" s="382">
        <v>0</v>
      </c>
      <c r="AE2838" s="381" t="s">
        <v>168</v>
      </c>
    </row>
    <row r="2839" spans="1:31" ht="15" customHeight="1" x14ac:dyDescent="0.25">
      <c r="A2839" s="20" t="s">
        <v>4053</v>
      </c>
      <c r="B2839" s="20"/>
      <c r="C2839" s="20" t="s">
        <v>3897</v>
      </c>
      <c r="D2839" s="378" t="s">
        <v>4118</v>
      </c>
      <c r="E2839" s="384">
        <v>43321</v>
      </c>
      <c r="F2839" s="384">
        <v>45147</v>
      </c>
      <c r="G2839" s="378" t="s">
        <v>439</v>
      </c>
      <c r="H2839" s="20" t="s">
        <v>4055</v>
      </c>
      <c r="I2839" s="20" t="s">
        <v>162</v>
      </c>
      <c r="J2839" s="20" t="s">
        <v>163</v>
      </c>
      <c r="K2839" s="378" t="s">
        <v>4056</v>
      </c>
      <c r="L2839" s="378" t="s">
        <v>2774</v>
      </c>
      <c r="M2839" s="380"/>
      <c r="N2839" s="380">
        <v>0</v>
      </c>
      <c r="O2839" s="380"/>
      <c r="P2839" s="380"/>
      <c r="Q2839" s="381">
        <v>3.41</v>
      </c>
      <c r="R2839" s="381">
        <v>0</v>
      </c>
      <c r="S2839" s="381">
        <v>0</v>
      </c>
      <c r="T2839" s="381"/>
      <c r="U2839" s="381"/>
      <c r="V2839" s="382">
        <v>3.41</v>
      </c>
      <c r="W2839" s="382">
        <v>0</v>
      </c>
      <c r="X2839" s="381">
        <v>3.41</v>
      </c>
      <c r="Y2839" s="381">
        <v>0</v>
      </c>
      <c r="Z2839" s="381">
        <v>0</v>
      </c>
      <c r="AA2839" s="381">
        <v>0</v>
      </c>
      <c r="AB2839" s="381">
        <v>0</v>
      </c>
      <c r="AC2839" s="382">
        <v>3.41</v>
      </c>
      <c r="AD2839" s="382">
        <v>0</v>
      </c>
      <c r="AE2839" s="381" t="s">
        <v>168</v>
      </c>
    </row>
    <row r="2840" spans="1:31" ht="15" customHeight="1" x14ac:dyDescent="0.25">
      <c r="A2840" s="20" t="s">
        <v>4053</v>
      </c>
      <c r="B2840" s="20"/>
      <c r="C2840" s="20" t="s">
        <v>3897</v>
      </c>
      <c r="D2840" s="378" t="s">
        <v>4119</v>
      </c>
      <c r="E2840" s="384">
        <v>43321</v>
      </c>
      <c r="F2840" s="384">
        <v>45147</v>
      </c>
      <c r="G2840" s="378" t="s">
        <v>439</v>
      </c>
      <c r="H2840" s="20" t="s">
        <v>4055</v>
      </c>
      <c r="I2840" s="20" t="s">
        <v>162</v>
      </c>
      <c r="J2840" s="20" t="s">
        <v>163</v>
      </c>
      <c r="K2840" s="378" t="s">
        <v>4056</v>
      </c>
      <c r="L2840" s="378" t="s">
        <v>2774</v>
      </c>
      <c r="M2840" s="380"/>
      <c r="N2840" s="380">
        <v>0</v>
      </c>
      <c r="O2840" s="380"/>
      <c r="P2840" s="380"/>
      <c r="Q2840" s="381">
        <v>3.08</v>
      </c>
      <c r="R2840" s="381">
        <v>0</v>
      </c>
      <c r="S2840" s="381">
        <v>0</v>
      </c>
      <c r="T2840" s="381"/>
      <c r="U2840" s="381"/>
      <c r="V2840" s="382">
        <v>3.08</v>
      </c>
      <c r="W2840" s="382">
        <v>0</v>
      </c>
      <c r="X2840" s="381">
        <v>3.08</v>
      </c>
      <c r="Y2840" s="381">
        <v>0</v>
      </c>
      <c r="Z2840" s="381">
        <v>0</v>
      </c>
      <c r="AA2840" s="381">
        <v>0</v>
      </c>
      <c r="AB2840" s="381">
        <v>0</v>
      </c>
      <c r="AC2840" s="382">
        <v>3.08</v>
      </c>
      <c r="AD2840" s="382">
        <v>0</v>
      </c>
      <c r="AE2840" s="381" t="s">
        <v>168</v>
      </c>
    </row>
    <row r="2841" spans="1:31" ht="15" customHeight="1" x14ac:dyDescent="0.25">
      <c r="A2841" s="20" t="s">
        <v>4053</v>
      </c>
      <c r="B2841" s="20"/>
      <c r="C2841" s="20" t="s">
        <v>3897</v>
      </c>
      <c r="D2841" s="378" t="s">
        <v>4120</v>
      </c>
      <c r="E2841" s="384">
        <v>43321</v>
      </c>
      <c r="F2841" s="384">
        <v>45147</v>
      </c>
      <c r="G2841" s="378" t="s">
        <v>439</v>
      </c>
      <c r="H2841" s="20" t="s">
        <v>4055</v>
      </c>
      <c r="I2841" s="20" t="s">
        <v>162</v>
      </c>
      <c r="J2841" s="20" t="s">
        <v>163</v>
      </c>
      <c r="K2841" s="378" t="s">
        <v>4056</v>
      </c>
      <c r="L2841" s="378" t="s">
        <v>2774</v>
      </c>
      <c r="M2841" s="380"/>
      <c r="N2841" s="380">
        <v>0</v>
      </c>
      <c r="O2841" s="380"/>
      <c r="P2841" s="380"/>
      <c r="Q2841" s="381">
        <v>3.64</v>
      </c>
      <c r="R2841" s="381">
        <v>0</v>
      </c>
      <c r="S2841" s="381">
        <v>0</v>
      </c>
      <c r="T2841" s="381"/>
      <c r="U2841" s="381"/>
      <c r="V2841" s="382">
        <v>3.64</v>
      </c>
      <c r="W2841" s="382">
        <v>0</v>
      </c>
      <c r="X2841" s="381">
        <v>3.64</v>
      </c>
      <c r="Y2841" s="381">
        <v>0</v>
      </c>
      <c r="Z2841" s="381">
        <v>0</v>
      </c>
      <c r="AA2841" s="381">
        <v>0</v>
      </c>
      <c r="AB2841" s="381">
        <v>0</v>
      </c>
      <c r="AC2841" s="382">
        <v>3.64</v>
      </c>
      <c r="AD2841" s="382">
        <v>0</v>
      </c>
      <c r="AE2841" s="381" t="s">
        <v>168</v>
      </c>
    </row>
    <row r="2842" spans="1:31" ht="15" customHeight="1" x14ac:dyDescent="0.25">
      <c r="A2842" s="20" t="s">
        <v>4053</v>
      </c>
      <c r="B2842" s="20"/>
      <c r="C2842" s="20" t="s">
        <v>3897</v>
      </c>
      <c r="D2842" s="378" t="s">
        <v>4121</v>
      </c>
      <c r="E2842" s="384">
        <v>43321</v>
      </c>
      <c r="F2842" s="384">
        <v>45147</v>
      </c>
      <c r="G2842" s="378" t="s">
        <v>439</v>
      </c>
      <c r="H2842" s="20" t="s">
        <v>4055</v>
      </c>
      <c r="I2842" s="20" t="s">
        <v>162</v>
      </c>
      <c r="J2842" s="20" t="s">
        <v>163</v>
      </c>
      <c r="K2842" s="378" t="s">
        <v>4056</v>
      </c>
      <c r="L2842" s="378" t="s">
        <v>2774</v>
      </c>
      <c r="M2842" s="380"/>
      <c r="N2842" s="380">
        <v>0.9</v>
      </c>
      <c r="O2842" s="380"/>
      <c r="P2842" s="380"/>
      <c r="Q2842" s="381">
        <v>3.28</v>
      </c>
      <c r="R2842" s="381">
        <v>0</v>
      </c>
      <c r="S2842" s="381">
        <v>0</v>
      </c>
      <c r="T2842" s="381"/>
      <c r="U2842" s="381"/>
      <c r="V2842" s="382">
        <v>3.28</v>
      </c>
      <c r="W2842" s="382">
        <v>0</v>
      </c>
      <c r="X2842" s="381">
        <v>3.28</v>
      </c>
      <c r="Y2842" s="381">
        <v>0</v>
      </c>
      <c r="Z2842" s="381">
        <v>0</v>
      </c>
      <c r="AA2842" s="381">
        <v>0</v>
      </c>
      <c r="AB2842" s="381">
        <v>0</v>
      </c>
      <c r="AC2842" s="382">
        <v>3.28</v>
      </c>
      <c r="AD2842" s="382">
        <v>0</v>
      </c>
      <c r="AE2842" s="381" t="s">
        <v>168</v>
      </c>
    </row>
    <row r="2843" spans="1:31" ht="15" customHeight="1" x14ac:dyDescent="0.25">
      <c r="A2843" s="20" t="s">
        <v>4053</v>
      </c>
      <c r="B2843" s="20"/>
      <c r="C2843" s="20" t="s">
        <v>3897</v>
      </c>
      <c r="D2843" s="378" t="s">
        <v>4122</v>
      </c>
      <c r="E2843" s="384">
        <v>43321</v>
      </c>
      <c r="F2843" s="384">
        <v>45147</v>
      </c>
      <c r="G2843" s="378" t="s">
        <v>439</v>
      </c>
      <c r="H2843" s="20" t="s">
        <v>4055</v>
      </c>
      <c r="I2843" s="20" t="s">
        <v>162</v>
      </c>
      <c r="J2843" s="20" t="s">
        <v>163</v>
      </c>
      <c r="K2843" s="378" t="s">
        <v>4056</v>
      </c>
      <c r="L2843" s="378" t="s">
        <v>2774</v>
      </c>
      <c r="M2843" s="380"/>
      <c r="N2843" s="380">
        <v>2.0499999999999998</v>
      </c>
      <c r="O2843" s="380"/>
      <c r="P2843" s="380"/>
      <c r="Q2843" s="381">
        <v>3.27</v>
      </c>
      <c r="R2843" s="381">
        <v>0</v>
      </c>
      <c r="S2843" s="381">
        <v>0</v>
      </c>
      <c r="T2843" s="381"/>
      <c r="U2843" s="381"/>
      <c r="V2843" s="382">
        <v>3.27</v>
      </c>
      <c r="W2843" s="382">
        <v>0</v>
      </c>
      <c r="X2843" s="381">
        <v>3.27</v>
      </c>
      <c r="Y2843" s="381">
        <v>0</v>
      </c>
      <c r="Z2843" s="381">
        <v>0</v>
      </c>
      <c r="AA2843" s="381">
        <v>0</v>
      </c>
      <c r="AB2843" s="381">
        <v>0</v>
      </c>
      <c r="AC2843" s="382">
        <v>3.27</v>
      </c>
      <c r="AD2843" s="382">
        <v>0</v>
      </c>
      <c r="AE2843" s="381" t="s">
        <v>168</v>
      </c>
    </row>
    <row r="2844" spans="1:31" ht="15" customHeight="1" x14ac:dyDescent="0.25">
      <c r="A2844" s="20" t="s">
        <v>4053</v>
      </c>
      <c r="B2844" s="20"/>
      <c r="C2844" s="20" t="s">
        <v>3897</v>
      </c>
      <c r="D2844" s="378" t="s">
        <v>4123</v>
      </c>
      <c r="E2844" s="384">
        <v>43321</v>
      </c>
      <c r="F2844" s="384">
        <v>45147</v>
      </c>
      <c r="G2844" s="378" t="s">
        <v>439</v>
      </c>
      <c r="H2844" s="20" t="s">
        <v>4055</v>
      </c>
      <c r="I2844" s="20" t="s">
        <v>162</v>
      </c>
      <c r="J2844" s="20" t="s">
        <v>163</v>
      </c>
      <c r="K2844" s="378" t="s">
        <v>4056</v>
      </c>
      <c r="L2844" s="378" t="s">
        <v>2774</v>
      </c>
      <c r="M2844" s="380"/>
      <c r="N2844" s="380">
        <v>1.35</v>
      </c>
      <c r="O2844" s="380"/>
      <c r="P2844" s="380"/>
      <c r="Q2844" s="381">
        <v>3.29</v>
      </c>
      <c r="R2844" s="381">
        <v>0</v>
      </c>
      <c r="S2844" s="381">
        <v>0</v>
      </c>
      <c r="T2844" s="381"/>
      <c r="U2844" s="381"/>
      <c r="V2844" s="382">
        <v>3.29</v>
      </c>
      <c r="W2844" s="382">
        <v>0</v>
      </c>
      <c r="X2844" s="381">
        <v>3.29</v>
      </c>
      <c r="Y2844" s="381">
        <v>0</v>
      </c>
      <c r="Z2844" s="381">
        <v>0</v>
      </c>
      <c r="AA2844" s="381">
        <v>0</v>
      </c>
      <c r="AB2844" s="381">
        <v>0</v>
      </c>
      <c r="AC2844" s="382">
        <v>3.29</v>
      </c>
      <c r="AD2844" s="382">
        <v>0</v>
      </c>
      <c r="AE2844" s="381" t="s">
        <v>168</v>
      </c>
    </row>
    <row r="2845" spans="1:31" ht="15" customHeight="1" x14ac:dyDescent="0.25">
      <c r="A2845" s="20" t="s">
        <v>4053</v>
      </c>
      <c r="B2845" s="20"/>
      <c r="C2845" s="20" t="s">
        <v>3897</v>
      </c>
      <c r="D2845" s="378" t="s">
        <v>4124</v>
      </c>
      <c r="E2845" s="384">
        <v>43321</v>
      </c>
      <c r="F2845" s="384">
        <v>45147</v>
      </c>
      <c r="G2845" s="378" t="s">
        <v>439</v>
      </c>
      <c r="H2845" s="20" t="s">
        <v>4055</v>
      </c>
      <c r="I2845" s="20" t="s">
        <v>162</v>
      </c>
      <c r="J2845" s="20" t="s">
        <v>163</v>
      </c>
      <c r="K2845" s="378" t="s">
        <v>4056</v>
      </c>
      <c r="L2845" s="378" t="s">
        <v>2774</v>
      </c>
      <c r="M2845" s="380"/>
      <c r="N2845" s="380">
        <v>2.5</v>
      </c>
      <c r="O2845" s="380"/>
      <c r="P2845" s="380"/>
      <c r="Q2845" s="381">
        <v>3.25</v>
      </c>
      <c r="R2845" s="381">
        <v>0</v>
      </c>
      <c r="S2845" s="381">
        <v>0</v>
      </c>
      <c r="T2845" s="381"/>
      <c r="U2845" s="381"/>
      <c r="V2845" s="382">
        <v>3.25</v>
      </c>
      <c r="W2845" s="382">
        <v>0</v>
      </c>
      <c r="X2845" s="381">
        <v>3.25</v>
      </c>
      <c r="Y2845" s="381">
        <v>0</v>
      </c>
      <c r="Z2845" s="381">
        <v>0</v>
      </c>
      <c r="AA2845" s="381">
        <v>0</v>
      </c>
      <c r="AB2845" s="381">
        <v>0</v>
      </c>
      <c r="AC2845" s="382">
        <v>3.25</v>
      </c>
      <c r="AD2845" s="382">
        <v>0</v>
      </c>
      <c r="AE2845" s="381" t="s">
        <v>168</v>
      </c>
    </row>
    <row r="2846" spans="1:31" ht="15" customHeight="1" x14ac:dyDescent="0.25">
      <c r="A2846" s="20" t="s">
        <v>4053</v>
      </c>
      <c r="B2846" s="20"/>
      <c r="C2846" s="20" t="s">
        <v>3897</v>
      </c>
      <c r="D2846" s="378" t="s">
        <v>4125</v>
      </c>
      <c r="E2846" s="384">
        <v>43321</v>
      </c>
      <c r="F2846" s="384">
        <v>45147</v>
      </c>
      <c r="G2846" s="378" t="s">
        <v>439</v>
      </c>
      <c r="H2846" s="20" t="s">
        <v>4055</v>
      </c>
      <c r="I2846" s="20" t="s">
        <v>162</v>
      </c>
      <c r="J2846" s="20" t="s">
        <v>163</v>
      </c>
      <c r="K2846" s="378" t="s">
        <v>4056</v>
      </c>
      <c r="L2846" s="378" t="s">
        <v>2774</v>
      </c>
      <c r="M2846" s="380"/>
      <c r="N2846" s="380">
        <v>0</v>
      </c>
      <c r="O2846" s="380"/>
      <c r="P2846" s="380"/>
      <c r="Q2846" s="381">
        <v>3.08</v>
      </c>
      <c r="R2846" s="381">
        <v>0</v>
      </c>
      <c r="S2846" s="381">
        <v>0</v>
      </c>
      <c r="T2846" s="381"/>
      <c r="U2846" s="381"/>
      <c r="V2846" s="382">
        <v>3.08</v>
      </c>
      <c r="W2846" s="382">
        <v>0</v>
      </c>
      <c r="X2846" s="381">
        <v>3.08</v>
      </c>
      <c r="Y2846" s="381">
        <v>0</v>
      </c>
      <c r="Z2846" s="381">
        <v>0</v>
      </c>
      <c r="AA2846" s="381">
        <v>0</v>
      </c>
      <c r="AB2846" s="381">
        <v>0</v>
      </c>
      <c r="AC2846" s="382">
        <v>3.08</v>
      </c>
      <c r="AD2846" s="382">
        <v>0</v>
      </c>
      <c r="AE2846" s="381" t="s">
        <v>168</v>
      </c>
    </row>
    <row r="2847" spans="1:31" ht="15" customHeight="1" x14ac:dyDescent="0.25">
      <c r="A2847" s="20" t="s">
        <v>4053</v>
      </c>
      <c r="B2847" s="20"/>
      <c r="C2847" s="20" t="s">
        <v>3897</v>
      </c>
      <c r="D2847" s="378" t="s">
        <v>4126</v>
      </c>
      <c r="E2847" s="384">
        <v>43321</v>
      </c>
      <c r="F2847" s="384">
        <v>45147</v>
      </c>
      <c r="G2847" s="378" t="s">
        <v>439</v>
      </c>
      <c r="H2847" s="20" t="s">
        <v>4055</v>
      </c>
      <c r="I2847" s="20" t="s">
        <v>162</v>
      </c>
      <c r="J2847" s="20" t="s">
        <v>163</v>
      </c>
      <c r="K2847" s="378" t="s">
        <v>4056</v>
      </c>
      <c r="L2847" s="378" t="s">
        <v>2774</v>
      </c>
      <c r="M2847" s="380"/>
      <c r="N2847" s="380">
        <v>0</v>
      </c>
      <c r="O2847" s="380"/>
      <c r="P2847" s="380"/>
      <c r="Q2847" s="381">
        <v>3.64</v>
      </c>
      <c r="R2847" s="381">
        <v>0</v>
      </c>
      <c r="S2847" s="381">
        <v>0</v>
      </c>
      <c r="T2847" s="381"/>
      <c r="U2847" s="381"/>
      <c r="V2847" s="382">
        <v>3.64</v>
      </c>
      <c r="W2847" s="382">
        <v>0</v>
      </c>
      <c r="X2847" s="381">
        <v>3.64</v>
      </c>
      <c r="Y2847" s="381">
        <v>0</v>
      </c>
      <c r="Z2847" s="381">
        <v>0</v>
      </c>
      <c r="AA2847" s="381">
        <v>0</v>
      </c>
      <c r="AB2847" s="381">
        <v>0</v>
      </c>
      <c r="AC2847" s="382">
        <v>3.64</v>
      </c>
      <c r="AD2847" s="382">
        <v>0</v>
      </c>
      <c r="AE2847" s="381" t="s">
        <v>168</v>
      </c>
    </row>
    <row r="2848" spans="1:31" ht="15" customHeight="1" x14ac:dyDescent="0.25">
      <c r="A2848" s="20" t="s">
        <v>4053</v>
      </c>
      <c r="B2848" s="20"/>
      <c r="C2848" s="20" t="s">
        <v>3897</v>
      </c>
      <c r="D2848" s="378" t="s">
        <v>4127</v>
      </c>
      <c r="E2848" s="384">
        <v>43321</v>
      </c>
      <c r="F2848" s="384">
        <v>45147</v>
      </c>
      <c r="G2848" s="378" t="s">
        <v>439</v>
      </c>
      <c r="H2848" s="20" t="s">
        <v>4055</v>
      </c>
      <c r="I2848" s="20" t="s">
        <v>162</v>
      </c>
      <c r="J2848" s="20" t="s">
        <v>163</v>
      </c>
      <c r="K2848" s="378" t="s">
        <v>4056</v>
      </c>
      <c r="L2848" s="378" t="s">
        <v>2774</v>
      </c>
      <c r="M2848" s="380"/>
      <c r="N2848" s="380">
        <v>0</v>
      </c>
      <c r="O2848" s="380"/>
      <c r="P2848" s="380"/>
      <c r="Q2848" s="381">
        <v>4.32</v>
      </c>
      <c r="R2848" s="381">
        <v>0</v>
      </c>
      <c r="S2848" s="381">
        <v>0</v>
      </c>
      <c r="T2848" s="381"/>
      <c r="U2848" s="381"/>
      <c r="V2848" s="382">
        <v>4.32</v>
      </c>
      <c r="W2848" s="382">
        <v>0</v>
      </c>
      <c r="X2848" s="381">
        <v>4.32</v>
      </c>
      <c r="Y2848" s="381">
        <v>0</v>
      </c>
      <c r="Z2848" s="381">
        <v>0</v>
      </c>
      <c r="AA2848" s="381">
        <v>0</v>
      </c>
      <c r="AB2848" s="381">
        <v>0</v>
      </c>
      <c r="AC2848" s="382">
        <v>4.32</v>
      </c>
      <c r="AD2848" s="382">
        <v>0</v>
      </c>
      <c r="AE2848" s="381" t="s">
        <v>168</v>
      </c>
    </row>
    <row r="2849" spans="1:31" ht="15" customHeight="1" x14ac:dyDescent="0.25">
      <c r="A2849" s="20" t="s">
        <v>4128</v>
      </c>
      <c r="B2849" s="20"/>
      <c r="C2849" s="20" t="s">
        <v>3897</v>
      </c>
      <c r="D2849" s="378" t="s">
        <v>4129</v>
      </c>
      <c r="E2849" s="384">
        <v>45061</v>
      </c>
      <c r="F2849" s="384">
        <v>46888</v>
      </c>
      <c r="G2849" s="378" t="s">
        <v>439</v>
      </c>
      <c r="H2849" s="20" t="s">
        <v>4130</v>
      </c>
      <c r="I2849" s="20" t="s">
        <v>162</v>
      </c>
      <c r="J2849" s="20" t="s">
        <v>163</v>
      </c>
      <c r="K2849" s="378" t="s">
        <v>4131</v>
      </c>
      <c r="L2849" s="378" t="s">
        <v>2789</v>
      </c>
      <c r="M2849" s="380"/>
      <c r="N2849" s="380">
        <v>0.9</v>
      </c>
      <c r="O2849" s="380"/>
      <c r="P2849" s="380"/>
      <c r="Q2849" s="381">
        <v>16.399999999999999</v>
      </c>
      <c r="R2849" s="381">
        <v>16.399999999999999</v>
      </c>
      <c r="S2849" s="381">
        <v>5.6899999999999999E-2</v>
      </c>
      <c r="T2849" s="381"/>
      <c r="U2849" s="381"/>
      <c r="V2849" s="382">
        <v>16.456899999999997</v>
      </c>
      <c r="W2849" s="382">
        <v>0</v>
      </c>
      <c r="X2849" s="381">
        <v>18.222222222222221</v>
      </c>
      <c r="Y2849" s="381">
        <v>18.222222222222221</v>
      </c>
      <c r="Z2849" s="381">
        <v>6.3222222222222221E-2</v>
      </c>
      <c r="AA2849" s="381">
        <v>0</v>
      </c>
      <c r="AB2849" s="381">
        <v>0</v>
      </c>
      <c r="AC2849" s="382">
        <v>18.285444444444444</v>
      </c>
      <c r="AD2849" s="382">
        <v>0</v>
      </c>
      <c r="AE2849" s="381" t="s">
        <v>168</v>
      </c>
    </row>
    <row r="2850" spans="1:31" ht="15" customHeight="1" x14ac:dyDescent="0.25">
      <c r="A2850" s="20" t="s">
        <v>4128</v>
      </c>
      <c r="B2850" s="20"/>
      <c r="C2850" s="20" t="s">
        <v>3897</v>
      </c>
      <c r="D2850" s="378" t="s">
        <v>4132</v>
      </c>
      <c r="E2850" s="384">
        <v>45061</v>
      </c>
      <c r="F2850" s="384">
        <v>46888</v>
      </c>
      <c r="G2850" s="378" t="s">
        <v>439</v>
      </c>
      <c r="H2850" s="20" t="s">
        <v>4130</v>
      </c>
      <c r="I2850" s="20" t="s">
        <v>162</v>
      </c>
      <c r="J2850" s="20" t="s">
        <v>163</v>
      </c>
      <c r="K2850" s="378" t="s">
        <v>4131</v>
      </c>
      <c r="L2850" s="378" t="s">
        <v>2789</v>
      </c>
      <c r="M2850" s="380"/>
      <c r="N2850" s="380">
        <v>3</v>
      </c>
      <c r="O2850" s="380"/>
      <c r="P2850" s="380"/>
      <c r="Q2850" s="381">
        <v>27.9</v>
      </c>
      <c r="R2850" s="381">
        <v>27.9</v>
      </c>
      <c r="S2850" s="381">
        <v>6.3799999999999996E-2</v>
      </c>
      <c r="T2850" s="381"/>
      <c r="U2850" s="381"/>
      <c r="V2850" s="382">
        <v>27.963799999999999</v>
      </c>
      <c r="W2850" s="382">
        <v>0</v>
      </c>
      <c r="X2850" s="381">
        <v>9.2999999999999989</v>
      </c>
      <c r="Y2850" s="381">
        <v>9.2999999999999989</v>
      </c>
      <c r="Z2850" s="381">
        <v>2.1266666666666666E-2</v>
      </c>
      <c r="AA2850" s="381">
        <v>0</v>
      </c>
      <c r="AB2850" s="381">
        <v>0</v>
      </c>
      <c r="AC2850" s="382">
        <v>9.3212666666666664</v>
      </c>
      <c r="AD2850" s="382">
        <v>0</v>
      </c>
      <c r="AE2850" s="381" t="s">
        <v>168</v>
      </c>
    </row>
    <row r="2851" spans="1:31" ht="15" customHeight="1" x14ac:dyDescent="0.25">
      <c r="A2851" s="20" t="s">
        <v>4128</v>
      </c>
      <c r="B2851" s="20"/>
      <c r="C2851" s="20" t="s">
        <v>3897</v>
      </c>
      <c r="D2851" s="378" t="s">
        <v>4133</v>
      </c>
      <c r="E2851" s="384">
        <v>45061</v>
      </c>
      <c r="F2851" s="384">
        <v>46888</v>
      </c>
      <c r="G2851" s="378" t="s">
        <v>439</v>
      </c>
      <c r="H2851" s="20" t="s">
        <v>4130</v>
      </c>
      <c r="I2851" s="20" t="s">
        <v>162</v>
      </c>
      <c r="J2851" s="20" t="s">
        <v>163</v>
      </c>
      <c r="K2851" s="378" t="s">
        <v>4131</v>
      </c>
      <c r="L2851" s="378" t="s">
        <v>2789</v>
      </c>
      <c r="M2851" s="380"/>
      <c r="N2851" s="380">
        <v>3.8</v>
      </c>
      <c r="O2851" s="380"/>
      <c r="P2851" s="380"/>
      <c r="Q2851" s="381">
        <v>29.1</v>
      </c>
      <c r="R2851" s="381">
        <v>29</v>
      </c>
      <c r="S2851" s="381">
        <v>6.4799999999999996E-2</v>
      </c>
      <c r="T2851" s="381"/>
      <c r="U2851" s="381"/>
      <c r="V2851" s="382">
        <v>29.064800000000002</v>
      </c>
      <c r="W2851" s="382">
        <v>0</v>
      </c>
      <c r="X2851" s="381">
        <v>7.6578947368421062</v>
      </c>
      <c r="Y2851" s="381">
        <v>7.6315789473684212</v>
      </c>
      <c r="Z2851" s="381">
        <v>1.7052631578947368E-2</v>
      </c>
      <c r="AA2851" s="381">
        <v>0</v>
      </c>
      <c r="AB2851" s="381">
        <v>0</v>
      </c>
      <c r="AC2851" s="382">
        <v>7.6486315789473682</v>
      </c>
      <c r="AD2851" s="382">
        <v>0</v>
      </c>
      <c r="AE2851" s="381" t="s">
        <v>168</v>
      </c>
    </row>
    <row r="2852" spans="1:31" ht="15" customHeight="1" x14ac:dyDescent="0.25">
      <c r="A2852" s="20" t="s">
        <v>4128</v>
      </c>
      <c r="B2852" s="20"/>
      <c r="C2852" s="20" t="s">
        <v>3897</v>
      </c>
      <c r="D2852" s="378" t="s">
        <v>4134</v>
      </c>
      <c r="E2852" s="384">
        <v>45061</v>
      </c>
      <c r="F2852" s="384">
        <v>46888</v>
      </c>
      <c r="G2852" s="378" t="s">
        <v>439</v>
      </c>
      <c r="H2852" s="20" t="s">
        <v>4130</v>
      </c>
      <c r="I2852" s="20" t="s">
        <v>162</v>
      </c>
      <c r="J2852" s="20" t="s">
        <v>163</v>
      </c>
      <c r="K2852" s="378" t="s">
        <v>4131</v>
      </c>
      <c r="L2852" s="378" t="s">
        <v>2789</v>
      </c>
      <c r="M2852" s="380"/>
      <c r="N2852" s="380">
        <v>3.4</v>
      </c>
      <c r="O2852" s="380"/>
      <c r="P2852" s="380"/>
      <c r="Q2852" s="381">
        <v>28.4</v>
      </c>
      <c r="R2852" s="381">
        <v>28.3</v>
      </c>
      <c r="S2852" s="381">
        <v>6.4199999999999993E-2</v>
      </c>
      <c r="T2852" s="381"/>
      <c r="U2852" s="381"/>
      <c r="V2852" s="382">
        <v>28.3642</v>
      </c>
      <c r="W2852" s="382">
        <v>0</v>
      </c>
      <c r="X2852" s="381">
        <v>8.3529411764705888</v>
      </c>
      <c r="Y2852" s="381">
        <v>8.3235294117647065</v>
      </c>
      <c r="Z2852" s="381">
        <v>1.8882352941176468E-2</v>
      </c>
      <c r="AA2852" s="381">
        <v>0</v>
      </c>
      <c r="AB2852" s="381">
        <v>0</v>
      </c>
      <c r="AC2852" s="382">
        <v>8.3424117647058829</v>
      </c>
      <c r="AD2852" s="382">
        <v>0</v>
      </c>
      <c r="AE2852" s="381" t="s">
        <v>168</v>
      </c>
    </row>
    <row r="2853" spans="1:31" ht="15" customHeight="1" x14ac:dyDescent="0.25">
      <c r="A2853" s="20" t="s">
        <v>4128</v>
      </c>
      <c r="B2853" s="20"/>
      <c r="C2853" s="20" t="s">
        <v>3897</v>
      </c>
      <c r="D2853" s="378" t="s">
        <v>4135</v>
      </c>
      <c r="E2853" s="384">
        <v>45061</v>
      </c>
      <c r="F2853" s="384">
        <v>46888</v>
      </c>
      <c r="G2853" s="378" t="s">
        <v>439</v>
      </c>
      <c r="H2853" s="20" t="s">
        <v>4130</v>
      </c>
      <c r="I2853" s="20" t="s">
        <v>162</v>
      </c>
      <c r="J2853" s="20" t="s">
        <v>163</v>
      </c>
      <c r="K2853" s="378" t="s">
        <v>4131</v>
      </c>
      <c r="L2853" s="378" t="s">
        <v>2789</v>
      </c>
      <c r="M2853" s="380"/>
      <c r="N2853" s="380">
        <v>2.6</v>
      </c>
      <c r="O2853" s="380"/>
      <c r="P2853" s="380"/>
      <c r="Q2853" s="381">
        <v>26.4</v>
      </c>
      <c r="R2853" s="381">
        <v>26.3</v>
      </c>
      <c r="S2853" s="381">
        <v>6.2799999999999995E-2</v>
      </c>
      <c r="T2853" s="381"/>
      <c r="U2853" s="381"/>
      <c r="V2853" s="382">
        <v>26.3628</v>
      </c>
      <c r="W2853" s="382">
        <v>0</v>
      </c>
      <c r="X2853" s="381">
        <v>10.153846153846153</v>
      </c>
      <c r="Y2853" s="381">
        <v>10.115384615384615</v>
      </c>
      <c r="Z2853" s="381">
        <v>2.4153846153846151E-2</v>
      </c>
      <c r="AA2853" s="381">
        <v>0</v>
      </c>
      <c r="AB2853" s="381">
        <v>0</v>
      </c>
      <c r="AC2853" s="382">
        <v>10.139538461538461</v>
      </c>
      <c r="AD2853" s="382">
        <v>0</v>
      </c>
      <c r="AE2853" s="381" t="s">
        <v>168</v>
      </c>
    </row>
    <row r="2854" spans="1:31" ht="15" customHeight="1" x14ac:dyDescent="0.25">
      <c r="A2854" s="20" t="s">
        <v>4128</v>
      </c>
      <c r="B2854" s="20"/>
      <c r="C2854" s="20" t="s">
        <v>3897</v>
      </c>
      <c r="D2854" s="378" t="s">
        <v>4136</v>
      </c>
      <c r="E2854" s="384">
        <v>45061</v>
      </c>
      <c r="F2854" s="384">
        <v>46888</v>
      </c>
      <c r="G2854" s="378" t="s">
        <v>439</v>
      </c>
      <c r="H2854" s="20" t="s">
        <v>4130</v>
      </c>
      <c r="I2854" s="20" t="s">
        <v>162</v>
      </c>
      <c r="J2854" s="20" t="s">
        <v>163</v>
      </c>
      <c r="K2854" s="378" t="s">
        <v>4131</v>
      </c>
      <c r="L2854" s="378" t="s">
        <v>2789</v>
      </c>
      <c r="M2854" s="380"/>
      <c r="N2854" s="380">
        <v>2.2999999999999998</v>
      </c>
      <c r="O2854" s="380"/>
      <c r="P2854" s="380"/>
      <c r="Q2854" s="381">
        <v>23.7</v>
      </c>
      <c r="R2854" s="381">
        <v>23.6</v>
      </c>
      <c r="S2854" s="381">
        <v>6.1100000000000002E-2</v>
      </c>
      <c r="T2854" s="381"/>
      <c r="U2854" s="381"/>
      <c r="V2854" s="382">
        <v>23.661100000000001</v>
      </c>
      <c r="W2854" s="382">
        <v>0</v>
      </c>
      <c r="X2854" s="381">
        <v>10.304347826086957</v>
      </c>
      <c r="Y2854" s="381">
        <v>10.260869565217392</v>
      </c>
      <c r="Z2854" s="381">
        <v>2.6565217391304352E-2</v>
      </c>
      <c r="AA2854" s="381">
        <v>0</v>
      </c>
      <c r="AB2854" s="381">
        <v>0</v>
      </c>
      <c r="AC2854" s="382">
        <v>10.287434782608697</v>
      </c>
      <c r="AD2854" s="382">
        <v>0</v>
      </c>
      <c r="AE2854" s="381" t="s">
        <v>168</v>
      </c>
    </row>
    <row r="2855" spans="1:31" ht="15" customHeight="1" x14ac:dyDescent="0.25">
      <c r="A2855" s="20" t="s">
        <v>4128</v>
      </c>
      <c r="B2855" s="20"/>
      <c r="C2855" s="20" t="s">
        <v>3897</v>
      </c>
      <c r="D2855" s="378" t="s">
        <v>4137</v>
      </c>
      <c r="E2855" s="384">
        <v>45061</v>
      </c>
      <c r="F2855" s="384">
        <v>46888</v>
      </c>
      <c r="G2855" s="378" t="s">
        <v>439</v>
      </c>
      <c r="H2855" s="20" t="s">
        <v>4130</v>
      </c>
      <c r="I2855" s="20" t="s">
        <v>162</v>
      </c>
      <c r="J2855" s="20" t="s">
        <v>163</v>
      </c>
      <c r="K2855" s="378" t="s">
        <v>4131</v>
      </c>
      <c r="L2855" s="378" t="s">
        <v>2789</v>
      </c>
      <c r="M2855" s="380"/>
      <c r="N2855" s="380">
        <v>1.9</v>
      </c>
      <c r="O2855" s="380"/>
      <c r="P2855" s="380"/>
      <c r="Q2855" s="381">
        <v>21.6</v>
      </c>
      <c r="R2855" s="381">
        <v>21.5</v>
      </c>
      <c r="S2855" s="381">
        <v>5.9900000000000002E-2</v>
      </c>
      <c r="T2855" s="381"/>
      <c r="U2855" s="381"/>
      <c r="V2855" s="382">
        <v>21.559899999999999</v>
      </c>
      <c r="W2855" s="382">
        <v>0</v>
      </c>
      <c r="X2855" s="381">
        <v>11.368421052631581</v>
      </c>
      <c r="Y2855" s="381">
        <v>11.315789473684211</v>
      </c>
      <c r="Z2855" s="381">
        <v>3.1526315789473687E-2</v>
      </c>
      <c r="AA2855" s="381">
        <v>0</v>
      </c>
      <c r="AB2855" s="381">
        <v>0</v>
      </c>
      <c r="AC2855" s="382">
        <v>11.347315789473685</v>
      </c>
      <c r="AD2855" s="382">
        <v>0</v>
      </c>
      <c r="AE2855" s="381" t="s">
        <v>168</v>
      </c>
    </row>
    <row r="2856" spans="1:31" ht="15" customHeight="1" x14ac:dyDescent="0.25">
      <c r="A2856" s="20" t="s">
        <v>4128</v>
      </c>
      <c r="B2856" s="20"/>
      <c r="C2856" s="20" t="s">
        <v>3897</v>
      </c>
      <c r="D2856" s="378" t="s">
        <v>4138</v>
      </c>
      <c r="E2856" s="384">
        <v>45061</v>
      </c>
      <c r="F2856" s="384">
        <v>46888</v>
      </c>
      <c r="G2856" s="378" t="s">
        <v>439</v>
      </c>
      <c r="H2856" s="20" t="s">
        <v>4130</v>
      </c>
      <c r="I2856" s="20" t="s">
        <v>162</v>
      </c>
      <c r="J2856" s="20" t="s">
        <v>163</v>
      </c>
      <c r="K2856" s="378" t="s">
        <v>4131</v>
      </c>
      <c r="L2856" s="378" t="s">
        <v>2789</v>
      </c>
      <c r="M2856" s="380"/>
      <c r="N2856" s="380">
        <v>1.5</v>
      </c>
      <c r="O2856" s="380"/>
      <c r="P2856" s="380"/>
      <c r="Q2856" s="381">
        <v>19.600000000000001</v>
      </c>
      <c r="R2856" s="381">
        <v>19.5</v>
      </c>
      <c r="S2856" s="381">
        <v>5.8599999999999999E-2</v>
      </c>
      <c r="T2856" s="381"/>
      <c r="U2856" s="381"/>
      <c r="V2856" s="382">
        <v>19.558599999999998</v>
      </c>
      <c r="W2856" s="382">
        <v>0</v>
      </c>
      <c r="X2856" s="381">
        <v>13.066666666666668</v>
      </c>
      <c r="Y2856" s="381">
        <v>13</v>
      </c>
      <c r="Z2856" s="381">
        <v>3.9066666666666666E-2</v>
      </c>
      <c r="AA2856" s="381">
        <v>0</v>
      </c>
      <c r="AB2856" s="381">
        <v>0</v>
      </c>
      <c r="AC2856" s="382">
        <v>13.039066666666667</v>
      </c>
      <c r="AD2856" s="382">
        <v>0</v>
      </c>
      <c r="AE2856" s="381" t="s">
        <v>168</v>
      </c>
    </row>
    <row r="2857" spans="1:31" ht="15" customHeight="1" x14ac:dyDescent="0.25">
      <c r="A2857" s="20" t="s">
        <v>4128</v>
      </c>
      <c r="B2857" s="20"/>
      <c r="C2857" s="20" t="s">
        <v>3897</v>
      </c>
      <c r="D2857" s="378" t="s">
        <v>4139</v>
      </c>
      <c r="E2857" s="384">
        <v>45061</v>
      </c>
      <c r="F2857" s="384">
        <v>46888</v>
      </c>
      <c r="G2857" s="378" t="s">
        <v>439</v>
      </c>
      <c r="H2857" s="20" t="s">
        <v>4130</v>
      </c>
      <c r="I2857" s="20" t="s">
        <v>162</v>
      </c>
      <c r="J2857" s="20" t="s">
        <v>163</v>
      </c>
      <c r="K2857" s="378" t="s">
        <v>4131</v>
      </c>
      <c r="L2857" s="378" t="s">
        <v>2789</v>
      </c>
      <c r="M2857" s="380"/>
      <c r="N2857" s="380">
        <v>1.1000000000000001</v>
      </c>
      <c r="O2857" s="380"/>
      <c r="P2857" s="380"/>
      <c r="Q2857" s="381">
        <v>17.5</v>
      </c>
      <c r="R2857" s="381">
        <v>17.399999999999999</v>
      </c>
      <c r="S2857" s="381">
        <v>5.7299999999999997E-2</v>
      </c>
      <c r="T2857" s="381"/>
      <c r="U2857" s="381"/>
      <c r="V2857" s="382">
        <v>17.4573</v>
      </c>
      <c r="W2857" s="382">
        <v>0</v>
      </c>
      <c r="X2857" s="381">
        <v>15.909090909090908</v>
      </c>
      <c r="Y2857" s="381">
        <v>15.818181818181815</v>
      </c>
      <c r="Z2857" s="381">
        <v>5.2090909090909084E-2</v>
      </c>
      <c r="AA2857" s="381">
        <v>0</v>
      </c>
      <c r="AB2857" s="381">
        <v>0</v>
      </c>
      <c r="AC2857" s="382">
        <v>15.870272727272724</v>
      </c>
      <c r="AD2857" s="382">
        <v>0</v>
      </c>
      <c r="AE2857" s="381" t="s">
        <v>168</v>
      </c>
    </row>
    <row r="2858" spans="1:31" ht="15" customHeight="1" x14ac:dyDescent="0.25">
      <c r="A2858" s="20" t="s">
        <v>3395</v>
      </c>
      <c r="B2858" s="20" t="s">
        <v>4140</v>
      </c>
      <c r="C2858" s="20" t="s">
        <v>3897</v>
      </c>
      <c r="D2858" s="378" t="s">
        <v>4141</v>
      </c>
      <c r="E2858" s="384">
        <v>44378</v>
      </c>
      <c r="F2858" s="384">
        <v>44742</v>
      </c>
      <c r="G2858" s="378" t="s">
        <v>439</v>
      </c>
      <c r="H2858" s="20">
        <v>0</v>
      </c>
      <c r="I2858" s="378" t="s">
        <v>441</v>
      </c>
      <c r="J2858" s="20" t="s">
        <v>4142</v>
      </c>
      <c r="K2858" s="378" t="s">
        <v>4143</v>
      </c>
      <c r="L2858" s="378" t="s">
        <v>2848</v>
      </c>
      <c r="M2858" s="380" t="s">
        <v>443</v>
      </c>
      <c r="N2858" s="380" t="s">
        <v>443</v>
      </c>
      <c r="O2858" s="380" t="s">
        <v>443</v>
      </c>
      <c r="P2858" s="380" t="s">
        <v>443</v>
      </c>
      <c r="Q2858" s="381">
        <v>214.2</v>
      </c>
      <c r="R2858" s="381">
        <v>0</v>
      </c>
      <c r="S2858" s="381">
        <v>0</v>
      </c>
      <c r="T2858" s="381">
        <v>0</v>
      </c>
      <c r="U2858" s="381">
        <v>0</v>
      </c>
      <c r="V2858" s="382">
        <v>214.2</v>
      </c>
      <c r="W2858" s="382">
        <v>0</v>
      </c>
      <c r="X2858" s="381">
        <v>0.2142</v>
      </c>
      <c r="Y2858" s="381">
        <v>0</v>
      </c>
      <c r="Z2858" s="381">
        <v>0</v>
      </c>
      <c r="AA2858" s="381">
        <v>0</v>
      </c>
      <c r="AB2858" s="381">
        <v>0</v>
      </c>
      <c r="AC2858" s="382">
        <v>0.2142</v>
      </c>
      <c r="AD2858" s="382">
        <v>0</v>
      </c>
      <c r="AE2858" s="381" t="s">
        <v>168</v>
      </c>
    </row>
    <row r="2859" spans="1:31" ht="15" customHeight="1" x14ac:dyDescent="0.25">
      <c r="A2859" s="20" t="s">
        <v>3395</v>
      </c>
      <c r="B2859" s="20" t="s">
        <v>4140</v>
      </c>
      <c r="C2859" s="20" t="s">
        <v>3897</v>
      </c>
      <c r="D2859" s="378" t="s">
        <v>4144</v>
      </c>
      <c r="E2859" s="384">
        <v>44378</v>
      </c>
      <c r="F2859" s="384">
        <v>44742</v>
      </c>
      <c r="G2859" s="378" t="s">
        <v>439</v>
      </c>
      <c r="H2859" s="20">
        <v>0</v>
      </c>
      <c r="I2859" s="378" t="s">
        <v>441</v>
      </c>
      <c r="J2859" s="20" t="s">
        <v>4142</v>
      </c>
      <c r="K2859" s="378" t="s">
        <v>4143</v>
      </c>
      <c r="L2859" s="378" t="s">
        <v>2848</v>
      </c>
      <c r="M2859" s="380" t="s">
        <v>443</v>
      </c>
      <c r="N2859" s="380" t="s">
        <v>443</v>
      </c>
      <c r="O2859" s="380" t="s">
        <v>443</v>
      </c>
      <c r="P2859" s="380" t="s">
        <v>443</v>
      </c>
      <c r="Q2859" s="381">
        <v>101.1</v>
      </c>
      <c r="R2859" s="381">
        <v>0</v>
      </c>
      <c r="S2859" s="381">
        <v>0</v>
      </c>
      <c r="T2859" s="381">
        <v>0</v>
      </c>
      <c r="U2859" s="381">
        <v>0</v>
      </c>
      <c r="V2859" s="382">
        <v>101.1</v>
      </c>
      <c r="W2859" s="382">
        <v>0</v>
      </c>
      <c r="X2859" s="381">
        <v>0.1011</v>
      </c>
      <c r="Y2859" s="381">
        <v>0</v>
      </c>
      <c r="Z2859" s="381">
        <v>0</v>
      </c>
      <c r="AA2859" s="381">
        <v>0</v>
      </c>
      <c r="AB2859" s="381">
        <v>0</v>
      </c>
      <c r="AC2859" s="382">
        <v>0.1011</v>
      </c>
      <c r="AD2859" s="382">
        <v>0</v>
      </c>
      <c r="AE2859" s="381" t="s">
        <v>168</v>
      </c>
    </row>
    <row r="2860" spans="1:31" ht="15" customHeight="1" x14ac:dyDescent="0.25">
      <c r="A2860" s="20" t="s">
        <v>3395</v>
      </c>
      <c r="B2860" s="20" t="s">
        <v>4140</v>
      </c>
      <c r="C2860" s="20" t="s">
        <v>3897</v>
      </c>
      <c r="D2860" s="378" t="s">
        <v>4145</v>
      </c>
      <c r="E2860" s="384">
        <v>44378</v>
      </c>
      <c r="F2860" s="384">
        <v>44742</v>
      </c>
      <c r="G2860" s="378" t="s">
        <v>439</v>
      </c>
      <c r="H2860" s="20">
        <v>0</v>
      </c>
      <c r="I2860" s="378" t="s">
        <v>441</v>
      </c>
      <c r="J2860" s="20" t="s">
        <v>4142</v>
      </c>
      <c r="K2860" s="378" t="s">
        <v>4143</v>
      </c>
      <c r="L2860" s="378" t="s">
        <v>2848</v>
      </c>
      <c r="M2860" s="380" t="s">
        <v>443</v>
      </c>
      <c r="N2860" s="380" t="s">
        <v>443</v>
      </c>
      <c r="O2860" s="380" t="s">
        <v>443</v>
      </c>
      <c r="P2860" s="380" t="s">
        <v>443</v>
      </c>
      <c r="Q2860" s="381">
        <v>172</v>
      </c>
      <c r="R2860" s="381">
        <v>0</v>
      </c>
      <c r="S2860" s="381">
        <v>0</v>
      </c>
      <c r="T2860" s="381">
        <v>0</v>
      </c>
      <c r="U2860" s="381">
        <v>0</v>
      </c>
      <c r="V2860" s="382">
        <v>172</v>
      </c>
      <c r="W2860" s="382">
        <v>0</v>
      </c>
      <c r="X2860" s="381">
        <v>0.17199999999999999</v>
      </c>
      <c r="Y2860" s="381">
        <v>0</v>
      </c>
      <c r="Z2860" s="381">
        <v>0</v>
      </c>
      <c r="AA2860" s="381">
        <v>0</v>
      </c>
      <c r="AB2860" s="381">
        <v>0</v>
      </c>
      <c r="AC2860" s="382">
        <v>0.17199999999999999</v>
      </c>
      <c r="AD2860" s="382">
        <v>0</v>
      </c>
      <c r="AE2860" s="381" t="s">
        <v>168</v>
      </c>
    </row>
    <row r="2861" spans="1:31" ht="15" customHeight="1" x14ac:dyDescent="0.25">
      <c r="A2861" s="20" t="s">
        <v>3395</v>
      </c>
      <c r="B2861" s="20" t="s">
        <v>4140</v>
      </c>
      <c r="C2861" s="20" t="s">
        <v>3897</v>
      </c>
      <c r="D2861" s="378" t="s">
        <v>4146</v>
      </c>
      <c r="E2861" s="384">
        <v>44378</v>
      </c>
      <c r="F2861" s="384">
        <v>44742</v>
      </c>
      <c r="G2861" s="378" t="s">
        <v>439</v>
      </c>
      <c r="H2861" s="20">
        <v>0</v>
      </c>
      <c r="I2861" s="378" t="s">
        <v>441</v>
      </c>
      <c r="J2861" s="20" t="s">
        <v>4142</v>
      </c>
      <c r="K2861" s="378" t="s">
        <v>4143</v>
      </c>
      <c r="L2861" s="378" t="s">
        <v>2848</v>
      </c>
      <c r="M2861" s="380" t="s">
        <v>443</v>
      </c>
      <c r="N2861" s="380" t="s">
        <v>443</v>
      </c>
      <c r="O2861" s="380" t="s">
        <v>443</v>
      </c>
      <c r="P2861" s="380" t="s">
        <v>443</v>
      </c>
      <c r="Q2861" s="381">
        <v>203.7</v>
      </c>
      <c r="R2861" s="381">
        <v>0</v>
      </c>
      <c r="S2861" s="381">
        <v>0</v>
      </c>
      <c r="T2861" s="381">
        <v>0</v>
      </c>
      <c r="U2861" s="381">
        <v>0</v>
      </c>
      <c r="V2861" s="382">
        <v>203.7</v>
      </c>
      <c r="W2861" s="382">
        <v>0</v>
      </c>
      <c r="X2861" s="381">
        <v>0.20369999999999999</v>
      </c>
      <c r="Y2861" s="381">
        <v>0</v>
      </c>
      <c r="Z2861" s="381">
        <v>0</v>
      </c>
      <c r="AA2861" s="381">
        <v>0</v>
      </c>
      <c r="AB2861" s="381">
        <v>0</v>
      </c>
      <c r="AC2861" s="382">
        <v>0.20369999999999999</v>
      </c>
      <c r="AD2861" s="382">
        <v>0</v>
      </c>
      <c r="AE2861" s="381" t="s">
        <v>168</v>
      </c>
    </row>
    <row r="2862" spans="1:31" ht="15" customHeight="1" x14ac:dyDescent="0.25">
      <c r="A2862" s="20" t="s">
        <v>3395</v>
      </c>
      <c r="B2862" s="20" t="s">
        <v>4140</v>
      </c>
      <c r="C2862" s="20" t="s">
        <v>3897</v>
      </c>
      <c r="D2862" s="378" t="s">
        <v>4147</v>
      </c>
      <c r="E2862" s="384">
        <v>44378</v>
      </c>
      <c r="F2862" s="384">
        <v>44742</v>
      </c>
      <c r="G2862" s="378" t="s">
        <v>439</v>
      </c>
      <c r="H2862" s="20">
        <v>0</v>
      </c>
      <c r="I2862" s="378" t="s">
        <v>441</v>
      </c>
      <c r="J2862" s="20" t="s">
        <v>4142</v>
      </c>
      <c r="K2862" s="378" t="s">
        <v>4143</v>
      </c>
      <c r="L2862" s="378" t="s">
        <v>2848</v>
      </c>
      <c r="M2862" s="380" t="s">
        <v>443</v>
      </c>
      <c r="N2862" s="380" t="s">
        <v>443</v>
      </c>
      <c r="O2862" s="380" t="s">
        <v>443</v>
      </c>
      <c r="P2862" s="380" t="s">
        <v>443</v>
      </c>
      <c r="Q2862" s="381">
        <v>408.4</v>
      </c>
      <c r="R2862" s="381">
        <v>0</v>
      </c>
      <c r="S2862" s="381">
        <v>0</v>
      </c>
      <c r="T2862" s="381">
        <v>0</v>
      </c>
      <c r="U2862" s="381">
        <v>0</v>
      </c>
      <c r="V2862" s="382">
        <v>408.4</v>
      </c>
      <c r="W2862" s="382">
        <v>0</v>
      </c>
      <c r="X2862" s="381">
        <v>0.40839999999999999</v>
      </c>
      <c r="Y2862" s="381">
        <v>0</v>
      </c>
      <c r="Z2862" s="381">
        <v>0</v>
      </c>
      <c r="AA2862" s="381">
        <v>0</v>
      </c>
      <c r="AB2862" s="381">
        <v>0</v>
      </c>
      <c r="AC2862" s="382">
        <v>0.40839999999999999</v>
      </c>
      <c r="AD2862" s="382">
        <v>0</v>
      </c>
      <c r="AE2862" s="381" t="s">
        <v>168</v>
      </c>
    </row>
    <row r="2863" spans="1:31" ht="15" customHeight="1" x14ac:dyDescent="0.25">
      <c r="A2863" s="20" t="s">
        <v>3395</v>
      </c>
      <c r="B2863" s="20" t="s">
        <v>4140</v>
      </c>
      <c r="C2863" s="20" t="s">
        <v>3897</v>
      </c>
      <c r="D2863" s="378" t="s">
        <v>4148</v>
      </c>
      <c r="E2863" s="384">
        <v>44378</v>
      </c>
      <c r="F2863" s="384">
        <v>44742</v>
      </c>
      <c r="G2863" s="378" t="s">
        <v>439</v>
      </c>
      <c r="H2863" s="20">
        <v>0</v>
      </c>
      <c r="I2863" s="378" t="s">
        <v>441</v>
      </c>
      <c r="J2863" s="20" t="s">
        <v>4142</v>
      </c>
      <c r="K2863" s="378" t="s">
        <v>4143</v>
      </c>
      <c r="L2863" s="378" t="s">
        <v>2848</v>
      </c>
      <c r="M2863" s="380" t="s">
        <v>443</v>
      </c>
      <c r="N2863" s="380" t="s">
        <v>443</v>
      </c>
      <c r="O2863" s="380" t="s">
        <v>443</v>
      </c>
      <c r="P2863" s="380" t="s">
        <v>443</v>
      </c>
      <c r="Q2863" s="381">
        <v>179.1</v>
      </c>
      <c r="R2863" s="381">
        <v>0</v>
      </c>
      <c r="S2863" s="381">
        <v>0</v>
      </c>
      <c r="T2863" s="381">
        <v>0</v>
      </c>
      <c r="U2863" s="381">
        <v>0</v>
      </c>
      <c r="V2863" s="382">
        <v>179.1</v>
      </c>
      <c r="W2863" s="382">
        <v>0</v>
      </c>
      <c r="X2863" s="381">
        <v>0.17909999999999998</v>
      </c>
      <c r="Y2863" s="381">
        <v>0</v>
      </c>
      <c r="Z2863" s="381">
        <v>0</v>
      </c>
      <c r="AA2863" s="381">
        <v>0</v>
      </c>
      <c r="AB2863" s="381">
        <v>0</v>
      </c>
      <c r="AC2863" s="382">
        <v>0.17909999999999998</v>
      </c>
      <c r="AD2863" s="382">
        <v>0</v>
      </c>
      <c r="AE2863" s="381" t="s">
        <v>168</v>
      </c>
    </row>
    <row r="2864" spans="1:31" ht="15" customHeight="1" x14ac:dyDescent="0.25">
      <c r="A2864" s="20" t="s">
        <v>3395</v>
      </c>
      <c r="B2864" s="20" t="s">
        <v>4140</v>
      </c>
      <c r="C2864" s="20" t="s">
        <v>3897</v>
      </c>
      <c r="D2864" s="378" t="s">
        <v>4149</v>
      </c>
      <c r="E2864" s="384">
        <v>44378</v>
      </c>
      <c r="F2864" s="384">
        <v>44742</v>
      </c>
      <c r="G2864" s="378" t="s">
        <v>439</v>
      </c>
      <c r="H2864" s="20">
        <v>0</v>
      </c>
      <c r="I2864" s="378" t="s">
        <v>441</v>
      </c>
      <c r="J2864" s="20" t="s">
        <v>4142</v>
      </c>
      <c r="K2864" s="378" t="s">
        <v>4143</v>
      </c>
      <c r="L2864" s="378" t="s">
        <v>2848</v>
      </c>
      <c r="M2864" s="380" t="s">
        <v>443</v>
      </c>
      <c r="N2864" s="380" t="s">
        <v>443</v>
      </c>
      <c r="O2864" s="380" t="s">
        <v>443</v>
      </c>
      <c r="P2864" s="380" t="s">
        <v>443</v>
      </c>
      <c r="Q2864" s="381">
        <v>279.39999999999998</v>
      </c>
      <c r="R2864" s="381">
        <v>0</v>
      </c>
      <c r="S2864" s="381">
        <v>0</v>
      </c>
      <c r="T2864" s="381">
        <v>0</v>
      </c>
      <c r="U2864" s="381">
        <v>0</v>
      </c>
      <c r="V2864" s="382">
        <v>279.39999999999998</v>
      </c>
      <c r="W2864" s="382">
        <v>0</v>
      </c>
      <c r="X2864" s="381">
        <v>0.27939999999999998</v>
      </c>
      <c r="Y2864" s="381">
        <v>0</v>
      </c>
      <c r="Z2864" s="381">
        <v>0</v>
      </c>
      <c r="AA2864" s="381">
        <v>0</v>
      </c>
      <c r="AB2864" s="381">
        <v>0</v>
      </c>
      <c r="AC2864" s="382">
        <v>0.27939999999999998</v>
      </c>
      <c r="AD2864" s="382">
        <v>0</v>
      </c>
      <c r="AE2864" s="381" t="s">
        <v>168</v>
      </c>
    </row>
    <row r="2865" spans="1:31" ht="15" customHeight="1" x14ac:dyDescent="0.25">
      <c r="A2865" s="20" t="s">
        <v>3395</v>
      </c>
      <c r="B2865" s="20" t="s">
        <v>4140</v>
      </c>
      <c r="C2865" s="20" t="s">
        <v>3897</v>
      </c>
      <c r="D2865" s="378" t="s">
        <v>4150</v>
      </c>
      <c r="E2865" s="384">
        <v>44378</v>
      </c>
      <c r="F2865" s="384">
        <v>44742</v>
      </c>
      <c r="G2865" s="378" t="s">
        <v>439</v>
      </c>
      <c r="H2865" s="20">
        <v>0</v>
      </c>
      <c r="I2865" s="378" t="s">
        <v>441</v>
      </c>
      <c r="J2865" s="20" t="s">
        <v>4142</v>
      </c>
      <c r="K2865" s="378" t="s">
        <v>4143</v>
      </c>
      <c r="L2865" s="378" t="s">
        <v>2848</v>
      </c>
      <c r="M2865" s="380" t="s">
        <v>443</v>
      </c>
      <c r="N2865" s="380" t="s">
        <v>443</v>
      </c>
      <c r="O2865" s="380" t="s">
        <v>443</v>
      </c>
      <c r="P2865" s="380" t="s">
        <v>443</v>
      </c>
      <c r="Q2865" s="381">
        <v>269.60000000000002</v>
      </c>
      <c r="R2865" s="381">
        <v>0</v>
      </c>
      <c r="S2865" s="381">
        <v>0</v>
      </c>
      <c r="T2865" s="381">
        <v>0</v>
      </c>
      <c r="U2865" s="381">
        <v>0</v>
      </c>
      <c r="V2865" s="382">
        <v>269.60000000000002</v>
      </c>
      <c r="W2865" s="382">
        <v>0</v>
      </c>
      <c r="X2865" s="381">
        <v>0.26960000000000001</v>
      </c>
      <c r="Y2865" s="381">
        <v>0</v>
      </c>
      <c r="Z2865" s="381">
        <v>0</v>
      </c>
      <c r="AA2865" s="381">
        <v>0</v>
      </c>
      <c r="AB2865" s="381">
        <v>0</v>
      </c>
      <c r="AC2865" s="382">
        <v>0.26960000000000001</v>
      </c>
      <c r="AD2865" s="382">
        <v>0</v>
      </c>
      <c r="AE2865" s="381" t="s">
        <v>168</v>
      </c>
    </row>
    <row r="2866" spans="1:31" ht="15" customHeight="1" x14ac:dyDescent="0.25">
      <c r="A2866" s="20" t="s">
        <v>3395</v>
      </c>
      <c r="B2866" s="20" t="s">
        <v>4140</v>
      </c>
      <c r="C2866" s="20" t="s">
        <v>3897</v>
      </c>
      <c r="D2866" s="378" t="s">
        <v>4151</v>
      </c>
      <c r="E2866" s="384">
        <v>44378</v>
      </c>
      <c r="F2866" s="384">
        <v>44742</v>
      </c>
      <c r="G2866" s="378" t="s">
        <v>439</v>
      </c>
      <c r="H2866" s="20">
        <v>0</v>
      </c>
      <c r="I2866" s="378" t="s">
        <v>441</v>
      </c>
      <c r="J2866" s="20" t="s">
        <v>4142</v>
      </c>
      <c r="K2866" s="378" t="s">
        <v>4143</v>
      </c>
      <c r="L2866" s="378" t="s">
        <v>2848</v>
      </c>
      <c r="M2866" s="380" t="s">
        <v>443</v>
      </c>
      <c r="N2866" s="380" t="s">
        <v>443</v>
      </c>
      <c r="O2866" s="380" t="s">
        <v>443</v>
      </c>
      <c r="P2866" s="380" t="s">
        <v>443</v>
      </c>
      <c r="Q2866" s="381">
        <v>205.4</v>
      </c>
      <c r="R2866" s="381">
        <v>0</v>
      </c>
      <c r="S2866" s="381">
        <v>0</v>
      </c>
      <c r="T2866" s="381">
        <v>0</v>
      </c>
      <c r="U2866" s="381">
        <v>0</v>
      </c>
      <c r="V2866" s="382">
        <v>205.4</v>
      </c>
      <c r="W2866" s="382">
        <v>0</v>
      </c>
      <c r="X2866" s="381">
        <v>0.2054</v>
      </c>
      <c r="Y2866" s="381">
        <v>0</v>
      </c>
      <c r="Z2866" s="381">
        <v>0</v>
      </c>
      <c r="AA2866" s="381">
        <v>0</v>
      </c>
      <c r="AB2866" s="381">
        <v>0</v>
      </c>
      <c r="AC2866" s="382">
        <v>0.2054</v>
      </c>
      <c r="AD2866" s="382">
        <v>0</v>
      </c>
      <c r="AE2866" s="381" t="s">
        <v>168</v>
      </c>
    </row>
    <row r="2867" spans="1:31" ht="15" customHeight="1" x14ac:dyDescent="0.25">
      <c r="A2867" s="20" t="s">
        <v>3395</v>
      </c>
      <c r="B2867" s="20" t="s">
        <v>4140</v>
      </c>
      <c r="C2867" s="20" t="s">
        <v>3897</v>
      </c>
      <c r="D2867" s="378" t="s">
        <v>4152</v>
      </c>
      <c r="E2867" s="384">
        <v>44378</v>
      </c>
      <c r="F2867" s="384">
        <v>44742</v>
      </c>
      <c r="G2867" s="378" t="s">
        <v>439</v>
      </c>
      <c r="H2867" s="20">
        <v>0</v>
      </c>
      <c r="I2867" s="378" t="s">
        <v>441</v>
      </c>
      <c r="J2867" s="20" t="s">
        <v>4142</v>
      </c>
      <c r="K2867" s="378" t="s">
        <v>4143</v>
      </c>
      <c r="L2867" s="378" t="s">
        <v>2848</v>
      </c>
      <c r="M2867" s="380" t="s">
        <v>443</v>
      </c>
      <c r="N2867" s="380" t="s">
        <v>443</v>
      </c>
      <c r="O2867" s="380" t="s">
        <v>443</v>
      </c>
      <c r="P2867" s="380" t="s">
        <v>443</v>
      </c>
      <c r="Q2867" s="381">
        <v>320</v>
      </c>
      <c r="R2867" s="381">
        <v>0</v>
      </c>
      <c r="S2867" s="381">
        <v>0</v>
      </c>
      <c r="T2867" s="381">
        <v>0</v>
      </c>
      <c r="U2867" s="381">
        <v>0</v>
      </c>
      <c r="V2867" s="382">
        <v>320</v>
      </c>
      <c r="W2867" s="382">
        <v>0</v>
      </c>
      <c r="X2867" s="381">
        <v>0.32</v>
      </c>
      <c r="Y2867" s="381">
        <v>0</v>
      </c>
      <c r="Z2867" s="381">
        <v>0</v>
      </c>
      <c r="AA2867" s="381">
        <v>0</v>
      </c>
      <c r="AB2867" s="381">
        <v>0</v>
      </c>
      <c r="AC2867" s="382">
        <v>0.32</v>
      </c>
      <c r="AD2867" s="382">
        <v>0</v>
      </c>
      <c r="AE2867" s="381" t="s">
        <v>168</v>
      </c>
    </row>
    <row r="2868" spans="1:31" ht="15" customHeight="1" x14ac:dyDescent="0.25">
      <c r="A2868" s="20" t="s">
        <v>3395</v>
      </c>
      <c r="B2868" s="20" t="s">
        <v>4140</v>
      </c>
      <c r="C2868" s="20" t="s">
        <v>3897</v>
      </c>
      <c r="D2868" s="378" t="s">
        <v>4153</v>
      </c>
      <c r="E2868" s="384">
        <v>44378</v>
      </c>
      <c r="F2868" s="384">
        <v>44742</v>
      </c>
      <c r="G2868" s="378" t="s">
        <v>439</v>
      </c>
      <c r="H2868" s="20">
        <v>0</v>
      </c>
      <c r="I2868" s="378" t="s">
        <v>441</v>
      </c>
      <c r="J2868" s="20" t="s">
        <v>4142</v>
      </c>
      <c r="K2868" s="378" t="s">
        <v>4143</v>
      </c>
      <c r="L2868" s="378" t="s">
        <v>2848</v>
      </c>
      <c r="M2868" s="380" t="s">
        <v>443</v>
      </c>
      <c r="N2868" s="380" t="s">
        <v>443</v>
      </c>
      <c r="O2868" s="380" t="s">
        <v>443</v>
      </c>
      <c r="P2868" s="380" t="s">
        <v>443</v>
      </c>
      <c r="Q2868" s="381">
        <v>210.6</v>
      </c>
      <c r="R2868" s="381">
        <v>0</v>
      </c>
      <c r="S2868" s="381">
        <v>0</v>
      </c>
      <c r="T2868" s="381">
        <v>0</v>
      </c>
      <c r="U2868" s="381">
        <v>0</v>
      </c>
      <c r="V2868" s="382">
        <v>210.6</v>
      </c>
      <c r="W2868" s="382">
        <v>0</v>
      </c>
      <c r="X2868" s="381">
        <v>0.21059999999999998</v>
      </c>
      <c r="Y2868" s="381">
        <v>0</v>
      </c>
      <c r="Z2868" s="381">
        <v>0</v>
      </c>
      <c r="AA2868" s="381">
        <v>0</v>
      </c>
      <c r="AB2868" s="381">
        <v>0</v>
      </c>
      <c r="AC2868" s="382">
        <v>0.21059999999999998</v>
      </c>
      <c r="AD2868" s="382">
        <v>0</v>
      </c>
      <c r="AE2868" s="381" t="s">
        <v>168</v>
      </c>
    </row>
    <row r="2869" spans="1:31" ht="15" customHeight="1" x14ac:dyDescent="0.25">
      <c r="A2869" s="20" t="s">
        <v>3395</v>
      </c>
      <c r="B2869" s="20" t="s">
        <v>4140</v>
      </c>
      <c r="C2869" s="20" t="s">
        <v>3897</v>
      </c>
      <c r="D2869" s="378" t="s">
        <v>4154</v>
      </c>
      <c r="E2869" s="384">
        <v>42898</v>
      </c>
      <c r="F2869" s="384">
        <v>45443</v>
      </c>
      <c r="G2869" s="378" t="s">
        <v>2837</v>
      </c>
      <c r="H2869" s="20" t="s">
        <v>4155</v>
      </c>
      <c r="I2869" s="378">
        <v>4</v>
      </c>
      <c r="J2869" s="20" t="s">
        <v>4156</v>
      </c>
      <c r="K2869" s="378" t="s">
        <v>4157</v>
      </c>
      <c r="L2869" s="378" t="s">
        <v>2848</v>
      </c>
      <c r="M2869" s="380">
        <v>780</v>
      </c>
      <c r="N2869" s="380" t="s">
        <v>443</v>
      </c>
      <c r="O2869" s="380" t="s">
        <v>443</v>
      </c>
      <c r="P2869" s="380" t="s">
        <v>443</v>
      </c>
      <c r="Q2869" s="381">
        <v>256</v>
      </c>
      <c r="R2869" s="381">
        <v>0</v>
      </c>
      <c r="S2869" s="381">
        <v>0</v>
      </c>
      <c r="T2869" s="381">
        <v>0</v>
      </c>
      <c r="U2869" s="381">
        <v>0</v>
      </c>
      <c r="V2869" s="382">
        <v>256</v>
      </c>
      <c r="W2869" s="382">
        <v>0</v>
      </c>
      <c r="X2869" s="381">
        <v>0.25600000000000001</v>
      </c>
      <c r="Y2869" s="381">
        <v>0</v>
      </c>
      <c r="Z2869" s="381">
        <v>0</v>
      </c>
      <c r="AA2869" s="381">
        <v>0</v>
      </c>
      <c r="AB2869" s="381">
        <v>0</v>
      </c>
      <c r="AC2869" s="382">
        <v>0.25600000000000001</v>
      </c>
      <c r="AD2869" s="382">
        <v>0</v>
      </c>
      <c r="AE2869" s="381" t="s">
        <v>168</v>
      </c>
    </row>
    <row r="2870" spans="1:31" ht="15" customHeight="1" x14ac:dyDescent="0.25">
      <c r="A2870" s="20" t="s">
        <v>3395</v>
      </c>
      <c r="B2870" s="20" t="s">
        <v>4140</v>
      </c>
      <c r="C2870" s="20" t="s">
        <v>3897</v>
      </c>
      <c r="D2870" s="378" t="s">
        <v>4158</v>
      </c>
      <c r="E2870" s="384">
        <v>42898</v>
      </c>
      <c r="F2870" s="384">
        <v>45443</v>
      </c>
      <c r="G2870" s="378" t="s">
        <v>2837</v>
      </c>
      <c r="H2870" s="20" t="s">
        <v>4155</v>
      </c>
      <c r="I2870" s="378">
        <v>4</v>
      </c>
      <c r="J2870" s="20" t="s">
        <v>4156</v>
      </c>
      <c r="K2870" s="378" t="s">
        <v>4157</v>
      </c>
      <c r="L2870" s="378" t="s">
        <v>2848</v>
      </c>
      <c r="M2870" s="380">
        <v>2300</v>
      </c>
      <c r="N2870" s="380" t="s">
        <v>443</v>
      </c>
      <c r="O2870" s="380" t="s">
        <v>443</v>
      </c>
      <c r="P2870" s="380" t="s">
        <v>443</v>
      </c>
      <c r="Q2870" s="381">
        <v>256</v>
      </c>
      <c r="R2870" s="381">
        <v>0</v>
      </c>
      <c r="S2870" s="381">
        <v>0</v>
      </c>
      <c r="T2870" s="381">
        <v>0</v>
      </c>
      <c r="U2870" s="381">
        <v>0</v>
      </c>
      <c r="V2870" s="382">
        <v>256</v>
      </c>
      <c r="W2870" s="382">
        <v>0</v>
      </c>
      <c r="X2870" s="381">
        <v>0.25600000000000001</v>
      </c>
      <c r="Y2870" s="381">
        <v>0</v>
      </c>
      <c r="Z2870" s="381">
        <v>0</v>
      </c>
      <c r="AA2870" s="381">
        <v>0</v>
      </c>
      <c r="AB2870" s="381">
        <v>0</v>
      </c>
      <c r="AC2870" s="382">
        <v>0.25600000000000001</v>
      </c>
      <c r="AD2870" s="382">
        <v>0</v>
      </c>
      <c r="AE2870" s="381" t="s">
        <v>168</v>
      </c>
    </row>
    <row r="2871" spans="1:31" ht="15" customHeight="1" x14ac:dyDescent="0.25">
      <c r="A2871" s="20" t="s">
        <v>4049</v>
      </c>
      <c r="B2871" s="20"/>
      <c r="C2871" s="20" t="s">
        <v>3897</v>
      </c>
      <c r="D2871" s="378" t="s">
        <v>4159</v>
      </c>
      <c r="E2871" s="384">
        <v>43353</v>
      </c>
      <c r="F2871" s="384" t="s">
        <v>3661</v>
      </c>
      <c r="G2871" s="378" t="s">
        <v>2837</v>
      </c>
      <c r="H2871" s="20" t="s">
        <v>4160</v>
      </c>
      <c r="I2871" s="378">
        <v>0</v>
      </c>
      <c r="J2871" s="20" t="s">
        <v>2831</v>
      </c>
      <c r="K2871" s="378" t="s">
        <v>4161</v>
      </c>
      <c r="L2871" s="378" t="s">
        <v>2789</v>
      </c>
      <c r="M2871" s="380" t="s">
        <v>443</v>
      </c>
      <c r="N2871" s="380" t="s">
        <v>443</v>
      </c>
      <c r="O2871" s="380" t="s">
        <v>443</v>
      </c>
      <c r="P2871" s="380" t="s">
        <v>443</v>
      </c>
      <c r="Q2871" s="381">
        <v>1.1299999999999999</v>
      </c>
      <c r="R2871" s="381">
        <v>0</v>
      </c>
      <c r="S2871" s="381">
        <v>0</v>
      </c>
      <c r="T2871" s="381">
        <v>0</v>
      </c>
      <c r="U2871" s="381">
        <v>0</v>
      </c>
      <c r="V2871" s="382">
        <v>1.1299999999999999</v>
      </c>
      <c r="W2871" s="382">
        <v>0</v>
      </c>
      <c r="X2871" s="381" t="s">
        <v>443</v>
      </c>
      <c r="Y2871" s="381" t="s">
        <v>443</v>
      </c>
      <c r="Z2871" s="381" t="s">
        <v>443</v>
      </c>
      <c r="AA2871" s="381" t="s">
        <v>443</v>
      </c>
      <c r="AB2871" s="381" t="s">
        <v>443</v>
      </c>
      <c r="AC2871" s="382">
        <v>0</v>
      </c>
      <c r="AD2871" s="382">
        <v>0</v>
      </c>
      <c r="AE2871" s="381" t="s">
        <v>168</v>
      </c>
    </row>
    <row r="2872" spans="1:31" ht="15" customHeight="1" x14ac:dyDescent="0.25">
      <c r="A2872" s="20" t="s">
        <v>4049</v>
      </c>
      <c r="B2872" s="20"/>
      <c r="C2872" s="20" t="s">
        <v>3897</v>
      </c>
      <c r="D2872" s="378" t="s">
        <v>4162</v>
      </c>
      <c r="E2872" s="384">
        <v>0</v>
      </c>
      <c r="F2872" s="384">
        <v>0</v>
      </c>
      <c r="G2872" s="378" t="s">
        <v>2837</v>
      </c>
      <c r="H2872" s="20">
        <v>0</v>
      </c>
      <c r="I2872" s="378" t="s">
        <v>441</v>
      </c>
      <c r="J2872" s="20" t="s">
        <v>3951</v>
      </c>
      <c r="K2872" s="378" t="s">
        <v>4163</v>
      </c>
      <c r="L2872" s="378" t="s">
        <v>2774</v>
      </c>
      <c r="M2872" s="380" t="s">
        <v>443</v>
      </c>
      <c r="N2872" s="380" t="s">
        <v>443</v>
      </c>
      <c r="O2872" s="380" t="s">
        <v>443</v>
      </c>
      <c r="P2872" s="380" t="s">
        <v>443</v>
      </c>
      <c r="Q2872" s="381">
        <v>0.83</v>
      </c>
      <c r="R2872" s="381">
        <v>0</v>
      </c>
      <c r="S2872" s="381">
        <v>0</v>
      </c>
      <c r="T2872" s="381">
        <v>0</v>
      </c>
      <c r="U2872" s="381">
        <v>0</v>
      </c>
      <c r="V2872" s="382">
        <v>0.83</v>
      </c>
      <c r="W2872" s="382">
        <v>0</v>
      </c>
      <c r="X2872" s="381">
        <v>0.83</v>
      </c>
      <c r="Y2872" s="381">
        <v>0</v>
      </c>
      <c r="Z2872" s="381">
        <v>0</v>
      </c>
      <c r="AA2872" s="381">
        <v>0</v>
      </c>
      <c r="AB2872" s="381">
        <v>0</v>
      </c>
      <c r="AC2872" s="382">
        <v>0.83</v>
      </c>
      <c r="AD2872" s="382">
        <v>0</v>
      </c>
      <c r="AE2872" s="381" t="s">
        <v>168</v>
      </c>
    </row>
    <row r="2873" spans="1:31" ht="15" customHeight="1" x14ac:dyDescent="0.25">
      <c r="A2873" s="20" t="s">
        <v>4049</v>
      </c>
      <c r="B2873" s="20"/>
      <c r="C2873" s="20" t="s">
        <v>3897</v>
      </c>
      <c r="D2873" s="378" t="s">
        <v>4164</v>
      </c>
      <c r="E2873" s="384">
        <v>0</v>
      </c>
      <c r="F2873" s="384">
        <v>0</v>
      </c>
      <c r="G2873" s="378" t="s">
        <v>2837</v>
      </c>
      <c r="H2873" s="20">
        <v>0</v>
      </c>
      <c r="I2873" s="378" t="s">
        <v>441</v>
      </c>
      <c r="J2873" s="20" t="s">
        <v>3951</v>
      </c>
      <c r="K2873" s="378" t="s">
        <v>4163</v>
      </c>
      <c r="L2873" s="378" t="s">
        <v>2774</v>
      </c>
      <c r="M2873" s="380" t="s">
        <v>443</v>
      </c>
      <c r="N2873" s="380" t="s">
        <v>443</v>
      </c>
      <c r="O2873" s="380" t="s">
        <v>443</v>
      </c>
      <c r="P2873" s="380" t="s">
        <v>443</v>
      </c>
      <c r="Q2873" s="381">
        <v>1.9</v>
      </c>
      <c r="R2873" s="381">
        <v>0</v>
      </c>
      <c r="S2873" s="381">
        <v>0</v>
      </c>
      <c r="T2873" s="381">
        <v>0</v>
      </c>
      <c r="U2873" s="381">
        <v>0</v>
      </c>
      <c r="V2873" s="382">
        <v>1.9</v>
      </c>
      <c r="W2873" s="382">
        <v>0</v>
      </c>
      <c r="X2873" s="381">
        <v>1.9</v>
      </c>
      <c r="Y2873" s="381">
        <v>0</v>
      </c>
      <c r="Z2873" s="381">
        <v>0</v>
      </c>
      <c r="AA2873" s="381">
        <v>0</v>
      </c>
      <c r="AB2873" s="381">
        <v>0</v>
      </c>
      <c r="AC2873" s="382">
        <v>1.9</v>
      </c>
      <c r="AD2873" s="382">
        <v>0</v>
      </c>
      <c r="AE2873" s="381" t="s">
        <v>168</v>
      </c>
    </row>
    <row r="2874" spans="1:31" ht="15" customHeight="1" x14ac:dyDescent="0.25">
      <c r="A2874" s="20" t="s">
        <v>4165</v>
      </c>
      <c r="B2874" s="20"/>
      <c r="C2874" s="20" t="s">
        <v>3897</v>
      </c>
      <c r="D2874" s="378" t="s">
        <v>4166</v>
      </c>
      <c r="E2874" s="384">
        <v>45029</v>
      </c>
      <c r="F2874" s="384">
        <v>46855</v>
      </c>
      <c r="G2874" s="378" t="s">
        <v>2837</v>
      </c>
      <c r="H2874" s="20" t="s">
        <v>4167</v>
      </c>
      <c r="I2874" s="378">
        <v>0</v>
      </c>
      <c r="J2874" s="20" t="s">
        <v>2831</v>
      </c>
      <c r="K2874" s="378" t="s">
        <v>4168</v>
      </c>
      <c r="L2874" s="378" t="s">
        <v>2774</v>
      </c>
      <c r="M2874" s="380" t="s">
        <v>443</v>
      </c>
      <c r="N2874" s="380" t="s">
        <v>443</v>
      </c>
      <c r="O2874" s="380" t="s">
        <v>443</v>
      </c>
      <c r="P2874" s="380" t="s">
        <v>443</v>
      </c>
      <c r="Q2874" s="381">
        <v>0.89800000000000002</v>
      </c>
      <c r="R2874" s="381">
        <v>0.99199999999999999</v>
      </c>
      <c r="S2874" s="381">
        <v>6.1700000000000001E-3</v>
      </c>
      <c r="T2874" s="381">
        <v>1.9699999999999999E-4</v>
      </c>
      <c r="U2874" s="381">
        <v>0</v>
      </c>
      <c r="V2874" s="382">
        <v>0.998367</v>
      </c>
      <c r="W2874" s="382">
        <v>0</v>
      </c>
      <c r="X2874" s="381">
        <v>0.89800000000000002</v>
      </c>
      <c r="Y2874" s="381">
        <v>0.99199999999999999</v>
      </c>
      <c r="Z2874" s="381">
        <v>6.1700000000000001E-3</v>
      </c>
      <c r="AA2874" s="381">
        <v>1.9699999999999999E-4</v>
      </c>
      <c r="AB2874" s="381">
        <v>0</v>
      </c>
      <c r="AC2874" s="382">
        <v>0.998367</v>
      </c>
      <c r="AD2874" s="382">
        <v>0</v>
      </c>
      <c r="AE2874" s="381" t="s">
        <v>168</v>
      </c>
    </row>
    <row r="2875" spans="1:31" ht="15" customHeight="1" x14ac:dyDescent="0.25">
      <c r="A2875" s="20" t="s">
        <v>4165</v>
      </c>
      <c r="B2875" s="20"/>
      <c r="C2875" s="20" t="s">
        <v>3897</v>
      </c>
      <c r="D2875" s="378" t="s">
        <v>4169</v>
      </c>
      <c r="E2875" s="384">
        <v>45012</v>
      </c>
      <c r="F2875" s="384">
        <v>46838</v>
      </c>
      <c r="G2875" s="378" t="s">
        <v>2886</v>
      </c>
      <c r="H2875" s="20" t="s">
        <v>4170</v>
      </c>
      <c r="I2875" s="378">
        <v>0</v>
      </c>
      <c r="J2875" s="20" t="s">
        <v>2831</v>
      </c>
      <c r="K2875" s="378" t="s">
        <v>4171</v>
      </c>
      <c r="L2875" s="378" t="s">
        <v>2774</v>
      </c>
      <c r="M2875" s="380">
        <v>1500</v>
      </c>
      <c r="N2875" s="380" t="s">
        <v>443</v>
      </c>
      <c r="O2875" s="380" t="s">
        <v>443</v>
      </c>
      <c r="P2875" s="380" t="s">
        <v>443</v>
      </c>
      <c r="Q2875" s="381">
        <v>0.24199999999999999</v>
      </c>
      <c r="R2875" s="381">
        <v>0.26200000000000001</v>
      </c>
      <c r="S2875" s="381">
        <v>-1.9699999999999999E-2</v>
      </c>
      <c r="T2875" s="381">
        <v>2.0000000000000001E-4</v>
      </c>
      <c r="U2875" s="381">
        <v>0</v>
      </c>
      <c r="V2875" s="382">
        <v>0.26220000000000004</v>
      </c>
      <c r="W2875" s="382">
        <v>0</v>
      </c>
      <c r="X2875" s="381">
        <v>0.24199999999999999</v>
      </c>
      <c r="Y2875" s="381">
        <v>0.26200000000000001</v>
      </c>
      <c r="Z2875" s="381">
        <v>-1.9699999999999999E-2</v>
      </c>
      <c r="AA2875" s="381">
        <v>2.0000000000000001E-4</v>
      </c>
      <c r="AB2875" s="381">
        <v>0</v>
      </c>
      <c r="AC2875" s="382">
        <v>0.26220000000000004</v>
      </c>
      <c r="AD2875" s="382">
        <v>0</v>
      </c>
      <c r="AE2875" s="381" t="s">
        <v>168</v>
      </c>
    </row>
    <row r="2876" spans="1:31" ht="15" customHeight="1" x14ac:dyDescent="0.25">
      <c r="A2876" s="20" t="s">
        <v>4165</v>
      </c>
      <c r="B2876" s="20"/>
      <c r="C2876" s="20" t="s">
        <v>3897</v>
      </c>
      <c r="D2876" s="378" t="s">
        <v>4172</v>
      </c>
      <c r="E2876" s="384">
        <v>45075</v>
      </c>
      <c r="F2876" s="384">
        <v>46901</v>
      </c>
      <c r="G2876" s="378" t="s">
        <v>2837</v>
      </c>
      <c r="H2876" s="20" t="s">
        <v>4173</v>
      </c>
      <c r="I2876" s="378">
        <v>0</v>
      </c>
      <c r="J2876" s="20" t="s">
        <v>2831</v>
      </c>
      <c r="K2876" s="378" t="s">
        <v>4174</v>
      </c>
      <c r="L2876" s="378" t="s">
        <v>2774</v>
      </c>
      <c r="M2876" s="380" t="s">
        <v>443</v>
      </c>
      <c r="N2876" s="380" t="s">
        <v>443</v>
      </c>
      <c r="O2876" s="380" t="s">
        <v>443</v>
      </c>
      <c r="P2876" s="380" t="s">
        <v>443</v>
      </c>
      <c r="Q2876" s="381">
        <v>0.56999999999999995</v>
      </c>
      <c r="R2876" s="381">
        <v>0.56699999999999995</v>
      </c>
      <c r="S2876" s="381">
        <v>2.8600000000000001E-3</v>
      </c>
      <c r="T2876" s="381">
        <v>3.0400000000000002E-4</v>
      </c>
      <c r="U2876" s="381">
        <v>0</v>
      </c>
      <c r="V2876" s="382">
        <v>0.57016399999999989</v>
      </c>
      <c r="W2876" s="382">
        <v>0</v>
      </c>
      <c r="X2876" s="381">
        <v>0.56999999999999995</v>
      </c>
      <c r="Y2876" s="381">
        <v>0.56699999999999995</v>
      </c>
      <c r="Z2876" s="381">
        <v>2.8600000000000001E-3</v>
      </c>
      <c r="AA2876" s="381">
        <v>3.0400000000000002E-4</v>
      </c>
      <c r="AB2876" s="381">
        <v>0</v>
      </c>
      <c r="AC2876" s="382">
        <v>0.57016399999999989</v>
      </c>
      <c r="AD2876" s="382">
        <v>0</v>
      </c>
      <c r="AE2876" s="381" t="s">
        <v>168</v>
      </c>
    </row>
    <row r="2877" spans="1:31" ht="15" customHeight="1" x14ac:dyDescent="0.25">
      <c r="A2877" s="20" t="s">
        <v>4165</v>
      </c>
      <c r="B2877" s="20"/>
      <c r="C2877" s="20" t="s">
        <v>3897</v>
      </c>
      <c r="D2877" s="378" t="s">
        <v>4175</v>
      </c>
      <c r="E2877" s="384">
        <v>44762</v>
      </c>
      <c r="F2877" s="384">
        <v>46587</v>
      </c>
      <c r="G2877" s="378" t="s">
        <v>2856</v>
      </c>
      <c r="H2877" s="20" t="s">
        <v>4176</v>
      </c>
      <c r="I2877" s="378">
        <v>0</v>
      </c>
      <c r="J2877" s="20" t="s">
        <v>2831</v>
      </c>
      <c r="K2877" s="378" t="s">
        <v>4177</v>
      </c>
      <c r="L2877" s="378" t="s">
        <v>2774</v>
      </c>
      <c r="M2877" s="380">
        <v>2100</v>
      </c>
      <c r="N2877" s="380" t="s">
        <v>443</v>
      </c>
      <c r="O2877" s="380" t="s">
        <v>443</v>
      </c>
      <c r="P2877" s="380" t="s">
        <v>443</v>
      </c>
      <c r="Q2877" s="381">
        <v>0.57499999999999996</v>
      </c>
      <c r="R2877" s="381">
        <v>0.57399999999999995</v>
      </c>
      <c r="S2877" s="381">
        <v>5.4500000000000002E-4</v>
      </c>
      <c r="T2877" s="381">
        <v>2.3499999999999999E-4</v>
      </c>
      <c r="U2877" s="381">
        <v>0</v>
      </c>
      <c r="V2877" s="382">
        <v>0.57477999999999996</v>
      </c>
      <c r="W2877" s="382">
        <v>0</v>
      </c>
      <c r="X2877" s="381">
        <v>0.57499999999999996</v>
      </c>
      <c r="Y2877" s="381">
        <v>0.57399999999999995</v>
      </c>
      <c r="Z2877" s="381">
        <v>5.4500000000000002E-4</v>
      </c>
      <c r="AA2877" s="381">
        <v>2.3499999999999999E-4</v>
      </c>
      <c r="AB2877" s="381">
        <v>0</v>
      </c>
      <c r="AC2877" s="382">
        <v>0.57477999999999996</v>
      </c>
      <c r="AD2877" s="382">
        <v>0</v>
      </c>
      <c r="AE2877" s="381" t="s">
        <v>168</v>
      </c>
    </row>
    <row r="2878" spans="1:31" ht="15" customHeight="1" x14ac:dyDescent="0.25">
      <c r="A2878" s="20" t="s">
        <v>4165</v>
      </c>
      <c r="B2878" s="20"/>
      <c r="C2878" s="20" t="s">
        <v>3897</v>
      </c>
      <c r="D2878" s="378" t="s">
        <v>4178</v>
      </c>
      <c r="E2878" s="384">
        <v>44921</v>
      </c>
      <c r="F2878" s="384">
        <v>46746</v>
      </c>
      <c r="G2878" s="378" t="s">
        <v>4179</v>
      </c>
      <c r="H2878" s="20" t="s">
        <v>4180</v>
      </c>
      <c r="I2878" s="378">
        <v>0</v>
      </c>
      <c r="J2878" s="20" t="s">
        <v>2831</v>
      </c>
      <c r="K2878" s="378" t="s">
        <v>4181</v>
      </c>
      <c r="L2878" s="378" t="s">
        <v>165</v>
      </c>
      <c r="M2878" s="380">
        <v>1664</v>
      </c>
      <c r="N2878" s="380" t="s">
        <v>443</v>
      </c>
      <c r="O2878" s="380" t="s">
        <v>443</v>
      </c>
      <c r="P2878" s="380" t="s">
        <v>443</v>
      </c>
      <c r="Q2878" s="381">
        <v>205</v>
      </c>
      <c r="R2878" s="381">
        <v>201</v>
      </c>
      <c r="S2878" s="381">
        <v>3.51</v>
      </c>
      <c r="T2878" s="381">
        <v>0.38200000000000001</v>
      </c>
      <c r="U2878" s="381">
        <v>0</v>
      </c>
      <c r="V2878" s="382">
        <v>204.892</v>
      </c>
      <c r="W2878" s="382">
        <v>0</v>
      </c>
      <c r="X2878" s="381">
        <v>0.12319711538461539</v>
      </c>
      <c r="Y2878" s="381">
        <v>0.12079326923076923</v>
      </c>
      <c r="Z2878" s="381">
        <v>2.1093749999999997E-3</v>
      </c>
      <c r="AA2878" s="381">
        <v>2.2956730769230769E-4</v>
      </c>
      <c r="AB2878" s="381">
        <v>0</v>
      </c>
      <c r="AC2878" s="382">
        <v>0.12313221153846153</v>
      </c>
      <c r="AD2878" s="382">
        <v>0</v>
      </c>
      <c r="AE2878" s="381" t="s">
        <v>168</v>
      </c>
    </row>
    <row r="2879" spans="1:31" ht="15" customHeight="1" x14ac:dyDescent="0.25">
      <c r="A2879" s="20" t="s">
        <v>4165</v>
      </c>
      <c r="B2879" s="20"/>
      <c r="C2879" s="20" t="s">
        <v>3897</v>
      </c>
      <c r="D2879" s="378" t="s">
        <v>4182</v>
      </c>
      <c r="E2879" s="384">
        <v>44921</v>
      </c>
      <c r="F2879" s="384">
        <v>46746</v>
      </c>
      <c r="G2879" s="378" t="s">
        <v>4179</v>
      </c>
      <c r="H2879" s="20" t="s">
        <v>4183</v>
      </c>
      <c r="I2879" s="378">
        <v>0</v>
      </c>
      <c r="J2879" s="20" t="s">
        <v>2831</v>
      </c>
      <c r="K2879" s="378" t="s">
        <v>4184</v>
      </c>
      <c r="L2879" s="378" t="s">
        <v>2774</v>
      </c>
      <c r="M2879" s="380">
        <v>1356</v>
      </c>
      <c r="N2879" s="380" t="s">
        <v>443</v>
      </c>
      <c r="O2879" s="380" t="s">
        <v>443</v>
      </c>
      <c r="P2879" s="380" t="s">
        <v>443</v>
      </c>
      <c r="Q2879" s="381">
        <v>0.17182890855457228</v>
      </c>
      <c r="R2879" s="381">
        <v>0.1696165191740413</v>
      </c>
      <c r="S2879" s="381">
        <v>1.8436578171091445E-3</v>
      </c>
      <c r="T2879" s="381">
        <v>4.424778761061947E-5</v>
      </c>
      <c r="U2879" s="381">
        <v>0</v>
      </c>
      <c r="V2879" s="382">
        <v>0.17150442477876107</v>
      </c>
      <c r="W2879" s="382">
        <v>0</v>
      </c>
      <c r="X2879" s="381">
        <v>0.17182890855457228</v>
      </c>
      <c r="Y2879" s="381">
        <v>0.1696165191740413</v>
      </c>
      <c r="Z2879" s="381">
        <v>1.8436578171091445E-3</v>
      </c>
      <c r="AA2879" s="381">
        <v>4.424778761061947E-5</v>
      </c>
      <c r="AB2879" s="381">
        <v>0</v>
      </c>
      <c r="AC2879" s="382">
        <v>0.17150442477876107</v>
      </c>
      <c r="AD2879" s="382">
        <v>0</v>
      </c>
      <c r="AE2879" s="381" t="s">
        <v>168</v>
      </c>
    </row>
    <row r="2880" spans="1:31" ht="15" customHeight="1" x14ac:dyDescent="0.25">
      <c r="A2880" s="20" t="s">
        <v>4165</v>
      </c>
      <c r="B2880" s="20"/>
      <c r="C2880" s="20" t="s">
        <v>3897</v>
      </c>
      <c r="D2880" s="378" t="s">
        <v>4185</v>
      </c>
      <c r="E2880" s="384">
        <v>44761</v>
      </c>
      <c r="F2880" s="384">
        <v>46581</v>
      </c>
      <c r="G2880" s="378" t="s">
        <v>2837</v>
      </c>
      <c r="H2880" s="20" t="s">
        <v>4186</v>
      </c>
      <c r="I2880" s="378">
        <v>0</v>
      </c>
      <c r="J2880" s="20" t="s">
        <v>2831</v>
      </c>
      <c r="K2880" s="378" t="s">
        <v>4187</v>
      </c>
      <c r="L2880" s="378" t="s">
        <v>2774</v>
      </c>
      <c r="M2880" s="380" t="s">
        <v>443</v>
      </c>
      <c r="N2880" s="380">
        <v>2.64</v>
      </c>
      <c r="O2880" s="380" t="s">
        <v>443</v>
      </c>
      <c r="P2880" s="380" t="s">
        <v>443</v>
      </c>
      <c r="Q2880" s="381">
        <v>0.59848484848484851</v>
      </c>
      <c r="R2880" s="381">
        <v>0.59469696969696972</v>
      </c>
      <c r="S2880" s="381">
        <v>1.0492424242424241E-3</v>
      </c>
      <c r="T2880" s="381">
        <v>7.9924242424242421E-4</v>
      </c>
      <c r="U2880" s="381">
        <v>0</v>
      </c>
      <c r="V2880" s="382">
        <v>0.5965454545454546</v>
      </c>
      <c r="W2880" s="382">
        <v>0</v>
      </c>
      <c r="X2880" s="381">
        <v>0.59848484848484851</v>
      </c>
      <c r="Y2880" s="381">
        <v>0.59469696969696972</v>
      </c>
      <c r="Z2880" s="381">
        <v>1.0492424242424241E-3</v>
      </c>
      <c r="AA2880" s="381">
        <v>7.9924242424242421E-4</v>
      </c>
      <c r="AB2880" s="381">
        <v>0</v>
      </c>
      <c r="AC2880" s="382">
        <v>0.5965454545454546</v>
      </c>
      <c r="AD2880" s="382">
        <v>0</v>
      </c>
      <c r="AE2880" s="381" t="s">
        <v>168</v>
      </c>
    </row>
    <row r="2881" spans="1:31" ht="15" customHeight="1" x14ac:dyDescent="0.25">
      <c r="A2881" s="20" t="s">
        <v>4188</v>
      </c>
      <c r="B2881" s="20"/>
      <c r="C2881" s="20" t="s">
        <v>3897</v>
      </c>
      <c r="D2881" s="378" t="s">
        <v>4189</v>
      </c>
      <c r="E2881" s="384">
        <v>44888</v>
      </c>
      <c r="F2881" s="384">
        <v>46714</v>
      </c>
      <c r="G2881" s="378" t="s">
        <v>439</v>
      </c>
      <c r="H2881" s="20" t="s">
        <v>4190</v>
      </c>
      <c r="I2881" s="378">
        <v>0</v>
      </c>
      <c r="J2881" s="20" t="s">
        <v>163</v>
      </c>
      <c r="K2881" s="378" t="s">
        <v>4191</v>
      </c>
      <c r="L2881" s="378" t="s">
        <v>2774</v>
      </c>
      <c r="M2881" s="380">
        <v>955</v>
      </c>
      <c r="N2881" s="380" t="s">
        <v>443</v>
      </c>
      <c r="O2881" s="380" t="s">
        <v>443</v>
      </c>
      <c r="P2881" s="380" t="s">
        <v>443</v>
      </c>
      <c r="Q2881" s="381">
        <v>332</v>
      </c>
      <c r="R2881" s="381">
        <v>333</v>
      </c>
      <c r="S2881" s="381">
        <v>-1.2999999999999999E-2</v>
      </c>
      <c r="T2881" s="381">
        <v>1.2700000000000001E-3</v>
      </c>
      <c r="U2881" s="381">
        <v>0</v>
      </c>
      <c r="V2881" s="382">
        <v>333.00126999999998</v>
      </c>
      <c r="W2881" s="382">
        <v>0</v>
      </c>
      <c r="X2881" s="381">
        <v>332</v>
      </c>
      <c r="Y2881" s="381">
        <v>333</v>
      </c>
      <c r="Z2881" s="381">
        <v>-1.2999999999999999E-2</v>
      </c>
      <c r="AA2881" s="381">
        <v>1.2700000000000001E-3</v>
      </c>
      <c r="AB2881" s="381">
        <v>0</v>
      </c>
      <c r="AC2881" s="382">
        <v>333.00126999999998</v>
      </c>
      <c r="AD2881" s="382">
        <v>0</v>
      </c>
      <c r="AE2881" s="381" t="s">
        <v>168</v>
      </c>
    </row>
    <row r="2882" spans="1:31" ht="15" customHeight="1" x14ac:dyDescent="0.25">
      <c r="A2882" s="20" t="s">
        <v>4188</v>
      </c>
      <c r="B2882" s="20"/>
      <c r="C2882" s="20" t="s">
        <v>3897</v>
      </c>
      <c r="D2882" s="378" t="s">
        <v>4192</v>
      </c>
      <c r="E2882" s="384">
        <v>44888</v>
      </c>
      <c r="F2882" s="384">
        <v>46714</v>
      </c>
      <c r="G2882" s="378" t="s">
        <v>439</v>
      </c>
      <c r="H2882" s="20" t="s">
        <v>4193</v>
      </c>
      <c r="I2882" s="378">
        <v>0</v>
      </c>
      <c r="J2882" s="20" t="s">
        <v>163</v>
      </c>
      <c r="K2882" s="378" t="s">
        <v>2854</v>
      </c>
      <c r="L2882" s="378" t="s">
        <v>2774</v>
      </c>
      <c r="M2882" s="380">
        <v>1530</v>
      </c>
      <c r="N2882" s="380" t="s">
        <v>443</v>
      </c>
      <c r="O2882" s="380" t="s">
        <v>443</v>
      </c>
      <c r="P2882" s="380" t="s">
        <v>443</v>
      </c>
      <c r="Q2882" s="381">
        <v>3.19</v>
      </c>
      <c r="R2882" s="381">
        <v>3.2</v>
      </c>
      <c r="S2882" s="381">
        <v>-0.02</v>
      </c>
      <c r="T2882" s="381">
        <v>2.0999999999999999E-3</v>
      </c>
      <c r="U2882" s="381">
        <v>0</v>
      </c>
      <c r="V2882" s="382">
        <v>3.2021000000000002</v>
      </c>
      <c r="W2882" s="382">
        <v>0</v>
      </c>
      <c r="X2882" s="381">
        <v>3.19</v>
      </c>
      <c r="Y2882" s="381">
        <v>3.2</v>
      </c>
      <c r="Z2882" s="381">
        <v>-0.02</v>
      </c>
      <c r="AA2882" s="381">
        <v>2.0999999999999999E-3</v>
      </c>
      <c r="AB2882" s="381">
        <v>0</v>
      </c>
      <c r="AC2882" s="382">
        <v>3.2021000000000002</v>
      </c>
      <c r="AD2882" s="382">
        <v>0</v>
      </c>
      <c r="AE2882" s="381" t="s">
        <v>168</v>
      </c>
    </row>
    <row r="2883" spans="1:31" ht="15" customHeight="1" x14ac:dyDescent="0.25">
      <c r="A2883" s="20" t="s">
        <v>4188</v>
      </c>
      <c r="B2883" s="20"/>
      <c r="C2883" s="20" t="s">
        <v>3897</v>
      </c>
      <c r="D2883" s="378" t="s">
        <v>4194</v>
      </c>
      <c r="E2883" s="384">
        <v>44820</v>
      </c>
      <c r="F2883" s="384">
        <v>46646</v>
      </c>
      <c r="G2883" s="378" t="s">
        <v>439</v>
      </c>
      <c r="H2883" s="20" t="s">
        <v>4195</v>
      </c>
      <c r="I2883" s="378">
        <v>0</v>
      </c>
      <c r="J2883" s="20" t="s">
        <v>163</v>
      </c>
      <c r="K2883" s="378" t="s">
        <v>4196</v>
      </c>
      <c r="L2883" s="378" t="s">
        <v>2774</v>
      </c>
      <c r="M2883" s="380">
        <v>960</v>
      </c>
      <c r="N2883" s="380" t="s">
        <v>443</v>
      </c>
      <c r="O2883" s="380" t="s">
        <v>443</v>
      </c>
      <c r="P2883" s="380" t="s">
        <v>443</v>
      </c>
      <c r="Q2883" s="381">
        <v>3.07</v>
      </c>
      <c r="R2883" s="381">
        <v>3.08</v>
      </c>
      <c r="S2883" s="381">
        <v>-7.5199999999999998E-3</v>
      </c>
      <c r="T2883" s="381">
        <v>1.25E-3</v>
      </c>
      <c r="U2883" s="381">
        <v>0</v>
      </c>
      <c r="V2883" s="382">
        <v>3.0812500000000003</v>
      </c>
      <c r="W2883" s="382">
        <v>0</v>
      </c>
      <c r="X2883" s="381">
        <v>3.07</v>
      </c>
      <c r="Y2883" s="381">
        <v>3.08</v>
      </c>
      <c r="Z2883" s="381">
        <v>-7.5199999999999998E-3</v>
      </c>
      <c r="AA2883" s="381">
        <v>1.25E-3</v>
      </c>
      <c r="AB2883" s="381">
        <v>0</v>
      </c>
      <c r="AC2883" s="382">
        <v>3.0812500000000003</v>
      </c>
      <c r="AD2883" s="382">
        <v>0</v>
      </c>
      <c r="AE2883" s="381" t="s">
        <v>168</v>
      </c>
    </row>
    <row r="2884" spans="1:31" ht="15" customHeight="1" x14ac:dyDescent="0.25">
      <c r="A2884" s="20" t="s">
        <v>4188</v>
      </c>
      <c r="B2884" s="20"/>
      <c r="C2884" s="20" t="s">
        <v>3897</v>
      </c>
      <c r="D2884" s="378" t="s">
        <v>4197</v>
      </c>
      <c r="E2884" s="384">
        <v>44888</v>
      </c>
      <c r="F2884" s="384">
        <v>46714</v>
      </c>
      <c r="G2884" s="378" t="s">
        <v>439</v>
      </c>
      <c r="H2884" s="20" t="s">
        <v>4193</v>
      </c>
      <c r="I2884" s="378">
        <v>0</v>
      </c>
      <c r="J2884" s="20" t="s">
        <v>163</v>
      </c>
      <c r="K2884" s="378" t="s">
        <v>2854</v>
      </c>
      <c r="L2884" s="378" t="s">
        <v>2774</v>
      </c>
      <c r="M2884" s="380">
        <v>1530</v>
      </c>
      <c r="N2884" s="380" t="s">
        <v>443</v>
      </c>
      <c r="O2884" s="380" t="s">
        <v>443</v>
      </c>
      <c r="P2884" s="380" t="s">
        <v>443</v>
      </c>
      <c r="Q2884" s="381">
        <v>3.37</v>
      </c>
      <c r="R2884" s="381">
        <v>3.38</v>
      </c>
      <c r="S2884" s="381">
        <v>-0.01</v>
      </c>
      <c r="T2884" s="381">
        <v>2.2699999999999999E-3</v>
      </c>
      <c r="U2884" s="381">
        <v>0</v>
      </c>
      <c r="V2884" s="382">
        <v>3.3822700000000001</v>
      </c>
      <c r="W2884" s="382">
        <v>0</v>
      </c>
      <c r="X2884" s="381">
        <v>3.37</v>
      </c>
      <c r="Y2884" s="381">
        <v>3.38</v>
      </c>
      <c r="Z2884" s="381">
        <v>-0.01</v>
      </c>
      <c r="AA2884" s="381">
        <v>2.2699999999999999E-3</v>
      </c>
      <c r="AB2884" s="381">
        <v>0</v>
      </c>
      <c r="AC2884" s="382">
        <v>3.3822700000000001</v>
      </c>
      <c r="AD2884" s="382">
        <v>0</v>
      </c>
      <c r="AE2884" s="381" t="s">
        <v>168</v>
      </c>
    </row>
    <row r="2885" spans="1:31" ht="15" customHeight="1" x14ac:dyDescent="0.25">
      <c r="A2885" s="20" t="s">
        <v>4188</v>
      </c>
      <c r="B2885" s="20"/>
      <c r="C2885" s="20" t="s">
        <v>3897</v>
      </c>
      <c r="D2885" s="378" t="s">
        <v>4198</v>
      </c>
      <c r="E2885" s="384">
        <v>44820</v>
      </c>
      <c r="F2885" s="384">
        <v>46646</v>
      </c>
      <c r="G2885" s="378" t="s">
        <v>439</v>
      </c>
      <c r="H2885" s="20" t="s">
        <v>4199</v>
      </c>
      <c r="I2885" s="378">
        <v>0</v>
      </c>
      <c r="J2885" s="20" t="s">
        <v>163</v>
      </c>
      <c r="K2885" s="378" t="s">
        <v>4200</v>
      </c>
      <c r="L2885" s="378" t="s">
        <v>2774</v>
      </c>
      <c r="M2885" s="380">
        <v>1480</v>
      </c>
      <c r="N2885" s="380" t="s">
        <v>443</v>
      </c>
      <c r="O2885" s="380" t="s">
        <v>443</v>
      </c>
      <c r="P2885" s="380" t="s">
        <v>443</v>
      </c>
      <c r="Q2885" s="381">
        <v>3.62</v>
      </c>
      <c r="R2885" s="381">
        <v>3.63</v>
      </c>
      <c r="S2885" s="381">
        <v>-8.2100000000000003E-3</v>
      </c>
      <c r="T2885" s="381">
        <v>2.3500000000000001E-3</v>
      </c>
      <c r="U2885" s="381">
        <v>0</v>
      </c>
      <c r="V2885" s="382">
        <v>3.6323499999999997</v>
      </c>
      <c r="W2885" s="382">
        <v>0</v>
      </c>
      <c r="X2885" s="381">
        <v>3.62</v>
      </c>
      <c r="Y2885" s="381">
        <v>3.63</v>
      </c>
      <c r="Z2885" s="381">
        <v>-8.2100000000000003E-3</v>
      </c>
      <c r="AA2885" s="381">
        <v>2.3500000000000001E-3</v>
      </c>
      <c r="AB2885" s="381">
        <v>0</v>
      </c>
      <c r="AC2885" s="382">
        <v>3.6323499999999997</v>
      </c>
      <c r="AD2885" s="382">
        <v>0</v>
      </c>
      <c r="AE2885" s="381" t="s">
        <v>168</v>
      </c>
    </row>
    <row r="2886" spans="1:31" ht="15" customHeight="1" x14ac:dyDescent="0.25">
      <c r="A2886" s="20" t="s">
        <v>4188</v>
      </c>
      <c r="B2886" s="20"/>
      <c r="C2886" s="20" t="s">
        <v>3897</v>
      </c>
      <c r="D2886" s="378" t="s">
        <v>4201</v>
      </c>
      <c r="E2886" s="384">
        <v>44820</v>
      </c>
      <c r="F2886" s="384">
        <v>46646</v>
      </c>
      <c r="G2886" s="378" t="s">
        <v>439</v>
      </c>
      <c r="H2886" s="20" t="s">
        <v>4199</v>
      </c>
      <c r="I2886" s="378">
        <v>0</v>
      </c>
      <c r="J2886" s="20" t="s">
        <v>163</v>
      </c>
      <c r="K2886" s="378" t="s">
        <v>4200</v>
      </c>
      <c r="L2886" s="378" t="s">
        <v>2774</v>
      </c>
      <c r="M2886" s="380">
        <v>1480</v>
      </c>
      <c r="N2886" s="380" t="s">
        <v>443</v>
      </c>
      <c r="O2886" s="380" t="s">
        <v>443</v>
      </c>
      <c r="P2886" s="380" t="s">
        <v>443</v>
      </c>
      <c r="Q2886" s="381">
        <v>3.46</v>
      </c>
      <c r="R2886" s="381">
        <v>3.46</v>
      </c>
      <c r="S2886" s="381">
        <v>-6.8399999999999997E-3</v>
      </c>
      <c r="T2886" s="381">
        <v>2.2899999999999999E-3</v>
      </c>
      <c r="U2886" s="381">
        <v>0</v>
      </c>
      <c r="V2886" s="382">
        <v>3.4622899999999999</v>
      </c>
      <c r="W2886" s="382">
        <v>0</v>
      </c>
      <c r="X2886" s="381">
        <v>3.46</v>
      </c>
      <c r="Y2886" s="381">
        <v>3.46</v>
      </c>
      <c r="Z2886" s="381">
        <v>-6.8399999999999997E-3</v>
      </c>
      <c r="AA2886" s="381">
        <v>2.2899999999999999E-3</v>
      </c>
      <c r="AB2886" s="381">
        <v>0</v>
      </c>
      <c r="AC2886" s="382">
        <v>3.4622899999999999</v>
      </c>
      <c r="AD2886" s="382">
        <v>0</v>
      </c>
      <c r="AE2886" s="381" t="s">
        <v>168</v>
      </c>
    </row>
    <row r="2887" spans="1:31" ht="15" customHeight="1" x14ac:dyDescent="0.25">
      <c r="A2887" s="20" t="s">
        <v>4188</v>
      </c>
      <c r="B2887" s="20"/>
      <c r="C2887" s="20" t="s">
        <v>3897</v>
      </c>
      <c r="D2887" s="378" t="s">
        <v>4202</v>
      </c>
      <c r="E2887" s="384">
        <v>44820</v>
      </c>
      <c r="F2887" s="384">
        <v>46646</v>
      </c>
      <c r="G2887" s="378" t="s">
        <v>439</v>
      </c>
      <c r="H2887" s="20" t="s">
        <v>4199</v>
      </c>
      <c r="I2887" s="378">
        <v>0</v>
      </c>
      <c r="J2887" s="20" t="s">
        <v>163</v>
      </c>
      <c r="K2887" s="378" t="s">
        <v>4200</v>
      </c>
      <c r="L2887" s="378" t="s">
        <v>2774</v>
      </c>
      <c r="M2887" s="380">
        <v>1480</v>
      </c>
      <c r="N2887" s="380" t="s">
        <v>443</v>
      </c>
      <c r="O2887" s="380" t="s">
        <v>443</v>
      </c>
      <c r="P2887" s="380" t="s">
        <v>443</v>
      </c>
      <c r="Q2887" s="381">
        <v>3.55</v>
      </c>
      <c r="R2887" s="381">
        <v>3.55</v>
      </c>
      <c r="S2887" s="381">
        <v>-8.0400000000000003E-3</v>
      </c>
      <c r="T2887" s="381">
        <v>2.2899999999999999E-3</v>
      </c>
      <c r="U2887" s="381">
        <v>0</v>
      </c>
      <c r="V2887" s="382">
        <v>3.5522899999999997</v>
      </c>
      <c r="W2887" s="382">
        <v>0</v>
      </c>
      <c r="X2887" s="381">
        <v>3.55</v>
      </c>
      <c r="Y2887" s="381">
        <v>3.55</v>
      </c>
      <c r="Z2887" s="381">
        <v>-8.0400000000000003E-3</v>
      </c>
      <c r="AA2887" s="381">
        <v>2.2899999999999999E-3</v>
      </c>
      <c r="AB2887" s="381">
        <v>0</v>
      </c>
      <c r="AC2887" s="382">
        <v>3.5522899999999997</v>
      </c>
      <c r="AD2887" s="382">
        <v>0</v>
      </c>
      <c r="AE2887" s="381" t="s">
        <v>168</v>
      </c>
    </row>
    <row r="2888" spans="1:31" ht="15" customHeight="1" x14ac:dyDescent="0.25">
      <c r="A2888" s="20" t="s">
        <v>4188</v>
      </c>
      <c r="B2888" s="20"/>
      <c r="C2888" s="20" t="s">
        <v>3897</v>
      </c>
      <c r="D2888" s="378" t="s">
        <v>4203</v>
      </c>
      <c r="E2888" s="384">
        <v>42431</v>
      </c>
      <c r="F2888" s="384">
        <v>44256</v>
      </c>
      <c r="G2888" s="378" t="s">
        <v>439</v>
      </c>
      <c r="H2888" s="20" t="s">
        <v>4204</v>
      </c>
      <c r="I2888" s="378">
        <v>0</v>
      </c>
      <c r="J2888" s="20" t="s">
        <v>163</v>
      </c>
      <c r="K2888" s="378" t="s">
        <v>4205</v>
      </c>
      <c r="L2888" s="378" t="s">
        <v>2774</v>
      </c>
      <c r="M2888" s="380">
        <v>1480</v>
      </c>
      <c r="N2888" s="380" t="s">
        <v>443</v>
      </c>
      <c r="O2888" s="380" t="s">
        <v>443</v>
      </c>
      <c r="P2888" s="380" t="s">
        <v>443</v>
      </c>
      <c r="Q2888" s="381">
        <v>3.6080000000000001</v>
      </c>
      <c r="R2888" s="381">
        <v>0</v>
      </c>
      <c r="S2888" s="381">
        <v>0</v>
      </c>
      <c r="T2888" s="381">
        <v>0</v>
      </c>
      <c r="U2888" s="381">
        <v>0</v>
      </c>
      <c r="V2888" s="382">
        <v>3.6080000000000001</v>
      </c>
      <c r="W2888" s="382">
        <v>0</v>
      </c>
      <c r="X2888" s="381">
        <v>3.6080000000000001</v>
      </c>
      <c r="Y2888" s="381">
        <v>0</v>
      </c>
      <c r="Z2888" s="381">
        <v>0</v>
      </c>
      <c r="AA2888" s="381">
        <v>0</v>
      </c>
      <c r="AB2888" s="381">
        <v>0</v>
      </c>
      <c r="AC2888" s="382">
        <v>3.6080000000000001</v>
      </c>
      <c r="AD2888" s="382">
        <v>0</v>
      </c>
      <c r="AE2888" s="381" t="s">
        <v>168</v>
      </c>
    </row>
    <row r="2889" spans="1:31" ht="15" customHeight="1" x14ac:dyDescent="0.25">
      <c r="A2889" s="20" t="s">
        <v>4206</v>
      </c>
      <c r="B2889" s="20"/>
      <c r="C2889" s="20" t="s">
        <v>3897</v>
      </c>
      <c r="D2889" s="378" t="s">
        <v>4207</v>
      </c>
      <c r="E2889" s="384">
        <v>44204</v>
      </c>
      <c r="F2889" s="384">
        <v>46019</v>
      </c>
      <c r="G2889" s="378" t="s">
        <v>2837</v>
      </c>
      <c r="H2889" s="20" t="s">
        <v>4208</v>
      </c>
      <c r="I2889" s="378">
        <v>0</v>
      </c>
      <c r="J2889" s="20" t="s">
        <v>2831</v>
      </c>
      <c r="K2889" s="378" t="s">
        <v>2854</v>
      </c>
      <c r="L2889" s="378" t="s">
        <v>2774</v>
      </c>
      <c r="M2889" s="380" t="s">
        <v>443</v>
      </c>
      <c r="N2889" s="380" t="s">
        <v>443</v>
      </c>
      <c r="O2889" s="380" t="s">
        <v>443</v>
      </c>
      <c r="P2889" s="380" t="s">
        <v>443</v>
      </c>
      <c r="Q2889" s="381">
        <v>7.34</v>
      </c>
      <c r="R2889" s="381">
        <v>0</v>
      </c>
      <c r="S2889" s="381">
        <v>0</v>
      </c>
      <c r="T2889" s="381">
        <v>0</v>
      </c>
      <c r="U2889" s="381">
        <v>0</v>
      </c>
      <c r="V2889" s="382">
        <v>7.34</v>
      </c>
      <c r="W2889" s="382">
        <v>0</v>
      </c>
      <c r="X2889" s="381">
        <v>7.34</v>
      </c>
      <c r="Y2889" s="381">
        <v>0</v>
      </c>
      <c r="Z2889" s="381">
        <v>0</v>
      </c>
      <c r="AA2889" s="381">
        <v>0</v>
      </c>
      <c r="AB2889" s="381">
        <v>0</v>
      </c>
      <c r="AC2889" s="382">
        <v>7.34</v>
      </c>
      <c r="AD2889" s="382">
        <v>0</v>
      </c>
      <c r="AE2889" s="381" t="s">
        <v>168</v>
      </c>
    </row>
    <row r="2890" spans="1:31" ht="15" customHeight="1" x14ac:dyDescent="0.25">
      <c r="A2890" s="20" t="s">
        <v>4209</v>
      </c>
      <c r="B2890" s="20" t="s">
        <v>4210</v>
      </c>
      <c r="C2890" s="20" t="s">
        <v>3897</v>
      </c>
      <c r="D2890" s="378" t="s">
        <v>4211</v>
      </c>
      <c r="E2890" s="379">
        <v>44620</v>
      </c>
      <c r="F2890" s="379">
        <v>46446</v>
      </c>
      <c r="G2890" s="378" t="s">
        <v>407</v>
      </c>
      <c r="H2890" s="20" t="s">
        <v>393</v>
      </c>
      <c r="I2890" s="20"/>
      <c r="J2890" s="20" t="s">
        <v>163</v>
      </c>
      <c r="K2890" s="378" t="s">
        <v>397</v>
      </c>
      <c r="L2890" s="20" t="s">
        <v>165</v>
      </c>
      <c r="M2890" s="380">
        <v>2400</v>
      </c>
      <c r="N2890" s="380"/>
      <c r="O2890" s="380"/>
      <c r="P2890" s="380"/>
      <c r="Q2890" s="381">
        <v>109</v>
      </c>
      <c r="R2890" s="381"/>
      <c r="S2890" s="381"/>
      <c r="T2890" s="381"/>
      <c r="U2890" s="381"/>
      <c r="V2890" s="382">
        <v>109</v>
      </c>
      <c r="W2890" s="382">
        <v>0</v>
      </c>
      <c r="X2890" s="381">
        <v>4.5416666666666668E-2</v>
      </c>
      <c r="Y2890" s="381">
        <v>0</v>
      </c>
      <c r="Z2890" s="381">
        <v>0</v>
      </c>
      <c r="AA2890" s="381">
        <v>0</v>
      </c>
      <c r="AB2890" s="381">
        <v>0</v>
      </c>
      <c r="AC2890" s="382">
        <v>4.5416666666666668E-2</v>
      </c>
      <c r="AD2890" s="382">
        <v>0</v>
      </c>
      <c r="AE2890" s="381" t="s">
        <v>168</v>
      </c>
    </row>
    <row r="2891" spans="1:31" ht="15" customHeight="1" x14ac:dyDescent="0.25">
      <c r="A2891" s="20" t="s">
        <v>4209</v>
      </c>
      <c r="B2891" s="20" t="s">
        <v>4210</v>
      </c>
      <c r="C2891" s="20" t="s">
        <v>3897</v>
      </c>
      <c r="D2891" s="378" t="s">
        <v>4212</v>
      </c>
      <c r="E2891" s="379">
        <v>44620</v>
      </c>
      <c r="F2891" s="379">
        <v>46446</v>
      </c>
      <c r="G2891" s="378" t="s">
        <v>407</v>
      </c>
      <c r="H2891" s="20" t="s">
        <v>393</v>
      </c>
      <c r="I2891" s="20"/>
      <c r="J2891" s="20" t="s">
        <v>163</v>
      </c>
      <c r="K2891" s="378" t="s">
        <v>397</v>
      </c>
      <c r="L2891" s="20" t="s">
        <v>165</v>
      </c>
      <c r="M2891" s="380">
        <v>2400</v>
      </c>
      <c r="N2891" s="380"/>
      <c r="O2891" s="380"/>
      <c r="P2891" s="380"/>
      <c r="Q2891" s="381">
        <v>166</v>
      </c>
      <c r="R2891" s="381"/>
      <c r="S2891" s="381"/>
      <c r="T2891" s="381"/>
      <c r="U2891" s="381"/>
      <c r="V2891" s="382">
        <v>166</v>
      </c>
      <c r="W2891" s="382">
        <v>0</v>
      </c>
      <c r="X2891" s="381">
        <v>6.9166666666666668E-2</v>
      </c>
      <c r="Y2891" s="381">
        <v>0</v>
      </c>
      <c r="Z2891" s="381">
        <v>0</v>
      </c>
      <c r="AA2891" s="381">
        <v>0</v>
      </c>
      <c r="AB2891" s="381">
        <v>0</v>
      </c>
      <c r="AC2891" s="382">
        <v>6.9166666666666668E-2</v>
      </c>
      <c r="AD2891" s="382">
        <v>0</v>
      </c>
      <c r="AE2891" s="381" t="s">
        <v>168</v>
      </c>
    </row>
    <row r="2892" spans="1:31" ht="15" customHeight="1" x14ac:dyDescent="0.25">
      <c r="A2892" s="20" t="s">
        <v>4209</v>
      </c>
      <c r="B2892" s="20" t="s">
        <v>4210</v>
      </c>
      <c r="C2892" s="20" t="s">
        <v>3897</v>
      </c>
      <c r="D2892" s="378" t="s">
        <v>4213</v>
      </c>
      <c r="E2892" s="379">
        <v>44620</v>
      </c>
      <c r="F2892" s="379">
        <v>46446</v>
      </c>
      <c r="G2892" s="378" t="s">
        <v>320</v>
      </c>
      <c r="H2892" s="20" t="s">
        <v>393</v>
      </c>
      <c r="I2892" s="20"/>
      <c r="J2892" s="20" t="s">
        <v>163</v>
      </c>
      <c r="K2892" s="378" t="s">
        <v>397</v>
      </c>
      <c r="L2892" s="20" t="s">
        <v>165</v>
      </c>
      <c r="M2892" s="380">
        <v>2400</v>
      </c>
      <c r="N2892" s="380"/>
      <c r="O2892" s="380"/>
      <c r="P2892" s="380"/>
      <c r="Q2892" s="381">
        <v>271</v>
      </c>
      <c r="R2892" s="381"/>
      <c r="S2892" s="381"/>
      <c r="T2892" s="381"/>
      <c r="U2892" s="381"/>
      <c r="V2892" s="382">
        <v>271</v>
      </c>
      <c r="W2892" s="382">
        <v>0</v>
      </c>
      <c r="X2892" s="381">
        <v>0.11291666666666667</v>
      </c>
      <c r="Y2892" s="381">
        <v>0</v>
      </c>
      <c r="Z2892" s="381">
        <v>0</v>
      </c>
      <c r="AA2892" s="381">
        <v>0</v>
      </c>
      <c r="AB2892" s="381">
        <v>0</v>
      </c>
      <c r="AC2892" s="382">
        <v>0.11291666666666667</v>
      </c>
      <c r="AD2892" s="382">
        <v>0</v>
      </c>
      <c r="AE2892" s="381" t="s">
        <v>168</v>
      </c>
    </row>
    <row r="2893" spans="1:31" ht="15" customHeight="1" x14ac:dyDescent="0.25">
      <c r="A2893" s="20" t="s">
        <v>4209</v>
      </c>
      <c r="B2893" s="20" t="s">
        <v>4210</v>
      </c>
      <c r="C2893" s="20" t="s">
        <v>3897</v>
      </c>
      <c r="D2893" s="378" t="s">
        <v>4214</v>
      </c>
      <c r="E2893" s="379">
        <v>44620</v>
      </c>
      <c r="F2893" s="379">
        <v>46446</v>
      </c>
      <c r="G2893" s="378" t="s">
        <v>320</v>
      </c>
      <c r="H2893" s="20" t="s">
        <v>393</v>
      </c>
      <c r="I2893" s="20"/>
      <c r="J2893" s="20" t="s">
        <v>163</v>
      </c>
      <c r="K2893" s="378" t="s">
        <v>397</v>
      </c>
      <c r="L2893" s="20" t="s">
        <v>165</v>
      </c>
      <c r="M2893" s="380">
        <v>2400</v>
      </c>
      <c r="N2893" s="380"/>
      <c r="O2893" s="380"/>
      <c r="P2893" s="380"/>
      <c r="Q2893" s="381">
        <v>186</v>
      </c>
      <c r="R2893" s="381"/>
      <c r="S2893" s="381"/>
      <c r="T2893" s="381"/>
      <c r="U2893" s="381"/>
      <c r="V2893" s="382">
        <v>186</v>
      </c>
      <c r="W2893" s="382">
        <v>0</v>
      </c>
      <c r="X2893" s="381">
        <v>7.7499999999999999E-2</v>
      </c>
      <c r="Y2893" s="381">
        <v>0</v>
      </c>
      <c r="Z2893" s="381">
        <v>0</v>
      </c>
      <c r="AA2893" s="381">
        <v>0</v>
      </c>
      <c r="AB2893" s="381">
        <v>0</v>
      </c>
      <c r="AC2893" s="382">
        <v>7.7499999999999999E-2</v>
      </c>
      <c r="AD2893" s="382">
        <v>0</v>
      </c>
      <c r="AE2893" s="381" t="s">
        <v>168</v>
      </c>
    </row>
    <row r="2894" spans="1:31" ht="15" customHeight="1" x14ac:dyDescent="0.25">
      <c r="A2894" s="20" t="s">
        <v>4215</v>
      </c>
      <c r="B2894" s="20" t="s">
        <v>4216</v>
      </c>
      <c r="C2894" s="20" t="s">
        <v>3897</v>
      </c>
      <c r="D2894" s="378" t="s">
        <v>4217</v>
      </c>
      <c r="E2894" s="384">
        <v>45482</v>
      </c>
      <c r="F2894" s="384">
        <v>46576</v>
      </c>
      <c r="G2894" s="378" t="s">
        <v>2837</v>
      </c>
      <c r="H2894" s="20" t="s">
        <v>4218</v>
      </c>
      <c r="I2894" s="378">
        <v>0</v>
      </c>
      <c r="J2894" s="20" t="s">
        <v>4219</v>
      </c>
      <c r="K2894" s="378" t="s">
        <v>4220</v>
      </c>
      <c r="L2894" s="378" t="s">
        <v>2848</v>
      </c>
      <c r="M2894" s="380">
        <v>7850</v>
      </c>
      <c r="N2894" s="380" t="s">
        <v>443</v>
      </c>
      <c r="O2894" s="380" t="s">
        <v>443</v>
      </c>
      <c r="P2894" s="380" t="s">
        <v>443</v>
      </c>
      <c r="Q2894" s="381">
        <v>992</v>
      </c>
      <c r="R2894" s="381">
        <v>0</v>
      </c>
      <c r="S2894" s="381">
        <v>0</v>
      </c>
      <c r="T2894" s="381">
        <v>0</v>
      </c>
      <c r="U2894" s="381">
        <v>0</v>
      </c>
      <c r="V2894" s="382">
        <v>992</v>
      </c>
      <c r="W2894" s="382">
        <v>0</v>
      </c>
      <c r="X2894" s="381">
        <v>0.99199999999999999</v>
      </c>
      <c r="Y2894" s="381">
        <v>0</v>
      </c>
      <c r="Z2894" s="381">
        <v>0</v>
      </c>
      <c r="AA2894" s="381">
        <v>0</v>
      </c>
      <c r="AB2894" s="381">
        <v>0</v>
      </c>
      <c r="AC2894" s="382">
        <v>0.99199999999999999</v>
      </c>
      <c r="AD2894" s="382">
        <v>0</v>
      </c>
      <c r="AE2894" s="381" t="s">
        <v>168</v>
      </c>
    </row>
    <row r="2895" spans="1:31" ht="15" customHeight="1" x14ac:dyDescent="0.25">
      <c r="A2895" s="20" t="s">
        <v>4215</v>
      </c>
      <c r="B2895" s="20"/>
      <c r="C2895" s="20" t="s">
        <v>3897</v>
      </c>
      <c r="D2895" s="378" t="s">
        <v>4221</v>
      </c>
      <c r="E2895" s="384">
        <v>43734</v>
      </c>
      <c r="F2895" s="384" t="s">
        <v>4222</v>
      </c>
      <c r="G2895" s="378" t="s">
        <v>439</v>
      </c>
      <c r="H2895" s="20" t="s">
        <v>4051</v>
      </c>
      <c r="I2895" s="378">
        <v>0</v>
      </c>
      <c r="J2895" s="20" t="s">
        <v>2831</v>
      </c>
      <c r="K2895" s="378" t="s">
        <v>4052</v>
      </c>
      <c r="L2895" s="378" t="s">
        <v>2774</v>
      </c>
      <c r="M2895" s="380" t="s">
        <v>443</v>
      </c>
      <c r="N2895" s="380" t="s">
        <v>443</v>
      </c>
      <c r="O2895" s="380" t="s">
        <v>443</v>
      </c>
      <c r="P2895" s="380" t="s">
        <v>443</v>
      </c>
      <c r="Q2895" s="381">
        <v>0.128</v>
      </c>
      <c r="R2895" s="381">
        <v>0</v>
      </c>
      <c r="S2895" s="381">
        <v>0</v>
      </c>
      <c r="T2895" s="381">
        <v>0</v>
      </c>
      <c r="U2895" s="381">
        <v>0</v>
      </c>
      <c r="V2895" s="382">
        <v>0.128</v>
      </c>
      <c r="W2895" s="382">
        <v>0</v>
      </c>
      <c r="X2895" s="381">
        <v>0.128</v>
      </c>
      <c r="Y2895" s="381">
        <v>0</v>
      </c>
      <c r="Z2895" s="381">
        <v>0</v>
      </c>
      <c r="AA2895" s="381">
        <v>0</v>
      </c>
      <c r="AB2895" s="381">
        <v>0</v>
      </c>
      <c r="AC2895" s="382">
        <v>0.128</v>
      </c>
      <c r="AD2895" s="382">
        <v>0</v>
      </c>
      <c r="AE2895" s="381" t="s">
        <v>168</v>
      </c>
    </row>
    <row r="2896" spans="1:31" ht="15" customHeight="1" x14ac:dyDescent="0.25">
      <c r="A2896" s="20" t="s">
        <v>4215</v>
      </c>
      <c r="B2896" s="20" t="s">
        <v>4216</v>
      </c>
      <c r="C2896" s="20" t="s">
        <v>3897</v>
      </c>
      <c r="D2896" s="378" t="s">
        <v>4223</v>
      </c>
      <c r="E2896" s="384">
        <v>43238</v>
      </c>
      <c r="F2896" s="384">
        <v>46132</v>
      </c>
      <c r="G2896" s="378" t="s">
        <v>2837</v>
      </c>
      <c r="H2896" s="20" t="s">
        <v>4224</v>
      </c>
      <c r="I2896" s="378">
        <v>0</v>
      </c>
      <c r="J2896" s="20" t="s">
        <v>4219</v>
      </c>
      <c r="K2896" s="378" t="s">
        <v>4225</v>
      </c>
      <c r="L2896" s="378" t="s">
        <v>2848</v>
      </c>
      <c r="M2896" s="380">
        <v>7850</v>
      </c>
      <c r="N2896" s="380" t="s">
        <v>443</v>
      </c>
      <c r="O2896" s="380" t="s">
        <v>443</v>
      </c>
      <c r="P2896" s="380" t="s">
        <v>443</v>
      </c>
      <c r="Q2896" s="381">
        <v>2470</v>
      </c>
      <c r="R2896" s="381">
        <v>2460</v>
      </c>
      <c r="S2896" s="381">
        <v>2.6</v>
      </c>
      <c r="T2896" s="381">
        <v>1.07</v>
      </c>
      <c r="U2896" s="381">
        <v>0</v>
      </c>
      <c r="V2896" s="382">
        <v>2463.67</v>
      </c>
      <c r="W2896" s="382">
        <v>0</v>
      </c>
      <c r="X2896" s="381">
        <v>2.4700000000000002</v>
      </c>
      <c r="Y2896" s="381">
        <v>2.46</v>
      </c>
      <c r="Z2896" s="381">
        <v>2.5999999999999999E-3</v>
      </c>
      <c r="AA2896" s="381">
        <v>1.07E-3</v>
      </c>
      <c r="AB2896" s="381">
        <v>0</v>
      </c>
      <c r="AC2896" s="382">
        <v>2.46367</v>
      </c>
      <c r="AD2896" s="382">
        <v>0</v>
      </c>
      <c r="AE2896" s="381" t="s">
        <v>168</v>
      </c>
    </row>
    <row r="2897" spans="1:31" ht="15" customHeight="1" x14ac:dyDescent="0.25">
      <c r="A2897" s="20" t="s">
        <v>4226</v>
      </c>
      <c r="B2897" s="20" t="s">
        <v>4227</v>
      </c>
      <c r="C2897" s="20" t="s">
        <v>3897</v>
      </c>
      <c r="D2897" s="378" t="s">
        <v>4228</v>
      </c>
      <c r="E2897" s="384">
        <v>43248</v>
      </c>
      <c r="F2897" s="384">
        <v>45060</v>
      </c>
      <c r="G2897" s="378" t="s">
        <v>2837</v>
      </c>
      <c r="H2897" s="20" t="s">
        <v>4229</v>
      </c>
      <c r="I2897" s="378">
        <v>0</v>
      </c>
      <c r="J2897" s="20" t="s">
        <v>2831</v>
      </c>
      <c r="K2897" s="378" t="s">
        <v>4230</v>
      </c>
      <c r="L2897" s="378" t="s">
        <v>2774</v>
      </c>
      <c r="M2897" s="380" t="s">
        <v>443</v>
      </c>
      <c r="N2897" s="380">
        <v>14</v>
      </c>
      <c r="O2897" s="380" t="s">
        <v>443</v>
      </c>
      <c r="P2897" s="380" t="s">
        <v>443</v>
      </c>
      <c r="Q2897" s="381">
        <v>0.73571428571428577</v>
      </c>
      <c r="R2897" s="381">
        <v>0.73571428571428577</v>
      </c>
      <c r="S2897" s="381">
        <v>5.4500000000000002E-4</v>
      </c>
      <c r="T2897" s="381">
        <v>4.8785714285714285E-4</v>
      </c>
      <c r="U2897" s="381">
        <v>0</v>
      </c>
      <c r="V2897" s="382">
        <v>0.73674714285714293</v>
      </c>
      <c r="W2897" s="382">
        <v>0</v>
      </c>
      <c r="X2897" s="381">
        <v>0.73571428571428577</v>
      </c>
      <c r="Y2897" s="381">
        <v>0.73571428571428577</v>
      </c>
      <c r="Z2897" s="381">
        <v>5.4500000000000002E-4</v>
      </c>
      <c r="AA2897" s="381">
        <v>4.8785714285714285E-4</v>
      </c>
      <c r="AB2897" s="381">
        <v>0</v>
      </c>
      <c r="AC2897" s="382">
        <v>0.73674714285714293</v>
      </c>
      <c r="AD2897" s="382">
        <v>0</v>
      </c>
      <c r="AE2897" s="381" t="s">
        <v>168</v>
      </c>
    </row>
    <row r="2898" spans="1:31" ht="15" customHeight="1" x14ac:dyDescent="0.25">
      <c r="A2898" s="20" t="s">
        <v>4226</v>
      </c>
      <c r="B2898" s="20" t="s">
        <v>4231</v>
      </c>
      <c r="C2898" s="20" t="s">
        <v>3897</v>
      </c>
      <c r="D2898" s="378" t="s">
        <v>4232</v>
      </c>
      <c r="E2898" s="384">
        <v>42898</v>
      </c>
      <c r="F2898" s="384">
        <v>45443</v>
      </c>
      <c r="G2898" s="378" t="s">
        <v>2837</v>
      </c>
      <c r="H2898" s="20" t="s">
        <v>4233</v>
      </c>
      <c r="I2898" s="378">
        <v>1</v>
      </c>
      <c r="J2898" s="20" t="s">
        <v>4156</v>
      </c>
      <c r="K2898" s="378" t="s">
        <v>4157</v>
      </c>
      <c r="L2898" s="378" t="s">
        <v>2848</v>
      </c>
      <c r="M2898" s="380">
        <v>2000</v>
      </c>
      <c r="N2898" s="380" t="s">
        <v>443</v>
      </c>
      <c r="O2898" s="380" t="s">
        <v>443</v>
      </c>
      <c r="P2898" s="380" t="s">
        <v>443</v>
      </c>
      <c r="Q2898" s="381">
        <v>199</v>
      </c>
      <c r="R2898" s="381">
        <v>0</v>
      </c>
      <c r="S2898" s="381">
        <v>0</v>
      </c>
      <c r="T2898" s="381">
        <v>0</v>
      </c>
      <c r="U2898" s="381">
        <v>0</v>
      </c>
      <c r="V2898" s="382">
        <v>199</v>
      </c>
      <c r="W2898" s="382">
        <v>0</v>
      </c>
      <c r="X2898" s="381">
        <v>0.19900000000000001</v>
      </c>
      <c r="Y2898" s="381">
        <v>0</v>
      </c>
      <c r="Z2898" s="381">
        <v>0</v>
      </c>
      <c r="AA2898" s="381">
        <v>0</v>
      </c>
      <c r="AB2898" s="381">
        <v>0</v>
      </c>
      <c r="AC2898" s="382">
        <v>0.19900000000000001</v>
      </c>
      <c r="AD2898" s="382">
        <v>0</v>
      </c>
      <c r="AE2898" s="381" t="s">
        <v>168</v>
      </c>
    </row>
    <row r="2899" spans="1:31" ht="15" customHeight="1" x14ac:dyDescent="0.25">
      <c r="A2899" s="20" t="s">
        <v>3490</v>
      </c>
      <c r="B2899" s="20" t="s">
        <v>3825</v>
      </c>
      <c r="C2899" s="20" t="s">
        <v>3897</v>
      </c>
      <c r="D2899" s="378" t="s">
        <v>4234</v>
      </c>
      <c r="E2899" s="384">
        <v>43781</v>
      </c>
      <c r="F2899" s="384">
        <v>45611</v>
      </c>
      <c r="G2899" s="378" t="s">
        <v>3827</v>
      </c>
      <c r="H2899" s="20" t="s">
        <v>4235</v>
      </c>
      <c r="I2899" s="378" t="s">
        <v>162</v>
      </c>
      <c r="J2899" s="20" t="s">
        <v>2831</v>
      </c>
      <c r="K2899" s="378" t="s">
        <v>4236</v>
      </c>
      <c r="L2899" s="378" t="s">
        <v>165</v>
      </c>
      <c r="M2899" s="380">
        <v>510</v>
      </c>
      <c r="N2899" s="380" t="s">
        <v>443</v>
      </c>
      <c r="O2899" s="380" t="s">
        <v>443</v>
      </c>
      <c r="P2899" s="380" t="s">
        <v>443</v>
      </c>
      <c r="Q2899" s="381">
        <v>-664</v>
      </c>
      <c r="R2899" s="381">
        <v>140</v>
      </c>
      <c r="S2899" s="381">
        <v>0</v>
      </c>
      <c r="T2899" s="381">
        <v>0</v>
      </c>
      <c r="U2899" s="381">
        <v>804</v>
      </c>
      <c r="V2899" s="382">
        <v>140</v>
      </c>
      <c r="W2899" s="382">
        <v>804</v>
      </c>
      <c r="X2899" s="381">
        <v>-1.3019607843137255</v>
      </c>
      <c r="Y2899" s="381">
        <v>0.27450980392156865</v>
      </c>
      <c r="Z2899" s="381">
        <v>0</v>
      </c>
      <c r="AA2899" s="381">
        <v>0</v>
      </c>
      <c r="AB2899" s="381">
        <v>1.5764705882352941</v>
      </c>
      <c r="AC2899" s="382">
        <v>0.27450980392156854</v>
      </c>
      <c r="AD2899" s="382">
        <v>1.5764705882352941</v>
      </c>
      <c r="AE2899" s="381" t="s">
        <v>168</v>
      </c>
    </row>
    <row r="2900" spans="1:31" ht="15" customHeight="1" x14ac:dyDescent="0.25">
      <c r="A2900" s="20" t="s">
        <v>3490</v>
      </c>
      <c r="B2900" s="20" t="s">
        <v>3825</v>
      </c>
      <c r="C2900" s="20" t="s">
        <v>3897</v>
      </c>
      <c r="D2900" s="378" t="s">
        <v>4237</v>
      </c>
      <c r="E2900" s="384">
        <v>43781</v>
      </c>
      <c r="F2900" s="384">
        <v>45611</v>
      </c>
      <c r="G2900" s="378" t="s">
        <v>3827</v>
      </c>
      <c r="H2900" s="20" t="s">
        <v>4238</v>
      </c>
      <c r="I2900" s="378" t="s">
        <v>162</v>
      </c>
      <c r="J2900" s="20" t="s">
        <v>2831</v>
      </c>
      <c r="K2900" s="378" t="s">
        <v>4239</v>
      </c>
      <c r="L2900" s="378" t="s">
        <v>165</v>
      </c>
      <c r="M2900" s="380">
        <v>510</v>
      </c>
      <c r="N2900" s="380" t="s">
        <v>443</v>
      </c>
      <c r="O2900" s="380" t="s">
        <v>443</v>
      </c>
      <c r="P2900" s="380" t="s">
        <v>443</v>
      </c>
      <c r="Q2900" s="381">
        <v>-664</v>
      </c>
      <c r="R2900" s="381">
        <v>140</v>
      </c>
      <c r="S2900" s="381">
        <v>0</v>
      </c>
      <c r="T2900" s="381">
        <v>0</v>
      </c>
      <c r="U2900" s="381">
        <v>804</v>
      </c>
      <c r="V2900" s="382">
        <v>140</v>
      </c>
      <c r="W2900" s="382">
        <v>804</v>
      </c>
      <c r="X2900" s="381">
        <v>-1.3019607843137255</v>
      </c>
      <c r="Y2900" s="381">
        <v>0.27450980392156865</v>
      </c>
      <c r="Z2900" s="381">
        <v>0</v>
      </c>
      <c r="AA2900" s="381">
        <v>0</v>
      </c>
      <c r="AB2900" s="381">
        <v>1.5764705882352941</v>
      </c>
      <c r="AC2900" s="382">
        <v>0.27450980392156854</v>
      </c>
      <c r="AD2900" s="382">
        <v>1.5764705882352941</v>
      </c>
      <c r="AE2900" s="381" t="s">
        <v>168</v>
      </c>
    </row>
    <row r="2901" spans="1:31" ht="15" customHeight="1" x14ac:dyDescent="0.25">
      <c r="A2901" s="20" t="s">
        <v>3490</v>
      </c>
      <c r="B2901" s="20" t="s">
        <v>3825</v>
      </c>
      <c r="C2901" s="20" t="s">
        <v>3897</v>
      </c>
      <c r="D2901" s="378" t="s">
        <v>4240</v>
      </c>
      <c r="E2901" s="384">
        <v>43781</v>
      </c>
      <c r="F2901" s="384">
        <v>45611</v>
      </c>
      <c r="G2901" s="378" t="s">
        <v>3827</v>
      </c>
      <c r="H2901" s="20" t="s">
        <v>4238</v>
      </c>
      <c r="I2901" s="378" t="s">
        <v>162</v>
      </c>
      <c r="J2901" s="20" t="s">
        <v>2831</v>
      </c>
      <c r="K2901" s="378" t="s">
        <v>4241</v>
      </c>
      <c r="L2901" s="378" t="s">
        <v>165</v>
      </c>
      <c r="M2901" s="380">
        <v>510</v>
      </c>
      <c r="N2901" s="380">
        <v>74.400000000000006</v>
      </c>
      <c r="O2901" s="380" t="s">
        <v>443</v>
      </c>
      <c r="P2901" s="380" t="s">
        <v>443</v>
      </c>
      <c r="Q2901" s="381">
        <v>-614.87903225806451</v>
      </c>
      <c r="R2901" s="381">
        <v>189.12096774193549</v>
      </c>
      <c r="S2901" s="381">
        <v>0</v>
      </c>
      <c r="T2901" s="381">
        <v>0</v>
      </c>
      <c r="U2901" s="381">
        <v>804</v>
      </c>
      <c r="V2901" s="382">
        <v>189.12096774193549</v>
      </c>
      <c r="W2901" s="382">
        <v>804</v>
      </c>
      <c r="X2901" s="381">
        <v>-1.2056451612903225</v>
      </c>
      <c r="Y2901" s="381">
        <v>0.37082542694497156</v>
      </c>
      <c r="Z2901" s="381">
        <v>0</v>
      </c>
      <c r="AA2901" s="381">
        <v>0</v>
      </c>
      <c r="AB2901" s="381">
        <v>1.5764705882352941</v>
      </c>
      <c r="AC2901" s="382">
        <v>0.37082542694497156</v>
      </c>
      <c r="AD2901" s="382">
        <v>1.5764705882352941</v>
      </c>
      <c r="AE2901" s="381" t="s">
        <v>168</v>
      </c>
    </row>
    <row r="2902" spans="1:31" ht="15" customHeight="1" x14ac:dyDescent="0.25">
      <c r="A2902" s="20" t="s">
        <v>3328</v>
      </c>
      <c r="B2902" s="20" t="s">
        <v>3329</v>
      </c>
      <c r="C2902" s="20" t="s">
        <v>3897</v>
      </c>
      <c r="D2902" s="378" t="s">
        <v>4242</v>
      </c>
      <c r="E2902" s="384">
        <v>44462</v>
      </c>
      <c r="F2902" s="384">
        <v>46287</v>
      </c>
      <c r="G2902" s="378" t="s">
        <v>2837</v>
      </c>
      <c r="H2902" s="20" t="s">
        <v>4243</v>
      </c>
      <c r="I2902" s="378">
        <v>0</v>
      </c>
      <c r="J2902" s="20" t="s">
        <v>2831</v>
      </c>
      <c r="K2902" s="378" t="s">
        <v>4244</v>
      </c>
      <c r="L2902" s="378" t="s">
        <v>3334</v>
      </c>
      <c r="M2902" s="380" t="s">
        <v>443</v>
      </c>
      <c r="N2902" s="380" t="s">
        <v>443</v>
      </c>
      <c r="O2902" s="380" t="s">
        <v>443</v>
      </c>
      <c r="P2902" s="380" t="s">
        <v>443</v>
      </c>
      <c r="Q2902" s="381">
        <v>18333.065999999999</v>
      </c>
      <c r="R2902" s="381">
        <v>18333.065999999999</v>
      </c>
      <c r="S2902" s="381">
        <v>70.254450000000006</v>
      </c>
      <c r="T2902" s="381">
        <v>37.669767</v>
      </c>
      <c r="U2902" s="381">
        <v>0</v>
      </c>
      <c r="V2902" s="382">
        <v>18440.990216999999</v>
      </c>
      <c r="W2902" s="382">
        <v>0</v>
      </c>
      <c r="X2902" s="381" t="s">
        <v>443</v>
      </c>
      <c r="Y2902" s="381" t="s">
        <v>443</v>
      </c>
      <c r="Z2902" s="381" t="s">
        <v>443</v>
      </c>
      <c r="AA2902" s="381" t="s">
        <v>443</v>
      </c>
      <c r="AB2902" s="381" t="s">
        <v>443</v>
      </c>
      <c r="AC2902" s="382">
        <v>0</v>
      </c>
      <c r="AD2902" s="382">
        <v>0</v>
      </c>
      <c r="AE2902" s="381" t="s">
        <v>168</v>
      </c>
    </row>
    <row r="2903" spans="1:31" ht="15" customHeight="1" x14ac:dyDescent="0.25">
      <c r="A2903" s="20" t="s">
        <v>3328</v>
      </c>
      <c r="B2903" s="20" t="s">
        <v>3329</v>
      </c>
      <c r="C2903" s="20" t="s">
        <v>3897</v>
      </c>
      <c r="D2903" s="378" t="s">
        <v>4245</v>
      </c>
      <c r="E2903" s="384">
        <v>44462</v>
      </c>
      <c r="F2903" s="384">
        <v>46287</v>
      </c>
      <c r="G2903" s="378" t="s">
        <v>2837</v>
      </c>
      <c r="H2903" s="20" t="s">
        <v>4243</v>
      </c>
      <c r="I2903" s="378">
        <v>0</v>
      </c>
      <c r="J2903" s="20" t="s">
        <v>2831</v>
      </c>
      <c r="K2903" s="378" t="s">
        <v>4244</v>
      </c>
      <c r="L2903" s="378" t="s">
        <v>3334</v>
      </c>
      <c r="M2903" s="380" t="s">
        <v>443</v>
      </c>
      <c r="N2903" s="380" t="s">
        <v>443</v>
      </c>
      <c r="O2903" s="380" t="s">
        <v>443</v>
      </c>
      <c r="P2903" s="380" t="s">
        <v>443</v>
      </c>
      <c r="Q2903" s="381">
        <v>39983.705999999998</v>
      </c>
      <c r="R2903" s="381">
        <v>39211.074000000001</v>
      </c>
      <c r="S2903" s="381">
        <v>799.6741199999999</v>
      </c>
      <c r="T2903" s="381">
        <v>67.798457999999997</v>
      </c>
      <c r="U2903" s="381">
        <v>0</v>
      </c>
      <c r="V2903" s="382">
        <v>40078.546578000001</v>
      </c>
      <c r="W2903" s="382">
        <v>0</v>
      </c>
      <c r="X2903" s="381" t="s">
        <v>443</v>
      </c>
      <c r="Y2903" s="381" t="s">
        <v>443</v>
      </c>
      <c r="Z2903" s="381" t="s">
        <v>443</v>
      </c>
      <c r="AA2903" s="381" t="s">
        <v>443</v>
      </c>
      <c r="AB2903" s="381" t="s">
        <v>443</v>
      </c>
      <c r="AC2903" s="382">
        <v>0</v>
      </c>
      <c r="AD2903" s="382">
        <v>0</v>
      </c>
      <c r="AE2903" s="381" t="s">
        <v>168</v>
      </c>
    </row>
    <row r="2904" spans="1:31" ht="15" customHeight="1" x14ac:dyDescent="0.25">
      <c r="A2904" s="20" t="s">
        <v>4246</v>
      </c>
      <c r="B2904" s="20"/>
      <c r="C2904" s="20" t="s">
        <v>3897</v>
      </c>
      <c r="D2904" s="378" t="s">
        <v>4247</v>
      </c>
      <c r="E2904" s="384">
        <v>45215</v>
      </c>
      <c r="F2904" s="384">
        <v>47041</v>
      </c>
      <c r="G2904" s="378" t="s">
        <v>2837</v>
      </c>
      <c r="H2904" s="20" t="s">
        <v>4248</v>
      </c>
      <c r="I2904" s="378">
        <v>0</v>
      </c>
      <c r="J2904" s="20" t="s">
        <v>2831</v>
      </c>
      <c r="K2904" s="378" t="s">
        <v>4249</v>
      </c>
      <c r="L2904" s="378" t="s">
        <v>2789</v>
      </c>
      <c r="M2904" s="380" t="s">
        <v>443</v>
      </c>
      <c r="N2904" s="380">
        <v>0.184</v>
      </c>
      <c r="O2904" s="380" t="s">
        <v>443</v>
      </c>
      <c r="P2904" s="380" t="s">
        <v>443</v>
      </c>
      <c r="Q2904" s="381">
        <v>0.35399999999999998</v>
      </c>
      <c r="R2904" s="381">
        <v>0.41699999999999998</v>
      </c>
      <c r="S2904" s="381">
        <v>-6.4699999999999994E-2</v>
      </c>
      <c r="T2904" s="381">
        <v>2.1900000000000001E-4</v>
      </c>
      <c r="U2904" s="381">
        <v>0</v>
      </c>
      <c r="V2904" s="382">
        <v>0.41721900000000001</v>
      </c>
      <c r="W2904" s="382">
        <v>0</v>
      </c>
      <c r="X2904" s="381">
        <v>1.9239130434782608</v>
      </c>
      <c r="Y2904" s="381">
        <v>2.2663043478260869</v>
      </c>
      <c r="Z2904" s="381">
        <v>-0.35163043478260869</v>
      </c>
      <c r="AA2904" s="381">
        <v>1.190217391304348E-3</v>
      </c>
      <c r="AB2904" s="381">
        <v>0</v>
      </c>
      <c r="AC2904" s="382">
        <v>2.2674945652173912</v>
      </c>
      <c r="AD2904" s="382">
        <v>0</v>
      </c>
      <c r="AE2904" s="381" t="s">
        <v>168</v>
      </c>
    </row>
    <row r="2905" spans="1:31" ht="15" customHeight="1" x14ac:dyDescent="0.25">
      <c r="A2905" s="20" t="s">
        <v>4246</v>
      </c>
      <c r="B2905" s="20"/>
      <c r="C2905" s="20" t="s">
        <v>3897</v>
      </c>
      <c r="D2905" s="378" t="s">
        <v>4250</v>
      </c>
      <c r="E2905" s="384">
        <v>45215</v>
      </c>
      <c r="F2905" s="384">
        <v>47041</v>
      </c>
      <c r="G2905" s="378" t="s">
        <v>2837</v>
      </c>
      <c r="H2905" s="20" t="s">
        <v>4251</v>
      </c>
      <c r="I2905" s="378">
        <v>0</v>
      </c>
      <c r="J2905" s="20" t="s">
        <v>2831</v>
      </c>
      <c r="K2905" s="378" t="s">
        <v>4252</v>
      </c>
      <c r="L2905" s="378" t="s">
        <v>2789</v>
      </c>
      <c r="M2905" s="380" t="s">
        <v>443</v>
      </c>
      <c r="N2905" s="380">
        <v>0.24399999999999999</v>
      </c>
      <c r="O2905" s="380" t="s">
        <v>443</v>
      </c>
      <c r="P2905" s="380" t="s">
        <v>443</v>
      </c>
      <c r="Q2905" s="381">
        <v>0.44700000000000001</v>
      </c>
      <c r="R2905" s="381">
        <v>0.499</v>
      </c>
      <c r="S2905" s="381">
        <v>-5.5E-2</v>
      </c>
      <c r="T2905" s="381">
        <v>1.7799999999999999E-4</v>
      </c>
      <c r="U2905" s="381">
        <v>0</v>
      </c>
      <c r="V2905" s="382">
        <v>0.49917800000000001</v>
      </c>
      <c r="W2905" s="382">
        <v>0</v>
      </c>
      <c r="X2905" s="381">
        <v>1.8319672131147542</v>
      </c>
      <c r="Y2905" s="381">
        <v>2.0450819672131146</v>
      </c>
      <c r="Z2905" s="381">
        <v>-0.22540983606557377</v>
      </c>
      <c r="AA2905" s="381">
        <v>7.2950819672131146E-4</v>
      </c>
      <c r="AB2905" s="381">
        <v>0</v>
      </c>
      <c r="AC2905" s="382">
        <v>2.045811475409836</v>
      </c>
      <c r="AD2905" s="382">
        <v>0</v>
      </c>
      <c r="AE2905" s="381" t="s">
        <v>168</v>
      </c>
    </row>
    <row r="2906" spans="1:31" ht="15" customHeight="1" x14ac:dyDescent="0.25">
      <c r="A2906" s="20" t="s">
        <v>4246</v>
      </c>
      <c r="B2906" s="20"/>
      <c r="C2906" s="20" t="s">
        <v>3897</v>
      </c>
      <c r="D2906" s="378" t="s">
        <v>4253</v>
      </c>
      <c r="E2906" s="384">
        <v>45126</v>
      </c>
      <c r="F2906" s="384">
        <v>46952</v>
      </c>
      <c r="G2906" s="378" t="s">
        <v>2837</v>
      </c>
      <c r="H2906" s="20" t="s">
        <v>4254</v>
      </c>
      <c r="I2906" s="378">
        <v>0</v>
      </c>
      <c r="J2906" s="20" t="s">
        <v>2831</v>
      </c>
      <c r="K2906" s="378" t="s">
        <v>4255</v>
      </c>
      <c r="L2906" s="378" t="s">
        <v>2789</v>
      </c>
      <c r="M2906" s="380" t="s">
        <v>443</v>
      </c>
      <c r="N2906" s="380">
        <v>0.253</v>
      </c>
      <c r="O2906" s="380" t="s">
        <v>443</v>
      </c>
      <c r="P2906" s="380" t="s">
        <v>443</v>
      </c>
      <c r="Q2906" s="381">
        <v>0.55300000000000005</v>
      </c>
      <c r="R2906" s="381">
        <v>0.60899999999999999</v>
      </c>
      <c r="S2906" s="381">
        <v>-5.9299999999999999E-2</v>
      </c>
      <c r="T2906" s="381">
        <v>3.3199999999999999E-4</v>
      </c>
      <c r="U2906" s="381">
        <v>0</v>
      </c>
      <c r="V2906" s="382">
        <v>0.60933199999999998</v>
      </c>
      <c r="W2906" s="382">
        <v>0</v>
      </c>
      <c r="X2906" s="381">
        <v>2.1857707509881426</v>
      </c>
      <c r="Y2906" s="381">
        <v>2.4071146245059287</v>
      </c>
      <c r="Z2906" s="381">
        <v>-0.23438735177865611</v>
      </c>
      <c r="AA2906" s="381">
        <v>1.3122529644268774E-3</v>
      </c>
      <c r="AB2906" s="381">
        <v>0</v>
      </c>
      <c r="AC2906" s="382">
        <v>2.4084268774703554</v>
      </c>
      <c r="AD2906" s="382">
        <v>0</v>
      </c>
      <c r="AE2906" s="381" t="s">
        <v>168</v>
      </c>
    </row>
    <row r="2907" spans="1:31" ht="15" customHeight="1" x14ac:dyDescent="0.25">
      <c r="A2907" s="20" t="s">
        <v>4246</v>
      </c>
      <c r="B2907" s="20"/>
      <c r="C2907" s="20" t="s">
        <v>3897</v>
      </c>
      <c r="D2907" s="378" t="s">
        <v>4256</v>
      </c>
      <c r="E2907" s="384">
        <v>45215</v>
      </c>
      <c r="F2907" s="384">
        <v>47041</v>
      </c>
      <c r="G2907" s="378" t="s">
        <v>2837</v>
      </c>
      <c r="H2907" s="20" t="s">
        <v>4257</v>
      </c>
      <c r="I2907" s="378">
        <v>0</v>
      </c>
      <c r="J2907" s="20" t="s">
        <v>2831</v>
      </c>
      <c r="K2907" s="378" t="s">
        <v>4258</v>
      </c>
      <c r="L2907" s="378" t="s">
        <v>2789</v>
      </c>
      <c r="M2907" s="380" t="s">
        <v>443</v>
      </c>
      <c r="N2907" s="380">
        <v>0.249</v>
      </c>
      <c r="O2907" s="380" t="s">
        <v>443</v>
      </c>
      <c r="P2907" s="380" t="s">
        <v>443</v>
      </c>
      <c r="Q2907" s="381">
        <v>0.48599999999999999</v>
      </c>
      <c r="R2907" s="381">
        <v>0.52800000000000002</v>
      </c>
      <c r="S2907" s="381">
        <v>-4.53E-2</v>
      </c>
      <c r="T2907" s="381">
        <v>1.9000000000000001E-4</v>
      </c>
      <c r="U2907" s="381">
        <v>0</v>
      </c>
      <c r="V2907" s="382">
        <v>0.52819000000000005</v>
      </c>
      <c r="W2907" s="382">
        <v>0</v>
      </c>
      <c r="X2907" s="381">
        <v>1.9518072289156627</v>
      </c>
      <c r="Y2907" s="381">
        <v>2.1204819277108435</v>
      </c>
      <c r="Z2907" s="381">
        <v>-0.1819277108433735</v>
      </c>
      <c r="AA2907" s="381">
        <v>7.6305220883534145E-4</v>
      </c>
      <c r="AB2907" s="381">
        <v>0</v>
      </c>
      <c r="AC2907" s="382">
        <v>2.1212449799196791</v>
      </c>
      <c r="AD2907" s="382">
        <v>0</v>
      </c>
      <c r="AE2907" s="381" t="s">
        <v>168</v>
      </c>
    </row>
    <row r="2908" spans="1:31" ht="15" customHeight="1" x14ac:dyDescent="0.25">
      <c r="A2908" s="20" t="s">
        <v>4246</v>
      </c>
      <c r="B2908" s="20"/>
      <c r="C2908" s="20" t="s">
        <v>3897</v>
      </c>
      <c r="D2908" s="378" t="s">
        <v>4259</v>
      </c>
      <c r="E2908" s="384">
        <v>45215</v>
      </c>
      <c r="F2908" s="384">
        <v>47041</v>
      </c>
      <c r="G2908" s="378" t="s">
        <v>2837</v>
      </c>
      <c r="H2908" s="20" t="s">
        <v>4260</v>
      </c>
      <c r="I2908" s="378">
        <v>0</v>
      </c>
      <c r="J2908" s="20" t="s">
        <v>2831</v>
      </c>
      <c r="K2908" s="378" t="s">
        <v>4261</v>
      </c>
      <c r="L2908" s="378" t="s">
        <v>2789</v>
      </c>
      <c r="M2908" s="380" t="s">
        <v>443</v>
      </c>
      <c r="N2908" s="380">
        <v>0.153</v>
      </c>
      <c r="O2908" s="380" t="s">
        <v>443</v>
      </c>
      <c r="P2908" s="380" t="s">
        <v>443</v>
      </c>
      <c r="Q2908" s="381">
        <v>0.315</v>
      </c>
      <c r="R2908" s="381">
        <v>0.34200000000000003</v>
      </c>
      <c r="S2908" s="381">
        <v>-2.9000000000000001E-2</v>
      </c>
      <c r="T2908" s="381">
        <v>1.2999999999999999E-4</v>
      </c>
      <c r="U2908" s="381">
        <v>0</v>
      </c>
      <c r="V2908" s="382">
        <v>0.34213000000000005</v>
      </c>
      <c r="W2908" s="382">
        <v>0</v>
      </c>
      <c r="X2908" s="381">
        <v>2.0588235294117649</v>
      </c>
      <c r="Y2908" s="381">
        <v>2.2352941176470589</v>
      </c>
      <c r="Z2908" s="381">
        <v>-0.18954248366013074</v>
      </c>
      <c r="AA2908" s="381">
        <v>8.4967320261437906E-4</v>
      </c>
      <c r="AB2908" s="381">
        <v>0</v>
      </c>
      <c r="AC2908" s="382">
        <v>2.2361437908496731</v>
      </c>
      <c r="AD2908" s="382">
        <v>0</v>
      </c>
      <c r="AE2908" s="381" t="s">
        <v>168</v>
      </c>
    </row>
    <row r="2909" spans="1:31" ht="15" customHeight="1" x14ac:dyDescent="0.25">
      <c r="A2909" s="20" t="s">
        <v>4246</v>
      </c>
      <c r="B2909" s="20"/>
      <c r="C2909" s="20" t="s">
        <v>3897</v>
      </c>
      <c r="D2909" s="378" t="s">
        <v>4262</v>
      </c>
      <c r="E2909" s="384">
        <v>44419</v>
      </c>
      <c r="F2909" s="384">
        <v>46244</v>
      </c>
      <c r="G2909" s="378" t="s">
        <v>2837</v>
      </c>
      <c r="H2909" s="20" t="s">
        <v>4263</v>
      </c>
      <c r="I2909" s="378">
        <v>0</v>
      </c>
      <c r="J2909" s="20" t="s">
        <v>2831</v>
      </c>
      <c r="K2909" s="378" t="s">
        <v>4264</v>
      </c>
      <c r="L2909" s="378" t="s">
        <v>2789</v>
      </c>
      <c r="M2909" s="380" t="s">
        <v>443</v>
      </c>
      <c r="N2909" s="380" t="s">
        <v>443</v>
      </c>
      <c r="O2909" s="380" t="s">
        <v>443</v>
      </c>
      <c r="P2909" s="380" t="s">
        <v>443</v>
      </c>
      <c r="Q2909" s="381">
        <v>2.25</v>
      </c>
      <c r="R2909" s="381">
        <v>2.27</v>
      </c>
      <c r="S2909" s="381">
        <v>-3.3300000000000003E-2</v>
      </c>
      <c r="T2909" s="381">
        <v>1.66E-2</v>
      </c>
      <c r="U2909" s="381">
        <v>0</v>
      </c>
      <c r="V2909" s="382">
        <v>2.2866</v>
      </c>
      <c r="W2909" s="382">
        <v>0</v>
      </c>
      <c r="X2909" s="381" t="s">
        <v>443</v>
      </c>
      <c r="Y2909" s="381" t="s">
        <v>443</v>
      </c>
      <c r="Z2909" s="381" t="s">
        <v>443</v>
      </c>
      <c r="AA2909" s="381" t="s">
        <v>443</v>
      </c>
      <c r="AB2909" s="381" t="s">
        <v>443</v>
      </c>
      <c r="AC2909" s="382">
        <v>0</v>
      </c>
      <c r="AD2909" s="382">
        <v>0</v>
      </c>
      <c r="AE2909" s="381" t="s">
        <v>168</v>
      </c>
    </row>
    <row r="2910" spans="1:31" ht="15" customHeight="1" x14ac:dyDescent="0.25">
      <c r="A2910" s="20" t="s">
        <v>4246</v>
      </c>
      <c r="B2910" s="20"/>
      <c r="C2910" s="20" t="s">
        <v>3897</v>
      </c>
      <c r="D2910" s="378" t="s">
        <v>4265</v>
      </c>
      <c r="E2910" s="384">
        <v>44419</v>
      </c>
      <c r="F2910" s="384">
        <v>46244</v>
      </c>
      <c r="G2910" s="378" t="s">
        <v>2837</v>
      </c>
      <c r="H2910" s="20" t="s">
        <v>4263</v>
      </c>
      <c r="I2910" s="378">
        <v>0</v>
      </c>
      <c r="J2910" s="20" t="s">
        <v>2831</v>
      </c>
      <c r="K2910" s="378" t="s">
        <v>4264</v>
      </c>
      <c r="L2910" s="378" t="s">
        <v>2789</v>
      </c>
      <c r="M2910" s="380" t="s">
        <v>443</v>
      </c>
      <c r="N2910" s="380" t="s">
        <v>443</v>
      </c>
      <c r="O2910" s="380" t="s">
        <v>443</v>
      </c>
      <c r="P2910" s="380" t="s">
        <v>443</v>
      </c>
      <c r="Q2910" s="381">
        <v>2.17</v>
      </c>
      <c r="R2910" s="381">
        <v>2.1800000000000002</v>
      </c>
      <c r="S2910" s="381">
        <v>-2.9899999999999999E-2</v>
      </c>
      <c r="T2910" s="381">
        <v>1.66E-2</v>
      </c>
      <c r="U2910" s="381">
        <v>0</v>
      </c>
      <c r="V2910" s="382">
        <v>2.1966000000000001</v>
      </c>
      <c r="W2910" s="382">
        <v>0</v>
      </c>
      <c r="X2910" s="381" t="s">
        <v>443</v>
      </c>
      <c r="Y2910" s="381" t="s">
        <v>443</v>
      </c>
      <c r="Z2910" s="381" t="s">
        <v>443</v>
      </c>
      <c r="AA2910" s="381" t="s">
        <v>443</v>
      </c>
      <c r="AB2910" s="381" t="s">
        <v>443</v>
      </c>
      <c r="AC2910" s="382">
        <v>0</v>
      </c>
      <c r="AD2910" s="382">
        <v>0</v>
      </c>
      <c r="AE2910" s="381" t="s">
        <v>168</v>
      </c>
    </row>
    <row r="2911" spans="1:31" ht="15" customHeight="1" x14ac:dyDescent="0.25">
      <c r="A2911" s="20" t="s">
        <v>4246</v>
      </c>
      <c r="B2911" s="20"/>
      <c r="C2911" s="20" t="s">
        <v>3897</v>
      </c>
      <c r="D2911" s="378" t="s">
        <v>4266</v>
      </c>
      <c r="E2911" s="384">
        <v>45216</v>
      </c>
      <c r="F2911" s="384">
        <v>46989</v>
      </c>
      <c r="G2911" s="378" t="s">
        <v>2837</v>
      </c>
      <c r="H2911" s="20" t="s">
        <v>4267</v>
      </c>
      <c r="I2911" s="378">
        <v>0</v>
      </c>
      <c r="J2911" s="20" t="s">
        <v>2831</v>
      </c>
      <c r="K2911" s="378" t="s">
        <v>4268</v>
      </c>
      <c r="L2911" s="378" t="s">
        <v>2789</v>
      </c>
      <c r="M2911" s="380" t="s">
        <v>443</v>
      </c>
      <c r="N2911" s="380">
        <v>1.86</v>
      </c>
      <c r="O2911" s="380" t="s">
        <v>443</v>
      </c>
      <c r="P2911" s="380" t="s">
        <v>443</v>
      </c>
      <c r="Q2911" s="381">
        <v>5.26</v>
      </c>
      <c r="R2911" s="381">
        <v>5.28</v>
      </c>
      <c r="S2911" s="381">
        <v>-4.1599999999999998E-2</v>
      </c>
      <c r="T2911" s="381">
        <v>3.15E-2</v>
      </c>
      <c r="U2911" s="381">
        <v>0</v>
      </c>
      <c r="V2911" s="382">
        <v>5.3115000000000006</v>
      </c>
      <c r="W2911" s="382">
        <v>0</v>
      </c>
      <c r="X2911" s="381">
        <v>2.8279569892473115</v>
      </c>
      <c r="Y2911" s="381">
        <v>2.838709677419355</v>
      </c>
      <c r="Z2911" s="381">
        <v>-2.2365591397849459E-2</v>
      </c>
      <c r="AA2911" s="381">
        <v>1.693548387096774E-2</v>
      </c>
      <c r="AB2911" s="381">
        <v>0</v>
      </c>
      <c r="AC2911" s="382">
        <v>2.8556451612903229</v>
      </c>
      <c r="AD2911" s="382">
        <v>0</v>
      </c>
      <c r="AE2911" s="381" t="s">
        <v>168</v>
      </c>
    </row>
    <row r="2912" spans="1:31" ht="15" customHeight="1" x14ac:dyDescent="0.25">
      <c r="A2912" s="20" t="s">
        <v>4246</v>
      </c>
      <c r="B2912" s="20"/>
      <c r="C2912" s="20" t="s">
        <v>3897</v>
      </c>
      <c r="D2912" s="378" t="s">
        <v>4269</v>
      </c>
      <c r="E2912" s="384">
        <v>45216</v>
      </c>
      <c r="F2912" s="384">
        <v>46989</v>
      </c>
      <c r="G2912" s="378" t="s">
        <v>2837</v>
      </c>
      <c r="H2912" s="20" t="s">
        <v>4267</v>
      </c>
      <c r="I2912" s="378">
        <v>0</v>
      </c>
      <c r="J2912" s="20" t="s">
        <v>2831</v>
      </c>
      <c r="K2912" s="378" t="s">
        <v>4268</v>
      </c>
      <c r="L2912" s="378" t="s">
        <v>2789</v>
      </c>
      <c r="M2912" s="380" t="s">
        <v>443</v>
      </c>
      <c r="N2912" s="380">
        <v>1.86</v>
      </c>
      <c r="O2912" s="380" t="s">
        <v>443</v>
      </c>
      <c r="P2912" s="380" t="s">
        <v>443</v>
      </c>
      <c r="Q2912" s="381">
        <v>5.26</v>
      </c>
      <c r="R2912" s="381">
        <v>5.28</v>
      </c>
      <c r="S2912" s="381">
        <v>-4.1599999999999998E-2</v>
      </c>
      <c r="T2912" s="381">
        <v>3.15E-2</v>
      </c>
      <c r="U2912" s="381">
        <v>0</v>
      </c>
      <c r="V2912" s="382">
        <v>5.3115000000000006</v>
      </c>
      <c r="W2912" s="382">
        <v>0</v>
      </c>
      <c r="X2912" s="381">
        <v>2.8279569892473115</v>
      </c>
      <c r="Y2912" s="381">
        <v>2.838709677419355</v>
      </c>
      <c r="Z2912" s="381">
        <v>-2.2365591397849459E-2</v>
      </c>
      <c r="AA2912" s="381">
        <v>1.693548387096774E-2</v>
      </c>
      <c r="AB2912" s="381">
        <v>0</v>
      </c>
      <c r="AC2912" s="382">
        <v>2.8556451612903229</v>
      </c>
      <c r="AD2912" s="382">
        <v>0</v>
      </c>
      <c r="AE2912" s="381" t="s">
        <v>168</v>
      </c>
    </row>
    <row r="2913" spans="1:31" ht="15" customHeight="1" x14ac:dyDescent="0.25">
      <c r="A2913" s="20" t="s">
        <v>4246</v>
      </c>
      <c r="B2913" s="20"/>
      <c r="C2913" s="20" t="s">
        <v>3897</v>
      </c>
      <c r="D2913" s="378" t="s">
        <v>4270</v>
      </c>
      <c r="E2913" s="384">
        <v>45216</v>
      </c>
      <c r="F2913" s="384">
        <v>46989</v>
      </c>
      <c r="G2913" s="378" t="s">
        <v>2837</v>
      </c>
      <c r="H2913" s="20" t="s">
        <v>4267</v>
      </c>
      <c r="I2913" s="378">
        <v>0</v>
      </c>
      <c r="J2913" s="20" t="s">
        <v>2831</v>
      </c>
      <c r="K2913" s="378" t="s">
        <v>4268</v>
      </c>
      <c r="L2913" s="378" t="s">
        <v>2789</v>
      </c>
      <c r="M2913" s="380" t="s">
        <v>443</v>
      </c>
      <c r="N2913" s="380">
        <v>1.86</v>
      </c>
      <c r="O2913" s="380" t="s">
        <v>443</v>
      </c>
      <c r="P2913" s="380" t="s">
        <v>443</v>
      </c>
      <c r="Q2913" s="381">
        <v>5.26</v>
      </c>
      <c r="R2913" s="381">
        <v>5.28</v>
      </c>
      <c r="S2913" s="381">
        <v>-4.1599999999999998E-2</v>
      </c>
      <c r="T2913" s="381">
        <v>3.15E-2</v>
      </c>
      <c r="U2913" s="381">
        <v>0</v>
      </c>
      <c r="V2913" s="382">
        <v>5.3115000000000006</v>
      </c>
      <c r="W2913" s="382">
        <v>0</v>
      </c>
      <c r="X2913" s="381">
        <v>2.8279569892473115</v>
      </c>
      <c r="Y2913" s="381">
        <v>2.838709677419355</v>
      </c>
      <c r="Z2913" s="381">
        <v>-2.2365591397849459E-2</v>
      </c>
      <c r="AA2913" s="381">
        <v>1.693548387096774E-2</v>
      </c>
      <c r="AB2913" s="381">
        <v>0</v>
      </c>
      <c r="AC2913" s="382">
        <v>2.8556451612903229</v>
      </c>
      <c r="AD2913" s="382">
        <v>0</v>
      </c>
      <c r="AE2913" s="381" t="s">
        <v>168</v>
      </c>
    </row>
    <row r="2914" spans="1:31" ht="15" customHeight="1" x14ac:dyDescent="0.25">
      <c r="A2914" s="20" t="s">
        <v>4246</v>
      </c>
      <c r="B2914" s="20"/>
      <c r="C2914" s="20" t="s">
        <v>3897</v>
      </c>
      <c r="D2914" s="378" t="s">
        <v>4271</v>
      </c>
      <c r="E2914" s="384">
        <v>45216</v>
      </c>
      <c r="F2914" s="384">
        <v>46989</v>
      </c>
      <c r="G2914" s="378" t="s">
        <v>2837</v>
      </c>
      <c r="H2914" s="20" t="s">
        <v>4272</v>
      </c>
      <c r="I2914" s="378">
        <v>0</v>
      </c>
      <c r="J2914" s="20" t="s">
        <v>2831</v>
      </c>
      <c r="K2914" s="378" t="s">
        <v>4273</v>
      </c>
      <c r="L2914" s="378" t="s">
        <v>2789</v>
      </c>
      <c r="M2914" s="380" t="s">
        <v>443</v>
      </c>
      <c r="N2914" s="380">
        <v>1.89</v>
      </c>
      <c r="O2914" s="380" t="s">
        <v>443</v>
      </c>
      <c r="P2914" s="380" t="s">
        <v>443</v>
      </c>
      <c r="Q2914" s="381">
        <v>5.52</v>
      </c>
      <c r="R2914" s="381">
        <v>5.54</v>
      </c>
      <c r="S2914" s="381">
        <v>-4.0599999999999997E-2</v>
      </c>
      <c r="T2914" s="381">
        <v>2.9600000000000001E-2</v>
      </c>
      <c r="U2914" s="381">
        <v>0</v>
      </c>
      <c r="V2914" s="382">
        <v>5.5696000000000003</v>
      </c>
      <c r="W2914" s="382">
        <v>0</v>
      </c>
      <c r="X2914" s="381">
        <v>2.9206349206349205</v>
      </c>
      <c r="Y2914" s="381">
        <v>2.9312169312169312</v>
      </c>
      <c r="Z2914" s="381">
        <v>-2.148148148148148E-2</v>
      </c>
      <c r="AA2914" s="381">
        <v>1.5661375661375664E-2</v>
      </c>
      <c r="AB2914" s="381">
        <v>0</v>
      </c>
      <c r="AC2914" s="382">
        <v>2.9468783068783067</v>
      </c>
      <c r="AD2914" s="382">
        <v>0</v>
      </c>
      <c r="AE2914" s="381" t="s">
        <v>168</v>
      </c>
    </row>
    <row r="2915" spans="1:31" ht="15" customHeight="1" x14ac:dyDescent="0.25">
      <c r="A2915" s="20" t="s">
        <v>4246</v>
      </c>
      <c r="B2915" s="20"/>
      <c r="C2915" s="20" t="s">
        <v>3897</v>
      </c>
      <c r="D2915" s="378" t="s">
        <v>4274</v>
      </c>
      <c r="E2915" s="384">
        <v>45216</v>
      </c>
      <c r="F2915" s="384">
        <v>46989</v>
      </c>
      <c r="G2915" s="378" t="s">
        <v>2837</v>
      </c>
      <c r="H2915" s="20" t="s">
        <v>4272</v>
      </c>
      <c r="I2915" s="378">
        <v>0</v>
      </c>
      <c r="J2915" s="20" t="s">
        <v>2831</v>
      </c>
      <c r="K2915" s="378" t="s">
        <v>4273</v>
      </c>
      <c r="L2915" s="378" t="s">
        <v>2789</v>
      </c>
      <c r="M2915" s="380" t="s">
        <v>443</v>
      </c>
      <c r="N2915" s="380">
        <v>1.89</v>
      </c>
      <c r="O2915" s="380" t="s">
        <v>443</v>
      </c>
      <c r="P2915" s="380" t="s">
        <v>443</v>
      </c>
      <c r="Q2915" s="381">
        <v>5.52</v>
      </c>
      <c r="R2915" s="381">
        <v>5.54</v>
      </c>
      <c r="S2915" s="381">
        <v>-4.0599999999999997E-2</v>
      </c>
      <c r="T2915" s="381">
        <v>2.9600000000000001E-2</v>
      </c>
      <c r="U2915" s="381">
        <v>0</v>
      </c>
      <c r="V2915" s="382">
        <v>5.5696000000000003</v>
      </c>
      <c r="W2915" s="382">
        <v>0</v>
      </c>
      <c r="X2915" s="381">
        <v>2.9206349206349205</v>
      </c>
      <c r="Y2915" s="381">
        <v>2.9312169312169312</v>
      </c>
      <c r="Z2915" s="381">
        <v>-2.148148148148148E-2</v>
      </c>
      <c r="AA2915" s="381">
        <v>1.5661375661375664E-2</v>
      </c>
      <c r="AB2915" s="381">
        <v>0</v>
      </c>
      <c r="AC2915" s="382">
        <v>2.9468783068783067</v>
      </c>
      <c r="AD2915" s="382">
        <v>0</v>
      </c>
      <c r="AE2915" s="381" t="s">
        <v>168</v>
      </c>
    </row>
    <row r="2916" spans="1:31" ht="15" customHeight="1" x14ac:dyDescent="0.25">
      <c r="A2916" s="20" t="s">
        <v>4246</v>
      </c>
      <c r="B2916" s="20"/>
      <c r="C2916" s="20" t="s">
        <v>3897</v>
      </c>
      <c r="D2916" s="378" t="s">
        <v>4275</v>
      </c>
      <c r="E2916" s="384">
        <v>45216</v>
      </c>
      <c r="F2916" s="384">
        <v>46989</v>
      </c>
      <c r="G2916" s="378" t="s">
        <v>2837</v>
      </c>
      <c r="H2916" s="20" t="s">
        <v>4272</v>
      </c>
      <c r="I2916" s="378">
        <v>0</v>
      </c>
      <c r="J2916" s="20" t="s">
        <v>2831</v>
      </c>
      <c r="K2916" s="378" t="s">
        <v>4273</v>
      </c>
      <c r="L2916" s="378" t="s">
        <v>2789</v>
      </c>
      <c r="M2916" s="380" t="s">
        <v>443</v>
      </c>
      <c r="N2916" s="380">
        <v>1.89</v>
      </c>
      <c r="O2916" s="380" t="s">
        <v>443</v>
      </c>
      <c r="P2916" s="380" t="s">
        <v>443</v>
      </c>
      <c r="Q2916" s="381">
        <v>5.52</v>
      </c>
      <c r="R2916" s="381">
        <v>5.54</v>
      </c>
      <c r="S2916" s="381">
        <v>-4.0599999999999997E-2</v>
      </c>
      <c r="T2916" s="381">
        <v>2.9600000000000001E-2</v>
      </c>
      <c r="U2916" s="381">
        <v>0</v>
      </c>
      <c r="V2916" s="382">
        <v>5.5696000000000003</v>
      </c>
      <c r="W2916" s="382">
        <v>0</v>
      </c>
      <c r="X2916" s="381">
        <v>2.9206349206349205</v>
      </c>
      <c r="Y2916" s="381">
        <v>2.9312169312169312</v>
      </c>
      <c r="Z2916" s="381">
        <v>-2.148148148148148E-2</v>
      </c>
      <c r="AA2916" s="381">
        <v>1.5661375661375664E-2</v>
      </c>
      <c r="AB2916" s="381">
        <v>0</v>
      </c>
      <c r="AC2916" s="382">
        <v>2.9468783068783067</v>
      </c>
      <c r="AD2916" s="382">
        <v>0</v>
      </c>
      <c r="AE2916" s="381" t="s">
        <v>168</v>
      </c>
    </row>
    <row r="2917" spans="1:31" ht="15" customHeight="1" x14ac:dyDescent="0.25">
      <c r="A2917" s="20" t="s">
        <v>4246</v>
      </c>
      <c r="B2917" s="20"/>
      <c r="C2917" s="20" t="s">
        <v>3897</v>
      </c>
      <c r="D2917" s="378" t="s">
        <v>4276</v>
      </c>
      <c r="E2917" s="384">
        <v>44419</v>
      </c>
      <c r="F2917" s="384">
        <v>46244</v>
      </c>
      <c r="G2917" s="378" t="s">
        <v>2837</v>
      </c>
      <c r="H2917" s="20" t="s">
        <v>4277</v>
      </c>
      <c r="I2917" s="378">
        <v>0</v>
      </c>
      <c r="J2917" s="20" t="s">
        <v>2831</v>
      </c>
      <c r="K2917" s="378" t="s">
        <v>4278</v>
      </c>
      <c r="L2917" s="378" t="s">
        <v>2789</v>
      </c>
      <c r="M2917" s="380" t="s">
        <v>443</v>
      </c>
      <c r="N2917" s="380" t="s">
        <v>443</v>
      </c>
      <c r="O2917" s="380" t="s">
        <v>443</v>
      </c>
      <c r="P2917" s="380" t="s">
        <v>443</v>
      </c>
      <c r="Q2917" s="381">
        <v>3.47</v>
      </c>
      <c r="R2917" s="381">
        <v>3.49</v>
      </c>
      <c r="S2917" s="381">
        <v>-2.1399999999999999E-2</v>
      </c>
      <c r="T2917" s="381">
        <v>1.98E-3</v>
      </c>
      <c r="U2917" s="381">
        <v>0</v>
      </c>
      <c r="V2917" s="382">
        <v>3.4919800000000003</v>
      </c>
      <c r="W2917" s="382">
        <v>0</v>
      </c>
      <c r="X2917" s="381" t="s">
        <v>443</v>
      </c>
      <c r="Y2917" s="381" t="s">
        <v>443</v>
      </c>
      <c r="Z2917" s="381" t="s">
        <v>443</v>
      </c>
      <c r="AA2917" s="381" t="s">
        <v>443</v>
      </c>
      <c r="AB2917" s="381" t="s">
        <v>443</v>
      </c>
      <c r="AC2917" s="382">
        <v>0</v>
      </c>
      <c r="AD2917" s="382">
        <v>0</v>
      </c>
      <c r="AE2917" s="381" t="s">
        <v>168</v>
      </c>
    </row>
    <row r="2918" spans="1:31" ht="15" customHeight="1" x14ac:dyDescent="0.25">
      <c r="A2918" s="20" t="s">
        <v>4246</v>
      </c>
      <c r="B2918" s="20"/>
      <c r="C2918" s="20" t="s">
        <v>3897</v>
      </c>
      <c r="D2918" s="378" t="s">
        <v>4279</v>
      </c>
      <c r="E2918" s="384">
        <v>44419</v>
      </c>
      <c r="F2918" s="384">
        <v>46244</v>
      </c>
      <c r="G2918" s="378" t="s">
        <v>2837</v>
      </c>
      <c r="H2918" s="20" t="s">
        <v>4277</v>
      </c>
      <c r="I2918" s="378">
        <v>0</v>
      </c>
      <c r="J2918" s="20" t="s">
        <v>2831</v>
      </c>
      <c r="K2918" s="378" t="s">
        <v>4278</v>
      </c>
      <c r="L2918" s="378" t="s">
        <v>2789</v>
      </c>
      <c r="M2918" s="380" t="s">
        <v>443</v>
      </c>
      <c r="N2918" s="380" t="s">
        <v>443</v>
      </c>
      <c r="O2918" s="380" t="s">
        <v>443</v>
      </c>
      <c r="P2918" s="380" t="s">
        <v>443</v>
      </c>
      <c r="Q2918" s="381">
        <v>3.84</v>
      </c>
      <c r="R2918" s="381">
        <v>3.86</v>
      </c>
      <c r="S2918" s="381">
        <v>-1.9300000000000001E-2</v>
      </c>
      <c r="T2918" s="381">
        <v>2.0899999999999998E-3</v>
      </c>
      <c r="U2918" s="381">
        <v>0</v>
      </c>
      <c r="V2918" s="382">
        <v>3.8620899999999998</v>
      </c>
      <c r="W2918" s="382">
        <v>0</v>
      </c>
      <c r="X2918" s="381" t="s">
        <v>443</v>
      </c>
      <c r="Y2918" s="381" t="s">
        <v>443</v>
      </c>
      <c r="Z2918" s="381" t="s">
        <v>443</v>
      </c>
      <c r="AA2918" s="381" t="s">
        <v>443</v>
      </c>
      <c r="AB2918" s="381" t="s">
        <v>443</v>
      </c>
      <c r="AC2918" s="382">
        <v>0</v>
      </c>
      <c r="AD2918" s="382">
        <v>0</v>
      </c>
      <c r="AE2918" s="381" t="s">
        <v>168</v>
      </c>
    </row>
    <row r="2919" spans="1:31" ht="15" customHeight="1" x14ac:dyDescent="0.25">
      <c r="A2919" s="20" t="s">
        <v>4246</v>
      </c>
      <c r="B2919" s="20"/>
      <c r="C2919" s="20" t="s">
        <v>3897</v>
      </c>
      <c r="D2919" s="378" t="s">
        <v>4280</v>
      </c>
      <c r="E2919" s="384">
        <v>45216</v>
      </c>
      <c r="F2919" s="384">
        <v>46989</v>
      </c>
      <c r="G2919" s="378" t="s">
        <v>2837</v>
      </c>
      <c r="H2919" s="20" t="s">
        <v>4281</v>
      </c>
      <c r="I2919" s="378">
        <v>0</v>
      </c>
      <c r="J2919" s="20" t="s">
        <v>2831</v>
      </c>
      <c r="K2919" s="378" t="s">
        <v>4282</v>
      </c>
      <c r="L2919" s="378" t="s">
        <v>2789</v>
      </c>
      <c r="M2919" s="380" t="s">
        <v>443</v>
      </c>
      <c r="N2919" s="380">
        <v>3.1</v>
      </c>
      <c r="O2919" s="380" t="s">
        <v>443</v>
      </c>
      <c r="P2919" s="380" t="s">
        <v>443</v>
      </c>
      <c r="Q2919" s="381">
        <v>9.6300000000000008</v>
      </c>
      <c r="R2919" s="381">
        <v>9.6300000000000008</v>
      </c>
      <c r="S2919" s="381">
        <v>-5.5800000000000002E-2</v>
      </c>
      <c r="T2919" s="381">
        <v>5.1799999999999999E-2</v>
      </c>
      <c r="U2919" s="381">
        <v>0</v>
      </c>
      <c r="V2919" s="382">
        <v>9.6818000000000008</v>
      </c>
      <c r="W2919" s="382">
        <v>0</v>
      </c>
      <c r="X2919" s="381">
        <v>3.1064516129032258</v>
      </c>
      <c r="Y2919" s="381">
        <v>3.1064516129032258</v>
      </c>
      <c r="Z2919" s="381">
        <v>-1.7999999999999999E-2</v>
      </c>
      <c r="AA2919" s="381">
        <v>1.6709677419354838E-2</v>
      </c>
      <c r="AB2919" s="381">
        <v>0</v>
      </c>
      <c r="AC2919" s="382">
        <v>3.1231612903225807</v>
      </c>
      <c r="AD2919" s="382">
        <v>0</v>
      </c>
      <c r="AE2919" s="381" t="s">
        <v>168</v>
      </c>
    </row>
    <row r="2920" spans="1:31" ht="15" customHeight="1" x14ac:dyDescent="0.25">
      <c r="A2920" s="20" t="s">
        <v>4246</v>
      </c>
      <c r="B2920" s="20"/>
      <c r="C2920" s="20" t="s">
        <v>3897</v>
      </c>
      <c r="D2920" s="378" t="s">
        <v>4283</v>
      </c>
      <c r="E2920" s="384">
        <v>44419</v>
      </c>
      <c r="F2920" s="384">
        <v>46244</v>
      </c>
      <c r="G2920" s="378" t="s">
        <v>2837</v>
      </c>
      <c r="H2920" s="20" t="s">
        <v>4277</v>
      </c>
      <c r="I2920" s="378">
        <v>0</v>
      </c>
      <c r="J2920" s="20" t="s">
        <v>2831</v>
      </c>
      <c r="K2920" s="378" t="s">
        <v>4278</v>
      </c>
      <c r="L2920" s="378" t="s">
        <v>2789</v>
      </c>
      <c r="M2920" s="380" t="s">
        <v>443</v>
      </c>
      <c r="N2920" s="380" t="s">
        <v>443</v>
      </c>
      <c r="O2920" s="380" t="s">
        <v>443</v>
      </c>
      <c r="P2920" s="380" t="s">
        <v>443</v>
      </c>
      <c r="Q2920" s="381">
        <v>3.68</v>
      </c>
      <c r="R2920" s="381">
        <v>3.69</v>
      </c>
      <c r="S2920" s="381">
        <v>-1.6199999999999999E-2</v>
      </c>
      <c r="T2920" s="381">
        <v>2.0999999999999999E-3</v>
      </c>
      <c r="U2920" s="381">
        <v>0</v>
      </c>
      <c r="V2920" s="382">
        <v>3.6920999999999999</v>
      </c>
      <c r="W2920" s="382">
        <v>0</v>
      </c>
      <c r="X2920" s="381" t="s">
        <v>443</v>
      </c>
      <c r="Y2920" s="381" t="s">
        <v>443</v>
      </c>
      <c r="Z2920" s="381" t="s">
        <v>443</v>
      </c>
      <c r="AA2920" s="381" t="s">
        <v>443</v>
      </c>
      <c r="AB2920" s="381" t="s">
        <v>443</v>
      </c>
      <c r="AC2920" s="382">
        <v>0</v>
      </c>
      <c r="AD2920" s="382">
        <v>0</v>
      </c>
      <c r="AE2920" s="381" t="s">
        <v>168</v>
      </c>
    </row>
    <row r="2921" spans="1:31" ht="15" customHeight="1" x14ac:dyDescent="0.25">
      <c r="A2921" s="20" t="s">
        <v>4246</v>
      </c>
      <c r="B2921" s="20"/>
      <c r="C2921" s="20" t="s">
        <v>3897</v>
      </c>
      <c r="D2921" s="378" t="s">
        <v>4284</v>
      </c>
      <c r="E2921" s="384">
        <v>44419</v>
      </c>
      <c r="F2921" s="384">
        <v>46244</v>
      </c>
      <c r="G2921" s="378" t="s">
        <v>2837</v>
      </c>
      <c r="H2921" s="20" t="s">
        <v>4277</v>
      </c>
      <c r="I2921" s="378">
        <v>0</v>
      </c>
      <c r="J2921" s="20" t="s">
        <v>2831</v>
      </c>
      <c r="K2921" s="378" t="s">
        <v>4278</v>
      </c>
      <c r="L2921" s="378" t="s">
        <v>2789</v>
      </c>
      <c r="M2921" s="380" t="s">
        <v>443</v>
      </c>
      <c r="N2921" s="380" t="s">
        <v>443</v>
      </c>
      <c r="O2921" s="380" t="s">
        <v>443</v>
      </c>
      <c r="P2921" s="380" t="s">
        <v>443</v>
      </c>
      <c r="Q2921" s="381">
        <v>3.8</v>
      </c>
      <c r="R2921" s="381">
        <v>3.81</v>
      </c>
      <c r="S2921" s="381">
        <v>-1.5800000000000002E-2</v>
      </c>
      <c r="T2921" s="381">
        <v>2.15E-3</v>
      </c>
      <c r="U2921" s="381">
        <v>0</v>
      </c>
      <c r="V2921" s="382">
        <v>3.8121499999999999</v>
      </c>
      <c r="W2921" s="382">
        <v>0</v>
      </c>
      <c r="X2921" s="381" t="s">
        <v>443</v>
      </c>
      <c r="Y2921" s="381" t="s">
        <v>443</v>
      </c>
      <c r="Z2921" s="381" t="s">
        <v>443</v>
      </c>
      <c r="AA2921" s="381" t="s">
        <v>443</v>
      </c>
      <c r="AB2921" s="381" t="s">
        <v>443</v>
      </c>
      <c r="AC2921" s="382">
        <v>0</v>
      </c>
      <c r="AD2921" s="382">
        <v>0</v>
      </c>
      <c r="AE2921" s="381" t="s">
        <v>168</v>
      </c>
    </row>
    <row r="2922" spans="1:31" ht="15" customHeight="1" x14ac:dyDescent="0.25">
      <c r="A2922" s="20" t="s">
        <v>4246</v>
      </c>
      <c r="B2922" s="20"/>
      <c r="C2922" s="20" t="s">
        <v>3897</v>
      </c>
      <c r="D2922" s="378" t="s">
        <v>4285</v>
      </c>
      <c r="E2922" s="384">
        <v>44419</v>
      </c>
      <c r="F2922" s="384">
        <v>46244</v>
      </c>
      <c r="G2922" s="378" t="s">
        <v>2837</v>
      </c>
      <c r="H2922" s="20" t="s">
        <v>4277</v>
      </c>
      <c r="I2922" s="378">
        <v>0</v>
      </c>
      <c r="J2922" s="20" t="s">
        <v>2831</v>
      </c>
      <c r="K2922" s="378" t="s">
        <v>4278</v>
      </c>
      <c r="L2922" s="378" t="s">
        <v>2789</v>
      </c>
      <c r="M2922" s="380" t="s">
        <v>443</v>
      </c>
      <c r="N2922" s="380" t="s">
        <v>443</v>
      </c>
      <c r="O2922" s="380" t="s">
        <v>443</v>
      </c>
      <c r="P2922" s="380" t="s">
        <v>443</v>
      </c>
      <c r="Q2922" s="381">
        <v>4.82</v>
      </c>
      <c r="R2922" s="381">
        <v>4.83</v>
      </c>
      <c r="S2922" s="381">
        <v>-1.49E-2</v>
      </c>
      <c r="T2922" s="381">
        <v>2.3800000000000002E-3</v>
      </c>
      <c r="U2922" s="381">
        <v>0</v>
      </c>
      <c r="V2922" s="382">
        <v>4.8323799999999997</v>
      </c>
      <c r="W2922" s="382">
        <v>0</v>
      </c>
      <c r="X2922" s="381" t="s">
        <v>443</v>
      </c>
      <c r="Y2922" s="381" t="s">
        <v>443</v>
      </c>
      <c r="Z2922" s="381" t="s">
        <v>443</v>
      </c>
      <c r="AA2922" s="381" t="s">
        <v>443</v>
      </c>
      <c r="AB2922" s="381" t="s">
        <v>443</v>
      </c>
      <c r="AC2922" s="382">
        <v>0</v>
      </c>
      <c r="AD2922" s="382">
        <v>0</v>
      </c>
      <c r="AE2922" s="381" t="s">
        <v>168</v>
      </c>
    </row>
    <row r="2923" spans="1:31" ht="15" customHeight="1" x14ac:dyDescent="0.25">
      <c r="A2923" s="20" t="s">
        <v>4246</v>
      </c>
      <c r="B2923" s="20"/>
      <c r="C2923" s="20" t="s">
        <v>3897</v>
      </c>
      <c r="D2923" s="378" t="s">
        <v>4286</v>
      </c>
      <c r="E2923" s="384">
        <v>44419</v>
      </c>
      <c r="F2923" s="384">
        <v>46244</v>
      </c>
      <c r="G2923" s="378" t="s">
        <v>2837</v>
      </c>
      <c r="H2923" s="20" t="s">
        <v>4277</v>
      </c>
      <c r="I2923" s="378">
        <v>0</v>
      </c>
      <c r="J2923" s="20" t="s">
        <v>2831</v>
      </c>
      <c r="K2923" s="378" t="s">
        <v>4278</v>
      </c>
      <c r="L2923" s="378" t="s">
        <v>2789</v>
      </c>
      <c r="M2923" s="380" t="s">
        <v>443</v>
      </c>
      <c r="N2923" s="380" t="s">
        <v>443</v>
      </c>
      <c r="O2923" s="380" t="s">
        <v>443</v>
      </c>
      <c r="P2923" s="380" t="s">
        <v>443</v>
      </c>
      <c r="Q2923" s="381">
        <v>5.79</v>
      </c>
      <c r="R2923" s="381">
        <v>5.8</v>
      </c>
      <c r="S2923" s="381">
        <v>-1.29E-2</v>
      </c>
      <c r="T2923" s="381">
        <v>2.33E-3</v>
      </c>
      <c r="U2923" s="381">
        <v>0</v>
      </c>
      <c r="V2923" s="382">
        <v>5.8023299999999995</v>
      </c>
      <c r="W2923" s="382">
        <v>0</v>
      </c>
      <c r="X2923" s="381" t="s">
        <v>443</v>
      </c>
      <c r="Y2923" s="381" t="s">
        <v>443</v>
      </c>
      <c r="Z2923" s="381" t="s">
        <v>443</v>
      </c>
      <c r="AA2923" s="381" t="s">
        <v>443</v>
      </c>
      <c r="AB2923" s="381" t="s">
        <v>443</v>
      </c>
      <c r="AC2923" s="382">
        <v>0</v>
      </c>
      <c r="AD2923" s="382">
        <v>0</v>
      </c>
      <c r="AE2923" s="381" t="s">
        <v>168</v>
      </c>
    </row>
    <row r="2924" spans="1:31" ht="15" customHeight="1" x14ac:dyDescent="0.25">
      <c r="A2924" s="20" t="s">
        <v>4246</v>
      </c>
      <c r="B2924" s="20"/>
      <c r="C2924" s="20" t="s">
        <v>3897</v>
      </c>
      <c r="D2924" s="378" t="s">
        <v>4287</v>
      </c>
      <c r="E2924" s="384">
        <v>44419</v>
      </c>
      <c r="F2924" s="384">
        <v>46244</v>
      </c>
      <c r="G2924" s="378" t="s">
        <v>2837</v>
      </c>
      <c r="H2924" s="20" t="s">
        <v>4277</v>
      </c>
      <c r="I2924" s="378">
        <v>0</v>
      </c>
      <c r="J2924" s="20" t="s">
        <v>2831</v>
      </c>
      <c r="K2924" s="378" t="s">
        <v>4278</v>
      </c>
      <c r="L2924" s="378" t="s">
        <v>2789</v>
      </c>
      <c r="M2924" s="380" t="s">
        <v>443</v>
      </c>
      <c r="N2924" s="380" t="s">
        <v>443</v>
      </c>
      <c r="O2924" s="380" t="s">
        <v>443</v>
      </c>
      <c r="P2924" s="380" t="s">
        <v>443</v>
      </c>
      <c r="Q2924" s="381">
        <v>6.41</v>
      </c>
      <c r="R2924" s="381">
        <v>6.42</v>
      </c>
      <c r="S2924" s="381">
        <v>-1.0500000000000001E-2</v>
      </c>
      <c r="T2924" s="381">
        <v>2.4599999999999999E-3</v>
      </c>
      <c r="U2924" s="381">
        <v>0</v>
      </c>
      <c r="V2924" s="382">
        <v>6.4224600000000001</v>
      </c>
      <c r="W2924" s="382">
        <v>0</v>
      </c>
      <c r="X2924" s="381" t="s">
        <v>443</v>
      </c>
      <c r="Y2924" s="381" t="s">
        <v>443</v>
      </c>
      <c r="Z2924" s="381" t="s">
        <v>443</v>
      </c>
      <c r="AA2924" s="381" t="s">
        <v>443</v>
      </c>
      <c r="AB2924" s="381" t="s">
        <v>443</v>
      </c>
      <c r="AC2924" s="382">
        <v>0</v>
      </c>
      <c r="AD2924" s="382">
        <v>0</v>
      </c>
      <c r="AE2924" s="381" t="s">
        <v>168</v>
      </c>
    </row>
    <row r="2925" spans="1:31" ht="15" customHeight="1" x14ac:dyDescent="0.25">
      <c r="A2925" s="20" t="s">
        <v>4246</v>
      </c>
      <c r="B2925" s="20"/>
      <c r="C2925" s="20" t="s">
        <v>3897</v>
      </c>
      <c r="D2925" s="378" t="s">
        <v>4288</v>
      </c>
      <c r="E2925" s="384">
        <v>44419</v>
      </c>
      <c r="F2925" s="384">
        <v>46244</v>
      </c>
      <c r="G2925" s="378" t="s">
        <v>2837</v>
      </c>
      <c r="H2925" s="20" t="s">
        <v>4277</v>
      </c>
      <c r="I2925" s="378">
        <v>0</v>
      </c>
      <c r="J2925" s="20" t="s">
        <v>2831</v>
      </c>
      <c r="K2925" s="378" t="s">
        <v>4278</v>
      </c>
      <c r="L2925" s="378" t="s">
        <v>2789</v>
      </c>
      <c r="M2925" s="380" t="s">
        <v>443</v>
      </c>
      <c r="N2925" s="380" t="s">
        <v>443</v>
      </c>
      <c r="O2925" s="380" t="s">
        <v>443</v>
      </c>
      <c r="P2925" s="380" t="s">
        <v>443</v>
      </c>
      <c r="Q2925" s="381">
        <v>7.31</v>
      </c>
      <c r="R2925" s="381">
        <v>7.32</v>
      </c>
      <c r="S2925" s="381">
        <v>-5.1900000000000002E-3</v>
      </c>
      <c r="T2925" s="381">
        <v>2.65E-3</v>
      </c>
      <c r="U2925" s="381">
        <v>0</v>
      </c>
      <c r="V2925" s="382">
        <v>7.3226500000000003</v>
      </c>
      <c r="W2925" s="382">
        <v>0</v>
      </c>
      <c r="X2925" s="381" t="s">
        <v>443</v>
      </c>
      <c r="Y2925" s="381" t="s">
        <v>443</v>
      </c>
      <c r="Z2925" s="381" t="s">
        <v>443</v>
      </c>
      <c r="AA2925" s="381" t="s">
        <v>443</v>
      </c>
      <c r="AB2925" s="381" t="s">
        <v>443</v>
      </c>
      <c r="AC2925" s="382">
        <v>0</v>
      </c>
      <c r="AD2925" s="382">
        <v>0</v>
      </c>
      <c r="AE2925" s="381" t="s">
        <v>168</v>
      </c>
    </row>
    <row r="2926" spans="1:31" ht="15" customHeight="1" x14ac:dyDescent="0.25">
      <c r="A2926" s="20" t="s">
        <v>4246</v>
      </c>
      <c r="B2926" s="20"/>
      <c r="C2926" s="20" t="s">
        <v>3897</v>
      </c>
      <c r="D2926" s="378" t="s">
        <v>4289</v>
      </c>
      <c r="E2926" s="384">
        <v>43935</v>
      </c>
      <c r="F2926" s="384">
        <v>45754</v>
      </c>
      <c r="G2926" s="378" t="s">
        <v>3806</v>
      </c>
      <c r="H2926" s="20" t="s">
        <v>4290</v>
      </c>
      <c r="I2926" s="378">
        <v>0</v>
      </c>
      <c r="J2926" s="20" t="s">
        <v>2831</v>
      </c>
      <c r="K2926" s="378" t="s">
        <v>4291</v>
      </c>
      <c r="L2926" s="378" t="s">
        <v>2789</v>
      </c>
      <c r="M2926" s="380" t="s">
        <v>443</v>
      </c>
      <c r="N2926" s="380" t="s">
        <v>443</v>
      </c>
      <c r="O2926" s="380" t="s">
        <v>443</v>
      </c>
      <c r="P2926" s="380" t="s">
        <v>443</v>
      </c>
      <c r="Q2926" s="381">
        <v>3.16</v>
      </c>
      <c r="R2926" s="381">
        <v>0</v>
      </c>
      <c r="S2926" s="381">
        <v>0</v>
      </c>
      <c r="T2926" s="381">
        <v>0</v>
      </c>
      <c r="U2926" s="381">
        <v>0</v>
      </c>
      <c r="V2926" s="382">
        <v>3.16</v>
      </c>
      <c r="W2926" s="382">
        <v>0</v>
      </c>
      <c r="X2926" s="381" t="s">
        <v>443</v>
      </c>
      <c r="Y2926" s="381" t="s">
        <v>443</v>
      </c>
      <c r="Z2926" s="381" t="s">
        <v>443</v>
      </c>
      <c r="AA2926" s="381" t="s">
        <v>443</v>
      </c>
      <c r="AB2926" s="381" t="s">
        <v>443</v>
      </c>
      <c r="AC2926" s="382">
        <v>0</v>
      </c>
      <c r="AD2926" s="382">
        <v>0</v>
      </c>
      <c r="AE2926" s="381" t="s">
        <v>168</v>
      </c>
    </row>
    <row r="2927" spans="1:31" ht="15" customHeight="1" x14ac:dyDescent="0.25">
      <c r="A2927" s="20" t="s">
        <v>4246</v>
      </c>
      <c r="B2927" s="20"/>
      <c r="C2927" s="20" t="s">
        <v>3897</v>
      </c>
      <c r="D2927" s="378" t="s">
        <v>4292</v>
      </c>
      <c r="E2927" s="384">
        <v>43935</v>
      </c>
      <c r="F2927" s="384">
        <v>45754</v>
      </c>
      <c r="G2927" s="378" t="s">
        <v>3806</v>
      </c>
      <c r="H2927" s="20" t="s">
        <v>4290</v>
      </c>
      <c r="I2927" s="378">
        <v>0</v>
      </c>
      <c r="J2927" s="20" t="s">
        <v>2831</v>
      </c>
      <c r="K2927" s="378" t="s">
        <v>4291</v>
      </c>
      <c r="L2927" s="378" t="s">
        <v>2789</v>
      </c>
      <c r="M2927" s="380" t="s">
        <v>443</v>
      </c>
      <c r="N2927" s="380" t="s">
        <v>443</v>
      </c>
      <c r="O2927" s="380" t="s">
        <v>443</v>
      </c>
      <c r="P2927" s="380" t="s">
        <v>443</v>
      </c>
      <c r="Q2927" s="381">
        <v>3.16</v>
      </c>
      <c r="R2927" s="381">
        <v>0</v>
      </c>
      <c r="S2927" s="381">
        <v>0</v>
      </c>
      <c r="T2927" s="381">
        <v>0</v>
      </c>
      <c r="U2927" s="381">
        <v>0</v>
      </c>
      <c r="V2927" s="382">
        <v>3.16</v>
      </c>
      <c r="W2927" s="382">
        <v>0</v>
      </c>
      <c r="X2927" s="381" t="s">
        <v>443</v>
      </c>
      <c r="Y2927" s="381" t="s">
        <v>443</v>
      </c>
      <c r="Z2927" s="381" t="s">
        <v>443</v>
      </c>
      <c r="AA2927" s="381" t="s">
        <v>443</v>
      </c>
      <c r="AB2927" s="381" t="s">
        <v>443</v>
      </c>
      <c r="AC2927" s="382">
        <v>0</v>
      </c>
      <c r="AD2927" s="382">
        <v>0</v>
      </c>
      <c r="AE2927" s="381" t="s">
        <v>168</v>
      </c>
    </row>
    <row r="2928" spans="1:31" ht="15" customHeight="1" x14ac:dyDescent="0.25">
      <c r="A2928" s="20" t="s">
        <v>4246</v>
      </c>
      <c r="B2928" s="20"/>
      <c r="C2928" s="20" t="s">
        <v>3897</v>
      </c>
      <c r="D2928" s="378" t="s">
        <v>4293</v>
      </c>
      <c r="E2928" s="384">
        <v>43935</v>
      </c>
      <c r="F2928" s="384">
        <v>45754</v>
      </c>
      <c r="G2928" s="378" t="s">
        <v>3806</v>
      </c>
      <c r="H2928" s="20" t="s">
        <v>4290</v>
      </c>
      <c r="I2928" s="378">
        <v>0</v>
      </c>
      <c r="J2928" s="20" t="s">
        <v>2831</v>
      </c>
      <c r="K2928" s="378" t="s">
        <v>4291</v>
      </c>
      <c r="L2928" s="378" t="s">
        <v>2789</v>
      </c>
      <c r="M2928" s="380" t="s">
        <v>443</v>
      </c>
      <c r="N2928" s="380" t="s">
        <v>443</v>
      </c>
      <c r="O2928" s="380" t="s">
        <v>443</v>
      </c>
      <c r="P2928" s="380" t="s">
        <v>443</v>
      </c>
      <c r="Q2928" s="381">
        <v>3.16</v>
      </c>
      <c r="R2928" s="381">
        <v>0</v>
      </c>
      <c r="S2928" s="381">
        <v>0</v>
      </c>
      <c r="T2928" s="381">
        <v>0</v>
      </c>
      <c r="U2928" s="381">
        <v>0</v>
      </c>
      <c r="V2928" s="382">
        <v>3.16</v>
      </c>
      <c r="W2928" s="382">
        <v>0</v>
      </c>
      <c r="X2928" s="381" t="s">
        <v>443</v>
      </c>
      <c r="Y2928" s="381" t="s">
        <v>443</v>
      </c>
      <c r="Z2928" s="381" t="s">
        <v>443</v>
      </c>
      <c r="AA2928" s="381" t="s">
        <v>443</v>
      </c>
      <c r="AB2928" s="381" t="s">
        <v>443</v>
      </c>
      <c r="AC2928" s="382">
        <v>0</v>
      </c>
      <c r="AD2928" s="382">
        <v>0</v>
      </c>
      <c r="AE2928" s="381" t="s">
        <v>168</v>
      </c>
    </row>
    <row r="2929" spans="1:31" ht="15" customHeight="1" x14ac:dyDescent="0.25">
      <c r="A2929" s="20" t="s">
        <v>4246</v>
      </c>
      <c r="B2929" s="20"/>
      <c r="C2929" s="20" t="s">
        <v>3897</v>
      </c>
      <c r="D2929" s="378" t="s">
        <v>4294</v>
      </c>
      <c r="E2929" s="384">
        <v>43935</v>
      </c>
      <c r="F2929" s="384">
        <v>45754</v>
      </c>
      <c r="G2929" s="378" t="s">
        <v>3806</v>
      </c>
      <c r="H2929" s="20" t="s">
        <v>4290</v>
      </c>
      <c r="I2929" s="378">
        <v>0</v>
      </c>
      <c r="J2929" s="20" t="s">
        <v>2831</v>
      </c>
      <c r="K2929" s="378" t="s">
        <v>4291</v>
      </c>
      <c r="L2929" s="378" t="s">
        <v>2789</v>
      </c>
      <c r="M2929" s="380" t="s">
        <v>443</v>
      </c>
      <c r="N2929" s="380" t="s">
        <v>443</v>
      </c>
      <c r="O2929" s="380" t="s">
        <v>443</v>
      </c>
      <c r="P2929" s="380" t="s">
        <v>443</v>
      </c>
      <c r="Q2929" s="381">
        <v>2.93</v>
      </c>
      <c r="R2929" s="381">
        <v>0</v>
      </c>
      <c r="S2929" s="381">
        <v>0</v>
      </c>
      <c r="T2929" s="381">
        <v>0</v>
      </c>
      <c r="U2929" s="381">
        <v>0</v>
      </c>
      <c r="V2929" s="382">
        <v>2.93</v>
      </c>
      <c r="W2929" s="382">
        <v>0</v>
      </c>
      <c r="X2929" s="381" t="s">
        <v>443</v>
      </c>
      <c r="Y2929" s="381" t="s">
        <v>443</v>
      </c>
      <c r="Z2929" s="381" t="s">
        <v>443</v>
      </c>
      <c r="AA2929" s="381" t="s">
        <v>443</v>
      </c>
      <c r="AB2929" s="381" t="s">
        <v>443</v>
      </c>
      <c r="AC2929" s="382">
        <v>0</v>
      </c>
      <c r="AD2929" s="382">
        <v>0</v>
      </c>
      <c r="AE2929" s="381" t="s">
        <v>168</v>
      </c>
    </row>
    <row r="2930" spans="1:31" ht="15" customHeight="1" x14ac:dyDescent="0.25">
      <c r="A2930" s="20" t="s">
        <v>4246</v>
      </c>
      <c r="B2930" s="20"/>
      <c r="C2930" s="20" t="s">
        <v>3897</v>
      </c>
      <c r="D2930" s="378" t="s">
        <v>4295</v>
      </c>
      <c r="E2930" s="384">
        <v>43935</v>
      </c>
      <c r="F2930" s="384">
        <v>45754</v>
      </c>
      <c r="G2930" s="378" t="s">
        <v>3806</v>
      </c>
      <c r="H2930" s="20" t="s">
        <v>4290</v>
      </c>
      <c r="I2930" s="378">
        <v>0</v>
      </c>
      <c r="J2930" s="20" t="s">
        <v>2831</v>
      </c>
      <c r="K2930" s="378" t="s">
        <v>4291</v>
      </c>
      <c r="L2930" s="378" t="s">
        <v>2789</v>
      </c>
      <c r="M2930" s="380" t="s">
        <v>443</v>
      </c>
      <c r="N2930" s="380" t="s">
        <v>443</v>
      </c>
      <c r="O2930" s="380" t="s">
        <v>443</v>
      </c>
      <c r="P2930" s="380" t="s">
        <v>443</v>
      </c>
      <c r="Q2930" s="381">
        <v>2.93</v>
      </c>
      <c r="R2930" s="381">
        <v>0</v>
      </c>
      <c r="S2930" s="381">
        <v>0</v>
      </c>
      <c r="T2930" s="381">
        <v>0</v>
      </c>
      <c r="U2930" s="381">
        <v>0</v>
      </c>
      <c r="V2930" s="382">
        <v>2.93</v>
      </c>
      <c r="W2930" s="382">
        <v>0</v>
      </c>
      <c r="X2930" s="381" t="s">
        <v>443</v>
      </c>
      <c r="Y2930" s="381" t="s">
        <v>443</v>
      </c>
      <c r="Z2930" s="381" t="s">
        <v>443</v>
      </c>
      <c r="AA2930" s="381" t="s">
        <v>443</v>
      </c>
      <c r="AB2930" s="381" t="s">
        <v>443</v>
      </c>
      <c r="AC2930" s="382">
        <v>0</v>
      </c>
      <c r="AD2930" s="382">
        <v>0</v>
      </c>
      <c r="AE2930" s="381" t="s">
        <v>168</v>
      </c>
    </row>
    <row r="2931" spans="1:31" ht="15" customHeight="1" x14ac:dyDescent="0.25">
      <c r="A2931" s="20" t="s">
        <v>4246</v>
      </c>
      <c r="B2931" s="20"/>
      <c r="C2931" s="20" t="s">
        <v>3897</v>
      </c>
      <c r="D2931" s="378" t="s">
        <v>4296</v>
      </c>
      <c r="E2931" s="384">
        <v>43935</v>
      </c>
      <c r="F2931" s="384">
        <v>45754</v>
      </c>
      <c r="G2931" s="378" t="s">
        <v>3806</v>
      </c>
      <c r="H2931" s="20" t="s">
        <v>4290</v>
      </c>
      <c r="I2931" s="378">
        <v>0</v>
      </c>
      <c r="J2931" s="20" t="s">
        <v>2831</v>
      </c>
      <c r="K2931" s="378" t="s">
        <v>4291</v>
      </c>
      <c r="L2931" s="378" t="s">
        <v>2789</v>
      </c>
      <c r="M2931" s="380" t="s">
        <v>443</v>
      </c>
      <c r="N2931" s="380" t="s">
        <v>443</v>
      </c>
      <c r="O2931" s="380" t="s">
        <v>443</v>
      </c>
      <c r="P2931" s="380" t="s">
        <v>443</v>
      </c>
      <c r="Q2931" s="381">
        <v>3.25</v>
      </c>
      <c r="R2931" s="381">
        <v>0</v>
      </c>
      <c r="S2931" s="381">
        <v>0</v>
      </c>
      <c r="T2931" s="381">
        <v>0</v>
      </c>
      <c r="U2931" s="381">
        <v>0</v>
      </c>
      <c r="V2931" s="382">
        <v>3.25</v>
      </c>
      <c r="W2931" s="382">
        <v>0</v>
      </c>
      <c r="X2931" s="381" t="s">
        <v>443</v>
      </c>
      <c r="Y2931" s="381" t="s">
        <v>443</v>
      </c>
      <c r="Z2931" s="381" t="s">
        <v>443</v>
      </c>
      <c r="AA2931" s="381" t="s">
        <v>443</v>
      </c>
      <c r="AB2931" s="381" t="s">
        <v>443</v>
      </c>
      <c r="AC2931" s="382">
        <v>0</v>
      </c>
      <c r="AD2931" s="382">
        <v>0</v>
      </c>
      <c r="AE2931" s="381" t="s">
        <v>168</v>
      </c>
    </row>
    <row r="2932" spans="1:31" ht="15" customHeight="1" x14ac:dyDescent="0.25">
      <c r="A2932" s="20" t="s">
        <v>4246</v>
      </c>
      <c r="B2932" s="20"/>
      <c r="C2932" s="20" t="s">
        <v>3897</v>
      </c>
      <c r="D2932" s="378" t="s">
        <v>4297</v>
      </c>
      <c r="E2932" s="384">
        <v>43935</v>
      </c>
      <c r="F2932" s="384">
        <v>45754</v>
      </c>
      <c r="G2932" s="378" t="s">
        <v>3806</v>
      </c>
      <c r="H2932" s="20" t="s">
        <v>4290</v>
      </c>
      <c r="I2932" s="378">
        <v>0</v>
      </c>
      <c r="J2932" s="20" t="s">
        <v>2831</v>
      </c>
      <c r="K2932" s="378" t="s">
        <v>4291</v>
      </c>
      <c r="L2932" s="378" t="s">
        <v>2789</v>
      </c>
      <c r="M2932" s="380" t="s">
        <v>443</v>
      </c>
      <c r="N2932" s="380" t="s">
        <v>443</v>
      </c>
      <c r="O2932" s="380" t="s">
        <v>443</v>
      </c>
      <c r="P2932" s="380" t="s">
        <v>443</v>
      </c>
      <c r="Q2932" s="381">
        <v>3.25</v>
      </c>
      <c r="R2932" s="381">
        <v>0</v>
      </c>
      <c r="S2932" s="381">
        <v>0</v>
      </c>
      <c r="T2932" s="381">
        <v>0</v>
      </c>
      <c r="U2932" s="381">
        <v>0</v>
      </c>
      <c r="V2932" s="382">
        <v>3.25</v>
      </c>
      <c r="W2932" s="382">
        <v>0</v>
      </c>
      <c r="X2932" s="381" t="s">
        <v>443</v>
      </c>
      <c r="Y2932" s="381" t="s">
        <v>443</v>
      </c>
      <c r="Z2932" s="381" t="s">
        <v>443</v>
      </c>
      <c r="AA2932" s="381" t="s">
        <v>443</v>
      </c>
      <c r="AB2932" s="381" t="s">
        <v>443</v>
      </c>
      <c r="AC2932" s="382">
        <v>0</v>
      </c>
      <c r="AD2932" s="382">
        <v>0</v>
      </c>
      <c r="AE2932" s="381" t="s">
        <v>168</v>
      </c>
    </row>
    <row r="2933" spans="1:31" ht="15" customHeight="1" x14ac:dyDescent="0.25">
      <c r="A2933" s="20" t="s">
        <v>4246</v>
      </c>
      <c r="B2933" s="20"/>
      <c r="C2933" s="20" t="s">
        <v>3897</v>
      </c>
      <c r="D2933" s="378" t="s">
        <v>4298</v>
      </c>
      <c r="E2933" s="384">
        <v>44334</v>
      </c>
      <c r="F2933" s="384">
        <v>46160</v>
      </c>
      <c r="G2933" s="378" t="s">
        <v>4299</v>
      </c>
      <c r="H2933" s="20" t="s">
        <v>4300</v>
      </c>
      <c r="I2933" s="378">
        <v>0</v>
      </c>
      <c r="J2933" s="20" t="s">
        <v>2831</v>
      </c>
      <c r="K2933" s="378" t="s">
        <v>4301</v>
      </c>
      <c r="L2933" s="378" t="s">
        <v>2789</v>
      </c>
      <c r="M2933" s="380" t="s">
        <v>443</v>
      </c>
      <c r="N2933" s="380">
        <v>8.1999999999999993</v>
      </c>
      <c r="O2933" s="380" t="s">
        <v>443</v>
      </c>
      <c r="P2933" s="380" t="s">
        <v>443</v>
      </c>
      <c r="Q2933" s="381">
        <v>2.6800000000000001E-2</v>
      </c>
      <c r="R2933" s="381">
        <v>0</v>
      </c>
      <c r="S2933" s="381">
        <v>0</v>
      </c>
      <c r="T2933" s="381">
        <v>0</v>
      </c>
      <c r="U2933" s="381">
        <v>0</v>
      </c>
      <c r="V2933" s="382">
        <v>2.6800000000000001E-2</v>
      </c>
      <c r="W2933" s="382">
        <v>0</v>
      </c>
      <c r="X2933" s="381">
        <v>3.2682926829268296E-3</v>
      </c>
      <c r="Y2933" s="381">
        <v>0</v>
      </c>
      <c r="Z2933" s="381">
        <v>0</v>
      </c>
      <c r="AA2933" s="381">
        <v>0</v>
      </c>
      <c r="AB2933" s="381">
        <v>0</v>
      </c>
      <c r="AC2933" s="382">
        <v>3.2682926829268296E-3</v>
      </c>
      <c r="AD2933" s="382">
        <v>0</v>
      </c>
      <c r="AE2933" s="381" t="s">
        <v>168</v>
      </c>
    </row>
    <row r="2934" spans="1:31" ht="15" customHeight="1" x14ac:dyDescent="0.25">
      <c r="A2934" s="20" t="s">
        <v>4246</v>
      </c>
      <c r="B2934" s="20"/>
      <c r="C2934" s="20" t="s">
        <v>3897</v>
      </c>
      <c r="D2934" s="378" t="s">
        <v>4302</v>
      </c>
      <c r="E2934" s="384">
        <v>44334</v>
      </c>
      <c r="F2934" s="384">
        <v>46160</v>
      </c>
      <c r="G2934" s="378" t="s">
        <v>4299</v>
      </c>
      <c r="H2934" s="20" t="s">
        <v>4300</v>
      </c>
      <c r="I2934" s="378">
        <v>0</v>
      </c>
      <c r="J2934" s="20" t="s">
        <v>2831</v>
      </c>
      <c r="K2934" s="378" t="s">
        <v>4301</v>
      </c>
      <c r="L2934" s="378" t="s">
        <v>2789</v>
      </c>
      <c r="M2934" s="380" t="s">
        <v>443</v>
      </c>
      <c r="N2934" s="380">
        <v>8.1999999999999993</v>
      </c>
      <c r="O2934" s="380" t="s">
        <v>443</v>
      </c>
      <c r="P2934" s="380" t="s">
        <v>443</v>
      </c>
      <c r="Q2934" s="381">
        <v>2.6800000000000001E-3</v>
      </c>
      <c r="R2934" s="381">
        <v>0</v>
      </c>
      <c r="S2934" s="381">
        <v>0</v>
      </c>
      <c r="T2934" s="381">
        <v>0</v>
      </c>
      <c r="U2934" s="381">
        <v>0</v>
      </c>
      <c r="V2934" s="382">
        <v>2.6800000000000001E-3</v>
      </c>
      <c r="W2934" s="382">
        <v>0</v>
      </c>
      <c r="X2934" s="381">
        <v>3.2682926829268299E-4</v>
      </c>
      <c r="Y2934" s="381">
        <v>0</v>
      </c>
      <c r="Z2934" s="381">
        <v>0</v>
      </c>
      <c r="AA2934" s="381">
        <v>0</v>
      </c>
      <c r="AB2934" s="381">
        <v>0</v>
      </c>
      <c r="AC2934" s="382">
        <v>3.2682926829268299E-4</v>
      </c>
      <c r="AD2934" s="382">
        <v>0</v>
      </c>
      <c r="AE2934" s="381" t="s">
        <v>168</v>
      </c>
    </row>
    <row r="2935" spans="1:31" ht="15" customHeight="1" x14ac:dyDescent="0.25">
      <c r="A2935" s="20" t="s">
        <v>4246</v>
      </c>
      <c r="B2935" s="20"/>
      <c r="C2935" s="20" t="s">
        <v>3897</v>
      </c>
      <c r="D2935" s="378" t="s">
        <v>4303</v>
      </c>
      <c r="E2935" s="384">
        <v>44334</v>
      </c>
      <c r="F2935" s="384">
        <v>46160</v>
      </c>
      <c r="G2935" s="378" t="s">
        <v>4299</v>
      </c>
      <c r="H2935" s="20" t="s">
        <v>4300</v>
      </c>
      <c r="I2935" s="378">
        <v>0</v>
      </c>
      <c r="J2935" s="20" t="s">
        <v>2831</v>
      </c>
      <c r="K2935" s="378" t="s">
        <v>4301</v>
      </c>
      <c r="L2935" s="378" t="s">
        <v>2789</v>
      </c>
      <c r="M2935" s="380" t="s">
        <v>443</v>
      </c>
      <c r="N2935" s="380">
        <v>7</v>
      </c>
      <c r="O2935" s="380" t="s">
        <v>443</v>
      </c>
      <c r="P2935" s="380" t="s">
        <v>443</v>
      </c>
      <c r="Q2935" s="381">
        <v>2.0199999999999999E-2</v>
      </c>
      <c r="R2935" s="381">
        <v>0</v>
      </c>
      <c r="S2935" s="381">
        <v>0</v>
      </c>
      <c r="T2935" s="381">
        <v>0</v>
      </c>
      <c r="U2935" s="381">
        <v>0</v>
      </c>
      <c r="V2935" s="382">
        <v>2.0199999999999999E-2</v>
      </c>
      <c r="W2935" s="382">
        <v>0</v>
      </c>
      <c r="X2935" s="381">
        <v>2.8857142857142857E-3</v>
      </c>
      <c r="Y2935" s="381">
        <v>0</v>
      </c>
      <c r="Z2935" s="381">
        <v>0</v>
      </c>
      <c r="AA2935" s="381">
        <v>0</v>
      </c>
      <c r="AB2935" s="381">
        <v>0</v>
      </c>
      <c r="AC2935" s="382">
        <v>2.8857142857142857E-3</v>
      </c>
      <c r="AD2935" s="382">
        <v>0</v>
      </c>
      <c r="AE2935" s="381" t="s">
        <v>168</v>
      </c>
    </row>
    <row r="2936" spans="1:31" ht="15" customHeight="1" x14ac:dyDescent="0.25">
      <c r="A2936" s="20" t="s">
        <v>4246</v>
      </c>
      <c r="B2936" s="20"/>
      <c r="C2936" s="20" t="s">
        <v>3897</v>
      </c>
      <c r="D2936" s="378" t="s">
        <v>4304</v>
      </c>
      <c r="E2936" s="384">
        <v>44334</v>
      </c>
      <c r="F2936" s="384">
        <v>46160</v>
      </c>
      <c r="G2936" s="378" t="s">
        <v>4299</v>
      </c>
      <c r="H2936" s="20" t="s">
        <v>4300</v>
      </c>
      <c r="I2936" s="378">
        <v>0</v>
      </c>
      <c r="J2936" s="20" t="s">
        <v>2831</v>
      </c>
      <c r="K2936" s="378" t="s">
        <v>4301</v>
      </c>
      <c r="L2936" s="378" t="s">
        <v>2789</v>
      </c>
      <c r="M2936" s="380" t="s">
        <v>443</v>
      </c>
      <c r="N2936" s="380">
        <v>6.5</v>
      </c>
      <c r="O2936" s="380" t="s">
        <v>443</v>
      </c>
      <c r="P2936" s="380" t="s">
        <v>443</v>
      </c>
      <c r="Q2936" s="381">
        <v>2.5000000000000001E-2</v>
      </c>
      <c r="R2936" s="381">
        <v>0</v>
      </c>
      <c r="S2936" s="381">
        <v>0</v>
      </c>
      <c r="T2936" s="381">
        <v>0</v>
      </c>
      <c r="U2936" s="381">
        <v>0</v>
      </c>
      <c r="V2936" s="382">
        <v>2.5000000000000001E-2</v>
      </c>
      <c r="W2936" s="382">
        <v>0</v>
      </c>
      <c r="X2936" s="381">
        <v>3.8461538461538464E-3</v>
      </c>
      <c r="Y2936" s="381">
        <v>0</v>
      </c>
      <c r="Z2936" s="381">
        <v>0</v>
      </c>
      <c r="AA2936" s="381">
        <v>0</v>
      </c>
      <c r="AB2936" s="381">
        <v>0</v>
      </c>
      <c r="AC2936" s="382">
        <v>3.8461538461538464E-3</v>
      </c>
      <c r="AD2936" s="382">
        <v>0</v>
      </c>
      <c r="AE2936" s="381" t="s">
        <v>168</v>
      </c>
    </row>
    <row r="2937" spans="1:31" ht="15" customHeight="1" x14ac:dyDescent="0.25">
      <c r="A2937" s="20" t="s">
        <v>4246</v>
      </c>
      <c r="B2937" s="20"/>
      <c r="C2937" s="20" t="s">
        <v>3897</v>
      </c>
      <c r="D2937" s="378" t="s">
        <v>4305</v>
      </c>
      <c r="E2937" s="384">
        <v>44334</v>
      </c>
      <c r="F2937" s="384">
        <v>46160</v>
      </c>
      <c r="G2937" s="378" t="s">
        <v>4299</v>
      </c>
      <c r="H2937" s="20" t="s">
        <v>4300</v>
      </c>
      <c r="I2937" s="378">
        <v>0</v>
      </c>
      <c r="J2937" s="20" t="s">
        <v>2831</v>
      </c>
      <c r="K2937" s="378" t="s">
        <v>4301</v>
      </c>
      <c r="L2937" s="378" t="s">
        <v>2789</v>
      </c>
      <c r="M2937" s="380" t="s">
        <v>443</v>
      </c>
      <c r="N2937" s="380">
        <v>6.5</v>
      </c>
      <c r="O2937" s="380" t="s">
        <v>443</v>
      </c>
      <c r="P2937" s="380" t="s">
        <v>443</v>
      </c>
      <c r="Q2937" s="381">
        <v>2.5000000000000001E-3</v>
      </c>
      <c r="R2937" s="381">
        <v>0</v>
      </c>
      <c r="S2937" s="381">
        <v>0</v>
      </c>
      <c r="T2937" s="381">
        <v>0</v>
      </c>
      <c r="U2937" s="381">
        <v>0</v>
      </c>
      <c r="V2937" s="382">
        <v>2.5000000000000001E-3</v>
      </c>
      <c r="W2937" s="382">
        <v>0</v>
      </c>
      <c r="X2937" s="381">
        <v>3.8461538461538462E-4</v>
      </c>
      <c r="Y2937" s="381">
        <v>0</v>
      </c>
      <c r="Z2937" s="381">
        <v>0</v>
      </c>
      <c r="AA2937" s="381">
        <v>0</v>
      </c>
      <c r="AB2937" s="381">
        <v>0</v>
      </c>
      <c r="AC2937" s="382">
        <v>3.8461538461538462E-4</v>
      </c>
      <c r="AD2937" s="382">
        <v>0</v>
      </c>
      <c r="AE2937" s="381" t="s">
        <v>168</v>
      </c>
    </row>
    <row r="2938" spans="1:31" ht="15" customHeight="1" x14ac:dyDescent="0.25">
      <c r="A2938" s="20" t="s">
        <v>4246</v>
      </c>
      <c r="B2938" s="20"/>
      <c r="C2938" s="20" t="s">
        <v>3897</v>
      </c>
      <c r="D2938" s="378" t="s">
        <v>4306</v>
      </c>
      <c r="E2938" s="384">
        <v>44334</v>
      </c>
      <c r="F2938" s="384">
        <v>46160</v>
      </c>
      <c r="G2938" s="378" t="s">
        <v>4299</v>
      </c>
      <c r="H2938" s="20" t="s">
        <v>4300</v>
      </c>
      <c r="I2938" s="378">
        <v>0</v>
      </c>
      <c r="J2938" s="20" t="s">
        <v>2831</v>
      </c>
      <c r="K2938" s="378" t="s">
        <v>4301</v>
      </c>
      <c r="L2938" s="378" t="s">
        <v>2789</v>
      </c>
      <c r="M2938" s="380" t="s">
        <v>443</v>
      </c>
      <c r="N2938" s="380">
        <v>5</v>
      </c>
      <c r="O2938" s="380" t="s">
        <v>443</v>
      </c>
      <c r="P2938" s="380" t="s">
        <v>443</v>
      </c>
      <c r="Q2938" s="381">
        <v>1.54E-2</v>
      </c>
      <c r="R2938" s="381">
        <v>0</v>
      </c>
      <c r="S2938" s="381">
        <v>0</v>
      </c>
      <c r="T2938" s="381">
        <v>0</v>
      </c>
      <c r="U2938" s="381">
        <v>0</v>
      </c>
      <c r="V2938" s="382">
        <v>1.54E-2</v>
      </c>
      <c r="W2938" s="382">
        <v>0</v>
      </c>
      <c r="X2938" s="381">
        <v>3.0800000000000003E-3</v>
      </c>
      <c r="Y2938" s="381">
        <v>0</v>
      </c>
      <c r="Z2938" s="381">
        <v>0</v>
      </c>
      <c r="AA2938" s="381">
        <v>0</v>
      </c>
      <c r="AB2938" s="381">
        <v>0</v>
      </c>
      <c r="AC2938" s="382">
        <v>3.0800000000000003E-3</v>
      </c>
      <c r="AD2938" s="382">
        <v>0</v>
      </c>
      <c r="AE2938" s="381" t="s">
        <v>168</v>
      </c>
    </row>
    <row r="2939" spans="1:31" ht="15" customHeight="1" x14ac:dyDescent="0.25">
      <c r="A2939" s="20" t="s">
        <v>4246</v>
      </c>
      <c r="B2939" s="20"/>
      <c r="C2939" s="20" t="s">
        <v>3897</v>
      </c>
      <c r="D2939" s="378" t="s">
        <v>4307</v>
      </c>
      <c r="E2939" s="384">
        <v>44334</v>
      </c>
      <c r="F2939" s="384">
        <v>46160</v>
      </c>
      <c r="G2939" s="378" t="s">
        <v>4299</v>
      </c>
      <c r="H2939" s="20" t="s">
        <v>4300</v>
      </c>
      <c r="I2939" s="378">
        <v>0</v>
      </c>
      <c r="J2939" s="20" t="s">
        <v>2831</v>
      </c>
      <c r="K2939" s="378" t="s">
        <v>4301</v>
      </c>
      <c r="L2939" s="378" t="s">
        <v>2789</v>
      </c>
      <c r="M2939" s="380" t="s">
        <v>443</v>
      </c>
      <c r="N2939" s="380">
        <v>5</v>
      </c>
      <c r="O2939" s="380" t="s">
        <v>443</v>
      </c>
      <c r="P2939" s="380" t="s">
        <v>443</v>
      </c>
      <c r="Q2939" s="381">
        <v>1.5399999999999999E-3</v>
      </c>
      <c r="R2939" s="381">
        <v>0</v>
      </c>
      <c r="S2939" s="381">
        <v>0</v>
      </c>
      <c r="T2939" s="381">
        <v>0</v>
      </c>
      <c r="U2939" s="381">
        <v>0</v>
      </c>
      <c r="V2939" s="382">
        <v>1.5399999999999999E-3</v>
      </c>
      <c r="W2939" s="382">
        <v>0</v>
      </c>
      <c r="X2939" s="381">
        <v>3.0800000000000001E-4</v>
      </c>
      <c r="Y2939" s="381">
        <v>0</v>
      </c>
      <c r="Z2939" s="381">
        <v>0</v>
      </c>
      <c r="AA2939" s="381">
        <v>0</v>
      </c>
      <c r="AB2939" s="381">
        <v>0</v>
      </c>
      <c r="AC2939" s="382">
        <v>3.0800000000000001E-4</v>
      </c>
      <c r="AD2939" s="382">
        <v>0</v>
      </c>
      <c r="AE2939" s="381" t="s">
        <v>168</v>
      </c>
    </row>
    <row r="2940" spans="1:31" ht="15" customHeight="1" x14ac:dyDescent="0.25">
      <c r="A2940" s="20" t="s">
        <v>4246</v>
      </c>
      <c r="B2940" s="20"/>
      <c r="C2940" s="20" t="s">
        <v>3897</v>
      </c>
      <c r="D2940" s="378" t="s">
        <v>4308</v>
      </c>
      <c r="E2940" s="384">
        <v>43935</v>
      </c>
      <c r="F2940" s="384">
        <v>45754</v>
      </c>
      <c r="G2940" s="378" t="s">
        <v>3806</v>
      </c>
      <c r="H2940" s="20" t="s">
        <v>4309</v>
      </c>
      <c r="I2940" s="378">
        <v>0</v>
      </c>
      <c r="J2940" s="20" t="s">
        <v>2831</v>
      </c>
      <c r="K2940" s="378" t="s">
        <v>4310</v>
      </c>
      <c r="L2940" s="378" t="s">
        <v>2789</v>
      </c>
      <c r="M2940" s="380" t="s">
        <v>443</v>
      </c>
      <c r="N2940" s="380" t="s">
        <v>443</v>
      </c>
      <c r="O2940" s="380" t="s">
        <v>443</v>
      </c>
      <c r="P2940" s="380" t="s">
        <v>443</v>
      </c>
      <c r="Q2940" s="381">
        <v>1.71</v>
      </c>
      <c r="R2940" s="381">
        <v>0</v>
      </c>
      <c r="S2940" s="381">
        <v>0</v>
      </c>
      <c r="T2940" s="381">
        <v>0</v>
      </c>
      <c r="U2940" s="381">
        <v>0</v>
      </c>
      <c r="V2940" s="382">
        <v>1.71</v>
      </c>
      <c r="W2940" s="382">
        <v>0</v>
      </c>
      <c r="X2940" s="381" t="s">
        <v>443</v>
      </c>
      <c r="Y2940" s="381" t="s">
        <v>443</v>
      </c>
      <c r="Z2940" s="381" t="s">
        <v>443</v>
      </c>
      <c r="AA2940" s="381" t="s">
        <v>443</v>
      </c>
      <c r="AB2940" s="381" t="s">
        <v>443</v>
      </c>
      <c r="AC2940" s="382">
        <v>0</v>
      </c>
      <c r="AD2940" s="382">
        <v>0</v>
      </c>
      <c r="AE2940" s="381" t="s">
        <v>168</v>
      </c>
    </row>
    <row r="2941" spans="1:31" ht="15" customHeight="1" x14ac:dyDescent="0.25">
      <c r="A2941" s="20" t="s">
        <v>4246</v>
      </c>
      <c r="B2941" s="20"/>
      <c r="C2941" s="20" t="s">
        <v>3897</v>
      </c>
      <c r="D2941" s="378" t="s">
        <v>4311</v>
      </c>
      <c r="E2941" s="384">
        <v>44650</v>
      </c>
      <c r="F2941" s="384">
        <v>46443</v>
      </c>
      <c r="G2941" s="378" t="s">
        <v>2856</v>
      </c>
      <c r="H2941" s="20" t="s">
        <v>4312</v>
      </c>
      <c r="I2941" s="378">
        <v>0</v>
      </c>
      <c r="J2941" s="20" t="s">
        <v>2831</v>
      </c>
      <c r="K2941" s="378" t="s">
        <v>4313</v>
      </c>
      <c r="L2941" s="378" t="s">
        <v>2789</v>
      </c>
      <c r="M2941" s="380" t="s">
        <v>443</v>
      </c>
      <c r="N2941" s="380">
        <v>5.51</v>
      </c>
      <c r="O2941" s="380" t="s">
        <v>443</v>
      </c>
      <c r="P2941" s="380" t="s">
        <v>443</v>
      </c>
      <c r="Q2941" s="381">
        <v>3.41</v>
      </c>
      <c r="R2941" s="381">
        <v>0</v>
      </c>
      <c r="S2941" s="381">
        <v>0</v>
      </c>
      <c r="T2941" s="381">
        <v>0</v>
      </c>
      <c r="U2941" s="381">
        <v>0</v>
      </c>
      <c r="V2941" s="382">
        <v>3.41</v>
      </c>
      <c r="W2941" s="382">
        <v>0</v>
      </c>
      <c r="X2941" s="381">
        <v>0.61887477313974593</v>
      </c>
      <c r="Y2941" s="381">
        <v>0</v>
      </c>
      <c r="Z2941" s="381">
        <v>0</v>
      </c>
      <c r="AA2941" s="381">
        <v>0</v>
      </c>
      <c r="AB2941" s="381">
        <v>0</v>
      </c>
      <c r="AC2941" s="382">
        <v>0.61887477313974593</v>
      </c>
      <c r="AD2941" s="382">
        <v>0</v>
      </c>
      <c r="AE2941" s="381" t="s">
        <v>168</v>
      </c>
    </row>
    <row r="2942" spans="1:31" ht="15" customHeight="1" x14ac:dyDescent="0.25">
      <c r="A2942" s="20" t="s">
        <v>4246</v>
      </c>
      <c r="B2942" s="20"/>
      <c r="C2942" s="20" t="s">
        <v>3897</v>
      </c>
      <c r="D2942" s="378" t="s">
        <v>4314</v>
      </c>
      <c r="E2942" s="384">
        <v>44650</v>
      </c>
      <c r="F2942" s="384">
        <v>46443</v>
      </c>
      <c r="G2942" s="378" t="s">
        <v>2856</v>
      </c>
      <c r="H2942" s="20" t="s">
        <v>4312</v>
      </c>
      <c r="I2942" s="378">
        <v>0</v>
      </c>
      <c r="J2942" s="20" t="s">
        <v>2831</v>
      </c>
      <c r="K2942" s="378" t="s">
        <v>4313</v>
      </c>
      <c r="L2942" s="378" t="s">
        <v>2789</v>
      </c>
      <c r="M2942" s="380" t="s">
        <v>443</v>
      </c>
      <c r="N2942" s="380">
        <v>5.51</v>
      </c>
      <c r="O2942" s="380" t="s">
        <v>443</v>
      </c>
      <c r="P2942" s="380" t="s">
        <v>443</v>
      </c>
      <c r="Q2942" s="381">
        <v>3.55</v>
      </c>
      <c r="R2942" s="381">
        <v>0</v>
      </c>
      <c r="S2942" s="381">
        <v>0</v>
      </c>
      <c r="T2942" s="381">
        <v>0</v>
      </c>
      <c r="U2942" s="381">
        <v>0</v>
      </c>
      <c r="V2942" s="382">
        <v>3.55</v>
      </c>
      <c r="W2942" s="382">
        <v>0</v>
      </c>
      <c r="X2942" s="381">
        <v>0.64428312159709622</v>
      </c>
      <c r="Y2942" s="381">
        <v>0</v>
      </c>
      <c r="Z2942" s="381">
        <v>0</v>
      </c>
      <c r="AA2942" s="381">
        <v>0</v>
      </c>
      <c r="AB2942" s="381">
        <v>0</v>
      </c>
      <c r="AC2942" s="382">
        <v>0.64428312159709622</v>
      </c>
      <c r="AD2942" s="382">
        <v>0</v>
      </c>
      <c r="AE2942" s="381" t="s">
        <v>168</v>
      </c>
    </row>
    <row r="2943" spans="1:31" ht="15" customHeight="1" x14ac:dyDescent="0.25">
      <c r="A2943" s="20" t="s">
        <v>4246</v>
      </c>
      <c r="B2943" s="20"/>
      <c r="C2943" s="20" t="s">
        <v>3897</v>
      </c>
      <c r="D2943" s="378" t="s">
        <v>4315</v>
      </c>
      <c r="E2943" s="384">
        <v>44650</v>
      </c>
      <c r="F2943" s="384">
        <v>46443</v>
      </c>
      <c r="G2943" s="378" t="s">
        <v>2856</v>
      </c>
      <c r="H2943" s="20" t="s">
        <v>4312</v>
      </c>
      <c r="I2943" s="378">
        <v>0</v>
      </c>
      <c r="J2943" s="20" t="s">
        <v>2831</v>
      </c>
      <c r="K2943" s="378" t="s">
        <v>4313</v>
      </c>
      <c r="L2943" s="378" t="s">
        <v>2789</v>
      </c>
      <c r="M2943" s="380" t="s">
        <v>443</v>
      </c>
      <c r="N2943" s="380">
        <v>5.51</v>
      </c>
      <c r="O2943" s="380" t="s">
        <v>443</v>
      </c>
      <c r="P2943" s="380" t="s">
        <v>443</v>
      </c>
      <c r="Q2943" s="381">
        <v>2.81</v>
      </c>
      <c r="R2943" s="381">
        <v>0</v>
      </c>
      <c r="S2943" s="381">
        <v>0</v>
      </c>
      <c r="T2943" s="381">
        <v>0</v>
      </c>
      <c r="U2943" s="381">
        <v>0</v>
      </c>
      <c r="V2943" s="382">
        <v>2.81</v>
      </c>
      <c r="W2943" s="382">
        <v>0</v>
      </c>
      <c r="X2943" s="381">
        <v>0.50998185117967332</v>
      </c>
      <c r="Y2943" s="381">
        <v>0</v>
      </c>
      <c r="Z2943" s="381">
        <v>0</v>
      </c>
      <c r="AA2943" s="381">
        <v>0</v>
      </c>
      <c r="AB2943" s="381">
        <v>0</v>
      </c>
      <c r="AC2943" s="382">
        <v>0.50998185117967332</v>
      </c>
      <c r="AD2943" s="382">
        <v>0</v>
      </c>
      <c r="AE2943" s="381" t="s">
        <v>168</v>
      </c>
    </row>
    <row r="2944" spans="1:31" ht="15" customHeight="1" x14ac:dyDescent="0.25">
      <c r="A2944" s="20" t="s">
        <v>4246</v>
      </c>
      <c r="B2944" s="20"/>
      <c r="C2944" s="20" t="s">
        <v>3897</v>
      </c>
      <c r="D2944" s="378" t="s">
        <v>4316</v>
      </c>
      <c r="E2944" s="384">
        <v>44650</v>
      </c>
      <c r="F2944" s="384">
        <v>46443</v>
      </c>
      <c r="G2944" s="378" t="s">
        <v>2856</v>
      </c>
      <c r="H2944" s="20" t="s">
        <v>4312</v>
      </c>
      <c r="I2944" s="378">
        <v>0</v>
      </c>
      <c r="J2944" s="20" t="s">
        <v>2831</v>
      </c>
      <c r="K2944" s="378" t="s">
        <v>4313</v>
      </c>
      <c r="L2944" s="378" t="s">
        <v>2789</v>
      </c>
      <c r="M2944" s="380" t="s">
        <v>443</v>
      </c>
      <c r="N2944" s="380">
        <v>5.51</v>
      </c>
      <c r="O2944" s="380" t="s">
        <v>443</v>
      </c>
      <c r="P2944" s="380" t="s">
        <v>443</v>
      </c>
      <c r="Q2944" s="381">
        <v>2.4</v>
      </c>
      <c r="R2944" s="381">
        <v>0</v>
      </c>
      <c r="S2944" s="381">
        <v>0</v>
      </c>
      <c r="T2944" s="381">
        <v>0</v>
      </c>
      <c r="U2944" s="381">
        <v>0</v>
      </c>
      <c r="V2944" s="382">
        <v>2.4</v>
      </c>
      <c r="W2944" s="382">
        <v>0</v>
      </c>
      <c r="X2944" s="381">
        <v>0.43557168784029038</v>
      </c>
      <c r="Y2944" s="381">
        <v>0</v>
      </c>
      <c r="Z2944" s="381">
        <v>0</v>
      </c>
      <c r="AA2944" s="381">
        <v>0</v>
      </c>
      <c r="AB2944" s="381">
        <v>0</v>
      </c>
      <c r="AC2944" s="382">
        <v>0.43557168784029038</v>
      </c>
      <c r="AD2944" s="382">
        <v>0</v>
      </c>
      <c r="AE2944" s="381" t="s">
        <v>168</v>
      </c>
    </row>
    <row r="2945" spans="1:31" ht="15" customHeight="1" x14ac:dyDescent="0.25">
      <c r="A2945" s="20" t="s">
        <v>4246</v>
      </c>
      <c r="B2945" s="20"/>
      <c r="C2945" s="20" t="s">
        <v>3897</v>
      </c>
      <c r="D2945" s="378" t="s">
        <v>4317</v>
      </c>
      <c r="E2945" s="384">
        <v>44650</v>
      </c>
      <c r="F2945" s="384">
        <v>46443</v>
      </c>
      <c r="G2945" s="378" t="s">
        <v>2856</v>
      </c>
      <c r="H2945" s="20" t="s">
        <v>4312</v>
      </c>
      <c r="I2945" s="378">
        <v>0</v>
      </c>
      <c r="J2945" s="20" t="s">
        <v>2831</v>
      </c>
      <c r="K2945" s="378" t="s">
        <v>4313</v>
      </c>
      <c r="L2945" s="378" t="s">
        <v>2789</v>
      </c>
      <c r="M2945" s="380" t="s">
        <v>443</v>
      </c>
      <c r="N2945" s="380">
        <v>5.51</v>
      </c>
      <c r="O2945" s="380" t="s">
        <v>443</v>
      </c>
      <c r="P2945" s="380" t="s">
        <v>443</v>
      </c>
      <c r="Q2945" s="381">
        <v>3.9</v>
      </c>
      <c r="R2945" s="381">
        <v>0</v>
      </c>
      <c r="S2945" s="381">
        <v>0</v>
      </c>
      <c r="T2945" s="381">
        <v>0</v>
      </c>
      <c r="U2945" s="381">
        <v>0</v>
      </c>
      <c r="V2945" s="382">
        <v>3.9</v>
      </c>
      <c r="W2945" s="382">
        <v>0</v>
      </c>
      <c r="X2945" s="381">
        <v>0.7078039927404719</v>
      </c>
      <c r="Y2945" s="381">
        <v>0</v>
      </c>
      <c r="Z2945" s="381">
        <v>0</v>
      </c>
      <c r="AA2945" s="381">
        <v>0</v>
      </c>
      <c r="AB2945" s="381">
        <v>0</v>
      </c>
      <c r="AC2945" s="382">
        <v>0.7078039927404719</v>
      </c>
      <c r="AD2945" s="382">
        <v>0</v>
      </c>
      <c r="AE2945" s="381" t="s">
        <v>168</v>
      </c>
    </row>
    <row r="2946" spans="1:31" ht="15" customHeight="1" x14ac:dyDescent="0.25">
      <c r="A2946" s="20" t="s">
        <v>4246</v>
      </c>
      <c r="B2946" s="20"/>
      <c r="C2946" s="20" t="s">
        <v>3897</v>
      </c>
      <c r="D2946" s="378" t="s">
        <v>4318</v>
      </c>
      <c r="E2946" s="384">
        <v>44650</v>
      </c>
      <c r="F2946" s="384">
        <v>46443</v>
      </c>
      <c r="G2946" s="378" t="s">
        <v>2856</v>
      </c>
      <c r="H2946" s="20" t="s">
        <v>4312</v>
      </c>
      <c r="I2946" s="378">
        <v>0</v>
      </c>
      <c r="J2946" s="20" t="s">
        <v>2831</v>
      </c>
      <c r="K2946" s="378" t="s">
        <v>4313</v>
      </c>
      <c r="L2946" s="378" t="s">
        <v>2789</v>
      </c>
      <c r="M2946" s="380" t="s">
        <v>443</v>
      </c>
      <c r="N2946" s="380">
        <v>5.51</v>
      </c>
      <c r="O2946" s="380" t="s">
        <v>443</v>
      </c>
      <c r="P2946" s="380" t="s">
        <v>443</v>
      </c>
      <c r="Q2946" s="381">
        <v>2.81</v>
      </c>
      <c r="R2946" s="381">
        <v>0</v>
      </c>
      <c r="S2946" s="381">
        <v>0</v>
      </c>
      <c r="T2946" s="381">
        <v>0</v>
      </c>
      <c r="U2946" s="381">
        <v>0</v>
      </c>
      <c r="V2946" s="382">
        <v>2.81</v>
      </c>
      <c r="W2946" s="382">
        <v>0</v>
      </c>
      <c r="X2946" s="381">
        <v>0.50998185117967332</v>
      </c>
      <c r="Y2946" s="381">
        <v>0</v>
      </c>
      <c r="Z2946" s="381">
        <v>0</v>
      </c>
      <c r="AA2946" s="381">
        <v>0</v>
      </c>
      <c r="AB2946" s="381">
        <v>0</v>
      </c>
      <c r="AC2946" s="382">
        <v>0.50998185117967332</v>
      </c>
      <c r="AD2946" s="382">
        <v>0</v>
      </c>
      <c r="AE2946" s="381" t="s">
        <v>168</v>
      </c>
    </row>
    <row r="2947" spans="1:31" ht="15" customHeight="1" x14ac:dyDescent="0.25">
      <c r="A2947" s="20" t="s">
        <v>4246</v>
      </c>
      <c r="B2947" s="20"/>
      <c r="C2947" s="20" t="s">
        <v>3897</v>
      </c>
      <c r="D2947" s="378" t="s">
        <v>4319</v>
      </c>
      <c r="E2947" s="384">
        <v>44650</v>
      </c>
      <c r="F2947" s="384">
        <v>46443</v>
      </c>
      <c r="G2947" s="378" t="s">
        <v>2856</v>
      </c>
      <c r="H2947" s="20" t="s">
        <v>4312</v>
      </c>
      <c r="I2947" s="378">
        <v>0</v>
      </c>
      <c r="J2947" s="20" t="s">
        <v>2831</v>
      </c>
      <c r="K2947" s="378" t="s">
        <v>4313</v>
      </c>
      <c r="L2947" s="378" t="s">
        <v>2789</v>
      </c>
      <c r="M2947" s="380" t="s">
        <v>443</v>
      </c>
      <c r="N2947" s="380">
        <v>5.51</v>
      </c>
      <c r="O2947" s="380" t="s">
        <v>443</v>
      </c>
      <c r="P2947" s="380" t="s">
        <v>443</v>
      </c>
      <c r="Q2947" s="381">
        <v>2.4</v>
      </c>
      <c r="R2947" s="381">
        <v>0</v>
      </c>
      <c r="S2947" s="381">
        <v>0</v>
      </c>
      <c r="T2947" s="381">
        <v>0</v>
      </c>
      <c r="U2947" s="381">
        <v>0</v>
      </c>
      <c r="V2947" s="382">
        <v>2.4</v>
      </c>
      <c r="W2947" s="382">
        <v>0</v>
      </c>
      <c r="X2947" s="381">
        <v>0.43557168784029038</v>
      </c>
      <c r="Y2947" s="381">
        <v>0</v>
      </c>
      <c r="Z2947" s="381">
        <v>0</v>
      </c>
      <c r="AA2947" s="381">
        <v>0</v>
      </c>
      <c r="AB2947" s="381">
        <v>0</v>
      </c>
      <c r="AC2947" s="382">
        <v>0.43557168784029038</v>
      </c>
      <c r="AD2947" s="382">
        <v>0</v>
      </c>
      <c r="AE2947" s="381" t="s">
        <v>168</v>
      </c>
    </row>
    <row r="2948" spans="1:31" ht="15" customHeight="1" x14ac:dyDescent="0.25">
      <c r="A2948" s="20" t="s">
        <v>4246</v>
      </c>
      <c r="B2948" s="20"/>
      <c r="C2948" s="20" t="s">
        <v>3897</v>
      </c>
      <c r="D2948" s="378" t="s">
        <v>4320</v>
      </c>
      <c r="E2948" s="384">
        <v>45016</v>
      </c>
      <c r="F2948" s="384">
        <v>46840</v>
      </c>
      <c r="G2948" s="378" t="s">
        <v>2837</v>
      </c>
      <c r="H2948" s="20" t="s">
        <v>4321</v>
      </c>
      <c r="I2948" s="378">
        <v>0</v>
      </c>
      <c r="J2948" s="20" t="s">
        <v>2831</v>
      </c>
      <c r="K2948" s="378" t="s">
        <v>4322</v>
      </c>
      <c r="L2948" s="378" t="s">
        <v>2789</v>
      </c>
      <c r="M2948" s="380" t="s">
        <v>443</v>
      </c>
      <c r="N2948" s="380" t="s">
        <v>443</v>
      </c>
      <c r="O2948" s="380" t="s">
        <v>443</v>
      </c>
      <c r="P2948" s="380" t="s">
        <v>443</v>
      </c>
      <c r="Q2948" s="381">
        <v>6.34</v>
      </c>
      <c r="R2948" s="381">
        <v>6.32</v>
      </c>
      <c r="S2948" s="381">
        <v>4.2199999999999998E-3</v>
      </c>
      <c r="T2948" s="381">
        <v>1.4999999999999999E-2</v>
      </c>
      <c r="U2948" s="381">
        <v>0</v>
      </c>
      <c r="V2948" s="382">
        <v>6.3392200000000001</v>
      </c>
      <c r="W2948" s="382">
        <v>0</v>
      </c>
      <c r="X2948" s="381" t="s">
        <v>443</v>
      </c>
      <c r="Y2948" s="381" t="s">
        <v>443</v>
      </c>
      <c r="Z2948" s="381" t="s">
        <v>443</v>
      </c>
      <c r="AA2948" s="381" t="s">
        <v>443</v>
      </c>
      <c r="AB2948" s="381" t="s">
        <v>443</v>
      </c>
      <c r="AC2948" s="382">
        <v>0</v>
      </c>
      <c r="AD2948" s="382">
        <v>0</v>
      </c>
      <c r="AE2948" s="381" t="s">
        <v>168</v>
      </c>
    </row>
    <row r="2949" spans="1:31" ht="15" customHeight="1" x14ac:dyDescent="0.25">
      <c r="A2949" s="20" t="s">
        <v>4246</v>
      </c>
      <c r="B2949" s="20"/>
      <c r="C2949" s="20" t="s">
        <v>3897</v>
      </c>
      <c r="D2949" s="378" t="s">
        <v>4323</v>
      </c>
      <c r="E2949" s="384">
        <v>45016</v>
      </c>
      <c r="F2949" s="384">
        <v>46840</v>
      </c>
      <c r="G2949" s="378" t="s">
        <v>2837</v>
      </c>
      <c r="H2949" s="20" t="s">
        <v>4321</v>
      </c>
      <c r="I2949" s="378">
        <v>0</v>
      </c>
      <c r="J2949" s="20" t="s">
        <v>2831</v>
      </c>
      <c r="K2949" s="378" t="s">
        <v>4322</v>
      </c>
      <c r="L2949" s="378" t="s">
        <v>2789</v>
      </c>
      <c r="M2949" s="380" t="s">
        <v>443</v>
      </c>
      <c r="N2949" s="380" t="s">
        <v>443</v>
      </c>
      <c r="O2949" s="380" t="s">
        <v>443</v>
      </c>
      <c r="P2949" s="380" t="s">
        <v>443</v>
      </c>
      <c r="Q2949" s="381">
        <v>3.52</v>
      </c>
      <c r="R2949" s="381">
        <v>3.51</v>
      </c>
      <c r="S2949" s="381">
        <v>2.99E-3</v>
      </c>
      <c r="T2949" s="381">
        <v>0</v>
      </c>
      <c r="U2949" s="381">
        <v>0</v>
      </c>
      <c r="V2949" s="382">
        <v>3.5129899999999998</v>
      </c>
      <c r="W2949" s="382">
        <v>0</v>
      </c>
      <c r="X2949" s="381" t="s">
        <v>443</v>
      </c>
      <c r="Y2949" s="381" t="s">
        <v>443</v>
      </c>
      <c r="Z2949" s="381" t="s">
        <v>443</v>
      </c>
      <c r="AA2949" s="381" t="s">
        <v>443</v>
      </c>
      <c r="AB2949" s="381" t="s">
        <v>443</v>
      </c>
      <c r="AC2949" s="382">
        <v>0</v>
      </c>
      <c r="AD2949" s="382">
        <v>0</v>
      </c>
      <c r="AE2949" s="381" t="s">
        <v>168</v>
      </c>
    </row>
    <row r="2950" spans="1:31" ht="15" customHeight="1" x14ac:dyDescent="0.25">
      <c r="A2950" s="20" t="s">
        <v>4324</v>
      </c>
      <c r="B2950" s="20" t="s">
        <v>4325</v>
      </c>
      <c r="C2950" s="20" t="s">
        <v>3897</v>
      </c>
      <c r="D2950" s="378" t="s">
        <v>4326</v>
      </c>
      <c r="E2950" s="384">
        <v>45184</v>
      </c>
      <c r="F2950" s="384">
        <v>47011</v>
      </c>
      <c r="G2950" s="378" t="s">
        <v>2837</v>
      </c>
      <c r="H2950" s="20" t="s">
        <v>4327</v>
      </c>
      <c r="I2950" s="378">
        <v>0</v>
      </c>
      <c r="J2950" s="20" t="s">
        <v>2831</v>
      </c>
      <c r="K2950" s="378" t="s">
        <v>4328</v>
      </c>
      <c r="L2950" s="378" t="s">
        <v>2789</v>
      </c>
      <c r="M2950" s="380" t="s">
        <v>443</v>
      </c>
      <c r="N2950" s="380">
        <v>36.08</v>
      </c>
      <c r="O2950" s="380" t="s">
        <v>443</v>
      </c>
      <c r="P2950" s="380" t="s">
        <v>443</v>
      </c>
      <c r="Q2950" s="381">
        <v>32.6</v>
      </c>
      <c r="R2950" s="381">
        <v>56.7</v>
      </c>
      <c r="S2950" s="381">
        <v>-25.8</v>
      </c>
      <c r="T2950" s="381">
        <v>1.56</v>
      </c>
      <c r="U2950" s="381">
        <v>16.6496</v>
      </c>
      <c r="V2950" s="382">
        <v>58.260000000000005</v>
      </c>
      <c r="W2950" s="382">
        <v>16.6496</v>
      </c>
      <c r="X2950" s="381">
        <v>0.90354767184035489</v>
      </c>
      <c r="Y2950" s="381">
        <v>1.571507760532151</v>
      </c>
      <c r="Z2950" s="381">
        <v>-0.71507760532150777</v>
      </c>
      <c r="AA2950" s="381">
        <v>4.3237250554323731E-2</v>
      </c>
      <c r="AB2950" s="381">
        <v>0.46146341463414636</v>
      </c>
      <c r="AC2950" s="382">
        <v>1.6147450110864747</v>
      </c>
      <c r="AD2950" s="382">
        <v>0.46146341463414636</v>
      </c>
      <c r="AE2950" s="381" t="s">
        <v>168</v>
      </c>
    </row>
    <row r="2951" spans="1:31" ht="15" customHeight="1" x14ac:dyDescent="0.25">
      <c r="A2951" s="20" t="s">
        <v>4324</v>
      </c>
      <c r="B2951" s="20" t="s">
        <v>4329</v>
      </c>
      <c r="C2951" s="20" t="s">
        <v>3897</v>
      </c>
      <c r="D2951" s="378" t="s">
        <v>4330</v>
      </c>
      <c r="E2951" s="384">
        <v>44753</v>
      </c>
      <c r="F2951" s="384">
        <v>46579</v>
      </c>
      <c r="G2951" s="378" t="s">
        <v>4331</v>
      </c>
      <c r="H2951" s="20" t="s">
        <v>4332</v>
      </c>
      <c r="I2951" s="378">
        <v>0</v>
      </c>
      <c r="J2951" s="20" t="s">
        <v>2831</v>
      </c>
      <c r="K2951" s="378" t="s">
        <v>4333</v>
      </c>
      <c r="L2951" s="378" t="s">
        <v>2789</v>
      </c>
      <c r="M2951" s="380" t="s">
        <v>443</v>
      </c>
      <c r="N2951" s="380">
        <v>43.345000000000006</v>
      </c>
      <c r="O2951" s="380" t="s">
        <v>443</v>
      </c>
      <c r="P2951" s="380" t="s">
        <v>443</v>
      </c>
      <c r="Q2951" s="381">
        <v>281</v>
      </c>
      <c r="R2951" s="381">
        <v>285</v>
      </c>
      <c r="S2951" s="381">
        <v>-2.5899999999999999E-2</v>
      </c>
      <c r="T2951" s="381">
        <v>6.8000000000000005E-4</v>
      </c>
      <c r="U2951" s="381">
        <v>0</v>
      </c>
      <c r="V2951" s="382">
        <v>285.00067999999999</v>
      </c>
      <c r="W2951" s="382">
        <v>0</v>
      </c>
      <c r="X2951" s="381">
        <v>6.4828699965393923</v>
      </c>
      <c r="Y2951" s="381">
        <v>6.5751528434652196</v>
      </c>
      <c r="Z2951" s="381">
        <v>-5.97531433844734E-4</v>
      </c>
      <c r="AA2951" s="381">
        <v>1.5688083977390701E-5</v>
      </c>
      <c r="AB2951" s="381">
        <v>0</v>
      </c>
      <c r="AC2951" s="382">
        <v>6.5751685315491972</v>
      </c>
      <c r="AD2951" s="382">
        <v>0</v>
      </c>
      <c r="AE2951" s="381" t="s">
        <v>168</v>
      </c>
    </row>
    <row r="2952" spans="1:31" ht="15" customHeight="1" x14ac:dyDescent="0.25">
      <c r="A2952" s="20" t="s">
        <v>4324</v>
      </c>
      <c r="B2952" s="20" t="s">
        <v>4329</v>
      </c>
      <c r="C2952" s="20" t="s">
        <v>3897</v>
      </c>
      <c r="D2952" s="378" t="s">
        <v>4334</v>
      </c>
      <c r="E2952" s="384">
        <v>44571</v>
      </c>
      <c r="F2952" s="384">
        <v>46397</v>
      </c>
      <c r="G2952" s="378" t="s">
        <v>2837</v>
      </c>
      <c r="H2952" s="20" t="s">
        <v>4335</v>
      </c>
      <c r="I2952" s="378">
        <v>0</v>
      </c>
      <c r="J2952" s="20" t="s">
        <v>2831</v>
      </c>
      <c r="K2952" s="378" t="s">
        <v>4336</v>
      </c>
      <c r="L2952" s="378" t="s">
        <v>2789</v>
      </c>
      <c r="M2952" s="380" t="s">
        <v>443</v>
      </c>
      <c r="N2952" s="380">
        <v>51.005434782608695</v>
      </c>
      <c r="O2952" s="380" t="s">
        <v>443</v>
      </c>
      <c r="P2952" s="380" t="s">
        <v>443</v>
      </c>
      <c r="Q2952" s="381">
        <v>165</v>
      </c>
      <c r="R2952" s="381">
        <v>164</v>
      </c>
      <c r="S2952" s="381">
        <v>0.76700000000000002</v>
      </c>
      <c r="T2952" s="381">
        <v>0.67100000000000004</v>
      </c>
      <c r="U2952" s="381">
        <v>0</v>
      </c>
      <c r="V2952" s="382">
        <v>165.43799999999999</v>
      </c>
      <c r="W2952" s="382">
        <v>0</v>
      </c>
      <c r="X2952" s="381">
        <v>3.2349493873201918</v>
      </c>
      <c r="Y2952" s="381">
        <v>3.2153436334576453</v>
      </c>
      <c r="Z2952" s="381">
        <v>1.5037613212573256E-2</v>
      </c>
      <c r="AA2952" s="381">
        <v>1.315546084176878E-2</v>
      </c>
      <c r="AB2952" s="381">
        <v>0</v>
      </c>
      <c r="AC2952" s="382">
        <v>3.2435367075119874</v>
      </c>
      <c r="AD2952" s="382">
        <v>0</v>
      </c>
      <c r="AE2952" s="381" t="s">
        <v>168</v>
      </c>
    </row>
    <row r="2953" spans="1:31" ht="15" customHeight="1" x14ac:dyDescent="0.25">
      <c r="A2953" s="20" t="s">
        <v>4324</v>
      </c>
      <c r="B2953" s="20" t="s">
        <v>4329</v>
      </c>
      <c r="C2953" s="20" t="s">
        <v>3897</v>
      </c>
      <c r="D2953" s="378" t="s">
        <v>4337</v>
      </c>
      <c r="E2953" s="384">
        <v>44034</v>
      </c>
      <c r="F2953" s="384">
        <v>45860</v>
      </c>
      <c r="G2953" s="378" t="s">
        <v>2837</v>
      </c>
      <c r="H2953" s="20" t="s">
        <v>4338</v>
      </c>
      <c r="I2953" s="378">
        <v>0</v>
      </c>
      <c r="J2953" s="20" t="s">
        <v>2831</v>
      </c>
      <c r="K2953" s="378" t="s">
        <v>4339</v>
      </c>
      <c r="L2953" s="378" t="s">
        <v>2789</v>
      </c>
      <c r="M2953" s="380" t="s">
        <v>443</v>
      </c>
      <c r="N2953" s="380">
        <v>48.8</v>
      </c>
      <c r="O2953" s="380" t="s">
        <v>443</v>
      </c>
      <c r="P2953" s="380" t="s">
        <v>443</v>
      </c>
      <c r="Q2953" s="381">
        <v>117</v>
      </c>
      <c r="R2953" s="381">
        <v>117</v>
      </c>
      <c r="S2953" s="381">
        <v>0.112</v>
      </c>
      <c r="T2953" s="381">
        <v>0.14599999999999999</v>
      </c>
      <c r="U2953" s="381">
        <v>0</v>
      </c>
      <c r="V2953" s="382">
        <v>117.258</v>
      </c>
      <c r="W2953" s="382">
        <v>0</v>
      </c>
      <c r="X2953" s="381">
        <v>2.3975409836065573</v>
      </c>
      <c r="Y2953" s="381">
        <v>2.3975409836065573</v>
      </c>
      <c r="Z2953" s="381">
        <v>2.2950819672131148E-3</v>
      </c>
      <c r="AA2953" s="381">
        <v>2.9918032786885244E-3</v>
      </c>
      <c r="AB2953" s="381">
        <v>0</v>
      </c>
      <c r="AC2953" s="382">
        <v>2.4028278688524591</v>
      </c>
      <c r="AD2953" s="382">
        <v>0</v>
      </c>
      <c r="AE2953" s="381" t="s">
        <v>168</v>
      </c>
    </row>
    <row r="2954" spans="1:31" ht="15" customHeight="1" x14ac:dyDescent="0.25">
      <c r="A2954" s="20" t="s">
        <v>4324</v>
      </c>
      <c r="B2954" s="20" t="s">
        <v>4329</v>
      </c>
      <c r="C2954" s="20" t="s">
        <v>3897</v>
      </c>
      <c r="D2954" s="378" t="s">
        <v>4340</v>
      </c>
      <c r="E2954" s="384">
        <v>44571</v>
      </c>
      <c r="F2954" s="384">
        <v>46397</v>
      </c>
      <c r="G2954" s="378" t="s">
        <v>2837</v>
      </c>
      <c r="H2954" s="20" t="s">
        <v>4335</v>
      </c>
      <c r="I2954" s="378">
        <v>0</v>
      </c>
      <c r="J2954" s="20" t="s">
        <v>2831</v>
      </c>
      <c r="K2954" s="378" t="s">
        <v>4336</v>
      </c>
      <c r="L2954" s="378" t="s">
        <v>2789</v>
      </c>
      <c r="M2954" s="380" t="s">
        <v>443</v>
      </c>
      <c r="N2954" s="380">
        <v>34.815217391304344</v>
      </c>
      <c r="O2954" s="380" t="s">
        <v>443</v>
      </c>
      <c r="P2954" s="380" t="s">
        <v>443</v>
      </c>
      <c r="Q2954" s="381">
        <v>117</v>
      </c>
      <c r="R2954" s="381">
        <v>116</v>
      </c>
      <c r="S2954" s="381">
        <v>0.70199999999999996</v>
      </c>
      <c r="T2954" s="381">
        <v>0.53200000000000003</v>
      </c>
      <c r="U2954" s="381">
        <v>0</v>
      </c>
      <c r="V2954" s="382">
        <v>117.23399999999999</v>
      </c>
      <c r="W2954" s="382">
        <v>0</v>
      </c>
      <c r="X2954" s="381">
        <v>3.36059943802685</v>
      </c>
      <c r="Y2954" s="381">
        <v>3.3318763659069628</v>
      </c>
      <c r="Z2954" s="381">
        <v>2.0163596628161098E-2</v>
      </c>
      <c r="AA2954" s="381">
        <v>1.5280674367780208E-2</v>
      </c>
      <c r="AB2954" s="381">
        <v>0</v>
      </c>
      <c r="AC2954" s="382">
        <v>3.3673206369029041</v>
      </c>
      <c r="AD2954" s="382">
        <v>0</v>
      </c>
      <c r="AE2954" s="381" t="s">
        <v>168</v>
      </c>
    </row>
    <row r="2955" spans="1:31" ht="15" customHeight="1" x14ac:dyDescent="0.25">
      <c r="A2955" s="20" t="s">
        <v>4324</v>
      </c>
      <c r="B2955" s="20" t="s">
        <v>4329</v>
      </c>
      <c r="C2955" s="20" t="s">
        <v>3897</v>
      </c>
      <c r="D2955" s="378" t="s">
        <v>4341</v>
      </c>
      <c r="E2955" s="384">
        <v>44571</v>
      </c>
      <c r="F2955" s="384">
        <v>46397</v>
      </c>
      <c r="G2955" s="378" t="s">
        <v>2837</v>
      </c>
      <c r="H2955" s="20" t="s">
        <v>4335</v>
      </c>
      <c r="I2955" s="378">
        <v>0</v>
      </c>
      <c r="J2955" s="20" t="s">
        <v>2831</v>
      </c>
      <c r="K2955" s="378" t="s">
        <v>4336</v>
      </c>
      <c r="L2955" s="378" t="s">
        <v>2789</v>
      </c>
      <c r="M2955" s="380" t="s">
        <v>443</v>
      </c>
      <c r="N2955" s="380">
        <v>51.364130434782609</v>
      </c>
      <c r="O2955" s="380" t="s">
        <v>443</v>
      </c>
      <c r="P2955" s="380" t="s">
        <v>443</v>
      </c>
      <c r="Q2955" s="381">
        <v>135</v>
      </c>
      <c r="R2955" s="381">
        <v>134</v>
      </c>
      <c r="S2955" s="381">
        <v>0.71499999999999997</v>
      </c>
      <c r="T2955" s="381">
        <v>0.50800000000000001</v>
      </c>
      <c r="U2955" s="381">
        <v>0</v>
      </c>
      <c r="V2955" s="382">
        <v>135.22300000000001</v>
      </c>
      <c r="W2955" s="382">
        <v>0</v>
      </c>
      <c r="X2955" s="381">
        <v>2.6282933022960533</v>
      </c>
      <c r="Y2955" s="381">
        <v>2.6088244630197863</v>
      </c>
      <c r="Z2955" s="381">
        <v>1.3920220082530948E-2</v>
      </c>
      <c r="AA2955" s="381">
        <v>9.8901703523436666E-3</v>
      </c>
      <c r="AB2955" s="381">
        <v>0</v>
      </c>
      <c r="AC2955" s="382">
        <v>2.6326348534546611</v>
      </c>
      <c r="AD2955" s="382">
        <v>0</v>
      </c>
      <c r="AE2955" s="381" t="s">
        <v>168</v>
      </c>
    </row>
    <row r="2956" spans="1:31" ht="15" customHeight="1" x14ac:dyDescent="0.25">
      <c r="A2956" s="20" t="s">
        <v>4324</v>
      </c>
      <c r="B2956" s="20" t="s">
        <v>4329</v>
      </c>
      <c r="C2956" s="20" t="s">
        <v>3897</v>
      </c>
      <c r="D2956" s="378" t="s">
        <v>4342</v>
      </c>
      <c r="E2956" s="384">
        <v>45005</v>
      </c>
      <c r="F2956" s="384">
        <v>46831</v>
      </c>
      <c r="G2956" s="378" t="s">
        <v>2837</v>
      </c>
      <c r="H2956" s="20" t="s">
        <v>4343</v>
      </c>
      <c r="I2956" s="378">
        <v>0</v>
      </c>
      <c r="J2956" s="20" t="s">
        <v>2831</v>
      </c>
      <c r="K2956" s="378" t="s">
        <v>4344</v>
      </c>
      <c r="L2956" s="378" t="s">
        <v>2789</v>
      </c>
      <c r="M2956" s="380" t="s">
        <v>443</v>
      </c>
      <c r="N2956" s="380">
        <v>40.020000000000003</v>
      </c>
      <c r="O2956" s="380" t="s">
        <v>443</v>
      </c>
      <c r="P2956" s="380" t="s">
        <v>443</v>
      </c>
      <c r="Q2956" s="381">
        <v>46.1</v>
      </c>
      <c r="R2956" s="381">
        <v>63.2</v>
      </c>
      <c r="S2956" s="381">
        <v>-17.2</v>
      </c>
      <c r="T2956" s="381">
        <v>5.6099999999999997E-2</v>
      </c>
      <c r="U2956" s="381">
        <v>30.8</v>
      </c>
      <c r="V2956" s="382">
        <v>76.856099999999998</v>
      </c>
      <c r="W2956" s="382">
        <v>30.8</v>
      </c>
      <c r="X2956" s="381">
        <v>1.1519240379810094</v>
      </c>
      <c r="Y2956" s="381">
        <v>1.5792103948025986</v>
      </c>
      <c r="Z2956" s="381">
        <v>-0.42978510744627679</v>
      </c>
      <c r="AA2956" s="381">
        <v>1.401799100449775E-3</v>
      </c>
      <c r="AB2956" s="381">
        <v>0.76961519240379805</v>
      </c>
      <c r="AC2956" s="382">
        <v>1.9204422788605697</v>
      </c>
      <c r="AD2956" s="382">
        <v>0.76961519240379805</v>
      </c>
      <c r="AE2956" s="381" t="s">
        <v>168</v>
      </c>
    </row>
    <row r="2957" spans="1:31" ht="15" customHeight="1" x14ac:dyDescent="0.25">
      <c r="A2957" s="20" t="s">
        <v>4324</v>
      </c>
      <c r="B2957" s="20" t="s">
        <v>4325</v>
      </c>
      <c r="C2957" s="20" t="s">
        <v>3897</v>
      </c>
      <c r="D2957" s="378" t="s">
        <v>4345</v>
      </c>
      <c r="E2957" s="384">
        <v>45005</v>
      </c>
      <c r="F2957" s="384">
        <v>46831</v>
      </c>
      <c r="G2957" s="378" t="s">
        <v>2837</v>
      </c>
      <c r="H2957" s="20" t="s">
        <v>4346</v>
      </c>
      <c r="I2957" s="378">
        <v>0</v>
      </c>
      <c r="J2957" s="20" t="s">
        <v>2831</v>
      </c>
      <c r="K2957" s="378" t="s">
        <v>4347</v>
      </c>
      <c r="L2957" s="378" t="s">
        <v>2789</v>
      </c>
      <c r="M2957" s="380" t="s">
        <v>443</v>
      </c>
      <c r="N2957" s="380">
        <v>35.521978021978022</v>
      </c>
      <c r="O2957" s="380" t="s">
        <v>443</v>
      </c>
      <c r="P2957" s="380" t="s">
        <v>443</v>
      </c>
      <c r="Q2957" s="381">
        <v>38.799999999999997</v>
      </c>
      <c r="R2957" s="381">
        <v>54.5</v>
      </c>
      <c r="S2957" s="381">
        <v>-15.9</v>
      </c>
      <c r="T2957" s="381">
        <v>9.4200000000000006E-2</v>
      </c>
      <c r="U2957" s="381">
        <v>26.400000000000002</v>
      </c>
      <c r="V2957" s="382">
        <v>65.094200000000001</v>
      </c>
      <c r="W2957" s="382">
        <v>26.400000000000002</v>
      </c>
      <c r="X2957" s="381">
        <v>1.0922815158546015</v>
      </c>
      <c r="Y2957" s="381">
        <v>1.5342614075792731</v>
      </c>
      <c r="Z2957" s="381">
        <v>-0.44761020881670532</v>
      </c>
      <c r="AA2957" s="381">
        <v>2.6518793503480281E-3</v>
      </c>
      <c r="AB2957" s="381">
        <v>0.74320185614849199</v>
      </c>
      <c r="AC2957" s="382">
        <v>1.8325049342614079</v>
      </c>
      <c r="AD2957" s="382">
        <v>0.74320185614849199</v>
      </c>
      <c r="AE2957" s="381" t="s">
        <v>168</v>
      </c>
    </row>
    <row r="2958" spans="1:31" ht="15" customHeight="1" x14ac:dyDescent="0.25">
      <c r="A2958" s="20" t="s">
        <v>4324</v>
      </c>
      <c r="B2958" s="20" t="s">
        <v>4325</v>
      </c>
      <c r="C2958" s="20" t="s">
        <v>3897</v>
      </c>
      <c r="D2958" s="378" t="s">
        <v>4348</v>
      </c>
      <c r="E2958" s="384">
        <v>44697</v>
      </c>
      <c r="F2958" s="384">
        <v>46522</v>
      </c>
      <c r="G2958" s="378" t="s">
        <v>2837</v>
      </c>
      <c r="H2958" s="20" t="s">
        <v>4349</v>
      </c>
      <c r="I2958" s="378">
        <v>0</v>
      </c>
      <c r="J2958" s="20" t="s">
        <v>2831</v>
      </c>
      <c r="K2958" s="378" t="s">
        <v>2854</v>
      </c>
      <c r="L2958" s="378" t="s">
        <v>2789</v>
      </c>
      <c r="M2958" s="380" t="s">
        <v>443</v>
      </c>
      <c r="N2958" s="380">
        <v>37.17</v>
      </c>
      <c r="O2958" s="380" t="s">
        <v>443</v>
      </c>
      <c r="P2958" s="380" t="s">
        <v>443</v>
      </c>
      <c r="Q2958" s="381">
        <v>37.380000000000003</v>
      </c>
      <c r="R2958" s="381">
        <v>54.62</v>
      </c>
      <c r="S2958" s="381">
        <v>-17.54</v>
      </c>
      <c r="T2958" s="381">
        <v>0.13</v>
      </c>
      <c r="U2958" s="381">
        <v>18.7</v>
      </c>
      <c r="V2958" s="382">
        <v>55.91</v>
      </c>
      <c r="W2958" s="382">
        <v>18.7</v>
      </c>
      <c r="X2958" s="381">
        <v>1.0056497175141244</v>
      </c>
      <c r="Y2958" s="381">
        <v>1.4694646220069947</v>
      </c>
      <c r="Z2958" s="381">
        <v>-0.47188592951304809</v>
      </c>
      <c r="AA2958" s="381">
        <v>3.4974441754102772E-3</v>
      </c>
      <c r="AB2958" s="381">
        <v>0.50309389292440132</v>
      </c>
      <c r="AC2958" s="382">
        <v>1.5041700295937581</v>
      </c>
      <c r="AD2958" s="382">
        <v>0.50309389292440132</v>
      </c>
      <c r="AE2958" s="381" t="s">
        <v>168</v>
      </c>
    </row>
    <row r="2959" spans="1:31" ht="15" customHeight="1" x14ac:dyDescent="0.25">
      <c r="A2959" s="20" t="s">
        <v>4324</v>
      </c>
      <c r="B2959" s="20" t="s">
        <v>4325</v>
      </c>
      <c r="C2959" s="20" t="s">
        <v>3897</v>
      </c>
      <c r="D2959" s="378" t="s">
        <v>4348</v>
      </c>
      <c r="E2959" s="384">
        <v>44697</v>
      </c>
      <c r="F2959" s="384">
        <v>46522</v>
      </c>
      <c r="G2959" s="378" t="s">
        <v>2837</v>
      </c>
      <c r="H2959" s="20" t="s">
        <v>4349</v>
      </c>
      <c r="I2959" s="378">
        <v>0</v>
      </c>
      <c r="J2959" s="20" t="s">
        <v>2831</v>
      </c>
      <c r="K2959" s="378" t="s">
        <v>2854</v>
      </c>
      <c r="L2959" s="378" t="s">
        <v>2789</v>
      </c>
      <c r="M2959" s="380" t="s">
        <v>443</v>
      </c>
      <c r="N2959" s="380">
        <v>37.17</v>
      </c>
      <c r="O2959" s="380" t="s">
        <v>443</v>
      </c>
      <c r="P2959" s="380" t="s">
        <v>443</v>
      </c>
      <c r="Q2959" s="381">
        <v>37.380000000000003</v>
      </c>
      <c r="R2959" s="381">
        <v>54.62</v>
      </c>
      <c r="S2959" s="381">
        <v>-17.54</v>
      </c>
      <c r="T2959" s="381">
        <v>0.13</v>
      </c>
      <c r="U2959" s="381">
        <v>18.7</v>
      </c>
      <c r="V2959" s="382">
        <v>55.91</v>
      </c>
      <c r="W2959" s="382">
        <v>18.7</v>
      </c>
      <c r="X2959" s="381">
        <v>1.0056497175141244</v>
      </c>
      <c r="Y2959" s="381">
        <v>1.4694646220069947</v>
      </c>
      <c r="Z2959" s="381">
        <v>-0.47188592951304809</v>
      </c>
      <c r="AA2959" s="381">
        <v>3.4974441754102772E-3</v>
      </c>
      <c r="AB2959" s="381">
        <v>0.50309389292440132</v>
      </c>
      <c r="AC2959" s="382">
        <v>1.5041700295937581</v>
      </c>
      <c r="AD2959" s="382">
        <v>0.50309389292440132</v>
      </c>
      <c r="AE2959" s="381" t="s">
        <v>168</v>
      </c>
    </row>
    <row r="2960" spans="1:31" ht="15" customHeight="1" x14ac:dyDescent="0.25">
      <c r="A2960" s="20" t="s">
        <v>3490</v>
      </c>
      <c r="B2960" s="20" t="s">
        <v>4350</v>
      </c>
      <c r="C2960" s="20" t="s">
        <v>4350</v>
      </c>
      <c r="D2960" s="378" t="s">
        <v>4351</v>
      </c>
      <c r="E2960" s="384">
        <v>45092</v>
      </c>
      <c r="F2960" s="384">
        <v>46918</v>
      </c>
      <c r="G2960" s="378" t="s">
        <v>2886</v>
      </c>
      <c r="H2960" s="20" t="s">
        <v>4352</v>
      </c>
      <c r="I2960" s="378" t="s">
        <v>162</v>
      </c>
      <c r="J2960" s="20" t="s">
        <v>2831</v>
      </c>
      <c r="K2960" s="378" t="s">
        <v>4353</v>
      </c>
      <c r="L2960" s="378" t="s">
        <v>165</v>
      </c>
      <c r="M2960" s="380">
        <v>630</v>
      </c>
      <c r="N2960" s="380" t="s">
        <v>443</v>
      </c>
      <c r="O2960" s="380" t="s">
        <v>443</v>
      </c>
      <c r="P2960" s="380" t="s">
        <v>443</v>
      </c>
      <c r="Q2960" s="381">
        <v>-841</v>
      </c>
      <c r="R2960" s="381">
        <v>195</v>
      </c>
      <c r="S2960" s="381">
        <v>-1040</v>
      </c>
      <c r="T2960" s="381">
        <v>0</v>
      </c>
      <c r="U2960" s="381">
        <v>1039.5</v>
      </c>
      <c r="V2960" s="382">
        <v>195</v>
      </c>
      <c r="W2960" s="382">
        <v>1039.5</v>
      </c>
      <c r="X2960" s="381">
        <v>-1.3349206349206348</v>
      </c>
      <c r="Y2960" s="381">
        <v>0.30952380952380953</v>
      </c>
      <c r="Z2960" s="381">
        <v>-1.6507936507936507</v>
      </c>
      <c r="AA2960" s="381">
        <v>0</v>
      </c>
      <c r="AB2960" s="381">
        <v>1.65</v>
      </c>
      <c r="AC2960" s="382">
        <v>0.30952380952380953</v>
      </c>
      <c r="AD2960" s="382">
        <v>1.65</v>
      </c>
      <c r="AE2960" s="381" t="s">
        <v>168</v>
      </c>
    </row>
    <row r="2961" spans="1:31" ht="15" customHeight="1" x14ac:dyDescent="0.25">
      <c r="A2961" s="20" t="s">
        <v>3490</v>
      </c>
      <c r="B2961" s="20" t="s">
        <v>4350</v>
      </c>
      <c r="C2961" s="20" t="s">
        <v>4350</v>
      </c>
      <c r="D2961" s="378" t="s">
        <v>4354</v>
      </c>
      <c r="E2961" s="384">
        <v>45645</v>
      </c>
      <c r="F2961" s="384">
        <v>47470</v>
      </c>
      <c r="G2961" s="378" t="s">
        <v>2837</v>
      </c>
      <c r="H2961" s="20" t="s">
        <v>4355</v>
      </c>
      <c r="I2961" s="378">
        <v>0</v>
      </c>
      <c r="J2961" s="20" t="s">
        <v>4219</v>
      </c>
      <c r="K2961" s="378" t="s">
        <v>4356</v>
      </c>
      <c r="L2961" s="378" t="s">
        <v>165</v>
      </c>
      <c r="M2961" s="380">
        <v>607</v>
      </c>
      <c r="N2961" s="380" t="s">
        <v>443</v>
      </c>
      <c r="O2961" s="380" t="s">
        <v>443</v>
      </c>
      <c r="P2961" s="380" t="s">
        <v>443</v>
      </c>
      <c r="Q2961" s="381">
        <v>-805</v>
      </c>
      <c r="R2961" s="381">
        <v>172</v>
      </c>
      <c r="S2961" s="381">
        <v>-978</v>
      </c>
      <c r="T2961" s="381">
        <v>0.30299999999999999</v>
      </c>
      <c r="U2961" s="381">
        <v>992.20000000000016</v>
      </c>
      <c r="V2961" s="382">
        <v>186.50300000000016</v>
      </c>
      <c r="W2961" s="382">
        <v>992.20000000000016</v>
      </c>
      <c r="X2961" s="381">
        <v>-1.3261943986820428</v>
      </c>
      <c r="Y2961" s="381">
        <v>0.28336079077429982</v>
      </c>
      <c r="Z2961" s="381">
        <v>-1.6112026359143328</v>
      </c>
      <c r="AA2961" s="381">
        <v>4.9917627677100492E-4</v>
      </c>
      <c r="AB2961" s="381">
        <v>1.6345963756177926</v>
      </c>
      <c r="AC2961" s="382">
        <v>0.30725370675453068</v>
      </c>
      <c r="AD2961" s="382">
        <v>1.6345963756177926</v>
      </c>
      <c r="AE2961" s="381" t="s">
        <v>168</v>
      </c>
    </row>
    <row r="2962" spans="1:31" ht="15" customHeight="1" x14ac:dyDescent="0.25">
      <c r="A2962" s="20" t="s">
        <v>3490</v>
      </c>
      <c r="B2962" s="20" t="s">
        <v>4350</v>
      </c>
      <c r="C2962" s="20" t="s">
        <v>4350</v>
      </c>
      <c r="D2962" s="378" t="s">
        <v>4357</v>
      </c>
      <c r="E2962" s="384">
        <v>44810</v>
      </c>
      <c r="F2962" s="384">
        <v>46635</v>
      </c>
      <c r="G2962" s="378" t="s">
        <v>2837</v>
      </c>
      <c r="H2962" s="20" t="s">
        <v>4358</v>
      </c>
      <c r="I2962" s="378">
        <v>0</v>
      </c>
      <c r="J2962" s="20" t="s">
        <v>3307</v>
      </c>
      <c r="K2962" s="378" t="s">
        <v>4359</v>
      </c>
      <c r="L2962" s="378" t="s">
        <v>165</v>
      </c>
      <c r="M2962" s="380">
        <v>601</v>
      </c>
      <c r="N2962" s="380" t="s">
        <v>443</v>
      </c>
      <c r="O2962" s="380" t="s">
        <v>443</v>
      </c>
      <c r="P2962" s="380" t="s">
        <v>443</v>
      </c>
      <c r="Q2962" s="381">
        <v>-658</v>
      </c>
      <c r="R2962" s="381">
        <v>341</v>
      </c>
      <c r="S2962" s="381">
        <v>-1000</v>
      </c>
      <c r="T2962" s="381">
        <v>2.04</v>
      </c>
      <c r="U2962" s="381">
        <v>1041.3333333333333</v>
      </c>
      <c r="V2962" s="382">
        <v>384.37333333333322</v>
      </c>
      <c r="W2962" s="382">
        <v>1041.3333333333333</v>
      </c>
      <c r="X2962" s="381">
        <v>-1.0948419301164725</v>
      </c>
      <c r="Y2962" s="381">
        <v>0.56738768718802002</v>
      </c>
      <c r="Z2962" s="381">
        <v>-1.6638935108153079</v>
      </c>
      <c r="AA2962" s="381">
        <v>3.3943427620632279E-3</v>
      </c>
      <c r="AB2962" s="381">
        <v>1.732667775929007</v>
      </c>
      <c r="AC2962" s="382">
        <v>0.63955629506378253</v>
      </c>
      <c r="AD2962" s="382">
        <v>1.732667775929007</v>
      </c>
      <c r="AE2962" s="381" t="s">
        <v>168</v>
      </c>
    </row>
    <row r="2963" spans="1:31" ht="15" customHeight="1" x14ac:dyDescent="0.25">
      <c r="A2963" s="20" t="s">
        <v>3490</v>
      </c>
      <c r="B2963" s="20" t="s">
        <v>4350</v>
      </c>
      <c r="C2963" s="20" t="s">
        <v>4350</v>
      </c>
      <c r="D2963" s="378" t="s">
        <v>4360</v>
      </c>
      <c r="E2963" s="384">
        <v>44763</v>
      </c>
      <c r="F2963" s="384">
        <v>46588</v>
      </c>
      <c r="G2963" s="378" t="s">
        <v>2837</v>
      </c>
      <c r="H2963" s="20" t="s">
        <v>4361</v>
      </c>
      <c r="I2963" s="378">
        <v>0</v>
      </c>
      <c r="J2963" s="20" t="s">
        <v>2831</v>
      </c>
      <c r="K2963" s="378" t="s">
        <v>4362</v>
      </c>
      <c r="L2963" s="378" t="s">
        <v>165</v>
      </c>
      <c r="M2963" s="380">
        <v>620</v>
      </c>
      <c r="N2963" s="380" t="s">
        <v>443</v>
      </c>
      <c r="O2963" s="380" t="s">
        <v>443</v>
      </c>
      <c r="P2963" s="380" t="s">
        <v>443</v>
      </c>
      <c r="Q2963" s="381">
        <v>-923</v>
      </c>
      <c r="R2963" s="381">
        <v>102</v>
      </c>
      <c r="S2963" s="381">
        <v>-1030</v>
      </c>
      <c r="T2963" s="381">
        <v>7.8100000000000003E-2</v>
      </c>
      <c r="U2963" s="381">
        <v>1023</v>
      </c>
      <c r="V2963" s="382">
        <v>102.07809999999995</v>
      </c>
      <c r="W2963" s="382">
        <v>1023</v>
      </c>
      <c r="X2963" s="381">
        <v>-1.4887096774193549</v>
      </c>
      <c r="Y2963" s="381">
        <v>0.16451612903225807</v>
      </c>
      <c r="Z2963" s="381">
        <v>-1.6612903225806452</v>
      </c>
      <c r="AA2963" s="381">
        <v>1.2596774193548388E-4</v>
      </c>
      <c r="AB2963" s="381">
        <v>1.65</v>
      </c>
      <c r="AC2963" s="382">
        <v>0.1646420967741935</v>
      </c>
      <c r="AD2963" s="382">
        <v>1.65</v>
      </c>
      <c r="AE2963" s="381" t="s">
        <v>168</v>
      </c>
    </row>
    <row r="2964" spans="1:31" ht="15" customHeight="1" x14ac:dyDescent="0.25">
      <c r="A2964" s="20" t="s">
        <v>3490</v>
      </c>
      <c r="B2964" s="20" t="s">
        <v>4350</v>
      </c>
      <c r="C2964" s="20" t="s">
        <v>4350</v>
      </c>
      <c r="D2964" s="378" t="s">
        <v>4363</v>
      </c>
      <c r="E2964" s="384">
        <v>44763</v>
      </c>
      <c r="F2964" s="384">
        <v>46588</v>
      </c>
      <c r="G2964" s="378" t="s">
        <v>2837</v>
      </c>
      <c r="H2964" s="20" t="s">
        <v>4361</v>
      </c>
      <c r="I2964" s="378">
        <v>0</v>
      </c>
      <c r="J2964" s="20" t="s">
        <v>2831</v>
      </c>
      <c r="K2964" s="378" t="s">
        <v>4362</v>
      </c>
      <c r="L2964" s="378" t="s">
        <v>165</v>
      </c>
      <c r="M2964" s="380">
        <v>600</v>
      </c>
      <c r="N2964" s="380" t="s">
        <v>443</v>
      </c>
      <c r="O2964" s="380" t="s">
        <v>443</v>
      </c>
      <c r="P2964" s="380" t="s">
        <v>443</v>
      </c>
      <c r="Q2964" s="381">
        <v>-896</v>
      </c>
      <c r="R2964" s="381">
        <v>101</v>
      </c>
      <c r="S2964" s="381">
        <v>-999</v>
      </c>
      <c r="T2964" s="381">
        <v>0.17899999999999999</v>
      </c>
      <c r="U2964" s="381">
        <v>990</v>
      </c>
      <c r="V2964" s="382">
        <v>101.17899999999997</v>
      </c>
      <c r="W2964" s="382">
        <v>990</v>
      </c>
      <c r="X2964" s="381">
        <v>-1.4933333333333334</v>
      </c>
      <c r="Y2964" s="381">
        <v>0.16833333333333333</v>
      </c>
      <c r="Z2964" s="381">
        <v>-1.665</v>
      </c>
      <c r="AA2964" s="381">
        <v>2.9833333333333334E-4</v>
      </c>
      <c r="AB2964" s="381">
        <v>1.65</v>
      </c>
      <c r="AC2964" s="382">
        <v>0.16863166666666674</v>
      </c>
      <c r="AD2964" s="382">
        <v>1.65</v>
      </c>
      <c r="AE2964" s="381" t="s">
        <v>168</v>
      </c>
    </row>
    <row r="2965" spans="1:31" ht="15" customHeight="1" x14ac:dyDescent="0.25">
      <c r="A2965" s="20" t="s">
        <v>4364</v>
      </c>
      <c r="B2965" s="378" t="s">
        <v>4365</v>
      </c>
      <c r="C2965" s="20" t="s">
        <v>4365</v>
      </c>
      <c r="D2965" s="378" t="s">
        <v>4366</v>
      </c>
      <c r="E2965" s="384">
        <v>45061</v>
      </c>
      <c r="F2965" s="384">
        <v>46888</v>
      </c>
      <c r="G2965" s="378" t="s">
        <v>439</v>
      </c>
      <c r="H2965" s="20" t="s">
        <v>4367</v>
      </c>
      <c r="I2965" s="20" t="s">
        <v>162</v>
      </c>
      <c r="J2965" s="20" t="s">
        <v>163</v>
      </c>
      <c r="K2965" s="378" t="s">
        <v>4368</v>
      </c>
      <c r="L2965" s="378" t="s">
        <v>2789</v>
      </c>
      <c r="M2965" s="380"/>
      <c r="N2965" s="380">
        <v>12.5</v>
      </c>
      <c r="O2965" s="380"/>
      <c r="P2965" s="380"/>
      <c r="Q2965" s="381">
        <v>42.5</v>
      </c>
      <c r="R2965" s="381">
        <v>46.9</v>
      </c>
      <c r="S2965" s="381">
        <v>-0.49099999999999999</v>
      </c>
      <c r="T2965" s="381"/>
      <c r="U2965" s="381"/>
      <c r="V2965" s="382">
        <v>46.9</v>
      </c>
      <c r="W2965" s="382">
        <v>0</v>
      </c>
      <c r="X2965" s="381">
        <v>3.4</v>
      </c>
      <c r="Y2965" s="381">
        <v>3.7519999999999998</v>
      </c>
      <c r="Z2965" s="381">
        <v>-3.9280000000000002E-2</v>
      </c>
      <c r="AA2965" s="381">
        <v>0</v>
      </c>
      <c r="AB2965" s="381">
        <v>0</v>
      </c>
      <c r="AC2965" s="382">
        <v>3.7519999999999998</v>
      </c>
      <c r="AD2965" s="382">
        <v>0</v>
      </c>
      <c r="AE2965" s="381" t="s">
        <v>168</v>
      </c>
    </row>
    <row r="2966" spans="1:31" ht="15" customHeight="1" x14ac:dyDescent="0.25">
      <c r="A2966" s="20" t="s">
        <v>4364</v>
      </c>
      <c r="B2966" s="378" t="s">
        <v>4365</v>
      </c>
      <c r="C2966" s="20" t="s">
        <v>4365</v>
      </c>
      <c r="D2966" s="378" t="s">
        <v>4369</v>
      </c>
      <c r="E2966" s="384">
        <v>45061</v>
      </c>
      <c r="F2966" s="384">
        <v>46888</v>
      </c>
      <c r="G2966" s="378" t="s">
        <v>439</v>
      </c>
      <c r="H2966" s="20" t="s">
        <v>4367</v>
      </c>
      <c r="I2966" s="20" t="s">
        <v>162</v>
      </c>
      <c r="J2966" s="20" t="s">
        <v>163</v>
      </c>
      <c r="K2966" s="378" t="s">
        <v>4368</v>
      </c>
      <c r="L2966" s="378" t="s">
        <v>2789</v>
      </c>
      <c r="M2966" s="380"/>
      <c r="N2966" s="380">
        <v>14</v>
      </c>
      <c r="O2966" s="380"/>
      <c r="P2966" s="380"/>
      <c r="Q2966" s="381">
        <v>51.3</v>
      </c>
      <c r="R2966" s="381">
        <v>52.5</v>
      </c>
      <c r="S2966" s="381">
        <v>-1.2</v>
      </c>
      <c r="T2966" s="381"/>
      <c r="U2966" s="381"/>
      <c r="V2966" s="382">
        <v>52.5</v>
      </c>
      <c r="W2966" s="382">
        <v>0</v>
      </c>
      <c r="X2966" s="381">
        <v>3.6642857142857141</v>
      </c>
      <c r="Y2966" s="381">
        <v>3.75</v>
      </c>
      <c r="Z2966" s="381">
        <v>-8.5714285714285715E-2</v>
      </c>
      <c r="AA2966" s="381">
        <v>0</v>
      </c>
      <c r="AB2966" s="381">
        <v>0</v>
      </c>
      <c r="AC2966" s="382">
        <v>3.75</v>
      </c>
      <c r="AD2966" s="382">
        <v>0</v>
      </c>
      <c r="AE2966" s="381" t="s">
        <v>168</v>
      </c>
    </row>
    <row r="2967" spans="1:31" ht="15" customHeight="1" x14ac:dyDescent="0.25">
      <c r="A2967" s="20" t="s">
        <v>4364</v>
      </c>
      <c r="B2967" s="378" t="s">
        <v>4365</v>
      </c>
      <c r="C2967" s="20" t="s">
        <v>4365</v>
      </c>
      <c r="D2967" s="378" t="s">
        <v>4370</v>
      </c>
      <c r="E2967" s="384">
        <v>45061</v>
      </c>
      <c r="F2967" s="384">
        <v>46888</v>
      </c>
      <c r="G2967" s="378" t="s">
        <v>439</v>
      </c>
      <c r="H2967" s="20" t="s">
        <v>4367</v>
      </c>
      <c r="I2967" s="20" t="s">
        <v>162</v>
      </c>
      <c r="J2967" s="20" t="s">
        <v>163</v>
      </c>
      <c r="K2967" s="378" t="s">
        <v>4368</v>
      </c>
      <c r="L2967" s="378" t="s">
        <v>2789</v>
      </c>
      <c r="M2967" s="380"/>
      <c r="N2967" s="380">
        <v>14.9</v>
      </c>
      <c r="O2967" s="380"/>
      <c r="P2967" s="380"/>
      <c r="Q2967" s="381">
        <v>43.2</v>
      </c>
      <c r="R2967" s="381">
        <v>44</v>
      </c>
      <c r="S2967" s="381">
        <v>-0.81899999999999995</v>
      </c>
      <c r="T2967" s="381"/>
      <c r="U2967" s="381"/>
      <c r="V2967" s="382">
        <v>44</v>
      </c>
      <c r="W2967" s="382">
        <v>0</v>
      </c>
      <c r="X2967" s="381">
        <v>2.8993288590604029</v>
      </c>
      <c r="Y2967" s="381">
        <v>2.9530201342281877</v>
      </c>
      <c r="Z2967" s="381">
        <v>-5.4966442953020132E-2</v>
      </c>
      <c r="AA2967" s="381">
        <v>0</v>
      </c>
      <c r="AB2967" s="381">
        <v>0</v>
      </c>
      <c r="AC2967" s="382">
        <v>2.9530201342281877</v>
      </c>
      <c r="AD2967" s="382">
        <v>0</v>
      </c>
      <c r="AE2967" s="381" t="s">
        <v>168</v>
      </c>
    </row>
    <row r="2968" spans="1:31" ht="15" customHeight="1" x14ac:dyDescent="0.25">
      <c r="A2968" s="20" t="s">
        <v>4364</v>
      </c>
      <c r="B2968" s="378" t="s">
        <v>4365</v>
      </c>
      <c r="C2968" s="20" t="s">
        <v>4365</v>
      </c>
      <c r="D2968" s="378" t="s">
        <v>4371</v>
      </c>
      <c r="E2968" s="384">
        <v>45061</v>
      </c>
      <c r="F2968" s="384">
        <v>46888</v>
      </c>
      <c r="G2968" s="378" t="s">
        <v>439</v>
      </c>
      <c r="H2968" s="20" t="s">
        <v>4367</v>
      </c>
      <c r="I2968" s="20" t="s">
        <v>162</v>
      </c>
      <c r="J2968" s="20" t="s">
        <v>163</v>
      </c>
      <c r="K2968" s="378" t="s">
        <v>4368</v>
      </c>
      <c r="L2968" s="378" t="s">
        <v>2789</v>
      </c>
      <c r="M2968" s="380"/>
      <c r="N2968" s="380">
        <v>14.9</v>
      </c>
      <c r="O2968" s="380"/>
      <c r="P2968" s="380"/>
      <c r="Q2968" s="381">
        <v>55.4</v>
      </c>
      <c r="R2968" s="381">
        <v>56.3</v>
      </c>
      <c r="S2968" s="381">
        <v>-0.86499999999999999</v>
      </c>
      <c r="T2968" s="381"/>
      <c r="U2968" s="381"/>
      <c r="V2968" s="382">
        <v>56.3</v>
      </c>
      <c r="W2968" s="382">
        <v>0</v>
      </c>
      <c r="X2968" s="381">
        <v>3.7181208053691273</v>
      </c>
      <c r="Y2968" s="381">
        <v>3.7785234899328857</v>
      </c>
      <c r="Z2968" s="381">
        <v>-5.8053691275167782E-2</v>
      </c>
      <c r="AA2968" s="381">
        <v>0</v>
      </c>
      <c r="AB2968" s="381">
        <v>0</v>
      </c>
      <c r="AC2968" s="382">
        <v>3.7785234899328857</v>
      </c>
      <c r="AD2968" s="382">
        <v>0</v>
      </c>
      <c r="AE2968" s="381" t="s">
        <v>168</v>
      </c>
    </row>
    <row r="2969" spans="1:31" ht="15" customHeight="1" x14ac:dyDescent="0.25">
      <c r="A2969" s="20" t="s">
        <v>4364</v>
      </c>
      <c r="B2969" s="378" t="s">
        <v>4365</v>
      </c>
      <c r="C2969" s="20" t="s">
        <v>4365</v>
      </c>
      <c r="D2969" s="378" t="s">
        <v>4372</v>
      </c>
      <c r="E2969" s="384">
        <v>45061</v>
      </c>
      <c r="F2969" s="384">
        <v>46888</v>
      </c>
      <c r="G2969" s="378" t="s">
        <v>439</v>
      </c>
      <c r="H2969" s="20" t="s">
        <v>4367</v>
      </c>
      <c r="I2969" s="20" t="s">
        <v>162</v>
      </c>
      <c r="J2969" s="20" t="s">
        <v>163</v>
      </c>
      <c r="K2969" s="378" t="s">
        <v>4368</v>
      </c>
      <c r="L2969" s="378" t="s">
        <v>2789</v>
      </c>
      <c r="M2969" s="380"/>
      <c r="N2969" s="380">
        <v>14.9</v>
      </c>
      <c r="O2969" s="380"/>
      <c r="P2969" s="380"/>
      <c r="Q2969" s="381">
        <v>51.7</v>
      </c>
      <c r="R2969" s="381">
        <v>52.5</v>
      </c>
      <c r="S2969" s="381">
        <v>-0.86499999999999999</v>
      </c>
      <c r="T2969" s="381"/>
      <c r="U2969" s="381"/>
      <c r="V2969" s="382">
        <v>52.5</v>
      </c>
      <c r="W2969" s="382">
        <v>0</v>
      </c>
      <c r="X2969" s="381">
        <v>3.4697986577181208</v>
      </c>
      <c r="Y2969" s="381">
        <v>3.523489932885906</v>
      </c>
      <c r="Z2969" s="381">
        <v>-5.8053691275167782E-2</v>
      </c>
      <c r="AA2969" s="381">
        <v>0</v>
      </c>
      <c r="AB2969" s="381">
        <v>0</v>
      </c>
      <c r="AC2969" s="382">
        <v>3.523489932885906</v>
      </c>
      <c r="AD2969" s="382">
        <v>0</v>
      </c>
      <c r="AE2969" s="381" t="s">
        <v>168</v>
      </c>
    </row>
    <row r="2970" spans="1:31" ht="15" customHeight="1" x14ac:dyDescent="0.25">
      <c r="A2970" s="20" t="s">
        <v>4364</v>
      </c>
      <c r="B2970" s="378" t="s">
        <v>4365</v>
      </c>
      <c r="C2970" s="20" t="s">
        <v>4365</v>
      </c>
      <c r="D2970" s="378" t="s">
        <v>4373</v>
      </c>
      <c r="E2970" s="384">
        <v>45061</v>
      </c>
      <c r="F2970" s="384">
        <v>46888</v>
      </c>
      <c r="G2970" s="378" t="s">
        <v>439</v>
      </c>
      <c r="H2970" s="20" t="s">
        <v>4367</v>
      </c>
      <c r="I2970" s="20" t="s">
        <v>162</v>
      </c>
      <c r="J2970" s="20" t="s">
        <v>163</v>
      </c>
      <c r="K2970" s="378" t="s">
        <v>4368</v>
      </c>
      <c r="L2970" s="378" t="s">
        <v>2789</v>
      </c>
      <c r="M2970" s="380"/>
      <c r="N2970" s="380">
        <v>17.485714285714295</v>
      </c>
      <c r="O2970" s="380"/>
      <c r="P2970" s="380"/>
      <c r="Q2970" s="381">
        <v>52.5</v>
      </c>
      <c r="R2970" s="381">
        <v>53.3</v>
      </c>
      <c r="S2970" s="381">
        <v>-0.82099999999999995</v>
      </c>
      <c r="T2970" s="381"/>
      <c r="U2970" s="381"/>
      <c r="V2970" s="382">
        <v>53.3</v>
      </c>
      <c r="W2970" s="382">
        <v>0</v>
      </c>
      <c r="X2970" s="381">
        <v>3.0024509803921555</v>
      </c>
      <c r="Y2970" s="381">
        <v>3.0482026143790835</v>
      </c>
      <c r="Z2970" s="381">
        <v>-4.6952614379084941E-2</v>
      </c>
      <c r="AA2970" s="381">
        <v>0</v>
      </c>
      <c r="AB2970" s="381">
        <v>0</v>
      </c>
      <c r="AC2970" s="382">
        <v>3.0482026143790835</v>
      </c>
      <c r="AD2970" s="382">
        <v>0</v>
      </c>
      <c r="AE2970" s="381" t="s">
        <v>168</v>
      </c>
    </row>
    <row r="2971" spans="1:31" ht="15" customHeight="1" x14ac:dyDescent="0.25">
      <c r="A2971" s="20" t="s">
        <v>4364</v>
      </c>
      <c r="B2971" s="378" t="s">
        <v>4365</v>
      </c>
      <c r="C2971" s="20" t="s">
        <v>4365</v>
      </c>
      <c r="D2971" s="378" t="s">
        <v>4374</v>
      </c>
      <c r="E2971" s="384">
        <v>45061</v>
      </c>
      <c r="F2971" s="384">
        <v>46888</v>
      </c>
      <c r="G2971" s="378" t="s">
        <v>439</v>
      </c>
      <c r="H2971" s="20" t="s">
        <v>4367</v>
      </c>
      <c r="I2971" s="20" t="s">
        <v>162</v>
      </c>
      <c r="J2971" s="20" t="s">
        <v>163</v>
      </c>
      <c r="K2971" s="378" t="s">
        <v>4368</v>
      </c>
      <c r="L2971" s="378" t="s">
        <v>2789</v>
      </c>
      <c r="M2971" s="380"/>
      <c r="N2971" s="380">
        <v>20.07142857142858</v>
      </c>
      <c r="O2971" s="380"/>
      <c r="P2971" s="380"/>
      <c r="Q2971" s="381">
        <v>43.7</v>
      </c>
      <c r="R2971" s="381">
        <v>44.3</v>
      </c>
      <c r="S2971" s="381">
        <v>-0.54700000000000004</v>
      </c>
      <c r="T2971" s="381"/>
      <c r="U2971" s="381"/>
      <c r="V2971" s="382">
        <v>44.3</v>
      </c>
      <c r="W2971" s="382">
        <v>0</v>
      </c>
      <c r="X2971" s="381">
        <v>2.1772241992882555</v>
      </c>
      <c r="Y2971" s="381">
        <v>2.207117437722419</v>
      </c>
      <c r="Z2971" s="381">
        <v>-2.7252669039145899E-2</v>
      </c>
      <c r="AA2971" s="381">
        <v>0</v>
      </c>
      <c r="AB2971" s="381">
        <v>0</v>
      </c>
      <c r="AC2971" s="382">
        <v>2.207117437722419</v>
      </c>
      <c r="AD2971" s="382">
        <v>0</v>
      </c>
      <c r="AE2971" s="381" t="s">
        <v>168</v>
      </c>
    </row>
    <row r="2972" spans="1:31" ht="15" customHeight="1" x14ac:dyDescent="0.25">
      <c r="A2972" s="20" t="s">
        <v>4364</v>
      </c>
      <c r="B2972" s="378" t="s">
        <v>4365</v>
      </c>
      <c r="C2972" s="20" t="s">
        <v>4365</v>
      </c>
      <c r="D2972" s="378" t="s">
        <v>4375</v>
      </c>
      <c r="E2972" s="384">
        <v>45061</v>
      </c>
      <c r="F2972" s="384">
        <v>46888</v>
      </c>
      <c r="G2972" s="378" t="s">
        <v>439</v>
      </c>
      <c r="H2972" s="20" t="s">
        <v>4367</v>
      </c>
      <c r="I2972" s="20" t="s">
        <v>162</v>
      </c>
      <c r="J2972" s="20" t="s">
        <v>163</v>
      </c>
      <c r="K2972" s="378" t="s">
        <v>4368</v>
      </c>
      <c r="L2972" s="378" t="s">
        <v>2789</v>
      </c>
      <c r="M2972" s="380"/>
      <c r="N2972" s="380">
        <v>12.3</v>
      </c>
      <c r="O2972" s="380"/>
      <c r="P2972" s="380"/>
      <c r="Q2972" s="381">
        <v>44.2</v>
      </c>
      <c r="R2972" s="381">
        <v>44.8</v>
      </c>
      <c r="S2972" s="381">
        <v>-0.59599999999999997</v>
      </c>
      <c r="T2972" s="381"/>
      <c r="U2972" s="381"/>
      <c r="V2972" s="382">
        <v>44.8</v>
      </c>
      <c r="W2972" s="382">
        <v>0</v>
      </c>
      <c r="X2972" s="381">
        <v>3.5934959349593498</v>
      </c>
      <c r="Y2972" s="381">
        <v>3.642276422764227</v>
      </c>
      <c r="Z2972" s="381">
        <v>-4.8455284552845521E-2</v>
      </c>
      <c r="AA2972" s="381">
        <v>0</v>
      </c>
      <c r="AB2972" s="381">
        <v>0</v>
      </c>
      <c r="AC2972" s="382">
        <v>3.642276422764227</v>
      </c>
      <c r="AD2972" s="382">
        <v>0</v>
      </c>
      <c r="AE2972" s="381" t="s">
        <v>168</v>
      </c>
    </row>
    <row r="2973" spans="1:31" ht="15" customHeight="1" x14ac:dyDescent="0.25">
      <c r="A2973" s="20" t="s">
        <v>4364</v>
      </c>
      <c r="B2973" s="378" t="s">
        <v>4365</v>
      </c>
      <c r="C2973" s="20" t="s">
        <v>4365</v>
      </c>
      <c r="D2973" s="378" t="s">
        <v>4376</v>
      </c>
      <c r="E2973" s="384">
        <v>45061</v>
      </c>
      <c r="F2973" s="384">
        <v>46888</v>
      </c>
      <c r="G2973" s="378" t="s">
        <v>439</v>
      </c>
      <c r="H2973" s="20" t="s">
        <v>4367</v>
      </c>
      <c r="I2973" s="20" t="s">
        <v>162</v>
      </c>
      <c r="J2973" s="20" t="s">
        <v>163</v>
      </c>
      <c r="K2973" s="378" t="s">
        <v>4368</v>
      </c>
      <c r="L2973" s="378" t="s">
        <v>2789</v>
      </c>
      <c r="M2973" s="380"/>
      <c r="N2973" s="380">
        <v>26.228571428571438</v>
      </c>
      <c r="O2973" s="380"/>
      <c r="P2973" s="380"/>
      <c r="Q2973" s="381">
        <v>40.1</v>
      </c>
      <c r="R2973" s="381">
        <v>40.6</v>
      </c>
      <c r="S2973" s="381">
        <v>-0.54500000000000004</v>
      </c>
      <c r="T2973" s="381"/>
      <c r="U2973" s="381"/>
      <c r="V2973" s="382">
        <v>40.6</v>
      </c>
      <c r="W2973" s="382">
        <v>0</v>
      </c>
      <c r="X2973" s="381">
        <v>1.5288671023965137</v>
      </c>
      <c r="Y2973" s="381">
        <v>1.5479302832244004</v>
      </c>
      <c r="Z2973" s="381">
        <v>-2.0778867102396507E-2</v>
      </c>
      <c r="AA2973" s="381">
        <v>0</v>
      </c>
      <c r="AB2973" s="381">
        <v>0</v>
      </c>
      <c r="AC2973" s="382">
        <v>1.5479302832244004</v>
      </c>
      <c r="AD2973" s="382">
        <v>0</v>
      </c>
      <c r="AE2973" s="381" t="s">
        <v>168</v>
      </c>
    </row>
    <row r="2974" spans="1:31" ht="15" customHeight="1" x14ac:dyDescent="0.25">
      <c r="A2974" s="20" t="s">
        <v>4364</v>
      </c>
      <c r="B2974" s="378" t="s">
        <v>4365</v>
      </c>
      <c r="C2974" s="20" t="s">
        <v>4365</v>
      </c>
      <c r="D2974" s="378" t="s">
        <v>4377</v>
      </c>
      <c r="E2974" s="384">
        <v>45061</v>
      </c>
      <c r="F2974" s="384">
        <v>46888</v>
      </c>
      <c r="G2974" s="378" t="s">
        <v>439</v>
      </c>
      <c r="H2974" s="20" t="s">
        <v>4367</v>
      </c>
      <c r="I2974" s="20" t="s">
        <v>162</v>
      </c>
      <c r="J2974" s="20" t="s">
        <v>163</v>
      </c>
      <c r="K2974" s="378" t="s">
        <v>4368</v>
      </c>
      <c r="L2974" s="378" t="s">
        <v>2789</v>
      </c>
      <c r="M2974" s="380"/>
      <c r="N2974" s="380">
        <v>16.057142857142864</v>
      </c>
      <c r="O2974" s="380"/>
      <c r="P2974" s="380"/>
      <c r="Q2974" s="381">
        <v>49.7</v>
      </c>
      <c r="R2974" s="381">
        <v>50.3</v>
      </c>
      <c r="S2974" s="381">
        <v>-0.64600000000000002</v>
      </c>
      <c r="T2974" s="381"/>
      <c r="U2974" s="381"/>
      <c r="V2974" s="382">
        <v>50.3</v>
      </c>
      <c r="W2974" s="382">
        <v>0</v>
      </c>
      <c r="X2974" s="381">
        <v>3.0951957295373655</v>
      </c>
      <c r="Y2974" s="381">
        <v>3.1325622775800697</v>
      </c>
      <c r="Z2974" s="381">
        <v>-4.0231316725978634E-2</v>
      </c>
      <c r="AA2974" s="381">
        <v>0</v>
      </c>
      <c r="AB2974" s="381">
        <v>0</v>
      </c>
      <c r="AC2974" s="382">
        <v>3.1325622775800697</v>
      </c>
      <c r="AD2974" s="382">
        <v>0</v>
      </c>
      <c r="AE2974" s="381" t="s">
        <v>168</v>
      </c>
    </row>
    <row r="2975" spans="1:31" ht="15" customHeight="1" x14ac:dyDescent="0.25">
      <c r="A2975" s="20" t="s">
        <v>4364</v>
      </c>
      <c r="B2975" s="378" t="s">
        <v>4365</v>
      </c>
      <c r="C2975" s="20" t="s">
        <v>4365</v>
      </c>
      <c r="D2975" s="378" t="s">
        <v>4378</v>
      </c>
      <c r="E2975" s="384">
        <v>45061</v>
      </c>
      <c r="F2975" s="384">
        <v>46888</v>
      </c>
      <c r="G2975" s="378" t="s">
        <v>439</v>
      </c>
      <c r="H2975" s="20" t="s">
        <v>4367</v>
      </c>
      <c r="I2975" s="20" t="s">
        <v>162</v>
      </c>
      <c r="J2975" s="20" t="s">
        <v>163</v>
      </c>
      <c r="K2975" s="378" t="s">
        <v>4368</v>
      </c>
      <c r="L2975" s="378" t="s">
        <v>2789</v>
      </c>
      <c r="M2975" s="380"/>
      <c r="N2975" s="380">
        <v>12.7</v>
      </c>
      <c r="O2975" s="380"/>
      <c r="P2975" s="380"/>
      <c r="Q2975" s="381">
        <v>46.3</v>
      </c>
      <c r="R2975" s="381">
        <v>46.8</v>
      </c>
      <c r="S2975" s="381">
        <v>-0.55400000000000005</v>
      </c>
      <c r="T2975" s="381"/>
      <c r="U2975" s="381"/>
      <c r="V2975" s="382">
        <v>46.8</v>
      </c>
      <c r="W2975" s="382">
        <v>0</v>
      </c>
      <c r="X2975" s="381">
        <v>3.6456692913385829</v>
      </c>
      <c r="Y2975" s="381">
        <v>3.6850393700787403</v>
      </c>
      <c r="Z2975" s="381">
        <v>-4.3622047244094492E-2</v>
      </c>
      <c r="AA2975" s="381">
        <v>0</v>
      </c>
      <c r="AB2975" s="381">
        <v>0</v>
      </c>
      <c r="AC2975" s="382">
        <v>3.6850393700787403</v>
      </c>
      <c r="AD2975" s="382">
        <v>0</v>
      </c>
      <c r="AE2975" s="381" t="s">
        <v>168</v>
      </c>
    </row>
    <row r="2976" spans="1:31" ht="15" customHeight="1" x14ac:dyDescent="0.25">
      <c r="A2976" s="20" t="s">
        <v>4364</v>
      </c>
      <c r="B2976" s="378" t="s">
        <v>4365</v>
      </c>
      <c r="C2976" s="20" t="s">
        <v>4365</v>
      </c>
      <c r="D2976" s="378" t="s">
        <v>4379</v>
      </c>
      <c r="E2976" s="384">
        <v>45061</v>
      </c>
      <c r="F2976" s="384">
        <v>46888</v>
      </c>
      <c r="G2976" s="378" t="s">
        <v>439</v>
      </c>
      <c r="H2976" s="20" t="s">
        <v>4367</v>
      </c>
      <c r="I2976" s="20" t="s">
        <v>162</v>
      </c>
      <c r="J2976" s="20" t="s">
        <v>163</v>
      </c>
      <c r="K2976" s="378" t="s">
        <v>4368</v>
      </c>
      <c r="L2976" s="378" t="s">
        <v>2789</v>
      </c>
      <c r="M2976" s="380"/>
      <c r="N2976" s="380">
        <v>14</v>
      </c>
      <c r="O2976" s="380"/>
      <c r="P2976" s="380"/>
      <c r="Q2976" s="381">
        <v>48.6</v>
      </c>
      <c r="R2976" s="381">
        <v>49.1</v>
      </c>
      <c r="S2976" s="381">
        <v>-0.45400000000000001</v>
      </c>
      <c r="T2976" s="381"/>
      <c r="U2976" s="381"/>
      <c r="V2976" s="382">
        <v>49.1</v>
      </c>
      <c r="W2976" s="382">
        <v>0</v>
      </c>
      <c r="X2976" s="381">
        <v>3.4714285714285715</v>
      </c>
      <c r="Y2976" s="381">
        <v>3.5071428571428571</v>
      </c>
      <c r="Z2976" s="381">
        <v>-3.2428571428571432E-2</v>
      </c>
      <c r="AA2976" s="381">
        <v>0</v>
      </c>
      <c r="AB2976" s="381">
        <v>0</v>
      </c>
      <c r="AC2976" s="382">
        <v>3.5071428571428571</v>
      </c>
      <c r="AD2976" s="382">
        <v>0</v>
      </c>
      <c r="AE2976" s="381" t="s">
        <v>168</v>
      </c>
    </row>
    <row r="2977" spans="1:31" ht="15" customHeight="1" x14ac:dyDescent="0.25">
      <c r="A2977" s="20" t="s">
        <v>4364</v>
      </c>
      <c r="B2977" s="378" t="s">
        <v>4365</v>
      </c>
      <c r="C2977" s="20" t="s">
        <v>4365</v>
      </c>
      <c r="D2977" s="378" t="s">
        <v>4380</v>
      </c>
      <c r="E2977" s="384">
        <v>45061</v>
      </c>
      <c r="F2977" s="384">
        <v>46888</v>
      </c>
      <c r="G2977" s="378" t="s">
        <v>439</v>
      </c>
      <c r="H2977" s="20" t="s">
        <v>4367</v>
      </c>
      <c r="I2977" s="20" t="s">
        <v>162</v>
      </c>
      <c r="J2977" s="20" t="s">
        <v>163</v>
      </c>
      <c r="K2977" s="378" t="s">
        <v>4368</v>
      </c>
      <c r="L2977" s="378" t="s">
        <v>2789</v>
      </c>
      <c r="M2977" s="380"/>
      <c r="N2977" s="380">
        <v>12.6</v>
      </c>
      <c r="O2977" s="380"/>
      <c r="P2977" s="380"/>
      <c r="Q2977" s="381">
        <v>42.7</v>
      </c>
      <c r="R2977" s="381">
        <v>43.1</v>
      </c>
      <c r="S2977" s="381">
        <v>-0.39300000000000002</v>
      </c>
      <c r="T2977" s="381"/>
      <c r="U2977" s="381"/>
      <c r="V2977" s="382">
        <v>43.1</v>
      </c>
      <c r="W2977" s="382">
        <v>0</v>
      </c>
      <c r="X2977" s="381">
        <v>3.3888888888888893</v>
      </c>
      <c r="Y2977" s="381">
        <v>3.4206349206349209</v>
      </c>
      <c r="Z2977" s="381">
        <v>-3.1190476190476192E-2</v>
      </c>
      <c r="AA2977" s="381">
        <v>0</v>
      </c>
      <c r="AB2977" s="381">
        <v>0</v>
      </c>
      <c r="AC2977" s="382">
        <v>3.4206349206349209</v>
      </c>
      <c r="AD2977" s="382">
        <v>0</v>
      </c>
      <c r="AE2977" s="381" t="s">
        <v>168</v>
      </c>
    </row>
    <row r="2978" spans="1:31" ht="15" customHeight="1" x14ac:dyDescent="0.25">
      <c r="A2978" s="20" t="s">
        <v>4364</v>
      </c>
      <c r="B2978" s="378" t="s">
        <v>4365</v>
      </c>
      <c r="C2978" s="20" t="s">
        <v>4365</v>
      </c>
      <c r="D2978" s="378" t="s">
        <v>4381</v>
      </c>
      <c r="E2978" s="384">
        <v>45061</v>
      </c>
      <c r="F2978" s="384">
        <v>46888</v>
      </c>
      <c r="G2978" s="378" t="s">
        <v>439</v>
      </c>
      <c r="H2978" s="20" t="s">
        <v>4367</v>
      </c>
      <c r="I2978" s="20" t="s">
        <v>162</v>
      </c>
      <c r="J2978" s="20" t="s">
        <v>163</v>
      </c>
      <c r="K2978" s="378" t="s">
        <v>4368</v>
      </c>
      <c r="L2978" s="378" t="s">
        <v>2789</v>
      </c>
      <c r="M2978" s="380"/>
      <c r="N2978" s="380">
        <v>13.7</v>
      </c>
      <c r="O2978" s="380"/>
      <c r="P2978" s="380"/>
      <c r="Q2978" s="381">
        <v>45</v>
      </c>
      <c r="R2978" s="381">
        <v>45.4</v>
      </c>
      <c r="S2978" s="381">
        <v>-0.45300000000000001</v>
      </c>
      <c r="T2978" s="381"/>
      <c r="U2978" s="381"/>
      <c r="V2978" s="382">
        <v>45.4</v>
      </c>
      <c r="W2978" s="382">
        <v>0</v>
      </c>
      <c r="X2978" s="381">
        <v>3.2846715328467155</v>
      </c>
      <c r="Y2978" s="381">
        <v>3.3138686131386863</v>
      </c>
      <c r="Z2978" s="381">
        <v>-3.3065693430656934E-2</v>
      </c>
      <c r="AA2978" s="381">
        <v>0</v>
      </c>
      <c r="AB2978" s="381">
        <v>0</v>
      </c>
      <c r="AC2978" s="382">
        <v>3.3138686131386863</v>
      </c>
      <c r="AD2978" s="382">
        <v>0</v>
      </c>
      <c r="AE2978" s="381" t="s">
        <v>168</v>
      </c>
    </row>
    <row r="2979" spans="1:31" ht="15" customHeight="1" x14ac:dyDescent="0.25">
      <c r="A2979" s="20" t="s">
        <v>4364</v>
      </c>
      <c r="B2979" s="378" t="s">
        <v>4365</v>
      </c>
      <c r="C2979" s="20" t="s">
        <v>4365</v>
      </c>
      <c r="D2979" s="378" t="s">
        <v>4382</v>
      </c>
      <c r="E2979" s="384">
        <v>45061</v>
      </c>
      <c r="F2979" s="384">
        <v>46888</v>
      </c>
      <c r="G2979" s="378" t="s">
        <v>439</v>
      </c>
      <c r="H2979" s="20" t="s">
        <v>4367</v>
      </c>
      <c r="I2979" s="20" t="s">
        <v>162</v>
      </c>
      <c r="J2979" s="20" t="s">
        <v>163</v>
      </c>
      <c r="K2979" s="378" t="s">
        <v>4368</v>
      </c>
      <c r="L2979" s="378" t="s">
        <v>2789</v>
      </c>
      <c r="M2979" s="380"/>
      <c r="N2979" s="380">
        <v>12.6</v>
      </c>
      <c r="O2979" s="380"/>
      <c r="P2979" s="380"/>
      <c r="Q2979" s="381">
        <v>46</v>
      </c>
      <c r="R2979" s="381">
        <v>46.4</v>
      </c>
      <c r="S2979" s="381">
        <v>-0.39400000000000002</v>
      </c>
      <c r="T2979" s="381"/>
      <c r="U2979" s="381"/>
      <c r="V2979" s="382">
        <v>46.4</v>
      </c>
      <c r="W2979" s="382">
        <v>0</v>
      </c>
      <c r="X2979" s="381">
        <v>3.6507936507936507</v>
      </c>
      <c r="Y2979" s="381">
        <v>3.6825396825396823</v>
      </c>
      <c r="Z2979" s="381">
        <v>-3.1269841269841274E-2</v>
      </c>
      <c r="AA2979" s="381">
        <v>0</v>
      </c>
      <c r="AB2979" s="381">
        <v>0</v>
      </c>
      <c r="AC2979" s="382">
        <v>3.6825396825396823</v>
      </c>
      <c r="AD2979" s="382">
        <v>0</v>
      </c>
      <c r="AE2979" s="381" t="s">
        <v>168</v>
      </c>
    </row>
    <row r="2980" spans="1:31" ht="15" customHeight="1" x14ac:dyDescent="0.25">
      <c r="A2980" s="20" t="s">
        <v>4364</v>
      </c>
      <c r="B2980" s="378" t="s">
        <v>4365</v>
      </c>
      <c r="C2980" s="20" t="s">
        <v>4365</v>
      </c>
      <c r="D2980" s="378" t="s">
        <v>4383</v>
      </c>
      <c r="E2980" s="384">
        <v>45061</v>
      </c>
      <c r="F2980" s="384">
        <v>46888</v>
      </c>
      <c r="G2980" s="378" t="s">
        <v>439</v>
      </c>
      <c r="H2980" s="20" t="s">
        <v>4367</v>
      </c>
      <c r="I2980" s="20" t="s">
        <v>162</v>
      </c>
      <c r="J2980" s="20" t="s">
        <v>163</v>
      </c>
      <c r="K2980" s="378" t="s">
        <v>4368</v>
      </c>
      <c r="L2980" s="378" t="s">
        <v>2789</v>
      </c>
      <c r="M2980" s="380"/>
      <c r="N2980" s="380">
        <v>12.3</v>
      </c>
      <c r="O2980" s="380"/>
      <c r="P2980" s="380"/>
      <c r="Q2980" s="381">
        <v>46.5</v>
      </c>
      <c r="R2980" s="381">
        <v>46.9</v>
      </c>
      <c r="S2980" s="381">
        <v>-0.39400000000000002</v>
      </c>
      <c r="T2980" s="381"/>
      <c r="U2980" s="381"/>
      <c r="V2980" s="382">
        <v>46.9</v>
      </c>
      <c r="W2980" s="382">
        <v>0</v>
      </c>
      <c r="X2980" s="381">
        <v>3.7804878048780486</v>
      </c>
      <c r="Y2980" s="381">
        <v>3.8130081300813004</v>
      </c>
      <c r="Z2980" s="381">
        <v>-3.2032520325203248E-2</v>
      </c>
      <c r="AA2980" s="381">
        <v>0</v>
      </c>
      <c r="AB2980" s="381">
        <v>0</v>
      </c>
      <c r="AC2980" s="382">
        <v>3.8130081300813004</v>
      </c>
      <c r="AD2980" s="382">
        <v>0</v>
      </c>
      <c r="AE2980" s="381" t="s">
        <v>168</v>
      </c>
    </row>
    <row r="2981" spans="1:31" ht="15" customHeight="1" x14ac:dyDescent="0.25">
      <c r="A2981" s="20" t="s">
        <v>4364</v>
      </c>
      <c r="B2981" s="378" t="s">
        <v>4365</v>
      </c>
      <c r="C2981" s="20" t="s">
        <v>4365</v>
      </c>
      <c r="D2981" s="378" t="s">
        <v>4384</v>
      </c>
      <c r="E2981" s="384">
        <v>45061</v>
      </c>
      <c r="F2981" s="384">
        <v>46888</v>
      </c>
      <c r="G2981" s="378" t="s">
        <v>439</v>
      </c>
      <c r="H2981" s="20" t="s">
        <v>4367</v>
      </c>
      <c r="I2981" s="20" t="s">
        <v>162</v>
      </c>
      <c r="J2981" s="20" t="s">
        <v>163</v>
      </c>
      <c r="K2981" s="378" t="s">
        <v>4368</v>
      </c>
      <c r="L2981" s="378" t="s">
        <v>2789</v>
      </c>
      <c r="M2981" s="380"/>
      <c r="N2981" s="380">
        <v>14.628571428571433</v>
      </c>
      <c r="O2981" s="380"/>
      <c r="P2981" s="380"/>
      <c r="Q2981" s="381">
        <v>46.9</v>
      </c>
      <c r="R2981" s="381">
        <v>47.3</v>
      </c>
      <c r="S2981" s="381">
        <v>-0.442</v>
      </c>
      <c r="T2981" s="381"/>
      <c r="U2981" s="381"/>
      <c r="V2981" s="382">
        <v>47.3</v>
      </c>
      <c r="W2981" s="382">
        <v>0</v>
      </c>
      <c r="X2981" s="381">
        <v>3.2060546874999987</v>
      </c>
      <c r="Y2981" s="381">
        <v>3.2333984374999987</v>
      </c>
      <c r="Z2981" s="381">
        <v>-3.0214843749999991E-2</v>
      </c>
      <c r="AA2981" s="381">
        <v>0</v>
      </c>
      <c r="AB2981" s="381">
        <v>0</v>
      </c>
      <c r="AC2981" s="382">
        <v>3.2333984374999987</v>
      </c>
      <c r="AD2981" s="382">
        <v>0</v>
      </c>
      <c r="AE2981" s="381" t="s">
        <v>168</v>
      </c>
    </row>
    <row r="2982" spans="1:31" ht="15" customHeight="1" x14ac:dyDescent="0.25">
      <c r="A2982" s="20" t="s">
        <v>4364</v>
      </c>
      <c r="B2982" s="378" t="s">
        <v>4365</v>
      </c>
      <c r="C2982" s="20" t="s">
        <v>4365</v>
      </c>
      <c r="D2982" s="378" t="s">
        <v>4385</v>
      </c>
      <c r="E2982" s="384">
        <v>45061</v>
      </c>
      <c r="F2982" s="384">
        <v>46888</v>
      </c>
      <c r="G2982" s="378" t="s">
        <v>439</v>
      </c>
      <c r="H2982" s="20" t="s">
        <v>4367</v>
      </c>
      <c r="I2982" s="20" t="s">
        <v>162</v>
      </c>
      <c r="J2982" s="20" t="s">
        <v>163</v>
      </c>
      <c r="K2982" s="378" t="s">
        <v>4368</v>
      </c>
      <c r="L2982" s="378" t="s">
        <v>2789</v>
      </c>
      <c r="M2982" s="380"/>
      <c r="N2982" s="380">
        <v>13.7</v>
      </c>
      <c r="O2982" s="380"/>
      <c r="P2982" s="380"/>
      <c r="Q2982" s="381">
        <v>48.1</v>
      </c>
      <c r="R2982" s="381">
        <v>48.5</v>
      </c>
      <c r="S2982" s="381">
        <v>-0.45400000000000001</v>
      </c>
      <c r="T2982" s="381"/>
      <c r="U2982" s="381"/>
      <c r="V2982" s="382">
        <v>48.5</v>
      </c>
      <c r="W2982" s="382">
        <v>0</v>
      </c>
      <c r="X2982" s="381">
        <v>3.5109489051094895</v>
      </c>
      <c r="Y2982" s="381">
        <v>3.5401459854014599</v>
      </c>
      <c r="Z2982" s="381">
        <v>-3.3138686131386867E-2</v>
      </c>
      <c r="AA2982" s="381">
        <v>0</v>
      </c>
      <c r="AB2982" s="381">
        <v>0</v>
      </c>
      <c r="AC2982" s="382">
        <v>3.5401459854014599</v>
      </c>
      <c r="AD2982" s="382">
        <v>0</v>
      </c>
      <c r="AE2982" s="381" t="s">
        <v>168</v>
      </c>
    </row>
    <row r="2983" spans="1:31" ht="15" customHeight="1" x14ac:dyDescent="0.25">
      <c r="A2983" s="20" t="s">
        <v>4364</v>
      </c>
      <c r="B2983" s="378" t="s">
        <v>4365</v>
      </c>
      <c r="C2983" s="20" t="s">
        <v>4365</v>
      </c>
      <c r="D2983" s="378" t="s">
        <v>4386</v>
      </c>
      <c r="E2983" s="384">
        <v>45061</v>
      </c>
      <c r="F2983" s="384">
        <v>46888</v>
      </c>
      <c r="G2983" s="378" t="s">
        <v>439</v>
      </c>
      <c r="H2983" s="20" t="s">
        <v>4367</v>
      </c>
      <c r="I2983" s="20" t="s">
        <v>162</v>
      </c>
      <c r="J2983" s="20" t="s">
        <v>163</v>
      </c>
      <c r="K2983" s="378" t="s">
        <v>4368</v>
      </c>
      <c r="L2983" s="378" t="s">
        <v>2789</v>
      </c>
      <c r="M2983" s="380"/>
      <c r="N2983" s="380">
        <v>13.2</v>
      </c>
      <c r="O2983" s="380"/>
      <c r="P2983" s="380"/>
      <c r="Q2983" s="381">
        <v>36.200000000000003</v>
      </c>
      <c r="R2983" s="381">
        <v>36.5</v>
      </c>
      <c r="S2983" s="381">
        <v>-0.32600000000000001</v>
      </c>
      <c r="T2983" s="381"/>
      <c r="U2983" s="381"/>
      <c r="V2983" s="382">
        <v>36.5</v>
      </c>
      <c r="W2983" s="382">
        <v>0</v>
      </c>
      <c r="X2983" s="381">
        <v>2.7424242424242427</v>
      </c>
      <c r="Y2983" s="381">
        <v>2.7651515151515151</v>
      </c>
      <c r="Z2983" s="381">
        <v>-2.46969696969697E-2</v>
      </c>
      <c r="AA2983" s="381">
        <v>0</v>
      </c>
      <c r="AB2983" s="381">
        <v>0</v>
      </c>
      <c r="AC2983" s="382">
        <v>2.7651515151515151</v>
      </c>
      <c r="AD2983" s="382">
        <v>0</v>
      </c>
      <c r="AE2983" s="381" t="s">
        <v>168</v>
      </c>
    </row>
    <row r="2984" spans="1:31" ht="15" customHeight="1" x14ac:dyDescent="0.25">
      <c r="A2984" s="20" t="s">
        <v>4364</v>
      </c>
      <c r="B2984" s="378" t="s">
        <v>4365</v>
      </c>
      <c r="C2984" s="20" t="s">
        <v>4365</v>
      </c>
      <c r="D2984" s="378" t="s">
        <v>4387</v>
      </c>
      <c r="E2984" s="384">
        <v>45061</v>
      </c>
      <c r="F2984" s="384">
        <v>46888</v>
      </c>
      <c r="G2984" s="378" t="s">
        <v>439</v>
      </c>
      <c r="H2984" s="20" t="s">
        <v>4367</v>
      </c>
      <c r="I2984" s="20" t="s">
        <v>162</v>
      </c>
      <c r="J2984" s="20" t="s">
        <v>163</v>
      </c>
      <c r="K2984" s="378" t="s">
        <v>4368</v>
      </c>
      <c r="L2984" s="378" t="s">
        <v>2789</v>
      </c>
      <c r="M2984" s="380"/>
      <c r="N2984" s="380">
        <v>13.2</v>
      </c>
      <c r="O2984" s="380"/>
      <c r="P2984" s="380"/>
      <c r="Q2984" s="381">
        <v>48.4</v>
      </c>
      <c r="R2984" s="381">
        <v>48.8</v>
      </c>
      <c r="S2984" s="381">
        <v>-0.372</v>
      </c>
      <c r="T2984" s="381"/>
      <c r="U2984" s="381"/>
      <c r="V2984" s="382">
        <v>48.8</v>
      </c>
      <c r="W2984" s="382">
        <v>0</v>
      </c>
      <c r="X2984" s="381">
        <v>3.666666666666667</v>
      </c>
      <c r="Y2984" s="381">
        <v>3.6969696969696968</v>
      </c>
      <c r="Z2984" s="381">
        <v>-2.8181818181818183E-2</v>
      </c>
      <c r="AA2984" s="381">
        <v>0</v>
      </c>
      <c r="AB2984" s="381">
        <v>0</v>
      </c>
      <c r="AC2984" s="382">
        <v>3.6969696969696968</v>
      </c>
      <c r="AD2984" s="382">
        <v>0</v>
      </c>
      <c r="AE2984" s="381" t="s">
        <v>168</v>
      </c>
    </row>
    <row r="2985" spans="1:31" ht="15" customHeight="1" x14ac:dyDescent="0.25">
      <c r="A2985" s="20" t="s">
        <v>4364</v>
      </c>
      <c r="B2985" s="378" t="s">
        <v>4365</v>
      </c>
      <c r="C2985" s="20" t="s">
        <v>4365</v>
      </c>
      <c r="D2985" s="378" t="s">
        <v>4388</v>
      </c>
      <c r="E2985" s="384">
        <v>45061</v>
      </c>
      <c r="F2985" s="384">
        <v>46888</v>
      </c>
      <c r="G2985" s="378" t="s">
        <v>439</v>
      </c>
      <c r="H2985" s="20" t="s">
        <v>4367</v>
      </c>
      <c r="I2985" s="20" t="s">
        <v>162</v>
      </c>
      <c r="J2985" s="20" t="s">
        <v>163</v>
      </c>
      <c r="K2985" s="378" t="s">
        <v>4368</v>
      </c>
      <c r="L2985" s="378" t="s">
        <v>2789</v>
      </c>
      <c r="M2985" s="380"/>
      <c r="N2985" s="380">
        <v>11.314285714285715</v>
      </c>
      <c r="O2985" s="380"/>
      <c r="P2985" s="380"/>
      <c r="Q2985" s="381">
        <v>37.5</v>
      </c>
      <c r="R2985" s="381">
        <v>37.799999999999997</v>
      </c>
      <c r="S2985" s="381">
        <v>-0.249</v>
      </c>
      <c r="T2985" s="381"/>
      <c r="U2985" s="381"/>
      <c r="V2985" s="382">
        <v>37.799999999999997</v>
      </c>
      <c r="W2985" s="382">
        <v>0</v>
      </c>
      <c r="X2985" s="381">
        <v>3.314393939393939</v>
      </c>
      <c r="Y2985" s="381">
        <v>3.3409090909090904</v>
      </c>
      <c r="Z2985" s="381">
        <v>-2.2007575757575757E-2</v>
      </c>
      <c r="AA2985" s="381">
        <v>0</v>
      </c>
      <c r="AB2985" s="381">
        <v>0</v>
      </c>
      <c r="AC2985" s="382">
        <v>3.3409090909090904</v>
      </c>
      <c r="AD2985" s="382">
        <v>0</v>
      </c>
      <c r="AE2985" s="381" t="s">
        <v>168</v>
      </c>
    </row>
    <row r="2986" spans="1:31" ht="15" customHeight="1" x14ac:dyDescent="0.25">
      <c r="A2986" s="20" t="s">
        <v>4364</v>
      </c>
      <c r="B2986" s="378" t="s">
        <v>4365</v>
      </c>
      <c r="C2986" s="20" t="s">
        <v>4365</v>
      </c>
      <c r="D2986" s="378" t="s">
        <v>4389</v>
      </c>
      <c r="E2986" s="384">
        <v>45061</v>
      </c>
      <c r="F2986" s="384">
        <v>46888</v>
      </c>
      <c r="G2986" s="378" t="s">
        <v>439</v>
      </c>
      <c r="H2986" s="20" t="s">
        <v>4390</v>
      </c>
      <c r="I2986" s="20" t="s">
        <v>162</v>
      </c>
      <c r="J2986" s="20" t="s">
        <v>163</v>
      </c>
      <c r="K2986" s="378" t="s">
        <v>4391</v>
      </c>
      <c r="L2986" s="378" t="s">
        <v>2789</v>
      </c>
      <c r="M2986" s="380"/>
      <c r="N2986" s="380">
        <v>21.942857142857147</v>
      </c>
      <c r="O2986" s="380"/>
      <c r="P2986" s="380"/>
      <c r="Q2986" s="381">
        <v>65.400000000000006</v>
      </c>
      <c r="R2986" s="381">
        <v>65.900000000000006</v>
      </c>
      <c r="S2986" s="381">
        <v>-0.52700000000000002</v>
      </c>
      <c r="T2986" s="381"/>
      <c r="U2986" s="381"/>
      <c r="V2986" s="382">
        <v>65.900000000000006</v>
      </c>
      <c r="W2986" s="382">
        <v>0</v>
      </c>
      <c r="X2986" s="381">
        <v>2.9804687499999996</v>
      </c>
      <c r="Y2986" s="381">
        <v>3.003255208333333</v>
      </c>
      <c r="Z2986" s="381">
        <v>-2.401692708333333E-2</v>
      </c>
      <c r="AA2986" s="381">
        <v>0</v>
      </c>
      <c r="AB2986" s="381">
        <v>0</v>
      </c>
      <c r="AC2986" s="382">
        <v>3.003255208333333</v>
      </c>
      <c r="AD2986" s="382">
        <v>0</v>
      </c>
      <c r="AE2986" s="381" t="s">
        <v>168</v>
      </c>
    </row>
    <row r="2987" spans="1:31" ht="15" customHeight="1" x14ac:dyDescent="0.25">
      <c r="A2987" s="20" t="s">
        <v>4364</v>
      </c>
      <c r="B2987" s="378" t="s">
        <v>4365</v>
      </c>
      <c r="C2987" s="20" t="s">
        <v>4365</v>
      </c>
      <c r="D2987" s="378" t="s">
        <v>4392</v>
      </c>
      <c r="E2987" s="384">
        <v>45061</v>
      </c>
      <c r="F2987" s="384">
        <v>46888</v>
      </c>
      <c r="G2987" s="378" t="s">
        <v>439</v>
      </c>
      <c r="H2987" s="20" t="s">
        <v>4367</v>
      </c>
      <c r="I2987" s="20" t="s">
        <v>162</v>
      </c>
      <c r="J2987" s="20" t="s">
        <v>163</v>
      </c>
      <c r="K2987" s="378" t="s">
        <v>4368</v>
      </c>
      <c r="L2987" s="378" t="s">
        <v>2789</v>
      </c>
      <c r="M2987" s="380"/>
      <c r="N2987" s="380">
        <v>9.4285714285714288</v>
      </c>
      <c r="O2987" s="380"/>
      <c r="P2987" s="380"/>
      <c r="Q2987" s="381">
        <v>41.3</v>
      </c>
      <c r="R2987" s="381">
        <v>41.6</v>
      </c>
      <c r="S2987" s="381">
        <v>-0.25</v>
      </c>
      <c r="T2987" s="381"/>
      <c r="U2987" s="381"/>
      <c r="V2987" s="382">
        <v>41.6</v>
      </c>
      <c r="W2987" s="382">
        <v>0</v>
      </c>
      <c r="X2987" s="381">
        <v>4.3803030303030299</v>
      </c>
      <c r="Y2987" s="381">
        <v>4.4121212121212121</v>
      </c>
      <c r="Z2987" s="381">
        <v>-2.6515151515151516E-2</v>
      </c>
      <c r="AA2987" s="381">
        <v>0</v>
      </c>
      <c r="AB2987" s="381">
        <v>0</v>
      </c>
      <c r="AC2987" s="382">
        <v>4.4121212121212121</v>
      </c>
      <c r="AD2987" s="382">
        <v>0</v>
      </c>
      <c r="AE2987" s="381" t="s">
        <v>168</v>
      </c>
    </row>
    <row r="2988" spans="1:31" ht="15" customHeight="1" x14ac:dyDescent="0.25">
      <c r="A2988" s="20" t="s">
        <v>4364</v>
      </c>
      <c r="B2988" s="378" t="s">
        <v>4365</v>
      </c>
      <c r="C2988" s="20" t="s">
        <v>4365</v>
      </c>
      <c r="D2988" s="378" t="s">
        <v>4393</v>
      </c>
      <c r="E2988" s="384">
        <v>45061</v>
      </c>
      <c r="F2988" s="384">
        <v>46888</v>
      </c>
      <c r="G2988" s="378" t="s">
        <v>439</v>
      </c>
      <c r="H2988" s="20" t="s">
        <v>4390</v>
      </c>
      <c r="I2988" s="20" t="s">
        <v>162</v>
      </c>
      <c r="J2988" s="20" t="s">
        <v>163</v>
      </c>
      <c r="K2988" s="378" t="s">
        <v>4391</v>
      </c>
      <c r="L2988" s="378" t="s">
        <v>2789</v>
      </c>
      <c r="M2988" s="380"/>
      <c r="N2988" s="380">
        <v>25.6</v>
      </c>
      <c r="O2988" s="380"/>
      <c r="P2988" s="380"/>
      <c r="Q2988" s="381">
        <v>69.2</v>
      </c>
      <c r="R2988" s="381">
        <v>69.7</v>
      </c>
      <c r="S2988" s="381">
        <v>-0.52800000000000002</v>
      </c>
      <c r="T2988" s="381"/>
      <c r="U2988" s="381"/>
      <c r="V2988" s="382">
        <v>69.7</v>
      </c>
      <c r="W2988" s="382">
        <v>0</v>
      </c>
      <c r="X2988" s="381">
        <v>2.703125</v>
      </c>
      <c r="Y2988" s="381">
        <v>2.72265625</v>
      </c>
      <c r="Z2988" s="381">
        <v>-2.0625000000000001E-2</v>
      </c>
      <c r="AA2988" s="381">
        <v>0</v>
      </c>
      <c r="AB2988" s="381">
        <v>0</v>
      </c>
      <c r="AC2988" s="382">
        <v>2.72265625</v>
      </c>
      <c r="AD2988" s="382">
        <v>0</v>
      </c>
      <c r="AE2988" s="381" t="s">
        <v>168</v>
      </c>
    </row>
    <row r="2989" spans="1:31" ht="15" customHeight="1" x14ac:dyDescent="0.25">
      <c r="A2989" s="20" t="s">
        <v>4364</v>
      </c>
      <c r="B2989" s="378" t="s">
        <v>4365</v>
      </c>
      <c r="C2989" s="20" t="s">
        <v>4365</v>
      </c>
      <c r="D2989" s="378" t="s">
        <v>4394</v>
      </c>
      <c r="E2989" s="384">
        <v>45061</v>
      </c>
      <c r="F2989" s="384">
        <v>46888</v>
      </c>
      <c r="G2989" s="378" t="s">
        <v>439</v>
      </c>
      <c r="H2989" s="20" t="s">
        <v>4367</v>
      </c>
      <c r="I2989" s="20" t="s">
        <v>162</v>
      </c>
      <c r="J2989" s="20" t="s">
        <v>163</v>
      </c>
      <c r="K2989" s="378" t="s">
        <v>4368</v>
      </c>
      <c r="L2989" s="378" t="s">
        <v>2789</v>
      </c>
      <c r="M2989" s="380"/>
      <c r="N2989" s="380">
        <v>13.2</v>
      </c>
      <c r="O2989" s="380"/>
      <c r="P2989" s="380"/>
      <c r="Q2989" s="381">
        <v>44.7</v>
      </c>
      <c r="R2989" s="381">
        <v>45</v>
      </c>
      <c r="S2989" s="381">
        <v>-0.371</v>
      </c>
      <c r="T2989" s="381"/>
      <c r="U2989" s="381"/>
      <c r="V2989" s="382">
        <v>45</v>
      </c>
      <c r="W2989" s="382">
        <v>0</v>
      </c>
      <c r="X2989" s="381">
        <v>3.3863636363636367</v>
      </c>
      <c r="Y2989" s="381">
        <v>3.4090909090909092</v>
      </c>
      <c r="Z2989" s="381">
        <v>-2.8106060606060607E-2</v>
      </c>
      <c r="AA2989" s="381">
        <v>0</v>
      </c>
      <c r="AB2989" s="381">
        <v>0</v>
      </c>
      <c r="AC2989" s="382">
        <v>3.4090909090909092</v>
      </c>
      <c r="AD2989" s="382">
        <v>0</v>
      </c>
      <c r="AE2989" s="381" t="s">
        <v>168</v>
      </c>
    </row>
    <row r="2990" spans="1:31" ht="15" customHeight="1" x14ac:dyDescent="0.25">
      <c r="A2990" s="20" t="s">
        <v>4364</v>
      </c>
      <c r="B2990" s="378" t="s">
        <v>4365</v>
      </c>
      <c r="C2990" s="20" t="s">
        <v>4365</v>
      </c>
      <c r="D2990" s="378" t="s">
        <v>4395</v>
      </c>
      <c r="E2990" s="384">
        <v>45061</v>
      </c>
      <c r="F2990" s="384">
        <v>46888</v>
      </c>
      <c r="G2990" s="378" t="s">
        <v>439</v>
      </c>
      <c r="H2990" s="20" t="s">
        <v>4367</v>
      </c>
      <c r="I2990" s="20" t="s">
        <v>162</v>
      </c>
      <c r="J2990" s="20" t="s">
        <v>163</v>
      </c>
      <c r="K2990" s="378" t="s">
        <v>4368</v>
      </c>
      <c r="L2990" s="378" t="s">
        <v>2789</v>
      </c>
      <c r="M2990" s="380"/>
      <c r="N2990" s="380">
        <v>13.200000000000003</v>
      </c>
      <c r="O2990" s="380"/>
      <c r="P2990" s="380"/>
      <c r="Q2990" s="381">
        <v>45.5</v>
      </c>
      <c r="R2990" s="381">
        <v>45.8</v>
      </c>
      <c r="S2990" s="381">
        <v>-0.32700000000000001</v>
      </c>
      <c r="T2990" s="381"/>
      <c r="U2990" s="381"/>
      <c r="V2990" s="382">
        <v>45.8</v>
      </c>
      <c r="W2990" s="382">
        <v>0</v>
      </c>
      <c r="X2990" s="381">
        <v>3.4469696969696964</v>
      </c>
      <c r="Y2990" s="381">
        <v>3.4696969696969688</v>
      </c>
      <c r="Z2990" s="381">
        <v>-2.4772727272727269E-2</v>
      </c>
      <c r="AA2990" s="381">
        <v>0</v>
      </c>
      <c r="AB2990" s="381">
        <v>0</v>
      </c>
      <c r="AC2990" s="382">
        <v>3.4696969696969688</v>
      </c>
      <c r="AD2990" s="382">
        <v>0</v>
      </c>
      <c r="AE2990" s="381" t="s">
        <v>168</v>
      </c>
    </row>
    <row r="2991" spans="1:31" ht="15" customHeight="1" x14ac:dyDescent="0.25">
      <c r="A2991" s="20" t="s">
        <v>4364</v>
      </c>
      <c r="B2991" s="378" t="s">
        <v>4365</v>
      </c>
      <c r="C2991" s="20" t="s">
        <v>4365</v>
      </c>
      <c r="D2991" s="378" t="s">
        <v>4396</v>
      </c>
      <c r="E2991" s="384">
        <v>45061</v>
      </c>
      <c r="F2991" s="384">
        <v>46888</v>
      </c>
      <c r="G2991" s="378" t="s">
        <v>439</v>
      </c>
      <c r="H2991" s="20" t="s">
        <v>4367</v>
      </c>
      <c r="I2991" s="20" t="s">
        <v>162</v>
      </c>
      <c r="J2991" s="20" t="s">
        <v>163</v>
      </c>
      <c r="K2991" s="378" t="s">
        <v>4368</v>
      </c>
      <c r="L2991" s="378" t="s">
        <v>2789</v>
      </c>
      <c r="M2991" s="380"/>
      <c r="N2991" s="380">
        <v>11.6</v>
      </c>
      <c r="O2991" s="380"/>
      <c r="P2991" s="380"/>
      <c r="Q2991" s="381">
        <v>42.1</v>
      </c>
      <c r="R2991" s="381">
        <v>42.3</v>
      </c>
      <c r="S2991" s="381">
        <v>-0.25800000000000001</v>
      </c>
      <c r="T2991" s="381"/>
      <c r="U2991" s="381"/>
      <c r="V2991" s="382">
        <v>42.3</v>
      </c>
      <c r="W2991" s="382">
        <v>0</v>
      </c>
      <c r="X2991" s="381">
        <v>3.6293103448275863</v>
      </c>
      <c r="Y2991" s="381">
        <v>3.646551724137931</v>
      </c>
      <c r="Z2991" s="381">
        <v>-2.2241379310344828E-2</v>
      </c>
      <c r="AA2991" s="381">
        <v>0</v>
      </c>
      <c r="AB2991" s="381">
        <v>0</v>
      </c>
      <c r="AC2991" s="382">
        <v>3.646551724137931</v>
      </c>
      <c r="AD2991" s="382">
        <v>0</v>
      </c>
      <c r="AE2991" s="381" t="s">
        <v>168</v>
      </c>
    </row>
    <row r="2992" spans="1:31" ht="15" customHeight="1" x14ac:dyDescent="0.25">
      <c r="A2992" s="20" t="s">
        <v>4364</v>
      </c>
      <c r="B2992" s="378" t="s">
        <v>4365</v>
      </c>
      <c r="C2992" s="20" t="s">
        <v>4365</v>
      </c>
      <c r="D2992" s="378" t="s">
        <v>4397</v>
      </c>
      <c r="E2992" s="384">
        <v>44130</v>
      </c>
      <c r="F2992" s="384">
        <v>46686</v>
      </c>
      <c r="G2992" s="378" t="s">
        <v>4398</v>
      </c>
      <c r="H2992" s="20" t="s">
        <v>4399</v>
      </c>
      <c r="I2992" s="20" t="s">
        <v>162</v>
      </c>
      <c r="J2992" s="20" t="s">
        <v>163</v>
      </c>
      <c r="K2992" s="378" t="s">
        <v>4400</v>
      </c>
      <c r="L2992" s="378" t="s">
        <v>2789</v>
      </c>
      <c r="M2992" s="380"/>
      <c r="N2992" s="380">
        <v>13.1</v>
      </c>
      <c r="O2992" s="380"/>
      <c r="P2992" s="380"/>
      <c r="Q2992" s="381">
        <v>55.6</v>
      </c>
      <c r="R2992" s="381">
        <v>55.8</v>
      </c>
      <c r="S2992" s="381">
        <v>-0.16700000000000001</v>
      </c>
      <c r="T2992" s="381"/>
      <c r="U2992" s="381"/>
      <c r="V2992" s="382">
        <v>55.8</v>
      </c>
      <c r="W2992" s="382">
        <v>0</v>
      </c>
      <c r="X2992" s="381">
        <v>4.2442748091603058</v>
      </c>
      <c r="Y2992" s="381">
        <v>4.2595419847328246</v>
      </c>
      <c r="Z2992" s="381">
        <v>-1.2748091603053437E-2</v>
      </c>
      <c r="AA2992" s="381">
        <v>0</v>
      </c>
      <c r="AB2992" s="381">
        <v>0</v>
      </c>
      <c r="AC2992" s="382">
        <v>4.2595419847328246</v>
      </c>
      <c r="AD2992" s="382">
        <v>0</v>
      </c>
      <c r="AE2992" s="381" t="s">
        <v>168</v>
      </c>
    </row>
    <row r="2993" spans="1:31" ht="15" customHeight="1" x14ac:dyDescent="0.25">
      <c r="A2993" s="20" t="s">
        <v>4364</v>
      </c>
      <c r="B2993" s="378" t="s">
        <v>4365</v>
      </c>
      <c r="C2993" s="20" t="s">
        <v>4365</v>
      </c>
      <c r="D2993" s="378" t="s">
        <v>4401</v>
      </c>
      <c r="E2993" s="384">
        <v>44860</v>
      </c>
      <c r="F2993" s="384">
        <v>46686</v>
      </c>
      <c r="G2993" s="378" t="s">
        <v>4398</v>
      </c>
      <c r="H2993" s="20" t="s">
        <v>4402</v>
      </c>
      <c r="I2993" s="20" t="s">
        <v>3971</v>
      </c>
      <c r="J2993" s="20" t="s">
        <v>163</v>
      </c>
      <c r="K2993" s="378" t="s">
        <v>4403</v>
      </c>
      <c r="L2993" s="378" t="s">
        <v>2789</v>
      </c>
      <c r="M2993" s="380"/>
      <c r="N2993" s="380">
        <v>13.1</v>
      </c>
      <c r="O2993" s="380"/>
      <c r="P2993" s="380"/>
      <c r="Q2993" s="381">
        <v>55.6</v>
      </c>
      <c r="R2993" s="381">
        <v>55.8</v>
      </c>
      <c r="S2993" s="381">
        <v>-0.16700000000000001</v>
      </c>
      <c r="T2993" s="381"/>
      <c r="U2993" s="381"/>
      <c r="V2993" s="382">
        <v>55.8</v>
      </c>
      <c r="W2993" s="382">
        <v>0</v>
      </c>
      <c r="X2993" s="381">
        <v>4.2442748091603058</v>
      </c>
      <c r="Y2993" s="381">
        <v>4.2595419847328246</v>
      </c>
      <c r="Z2993" s="381">
        <v>-1.2748091603053437E-2</v>
      </c>
      <c r="AA2993" s="381">
        <v>0</v>
      </c>
      <c r="AB2993" s="381">
        <v>0</v>
      </c>
      <c r="AC2993" s="382">
        <v>4.2595419847328246</v>
      </c>
      <c r="AD2993" s="382">
        <v>0</v>
      </c>
      <c r="AE2993" s="381" t="s">
        <v>168</v>
      </c>
    </row>
    <row r="2994" spans="1:31" ht="15" customHeight="1" x14ac:dyDescent="0.25">
      <c r="A2994" s="20" t="s">
        <v>4364</v>
      </c>
      <c r="B2994" s="378" t="s">
        <v>4365</v>
      </c>
      <c r="C2994" s="20" t="s">
        <v>4365</v>
      </c>
      <c r="D2994" s="378" t="s">
        <v>4404</v>
      </c>
      <c r="E2994" s="384">
        <v>44860</v>
      </c>
      <c r="F2994" s="384">
        <v>46686</v>
      </c>
      <c r="G2994" s="378" t="s">
        <v>4398</v>
      </c>
      <c r="H2994" s="20" t="s">
        <v>4405</v>
      </c>
      <c r="I2994" s="20" t="s">
        <v>3971</v>
      </c>
      <c r="J2994" s="20" t="s">
        <v>163</v>
      </c>
      <c r="K2994" s="378" t="s">
        <v>4406</v>
      </c>
      <c r="L2994" s="378" t="s">
        <v>2789</v>
      </c>
      <c r="M2994" s="380"/>
      <c r="N2994" s="380">
        <v>14.7</v>
      </c>
      <c r="O2994" s="380"/>
      <c r="P2994" s="380"/>
      <c r="Q2994" s="381">
        <v>61.7</v>
      </c>
      <c r="R2994" s="381">
        <v>61.8</v>
      </c>
      <c r="S2994" s="381">
        <v>-0.11799999999999999</v>
      </c>
      <c r="T2994" s="381"/>
      <c r="U2994" s="381"/>
      <c r="V2994" s="382">
        <v>61.8</v>
      </c>
      <c r="W2994" s="382">
        <v>0</v>
      </c>
      <c r="X2994" s="381">
        <v>4.1972789115646263</v>
      </c>
      <c r="Y2994" s="381">
        <v>4.204081632653061</v>
      </c>
      <c r="Z2994" s="381">
        <v>-8.0272108843537412E-3</v>
      </c>
      <c r="AA2994" s="381">
        <v>0</v>
      </c>
      <c r="AB2994" s="381">
        <v>0</v>
      </c>
      <c r="AC2994" s="382">
        <v>4.204081632653061</v>
      </c>
      <c r="AD2994" s="382">
        <v>0</v>
      </c>
      <c r="AE2994" s="381" t="s">
        <v>168</v>
      </c>
    </row>
    <row r="2995" spans="1:31" ht="15" customHeight="1" x14ac:dyDescent="0.25">
      <c r="A2995" s="20" t="s">
        <v>4364</v>
      </c>
      <c r="B2995" s="378" t="s">
        <v>4365</v>
      </c>
      <c r="C2995" s="20" t="s">
        <v>4365</v>
      </c>
      <c r="D2995" s="378" t="s">
        <v>4407</v>
      </c>
      <c r="E2995" s="384">
        <v>44860</v>
      </c>
      <c r="F2995" s="384">
        <v>46686</v>
      </c>
      <c r="G2995" s="378" t="s">
        <v>4398</v>
      </c>
      <c r="H2995" s="20" t="s">
        <v>4408</v>
      </c>
      <c r="I2995" s="20" t="s">
        <v>162</v>
      </c>
      <c r="J2995" s="20" t="s">
        <v>163</v>
      </c>
      <c r="K2995" s="378" t="s">
        <v>4409</v>
      </c>
      <c r="L2995" s="378" t="s">
        <v>2789</v>
      </c>
      <c r="M2995" s="380"/>
      <c r="N2995" s="380">
        <v>14.7</v>
      </c>
      <c r="O2995" s="380"/>
      <c r="P2995" s="380"/>
      <c r="Q2995" s="381">
        <v>62.3</v>
      </c>
      <c r="R2995" s="381">
        <v>62.4</v>
      </c>
      <c r="S2995" s="381">
        <v>-0.14099999999999999</v>
      </c>
      <c r="T2995" s="381"/>
      <c r="U2995" s="381"/>
      <c r="V2995" s="382">
        <v>62.4</v>
      </c>
      <c r="W2995" s="382">
        <v>0</v>
      </c>
      <c r="X2995" s="381">
        <v>4.2380952380952381</v>
      </c>
      <c r="Y2995" s="381">
        <v>4.2448979591836737</v>
      </c>
      <c r="Z2995" s="381">
        <v>-9.5918367346938763E-3</v>
      </c>
      <c r="AA2995" s="381">
        <v>0</v>
      </c>
      <c r="AB2995" s="381">
        <v>0</v>
      </c>
      <c r="AC2995" s="382">
        <v>4.2448979591836737</v>
      </c>
      <c r="AD2995" s="382">
        <v>0</v>
      </c>
      <c r="AE2995" s="381" t="s">
        <v>168</v>
      </c>
    </row>
    <row r="2996" spans="1:31" ht="15" customHeight="1" x14ac:dyDescent="0.25">
      <c r="A2996" s="20" t="s">
        <v>4364</v>
      </c>
      <c r="B2996" s="378" t="s">
        <v>4365</v>
      </c>
      <c r="C2996" s="20" t="s">
        <v>4365</v>
      </c>
      <c r="D2996" s="378" t="s">
        <v>4410</v>
      </c>
      <c r="E2996" s="384">
        <v>44860</v>
      </c>
      <c r="F2996" s="384">
        <v>46686</v>
      </c>
      <c r="G2996" s="378" t="s">
        <v>4398</v>
      </c>
      <c r="H2996" s="20" t="s">
        <v>4411</v>
      </c>
      <c r="I2996" s="20" t="s">
        <v>162</v>
      </c>
      <c r="J2996" s="20" t="s">
        <v>163</v>
      </c>
      <c r="K2996" s="378" t="s">
        <v>4412</v>
      </c>
      <c r="L2996" s="378" t="s">
        <v>2789</v>
      </c>
      <c r="M2996" s="380"/>
      <c r="N2996" s="380">
        <v>14.7</v>
      </c>
      <c r="O2996" s="380"/>
      <c r="P2996" s="380"/>
      <c r="Q2996" s="381">
        <v>62.4</v>
      </c>
      <c r="R2996" s="381">
        <v>62.5</v>
      </c>
      <c r="S2996" s="381">
        <v>-0.14099999999999999</v>
      </c>
      <c r="T2996" s="381"/>
      <c r="U2996" s="381"/>
      <c r="V2996" s="382">
        <v>62.5</v>
      </c>
      <c r="W2996" s="382">
        <v>0</v>
      </c>
      <c r="X2996" s="381">
        <v>4.2448979591836737</v>
      </c>
      <c r="Y2996" s="381">
        <v>4.2517006802721093</v>
      </c>
      <c r="Z2996" s="381">
        <v>-9.5918367346938763E-3</v>
      </c>
      <c r="AA2996" s="381">
        <v>0</v>
      </c>
      <c r="AB2996" s="381">
        <v>0</v>
      </c>
      <c r="AC2996" s="382">
        <v>4.2517006802721093</v>
      </c>
      <c r="AD2996" s="382">
        <v>0</v>
      </c>
      <c r="AE2996" s="381" t="s">
        <v>168</v>
      </c>
    </row>
    <row r="2997" spans="1:31" ht="15" customHeight="1" x14ac:dyDescent="0.25">
      <c r="A2997" s="20" t="s">
        <v>4364</v>
      </c>
      <c r="B2997" s="378" t="s">
        <v>4365</v>
      </c>
      <c r="C2997" s="20" t="s">
        <v>4365</v>
      </c>
      <c r="D2997" s="378" t="s">
        <v>4413</v>
      </c>
      <c r="E2997" s="384">
        <v>44860</v>
      </c>
      <c r="F2997" s="384">
        <v>46686</v>
      </c>
      <c r="G2997" s="378" t="s">
        <v>4398</v>
      </c>
      <c r="H2997" s="20" t="s">
        <v>4414</v>
      </c>
      <c r="I2997" s="20" t="s">
        <v>3971</v>
      </c>
      <c r="J2997" s="20" t="s">
        <v>163</v>
      </c>
      <c r="K2997" s="378" t="s">
        <v>4415</v>
      </c>
      <c r="L2997" s="378" t="s">
        <v>2789</v>
      </c>
      <c r="M2997" s="380"/>
      <c r="N2997" s="380">
        <v>13.9</v>
      </c>
      <c r="O2997" s="380"/>
      <c r="P2997" s="380"/>
      <c r="Q2997" s="381">
        <v>63.6</v>
      </c>
      <c r="R2997" s="381">
        <v>63.7</v>
      </c>
      <c r="S2997" s="381">
        <v>-0.14299999999999999</v>
      </c>
      <c r="T2997" s="381"/>
      <c r="U2997" s="381"/>
      <c r="V2997" s="382">
        <v>63.7</v>
      </c>
      <c r="W2997" s="382">
        <v>0</v>
      </c>
      <c r="X2997" s="381">
        <v>4.5755395683453237</v>
      </c>
      <c r="Y2997" s="381">
        <v>4.5827338129496402</v>
      </c>
      <c r="Z2997" s="381">
        <v>-1.0287769784172661E-2</v>
      </c>
      <c r="AA2997" s="381">
        <v>0</v>
      </c>
      <c r="AB2997" s="381">
        <v>0</v>
      </c>
      <c r="AC2997" s="382">
        <v>4.5827338129496402</v>
      </c>
      <c r="AD2997" s="382">
        <v>0</v>
      </c>
      <c r="AE2997" s="381" t="s">
        <v>168</v>
      </c>
    </row>
    <row r="2998" spans="1:31" ht="15" customHeight="1" x14ac:dyDescent="0.25">
      <c r="A2998" s="20" t="s">
        <v>4364</v>
      </c>
      <c r="B2998" s="378" t="s">
        <v>4365</v>
      </c>
      <c r="C2998" s="20" t="s">
        <v>4365</v>
      </c>
      <c r="D2998" s="378" t="s">
        <v>4416</v>
      </c>
      <c r="E2998" s="384">
        <v>44860</v>
      </c>
      <c r="F2998" s="384">
        <v>46686</v>
      </c>
      <c r="G2998" s="378" t="s">
        <v>4398</v>
      </c>
      <c r="H2998" s="20" t="s">
        <v>4417</v>
      </c>
      <c r="I2998" s="20" t="s">
        <v>162</v>
      </c>
      <c r="J2998" s="20" t="s">
        <v>163</v>
      </c>
      <c r="K2998" s="378" t="s">
        <v>4418</v>
      </c>
      <c r="L2998" s="378" t="s">
        <v>2789</v>
      </c>
      <c r="M2998" s="380"/>
      <c r="N2998" s="380">
        <v>13.9</v>
      </c>
      <c r="O2998" s="380"/>
      <c r="P2998" s="380"/>
      <c r="Q2998" s="381">
        <v>66.2</v>
      </c>
      <c r="R2998" s="381">
        <v>66.3</v>
      </c>
      <c r="S2998" s="381">
        <v>-0.14299999999999999</v>
      </c>
      <c r="T2998" s="381"/>
      <c r="U2998" s="381"/>
      <c r="V2998" s="382">
        <v>66.3</v>
      </c>
      <c r="W2998" s="382">
        <v>0</v>
      </c>
      <c r="X2998" s="381">
        <v>4.7625899280575537</v>
      </c>
      <c r="Y2998" s="381">
        <v>4.7697841726618702</v>
      </c>
      <c r="Z2998" s="381">
        <v>-1.0287769784172661E-2</v>
      </c>
      <c r="AA2998" s="381">
        <v>0</v>
      </c>
      <c r="AB2998" s="381">
        <v>0</v>
      </c>
      <c r="AC2998" s="382">
        <v>4.7697841726618702</v>
      </c>
      <c r="AD2998" s="382">
        <v>0</v>
      </c>
      <c r="AE2998" s="381" t="s">
        <v>168</v>
      </c>
    </row>
    <row r="2999" spans="1:31" ht="15" customHeight="1" x14ac:dyDescent="0.25">
      <c r="A2999" s="20" t="s">
        <v>4364</v>
      </c>
      <c r="B2999" s="378" t="s">
        <v>4365</v>
      </c>
      <c r="C2999" s="20" t="s">
        <v>4365</v>
      </c>
      <c r="D2999" s="378" t="s">
        <v>4419</v>
      </c>
      <c r="E2999" s="384">
        <v>44860</v>
      </c>
      <c r="F2999" s="384">
        <v>46686</v>
      </c>
      <c r="G2999" s="378" t="s">
        <v>4398</v>
      </c>
      <c r="H2999" s="20" t="s">
        <v>4408</v>
      </c>
      <c r="I2999" s="20" t="s">
        <v>162</v>
      </c>
      <c r="J2999" s="20" t="s">
        <v>163</v>
      </c>
      <c r="K2999" s="378" t="s">
        <v>4409</v>
      </c>
      <c r="L2999" s="378" t="s">
        <v>2789</v>
      </c>
      <c r="M2999" s="380"/>
      <c r="N2999" s="380">
        <v>15.5</v>
      </c>
      <c r="O2999" s="380"/>
      <c r="P2999" s="380"/>
      <c r="Q2999" s="381">
        <v>69.2</v>
      </c>
      <c r="R2999" s="381">
        <v>69.3</v>
      </c>
      <c r="S2999" s="381">
        <v>-0.108</v>
      </c>
      <c r="T2999" s="381"/>
      <c r="U2999" s="381"/>
      <c r="V2999" s="382">
        <v>69.3</v>
      </c>
      <c r="W2999" s="382">
        <v>0</v>
      </c>
      <c r="X2999" s="381">
        <v>4.4645161290322584</v>
      </c>
      <c r="Y2999" s="381">
        <v>4.4709677419354836</v>
      </c>
      <c r="Z2999" s="381">
        <v>-6.9677419354838713E-3</v>
      </c>
      <c r="AA2999" s="381">
        <v>0</v>
      </c>
      <c r="AB2999" s="381">
        <v>0</v>
      </c>
      <c r="AC2999" s="382">
        <v>4.4709677419354836</v>
      </c>
      <c r="AD2999" s="382">
        <v>0</v>
      </c>
      <c r="AE2999" s="381" t="s">
        <v>168</v>
      </c>
    </row>
    <row r="3000" spans="1:31" ht="15" customHeight="1" x14ac:dyDescent="0.25">
      <c r="A3000" s="20" t="s">
        <v>4364</v>
      </c>
      <c r="B3000" s="378" t="s">
        <v>4365</v>
      </c>
      <c r="C3000" s="20" t="s">
        <v>4365</v>
      </c>
      <c r="D3000" s="378" t="s">
        <v>4420</v>
      </c>
      <c r="E3000" s="384">
        <v>44860</v>
      </c>
      <c r="F3000" s="384">
        <v>46686</v>
      </c>
      <c r="G3000" s="378" t="s">
        <v>4398</v>
      </c>
      <c r="H3000" s="20" t="s">
        <v>4411</v>
      </c>
      <c r="I3000" s="20" t="s">
        <v>162</v>
      </c>
      <c r="J3000" s="20" t="s">
        <v>163</v>
      </c>
      <c r="K3000" s="378" t="s">
        <v>4412</v>
      </c>
      <c r="L3000" s="378" t="s">
        <v>2789</v>
      </c>
      <c r="M3000" s="380"/>
      <c r="N3000" s="380">
        <v>15.5</v>
      </c>
      <c r="O3000" s="380"/>
      <c r="P3000" s="380"/>
      <c r="Q3000" s="381">
        <v>69.400000000000006</v>
      </c>
      <c r="R3000" s="381">
        <v>69.400000000000006</v>
      </c>
      <c r="S3000" s="381">
        <v>-0.108</v>
      </c>
      <c r="T3000" s="381"/>
      <c r="U3000" s="381"/>
      <c r="V3000" s="382">
        <v>69.400000000000006</v>
      </c>
      <c r="W3000" s="382">
        <v>0</v>
      </c>
      <c r="X3000" s="381">
        <v>4.4774193548387098</v>
      </c>
      <c r="Y3000" s="381">
        <v>4.4774193548387098</v>
      </c>
      <c r="Z3000" s="381">
        <v>-6.9677419354838713E-3</v>
      </c>
      <c r="AA3000" s="381">
        <v>0</v>
      </c>
      <c r="AB3000" s="381">
        <v>0</v>
      </c>
      <c r="AC3000" s="382">
        <v>4.4774193548387098</v>
      </c>
      <c r="AD3000" s="382">
        <v>0</v>
      </c>
      <c r="AE3000" s="381" t="s">
        <v>168</v>
      </c>
    </row>
    <row r="3001" spans="1:31" ht="15" customHeight="1" x14ac:dyDescent="0.25">
      <c r="A3001" s="20" t="s">
        <v>4364</v>
      </c>
      <c r="B3001" s="378" t="s">
        <v>4365</v>
      </c>
      <c r="C3001" s="20" t="s">
        <v>4365</v>
      </c>
      <c r="D3001" s="378" t="s">
        <v>4421</v>
      </c>
      <c r="E3001" s="384">
        <v>44860</v>
      </c>
      <c r="F3001" s="384">
        <v>46686</v>
      </c>
      <c r="G3001" s="378" t="s">
        <v>4398</v>
      </c>
      <c r="H3001" s="20" t="s">
        <v>4411</v>
      </c>
      <c r="I3001" s="20" t="s">
        <v>162</v>
      </c>
      <c r="J3001" s="20" t="s">
        <v>163</v>
      </c>
      <c r="K3001" s="378" t="s">
        <v>4412</v>
      </c>
      <c r="L3001" s="378" t="s">
        <v>2789</v>
      </c>
      <c r="M3001" s="380"/>
      <c r="N3001" s="380">
        <v>17.399999999999999</v>
      </c>
      <c r="O3001" s="380"/>
      <c r="P3001" s="380"/>
      <c r="Q3001" s="381">
        <v>82.6</v>
      </c>
      <c r="R3001" s="381">
        <v>82.6</v>
      </c>
      <c r="S3001" s="381">
        <v>-4.5100000000000001E-2</v>
      </c>
      <c r="T3001" s="381"/>
      <c r="U3001" s="381"/>
      <c r="V3001" s="382">
        <v>82.6</v>
      </c>
      <c r="W3001" s="382">
        <v>0</v>
      </c>
      <c r="X3001" s="381">
        <v>4.7471264367816088</v>
      </c>
      <c r="Y3001" s="381">
        <v>4.7471264367816088</v>
      </c>
      <c r="Z3001" s="381">
        <v>-2.5919540229885061E-3</v>
      </c>
      <c r="AA3001" s="381">
        <v>0</v>
      </c>
      <c r="AB3001" s="381">
        <v>0</v>
      </c>
      <c r="AC3001" s="382">
        <v>4.7471264367816088</v>
      </c>
      <c r="AD3001" s="382">
        <v>0</v>
      </c>
      <c r="AE3001" s="381" t="s">
        <v>168</v>
      </c>
    </row>
    <row r="3002" spans="1:31" ht="15" customHeight="1" x14ac:dyDescent="0.25">
      <c r="A3002" s="20" t="s">
        <v>4364</v>
      </c>
      <c r="B3002" s="378" t="s">
        <v>4365</v>
      </c>
      <c r="C3002" s="20" t="s">
        <v>4365</v>
      </c>
      <c r="D3002" s="378" t="s">
        <v>4422</v>
      </c>
      <c r="E3002" s="384">
        <v>44860</v>
      </c>
      <c r="F3002" s="384">
        <v>46686</v>
      </c>
      <c r="G3002" s="378" t="s">
        <v>4398</v>
      </c>
      <c r="H3002" s="20" t="s">
        <v>4408</v>
      </c>
      <c r="I3002" s="20" t="s">
        <v>162</v>
      </c>
      <c r="J3002" s="20" t="s">
        <v>163</v>
      </c>
      <c r="K3002" s="378" t="s">
        <v>4409</v>
      </c>
      <c r="L3002" s="378" t="s">
        <v>2789</v>
      </c>
      <c r="M3002" s="380"/>
      <c r="N3002" s="380">
        <v>17.399999999999999</v>
      </c>
      <c r="O3002" s="380"/>
      <c r="P3002" s="380"/>
      <c r="Q3002" s="381">
        <v>82.5</v>
      </c>
      <c r="R3002" s="381">
        <v>82.5</v>
      </c>
      <c r="S3002" s="381">
        <v>-4.4999999999999998E-2</v>
      </c>
      <c r="T3002" s="381"/>
      <c r="U3002" s="381"/>
      <c r="V3002" s="382">
        <v>82.5</v>
      </c>
      <c r="W3002" s="382">
        <v>0</v>
      </c>
      <c r="X3002" s="381">
        <v>4.7413793103448283</v>
      </c>
      <c r="Y3002" s="381">
        <v>4.7413793103448283</v>
      </c>
      <c r="Z3002" s="381">
        <v>-2.5862068965517241E-3</v>
      </c>
      <c r="AA3002" s="381">
        <v>0</v>
      </c>
      <c r="AB3002" s="381">
        <v>0</v>
      </c>
      <c r="AC3002" s="382">
        <v>4.7413793103448283</v>
      </c>
      <c r="AD3002" s="382">
        <v>0</v>
      </c>
      <c r="AE3002" s="381" t="s">
        <v>168</v>
      </c>
    </row>
    <row r="3003" spans="1:31" ht="15" customHeight="1" x14ac:dyDescent="0.25">
      <c r="A3003" s="20" t="s">
        <v>4364</v>
      </c>
      <c r="B3003" s="378" t="s">
        <v>4365</v>
      </c>
      <c r="C3003" s="20" t="s">
        <v>4365</v>
      </c>
      <c r="D3003" s="378" t="s">
        <v>4423</v>
      </c>
      <c r="E3003" s="384">
        <v>44860</v>
      </c>
      <c r="F3003" s="384">
        <v>46686</v>
      </c>
      <c r="G3003" s="378" t="s">
        <v>4398</v>
      </c>
      <c r="H3003" s="20" t="s">
        <v>4405</v>
      </c>
      <c r="I3003" s="20" t="s">
        <v>3971</v>
      </c>
      <c r="J3003" s="20" t="s">
        <v>163</v>
      </c>
      <c r="K3003" s="378" t="s">
        <v>4406</v>
      </c>
      <c r="L3003" s="378" t="s">
        <v>2789</v>
      </c>
      <c r="M3003" s="380"/>
      <c r="N3003" s="380">
        <v>15.5</v>
      </c>
      <c r="O3003" s="380"/>
      <c r="P3003" s="380"/>
      <c r="Q3003" s="381">
        <v>68.400000000000006</v>
      </c>
      <c r="R3003" s="381">
        <v>68.400000000000006</v>
      </c>
      <c r="S3003" s="381">
        <v>-8.6900000000000005E-2</v>
      </c>
      <c r="T3003" s="381"/>
      <c r="U3003" s="381"/>
      <c r="V3003" s="382">
        <v>68.400000000000006</v>
      </c>
      <c r="W3003" s="382">
        <v>0</v>
      </c>
      <c r="X3003" s="381">
        <v>4.4129032258064518</v>
      </c>
      <c r="Y3003" s="381">
        <v>4.4129032258064518</v>
      </c>
      <c r="Z3003" s="381">
        <v>-5.6064516129032257E-3</v>
      </c>
      <c r="AA3003" s="381">
        <v>0</v>
      </c>
      <c r="AB3003" s="381">
        <v>0</v>
      </c>
      <c r="AC3003" s="382">
        <v>4.4129032258064518</v>
      </c>
      <c r="AD3003" s="382">
        <v>0</v>
      </c>
      <c r="AE3003" s="381" t="s">
        <v>168</v>
      </c>
    </row>
    <row r="3004" spans="1:31" ht="15" customHeight="1" x14ac:dyDescent="0.25">
      <c r="A3004" s="20" t="s">
        <v>4364</v>
      </c>
      <c r="B3004" s="378" t="s">
        <v>4365</v>
      </c>
      <c r="C3004" s="20" t="s">
        <v>4365</v>
      </c>
      <c r="D3004" s="378" t="s">
        <v>4424</v>
      </c>
      <c r="E3004" s="384">
        <v>45061</v>
      </c>
      <c r="F3004" s="384">
        <v>46888</v>
      </c>
      <c r="G3004" s="378" t="s">
        <v>439</v>
      </c>
      <c r="H3004" s="20" t="s">
        <v>4425</v>
      </c>
      <c r="I3004" s="20" t="s">
        <v>162</v>
      </c>
      <c r="J3004" s="20" t="s">
        <v>163</v>
      </c>
      <c r="K3004" s="378" t="s">
        <v>4426</v>
      </c>
      <c r="L3004" s="378" t="s">
        <v>2789</v>
      </c>
      <c r="M3004" s="380"/>
      <c r="N3004" s="380">
        <v>17.399999999999999</v>
      </c>
      <c r="O3004" s="380"/>
      <c r="P3004" s="380"/>
      <c r="Q3004" s="381">
        <v>84.8</v>
      </c>
      <c r="R3004" s="381">
        <v>84.7</v>
      </c>
      <c r="S3004" s="381">
        <v>5.3400000000000003E-2</v>
      </c>
      <c r="T3004" s="381"/>
      <c r="U3004" s="381"/>
      <c r="V3004" s="382">
        <v>84.753399999999999</v>
      </c>
      <c r="W3004" s="382">
        <v>0</v>
      </c>
      <c r="X3004" s="381">
        <v>4.8735632183908049</v>
      </c>
      <c r="Y3004" s="381">
        <v>4.8678160919540234</v>
      </c>
      <c r="Z3004" s="381">
        <v>3.0689655172413798E-3</v>
      </c>
      <c r="AA3004" s="381">
        <v>0</v>
      </c>
      <c r="AB3004" s="381">
        <v>0</v>
      </c>
      <c r="AC3004" s="382">
        <v>4.8708850574712645</v>
      </c>
      <c r="AD3004" s="382">
        <v>0</v>
      </c>
      <c r="AE3004" s="381" t="s">
        <v>168</v>
      </c>
    </row>
    <row r="3005" spans="1:31" ht="15" customHeight="1" x14ac:dyDescent="0.25">
      <c r="A3005" s="20" t="s">
        <v>4364</v>
      </c>
      <c r="B3005" s="378" t="s">
        <v>4365</v>
      </c>
      <c r="C3005" s="20" t="s">
        <v>4365</v>
      </c>
      <c r="D3005" s="378" t="s">
        <v>4427</v>
      </c>
      <c r="E3005" s="384">
        <v>45061</v>
      </c>
      <c r="F3005" s="384">
        <v>46888</v>
      </c>
      <c r="G3005" s="378" t="s">
        <v>439</v>
      </c>
      <c r="H3005" s="20" t="s">
        <v>4425</v>
      </c>
      <c r="I3005" s="20" t="s">
        <v>162</v>
      </c>
      <c r="J3005" s="20" t="s">
        <v>163</v>
      </c>
      <c r="K3005" s="378" t="s">
        <v>4426</v>
      </c>
      <c r="L3005" s="378" t="s">
        <v>2789</v>
      </c>
      <c r="M3005" s="380"/>
      <c r="N3005" s="380">
        <v>15.5</v>
      </c>
      <c r="O3005" s="380"/>
      <c r="P3005" s="380"/>
      <c r="Q3005" s="381">
        <v>70.7</v>
      </c>
      <c r="R3005" s="381">
        <v>70.599999999999994</v>
      </c>
      <c r="S3005" s="381">
        <v>4.0500000000000001E-2</v>
      </c>
      <c r="T3005" s="381"/>
      <c r="U3005" s="381"/>
      <c r="V3005" s="382">
        <v>70.640499999999989</v>
      </c>
      <c r="W3005" s="382">
        <v>0</v>
      </c>
      <c r="X3005" s="381">
        <v>4.5612903225806454</v>
      </c>
      <c r="Y3005" s="381">
        <v>4.5548387096774192</v>
      </c>
      <c r="Z3005" s="381">
        <v>2.6129032258064518E-3</v>
      </c>
      <c r="AA3005" s="381">
        <v>0</v>
      </c>
      <c r="AB3005" s="381">
        <v>0</v>
      </c>
      <c r="AC3005" s="382">
        <v>4.5574516129032254</v>
      </c>
      <c r="AD3005" s="382">
        <v>0</v>
      </c>
      <c r="AE3005" s="381" t="s">
        <v>168</v>
      </c>
    </row>
    <row r="3006" spans="1:31" ht="15" customHeight="1" x14ac:dyDescent="0.25">
      <c r="A3006" s="20" t="s">
        <v>4364</v>
      </c>
      <c r="B3006" s="378" t="s">
        <v>4365</v>
      </c>
      <c r="C3006" s="20" t="s">
        <v>4365</v>
      </c>
      <c r="D3006" s="378" t="s">
        <v>4428</v>
      </c>
      <c r="E3006" s="384">
        <v>45061</v>
      </c>
      <c r="F3006" s="384">
        <v>46888</v>
      </c>
      <c r="G3006" s="378" t="s">
        <v>439</v>
      </c>
      <c r="H3006" s="20" t="s">
        <v>4425</v>
      </c>
      <c r="I3006" s="20" t="s">
        <v>162</v>
      </c>
      <c r="J3006" s="20" t="s">
        <v>163</v>
      </c>
      <c r="K3006" s="378" t="s">
        <v>4426</v>
      </c>
      <c r="L3006" s="378" t="s">
        <v>2789</v>
      </c>
      <c r="M3006" s="380"/>
      <c r="N3006" s="380">
        <v>14.7</v>
      </c>
      <c r="O3006" s="380"/>
      <c r="P3006" s="380"/>
      <c r="Q3006" s="381">
        <v>63</v>
      </c>
      <c r="R3006" s="381">
        <v>62.9</v>
      </c>
      <c r="S3006" s="381">
        <v>3.39E-2</v>
      </c>
      <c r="T3006" s="381"/>
      <c r="U3006" s="381"/>
      <c r="V3006" s="382">
        <v>62.933900000000001</v>
      </c>
      <c r="W3006" s="382">
        <v>0</v>
      </c>
      <c r="X3006" s="381">
        <v>4.2857142857142856</v>
      </c>
      <c r="Y3006" s="381">
        <v>4.2789115646258509</v>
      </c>
      <c r="Z3006" s="381">
        <v>2.3061224489795921E-3</v>
      </c>
      <c r="AA3006" s="381">
        <v>0</v>
      </c>
      <c r="AB3006" s="381">
        <v>0</v>
      </c>
      <c r="AC3006" s="382">
        <v>4.2812176870748306</v>
      </c>
      <c r="AD3006" s="382">
        <v>0</v>
      </c>
      <c r="AE3006" s="381" t="s">
        <v>168</v>
      </c>
    </row>
    <row r="3007" spans="1:31" ht="15" customHeight="1" x14ac:dyDescent="0.25">
      <c r="A3007" s="20" t="s">
        <v>4364</v>
      </c>
      <c r="B3007" s="378" t="s">
        <v>4365</v>
      </c>
      <c r="C3007" s="20" t="s">
        <v>4365</v>
      </c>
      <c r="D3007" s="378" t="s">
        <v>4429</v>
      </c>
      <c r="E3007" s="384">
        <v>44860</v>
      </c>
      <c r="F3007" s="384">
        <v>46686</v>
      </c>
      <c r="G3007" s="378" t="s">
        <v>4398</v>
      </c>
      <c r="H3007" s="20" t="s">
        <v>4405</v>
      </c>
      <c r="I3007" s="20" t="s">
        <v>3971</v>
      </c>
      <c r="J3007" s="20" t="s">
        <v>163</v>
      </c>
      <c r="K3007" s="378" t="s">
        <v>4406</v>
      </c>
      <c r="L3007" s="378" t="s">
        <v>2789</v>
      </c>
      <c r="M3007" s="380"/>
      <c r="N3007" s="380">
        <v>17.399999999999999</v>
      </c>
      <c r="O3007" s="380"/>
      <c r="P3007" s="380"/>
      <c r="Q3007" s="381">
        <v>81.7</v>
      </c>
      <c r="R3007" s="381">
        <v>81.599999999999994</v>
      </c>
      <c r="S3007" s="381">
        <v>-2.4E-2</v>
      </c>
      <c r="T3007" s="381"/>
      <c r="U3007" s="381"/>
      <c r="V3007" s="382">
        <v>81.599999999999994</v>
      </c>
      <c r="W3007" s="382">
        <v>0</v>
      </c>
      <c r="X3007" s="381">
        <v>4.695402298850575</v>
      </c>
      <c r="Y3007" s="381">
        <v>4.6896551724137936</v>
      </c>
      <c r="Z3007" s="381">
        <v>-1.3793103448275863E-3</v>
      </c>
      <c r="AA3007" s="381">
        <v>0</v>
      </c>
      <c r="AB3007" s="381">
        <v>0</v>
      </c>
      <c r="AC3007" s="382">
        <v>4.6896551724137936</v>
      </c>
      <c r="AD3007" s="382">
        <v>0</v>
      </c>
      <c r="AE3007" s="381" t="s">
        <v>168</v>
      </c>
    </row>
    <row r="3008" spans="1:31" ht="15" customHeight="1" x14ac:dyDescent="0.25">
      <c r="A3008" s="20" t="s">
        <v>4364</v>
      </c>
      <c r="B3008" s="378" t="s">
        <v>4430</v>
      </c>
      <c r="C3008" s="20" t="s">
        <v>4430</v>
      </c>
      <c r="D3008" s="378" t="s">
        <v>4431</v>
      </c>
      <c r="E3008" s="384">
        <v>45061</v>
      </c>
      <c r="F3008" s="384">
        <v>46888</v>
      </c>
      <c r="G3008" s="378" t="s">
        <v>439</v>
      </c>
      <c r="H3008" s="20" t="s">
        <v>4367</v>
      </c>
      <c r="I3008" s="20" t="s">
        <v>162</v>
      </c>
      <c r="J3008" s="20" t="s">
        <v>163</v>
      </c>
      <c r="K3008" s="378" t="s">
        <v>4368</v>
      </c>
      <c r="L3008" s="378" t="s">
        <v>2789</v>
      </c>
      <c r="M3008" s="380"/>
      <c r="N3008" s="380">
        <v>11.8</v>
      </c>
      <c r="O3008" s="380"/>
      <c r="P3008" s="380"/>
      <c r="Q3008" s="381">
        <v>39.700000000000003</v>
      </c>
      <c r="R3008" s="381">
        <v>43.9</v>
      </c>
      <c r="S3008" s="381">
        <v>-0.308</v>
      </c>
      <c r="T3008" s="381"/>
      <c r="U3008" s="381"/>
      <c r="V3008" s="382">
        <v>43.9</v>
      </c>
      <c r="W3008" s="382">
        <v>0</v>
      </c>
      <c r="X3008" s="381">
        <v>3.3644067796610169</v>
      </c>
      <c r="Y3008" s="381">
        <v>3.7203389830508473</v>
      </c>
      <c r="Z3008" s="381">
        <v>-2.6101694915254235E-2</v>
      </c>
      <c r="AA3008" s="381">
        <v>0</v>
      </c>
      <c r="AB3008" s="381">
        <v>0</v>
      </c>
      <c r="AC3008" s="382">
        <v>3.7203389830508473</v>
      </c>
      <c r="AD3008" s="382">
        <v>0</v>
      </c>
      <c r="AE3008" s="381" t="s">
        <v>168</v>
      </c>
    </row>
    <row r="3009" spans="1:31" ht="15" customHeight="1" x14ac:dyDescent="0.25">
      <c r="A3009" s="20" t="s">
        <v>4364</v>
      </c>
      <c r="B3009" s="378" t="s">
        <v>4430</v>
      </c>
      <c r="C3009" s="20" t="s">
        <v>4430</v>
      </c>
      <c r="D3009" s="378" t="s">
        <v>4432</v>
      </c>
      <c r="E3009" s="384">
        <v>45061</v>
      </c>
      <c r="F3009" s="384">
        <v>46888</v>
      </c>
      <c r="G3009" s="378" t="s">
        <v>439</v>
      </c>
      <c r="H3009" s="20" t="s">
        <v>4390</v>
      </c>
      <c r="I3009" s="20" t="s">
        <v>162</v>
      </c>
      <c r="J3009" s="20" t="s">
        <v>163</v>
      </c>
      <c r="K3009" s="378" t="s">
        <v>4391</v>
      </c>
      <c r="L3009" s="378" t="s">
        <v>2789</v>
      </c>
      <c r="M3009" s="380"/>
      <c r="N3009" s="380">
        <v>15.6</v>
      </c>
      <c r="O3009" s="380"/>
      <c r="P3009" s="380"/>
      <c r="Q3009" s="381">
        <v>52.6</v>
      </c>
      <c r="R3009" s="381">
        <v>52.9</v>
      </c>
      <c r="S3009" s="381">
        <v>0.26100000000000001</v>
      </c>
      <c r="T3009" s="381"/>
      <c r="U3009" s="381"/>
      <c r="V3009" s="382">
        <v>53.161000000000001</v>
      </c>
      <c r="W3009" s="382">
        <v>0</v>
      </c>
      <c r="X3009" s="381">
        <v>3.3717948717948718</v>
      </c>
      <c r="Y3009" s="381">
        <v>3.391025641025641</v>
      </c>
      <c r="Z3009" s="381">
        <v>1.6730769230769233E-2</v>
      </c>
      <c r="AA3009" s="381">
        <v>0</v>
      </c>
      <c r="AB3009" s="381">
        <v>0</v>
      </c>
      <c r="AC3009" s="382">
        <v>3.4077564102564102</v>
      </c>
      <c r="AD3009" s="382">
        <v>0</v>
      </c>
      <c r="AE3009" s="381" t="s">
        <v>168</v>
      </c>
    </row>
    <row r="3010" spans="1:31" ht="15" customHeight="1" x14ac:dyDescent="0.25">
      <c r="A3010" s="20" t="s">
        <v>4364</v>
      </c>
      <c r="B3010" s="378" t="s">
        <v>4430</v>
      </c>
      <c r="C3010" s="20" t="s">
        <v>4430</v>
      </c>
      <c r="D3010" s="378" t="s">
        <v>4433</v>
      </c>
      <c r="E3010" s="384">
        <v>44860</v>
      </c>
      <c r="F3010" s="384">
        <v>46686</v>
      </c>
      <c r="G3010" s="378" t="s">
        <v>4398</v>
      </c>
      <c r="H3010" s="20" t="s">
        <v>4411</v>
      </c>
      <c r="I3010" s="20" t="s">
        <v>162</v>
      </c>
      <c r="J3010" s="20" t="s">
        <v>163</v>
      </c>
      <c r="K3010" s="378" t="s">
        <v>4412</v>
      </c>
      <c r="L3010" s="378" t="s">
        <v>2789</v>
      </c>
      <c r="M3010" s="380"/>
      <c r="N3010" s="380">
        <v>12</v>
      </c>
      <c r="O3010" s="380"/>
      <c r="P3010" s="380"/>
      <c r="Q3010" s="381">
        <v>42.7</v>
      </c>
      <c r="R3010" s="381">
        <v>42.9</v>
      </c>
      <c r="S3010" s="381">
        <v>0.23499999999999999</v>
      </c>
      <c r="T3010" s="381"/>
      <c r="U3010" s="381"/>
      <c r="V3010" s="382">
        <v>43.134999999999998</v>
      </c>
      <c r="W3010" s="382">
        <v>0</v>
      </c>
      <c r="X3010" s="381">
        <v>3.5583333333333336</v>
      </c>
      <c r="Y3010" s="381">
        <v>3.5749999999999997</v>
      </c>
      <c r="Z3010" s="381">
        <v>1.9583333333333331E-2</v>
      </c>
      <c r="AA3010" s="381">
        <v>0</v>
      </c>
      <c r="AB3010" s="381">
        <v>0</v>
      </c>
      <c r="AC3010" s="382">
        <v>3.594583333333333</v>
      </c>
      <c r="AD3010" s="382">
        <v>0</v>
      </c>
      <c r="AE3010" s="381" t="s">
        <v>168</v>
      </c>
    </row>
    <row r="3011" spans="1:31" ht="15" customHeight="1" x14ac:dyDescent="0.25">
      <c r="A3011" s="20" t="s">
        <v>4364</v>
      </c>
      <c r="B3011" s="378" t="s">
        <v>4430</v>
      </c>
      <c r="C3011" s="20" t="s">
        <v>4430</v>
      </c>
      <c r="D3011" s="378" t="s">
        <v>4434</v>
      </c>
      <c r="E3011" s="384">
        <v>44860</v>
      </c>
      <c r="F3011" s="384">
        <v>46686</v>
      </c>
      <c r="G3011" s="378" t="s">
        <v>4398</v>
      </c>
      <c r="H3011" s="20" t="s">
        <v>4435</v>
      </c>
      <c r="I3011" s="20" t="s">
        <v>3971</v>
      </c>
      <c r="J3011" s="20" t="s">
        <v>163</v>
      </c>
      <c r="K3011" s="378" t="s">
        <v>4436</v>
      </c>
      <c r="L3011" s="378" t="s">
        <v>2789</v>
      </c>
      <c r="M3011" s="380"/>
      <c r="N3011" s="380">
        <v>10</v>
      </c>
      <c r="O3011" s="380"/>
      <c r="P3011" s="380"/>
      <c r="Q3011" s="381">
        <v>39.700000000000003</v>
      </c>
      <c r="R3011" s="381">
        <v>40.1</v>
      </c>
      <c r="S3011" s="381">
        <v>-0.35099999999999998</v>
      </c>
      <c r="T3011" s="381"/>
      <c r="U3011" s="381"/>
      <c r="V3011" s="382">
        <v>40.1</v>
      </c>
      <c r="W3011" s="382">
        <v>0</v>
      </c>
      <c r="X3011" s="381">
        <v>3.97</v>
      </c>
      <c r="Y3011" s="381">
        <v>4.01</v>
      </c>
      <c r="Z3011" s="381">
        <v>-3.5099999999999999E-2</v>
      </c>
      <c r="AA3011" s="381">
        <v>0</v>
      </c>
      <c r="AB3011" s="381">
        <v>0</v>
      </c>
      <c r="AC3011" s="382">
        <v>4.01</v>
      </c>
      <c r="AD3011" s="382">
        <v>0</v>
      </c>
      <c r="AE3011" s="381" t="s">
        <v>168</v>
      </c>
    </row>
    <row r="3012" spans="1:31" ht="15" customHeight="1" x14ac:dyDescent="0.25">
      <c r="A3012" s="20" t="s">
        <v>4364</v>
      </c>
      <c r="B3012" s="378" t="s">
        <v>4430</v>
      </c>
      <c r="C3012" s="20" t="s">
        <v>4430</v>
      </c>
      <c r="D3012" s="378" t="s">
        <v>4437</v>
      </c>
      <c r="E3012" s="384">
        <v>45061</v>
      </c>
      <c r="F3012" s="384">
        <v>46888</v>
      </c>
      <c r="G3012" s="378" t="s">
        <v>439</v>
      </c>
      <c r="H3012" s="20" t="s">
        <v>4390</v>
      </c>
      <c r="I3012" s="20" t="s">
        <v>162</v>
      </c>
      <c r="J3012" s="20" t="s">
        <v>163</v>
      </c>
      <c r="K3012" s="378" t="s">
        <v>4391</v>
      </c>
      <c r="L3012" s="378" t="s">
        <v>2789</v>
      </c>
      <c r="M3012" s="380"/>
      <c r="N3012" s="380">
        <v>15.514285714285716</v>
      </c>
      <c r="O3012" s="380"/>
      <c r="P3012" s="380"/>
      <c r="Q3012" s="381">
        <v>51.7</v>
      </c>
      <c r="R3012" s="381">
        <v>52</v>
      </c>
      <c r="S3012" s="381">
        <v>0.21</v>
      </c>
      <c r="T3012" s="381"/>
      <c r="U3012" s="381"/>
      <c r="V3012" s="382">
        <v>52.21</v>
      </c>
      <c r="W3012" s="382">
        <v>0</v>
      </c>
      <c r="X3012" s="381">
        <v>3.3324125230202575</v>
      </c>
      <c r="Y3012" s="381">
        <v>3.3517495395948429</v>
      </c>
      <c r="Z3012" s="381">
        <v>1.3535911602209943E-2</v>
      </c>
      <c r="AA3012" s="381">
        <v>0</v>
      </c>
      <c r="AB3012" s="381">
        <v>0</v>
      </c>
      <c r="AC3012" s="382">
        <v>3.3652854511970527</v>
      </c>
      <c r="AD3012" s="382">
        <v>0</v>
      </c>
      <c r="AE3012" s="381" t="s">
        <v>168</v>
      </c>
    </row>
    <row r="3013" spans="1:31" ht="15" customHeight="1" x14ac:dyDescent="0.25">
      <c r="A3013" s="20" t="s">
        <v>4364</v>
      </c>
      <c r="B3013" s="378" t="s">
        <v>4430</v>
      </c>
      <c r="C3013" s="20" t="s">
        <v>4430</v>
      </c>
      <c r="D3013" s="378" t="s">
        <v>4438</v>
      </c>
      <c r="E3013" s="384">
        <v>45061</v>
      </c>
      <c r="F3013" s="384">
        <v>46888</v>
      </c>
      <c r="G3013" s="378" t="s">
        <v>439</v>
      </c>
      <c r="H3013" s="20" t="s">
        <v>4367</v>
      </c>
      <c r="I3013" s="20" t="s">
        <v>162</v>
      </c>
      <c r="J3013" s="20" t="s">
        <v>163</v>
      </c>
      <c r="K3013" s="378" t="s">
        <v>4368</v>
      </c>
      <c r="L3013" s="378" t="s">
        <v>2789</v>
      </c>
      <c r="M3013" s="380"/>
      <c r="N3013" s="380">
        <v>18.100000000000001</v>
      </c>
      <c r="O3013" s="380"/>
      <c r="P3013" s="380"/>
      <c r="Q3013" s="381">
        <v>41.4</v>
      </c>
      <c r="R3013" s="381">
        <v>41.8</v>
      </c>
      <c r="S3013" s="381">
        <v>-0.32800000000000001</v>
      </c>
      <c r="T3013" s="381"/>
      <c r="U3013" s="381"/>
      <c r="V3013" s="382">
        <v>41.8</v>
      </c>
      <c r="W3013" s="382">
        <v>0</v>
      </c>
      <c r="X3013" s="381">
        <v>2.2872928176795577</v>
      </c>
      <c r="Y3013" s="381">
        <v>2.3093922651933698</v>
      </c>
      <c r="Z3013" s="381">
        <v>-1.8121546961325966E-2</v>
      </c>
      <c r="AA3013" s="381">
        <v>0</v>
      </c>
      <c r="AB3013" s="381">
        <v>0</v>
      </c>
      <c r="AC3013" s="382">
        <v>2.3093922651933698</v>
      </c>
      <c r="AD3013" s="382">
        <v>0</v>
      </c>
      <c r="AE3013" s="381" t="s">
        <v>168</v>
      </c>
    </row>
    <row r="3014" spans="1:31" ht="15" customHeight="1" x14ac:dyDescent="0.25">
      <c r="A3014" s="20" t="s">
        <v>4364</v>
      </c>
      <c r="B3014" s="378" t="s">
        <v>4430</v>
      </c>
      <c r="C3014" s="20" t="s">
        <v>4430</v>
      </c>
      <c r="D3014" s="378" t="s">
        <v>4439</v>
      </c>
      <c r="E3014" s="384">
        <v>44130</v>
      </c>
      <c r="F3014" s="384">
        <v>46686</v>
      </c>
      <c r="G3014" s="378" t="s">
        <v>4398</v>
      </c>
      <c r="H3014" s="20" t="s">
        <v>4399</v>
      </c>
      <c r="I3014" s="20" t="s">
        <v>162</v>
      </c>
      <c r="J3014" s="20" t="s">
        <v>163</v>
      </c>
      <c r="K3014" s="378" t="s">
        <v>4400</v>
      </c>
      <c r="L3014" s="378" t="s">
        <v>2789</v>
      </c>
      <c r="M3014" s="380"/>
      <c r="N3014" s="380">
        <v>10.3</v>
      </c>
      <c r="O3014" s="380"/>
      <c r="P3014" s="380"/>
      <c r="Q3014" s="381">
        <v>34.6</v>
      </c>
      <c r="R3014" s="381">
        <v>34.9</v>
      </c>
      <c r="S3014" s="381">
        <v>-0.26700000000000002</v>
      </c>
      <c r="T3014" s="381"/>
      <c r="U3014" s="381"/>
      <c r="V3014" s="382">
        <v>34.9</v>
      </c>
      <c r="W3014" s="382">
        <v>0</v>
      </c>
      <c r="X3014" s="381">
        <v>3.3592233009708736</v>
      </c>
      <c r="Y3014" s="381">
        <v>3.3883495145631066</v>
      </c>
      <c r="Z3014" s="381">
        <v>-2.5922330097087377E-2</v>
      </c>
      <c r="AA3014" s="381">
        <v>0</v>
      </c>
      <c r="AB3014" s="381">
        <v>0</v>
      </c>
      <c r="AC3014" s="382">
        <v>3.3883495145631066</v>
      </c>
      <c r="AD3014" s="382">
        <v>0</v>
      </c>
      <c r="AE3014" s="381" t="s">
        <v>168</v>
      </c>
    </row>
    <row r="3015" spans="1:31" ht="15" customHeight="1" x14ac:dyDescent="0.25">
      <c r="A3015" s="20" t="s">
        <v>4364</v>
      </c>
      <c r="B3015" s="378" t="s">
        <v>4430</v>
      </c>
      <c r="C3015" s="20" t="s">
        <v>4430</v>
      </c>
      <c r="D3015" s="378" t="s">
        <v>4440</v>
      </c>
      <c r="E3015" s="384">
        <v>44860</v>
      </c>
      <c r="F3015" s="384">
        <v>46686</v>
      </c>
      <c r="G3015" s="378" t="s">
        <v>4398</v>
      </c>
      <c r="H3015" s="20" t="s">
        <v>4402</v>
      </c>
      <c r="I3015" s="20" t="s">
        <v>3971</v>
      </c>
      <c r="J3015" s="20" t="s">
        <v>163</v>
      </c>
      <c r="K3015" s="378" t="s">
        <v>4403</v>
      </c>
      <c r="L3015" s="378" t="s">
        <v>2789</v>
      </c>
      <c r="M3015" s="380"/>
      <c r="N3015" s="380">
        <v>10.3</v>
      </c>
      <c r="O3015" s="380"/>
      <c r="P3015" s="380"/>
      <c r="Q3015" s="381">
        <v>34.6</v>
      </c>
      <c r="R3015" s="381">
        <v>34.9</v>
      </c>
      <c r="S3015" s="381">
        <v>-0.26700000000000002</v>
      </c>
      <c r="T3015" s="381"/>
      <c r="U3015" s="381"/>
      <c r="V3015" s="382">
        <v>34.9</v>
      </c>
      <c r="W3015" s="382">
        <v>0</v>
      </c>
      <c r="X3015" s="381">
        <v>3.3592233009708736</v>
      </c>
      <c r="Y3015" s="381">
        <v>3.3883495145631066</v>
      </c>
      <c r="Z3015" s="381">
        <v>-2.5922330097087377E-2</v>
      </c>
      <c r="AA3015" s="381">
        <v>0</v>
      </c>
      <c r="AB3015" s="381">
        <v>0</v>
      </c>
      <c r="AC3015" s="382">
        <v>3.3883495145631066</v>
      </c>
      <c r="AD3015" s="382">
        <v>0</v>
      </c>
      <c r="AE3015" s="381" t="s">
        <v>168</v>
      </c>
    </row>
    <row r="3016" spans="1:31" ht="15" customHeight="1" x14ac:dyDescent="0.25">
      <c r="A3016" s="20" t="s">
        <v>4364</v>
      </c>
      <c r="B3016" s="378" t="s">
        <v>4430</v>
      </c>
      <c r="C3016" s="20" t="s">
        <v>4430</v>
      </c>
      <c r="D3016" s="378" t="s">
        <v>4441</v>
      </c>
      <c r="E3016" s="384">
        <v>44860</v>
      </c>
      <c r="F3016" s="384">
        <v>46686</v>
      </c>
      <c r="G3016" s="378" t="s">
        <v>4398</v>
      </c>
      <c r="H3016" s="20" t="s">
        <v>4414</v>
      </c>
      <c r="I3016" s="20" t="s">
        <v>3971</v>
      </c>
      <c r="J3016" s="20" t="s">
        <v>163</v>
      </c>
      <c r="K3016" s="378" t="s">
        <v>4415</v>
      </c>
      <c r="L3016" s="378" t="s">
        <v>2789</v>
      </c>
      <c r="M3016" s="380"/>
      <c r="N3016" s="380">
        <v>13.5</v>
      </c>
      <c r="O3016" s="380"/>
      <c r="P3016" s="380"/>
      <c r="Q3016" s="381">
        <v>39.9</v>
      </c>
      <c r="R3016" s="381">
        <v>40.200000000000003</v>
      </c>
      <c r="S3016" s="381">
        <v>-0.255</v>
      </c>
      <c r="T3016" s="381"/>
      <c r="U3016" s="381"/>
      <c r="V3016" s="382">
        <v>40.200000000000003</v>
      </c>
      <c r="W3016" s="382">
        <v>0</v>
      </c>
      <c r="X3016" s="381">
        <v>2.9555555555555553</v>
      </c>
      <c r="Y3016" s="381">
        <v>2.9777777777777779</v>
      </c>
      <c r="Z3016" s="381">
        <v>-1.8888888888888889E-2</v>
      </c>
      <c r="AA3016" s="381">
        <v>0</v>
      </c>
      <c r="AB3016" s="381">
        <v>0</v>
      </c>
      <c r="AC3016" s="382">
        <v>2.9777777777777779</v>
      </c>
      <c r="AD3016" s="382">
        <v>0</v>
      </c>
      <c r="AE3016" s="381" t="s">
        <v>168</v>
      </c>
    </row>
    <row r="3017" spans="1:31" ht="15" customHeight="1" x14ac:dyDescent="0.25">
      <c r="A3017" s="20" t="s">
        <v>4364</v>
      </c>
      <c r="B3017" s="378" t="s">
        <v>4430</v>
      </c>
      <c r="C3017" s="20" t="s">
        <v>4430</v>
      </c>
      <c r="D3017" s="378" t="s">
        <v>4442</v>
      </c>
      <c r="E3017" s="384">
        <v>45061</v>
      </c>
      <c r="F3017" s="384">
        <v>46888</v>
      </c>
      <c r="G3017" s="378" t="s">
        <v>439</v>
      </c>
      <c r="H3017" s="20" t="s">
        <v>4367</v>
      </c>
      <c r="I3017" s="20" t="s">
        <v>162</v>
      </c>
      <c r="J3017" s="20" t="s">
        <v>163</v>
      </c>
      <c r="K3017" s="378" t="s">
        <v>4368</v>
      </c>
      <c r="L3017" s="378" t="s">
        <v>2789</v>
      </c>
      <c r="M3017" s="380"/>
      <c r="N3017" s="380">
        <v>11.3</v>
      </c>
      <c r="O3017" s="380"/>
      <c r="P3017" s="380"/>
      <c r="Q3017" s="381">
        <v>40.1</v>
      </c>
      <c r="R3017" s="381">
        <v>40.4</v>
      </c>
      <c r="S3017" s="381">
        <v>-0.36799999999999999</v>
      </c>
      <c r="T3017" s="381"/>
      <c r="U3017" s="381"/>
      <c r="V3017" s="382">
        <v>40.4</v>
      </c>
      <c r="W3017" s="382">
        <v>0</v>
      </c>
      <c r="X3017" s="381">
        <v>3.5486725663716814</v>
      </c>
      <c r="Y3017" s="381">
        <v>3.5752212389380529</v>
      </c>
      <c r="Z3017" s="381">
        <v>-3.2566371681415927E-2</v>
      </c>
      <c r="AA3017" s="381">
        <v>0</v>
      </c>
      <c r="AB3017" s="381">
        <v>0</v>
      </c>
      <c r="AC3017" s="382">
        <v>3.5752212389380529</v>
      </c>
      <c r="AD3017" s="382">
        <v>0</v>
      </c>
      <c r="AE3017" s="381" t="s">
        <v>168</v>
      </c>
    </row>
    <row r="3018" spans="1:31" ht="15" customHeight="1" x14ac:dyDescent="0.25">
      <c r="A3018" s="20" t="s">
        <v>4364</v>
      </c>
      <c r="B3018" s="378" t="s">
        <v>4430</v>
      </c>
      <c r="C3018" s="20" t="s">
        <v>4430</v>
      </c>
      <c r="D3018" s="378" t="s">
        <v>4443</v>
      </c>
      <c r="E3018" s="384">
        <v>44860</v>
      </c>
      <c r="F3018" s="384">
        <v>46686</v>
      </c>
      <c r="G3018" s="378" t="s">
        <v>4398</v>
      </c>
      <c r="H3018" s="20" t="s">
        <v>4408</v>
      </c>
      <c r="I3018" s="20" t="s">
        <v>162</v>
      </c>
      <c r="J3018" s="20" t="s">
        <v>163</v>
      </c>
      <c r="K3018" s="378" t="s">
        <v>4409</v>
      </c>
      <c r="L3018" s="378" t="s">
        <v>2789</v>
      </c>
      <c r="M3018" s="380"/>
      <c r="N3018" s="380">
        <v>12</v>
      </c>
      <c r="O3018" s="380"/>
      <c r="P3018" s="380"/>
      <c r="Q3018" s="381">
        <v>42.5</v>
      </c>
      <c r="R3018" s="381">
        <v>42.8</v>
      </c>
      <c r="S3018" s="381">
        <v>-0.23499999999999999</v>
      </c>
      <c r="T3018" s="381"/>
      <c r="U3018" s="381"/>
      <c r="V3018" s="382">
        <v>42.8</v>
      </c>
      <c r="W3018" s="382">
        <v>0</v>
      </c>
      <c r="X3018" s="381">
        <v>3.5416666666666665</v>
      </c>
      <c r="Y3018" s="381">
        <v>3.5666666666666664</v>
      </c>
      <c r="Z3018" s="381">
        <v>-1.9583333333333331E-2</v>
      </c>
      <c r="AA3018" s="381">
        <v>0</v>
      </c>
      <c r="AB3018" s="381">
        <v>0</v>
      </c>
      <c r="AC3018" s="382">
        <v>3.5666666666666664</v>
      </c>
      <c r="AD3018" s="382">
        <v>0</v>
      </c>
      <c r="AE3018" s="381" t="s">
        <v>168</v>
      </c>
    </row>
    <row r="3019" spans="1:31" ht="15" customHeight="1" x14ac:dyDescent="0.25">
      <c r="A3019" s="20" t="s">
        <v>4364</v>
      </c>
      <c r="B3019" s="378" t="s">
        <v>4430</v>
      </c>
      <c r="C3019" s="20" t="s">
        <v>4430</v>
      </c>
      <c r="D3019" s="378" t="s">
        <v>4444</v>
      </c>
      <c r="E3019" s="384">
        <v>44860</v>
      </c>
      <c r="F3019" s="384">
        <v>46686</v>
      </c>
      <c r="G3019" s="378" t="s">
        <v>4398</v>
      </c>
      <c r="H3019" s="20" t="s">
        <v>4417</v>
      </c>
      <c r="I3019" s="20" t="s">
        <v>162</v>
      </c>
      <c r="J3019" s="20" t="s">
        <v>163</v>
      </c>
      <c r="K3019" s="378" t="s">
        <v>4418</v>
      </c>
      <c r="L3019" s="378" t="s">
        <v>2789</v>
      </c>
      <c r="M3019" s="380"/>
      <c r="N3019" s="380">
        <v>10.700000000000001</v>
      </c>
      <c r="O3019" s="380"/>
      <c r="P3019" s="380"/>
      <c r="Q3019" s="381">
        <v>42.5</v>
      </c>
      <c r="R3019" s="381">
        <v>42.8</v>
      </c>
      <c r="S3019" s="381">
        <v>-0.255</v>
      </c>
      <c r="T3019" s="381"/>
      <c r="U3019" s="381"/>
      <c r="V3019" s="382">
        <v>42.8</v>
      </c>
      <c r="W3019" s="382">
        <v>0</v>
      </c>
      <c r="X3019" s="381">
        <v>3.9719626168224296</v>
      </c>
      <c r="Y3019" s="381">
        <v>3.9999999999999996</v>
      </c>
      <c r="Z3019" s="381">
        <v>-2.3831775700934577E-2</v>
      </c>
      <c r="AA3019" s="381">
        <v>0</v>
      </c>
      <c r="AB3019" s="381">
        <v>0</v>
      </c>
      <c r="AC3019" s="382">
        <v>3.9999999999999996</v>
      </c>
      <c r="AD3019" s="382">
        <v>0</v>
      </c>
      <c r="AE3019" s="381" t="s">
        <v>168</v>
      </c>
    </row>
    <row r="3020" spans="1:31" ht="15" customHeight="1" x14ac:dyDescent="0.25">
      <c r="A3020" s="20" t="s">
        <v>4364</v>
      </c>
      <c r="B3020" s="378" t="s">
        <v>4430</v>
      </c>
      <c r="C3020" s="20" t="s">
        <v>4430</v>
      </c>
      <c r="D3020" s="378" t="s">
        <v>4445</v>
      </c>
      <c r="E3020" s="384">
        <v>44860</v>
      </c>
      <c r="F3020" s="384">
        <v>46686</v>
      </c>
      <c r="G3020" s="378" t="s">
        <v>4398</v>
      </c>
      <c r="H3020" s="20" t="s">
        <v>4435</v>
      </c>
      <c r="I3020" s="20" t="s">
        <v>3971</v>
      </c>
      <c r="J3020" s="20" t="s">
        <v>163</v>
      </c>
      <c r="K3020" s="378" t="s">
        <v>4436</v>
      </c>
      <c r="L3020" s="378" t="s">
        <v>2789</v>
      </c>
      <c r="M3020" s="380"/>
      <c r="N3020" s="380">
        <v>10</v>
      </c>
      <c r="O3020" s="380"/>
      <c r="P3020" s="380"/>
      <c r="Q3020" s="381">
        <v>43</v>
      </c>
      <c r="R3020" s="381">
        <v>43.3</v>
      </c>
      <c r="S3020" s="381">
        <v>-0.28499999999999998</v>
      </c>
      <c r="T3020" s="381"/>
      <c r="U3020" s="381"/>
      <c r="V3020" s="382">
        <v>43.3</v>
      </c>
      <c r="W3020" s="382">
        <v>0</v>
      </c>
      <c r="X3020" s="381">
        <v>4.3</v>
      </c>
      <c r="Y3020" s="381">
        <v>4.33</v>
      </c>
      <c r="Z3020" s="381">
        <v>-2.8499999999999998E-2</v>
      </c>
      <c r="AA3020" s="381">
        <v>0</v>
      </c>
      <c r="AB3020" s="381">
        <v>0</v>
      </c>
      <c r="AC3020" s="382">
        <v>4.33</v>
      </c>
      <c r="AD3020" s="382">
        <v>0</v>
      </c>
      <c r="AE3020" s="381" t="s">
        <v>168</v>
      </c>
    </row>
    <row r="3021" spans="1:31" ht="15" customHeight="1" x14ac:dyDescent="0.25">
      <c r="A3021" s="20" t="s">
        <v>4364</v>
      </c>
      <c r="B3021" s="378" t="s">
        <v>4430</v>
      </c>
      <c r="C3021" s="20" t="s">
        <v>4430</v>
      </c>
      <c r="D3021" s="378" t="s">
        <v>4446</v>
      </c>
      <c r="E3021" s="384">
        <v>45061</v>
      </c>
      <c r="F3021" s="384">
        <v>46888</v>
      </c>
      <c r="G3021" s="378" t="s">
        <v>439</v>
      </c>
      <c r="H3021" s="20" t="s">
        <v>4367</v>
      </c>
      <c r="I3021" s="20" t="s">
        <v>162</v>
      </c>
      <c r="J3021" s="20" t="s">
        <v>163</v>
      </c>
      <c r="K3021" s="378" t="s">
        <v>4368</v>
      </c>
      <c r="L3021" s="378" t="s">
        <v>2789</v>
      </c>
      <c r="M3021" s="380"/>
      <c r="N3021" s="380">
        <v>11.771428571428574</v>
      </c>
      <c r="O3021" s="380"/>
      <c r="P3021" s="380"/>
      <c r="Q3021" s="381">
        <v>44.1</v>
      </c>
      <c r="R3021" s="381">
        <v>44.4</v>
      </c>
      <c r="S3021" s="381">
        <v>-0.25900000000000001</v>
      </c>
      <c r="T3021" s="381"/>
      <c r="U3021" s="381"/>
      <c r="V3021" s="382">
        <v>44.4</v>
      </c>
      <c r="W3021" s="382">
        <v>0</v>
      </c>
      <c r="X3021" s="381">
        <v>3.7463592233009702</v>
      </c>
      <c r="Y3021" s="381">
        <v>3.7718446601941737</v>
      </c>
      <c r="Z3021" s="381">
        <v>-2.2002427184466017E-2</v>
      </c>
      <c r="AA3021" s="381">
        <v>0</v>
      </c>
      <c r="AB3021" s="381">
        <v>0</v>
      </c>
      <c r="AC3021" s="382">
        <v>3.7718446601941737</v>
      </c>
      <c r="AD3021" s="382">
        <v>0</v>
      </c>
      <c r="AE3021" s="381" t="s">
        <v>168</v>
      </c>
    </row>
    <row r="3022" spans="1:31" ht="15" customHeight="1" x14ac:dyDescent="0.25">
      <c r="A3022" s="20" t="s">
        <v>4364</v>
      </c>
      <c r="B3022" s="378" t="s">
        <v>4430</v>
      </c>
      <c r="C3022" s="20" t="s">
        <v>4430</v>
      </c>
      <c r="D3022" s="378" t="s">
        <v>4447</v>
      </c>
      <c r="E3022" s="384">
        <v>45061</v>
      </c>
      <c r="F3022" s="384">
        <v>46888</v>
      </c>
      <c r="G3022" s="378" t="s">
        <v>439</v>
      </c>
      <c r="H3022" s="20" t="s">
        <v>4390</v>
      </c>
      <c r="I3022" s="20" t="s">
        <v>162</v>
      </c>
      <c r="J3022" s="20" t="s">
        <v>163</v>
      </c>
      <c r="K3022" s="378" t="s">
        <v>4391</v>
      </c>
      <c r="L3022" s="378" t="s">
        <v>2789</v>
      </c>
      <c r="M3022" s="380"/>
      <c r="N3022" s="380">
        <v>20.6</v>
      </c>
      <c r="O3022" s="380"/>
      <c r="P3022" s="380"/>
      <c r="Q3022" s="381">
        <v>60.1</v>
      </c>
      <c r="R3022" s="381">
        <v>60.5</v>
      </c>
      <c r="S3022" s="381">
        <v>-0.32300000000000001</v>
      </c>
      <c r="T3022" s="381"/>
      <c r="U3022" s="381"/>
      <c r="V3022" s="382">
        <v>60.5</v>
      </c>
      <c r="W3022" s="382">
        <v>0</v>
      </c>
      <c r="X3022" s="381">
        <v>2.9174757281553396</v>
      </c>
      <c r="Y3022" s="381">
        <v>2.936893203883495</v>
      </c>
      <c r="Z3022" s="381">
        <v>-1.5679611650485436E-2</v>
      </c>
      <c r="AA3022" s="381">
        <v>0</v>
      </c>
      <c r="AB3022" s="381">
        <v>0</v>
      </c>
      <c r="AC3022" s="382">
        <v>2.936893203883495</v>
      </c>
      <c r="AD3022" s="382">
        <v>0</v>
      </c>
      <c r="AE3022" s="381" t="s">
        <v>168</v>
      </c>
    </row>
    <row r="3023" spans="1:31" ht="15" customHeight="1" x14ac:dyDescent="0.25">
      <c r="A3023" s="20" t="s">
        <v>4364</v>
      </c>
      <c r="B3023" s="378" t="s">
        <v>4430</v>
      </c>
      <c r="C3023" s="20" t="s">
        <v>4430</v>
      </c>
      <c r="D3023" s="378" t="s">
        <v>4448</v>
      </c>
      <c r="E3023" s="384">
        <v>44860</v>
      </c>
      <c r="F3023" s="384">
        <v>46686</v>
      </c>
      <c r="G3023" s="378" t="s">
        <v>4398</v>
      </c>
      <c r="H3023" s="20" t="s">
        <v>4435</v>
      </c>
      <c r="I3023" s="20" t="s">
        <v>3971</v>
      </c>
      <c r="J3023" s="20" t="s">
        <v>163</v>
      </c>
      <c r="K3023" s="378" t="s">
        <v>4436</v>
      </c>
      <c r="L3023" s="378" t="s">
        <v>2789</v>
      </c>
      <c r="M3023" s="380"/>
      <c r="N3023" s="380">
        <v>11.2</v>
      </c>
      <c r="O3023" s="380"/>
      <c r="P3023" s="380"/>
      <c r="Q3023" s="381">
        <v>47.7</v>
      </c>
      <c r="R3023" s="381">
        <v>48</v>
      </c>
      <c r="S3023" s="381">
        <v>-0.314</v>
      </c>
      <c r="T3023" s="381"/>
      <c r="U3023" s="381"/>
      <c r="V3023" s="382">
        <v>48</v>
      </c>
      <c r="W3023" s="382">
        <v>0</v>
      </c>
      <c r="X3023" s="381">
        <v>4.2589285714285721</v>
      </c>
      <c r="Y3023" s="381">
        <v>4.2857142857142856</v>
      </c>
      <c r="Z3023" s="381">
        <v>-2.8035714285714289E-2</v>
      </c>
      <c r="AA3023" s="381">
        <v>0</v>
      </c>
      <c r="AB3023" s="381">
        <v>0</v>
      </c>
      <c r="AC3023" s="382">
        <v>4.2857142857142856</v>
      </c>
      <c r="AD3023" s="382">
        <v>0</v>
      </c>
      <c r="AE3023" s="381" t="s">
        <v>168</v>
      </c>
    </row>
    <row r="3024" spans="1:31" ht="15" customHeight="1" x14ac:dyDescent="0.25">
      <c r="A3024" s="20" t="s">
        <v>4364</v>
      </c>
      <c r="B3024" s="378" t="s">
        <v>4430</v>
      </c>
      <c r="C3024" s="20" t="s">
        <v>4430</v>
      </c>
      <c r="D3024" s="378" t="s">
        <v>4449</v>
      </c>
      <c r="E3024" s="384">
        <v>45061</v>
      </c>
      <c r="F3024" s="384">
        <v>46888</v>
      </c>
      <c r="G3024" s="378" t="s">
        <v>439</v>
      </c>
      <c r="H3024" s="20" t="s">
        <v>4390</v>
      </c>
      <c r="I3024" s="20" t="s">
        <v>162</v>
      </c>
      <c r="J3024" s="20" t="s">
        <v>163</v>
      </c>
      <c r="K3024" s="378" t="s">
        <v>4391</v>
      </c>
      <c r="L3024" s="378" t="s">
        <v>2789</v>
      </c>
      <c r="M3024" s="380"/>
      <c r="N3024" s="380">
        <v>13.371428571428572</v>
      </c>
      <c r="O3024" s="380"/>
      <c r="P3024" s="380"/>
      <c r="Q3024" s="381">
        <v>48</v>
      </c>
      <c r="R3024" s="381">
        <v>48.3</v>
      </c>
      <c r="S3024" s="381">
        <v>-0.26300000000000001</v>
      </c>
      <c r="T3024" s="381"/>
      <c r="U3024" s="381"/>
      <c r="V3024" s="382">
        <v>48.3</v>
      </c>
      <c r="W3024" s="382">
        <v>0</v>
      </c>
      <c r="X3024" s="381">
        <v>3.5897435897435894</v>
      </c>
      <c r="Y3024" s="381">
        <v>3.6121794871794868</v>
      </c>
      <c r="Z3024" s="381">
        <v>-1.9668803418803418E-2</v>
      </c>
      <c r="AA3024" s="381">
        <v>0</v>
      </c>
      <c r="AB3024" s="381">
        <v>0</v>
      </c>
      <c r="AC3024" s="382">
        <v>3.6121794871794868</v>
      </c>
      <c r="AD3024" s="382">
        <v>0</v>
      </c>
      <c r="AE3024" s="381" t="s">
        <v>168</v>
      </c>
    </row>
    <row r="3025" spans="1:31" ht="15" customHeight="1" x14ac:dyDescent="0.25">
      <c r="A3025" s="20" t="s">
        <v>4364</v>
      </c>
      <c r="B3025" s="378" t="s">
        <v>4430</v>
      </c>
      <c r="C3025" s="20" t="s">
        <v>4430</v>
      </c>
      <c r="D3025" s="378" t="s">
        <v>4450</v>
      </c>
      <c r="E3025" s="384">
        <v>45061</v>
      </c>
      <c r="F3025" s="384">
        <v>46888</v>
      </c>
      <c r="G3025" s="378" t="s">
        <v>439</v>
      </c>
      <c r="H3025" s="20" t="s">
        <v>4390</v>
      </c>
      <c r="I3025" s="20" t="s">
        <v>162</v>
      </c>
      <c r="J3025" s="20" t="s">
        <v>163</v>
      </c>
      <c r="K3025" s="378" t="s">
        <v>4391</v>
      </c>
      <c r="L3025" s="378" t="s">
        <v>2789</v>
      </c>
      <c r="M3025" s="380"/>
      <c r="N3025" s="380">
        <v>15.514285714285716</v>
      </c>
      <c r="O3025" s="380"/>
      <c r="P3025" s="380"/>
      <c r="Q3025" s="381">
        <v>51.8</v>
      </c>
      <c r="R3025" s="381">
        <v>52.1</v>
      </c>
      <c r="S3025" s="381">
        <v>-0.26</v>
      </c>
      <c r="T3025" s="381"/>
      <c r="U3025" s="381"/>
      <c r="V3025" s="382">
        <v>52.1</v>
      </c>
      <c r="W3025" s="382">
        <v>0</v>
      </c>
      <c r="X3025" s="381">
        <v>3.338858195211786</v>
      </c>
      <c r="Y3025" s="381">
        <v>3.3581952117863718</v>
      </c>
      <c r="Z3025" s="381">
        <v>-1.6758747697974218E-2</v>
      </c>
      <c r="AA3025" s="381">
        <v>0</v>
      </c>
      <c r="AB3025" s="381">
        <v>0</v>
      </c>
      <c r="AC3025" s="382">
        <v>3.3581952117863718</v>
      </c>
      <c r="AD3025" s="382">
        <v>0</v>
      </c>
      <c r="AE3025" s="381" t="s">
        <v>168</v>
      </c>
    </row>
    <row r="3026" spans="1:31" ht="15" customHeight="1" x14ac:dyDescent="0.25">
      <c r="A3026" s="20" t="s">
        <v>4364</v>
      </c>
      <c r="B3026" s="378" t="s">
        <v>4430</v>
      </c>
      <c r="C3026" s="20" t="s">
        <v>4430</v>
      </c>
      <c r="D3026" s="378" t="s">
        <v>4451</v>
      </c>
      <c r="E3026" s="384">
        <v>45061</v>
      </c>
      <c r="F3026" s="384">
        <v>46888</v>
      </c>
      <c r="G3026" s="378" t="s">
        <v>439</v>
      </c>
      <c r="H3026" s="20" t="s">
        <v>4390</v>
      </c>
      <c r="I3026" s="20" t="s">
        <v>162</v>
      </c>
      <c r="J3026" s="20" t="s">
        <v>163</v>
      </c>
      <c r="K3026" s="378" t="s">
        <v>4391</v>
      </c>
      <c r="L3026" s="378" t="s">
        <v>2789</v>
      </c>
      <c r="M3026" s="380"/>
      <c r="N3026" s="380">
        <v>18.100000000000001</v>
      </c>
      <c r="O3026" s="380"/>
      <c r="P3026" s="380"/>
      <c r="Q3026" s="381">
        <v>55.5</v>
      </c>
      <c r="R3026" s="381">
        <v>55.8</v>
      </c>
      <c r="S3026" s="381">
        <v>-0.21099999999999999</v>
      </c>
      <c r="T3026" s="381"/>
      <c r="U3026" s="381"/>
      <c r="V3026" s="382">
        <v>55.8</v>
      </c>
      <c r="W3026" s="382">
        <v>0</v>
      </c>
      <c r="X3026" s="381">
        <v>3.0662983425414363</v>
      </c>
      <c r="Y3026" s="381">
        <v>3.082872928176795</v>
      </c>
      <c r="Z3026" s="381">
        <v>-1.165745856353591E-2</v>
      </c>
      <c r="AA3026" s="381">
        <v>0</v>
      </c>
      <c r="AB3026" s="381">
        <v>0</v>
      </c>
      <c r="AC3026" s="382">
        <v>3.082872928176795</v>
      </c>
      <c r="AD3026" s="382">
        <v>0</v>
      </c>
      <c r="AE3026" s="381" t="s">
        <v>168</v>
      </c>
    </row>
    <row r="3027" spans="1:31" ht="15" customHeight="1" x14ac:dyDescent="0.25">
      <c r="A3027" s="20" t="s">
        <v>4364</v>
      </c>
      <c r="B3027" s="378" t="s">
        <v>4430</v>
      </c>
      <c r="C3027" s="20" t="s">
        <v>4430</v>
      </c>
      <c r="D3027" s="378" t="s">
        <v>4452</v>
      </c>
      <c r="E3027" s="384">
        <v>45061</v>
      </c>
      <c r="F3027" s="384">
        <v>46888</v>
      </c>
      <c r="G3027" s="378" t="s">
        <v>439</v>
      </c>
      <c r="H3027" s="20" t="s">
        <v>4367</v>
      </c>
      <c r="I3027" s="20" t="s">
        <v>162</v>
      </c>
      <c r="J3027" s="20" t="s">
        <v>163</v>
      </c>
      <c r="K3027" s="378" t="s">
        <v>4368</v>
      </c>
      <c r="L3027" s="378" t="s">
        <v>2789</v>
      </c>
      <c r="M3027" s="380"/>
      <c r="N3027" s="380">
        <v>8.5714285714285712</v>
      </c>
      <c r="O3027" s="380"/>
      <c r="P3027" s="380"/>
      <c r="Q3027" s="381">
        <v>37.299999999999997</v>
      </c>
      <c r="R3027" s="381">
        <v>37.5</v>
      </c>
      <c r="S3027" s="381">
        <v>-0.14699999999999999</v>
      </c>
      <c r="T3027" s="381"/>
      <c r="U3027" s="381"/>
      <c r="V3027" s="382">
        <v>37.5</v>
      </c>
      <c r="W3027" s="382">
        <v>0</v>
      </c>
      <c r="X3027" s="381">
        <v>4.3516666666666666</v>
      </c>
      <c r="Y3027" s="381">
        <v>4.375</v>
      </c>
      <c r="Z3027" s="381">
        <v>-1.7149999999999999E-2</v>
      </c>
      <c r="AA3027" s="381">
        <v>0</v>
      </c>
      <c r="AB3027" s="381">
        <v>0</v>
      </c>
      <c r="AC3027" s="382">
        <v>4.375</v>
      </c>
      <c r="AD3027" s="382">
        <v>0</v>
      </c>
      <c r="AE3027" s="381" t="s">
        <v>168</v>
      </c>
    </row>
    <row r="3028" spans="1:31" ht="15" customHeight="1" x14ac:dyDescent="0.25">
      <c r="A3028" s="20" t="s">
        <v>4364</v>
      </c>
      <c r="B3028" s="378" t="s">
        <v>4430</v>
      </c>
      <c r="C3028" s="20" t="s">
        <v>4430</v>
      </c>
      <c r="D3028" s="378" t="s">
        <v>4453</v>
      </c>
      <c r="E3028" s="384">
        <v>45061</v>
      </c>
      <c r="F3028" s="384">
        <v>46888</v>
      </c>
      <c r="G3028" s="378" t="s">
        <v>439</v>
      </c>
      <c r="H3028" s="20" t="s">
        <v>4390</v>
      </c>
      <c r="I3028" s="20" t="s">
        <v>162</v>
      </c>
      <c r="J3028" s="20" t="s">
        <v>163</v>
      </c>
      <c r="K3028" s="378" t="s">
        <v>4391</v>
      </c>
      <c r="L3028" s="378" t="s">
        <v>2789</v>
      </c>
      <c r="M3028" s="380"/>
      <c r="N3028" s="380">
        <v>17.657142857142858</v>
      </c>
      <c r="O3028" s="380"/>
      <c r="P3028" s="380"/>
      <c r="Q3028" s="381">
        <v>56.3</v>
      </c>
      <c r="R3028" s="381">
        <v>56.6</v>
      </c>
      <c r="S3028" s="381">
        <v>-0.32200000000000001</v>
      </c>
      <c r="T3028" s="381"/>
      <c r="U3028" s="381"/>
      <c r="V3028" s="382">
        <v>56.6</v>
      </c>
      <c r="W3028" s="382">
        <v>0</v>
      </c>
      <c r="X3028" s="381">
        <v>3.1885113268608412</v>
      </c>
      <c r="Y3028" s="381">
        <v>3.2055016181229772</v>
      </c>
      <c r="Z3028" s="381">
        <v>-1.8236245954692556E-2</v>
      </c>
      <c r="AA3028" s="381">
        <v>0</v>
      </c>
      <c r="AB3028" s="381">
        <v>0</v>
      </c>
      <c r="AC3028" s="382">
        <v>3.2055016181229772</v>
      </c>
      <c r="AD3028" s="382">
        <v>0</v>
      </c>
      <c r="AE3028" s="381" t="s">
        <v>168</v>
      </c>
    </row>
    <row r="3029" spans="1:31" ht="15" customHeight="1" x14ac:dyDescent="0.25">
      <c r="A3029" s="20" t="s">
        <v>4364</v>
      </c>
      <c r="B3029" s="378" t="s">
        <v>4430</v>
      </c>
      <c r="C3029" s="20" t="s">
        <v>4430</v>
      </c>
      <c r="D3029" s="378" t="s">
        <v>4454</v>
      </c>
      <c r="E3029" s="384">
        <v>45061</v>
      </c>
      <c r="F3029" s="384">
        <v>46888</v>
      </c>
      <c r="G3029" s="378" t="s">
        <v>439</v>
      </c>
      <c r="H3029" s="20" t="s">
        <v>4390</v>
      </c>
      <c r="I3029" s="20" t="s">
        <v>162</v>
      </c>
      <c r="J3029" s="20" t="s">
        <v>163</v>
      </c>
      <c r="K3029" s="378" t="s">
        <v>4391</v>
      </c>
      <c r="L3029" s="378" t="s">
        <v>2789</v>
      </c>
      <c r="M3029" s="380"/>
      <c r="N3029" s="380">
        <v>18.100000000000001</v>
      </c>
      <c r="O3029" s="380"/>
      <c r="P3029" s="380"/>
      <c r="Q3029" s="381">
        <v>56.4</v>
      </c>
      <c r="R3029" s="381">
        <v>56.7</v>
      </c>
      <c r="S3029" s="381">
        <v>-0.25800000000000001</v>
      </c>
      <c r="T3029" s="381"/>
      <c r="U3029" s="381"/>
      <c r="V3029" s="382">
        <v>56.7</v>
      </c>
      <c r="W3029" s="382">
        <v>0</v>
      </c>
      <c r="X3029" s="381">
        <v>3.1160220994475134</v>
      </c>
      <c r="Y3029" s="381">
        <v>3.132596685082873</v>
      </c>
      <c r="Z3029" s="381">
        <v>-1.4254143646408838E-2</v>
      </c>
      <c r="AA3029" s="381">
        <v>0</v>
      </c>
      <c r="AB3029" s="381">
        <v>0</v>
      </c>
      <c r="AC3029" s="382">
        <v>3.132596685082873</v>
      </c>
      <c r="AD3029" s="382">
        <v>0</v>
      </c>
      <c r="AE3029" s="381" t="s">
        <v>168</v>
      </c>
    </row>
    <row r="3030" spans="1:31" ht="15" customHeight="1" x14ac:dyDescent="0.25">
      <c r="A3030" s="20" t="s">
        <v>4364</v>
      </c>
      <c r="B3030" s="378" t="s">
        <v>4430</v>
      </c>
      <c r="C3030" s="20" t="s">
        <v>4430</v>
      </c>
      <c r="D3030" s="378" t="s">
        <v>4455</v>
      </c>
      <c r="E3030" s="384">
        <v>45061</v>
      </c>
      <c r="F3030" s="384">
        <v>46888</v>
      </c>
      <c r="G3030" s="378" t="s">
        <v>439</v>
      </c>
      <c r="H3030" s="20" t="s">
        <v>4367</v>
      </c>
      <c r="I3030" s="20" t="s">
        <v>162</v>
      </c>
      <c r="J3030" s="20" t="s">
        <v>163</v>
      </c>
      <c r="K3030" s="378" t="s">
        <v>4368</v>
      </c>
      <c r="L3030" s="378" t="s">
        <v>2789</v>
      </c>
      <c r="M3030" s="380"/>
      <c r="N3030" s="380">
        <v>11.6</v>
      </c>
      <c r="O3030" s="380"/>
      <c r="P3030" s="380"/>
      <c r="Q3030" s="381">
        <v>38.5</v>
      </c>
      <c r="R3030" s="381">
        <v>38.700000000000003</v>
      </c>
      <c r="S3030" s="381">
        <v>-0.14499999999999999</v>
      </c>
      <c r="T3030" s="381"/>
      <c r="U3030" s="381"/>
      <c r="V3030" s="382">
        <v>38.700000000000003</v>
      </c>
      <c r="W3030" s="382">
        <v>0</v>
      </c>
      <c r="X3030" s="381">
        <v>3.3189655172413794</v>
      </c>
      <c r="Y3030" s="381">
        <v>3.3362068965517246</v>
      </c>
      <c r="Z3030" s="381">
        <v>-1.2499999999999999E-2</v>
      </c>
      <c r="AA3030" s="381">
        <v>0</v>
      </c>
      <c r="AB3030" s="381">
        <v>0</v>
      </c>
      <c r="AC3030" s="382">
        <v>3.3362068965517246</v>
      </c>
      <c r="AD3030" s="382">
        <v>0</v>
      </c>
      <c r="AE3030" s="381" t="s">
        <v>168</v>
      </c>
    </row>
    <row r="3031" spans="1:31" ht="15" customHeight="1" x14ac:dyDescent="0.25">
      <c r="A3031" s="20" t="s">
        <v>4364</v>
      </c>
      <c r="B3031" s="378" t="s">
        <v>4430</v>
      </c>
      <c r="C3031" s="20" t="s">
        <v>4430</v>
      </c>
      <c r="D3031" s="378" t="s">
        <v>4456</v>
      </c>
      <c r="E3031" s="384">
        <v>45061</v>
      </c>
      <c r="F3031" s="384">
        <v>46888</v>
      </c>
      <c r="G3031" s="378" t="s">
        <v>439</v>
      </c>
      <c r="H3031" s="20" t="s">
        <v>4367</v>
      </c>
      <c r="I3031" s="20" t="s">
        <v>162</v>
      </c>
      <c r="J3031" s="20" t="s">
        <v>163</v>
      </c>
      <c r="K3031" s="378" t="s">
        <v>4368</v>
      </c>
      <c r="L3031" s="378" t="s">
        <v>2789</v>
      </c>
      <c r="M3031" s="380"/>
      <c r="N3031" s="380">
        <v>15.6</v>
      </c>
      <c r="O3031" s="380"/>
      <c r="P3031" s="380"/>
      <c r="Q3031" s="381">
        <v>39.799999999999997</v>
      </c>
      <c r="R3031" s="381">
        <v>40</v>
      </c>
      <c r="S3031" s="381">
        <v>-0.14699999999999999</v>
      </c>
      <c r="T3031" s="381"/>
      <c r="U3031" s="381"/>
      <c r="V3031" s="382">
        <v>40</v>
      </c>
      <c r="W3031" s="382">
        <v>0</v>
      </c>
      <c r="X3031" s="381">
        <v>2.5512820512820511</v>
      </c>
      <c r="Y3031" s="381">
        <v>2.5641025641025643</v>
      </c>
      <c r="Z3031" s="381">
        <v>-9.4230769230769229E-3</v>
      </c>
      <c r="AA3031" s="381">
        <v>0</v>
      </c>
      <c r="AB3031" s="381">
        <v>0</v>
      </c>
      <c r="AC3031" s="382">
        <v>2.5641025641025643</v>
      </c>
      <c r="AD3031" s="382">
        <v>0</v>
      </c>
      <c r="AE3031" s="381" t="s">
        <v>168</v>
      </c>
    </row>
    <row r="3032" spans="1:31" ht="15" customHeight="1" x14ac:dyDescent="0.25">
      <c r="A3032" s="20" t="s">
        <v>4364</v>
      </c>
      <c r="B3032" s="378" t="s">
        <v>4430</v>
      </c>
      <c r="C3032" s="20" t="s">
        <v>4430</v>
      </c>
      <c r="D3032" s="378" t="s">
        <v>4457</v>
      </c>
      <c r="E3032" s="384">
        <v>44130</v>
      </c>
      <c r="F3032" s="384">
        <v>46686</v>
      </c>
      <c r="G3032" s="378" t="s">
        <v>4398</v>
      </c>
      <c r="H3032" s="20" t="s">
        <v>4399</v>
      </c>
      <c r="I3032" s="20" t="s">
        <v>162</v>
      </c>
      <c r="J3032" s="20" t="s">
        <v>163</v>
      </c>
      <c r="K3032" s="378" t="s">
        <v>4400</v>
      </c>
      <c r="L3032" s="378" t="s">
        <v>2789</v>
      </c>
      <c r="M3032" s="380"/>
      <c r="N3032" s="380">
        <v>10.7</v>
      </c>
      <c r="O3032" s="380"/>
      <c r="P3032" s="380"/>
      <c r="Q3032" s="381">
        <v>39.9</v>
      </c>
      <c r="R3032" s="381">
        <v>40.1</v>
      </c>
      <c r="S3032" s="381">
        <v>-0.24199999999999999</v>
      </c>
      <c r="T3032" s="381"/>
      <c r="U3032" s="381"/>
      <c r="V3032" s="382">
        <v>40.1</v>
      </c>
      <c r="W3032" s="382">
        <v>0</v>
      </c>
      <c r="X3032" s="381">
        <v>3.7289719626168227</v>
      </c>
      <c r="Y3032" s="381">
        <v>3.7476635514018697</v>
      </c>
      <c r="Z3032" s="381">
        <v>-2.2616822429906543E-2</v>
      </c>
      <c r="AA3032" s="381">
        <v>0</v>
      </c>
      <c r="AB3032" s="381">
        <v>0</v>
      </c>
      <c r="AC3032" s="382">
        <v>3.7476635514018697</v>
      </c>
      <c r="AD3032" s="382">
        <v>0</v>
      </c>
      <c r="AE3032" s="381" t="s">
        <v>168</v>
      </c>
    </row>
    <row r="3033" spans="1:31" ht="15" customHeight="1" x14ac:dyDescent="0.25">
      <c r="A3033" s="20" t="s">
        <v>4364</v>
      </c>
      <c r="B3033" s="378" t="s">
        <v>4430</v>
      </c>
      <c r="C3033" s="20" t="s">
        <v>4430</v>
      </c>
      <c r="D3033" s="378" t="s">
        <v>4458</v>
      </c>
      <c r="E3033" s="384">
        <v>44860</v>
      </c>
      <c r="F3033" s="384">
        <v>46686</v>
      </c>
      <c r="G3033" s="378" t="s">
        <v>4398</v>
      </c>
      <c r="H3033" s="20" t="s">
        <v>4402</v>
      </c>
      <c r="I3033" s="20" t="s">
        <v>3971</v>
      </c>
      <c r="J3033" s="20" t="s">
        <v>163</v>
      </c>
      <c r="K3033" s="378" t="s">
        <v>4403</v>
      </c>
      <c r="L3033" s="378" t="s">
        <v>2789</v>
      </c>
      <c r="M3033" s="380"/>
      <c r="N3033" s="380">
        <v>10.7</v>
      </c>
      <c r="O3033" s="380"/>
      <c r="P3033" s="380"/>
      <c r="Q3033" s="381">
        <v>39.9</v>
      </c>
      <c r="R3033" s="381">
        <v>40.1</v>
      </c>
      <c r="S3033" s="381">
        <v>-0.24199999999999999</v>
      </c>
      <c r="T3033" s="381"/>
      <c r="U3033" s="381"/>
      <c r="V3033" s="382">
        <v>40.1</v>
      </c>
      <c r="W3033" s="382">
        <v>0</v>
      </c>
      <c r="X3033" s="381">
        <v>3.7289719626168227</v>
      </c>
      <c r="Y3033" s="381">
        <v>3.7476635514018697</v>
      </c>
      <c r="Z3033" s="381">
        <v>-2.2616822429906543E-2</v>
      </c>
      <c r="AA3033" s="381">
        <v>0</v>
      </c>
      <c r="AB3033" s="381">
        <v>0</v>
      </c>
      <c r="AC3033" s="382">
        <v>3.7476635514018697</v>
      </c>
      <c r="AD3033" s="382">
        <v>0</v>
      </c>
      <c r="AE3033" s="381" t="s">
        <v>168</v>
      </c>
    </row>
    <row r="3034" spans="1:31" ht="15" customHeight="1" x14ac:dyDescent="0.25">
      <c r="A3034" s="20" t="s">
        <v>4364</v>
      </c>
      <c r="B3034" s="378" t="s">
        <v>4430</v>
      </c>
      <c r="C3034" s="20" t="s">
        <v>4430</v>
      </c>
      <c r="D3034" s="378" t="s">
        <v>4459</v>
      </c>
      <c r="E3034" s="384">
        <v>45061</v>
      </c>
      <c r="F3034" s="384">
        <v>46888</v>
      </c>
      <c r="G3034" s="378" t="s">
        <v>439</v>
      </c>
      <c r="H3034" s="20" t="s">
        <v>4367</v>
      </c>
      <c r="I3034" s="20" t="s">
        <v>162</v>
      </c>
      <c r="J3034" s="20" t="s">
        <v>163</v>
      </c>
      <c r="K3034" s="378" t="s">
        <v>4368</v>
      </c>
      <c r="L3034" s="378" t="s">
        <v>2789</v>
      </c>
      <c r="M3034" s="380"/>
      <c r="N3034" s="380">
        <v>18.100000000000001</v>
      </c>
      <c r="O3034" s="380"/>
      <c r="P3034" s="380"/>
      <c r="Q3034" s="381">
        <v>40.200000000000003</v>
      </c>
      <c r="R3034" s="381">
        <v>40.4</v>
      </c>
      <c r="S3034" s="381">
        <v>-0.20200000000000001</v>
      </c>
      <c r="T3034" s="381"/>
      <c r="U3034" s="381"/>
      <c r="V3034" s="382">
        <v>40.4</v>
      </c>
      <c r="W3034" s="382">
        <v>0</v>
      </c>
      <c r="X3034" s="381">
        <v>2.2209944751381214</v>
      </c>
      <c r="Y3034" s="381">
        <v>2.2320441988950273</v>
      </c>
      <c r="Z3034" s="381">
        <v>-1.1160220994475138E-2</v>
      </c>
      <c r="AA3034" s="381">
        <v>0</v>
      </c>
      <c r="AB3034" s="381">
        <v>0</v>
      </c>
      <c r="AC3034" s="382">
        <v>2.2320441988950273</v>
      </c>
      <c r="AD3034" s="382">
        <v>0</v>
      </c>
      <c r="AE3034" s="381" t="s">
        <v>168</v>
      </c>
    </row>
    <row r="3035" spans="1:31" ht="15" customHeight="1" x14ac:dyDescent="0.25">
      <c r="A3035" s="20" t="s">
        <v>4364</v>
      </c>
      <c r="B3035" s="378" t="s">
        <v>4430</v>
      </c>
      <c r="C3035" s="20" t="s">
        <v>4430</v>
      </c>
      <c r="D3035" s="378" t="s">
        <v>4460</v>
      </c>
      <c r="E3035" s="384">
        <v>45061</v>
      </c>
      <c r="F3035" s="384">
        <v>46888</v>
      </c>
      <c r="G3035" s="378" t="s">
        <v>439</v>
      </c>
      <c r="H3035" s="20" t="s">
        <v>4367</v>
      </c>
      <c r="I3035" s="20" t="s">
        <v>162</v>
      </c>
      <c r="J3035" s="20" t="s">
        <v>163</v>
      </c>
      <c r="K3035" s="378" t="s">
        <v>4368</v>
      </c>
      <c r="L3035" s="378" t="s">
        <v>2789</v>
      </c>
      <c r="M3035" s="380"/>
      <c r="N3035" s="380">
        <v>12</v>
      </c>
      <c r="O3035" s="380"/>
      <c r="P3035" s="380"/>
      <c r="Q3035" s="381">
        <v>40.5</v>
      </c>
      <c r="R3035" s="381">
        <v>40.700000000000003</v>
      </c>
      <c r="S3035" s="381">
        <v>-0.14599999999999999</v>
      </c>
      <c r="T3035" s="381"/>
      <c r="U3035" s="381"/>
      <c r="V3035" s="382">
        <v>40.700000000000003</v>
      </c>
      <c r="W3035" s="382">
        <v>0</v>
      </c>
      <c r="X3035" s="381">
        <v>3.375</v>
      </c>
      <c r="Y3035" s="381">
        <v>3.3916666666666671</v>
      </c>
      <c r="Z3035" s="381">
        <v>-1.2166666666666666E-2</v>
      </c>
      <c r="AA3035" s="381">
        <v>0</v>
      </c>
      <c r="AB3035" s="381">
        <v>0</v>
      </c>
      <c r="AC3035" s="382">
        <v>3.3916666666666671</v>
      </c>
      <c r="AD3035" s="382">
        <v>0</v>
      </c>
      <c r="AE3035" s="381" t="s">
        <v>168</v>
      </c>
    </row>
    <row r="3036" spans="1:31" ht="15" customHeight="1" x14ac:dyDescent="0.25">
      <c r="A3036" s="20" t="s">
        <v>4364</v>
      </c>
      <c r="B3036" s="378" t="s">
        <v>4430</v>
      </c>
      <c r="C3036" s="20" t="s">
        <v>4430</v>
      </c>
      <c r="D3036" s="378" t="s">
        <v>4461</v>
      </c>
      <c r="E3036" s="384">
        <v>45061</v>
      </c>
      <c r="F3036" s="384">
        <v>46888</v>
      </c>
      <c r="G3036" s="378" t="s">
        <v>439</v>
      </c>
      <c r="H3036" s="20" t="s">
        <v>4367</v>
      </c>
      <c r="I3036" s="20" t="s">
        <v>162</v>
      </c>
      <c r="J3036" s="20" t="s">
        <v>163</v>
      </c>
      <c r="K3036" s="378" t="s">
        <v>4368</v>
      </c>
      <c r="L3036" s="378" t="s">
        <v>2789</v>
      </c>
      <c r="M3036" s="380"/>
      <c r="N3036" s="380">
        <v>18.100000000000001</v>
      </c>
      <c r="O3036" s="380"/>
      <c r="P3036" s="380"/>
      <c r="Q3036" s="381">
        <v>41</v>
      </c>
      <c r="R3036" s="381">
        <v>41.2</v>
      </c>
      <c r="S3036" s="381">
        <v>-0.20200000000000001</v>
      </c>
      <c r="T3036" s="381"/>
      <c r="U3036" s="381"/>
      <c r="V3036" s="382">
        <v>41.2</v>
      </c>
      <c r="W3036" s="382">
        <v>0</v>
      </c>
      <c r="X3036" s="381">
        <v>2.2651933701657456</v>
      </c>
      <c r="Y3036" s="381">
        <v>2.2762430939226519</v>
      </c>
      <c r="Z3036" s="381">
        <v>-1.1160220994475138E-2</v>
      </c>
      <c r="AA3036" s="381">
        <v>0</v>
      </c>
      <c r="AB3036" s="381">
        <v>0</v>
      </c>
      <c r="AC3036" s="382">
        <v>2.2762430939226519</v>
      </c>
      <c r="AD3036" s="382">
        <v>0</v>
      </c>
      <c r="AE3036" s="381" t="s">
        <v>168</v>
      </c>
    </row>
    <row r="3037" spans="1:31" ht="15" customHeight="1" x14ac:dyDescent="0.25">
      <c r="A3037" s="20" t="s">
        <v>4364</v>
      </c>
      <c r="B3037" s="378" t="s">
        <v>4430</v>
      </c>
      <c r="C3037" s="20" t="s">
        <v>4430</v>
      </c>
      <c r="D3037" s="378" t="s">
        <v>4462</v>
      </c>
      <c r="E3037" s="384">
        <v>44860</v>
      </c>
      <c r="F3037" s="384">
        <v>46686</v>
      </c>
      <c r="G3037" s="378" t="s">
        <v>4398</v>
      </c>
      <c r="H3037" s="20" t="s">
        <v>4405</v>
      </c>
      <c r="I3037" s="20" t="s">
        <v>3971</v>
      </c>
      <c r="J3037" s="20" t="s">
        <v>163</v>
      </c>
      <c r="K3037" s="378" t="s">
        <v>4406</v>
      </c>
      <c r="L3037" s="378" t="s">
        <v>2789</v>
      </c>
      <c r="M3037" s="380"/>
      <c r="N3037" s="380">
        <v>12</v>
      </c>
      <c r="O3037" s="380"/>
      <c r="P3037" s="380"/>
      <c r="Q3037" s="381">
        <v>41.8</v>
      </c>
      <c r="R3037" s="381">
        <v>42</v>
      </c>
      <c r="S3037" s="381">
        <v>-0.21299999999999999</v>
      </c>
      <c r="T3037" s="381"/>
      <c r="U3037" s="381"/>
      <c r="V3037" s="382">
        <v>42</v>
      </c>
      <c r="W3037" s="382">
        <v>0</v>
      </c>
      <c r="X3037" s="381">
        <v>3.4833333333333329</v>
      </c>
      <c r="Y3037" s="381">
        <v>3.5</v>
      </c>
      <c r="Z3037" s="381">
        <v>-1.7749999999999998E-2</v>
      </c>
      <c r="AA3037" s="381">
        <v>0</v>
      </c>
      <c r="AB3037" s="381">
        <v>0</v>
      </c>
      <c r="AC3037" s="382">
        <v>3.5</v>
      </c>
      <c r="AD3037" s="382">
        <v>0</v>
      </c>
      <c r="AE3037" s="381" t="s">
        <v>168</v>
      </c>
    </row>
    <row r="3038" spans="1:31" ht="15" customHeight="1" x14ac:dyDescent="0.25">
      <c r="A3038" s="20" t="s">
        <v>4364</v>
      </c>
      <c r="B3038" s="378" t="s">
        <v>4430</v>
      </c>
      <c r="C3038" s="20" t="s">
        <v>4430</v>
      </c>
      <c r="D3038" s="378" t="s">
        <v>4463</v>
      </c>
      <c r="E3038" s="384">
        <v>45061</v>
      </c>
      <c r="F3038" s="384">
        <v>46888</v>
      </c>
      <c r="G3038" s="378" t="s">
        <v>439</v>
      </c>
      <c r="H3038" s="20" t="s">
        <v>4390</v>
      </c>
      <c r="I3038" s="20" t="s">
        <v>162</v>
      </c>
      <c r="J3038" s="20" t="s">
        <v>163</v>
      </c>
      <c r="K3038" s="378" t="s">
        <v>4391</v>
      </c>
      <c r="L3038" s="378" t="s">
        <v>2789</v>
      </c>
      <c r="M3038" s="380"/>
      <c r="N3038" s="380">
        <v>15.6</v>
      </c>
      <c r="O3038" s="380"/>
      <c r="P3038" s="380"/>
      <c r="Q3038" s="381">
        <v>51.7</v>
      </c>
      <c r="R3038" s="381">
        <v>51.8</v>
      </c>
      <c r="S3038" s="381">
        <v>0.14399999999999999</v>
      </c>
      <c r="T3038" s="381"/>
      <c r="U3038" s="381"/>
      <c r="V3038" s="382">
        <v>51.943999999999996</v>
      </c>
      <c r="W3038" s="382">
        <v>0</v>
      </c>
      <c r="X3038" s="381">
        <v>3.3141025641025643</v>
      </c>
      <c r="Y3038" s="381">
        <v>3.3205128205128203</v>
      </c>
      <c r="Z3038" s="381">
        <v>9.2307692307692299E-3</v>
      </c>
      <c r="AA3038" s="381">
        <v>0</v>
      </c>
      <c r="AB3038" s="381">
        <v>0</v>
      </c>
      <c r="AC3038" s="382">
        <v>3.3297435897435896</v>
      </c>
      <c r="AD3038" s="382">
        <v>0</v>
      </c>
      <c r="AE3038" s="381" t="s">
        <v>168</v>
      </c>
    </row>
    <row r="3039" spans="1:31" ht="15" customHeight="1" x14ac:dyDescent="0.25">
      <c r="A3039" s="20" t="s">
        <v>4364</v>
      </c>
      <c r="B3039" s="378" t="s">
        <v>4430</v>
      </c>
      <c r="C3039" s="20" t="s">
        <v>4430</v>
      </c>
      <c r="D3039" s="378" t="s">
        <v>4464</v>
      </c>
      <c r="E3039" s="384">
        <v>44130</v>
      </c>
      <c r="F3039" s="384">
        <v>46686</v>
      </c>
      <c r="G3039" s="378" t="s">
        <v>4398</v>
      </c>
      <c r="H3039" s="20" t="s">
        <v>4399</v>
      </c>
      <c r="I3039" s="20" t="s">
        <v>162</v>
      </c>
      <c r="J3039" s="20" t="s">
        <v>163</v>
      </c>
      <c r="K3039" s="378" t="s">
        <v>4400</v>
      </c>
      <c r="L3039" s="378" t="s">
        <v>2789</v>
      </c>
      <c r="M3039" s="380"/>
      <c r="N3039" s="380">
        <v>11.1</v>
      </c>
      <c r="O3039" s="380"/>
      <c r="P3039" s="380"/>
      <c r="Q3039" s="381">
        <v>42.7</v>
      </c>
      <c r="R3039" s="381">
        <v>42.9</v>
      </c>
      <c r="S3039" s="381">
        <v>-0.22900000000000001</v>
      </c>
      <c r="T3039" s="381"/>
      <c r="U3039" s="381"/>
      <c r="V3039" s="382">
        <v>42.9</v>
      </c>
      <c r="W3039" s="382">
        <v>0</v>
      </c>
      <c r="X3039" s="381">
        <v>3.8468468468468471</v>
      </c>
      <c r="Y3039" s="381">
        <v>3.8648648648648649</v>
      </c>
      <c r="Z3039" s="381">
        <v>-2.0630630630630632E-2</v>
      </c>
      <c r="AA3039" s="381">
        <v>0</v>
      </c>
      <c r="AB3039" s="381">
        <v>0</v>
      </c>
      <c r="AC3039" s="382">
        <v>3.8648648648648649</v>
      </c>
      <c r="AD3039" s="382">
        <v>0</v>
      </c>
      <c r="AE3039" s="381" t="s">
        <v>168</v>
      </c>
    </row>
    <row r="3040" spans="1:31" ht="15" customHeight="1" x14ac:dyDescent="0.25">
      <c r="A3040" s="20" t="s">
        <v>4364</v>
      </c>
      <c r="B3040" s="378" t="s">
        <v>4430</v>
      </c>
      <c r="C3040" s="20" t="s">
        <v>4430</v>
      </c>
      <c r="D3040" s="378" t="s">
        <v>4465</v>
      </c>
      <c r="E3040" s="384">
        <v>44860</v>
      </c>
      <c r="F3040" s="384">
        <v>46686</v>
      </c>
      <c r="G3040" s="378" t="s">
        <v>4398</v>
      </c>
      <c r="H3040" s="20" t="s">
        <v>4402</v>
      </c>
      <c r="I3040" s="20" t="s">
        <v>3971</v>
      </c>
      <c r="J3040" s="20" t="s">
        <v>163</v>
      </c>
      <c r="K3040" s="378" t="s">
        <v>4403</v>
      </c>
      <c r="L3040" s="378" t="s">
        <v>2789</v>
      </c>
      <c r="M3040" s="380"/>
      <c r="N3040" s="380">
        <v>11.1</v>
      </c>
      <c r="O3040" s="380"/>
      <c r="P3040" s="380"/>
      <c r="Q3040" s="381">
        <v>42.7</v>
      </c>
      <c r="R3040" s="381">
        <v>42.9</v>
      </c>
      <c r="S3040" s="381">
        <v>-0.22900000000000001</v>
      </c>
      <c r="T3040" s="381"/>
      <c r="U3040" s="381"/>
      <c r="V3040" s="382">
        <v>42.9</v>
      </c>
      <c r="W3040" s="382">
        <v>0</v>
      </c>
      <c r="X3040" s="381">
        <v>3.8468468468468471</v>
      </c>
      <c r="Y3040" s="381">
        <v>3.8648648648648649</v>
      </c>
      <c r="Z3040" s="381">
        <v>-2.0630630630630632E-2</v>
      </c>
      <c r="AA3040" s="381">
        <v>0</v>
      </c>
      <c r="AB3040" s="381">
        <v>0</v>
      </c>
      <c r="AC3040" s="382">
        <v>3.8648648648648649</v>
      </c>
      <c r="AD3040" s="382">
        <v>0</v>
      </c>
      <c r="AE3040" s="381" t="s">
        <v>168</v>
      </c>
    </row>
    <row r="3041" spans="1:31" ht="15" customHeight="1" x14ac:dyDescent="0.25">
      <c r="A3041" s="20" t="s">
        <v>4364</v>
      </c>
      <c r="B3041" s="378" t="s">
        <v>4430</v>
      </c>
      <c r="C3041" s="20" t="s">
        <v>4430</v>
      </c>
      <c r="D3041" s="378" t="s">
        <v>4466</v>
      </c>
      <c r="E3041" s="384">
        <v>44860</v>
      </c>
      <c r="F3041" s="384">
        <v>46686</v>
      </c>
      <c r="G3041" s="378" t="s">
        <v>4398</v>
      </c>
      <c r="H3041" s="20" t="s">
        <v>4414</v>
      </c>
      <c r="I3041" s="20" t="s">
        <v>3971</v>
      </c>
      <c r="J3041" s="20" t="s">
        <v>163</v>
      </c>
      <c r="K3041" s="378" t="s">
        <v>4415</v>
      </c>
      <c r="L3041" s="378" t="s">
        <v>2789</v>
      </c>
      <c r="M3041" s="380"/>
      <c r="N3041" s="380">
        <v>11.9</v>
      </c>
      <c r="O3041" s="380"/>
      <c r="P3041" s="380"/>
      <c r="Q3041" s="381">
        <v>46.4</v>
      </c>
      <c r="R3041" s="381">
        <v>46.6</v>
      </c>
      <c r="S3041" s="381">
        <v>-0.216</v>
      </c>
      <c r="T3041" s="381"/>
      <c r="U3041" s="381"/>
      <c r="V3041" s="382">
        <v>46.6</v>
      </c>
      <c r="W3041" s="382">
        <v>0</v>
      </c>
      <c r="X3041" s="381">
        <v>3.8991596638655461</v>
      </c>
      <c r="Y3041" s="381">
        <v>3.9159663865546217</v>
      </c>
      <c r="Z3041" s="381">
        <v>-1.8151260504201679E-2</v>
      </c>
      <c r="AA3041" s="381">
        <v>0</v>
      </c>
      <c r="AB3041" s="381">
        <v>0</v>
      </c>
      <c r="AC3041" s="382">
        <v>3.9159663865546217</v>
      </c>
      <c r="AD3041" s="382">
        <v>0</v>
      </c>
      <c r="AE3041" s="381" t="s">
        <v>168</v>
      </c>
    </row>
    <row r="3042" spans="1:31" ht="15" customHeight="1" x14ac:dyDescent="0.25">
      <c r="A3042" s="20" t="s">
        <v>4364</v>
      </c>
      <c r="B3042" s="378" t="s">
        <v>4430</v>
      </c>
      <c r="C3042" s="20" t="s">
        <v>4430</v>
      </c>
      <c r="D3042" s="378" t="s">
        <v>4467</v>
      </c>
      <c r="E3042" s="384">
        <v>45061</v>
      </c>
      <c r="F3042" s="384">
        <v>46888</v>
      </c>
      <c r="G3042" s="378" t="s">
        <v>439</v>
      </c>
      <c r="H3042" s="20" t="s">
        <v>4390</v>
      </c>
      <c r="I3042" s="20" t="s">
        <v>162</v>
      </c>
      <c r="J3042" s="20" t="s">
        <v>163</v>
      </c>
      <c r="K3042" s="378" t="s">
        <v>4391</v>
      </c>
      <c r="L3042" s="378" t="s">
        <v>2789</v>
      </c>
      <c r="M3042" s="380"/>
      <c r="N3042" s="380">
        <v>13.371428571428572</v>
      </c>
      <c r="O3042" s="380"/>
      <c r="P3042" s="380"/>
      <c r="Q3042" s="381">
        <v>47.8</v>
      </c>
      <c r="R3042" s="381">
        <v>48</v>
      </c>
      <c r="S3042" s="381">
        <v>-0.14299999999999999</v>
      </c>
      <c r="T3042" s="381"/>
      <c r="U3042" s="381"/>
      <c r="V3042" s="382">
        <v>48</v>
      </c>
      <c r="W3042" s="382">
        <v>0</v>
      </c>
      <c r="X3042" s="381">
        <v>3.5747863247863245</v>
      </c>
      <c r="Y3042" s="381">
        <v>3.5897435897435894</v>
      </c>
      <c r="Z3042" s="381">
        <v>-1.0694444444444444E-2</v>
      </c>
      <c r="AA3042" s="381">
        <v>0</v>
      </c>
      <c r="AB3042" s="381">
        <v>0</v>
      </c>
      <c r="AC3042" s="382">
        <v>3.5897435897435894</v>
      </c>
      <c r="AD3042" s="382">
        <v>0</v>
      </c>
      <c r="AE3042" s="381" t="s">
        <v>168</v>
      </c>
    </row>
    <row r="3043" spans="1:31" ht="15" customHeight="1" x14ac:dyDescent="0.25">
      <c r="A3043" s="20" t="s">
        <v>4364</v>
      </c>
      <c r="B3043" s="378" t="s">
        <v>4430</v>
      </c>
      <c r="C3043" s="20" t="s">
        <v>4430</v>
      </c>
      <c r="D3043" s="378" t="s">
        <v>4468</v>
      </c>
      <c r="E3043" s="384">
        <v>44860</v>
      </c>
      <c r="F3043" s="384">
        <v>46686</v>
      </c>
      <c r="G3043" s="378" t="s">
        <v>4398</v>
      </c>
      <c r="H3043" s="20" t="s">
        <v>4408</v>
      </c>
      <c r="I3043" s="20" t="s">
        <v>162</v>
      </c>
      <c r="J3043" s="20" t="s">
        <v>163</v>
      </c>
      <c r="K3043" s="378" t="s">
        <v>4409</v>
      </c>
      <c r="L3043" s="378" t="s">
        <v>2789</v>
      </c>
      <c r="M3043" s="380"/>
      <c r="N3043" s="380">
        <v>13</v>
      </c>
      <c r="O3043" s="380"/>
      <c r="P3043" s="380"/>
      <c r="Q3043" s="381">
        <v>49.3</v>
      </c>
      <c r="R3043" s="381">
        <v>49.5</v>
      </c>
      <c r="S3043" s="381">
        <v>-0.20200000000000001</v>
      </c>
      <c r="T3043" s="381"/>
      <c r="U3043" s="381"/>
      <c r="V3043" s="382">
        <v>49.5</v>
      </c>
      <c r="W3043" s="382">
        <v>0</v>
      </c>
      <c r="X3043" s="381">
        <v>3.7923076923076922</v>
      </c>
      <c r="Y3043" s="381">
        <v>3.8076923076923075</v>
      </c>
      <c r="Z3043" s="381">
        <v>-1.5538461538461539E-2</v>
      </c>
      <c r="AA3043" s="381">
        <v>0</v>
      </c>
      <c r="AB3043" s="381">
        <v>0</v>
      </c>
      <c r="AC3043" s="382">
        <v>3.8076923076923075</v>
      </c>
      <c r="AD3043" s="382">
        <v>0</v>
      </c>
      <c r="AE3043" s="381" t="s">
        <v>168</v>
      </c>
    </row>
    <row r="3044" spans="1:31" ht="15" customHeight="1" x14ac:dyDescent="0.25">
      <c r="A3044" s="20" t="s">
        <v>4364</v>
      </c>
      <c r="B3044" s="378" t="s">
        <v>4430</v>
      </c>
      <c r="C3044" s="20" t="s">
        <v>4430</v>
      </c>
      <c r="D3044" s="378" t="s">
        <v>4469</v>
      </c>
      <c r="E3044" s="384">
        <v>44860</v>
      </c>
      <c r="F3044" s="384">
        <v>46686</v>
      </c>
      <c r="G3044" s="378" t="s">
        <v>4398</v>
      </c>
      <c r="H3044" s="20" t="s">
        <v>4411</v>
      </c>
      <c r="I3044" s="20" t="s">
        <v>162</v>
      </c>
      <c r="J3044" s="20" t="s">
        <v>163</v>
      </c>
      <c r="K3044" s="378" t="s">
        <v>4412</v>
      </c>
      <c r="L3044" s="378" t="s">
        <v>2789</v>
      </c>
      <c r="M3044" s="380"/>
      <c r="N3044" s="380">
        <v>13</v>
      </c>
      <c r="O3044" s="380"/>
      <c r="P3044" s="380"/>
      <c r="Q3044" s="381">
        <v>49.5</v>
      </c>
      <c r="R3044" s="381">
        <v>49.7</v>
      </c>
      <c r="S3044" s="381">
        <v>-0.20200000000000001</v>
      </c>
      <c r="T3044" s="381"/>
      <c r="U3044" s="381"/>
      <c r="V3044" s="382">
        <v>49.7</v>
      </c>
      <c r="W3044" s="382">
        <v>0</v>
      </c>
      <c r="X3044" s="381">
        <v>3.8076923076923075</v>
      </c>
      <c r="Y3044" s="381">
        <v>3.8230769230769233</v>
      </c>
      <c r="Z3044" s="381">
        <v>-1.5538461538461539E-2</v>
      </c>
      <c r="AA3044" s="381">
        <v>0</v>
      </c>
      <c r="AB3044" s="381">
        <v>0</v>
      </c>
      <c r="AC3044" s="382">
        <v>3.8230769230769233</v>
      </c>
      <c r="AD3044" s="382">
        <v>0</v>
      </c>
      <c r="AE3044" s="381" t="s">
        <v>168</v>
      </c>
    </row>
    <row r="3045" spans="1:31" ht="15" customHeight="1" x14ac:dyDescent="0.25">
      <c r="A3045" s="20" t="s">
        <v>4364</v>
      </c>
      <c r="B3045" s="378" t="s">
        <v>4430</v>
      </c>
      <c r="C3045" s="20" t="s">
        <v>4430</v>
      </c>
      <c r="D3045" s="378" t="s">
        <v>4470</v>
      </c>
      <c r="E3045" s="384">
        <v>44130</v>
      </c>
      <c r="F3045" s="384">
        <v>46686</v>
      </c>
      <c r="G3045" s="378" t="s">
        <v>4398</v>
      </c>
      <c r="H3045" s="20" t="s">
        <v>4399</v>
      </c>
      <c r="I3045" s="20" t="s">
        <v>162</v>
      </c>
      <c r="J3045" s="20" t="s">
        <v>163</v>
      </c>
      <c r="K3045" s="378" t="s">
        <v>4400</v>
      </c>
      <c r="L3045" s="378" t="s">
        <v>2789</v>
      </c>
      <c r="M3045" s="380"/>
      <c r="N3045" s="380">
        <v>12.3</v>
      </c>
      <c r="O3045" s="380"/>
      <c r="P3045" s="380"/>
      <c r="Q3045" s="381">
        <v>50.4</v>
      </c>
      <c r="R3045" s="381">
        <v>50.6</v>
      </c>
      <c r="S3045" s="381">
        <v>-0.192</v>
      </c>
      <c r="T3045" s="381"/>
      <c r="U3045" s="381"/>
      <c r="V3045" s="382">
        <v>50.6</v>
      </c>
      <c r="W3045" s="382">
        <v>0</v>
      </c>
      <c r="X3045" s="381">
        <v>4.0975609756097562</v>
      </c>
      <c r="Y3045" s="381">
        <v>4.1138211382113816</v>
      </c>
      <c r="Z3045" s="381">
        <v>-1.5609756097560976E-2</v>
      </c>
      <c r="AA3045" s="381">
        <v>0</v>
      </c>
      <c r="AB3045" s="381">
        <v>0</v>
      </c>
      <c r="AC3045" s="382">
        <v>4.1138211382113816</v>
      </c>
      <c r="AD3045" s="382">
        <v>0</v>
      </c>
      <c r="AE3045" s="381" t="s">
        <v>168</v>
      </c>
    </row>
    <row r="3046" spans="1:31" ht="15" customHeight="1" x14ac:dyDescent="0.25">
      <c r="A3046" s="20" t="s">
        <v>4364</v>
      </c>
      <c r="B3046" s="378" t="s">
        <v>4430</v>
      </c>
      <c r="C3046" s="20" t="s">
        <v>4430</v>
      </c>
      <c r="D3046" s="378" t="s">
        <v>4471</v>
      </c>
      <c r="E3046" s="384">
        <v>44860</v>
      </c>
      <c r="F3046" s="384">
        <v>46686</v>
      </c>
      <c r="G3046" s="378" t="s">
        <v>4398</v>
      </c>
      <c r="H3046" s="20" t="s">
        <v>4402</v>
      </c>
      <c r="I3046" s="20" t="s">
        <v>3971</v>
      </c>
      <c r="J3046" s="20" t="s">
        <v>163</v>
      </c>
      <c r="K3046" s="378" t="s">
        <v>4403</v>
      </c>
      <c r="L3046" s="378" t="s">
        <v>2789</v>
      </c>
      <c r="M3046" s="380"/>
      <c r="N3046" s="380">
        <v>12.3</v>
      </c>
      <c r="O3046" s="380"/>
      <c r="P3046" s="380"/>
      <c r="Q3046" s="381">
        <v>50.4</v>
      </c>
      <c r="R3046" s="381">
        <v>50.6</v>
      </c>
      <c r="S3046" s="381">
        <v>-0.192</v>
      </c>
      <c r="T3046" s="381"/>
      <c r="U3046" s="381"/>
      <c r="V3046" s="382">
        <v>50.6</v>
      </c>
      <c r="W3046" s="382">
        <v>0</v>
      </c>
      <c r="X3046" s="381">
        <v>4.0975609756097562</v>
      </c>
      <c r="Y3046" s="381">
        <v>4.1138211382113816</v>
      </c>
      <c r="Z3046" s="381">
        <v>-1.5609756097560976E-2</v>
      </c>
      <c r="AA3046" s="381">
        <v>0</v>
      </c>
      <c r="AB3046" s="381">
        <v>0</v>
      </c>
      <c r="AC3046" s="382">
        <v>4.1138211382113816</v>
      </c>
      <c r="AD3046" s="382">
        <v>0</v>
      </c>
      <c r="AE3046" s="381" t="s">
        <v>168</v>
      </c>
    </row>
    <row r="3047" spans="1:31" ht="15" customHeight="1" x14ac:dyDescent="0.25">
      <c r="A3047" s="20" t="s">
        <v>4364</v>
      </c>
      <c r="B3047" s="378" t="s">
        <v>4430</v>
      </c>
      <c r="C3047" s="20" t="s">
        <v>4430</v>
      </c>
      <c r="D3047" s="378" t="s">
        <v>4472</v>
      </c>
      <c r="E3047" s="384">
        <v>44860</v>
      </c>
      <c r="F3047" s="384">
        <v>46686</v>
      </c>
      <c r="G3047" s="378" t="s">
        <v>4398</v>
      </c>
      <c r="H3047" s="20" t="s">
        <v>4417</v>
      </c>
      <c r="I3047" s="20" t="s">
        <v>162</v>
      </c>
      <c r="J3047" s="20" t="s">
        <v>163</v>
      </c>
      <c r="K3047" s="378" t="s">
        <v>4418</v>
      </c>
      <c r="L3047" s="378" t="s">
        <v>2789</v>
      </c>
      <c r="M3047" s="380"/>
      <c r="N3047" s="380">
        <v>11.5</v>
      </c>
      <c r="O3047" s="380"/>
      <c r="P3047" s="380"/>
      <c r="Q3047" s="381">
        <v>50.6</v>
      </c>
      <c r="R3047" s="381">
        <v>50.8</v>
      </c>
      <c r="S3047" s="381">
        <v>-0.217</v>
      </c>
      <c r="T3047" s="381"/>
      <c r="U3047" s="381"/>
      <c r="V3047" s="382">
        <v>50.8</v>
      </c>
      <c r="W3047" s="382">
        <v>0</v>
      </c>
      <c r="X3047" s="381">
        <v>4.4000000000000004</v>
      </c>
      <c r="Y3047" s="381">
        <v>4.4173913043478255</v>
      </c>
      <c r="Z3047" s="381">
        <v>-1.8869565217391304E-2</v>
      </c>
      <c r="AA3047" s="381">
        <v>0</v>
      </c>
      <c r="AB3047" s="381">
        <v>0</v>
      </c>
      <c r="AC3047" s="382">
        <v>4.4173913043478255</v>
      </c>
      <c r="AD3047" s="382">
        <v>0</v>
      </c>
      <c r="AE3047" s="381" t="s">
        <v>168</v>
      </c>
    </row>
    <row r="3048" spans="1:31" ht="15" customHeight="1" x14ac:dyDescent="0.25">
      <c r="A3048" s="20" t="s">
        <v>4364</v>
      </c>
      <c r="B3048" s="378" t="s">
        <v>4430</v>
      </c>
      <c r="C3048" s="20" t="s">
        <v>4430</v>
      </c>
      <c r="D3048" s="378" t="s">
        <v>4473</v>
      </c>
      <c r="E3048" s="384">
        <v>44860</v>
      </c>
      <c r="F3048" s="384">
        <v>46686</v>
      </c>
      <c r="G3048" s="378" t="s">
        <v>4398</v>
      </c>
      <c r="H3048" s="20" t="s">
        <v>4435</v>
      </c>
      <c r="I3048" s="20" t="s">
        <v>3971</v>
      </c>
      <c r="J3048" s="20" t="s">
        <v>163</v>
      </c>
      <c r="K3048" s="378" t="s">
        <v>4436</v>
      </c>
      <c r="L3048" s="378" t="s">
        <v>2789</v>
      </c>
      <c r="M3048" s="380"/>
      <c r="N3048" s="380">
        <v>11.2</v>
      </c>
      <c r="O3048" s="380"/>
      <c r="P3048" s="380"/>
      <c r="Q3048" s="381">
        <v>51</v>
      </c>
      <c r="R3048" s="381">
        <v>51.2</v>
      </c>
      <c r="S3048" s="381">
        <v>-0.248</v>
      </c>
      <c r="T3048" s="381"/>
      <c r="U3048" s="381"/>
      <c r="V3048" s="382">
        <v>51.2</v>
      </c>
      <c r="W3048" s="382">
        <v>0</v>
      </c>
      <c r="X3048" s="381">
        <v>4.5535714285714288</v>
      </c>
      <c r="Y3048" s="381">
        <v>4.5714285714285721</v>
      </c>
      <c r="Z3048" s="381">
        <v>-2.2142857142857145E-2</v>
      </c>
      <c r="AA3048" s="381">
        <v>0</v>
      </c>
      <c r="AB3048" s="381">
        <v>0</v>
      </c>
      <c r="AC3048" s="382">
        <v>4.5714285714285721</v>
      </c>
      <c r="AD3048" s="382">
        <v>0</v>
      </c>
      <c r="AE3048" s="381" t="s">
        <v>168</v>
      </c>
    </row>
    <row r="3049" spans="1:31" ht="15" customHeight="1" x14ac:dyDescent="0.25">
      <c r="A3049" s="20" t="s">
        <v>4364</v>
      </c>
      <c r="B3049" s="378" t="s">
        <v>4430</v>
      </c>
      <c r="C3049" s="20" t="s">
        <v>4430</v>
      </c>
      <c r="D3049" s="378" t="s">
        <v>4474</v>
      </c>
      <c r="E3049" s="384">
        <v>44860</v>
      </c>
      <c r="F3049" s="384">
        <v>46686</v>
      </c>
      <c r="G3049" s="378" t="s">
        <v>4398</v>
      </c>
      <c r="H3049" s="20" t="s">
        <v>4411</v>
      </c>
      <c r="I3049" s="20" t="s">
        <v>162</v>
      </c>
      <c r="J3049" s="20" t="s">
        <v>163</v>
      </c>
      <c r="K3049" s="378" t="s">
        <v>4412</v>
      </c>
      <c r="L3049" s="378" t="s">
        <v>2789</v>
      </c>
      <c r="M3049" s="380"/>
      <c r="N3049" s="380">
        <v>14</v>
      </c>
      <c r="O3049" s="380"/>
      <c r="P3049" s="380"/>
      <c r="Q3049" s="381">
        <v>55.8</v>
      </c>
      <c r="R3049" s="381">
        <v>56</v>
      </c>
      <c r="S3049" s="381">
        <v>-0.17199999999999999</v>
      </c>
      <c r="T3049" s="381"/>
      <c r="U3049" s="381"/>
      <c r="V3049" s="382">
        <v>56</v>
      </c>
      <c r="W3049" s="382">
        <v>0</v>
      </c>
      <c r="X3049" s="381">
        <v>3.9857142857142853</v>
      </c>
      <c r="Y3049" s="381">
        <v>4</v>
      </c>
      <c r="Z3049" s="381">
        <v>-1.2285714285714285E-2</v>
      </c>
      <c r="AA3049" s="381">
        <v>0</v>
      </c>
      <c r="AB3049" s="381">
        <v>0</v>
      </c>
      <c r="AC3049" s="382">
        <v>4</v>
      </c>
      <c r="AD3049" s="382">
        <v>0</v>
      </c>
      <c r="AE3049" s="381" t="s">
        <v>168</v>
      </c>
    </row>
    <row r="3050" spans="1:31" ht="15" customHeight="1" x14ac:dyDescent="0.25">
      <c r="A3050" s="20" t="s">
        <v>4364</v>
      </c>
      <c r="B3050" s="378" t="s">
        <v>4430</v>
      </c>
      <c r="C3050" s="20" t="s">
        <v>4430</v>
      </c>
      <c r="D3050" s="378" t="s">
        <v>4475</v>
      </c>
      <c r="E3050" s="384">
        <v>45061</v>
      </c>
      <c r="F3050" s="384">
        <v>46888</v>
      </c>
      <c r="G3050" s="378" t="s">
        <v>439</v>
      </c>
      <c r="H3050" s="20" t="s">
        <v>4367</v>
      </c>
      <c r="I3050" s="20" t="s">
        <v>162</v>
      </c>
      <c r="J3050" s="20" t="s">
        <v>163</v>
      </c>
      <c r="K3050" s="378" t="s">
        <v>4368</v>
      </c>
      <c r="L3050" s="378" t="s">
        <v>2789</v>
      </c>
      <c r="M3050" s="380"/>
      <c r="N3050" s="380">
        <v>12</v>
      </c>
      <c r="O3050" s="380"/>
      <c r="P3050" s="380"/>
      <c r="Q3050" s="381">
        <v>32.1</v>
      </c>
      <c r="R3050" s="381">
        <v>32.200000000000003</v>
      </c>
      <c r="S3050" s="381">
        <v>-0.10100000000000001</v>
      </c>
      <c r="T3050" s="381"/>
      <c r="U3050" s="381"/>
      <c r="V3050" s="382">
        <v>32.200000000000003</v>
      </c>
      <c r="W3050" s="382">
        <v>0</v>
      </c>
      <c r="X3050" s="381">
        <v>2.6750000000000003</v>
      </c>
      <c r="Y3050" s="381">
        <v>2.6833333333333336</v>
      </c>
      <c r="Z3050" s="381">
        <v>-8.4166666666666678E-3</v>
      </c>
      <c r="AA3050" s="381">
        <v>0</v>
      </c>
      <c r="AB3050" s="381">
        <v>0</v>
      </c>
      <c r="AC3050" s="382">
        <v>2.6833333333333336</v>
      </c>
      <c r="AD3050" s="382">
        <v>0</v>
      </c>
      <c r="AE3050" s="381" t="s">
        <v>168</v>
      </c>
    </row>
    <row r="3051" spans="1:31" ht="15" customHeight="1" x14ac:dyDescent="0.25">
      <c r="A3051" s="20" t="s">
        <v>4364</v>
      </c>
      <c r="B3051" s="378" t="s">
        <v>4430</v>
      </c>
      <c r="C3051" s="20" t="s">
        <v>4430</v>
      </c>
      <c r="D3051" s="378" t="s">
        <v>4476</v>
      </c>
      <c r="E3051" s="384">
        <v>45061</v>
      </c>
      <c r="F3051" s="384">
        <v>46888</v>
      </c>
      <c r="G3051" s="378" t="s">
        <v>439</v>
      </c>
      <c r="H3051" s="20" t="s">
        <v>4367</v>
      </c>
      <c r="I3051" s="20" t="s">
        <v>162</v>
      </c>
      <c r="J3051" s="20" t="s">
        <v>163</v>
      </c>
      <c r="K3051" s="378" t="s">
        <v>4368</v>
      </c>
      <c r="L3051" s="378" t="s">
        <v>2789</v>
      </c>
      <c r="M3051" s="380"/>
      <c r="N3051" s="380">
        <v>10.285714285714286</v>
      </c>
      <c r="O3051" s="380"/>
      <c r="P3051" s="380"/>
      <c r="Q3051" s="381">
        <v>33.5</v>
      </c>
      <c r="R3051" s="381">
        <v>33.6</v>
      </c>
      <c r="S3051" s="381">
        <v>-0.14599999999999999</v>
      </c>
      <c r="T3051" s="381"/>
      <c r="U3051" s="381"/>
      <c r="V3051" s="382">
        <v>33.6</v>
      </c>
      <c r="W3051" s="382">
        <v>0</v>
      </c>
      <c r="X3051" s="381">
        <v>3.2569444444444442</v>
      </c>
      <c r="Y3051" s="381">
        <v>3.2666666666666666</v>
      </c>
      <c r="Z3051" s="381">
        <v>-1.4194444444444442E-2</v>
      </c>
      <c r="AA3051" s="381">
        <v>0</v>
      </c>
      <c r="AB3051" s="381">
        <v>0</v>
      </c>
      <c r="AC3051" s="382">
        <v>3.2666666666666666</v>
      </c>
      <c r="AD3051" s="382">
        <v>0</v>
      </c>
      <c r="AE3051" s="381" t="s">
        <v>168</v>
      </c>
    </row>
    <row r="3052" spans="1:31" ht="15" customHeight="1" x14ac:dyDescent="0.25">
      <c r="A3052" s="20" t="s">
        <v>4364</v>
      </c>
      <c r="B3052" s="378" t="s">
        <v>4430</v>
      </c>
      <c r="C3052" s="20" t="s">
        <v>4430</v>
      </c>
      <c r="D3052" s="378" t="s">
        <v>4477</v>
      </c>
      <c r="E3052" s="384">
        <v>45061</v>
      </c>
      <c r="F3052" s="384">
        <v>46888</v>
      </c>
      <c r="G3052" s="378" t="s">
        <v>439</v>
      </c>
      <c r="H3052" s="20" t="s">
        <v>4367</v>
      </c>
      <c r="I3052" s="20" t="s">
        <v>162</v>
      </c>
      <c r="J3052" s="20" t="s">
        <v>163</v>
      </c>
      <c r="K3052" s="378" t="s">
        <v>4368</v>
      </c>
      <c r="L3052" s="378" t="s">
        <v>2789</v>
      </c>
      <c r="M3052" s="380"/>
      <c r="N3052" s="380">
        <v>10.6</v>
      </c>
      <c r="O3052" s="380"/>
      <c r="P3052" s="380"/>
      <c r="Q3052" s="381">
        <v>38.1</v>
      </c>
      <c r="R3052" s="381">
        <v>38.200000000000003</v>
      </c>
      <c r="S3052" s="381">
        <v>-0.155</v>
      </c>
      <c r="T3052" s="381"/>
      <c r="U3052" s="381"/>
      <c r="V3052" s="382">
        <v>38.200000000000003</v>
      </c>
      <c r="W3052" s="382">
        <v>0</v>
      </c>
      <c r="X3052" s="381">
        <v>3.5943396226415096</v>
      </c>
      <c r="Y3052" s="381">
        <v>3.6037735849056607</v>
      </c>
      <c r="Z3052" s="381">
        <v>-1.4622641509433962E-2</v>
      </c>
      <c r="AA3052" s="381">
        <v>0</v>
      </c>
      <c r="AB3052" s="381">
        <v>0</v>
      </c>
      <c r="AC3052" s="382">
        <v>3.6037735849056607</v>
      </c>
      <c r="AD3052" s="382">
        <v>0</v>
      </c>
      <c r="AE3052" s="381" t="s">
        <v>168</v>
      </c>
    </row>
    <row r="3053" spans="1:31" ht="15" customHeight="1" x14ac:dyDescent="0.25">
      <c r="A3053" s="20" t="s">
        <v>4364</v>
      </c>
      <c r="B3053" s="378" t="s">
        <v>4430</v>
      </c>
      <c r="C3053" s="20" t="s">
        <v>4430</v>
      </c>
      <c r="D3053" s="378" t="s">
        <v>4478</v>
      </c>
      <c r="E3053" s="384">
        <v>45061</v>
      </c>
      <c r="F3053" s="384">
        <v>46888</v>
      </c>
      <c r="G3053" s="378" t="s">
        <v>439</v>
      </c>
      <c r="H3053" s="20" t="s">
        <v>4367</v>
      </c>
      <c r="I3053" s="20" t="s">
        <v>162</v>
      </c>
      <c r="J3053" s="20" t="s">
        <v>163</v>
      </c>
      <c r="K3053" s="378" t="s">
        <v>4368</v>
      </c>
      <c r="L3053" s="378" t="s">
        <v>2789</v>
      </c>
      <c r="M3053" s="380"/>
      <c r="N3053" s="380">
        <v>15.6</v>
      </c>
      <c r="O3053" s="380"/>
      <c r="P3053" s="380"/>
      <c r="Q3053" s="381">
        <v>39.700000000000003</v>
      </c>
      <c r="R3053" s="381">
        <v>39.799999999999997</v>
      </c>
      <c r="S3053" s="381">
        <v>-0.14699999999999999</v>
      </c>
      <c r="T3053" s="381"/>
      <c r="U3053" s="381"/>
      <c r="V3053" s="382">
        <v>39.799999999999997</v>
      </c>
      <c r="W3053" s="382">
        <v>0</v>
      </c>
      <c r="X3053" s="381">
        <v>2.5448717948717952</v>
      </c>
      <c r="Y3053" s="381">
        <v>2.5512820512820511</v>
      </c>
      <c r="Z3053" s="381">
        <v>-9.4230769230769229E-3</v>
      </c>
      <c r="AA3053" s="381">
        <v>0</v>
      </c>
      <c r="AB3053" s="381">
        <v>0</v>
      </c>
      <c r="AC3053" s="382">
        <v>2.5512820512820511</v>
      </c>
      <c r="AD3053" s="382">
        <v>0</v>
      </c>
      <c r="AE3053" s="381" t="s">
        <v>168</v>
      </c>
    </row>
    <row r="3054" spans="1:31" ht="15" customHeight="1" x14ac:dyDescent="0.25">
      <c r="A3054" s="20" t="s">
        <v>4364</v>
      </c>
      <c r="B3054" s="378" t="s">
        <v>4430</v>
      </c>
      <c r="C3054" s="20" t="s">
        <v>4430</v>
      </c>
      <c r="D3054" s="378" t="s">
        <v>4479</v>
      </c>
      <c r="E3054" s="384">
        <v>45061</v>
      </c>
      <c r="F3054" s="384">
        <v>46888</v>
      </c>
      <c r="G3054" s="378" t="s">
        <v>439</v>
      </c>
      <c r="H3054" s="20" t="s">
        <v>4367</v>
      </c>
      <c r="I3054" s="20" t="s">
        <v>162</v>
      </c>
      <c r="J3054" s="20" t="s">
        <v>163</v>
      </c>
      <c r="K3054" s="378" t="s">
        <v>4368</v>
      </c>
      <c r="L3054" s="378" t="s">
        <v>2789</v>
      </c>
      <c r="M3054" s="380"/>
      <c r="N3054" s="380">
        <v>15.6</v>
      </c>
      <c r="O3054" s="380"/>
      <c r="P3054" s="380"/>
      <c r="Q3054" s="381">
        <v>40</v>
      </c>
      <c r="R3054" s="381">
        <v>40.1</v>
      </c>
      <c r="S3054" s="381">
        <v>-0.17899999999999999</v>
      </c>
      <c r="T3054" s="381"/>
      <c r="U3054" s="381"/>
      <c r="V3054" s="382">
        <v>40.1</v>
      </c>
      <c r="W3054" s="382">
        <v>0</v>
      </c>
      <c r="X3054" s="381">
        <v>2.5641025641025643</v>
      </c>
      <c r="Y3054" s="381">
        <v>2.5705128205128207</v>
      </c>
      <c r="Z3054" s="381">
        <v>-1.1474358974358974E-2</v>
      </c>
      <c r="AA3054" s="381">
        <v>0</v>
      </c>
      <c r="AB3054" s="381">
        <v>0</v>
      </c>
      <c r="AC3054" s="382">
        <v>2.5705128205128207</v>
      </c>
      <c r="AD3054" s="382">
        <v>0</v>
      </c>
      <c r="AE3054" s="381" t="s">
        <v>168</v>
      </c>
    </row>
    <row r="3055" spans="1:31" ht="15" customHeight="1" x14ac:dyDescent="0.25">
      <c r="A3055" s="20" t="s">
        <v>4364</v>
      </c>
      <c r="B3055" s="378" t="s">
        <v>4430</v>
      </c>
      <c r="C3055" s="20" t="s">
        <v>4430</v>
      </c>
      <c r="D3055" s="378" t="s">
        <v>4480</v>
      </c>
      <c r="E3055" s="384">
        <v>45061</v>
      </c>
      <c r="F3055" s="384">
        <v>46888</v>
      </c>
      <c r="G3055" s="378" t="s">
        <v>439</v>
      </c>
      <c r="H3055" s="20" t="s">
        <v>4367</v>
      </c>
      <c r="I3055" s="20" t="s">
        <v>162</v>
      </c>
      <c r="J3055" s="20" t="s">
        <v>163</v>
      </c>
      <c r="K3055" s="378" t="s">
        <v>4368</v>
      </c>
      <c r="L3055" s="378" t="s">
        <v>2789</v>
      </c>
      <c r="M3055" s="380"/>
      <c r="N3055" s="380">
        <v>8.9142857142857164</v>
      </c>
      <c r="O3055" s="380"/>
      <c r="P3055" s="380"/>
      <c r="Q3055" s="381">
        <v>41.3</v>
      </c>
      <c r="R3055" s="381">
        <v>41.4</v>
      </c>
      <c r="S3055" s="381">
        <v>-0.10299999999999999</v>
      </c>
      <c r="T3055" s="381"/>
      <c r="U3055" s="381"/>
      <c r="V3055" s="382">
        <v>41.4</v>
      </c>
      <c r="W3055" s="382">
        <v>0</v>
      </c>
      <c r="X3055" s="381">
        <v>4.6330128205128194</v>
      </c>
      <c r="Y3055" s="381">
        <v>4.6442307692307683</v>
      </c>
      <c r="Z3055" s="381">
        <v>-1.1554487179487176E-2</v>
      </c>
      <c r="AA3055" s="381">
        <v>0</v>
      </c>
      <c r="AB3055" s="381">
        <v>0</v>
      </c>
      <c r="AC3055" s="382">
        <v>4.6442307692307683</v>
      </c>
      <c r="AD3055" s="382">
        <v>0</v>
      </c>
      <c r="AE3055" s="381" t="s">
        <v>168</v>
      </c>
    </row>
    <row r="3056" spans="1:31" ht="15" customHeight="1" x14ac:dyDescent="0.25">
      <c r="A3056" s="20" t="s">
        <v>4364</v>
      </c>
      <c r="B3056" s="378" t="s">
        <v>4430</v>
      </c>
      <c r="C3056" s="20" t="s">
        <v>4430</v>
      </c>
      <c r="D3056" s="378" t="s">
        <v>4481</v>
      </c>
      <c r="E3056" s="384">
        <v>45061</v>
      </c>
      <c r="F3056" s="384">
        <v>46888</v>
      </c>
      <c r="G3056" s="378" t="s">
        <v>439</v>
      </c>
      <c r="H3056" s="20" t="s">
        <v>4367</v>
      </c>
      <c r="I3056" s="20" t="s">
        <v>162</v>
      </c>
      <c r="J3056" s="20" t="s">
        <v>163</v>
      </c>
      <c r="K3056" s="378" t="s">
        <v>4368</v>
      </c>
      <c r="L3056" s="378" t="s">
        <v>2789</v>
      </c>
      <c r="M3056" s="380"/>
      <c r="N3056" s="380">
        <v>11.6</v>
      </c>
      <c r="O3056" s="380"/>
      <c r="P3056" s="380"/>
      <c r="Q3056" s="381">
        <v>41.8</v>
      </c>
      <c r="R3056" s="381">
        <v>41.9</v>
      </c>
      <c r="S3056" s="381">
        <v>-0.14599999999999999</v>
      </c>
      <c r="T3056" s="381"/>
      <c r="U3056" s="381"/>
      <c r="V3056" s="382">
        <v>41.9</v>
      </c>
      <c r="W3056" s="382">
        <v>0</v>
      </c>
      <c r="X3056" s="381">
        <v>3.603448275862069</v>
      </c>
      <c r="Y3056" s="381">
        <v>3.6120689655172415</v>
      </c>
      <c r="Z3056" s="381">
        <v>-1.2586206896551724E-2</v>
      </c>
      <c r="AA3056" s="381">
        <v>0</v>
      </c>
      <c r="AB3056" s="381">
        <v>0</v>
      </c>
      <c r="AC3056" s="382">
        <v>3.6120689655172415</v>
      </c>
      <c r="AD3056" s="382">
        <v>0</v>
      </c>
      <c r="AE3056" s="381" t="s">
        <v>168</v>
      </c>
    </row>
    <row r="3057" spans="1:31" ht="15" customHeight="1" x14ac:dyDescent="0.25">
      <c r="A3057" s="20" t="s">
        <v>4364</v>
      </c>
      <c r="B3057" s="378" t="s">
        <v>4430</v>
      </c>
      <c r="C3057" s="20" t="s">
        <v>4430</v>
      </c>
      <c r="D3057" s="378" t="s">
        <v>4482</v>
      </c>
      <c r="E3057" s="384">
        <v>45061</v>
      </c>
      <c r="F3057" s="384">
        <v>46888</v>
      </c>
      <c r="G3057" s="378" t="s">
        <v>439</v>
      </c>
      <c r="H3057" s="20" t="s">
        <v>4367</v>
      </c>
      <c r="I3057" s="20" t="s">
        <v>162</v>
      </c>
      <c r="J3057" s="20" t="s">
        <v>163</v>
      </c>
      <c r="K3057" s="378" t="s">
        <v>4368</v>
      </c>
      <c r="L3057" s="378" t="s">
        <v>2789</v>
      </c>
      <c r="M3057" s="380"/>
      <c r="N3057" s="380">
        <v>11.3</v>
      </c>
      <c r="O3057" s="380"/>
      <c r="P3057" s="380"/>
      <c r="Q3057" s="381">
        <v>42.4</v>
      </c>
      <c r="R3057" s="381">
        <v>42.5</v>
      </c>
      <c r="S3057" s="381">
        <v>-0.14599999999999999</v>
      </c>
      <c r="T3057" s="381"/>
      <c r="U3057" s="381"/>
      <c r="V3057" s="382">
        <v>42.5</v>
      </c>
      <c r="W3057" s="382">
        <v>0</v>
      </c>
      <c r="X3057" s="381">
        <v>3.7522123893805306</v>
      </c>
      <c r="Y3057" s="381">
        <v>3.7610619469026547</v>
      </c>
      <c r="Z3057" s="381">
        <v>-1.2920353982300884E-2</v>
      </c>
      <c r="AA3057" s="381">
        <v>0</v>
      </c>
      <c r="AB3057" s="381">
        <v>0</v>
      </c>
      <c r="AC3057" s="382">
        <v>3.7610619469026547</v>
      </c>
      <c r="AD3057" s="382">
        <v>0</v>
      </c>
      <c r="AE3057" s="381" t="s">
        <v>168</v>
      </c>
    </row>
    <row r="3058" spans="1:31" ht="15" customHeight="1" x14ac:dyDescent="0.25">
      <c r="A3058" s="20" t="s">
        <v>4364</v>
      </c>
      <c r="B3058" s="378" t="s">
        <v>4430</v>
      </c>
      <c r="C3058" s="20" t="s">
        <v>4430</v>
      </c>
      <c r="D3058" s="378" t="s">
        <v>4483</v>
      </c>
      <c r="E3058" s="384">
        <v>45061</v>
      </c>
      <c r="F3058" s="384">
        <v>46888</v>
      </c>
      <c r="G3058" s="378" t="s">
        <v>439</v>
      </c>
      <c r="H3058" s="20" t="s">
        <v>4367</v>
      </c>
      <c r="I3058" s="20" t="s">
        <v>162</v>
      </c>
      <c r="J3058" s="20" t="s">
        <v>163</v>
      </c>
      <c r="K3058" s="378" t="s">
        <v>4368</v>
      </c>
      <c r="L3058" s="378" t="s">
        <v>2789</v>
      </c>
      <c r="M3058" s="380"/>
      <c r="N3058" s="380">
        <v>10.342857142857145</v>
      </c>
      <c r="O3058" s="380"/>
      <c r="P3058" s="380"/>
      <c r="Q3058" s="381">
        <v>42.7</v>
      </c>
      <c r="R3058" s="381">
        <v>42.8</v>
      </c>
      <c r="S3058" s="381">
        <v>-0.158</v>
      </c>
      <c r="T3058" s="381"/>
      <c r="U3058" s="381"/>
      <c r="V3058" s="382">
        <v>42.8</v>
      </c>
      <c r="W3058" s="382">
        <v>0</v>
      </c>
      <c r="X3058" s="381">
        <v>4.1284530386740323</v>
      </c>
      <c r="Y3058" s="381">
        <v>4.1381215469613251</v>
      </c>
      <c r="Z3058" s="381">
        <v>-1.5276243093922649E-2</v>
      </c>
      <c r="AA3058" s="381">
        <v>0</v>
      </c>
      <c r="AB3058" s="381">
        <v>0</v>
      </c>
      <c r="AC3058" s="382">
        <v>4.1381215469613251</v>
      </c>
      <c r="AD3058" s="382">
        <v>0</v>
      </c>
      <c r="AE3058" s="381" t="s">
        <v>168</v>
      </c>
    </row>
    <row r="3059" spans="1:31" ht="15" customHeight="1" x14ac:dyDescent="0.25">
      <c r="A3059" s="20" t="s">
        <v>4364</v>
      </c>
      <c r="B3059" s="378" t="s">
        <v>4430</v>
      </c>
      <c r="C3059" s="20" t="s">
        <v>4430</v>
      </c>
      <c r="D3059" s="378" t="s">
        <v>4484</v>
      </c>
      <c r="E3059" s="384">
        <v>45061</v>
      </c>
      <c r="F3059" s="384">
        <v>46888</v>
      </c>
      <c r="G3059" s="378" t="s">
        <v>439</v>
      </c>
      <c r="H3059" s="20" t="s">
        <v>4367</v>
      </c>
      <c r="I3059" s="20" t="s">
        <v>162</v>
      </c>
      <c r="J3059" s="20" t="s">
        <v>163</v>
      </c>
      <c r="K3059" s="378" t="s">
        <v>4368</v>
      </c>
      <c r="L3059" s="378" t="s">
        <v>2789</v>
      </c>
      <c r="M3059" s="380"/>
      <c r="N3059" s="380">
        <v>12</v>
      </c>
      <c r="O3059" s="380"/>
      <c r="P3059" s="380"/>
      <c r="Q3059" s="381">
        <v>44.3</v>
      </c>
      <c r="R3059" s="381">
        <v>44.4</v>
      </c>
      <c r="S3059" s="381">
        <v>-0.14699999999999999</v>
      </c>
      <c r="T3059" s="381"/>
      <c r="U3059" s="381"/>
      <c r="V3059" s="382">
        <v>44.4</v>
      </c>
      <c r="W3059" s="382">
        <v>0</v>
      </c>
      <c r="X3059" s="381">
        <v>3.6916666666666664</v>
      </c>
      <c r="Y3059" s="381">
        <v>3.6999999999999997</v>
      </c>
      <c r="Z3059" s="381">
        <v>-1.2249999999999999E-2</v>
      </c>
      <c r="AA3059" s="381">
        <v>0</v>
      </c>
      <c r="AB3059" s="381">
        <v>0</v>
      </c>
      <c r="AC3059" s="382">
        <v>3.6999999999999997</v>
      </c>
      <c r="AD3059" s="382">
        <v>0</v>
      </c>
      <c r="AE3059" s="381" t="s">
        <v>168</v>
      </c>
    </row>
    <row r="3060" spans="1:31" ht="15" customHeight="1" x14ac:dyDescent="0.25">
      <c r="A3060" s="20" t="s">
        <v>4364</v>
      </c>
      <c r="B3060" s="378" t="s">
        <v>4430</v>
      </c>
      <c r="C3060" s="20" t="s">
        <v>4430</v>
      </c>
      <c r="D3060" s="378" t="s">
        <v>4485</v>
      </c>
      <c r="E3060" s="384">
        <v>44860</v>
      </c>
      <c r="F3060" s="384">
        <v>46686</v>
      </c>
      <c r="G3060" s="378" t="s">
        <v>4398</v>
      </c>
      <c r="H3060" s="20" t="s">
        <v>4405</v>
      </c>
      <c r="I3060" s="20" t="s">
        <v>3971</v>
      </c>
      <c r="J3060" s="20" t="s">
        <v>163</v>
      </c>
      <c r="K3060" s="378" t="s">
        <v>4406</v>
      </c>
      <c r="L3060" s="378" t="s">
        <v>2789</v>
      </c>
      <c r="M3060" s="380"/>
      <c r="N3060" s="380">
        <v>13</v>
      </c>
      <c r="O3060" s="380"/>
      <c r="P3060" s="380"/>
      <c r="Q3060" s="381">
        <v>48.5</v>
      </c>
      <c r="R3060" s="381">
        <v>48.6</v>
      </c>
      <c r="S3060" s="381">
        <v>-0.18099999999999999</v>
      </c>
      <c r="T3060" s="381"/>
      <c r="U3060" s="381"/>
      <c r="V3060" s="382">
        <v>48.6</v>
      </c>
      <c r="W3060" s="382">
        <v>0</v>
      </c>
      <c r="X3060" s="381">
        <v>3.7307692307692308</v>
      </c>
      <c r="Y3060" s="381">
        <v>3.7384615384615385</v>
      </c>
      <c r="Z3060" s="381">
        <v>-1.3923076923076923E-2</v>
      </c>
      <c r="AA3060" s="381">
        <v>0</v>
      </c>
      <c r="AB3060" s="381">
        <v>0</v>
      </c>
      <c r="AC3060" s="382">
        <v>3.7384615384615385</v>
      </c>
      <c r="AD3060" s="382">
        <v>0</v>
      </c>
      <c r="AE3060" s="381" t="s">
        <v>168</v>
      </c>
    </row>
    <row r="3061" spans="1:31" ht="15" customHeight="1" x14ac:dyDescent="0.25">
      <c r="A3061" s="20" t="s">
        <v>4364</v>
      </c>
      <c r="B3061" s="378" t="s">
        <v>4430</v>
      </c>
      <c r="C3061" s="20" t="s">
        <v>4430</v>
      </c>
      <c r="D3061" s="378" t="s">
        <v>4486</v>
      </c>
      <c r="E3061" s="384">
        <v>44860</v>
      </c>
      <c r="F3061" s="384">
        <v>46686</v>
      </c>
      <c r="G3061" s="378" t="s">
        <v>4398</v>
      </c>
      <c r="H3061" s="20" t="s">
        <v>4414</v>
      </c>
      <c r="I3061" s="20" t="s">
        <v>3971</v>
      </c>
      <c r="J3061" s="20" t="s">
        <v>163</v>
      </c>
      <c r="K3061" s="378" t="s">
        <v>4415</v>
      </c>
      <c r="L3061" s="378" t="s">
        <v>2789</v>
      </c>
      <c r="M3061" s="380"/>
      <c r="N3061" s="380">
        <v>12.3</v>
      </c>
      <c r="O3061" s="380"/>
      <c r="P3061" s="380"/>
      <c r="Q3061" s="381">
        <v>53.1</v>
      </c>
      <c r="R3061" s="381">
        <v>53.2</v>
      </c>
      <c r="S3061" s="381">
        <v>-0.193</v>
      </c>
      <c r="T3061" s="381"/>
      <c r="U3061" s="381"/>
      <c r="V3061" s="382">
        <v>53.2</v>
      </c>
      <c r="W3061" s="382">
        <v>0</v>
      </c>
      <c r="X3061" s="381">
        <v>4.3170731707317076</v>
      </c>
      <c r="Y3061" s="381">
        <v>4.3252032520325203</v>
      </c>
      <c r="Z3061" s="381">
        <v>-1.5691056910569105E-2</v>
      </c>
      <c r="AA3061" s="381">
        <v>0</v>
      </c>
      <c r="AB3061" s="381">
        <v>0</v>
      </c>
      <c r="AC3061" s="382">
        <v>4.3252032520325203</v>
      </c>
      <c r="AD3061" s="382">
        <v>0</v>
      </c>
      <c r="AE3061" s="381" t="s">
        <v>168</v>
      </c>
    </row>
    <row r="3062" spans="1:31" ht="15" customHeight="1" x14ac:dyDescent="0.25">
      <c r="A3062" s="20" t="s">
        <v>4364</v>
      </c>
      <c r="B3062" s="378" t="s">
        <v>4430</v>
      </c>
      <c r="C3062" s="20" t="s">
        <v>4430</v>
      </c>
      <c r="D3062" s="378" t="s">
        <v>4487</v>
      </c>
      <c r="E3062" s="384">
        <v>44860</v>
      </c>
      <c r="F3062" s="384">
        <v>46686</v>
      </c>
      <c r="G3062" s="378" t="s">
        <v>4398</v>
      </c>
      <c r="H3062" s="20" t="s">
        <v>4405</v>
      </c>
      <c r="I3062" s="20" t="s">
        <v>3971</v>
      </c>
      <c r="J3062" s="20" t="s">
        <v>163</v>
      </c>
      <c r="K3062" s="378" t="s">
        <v>4406</v>
      </c>
      <c r="L3062" s="378" t="s">
        <v>2789</v>
      </c>
      <c r="M3062" s="380"/>
      <c r="N3062" s="380">
        <v>14</v>
      </c>
      <c r="O3062" s="380"/>
      <c r="P3062" s="380"/>
      <c r="Q3062" s="381">
        <v>55.1</v>
      </c>
      <c r="R3062" s="381">
        <v>55.2</v>
      </c>
      <c r="S3062" s="381">
        <v>-0.15</v>
      </c>
      <c r="T3062" s="381"/>
      <c r="U3062" s="381"/>
      <c r="V3062" s="382">
        <v>55.2</v>
      </c>
      <c r="W3062" s="382">
        <v>0</v>
      </c>
      <c r="X3062" s="381">
        <v>3.9357142857142859</v>
      </c>
      <c r="Y3062" s="381">
        <v>3.9428571428571431</v>
      </c>
      <c r="Z3062" s="381">
        <v>-1.0714285714285714E-2</v>
      </c>
      <c r="AA3062" s="381">
        <v>0</v>
      </c>
      <c r="AB3062" s="381">
        <v>0</v>
      </c>
      <c r="AC3062" s="382">
        <v>3.9428571428571431</v>
      </c>
      <c r="AD3062" s="382">
        <v>0</v>
      </c>
      <c r="AE3062" s="381" t="s">
        <v>168</v>
      </c>
    </row>
    <row r="3063" spans="1:31" ht="15" customHeight="1" x14ac:dyDescent="0.25">
      <c r="A3063" s="20" t="s">
        <v>4364</v>
      </c>
      <c r="B3063" s="378" t="s">
        <v>4430</v>
      </c>
      <c r="C3063" s="20" t="s">
        <v>4430</v>
      </c>
      <c r="D3063" s="378" t="s">
        <v>4488</v>
      </c>
      <c r="E3063" s="384">
        <v>44860</v>
      </c>
      <c r="F3063" s="384">
        <v>46686</v>
      </c>
      <c r="G3063" s="378" t="s">
        <v>4398</v>
      </c>
      <c r="H3063" s="20" t="s">
        <v>4408</v>
      </c>
      <c r="I3063" s="20" t="s">
        <v>162</v>
      </c>
      <c r="J3063" s="20" t="s">
        <v>163</v>
      </c>
      <c r="K3063" s="378" t="s">
        <v>4409</v>
      </c>
      <c r="L3063" s="378" t="s">
        <v>2789</v>
      </c>
      <c r="M3063" s="380"/>
      <c r="N3063" s="380">
        <v>14</v>
      </c>
      <c r="O3063" s="380"/>
      <c r="P3063" s="380"/>
      <c r="Q3063" s="381">
        <v>55.7</v>
      </c>
      <c r="R3063" s="381">
        <v>55.8</v>
      </c>
      <c r="S3063" s="381">
        <v>-0.17199999999999999</v>
      </c>
      <c r="T3063" s="381"/>
      <c r="U3063" s="381"/>
      <c r="V3063" s="382">
        <v>55.8</v>
      </c>
      <c r="W3063" s="382">
        <v>0</v>
      </c>
      <c r="X3063" s="381">
        <v>3.9785714285714286</v>
      </c>
      <c r="Y3063" s="381">
        <v>3.9857142857142853</v>
      </c>
      <c r="Z3063" s="381">
        <v>-1.2285714285714285E-2</v>
      </c>
      <c r="AA3063" s="381">
        <v>0</v>
      </c>
      <c r="AB3063" s="381">
        <v>0</v>
      </c>
      <c r="AC3063" s="382">
        <v>3.9857142857142853</v>
      </c>
      <c r="AD3063" s="382">
        <v>0</v>
      </c>
      <c r="AE3063" s="381" t="s">
        <v>168</v>
      </c>
    </row>
    <row r="3064" spans="1:31" ht="15" customHeight="1" x14ac:dyDescent="0.25">
      <c r="A3064" s="20" t="s">
        <v>4364</v>
      </c>
      <c r="B3064" s="378" t="s">
        <v>4430</v>
      </c>
      <c r="C3064" s="20" t="s">
        <v>4430</v>
      </c>
      <c r="D3064" s="378" t="s">
        <v>4489</v>
      </c>
      <c r="E3064" s="384">
        <v>44860</v>
      </c>
      <c r="F3064" s="384">
        <v>46686</v>
      </c>
      <c r="G3064" s="378" t="s">
        <v>4398</v>
      </c>
      <c r="H3064" s="20" t="s">
        <v>4417</v>
      </c>
      <c r="I3064" s="20" t="s">
        <v>162</v>
      </c>
      <c r="J3064" s="20" t="s">
        <v>163</v>
      </c>
      <c r="K3064" s="378" t="s">
        <v>4418</v>
      </c>
      <c r="L3064" s="378" t="s">
        <v>2789</v>
      </c>
      <c r="M3064" s="380"/>
      <c r="N3064" s="380">
        <v>12.3</v>
      </c>
      <c r="O3064" s="380"/>
      <c r="P3064" s="380"/>
      <c r="Q3064" s="381">
        <v>55.7</v>
      </c>
      <c r="R3064" s="381">
        <v>55.8</v>
      </c>
      <c r="S3064" s="381">
        <v>-0.193</v>
      </c>
      <c r="T3064" s="381"/>
      <c r="U3064" s="381"/>
      <c r="V3064" s="382">
        <v>55.8</v>
      </c>
      <c r="W3064" s="382">
        <v>0</v>
      </c>
      <c r="X3064" s="381">
        <v>4.5284552845528454</v>
      </c>
      <c r="Y3064" s="381">
        <v>4.5365853658536581</v>
      </c>
      <c r="Z3064" s="381">
        <v>-1.5691056910569105E-2</v>
      </c>
      <c r="AA3064" s="381">
        <v>0</v>
      </c>
      <c r="AB3064" s="381">
        <v>0</v>
      </c>
      <c r="AC3064" s="382">
        <v>4.5365853658536581</v>
      </c>
      <c r="AD3064" s="382">
        <v>0</v>
      </c>
      <c r="AE3064" s="381" t="s">
        <v>168</v>
      </c>
    </row>
    <row r="3065" spans="1:31" ht="15" customHeight="1" x14ac:dyDescent="0.25">
      <c r="A3065" s="20" t="s">
        <v>4364</v>
      </c>
      <c r="B3065" s="378" t="s">
        <v>4430</v>
      </c>
      <c r="C3065" s="20" t="s">
        <v>4430</v>
      </c>
      <c r="D3065" s="378" t="s">
        <v>4490</v>
      </c>
      <c r="E3065" s="384">
        <v>45061</v>
      </c>
      <c r="F3065" s="384">
        <v>46888</v>
      </c>
      <c r="G3065" s="378" t="s">
        <v>439</v>
      </c>
      <c r="H3065" s="20" t="s">
        <v>4425</v>
      </c>
      <c r="I3065" s="20" t="s">
        <v>162</v>
      </c>
      <c r="J3065" s="20" t="s">
        <v>163</v>
      </c>
      <c r="K3065" s="378" t="s">
        <v>4426</v>
      </c>
      <c r="L3065" s="378" t="s">
        <v>2789</v>
      </c>
      <c r="M3065" s="380"/>
      <c r="N3065" s="380">
        <v>5.6</v>
      </c>
      <c r="O3065" s="380"/>
      <c r="P3065" s="380"/>
      <c r="Q3065" s="381">
        <v>27.5</v>
      </c>
      <c r="R3065" s="381">
        <v>27.5</v>
      </c>
      <c r="S3065" s="381">
        <v>3.2800000000000003E-2</v>
      </c>
      <c r="T3065" s="381"/>
      <c r="U3065" s="381"/>
      <c r="V3065" s="382">
        <v>27.532800000000002</v>
      </c>
      <c r="W3065" s="382">
        <v>0</v>
      </c>
      <c r="X3065" s="381">
        <v>4.9107142857142856</v>
      </c>
      <c r="Y3065" s="381">
        <v>4.9107142857142856</v>
      </c>
      <c r="Z3065" s="381">
        <v>5.8571428571428576E-3</v>
      </c>
      <c r="AA3065" s="381">
        <v>0</v>
      </c>
      <c r="AB3065" s="381">
        <v>0</v>
      </c>
      <c r="AC3065" s="382">
        <v>4.9165714285714284</v>
      </c>
      <c r="AD3065" s="382">
        <v>0</v>
      </c>
      <c r="AE3065" s="381" t="s">
        <v>168</v>
      </c>
    </row>
    <row r="3066" spans="1:31" ht="15" customHeight="1" x14ac:dyDescent="0.25">
      <c r="A3066" s="20" t="s">
        <v>4364</v>
      </c>
      <c r="B3066" s="378" t="s">
        <v>4430</v>
      </c>
      <c r="C3066" s="20" t="s">
        <v>4430</v>
      </c>
      <c r="D3066" s="378" t="s">
        <v>4491</v>
      </c>
      <c r="E3066" s="384">
        <v>45061</v>
      </c>
      <c r="F3066" s="384">
        <v>46888</v>
      </c>
      <c r="G3066" s="378" t="s">
        <v>439</v>
      </c>
      <c r="H3066" s="20" t="s">
        <v>4425</v>
      </c>
      <c r="I3066" s="20" t="s">
        <v>162</v>
      </c>
      <c r="J3066" s="20" t="s">
        <v>163</v>
      </c>
      <c r="K3066" s="378" t="s">
        <v>4426</v>
      </c>
      <c r="L3066" s="378" t="s">
        <v>2789</v>
      </c>
      <c r="M3066" s="380"/>
      <c r="N3066" s="380">
        <v>6.3</v>
      </c>
      <c r="O3066" s="380"/>
      <c r="P3066" s="380"/>
      <c r="Q3066" s="381">
        <v>30.7</v>
      </c>
      <c r="R3066" s="381">
        <v>30.7</v>
      </c>
      <c r="S3066" s="381">
        <v>3.5200000000000002E-2</v>
      </c>
      <c r="T3066" s="381"/>
      <c r="U3066" s="381"/>
      <c r="V3066" s="382">
        <v>30.735199999999999</v>
      </c>
      <c r="W3066" s="382">
        <v>0</v>
      </c>
      <c r="X3066" s="381">
        <v>4.8730158730158735</v>
      </c>
      <c r="Y3066" s="381">
        <v>4.8730158730158735</v>
      </c>
      <c r="Z3066" s="381">
        <v>5.5873015873015878E-3</v>
      </c>
      <c r="AA3066" s="381">
        <v>0</v>
      </c>
      <c r="AB3066" s="381">
        <v>0</v>
      </c>
      <c r="AC3066" s="382">
        <v>4.8786031746031755</v>
      </c>
      <c r="AD3066" s="382">
        <v>0</v>
      </c>
      <c r="AE3066" s="381" t="s">
        <v>168</v>
      </c>
    </row>
    <row r="3067" spans="1:31" ht="15" customHeight="1" x14ac:dyDescent="0.25">
      <c r="A3067" s="20" t="s">
        <v>4364</v>
      </c>
      <c r="B3067" s="378" t="s">
        <v>4430</v>
      </c>
      <c r="C3067" s="20" t="s">
        <v>4430</v>
      </c>
      <c r="D3067" s="378" t="s">
        <v>4492</v>
      </c>
      <c r="E3067" s="384">
        <v>45061</v>
      </c>
      <c r="F3067" s="384">
        <v>46888</v>
      </c>
      <c r="G3067" s="378" t="s">
        <v>439</v>
      </c>
      <c r="H3067" s="20" t="s">
        <v>4425</v>
      </c>
      <c r="I3067" s="20" t="s">
        <v>162</v>
      </c>
      <c r="J3067" s="20" t="s">
        <v>163</v>
      </c>
      <c r="K3067" s="378" t="s">
        <v>4426</v>
      </c>
      <c r="L3067" s="378" t="s">
        <v>2789</v>
      </c>
      <c r="M3067" s="380"/>
      <c r="N3067" s="380">
        <v>7.1</v>
      </c>
      <c r="O3067" s="380"/>
      <c r="P3067" s="380"/>
      <c r="Q3067" s="381">
        <v>34.700000000000003</v>
      </c>
      <c r="R3067" s="381">
        <v>34.700000000000003</v>
      </c>
      <c r="S3067" s="381">
        <v>3.7999999999999999E-2</v>
      </c>
      <c r="T3067" s="381"/>
      <c r="U3067" s="381"/>
      <c r="V3067" s="382">
        <v>34.738</v>
      </c>
      <c r="W3067" s="382">
        <v>0</v>
      </c>
      <c r="X3067" s="381">
        <v>4.8873239436619729</v>
      </c>
      <c r="Y3067" s="381">
        <v>4.8873239436619729</v>
      </c>
      <c r="Z3067" s="381">
        <v>5.3521126760563385E-3</v>
      </c>
      <c r="AA3067" s="381">
        <v>0</v>
      </c>
      <c r="AB3067" s="381">
        <v>0</v>
      </c>
      <c r="AC3067" s="382">
        <v>4.8926760563380292</v>
      </c>
      <c r="AD3067" s="382">
        <v>0</v>
      </c>
      <c r="AE3067" s="381" t="s">
        <v>168</v>
      </c>
    </row>
    <row r="3068" spans="1:31" ht="15" customHeight="1" x14ac:dyDescent="0.25">
      <c r="A3068" s="20" t="s">
        <v>4364</v>
      </c>
      <c r="B3068" s="378" t="s">
        <v>4430</v>
      </c>
      <c r="C3068" s="20" t="s">
        <v>4430</v>
      </c>
      <c r="D3068" s="378" t="s">
        <v>4493</v>
      </c>
      <c r="E3068" s="384">
        <v>45061</v>
      </c>
      <c r="F3068" s="384">
        <v>46888</v>
      </c>
      <c r="G3068" s="378" t="s">
        <v>439</v>
      </c>
      <c r="H3068" s="20" t="s">
        <v>4425</v>
      </c>
      <c r="I3068" s="20" t="s">
        <v>162</v>
      </c>
      <c r="J3068" s="20" t="s">
        <v>163</v>
      </c>
      <c r="K3068" s="378" t="s">
        <v>4426</v>
      </c>
      <c r="L3068" s="378" t="s">
        <v>2789</v>
      </c>
      <c r="M3068" s="380"/>
      <c r="N3068" s="380">
        <v>7.9</v>
      </c>
      <c r="O3068" s="380"/>
      <c r="P3068" s="380"/>
      <c r="Q3068" s="381">
        <v>38.700000000000003</v>
      </c>
      <c r="R3068" s="381">
        <v>38.700000000000003</v>
      </c>
      <c r="S3068" s="381">
        <v>4.0800000000000003E-2</v>
      </c>
      <c r="T3068" s="381"/>
      <c r="U3068" s="381"/>
      <c r="V3068" s="382">
        <v>38.7408</v>
      </c>
      <c r="W3068" s="382">
        <v>0</v>
      </c>
      <c r="X3068" s="381">
        <v>4.8987341772151902</v>
      </c>
      <c r="Y3068" s="381">
        <v>4.8987341772151902</v>
      </c>
      <c r="Z3068" s="381">
        <v>5.1645569620253169E-3</v>
      </c>
      <c r="AA3068" s="381">
        <v>0</v>
      </c>
      <c r="AB3068" s="381">
        <v>0</v>
      </c>
      <c r="AC3068" s="382">
        <v>4.9038987341772158</v>
      </c>
      <c r="AD3068" s="382">
        <v>0</v>
      </c>
      <c r="AE3068" s="381" t="s">
        <v>168</v>
      </c>
    </row>
    <row r="3069" spans="1:31" ht="15" customHeight="1" x14ac:dyDescent="0.25">
      <c r="A3069" s="20" t="s">
        <v>4364</v>
      </c>
      <c r="B3069" s="378" t="s">
        <v>4430</v>
      </c>
      <c r="C3069" s="20" t="s">
        <v>4430</v>
      </c>
      <c r="D3069" s="378" t="s">
        <v>4494</v>
      </c>
      <c r="E3069" s="384">
        <v>45061</v>
      </c>
      <c r="F3069" s="384">
        <v>46888</v>
      </c>
      <c r="G3069" s="378" t="s">
        <v>439</v>
      </c>
      <c r="H3069" s="20" t="s">
        <v>4425</v>
      </c>
      <c r="I3069" s="20" t="s">
        <v>162</v>
      </c>
      <c r="J3069" s="20" t="s">
        <v>163</v>
      </c>
      <c r="K3069" s="378" t="s">
        <v>4426</v>
      </c>
      <c r="L3069" s="378" t="s">
        <v>2789</v>
      </c>
      <c r="M3069" s="380"/>
      <c r="N3069" s="380">
        <v>8.6999999999999993</v>
      </c>
      <c r="O3069" s="380"/>
      <c r="P3069" s="380"/>
      <c r="Q3069" s="381">
        <v>42.7</v>
      </c>
      <c r="R3069" s="381">
        <v>42.7</v>
      </c>
      <c r="S3069" s="381">
        <v>4.36E-2</v>
      </c>
      <c r="T3069" s="381"/>
      <c r="U3069" s="381"/>
      <c r="V3069" s="382">
        <v>42.743600000000001</v>
      </c>
      <c r="W3069" s="382">
        <v>0</v>
      </c>
      <c r="X3069" s="381">
        <v>4.9080459770114953</v>
      </c>
      <c r="Y3069" s="381">
        <v>4.9080459770114953</v>
      </c>
      <c r="Z3069" s="381">
        <v>5.0114942528735633E-3</v>
      </c>
      <c r="AA3069" s="381">
        <v>0</v>
      </c>
      <c r="AB3069" s="381">
        <v>0</v>
      </c>
      <c r="AC3069" s="382">
        <v>4.9130574712643691</v>
      </c>
      <c r="AD3069" s="382">
        <v>0</v>
      </c>
      <c r="AE3069" s="381" t="s">
        <v>168</v>
      </c>
    </row>
    <row r="3070" spans="1:31" ht="15" customHeight="1" x14ac:dyDescent="0.25">
      <c r="A3070" s="20" t="s">
        <v>4364</v>
      </c>
      <c r="B3070" s="20" t="s">
        <v>4430</v>
      </c>
      <c r="C3070" s="20" t="s">
        <v>4430</v>
      </c>
      <c r="D3070" s="378" t="s">
        <v>4495</v>
      </c>
      <c r="E3070" s="384">
        <v>45138</v>
      </c>
      <c r="F3070" s="384">
        <v>46965</v>
      </c>
      <c r="G3070" s="378" t="s">
        <v>439</v>
      </c>
      <c r="H3070" s="378" t="s">
        <v>4496</v>
      </c>
      <c r="I3070" s="378" t="s">
        <v>162</v>
      </c>
      <c r="J3070" s="20" t="s">
        <v>163</v>
      </c>
      <c r="K3070" s="378" t="s">
        <v>4497</v>
      </c>
      <c r="L3070" s="378" t="s">
        <v>2789</v>
      </c>
      <c r="M3070" s="381"/>
      <c r="N3070" s="381">
        <v>3.48</v>
      </c>
      <c r="O3070" s="380"/>
      <c r="P3070" s="380"/>
      <c r="Q3070" s="381">
        <v>12.193849999999999</v>
      </c>
      <c r="R3070" s="381">
        <v>12.2</v>
      </c>
      <c r="S3070" s="381">
        <v>-6.1500000000000001E-3</v>
      </c>
      <c r="T3070" s="381"/>
      <c r="U3070" s="381"/>
      <c r="V3070" s="382">
        <v>12.2</v>
      </c>
      <c r="W3070" s="382">
        <v>0</v>
      </c>
      <c r="X3070" s="381">
        <v>3.503979885057471</v>
      </c>
      <c r="Y3070" s="381">
        <v>3.5057471264367814</v>
      </c>
      <c r="Z3070" s="381">
        <v>-1.7672413793103448E-3</v>
      </c>
      <c r="AA3070" s="381">
        <v>0</v>
      </c>
      <c r="AB3070" s="381">
        <v>0</v>
      </c>
      <c r="AC3070" s="382">
        <v>3.5057471264367814</v>
      </c>
      <c r="AD3070" s="382">
        <v>0</v>
      </c>
      <c r="AE3070" s="381" t="s">
        <v>168</v>
      </c>
    </row>
    <row r="3071" spans="1:31" ht="15" customHeight="1" x14ac:dyDescent="0.25">
      <c r="A3071" s="20" t="s">
        <v>4364</v>
      </c>
      <c r="B3071" s="378" t="s">
        <v>4430</v>
      </c>
      <c r="C3071" s="20" t="s">
        <v>4430</v>
      </c>
      <c r="D3071" s="378" t="s">
        <v>4498</v>
      </c>
      <c r="E3071" s="384">
        <v>45061</v>
      </c>
      <c r="F3071" s="384">
        <v>46888</v>
      </c>
      <c r="G3071" s="378" t="s">
        <v>439</v>
      </c>
      <c r="H3071" s="20" t="s">
        <v>4425</v>
      </c>
      <c r="I3071" s="20" t="s">
        <v>162</v>
      </c>
      <c r="J3071" s="20" t="s">
        <v>163</v>
      </c>
      <c r="K3071" s="378" t="s">
        <v>4426</v>
      </c>
      <c r="L3071" s="378" t="s">
        <v>2789</v>
      </c>
      <c r="M3071" s="380"/>
      <c r="N3071" s="380">
        <v>13</v>
      </c>
      <c r="O3071" s="380"/>
      <c r="P3071" s="380"/>
      <c r="Q3071" s="381">
        <v>55.1</v>
      </c>
      <c r="R3071" s="381">
        <v>55.1</v>
      </c>
      <c r="S3071" s="381">
        <v>2.5499999999999998E-2</v>
      </c>
      <c r="T3071" s="381"/>
      <c r="U3071" s="381"/>
      <c r="V3071" s="382">
        <v>55.125500000000002</v>
      </c>
      <c r="W3071" s="382">
        <v>0</v>
      </c>
      <c r="X3071" s="381">
        <v>4.2384615384615385</v>
      </c>
      <c r="Y3071" s="381">
        <v>4.2384615384615385</v>
      </c>
      <c r="Z3071" s="381">
        <v>1.9615384615384616E-3</v>
      </c>
      <c r="AA3071" s="381">
        <v>0</v>
      </c>
      <c r="AB3071" s="381">
        <v>0</v>
      </c>
      <c r="AC3071" s="382">
        <v>4.2404230769230766</v>
      </c>
      <c r="AD3071" s="382">
        <v>0</v>
      </c>
      <c r="AE3071" s="381" t="s">
        <v>168</v>
      </c>
    </row>
    <row r="3072" spans="1:31" ht="15" customHeight="1" x14ac:dyDescent="0.25">
      <c r="A3072" s="20" t="s">
        <v>4364</v>
      </c>
      <c r="B3072" s="378" t="s">
        <v>4430</v>
      </c>
      <c r="C3072" s="20" t="s">
        <v>4430</v>
      </c>
      <c r="D3072" s="378" t="s">
        <v>4499</v>
      </c>
      <c r="E3072" s="384">
        <v>45061</v>
      </c>
      <c r="F3072" s="384">
        <v>46888</v>
      </c>
      <c r="G3072" s="378" t="s">
        <v>439</v>
      </c>
      <c r="H3072" s="20" t="s">
        <v>4425</v>
      </c>
      <c r="I3072" s="20" t="s">
        <v>162</v>
      </c>
      <c r="J3072" s="20" t="s">
        <v>163</v>
      </c>
      <c r="K3072" s="378" t="s">
        <v>4426</v>
      </c>
      <c r="L3072" s="378" t="s">
        <v>2789</v>
      </c>
      <c r="M3072" s="380"/>
      <c r="N3072" s="380">
        <v>12</v>
      </c>
      <c r="O3072" s="380"/>
      <c r="P3072" s="380"/>
      <c r="Q3072" s="381">
        <v>49.9</v>
      </c>
      <c r="R3072" s="381">
        <v>49.9</v>
      </c>
      <c r="S3072" s="381">
        <v>2.1100000000000001E-2</v>
      </c>
      <c r="T3072" s="381"/>
      <c r="U3072" s="381"/>
      <c r="V3072" s="382">
        <v>49.921099999999996</v>
      </c>
      <c r="W3072" s="382">
        <v>0</v>
      </c>
      <c r="X3072" s="381">
        <v>4.1583333333333332</v>
      </c>
      <c r="Y3072" s="381">
        <v>4.1583333333333332</v>
      </c>
      <c r="Z3072" s="381">
        <v>1.7583333333333333E-3</v>
      </c>
      <c r="AA3072" s="381">
        <v>0</v>
      </c>
      <c r="AB3072" s="381">
        <v>0</v>
      </c>
      <c r="AC3072" s="382">
        <v>4.1600916666666663</v>
      </c>
      <c r="AD3072" s="382">
        <v>0</v>
      </c>
      <c r="AE3072" s="381" t="s">
        <v>168</v>
      </c>
    </row>
    <row r="3073" spans="1:31" ht="15" customHeight="1" x14ac:dyDescent="0.25">
      <c r="A3073" s="20" t="s">
        <v>4364</v>
      </c>
      <c r="B3073" s="20" t="s">
        <v>4500</v>
      </c>
      <c r="C3073" s="20" t="s">
        <v>4430</v>
      </c>
      <c r="D3073" s="378" t="s">
        <v>4501</v>
      </c>
      <c r="E3073" s="384">
        <v>45138</v>
      </c>
      <c r="F3073" s="384">
        <v>46965</v>
      </c>
      <c r="G3073" s="378" t="s">
        <v>439</v>
      </c>
      <c r="H3073" s="378" t="s">
        <v>4502</v>
      </c>
      <c r="I3073" s="378" t="s">
        <v>162</v>
      </c>
      <c r="J3073" s="20" t="s">
        <v>163</v>
      </c>
      <c r="K3073" s="378" t="s">
        <v>4503</v>
      </c>
      <c r="L3073" s="378" t="s">
        <v>2789</v>
      </c>
      <c r="M3073" s="381"/>
      <c r="N3073" s="381">
        <v>3.48</v>
      </c>
      <c r="O3073" s="380"/>
      <c r="P3073" s="380"/>
      <c r="Q3073" s="381">
        <v>12.19502</v>
      </c>
      <c r="R3073" s="381">
        <v>12.2</v>
      </c>
      <c r="S3073" s="381">
        <v>-4.9800000000000001E-3</v>
      </c>
      <c r="T3073" s="381"/>
      <c r="U3073" s="381"/>
      <c r="V3073" s="382">
        <v>12.2</v>
      </c>
      <c r="W3073" s="382">
        <v>0</v>
      </c>
      <c r="X3073" s="381">
        <v>3.5043160919540228</v>
      </c>
      <c r="Y3073" s="381">
        <v>3.5057471264367814</v>
      </c>
      <c r="Z3073" s="381">
        <v>-1.4310344827586207E-3</v>
      </c>
      <c r="AA3073" s="381">
        <v>0</v>
      </c>
      <c r="AB3073" s="381">
        <v>0</v>
      </c>
      <c r="AC3073" s="382">
        <v>3.5057471264367814</v>
      </c>
      <c r="AD3073" s="382">
        <v>0</v>
      </c>
      <c r="AE3073" s="381" t="s">
        <v>168</v>
      </c>
    </row>
    <row r="3074" spans="1:31" ht="15" customHeight="1" x14ac:dyDescent="0.25">
      <c r="A3074" s="20" t="s">
        <v>4364</v>
      </c>
      <c r="B3074" s="378" t="s">
        <v>4430</v>
      </c>
      <c r="C3074" s="20" t="s">
        <v>4430</v>
      </c>
      <c r="D3074" s="378" t="s">
        <v>4504</v>
      </c>
      <c r="E3074" s="384">
        <v>45061</v>
      </c>
      <c r="F3074" s="384">
        <v>46888</v>
      </c>
      <c r="G3074" s="378" t="s">
        <v>439</v>
      </c>
      <c r="H3074" s="20" t="s">
        <v>4425</v>
      </c>
      <c r="I3074" s="20" t="s">
        <v>162</v>
      </c>
      <c r="J3074" s="20" t="s">
        <v>163</v>
      </c>
      <c r="K3074" s="378" t="s">
        <v>4426</v>
      </c>
      <c r="L3074" s="378" t="s">
        <v>2789</v>
      </c>
      <c r="M3074" s="380"/>
      <c r="N3074" s="380">
        <v>14.3</v>
      </c>
      <c r="O3074" s="380"/>
      <c r="P3074" s="380"/>
      <c r="Q3074" s="381">
        <v>55.5</v>
      </c>
      <c r="R3074" s="381">
        <v>55.5</v>
      </c>
      <c r="S3074" s="381">
        <v>2.2599999999999999E-2</v>
      </c>
      <c r="T3074" s="381"/>
      <c r="U3074" s="381"/>
      <c r="V3074" s="382">
        <v>55.522599999999997</v>
      </c>
      <c r="W3074" s="382">
        <v>0</v>
      </c>
      <c r="X3074" s="381">
        <v>3.8811188811188808</v>
      </c>
      <c r="Y3074" s="381">
        <v>3.8811188811188808</v>
      </c>
      <c r="Z3074" s="381">
        <v>1.5804195804195802E-3</v>
      </c>
      <c r="AA3074" s="381">
        <v>0</v>
      </c>
      <c r="AB3074" s="381">
        <v>0</v>
      </c>
      <c r="AC3074" s="382">
        <v>3.8826993006993002</v>
      </c>
      <c r="AD3074" s="382">
        <v>0</v>
      </c>
      <c r="AE3074" s="381" t="s">
        <v>168</v>
      </c>
    </row>
    <row r="3075" spans="1:31" ht="15" customHeight="1" x14ac:dyDescent="0.25">
      <c r="A3075" s="20" t="s">
        <v>4364</v>
      </c>
      <c r="B3075" s="20" t="s">
        <v>4430</v>
      </c>
      <c r="C3075" s="20" t="s">
        <v>4430</v>
      </c>
      <c r="D3075" s="378" t="s">
        <v>4505</v>
      </c>
      <c r="E3075" s="384">
        <v>45138</v>
      </c>
      <c r="F3075" s="384">
        <v>46965</v>
      </c>
      <c r="G3075" s="378" t="s">
        <v>439</v>
      </c>
      <c r="H3075" s="378" t="s">
        <v>4496</v>
      </c>
      <c r="I3075" s="378" t="s">
        <v>162</v>
      </c>
      <c r="J3075" s="20" t="s">
        <v>163</v>
      </c>
      <c r="K3075" s="378" t="s">
        <v>4497</v>
      </c>
      <c r="L3075" s="378" t="s">
        <v>2789</v>
      </c>
      <c r="M3075" s="381"/>
      <c r="N3075" s="381">
        <v>4.26</v>
      </c>
      <c r="O3075" s="380"/>
      <c r="P3075" s="380"/>
      <c r="Q3075" s="381">
        <v>14.194469999999999</v>
      </c>
      <c r="R3075" s="381">
        <v>14.2</v>
      </c>
      <c r="S3075" s="381">
        <v>-5.5300000000000002E-3</v>
      </c>
      <c r="T3075" s="381"/>
      <c r="U3075" s="381"/>
      <c r="V3075" s="382">
        <v>14.2</v>
      </c>
      <c r="W3075" s="382">
        <v>0</v>
      </c>
      <c r="X3075" s="381">
        <v>3.3320352112676055</v>
      </c>
      <c r="Y3075" s="381">
        <v>3.3333333333333335</v>
      </c>
      <c r="Z3075" s="381">
        <v>-1.2981220657276996E-3</v>
      </c>
      <c r="AA3075" s="381">
        <v>0</v>
      </c>
      <c r="AB3075" s="381">
        <v>0</v>
      </c>
      <c r="AC3075" s="382">
        <v>3.3333333333333335</v>
      </c>
      <c r="AD3075" s="382">
        <v>0</v>
      </c>
      <c r="AE3075" s="381" t="s">
        <v>168</v>
      </c>
    </row>
    <row r="3076" spans="1:31" ht="15" customHeight="1" x14ac:dyDescent="0.25">
      <c r="A3076" s="20" t="s">
        <v>4364</v>
      </c>
      <c r="B3076" s="378" t="s">
        <v>4430</v>
      </c>
      <c r="C3076" s="20" t="s">
        <v>4430</v>
      </c>
      <c r="D3076" s="378" t="s">
        <v>4506</v>
      </c>
      <c r="E3076" s="384">
        <v>45061</v>
      </c>
      <c r="F3076" s="384">
        <v>46888</v>
      </c>
      <c r="G3076" s="378" t="s">
        <v>439</v>
      </c>
      <c r="H3076" s="20" t="s">
        <v>4425</v>
      </c>
      <c r="I3076" s="20" t="s">
        <v>162</v>
      </c>
      <c r="J3076" s="20" t="s">
        <v>163</v>
      </c>
      <c r="K3076" s="378" t="s">
        <v>4426</v>
      </c>
      <c r="L3076" s="378" t="s">
        <v>2789</v>
      </c>
      <c r="M3076" s="380"/>
      <c r="N3076" s="380">
        <v>13.9</v>
      </c>
      <c r="O3076" s="380"/>
      <c r="P3076" s="380"/>
      <c r="Q3076" s="381">
        <v>53.8</v>
      </c>
      <c r="R3076" s="381">
        <v>53.8</v>
      </c>
      <c r="S3076" s="381">
        <v>2.0199999999999999E-2</v>
      </c>
      <c r="T3076" s="381"/>
      <c r="U3076" s="381"/>
      <c r="V3076" s="382">
        <v>53.8202</v>
      </c>
      <c r="W3076" s="382">
        <v>0</v>
      </c>
      <c r="X3076" s="381">
        <v>3.8705035971223021</v>
      </c>
      <c r="Y3076" s="381">
        <v>3.8705035971223021</v>
      </c>
      <c r="Z3076" s="381">
        <v>1.4532374100719423E-3</v>
      </c>
      <c r="AA3076" s="381">
        <v>0</v>
      </c>
      <c r="AB3076" s="381">
        <v>0</v>
      </c>
      <c r="AC3076" s="382">
        <v>3.8719568345323738</v>
      </c>
      <c r="AD3076" s="382">
        <v>0</v>
      </c>
      <c r="AE3076" s="381" t="s">
        <v>168</v>
      </c>
    </row>
    <row r="3077" spans="1:31" ht="15" customHeight="1" x14ac:dyDescent="0.25">
      <c r="A3077" s="20" t="s">
        <v>4364</v>
      </c>
      <c r="B3077" s="20" t="s">
        <v>4500</v>
      </c>
      <c r="C3077" s="20" t="s">
        <v>4430</v>
      </c>
      <c r="D3077" s="378" t="s">
        <v>4507</v>
      </c>
      <c r="E3077" s="384">
        <v>45138</v>
      </c>
      <c r="F3077" s="384">
        <v>46965</v>
      </c>
      <c r="G3077" s="378" t="s">
        <v>439</v>
      </c>
      <c r="H3077" s="378" t="s">
        <v>4502</v>
      </c>
      <c r="I3077" s="378" t="s">
        <v>162</v>
      </c>
      <c r="J3077" s="20" t="s">
        <v>163</v>
      </c>
      <c r="K3077" s="378" t="s">
        <v>4503</v>
      </c>
      <c r="L3077" s="378" t="s">
        <v>2789</v>
      </c>
      <c r="M3077" s="381"/>
      <c r="N3077" s="381">
        <v>3.87</v>
      </c>
      <c r="O3077" s="380"/>
      <c r="P3077" s="380"/>
      <c r="Q3077" s="381">
        <v>13.195329999999998</v>
      </c>
      <c r="R3077" s="381">
        <v>13.2</v>
      </c>
      <c r="S3077" s="381">
        <v>-4.6699999999999997E-3</v>
      </c>
      <c r="T3077" s="381"/>
      <c r="U3077" s="381"/>
      <c r="V3077" s="382">
        <v>13.2</v>
      </c>
      <c r="W3077" s="382">
        <v>0</v>
      </c>
      <c r="X3077" s="381">
        <v>3.409645994832041</v>
      </c>
      <c r="Y3077" s="381">
        <v>3.4108527131782944</v>
      </c>
      <c r="Z3077" s="381">
        <v>-1.2067183462532299E-3</v>
      </c>
      <c r="AA3077" s="381">
        <v>0</v>
      </c>
      <c r="AB3077" s="381">
        <v>0</v>
      </c>
      <c r="AC3077" s="382">
        <v>3.4108527131782944</v>
      </c>
      <c r="AD3077" s="382">
        <v>0</v>
      </c>
      <c r="AE3077" s="381" t="s">
        <v>168</v>
      </c>
    </row>
    <row r="3078" spans="1:31" ht="15" customHeight="1" x14ac:dyDescent="0.25">
      <c r="A3078" s="20" t="s">
        <v>4364</v>
      </c>
      <c r="B3078" s="20" t="s">
        <v>4500</v>
      </c>
      <c r="C3078" s="20" t="s">
        <v>4430</v>
      </c>
      <c r="D3078" s="378" t="s">
        <v>4508</v>
      </c>
      <c r="E3078" s="384">
        <v>45138</v>
      </c>
      <c r="F3078" s="384">
        <v>46965</v>
      </c>
      <c r="G3078" s="378" t="s">
        <v>439</v>
      </c>
      <c r="H3078" s="378" t="s">
        <v>4502</v>
      </c>
      <c r="I3078" s="378" t="s">
        <v>162</v>
      </c>
      <c r="J3078" s="20" t="s">
        <v>163</v>
      </c>
      <c r="K3078" s="378" t="s">
        <v>4503</v>
      </c>
      <c r="L3078" s="378" t="s">
        <v>2789</v>
      </c>
      <c r="M3078" s="381"/>
      <c r="N3078" s="381">
        <v>4.26</v>
      </c>
      <c r="O3078" s="380"/>
      <c r="P3078" s="380"/>
      <c r="Q3078" s="381">
        <v>14.195639999999999</v>
      </c>
      <c r="R3078" s="381">
        <v>14.2</v>
      </c>
      <c r="S3078" s="381">
        <v>-4.3600000000000002E-3</v>
      </c>
      <c r="T3078" s="381"/>
      <c r="U3078" s="381"/>
      <c r="V3078" s="382">
        <v>14.2</v>
      </c>
      <c r="W3078" s="382">
        <v>0</v>
      </c>
      <c r="X3078" s="381">
        <v>3.3323098591549294</v>
      </c>
      <c r="Y3078" s="381">
        <v>3.3333333333333335</v>
      </c>
      <c r="Z3078" s="381">
        <v>-1.0234741784037559E-3</v>
      </c>
      <c r="AA3078" s="381">
        <v>0</v>
      </c>
      <c r="AB3078" s="381">
        <v>0</v>
      </c>
      <c r="AC3078" s="382">
        <v>3.3333333333333335</v>
      </c>
      <c r="AD3078" s="382">
        <v>0</v>
      </c>
      <c r="AE3078" s="381" t="s">
        <v>168</v>
      </c>
    </row>
    <row r="3079" spans="1:31" ht="15" customHeight="1" x14ac:dyDescent="0.25">
      <c r="A3079" s="20" t="s">
        <v>4364</v>
      </c>
      <c r="B3079" s="20" t="s">
        <v>4430</v>
      </c>
      <c r="C3079" s="20" t="s">
        <v>4430</v>
      </c>
      <c r="D3079" s="378" t="s">
        <v>4509</v>
      </c>
      <c r="E3079" s="384">
        <v>45138</v>
      </c>
      <c r="F3079" s="384">
        <v>46965</v>
      </c>
      <c r="G3079" s="378" t="s">
        <v>439</v>
      </c>
      <c r="H3079" s="378" t="s">
        <v>4496</v>
      </c>
      <c r="I3079" s="378" t="s">
        <v>162</v>
      </c>
      <c r="J3079" s="20" t="s">
        <v>163</v>
      </c>
      <c r="K3079" s="378" t="s">
        <v>4497</v>
      </c>
      <c r="L3079" s="378" t="s">
        <v>2789</v>
      </c>
      <c r="M3079" s="381"/>
      <c r="N3079" s="381">
        <v>5.05</v>
      </c>
      <c r="O3079" s="380"/>
      <c r="P3079" s="380"/>
      <c r="Q3079" s="381">
        <v>16.295100000000001</v>
      </c>
      <c r="R3079" s="381">
        <v>16.3</v>
      </c>
      <c r="S3079" s="381">
        <v>-4.8999999999999998E-3</v>
      </c>
      <c r="T3079" s="381"/>
      <c r="U3079" s="381"/>
      <c r="V3079" s="382">
        <v>16.3</v>
      </c>
      <c r="W3079" s="382">
        <v>0</v>
      </c>
      <c r="X3079" s="381">
        <v>3.2267524752475252</v>
      </c>
      <c r="Y3079" s="381">
        <v>3.2277227722772279</v>
      </c>
      <c r="Z3079" s="381">
        <v>-9.7029702970297029E-4</v>
      </c>
      <c r="AA3079" s="381">
        <v>0</v>
      </c>
      <c r="AB3079" s="381">
        <v>0</v>
      </c>
      <c r="AC3079" s="382">
        <v>3.2277227722772279</v>
      </c>
      <c r="AD3079" s="382">
        <v>0</v>
      </c>
      <c r="AE3079" s="381" t="s">
        <v>168</v>
      </c>
    </row>
    <row r="3080" spans="1:31" ht="15" customHeight="1" x14ac:dyDescent="0.25">
      <c r="A3080" s="20" t="s">
        <v>4364</v>
      </c>
      <c r="B3080" s="20" t="s">
        <v>4500</v>
      </c>
      <c r="C3080" s="20" t="s">
        <v>4430</v>
      </c>
      <c r="D3080" s="378" t="s">
        <v>4510</v>
      </c>
      <c r="E3080" s="384">
        <v>45138</v>
      </c>
      <c r="F3080" s="384">
        <v>46965</v>
      </c>
      <c r="G3080" s="378" t="s">
        <v>439</v>
      </c>
      <c r="H3080" s="378" t="s">
        <v>4502</v>
      </c>
      <c r="I3080" s="378" t="s">
        <v>162</v>
      </c>
      <c r="J3080" s="20" t="s">
        <v>163</v>
      </c>
      <c r="K3080" s="378" t="s">
        <v>4503</v>
      </c>
      <c r="L3080" s="378" t="s">
        <v>2789</v>
      </c>
      <c r="M3080" s="381"/>
      <c r="N3080" s="381">
        <v>5.05</v>
      </c>
      <c r="O3080" s="380"/>
      <c r="P3080" s="380"/>
      <c r="Q3080" s="381">
        <v>16.29627</v>
      </c>
      <c r="R3080" s="381">
        <v>16.3</v>
      </c>
      <c r="S3080" s="381">
        <v>-3.7299999999999998E-3</v>
      </c>
      <c r="T3080" s="381"/>
      <c r="U3080" s="381"/>
      <c r="V3080" s="382">
        <v>16.3</v>
      </c>
      <c r="W3080" s="382">
        <v>0</v>
      </c>
      <c r="X3080" s="381">
        <v>3.2269841584158416</v>
      </c>
      <c r="Y3080" s="381">
        <v>3.2277227722772279</v>
      </c>
      <c r="Z3080" s="381">
        <v>-7.3861386138613858E-4</v>
      </c>
      <c r="AA3080" s="381">
        <v>0</v>
      </c>
      <c r="AB3080" s="381">
        <v>0</v>
      </c>
      <c r="AC3080" s="382">
        <v>3.2277227722772279</v>
      </c>
      <c r="AD3080" s="382">
        <v>0</v>
      </c>
      <c r="AE3080" s="381" t="s">
        <v>168</v>
      </c>
    </row>
    <row r="3081" spans="1:31" ht="15" customHeight="1" x14ac:dyDescent="0.25">
      <c r="A3081" s="20" t="s">
        <v>4364</v>
      </c>
      <c r="B3081" s="378" t="s">
        <v>4430</v>
      </c>
      <c r="C3081" s="20" t="s">
        <v>4430</v>
      </c>
      <c r="D3081" s="378" t="s">
        <v>4511</v>
      </c>
      <c r="E3081" s="384">
        <v>45008</v>
      </c>
      <c r="F3081" s="384">
        <v>46835</v>
      </c>
      <c r="G3081" s="378" t="s">
        <v>4398</v>
      </c>
      <c r="H3081" s="20" t="s">
        <v>4512</v>
      </c>
      <c r="I3081" s="20" t="s">
        <v>162</v>
      </c>
      <c r="J3081" s="20" t="s">
        <v>163</v>
      </c>
      <c r="K3081" s="378" t="e">
        <v>#N/A</v>
      </c>
      <c r="L3081" s="378" t="s">
        <v>2789</v>
      </c>
      <c r="M3081" s="380"/>
      <c r="N3081" s="380">
        <v>11.771428571428574</v>
      </c>
      <c r="O3081" s="380"/>
      <c r="P3081" s="380"/>
      <c r="Q3081" s="381">
        <v>16.2</v>
      </c>
      <c r="R3081" s="381">
        <v>16.100000000000001</v>
      </c>
      <c r="S3081" s="381">
        <v>0.10199999999999999</v>
      </c>
      <c r="T3081" s="381"/>
      <c r="U3081" s="381"/>
      <c r="V3081" s="382">
        <v>16.202000000000002</v>
      </c>
      <c r="W3081" s="382">
        <v>0</v>
      </c>
      <c r="X3081" s="381">
        <v>1.3762135922330094</v>
      </c>
      <c r="Y3081" s="381">
        <v>1.3677184466019416</v>
      </c>
      <c r="Z3081" s="381">
        <v>8.6650485436893174E-3</v>
      </c>
      <c r="AA3081" s="381">
        <v>0</v>
      </c>
      <c r="AB3081" s="381">
        <v>0</v>
      </c>
      <c r="AC3081" s="382">
        <v>1.3763834951456309</v>
      </c>
      <c r="AD3081" s="382">
        <v>0</v>
      </c>
      <c r="AE3081" s="381" t="s">
        <v>168</v>
      </c>
    </row>
    <row r="3082" spans="1:31" ht="15" customHeight="1" x14ac:dyDescent="0.25">
      <c r="A3082" s="20" t="s">
        <v>4364</v>
      </c>
      <c r="B3082" s="378" t="s">
        <v>4430</v>
      </c>
      <c r="C3082" s="20" t="s">
        <v>4430</v>
      </c>
      <c r="D3082" s="378" t="s">
        <v>4513</v>
      </c>
      <c r="E3082" s="384">
        <v>45008</v>
      </c>
      <c r="F3082" s="384">
        <v>46835</v>
      </c>
      <c r="G3082" s="378" t="s">
        <v>4398</v>
      </c>
      <c r="H3082" s="20" t="s">
        <v>4512</v>
      </c>
      <c r="I3082" s="20" t="s">
        <v>162</v>
      </c>
      <c r="J3082" s="20" t="s">
        <v>163</v>
      </c>
      <c r="K3082" s="378" t="e">
        <v>#N/A</v>
      </c>
      <c r="L3082" s="378" t="s">
        <v>2789</v>
      </c>
      <c r="M3082" s="380"/>
      <c r="N3082" s="380">
        <v>8.9142857142857164</v>
      </c>
      <c r="O3082" s="380"/>
      <c r="P3082" s="380"/>
      <c r="Q3082" s="381">
        <v>9.7899999999999991</v>
      </c>
      <c r="R3082" s="381">
        <v>9.69</v>
      </c>
      <c r="S3082" s="381">
        <v>9.4399999999999998E-2</v>
      </c>
      <c r="T3082" s="381"/>
      <c r="U3082" s="381"/>
      <c r="V3082" s="382">
        <v>9.7843999999999998</v>
      </c>
      <c r="W3082" s="382">
        <v>0</v>
      </c>
      <c r="X3082" s="381">
        <v>1.098237179487179</v>
      </c>
      <c r="Y3082" s="381">
        <v>1.0870192307692303</v>
      </c>
      <c r="Z3082" s="381">
        <v>1.0589743589743588E-2</v>
      </c>
      <c r="AA3082" s="381">
        <v>0</v>
      </c>
      <c r="AB3082" s="381">
        <v>0</v>
      </c>
      <c r="AC3082" s="382">
        <v>1.0976089743589739</v>
      </c>
      <c r="AD3082" s="382">
        <v>0</v>
      </c>
      <c r="AE3082" s="381" t="s">
        <v>168</v>
      </c>
    </row>
    <row r="3083" spans="1:31" ht="15" customHeight="1" x14ac:dyDescent="0.25">
      <c r="A3083" s="20" t="s">
        <v>4364</v>
      </c>
      <c r="B3083" s="378" t="s">
        <v>4430</v>
      </c>
      <c r="C3083" s="20" t="s">
        <v>4430</v>
      </c>
      <c r="D3083" s="378" t="s">
        <v>4514</v>
      </c>
      <c r="E3083" s="384">
        <v>45061</v>
      </c>
      <c r="F3083" s="384">
        <v>46888</v>
      </c>
      <c r="G3083" s="378" t="s">
        <v>439</v>
      </c>
      <c r="H3083" s="20" t="s">
        <v>4425</v>
      </c>
      <c r="I3083" s="20" t="s">
        <v>162</v>
      </c>
      <c r="J3083" s="20" t="s">
        <v>163</v>
      </c>
      <c r="K3083" s="378" t="s">
        <v>4426</v>
      </c>
      <c r="L3083" s="378" t="s">
        <v>2789</v>
      </c>
      <c r="M3083" s="380"/>
      <c r="N3083" s="380">
        <v>13.2</v>
      </c>
      <c r="O3083" s="380"/>
      <c r="P3083" s="380"/>
      <c r="Q3083" s="381">
        <v>58.8</v>
      </c>
      <c r="R3083" s="381">
        <v>58.7</v>
      </c>
      <c r="S3083" s="381">
        <v>3.9E-2</v>
      </c>
      <c r="T3083" s="381"/>
      <c r="U3083" s="381"/>
      <c r="V3083" s="382">
        <v>58.739000000000004</v>
      </c>
      <c r="W3083" s="382">
        <v>0</v>
      </c>
      <c r="X3083" s="381">
        <v>4.4545454545454541</v>
      </c>
      <c r="Y3083" s="381">
        <v>4.4469696969696972</v>
      </c>
      <c r="Z3083" s="381">
        <v>2.9545454545454545E-3</v>
      </c>
      <c r="AA3083" s="381">
        <v>0</v>
      </c>
      <c r="AB3083" s="381">
        <v>0</v>
      </c>
      <c r="AC3083" s="382">
        <v>4.4499242424242427</v>
      </c>
      <c r="AD3083" s="382">
        <v>0</v>
      </c>
      <c r="AE3083" s="381" t="s">
        <v>168</v>
      </c>
    </row>
    <row r="3084" spans="1:31" ht="15" customHeight="1" x14ac:dyDescent="0.25">
      <c r="A3084" s="20" t="s">
        <v>4364</v>
      </c>
      <c r="B3084" s="378" t="s">
        <v>4430</v>
      </c>
      <c r="C3084" s="20" t="s">
        <v>4430</v>
      </c>
      <c r="D3084" s="378" t="s">
        <v>4515</v>
      </c>
      <c r="E3084" s="384">
        <v>45061</v>
      </c>
      <c r="F3084" s="384">
        <v>46888</v>
      </c>
      <c r="G3084" s="378" t="s">
        <v>439</v>
      </c>
      <c r="H3084" s="20" t="s">
        <v>4425</v>
      </c>
      <c r="I3084" s="20" t="s">
        <v>162</v>
      </c>
      <c r="J3084" s="20" t="s">
        <v>163</v>
      </c>
      <c r="K3084" s="378" t="s">
        <v>4426</v>
      </c>
      <c r="L3084" s="378" t="s">
        <v>2789</v>
      </c>
      <c r="M3084" s="380"/>
      <c r="N3084" s="380">
        <v>16</v>
      </c>
      <c r="O3084" s="380"/>
      <c r="P3084" s="380"/>
      <c r="Q3084" s="381">
        <v>64.099999999999994</v>
      </c>
      <c r="R3084" s="381">
        <v>64</v>
      </c>
      <c r="S3084" s="381">
        <v>2.8500000000000001E-2</v>
      </c>
      <c r="T3084" s="381"/>
      <c r="U3084" s="381"/>
      <c r="V3084" s="382">
        <v>64.028499999999994</v>
      </c>
      <c r="W3084" s="382">
        <v>0</v>
      </c>
      <c r="X3084" s="381">
        <v>4.0062499999999996</v>
      </c>
      <c r="Y3084" s="381">
        <v>4</v>
      </c>
      <c r="Z3084" s="381">
        <v>1.7812500000000001E-3</v>
      </c>
      <c r="AA3084" s="381">
        <v>0</v>
      </c>
      <c r="AB3084" s="381">
        <v>0</v>
      </c>
      <c r="AC3084" s="382">
        <v>4.0017812499999996</v>
      </c>
      <c r="AD3084" s="382">
        <v>0</v>
      </c>
      <c r="AE3084" s="381" t="s">
        <v>168</v>
      </c>
    </row>
    <row r="3085" spans="1:31" ht="15" customHeight="1" x14ac:dyDescent="0.25">
      <c r="A3085" s="20" t="s">
        <v>4364</v>
      </c>
      <c r="B3085" s="378" t="s">
        <v>4430</v>
      </c>
      <c r="C3085" s="20" t="s">
        <v>4430</v>
      </c>
      <c r="D3085" s="378" t="s">
        <v>4516</v>
      </c>
      <c r="E3085" s="384">
        <v>45061</v>
      </c>
      <c r="F3085" s="384">
        <v>46888</v>
      </c>
      <c r="G3085" s="378" t="s">
        <v>439</v>
      </c>
      <c r="H3085" s="20" t="s">
        <v>4425</v>
      </c>
      <c r="I3085" s="20" t="s">
        <v>162</v>
      </c>
      <c r="J3085" s="20" t="s">
        <v>163</v>
      </c>
      <c r="K3085" s="378" t="s">
        <v>4426</v>
      </c>
      <c r="L3085" s="378" t="s">
        <v>2789</v>
      </c>
      <c r="M3085" s="380"/>
      <c r="N3085" s="380">
        <v>12.7</v>
      </c>
      <c r="O3085" s="380"/>
      <c r="P3085" s="380"/>
      <c r="Q3085" s="381">
        <v>54.8</v>
      </c>
      <c r="R3085" s="381">
        <v>54.7</v>
      </c>
      <c r="S3085" s="381">
        <v>3.61E-2</v>
      </c>
      <c r="T3085" s="381"/>
      <c r="U3085" s="381"/>
      <c r="V3085" s="382">
        <v>54.7361</v>
      </c>
      <c r="W3085" s="382">
        <v>0</v>
      </c>
      <c r="X3085" s="381">
        <v>4.3149606299212602</v>
      </c>
      <c r="Y3085" s="381">
        <v>4.3070866141732287</v>
      </c>
      <c r="Z3085" s="381">
        <v>2.8425196850393702E-3</v>
      </c>
      <c r="AA3085" s="381">
        <v>0</v>
      </c>
      <c r="AB3085" s="381">
        <v>0</v>
      </c>
      <c r="AC3085" s="382">
        <v>4.3099291338582679</v>
      </c>
      <c r="AD3085" s="382">
        <v>0</v>
      </c>
      <c r="AE3085" s="381" t="s">
        <v>168</v>
      </c>
    </row>
    <row r="3086" spans="1:31" ht="15" customHeight="1" x14ac:dyDescent="0.25">
      <c r="A3086" s="20" t="s">
        <v>4364</v>
      </c>
      <c r="B3086" s="378" t="s">
        <v>4430</v>
      </c>
      <c r="C3086" s="20" t="s">
        <v>4430</v>
      </c>
      <c r="D3086" s="378" t="s">
        <v>4517</v>
      </c>
      <c r="E3086" s="384">
        <v>45061</v>
      </c>
      <c r="F3086" s="384">
        <v>46888</v>
      </c>
      <c r="G3086" s="378" t="s">
        <v>439</v>
      </c>
      <c r="H3086" s="20" t="s">
        <v>4425</v>
      </c>
      <c r="I3086" s="20" t="s">
        <v>162</v>
      </c>
      <c r="J3086" s="20" t="s">
        <v>163</v>
      </c>
      <c r="K3086" s="378" t="s">
        <v>4426</v>
      </c>
      <c r="L3086" s="378" t="s">
        <v>2789</v>
      </c>
      <c r="M3086" s="380"/>
      <c r="N3086" s="380">
        <v>14</v>
      </c>
      <c r="O3086" s="380"/>
      <c r="P3086" s="380"/>
      <c r="Q3086" s="381">
        <v>60.2</v>
      </c>
      <c r="R3086" s="381">
        <v>60.1</v>
      </c>
      <c r="S3086" s="381">
        <v>2.9399999999999999E-2</v>
      </c>
      <c r="T3086" s="381"/>
      <c r="U3086" s="381"/>
      <c r="V3086" s="382">
        <v>60.129400000000004</v>
      </c>
      <c r="W3086" s="382">
        <v>0</v>
      </c>
      <c r="X3086" s="381">
        <v>4.3</v>
      </c>
      <c r="Y3086" s="381">
        <v>4.2928571428571427</v>
      </c>
      <c r="Z3086" s="381">
        <v>2.0999999999999999E-3</v>
      </c>
      <c r="AA3086" s="381">
        <v>0</v>
      </c>
      <c r="AB3086" s="381">
        <v>0</v>
      </c>
      <c r="AC3086" s="382">
        <v>4.2949571428571431</v>
      </c>
      <c r="AD3086" s="382">
        <v>0</v>
      </c>
      <c r="AE3086" s="381" t="s">
        <v>168</v>
      </c>
    </row>
    <row r="3087" spans="1:31" ht="15" customHeight="1" x14ac:dyDescent="0.25">
      <c r="A3087" s="20" t="s">
        <v>4364</v>
      </c>
      <c r="B3087" s="378" t="s">
        <v>4430</v>
      </c>
      <c r="C3087" s="20" t="s">
        <v>4430</v>
      </c>
      <c r="D3087" s="378" t="s">
        <v>4518</v>
      </c>
      <c r="E3087" s="384">
        <v>45008</v>
      </c>
      <c r="F3087" s="384">
        <v>46835</v>
      </c>
      <c r="G3087" s="378" t="s">
        <v>4398</v>
      </c>
      <c r="H3087" s="20" t="s">
        <v>4512</v>
      </c>
      <c r="I3087" s="20" t="s">
        <v>162</v>
      </c>
      <c r="J3087" s="20" t="s">
        <v>163</v>
      </c>
      <c r="K3087" s="378" t="e">
        <v>#N/A</v>
      </c>
      <c r="L3087" s="378" t="s">
        <v>2789</v>
      </c>
      <c r="M3087" s="380"/>
      <c r="N3087" s="380">
        <v>6.0571428571428587</v>
      </c>
      <c r="O3087" s="380"/>
      <c r="P3087" s="380"/>
      <c r="Q3087" s="381">
        <v>7.16</v>
      </c>
      <c r="R3087" s="381">
        <v>7.06</v>
      </c>
      <c r="S3087" s="381">
        <v>9.1200000000000003E-2</v>
      </c>
      <c r="T3087" s="381"/>
      <c r="U3087" s="381"/>
      <c r="V3087" s="382">
        <v>7.1511999999999993</v>
      </c>
      <c r="W3087" s="382">
        <v>0</v>
      </c>
      <c r="X3087" s="381">
        <v>1.182075471698113</v>
      </c>
      <c r="Y3087" s="381">
        <v>1.1655660377358488</v>
      </c>
      <c r="Z3087" s="381">
        <v>1.5056603773584903E-2</v>
      </c>
      <c r="AA3087" s="381">
        <v>0</v>
      </c>
      <c r="AB3087" s="381">
        <v>0</v>
      </c>
      <c r="AC3087" s="382">
        <v>1.1806226415094336</v>
      </c>
      <c r="AD3087" s="382">
        <v>0</v>
      </c>
      <c r="AE3087" s="381" t="s">
        <v>168</v>
      </c>
    </row>
    <row r="3088" spans="1:31" ht="15" customHeight="1" x14ac:dyDescent="0.25">
      <c r="A3088" s="20" t="s">
        <v>4364</v>
      </c>
      <c r="B3088" s="378" t="s">
        <v>4430</v>
      </c>
      <c r="C3088" s="20" t="s">
        <v>4430</v>
      </c>
      <c r="D3088" s="378" t="s">
        <v>4519</v>
      </c>
      <c r="E3088" s="384">
        <v>45061</v>
      </c>
      <c r="F3088" s="384">
        <v>46888</v>
      </c>
      <c r="G3088" s="378" t="s">
        <v>439</v>
      </c>
      <c r="H3088" s="20" t="s">
        <v>4425</v>
      </c>
      <c r="I3088" s="20" t="s">
        <v>162</v>
      </c>
      <c r="J3088" s="20" t="s">
        <v>163</v>
      </c>
      <c r="K3088" s="378" t="s">
        <v>4426</v>
      </c>
      <c r="L3088" s="378" t="s">
        <v>2789</v>
      </c>
      <c r="M3088" s="380"/>
      <c r="N3088" s="380">
        <v>15.1</v>
      </c>
      <c r="O3088" s="380"/>
      <c r="P3088" s="380"/>
      <c r="Q3088" s="381">
        <v>60.1</v>
      </c>
      <c r="R3088" s="381">
        <v>60</v>
      </c>
      <c r="S3088" s="381">
        <v>2.5700000000000001E-2</v>
      </c>
      <c r="T3088" s="381"/>
      <c r="U3088" s="381"/>
      <c r="V3088" s="382">
        <v>60.025700000000001</v>
      </c>
      <c r="W3088" s="382">
        <v>0</v>
      </c>
      <c r="X3088" s="381">
        <v>3.9801324503311259</v>
      </c>
      <c r="Y3088" s="381">
        <v>3.9735099337748347</v>
      </c>
      <c r="Z3088" s="381">
        <v>1.7019867549668876E-3</v>
      </c>
      <c r="AA3088" s="381">
        <v>0</v>
      </c>
      <c r="AB3088" s="381">
        <v>0</v>
      </c>
      <c r="AC3088" s="382">
        <v>3.9752119205298015</v>
      </c>
      <c r="AD3088" s="382">
        <v>0</v>
      </c>
      <c r="AE3088" s="381" t="s">
        <v>168</v>
      </c>
    </row>
    <row r="3089" spans="1:31" ht="15" customHeight="1" x14ac:dyDescent="0.25">
      <c r="A3089" s="20" t="s">
        <v>4364</v>
      </c>
      <c r="B3089" s="378" t="s">
        <v>4430</v>
      </c>
      <c r="C3089" s="20" t="s">
        <v>4430</v>
      </c>
      <c r="D3089" s="378" t="s">
        <v>4520</v>
      </c>
      <c r="E3089" s="384">
        <v>45061</v>
      </c>
      <c r="F3089" s="384">
        <v>46888</v>
      </c>
      <c r="G3089" s="378" t="s">
        <v>439</v>
      </c>
      <c r="H3089" s="20" t="s">
        <v>4425</v>
      </c>
      <c r="I3089" s="20" t="s">
        <v>162</v>
      </c>
      <c r="J3089" s="20" t="s">
        <v>163</v>
      </c>
      <c r="K3089" s="378" t="s">
        <v>4426</v>
      </c>
      <c r="L3089" s="378" t="s">
        <v>2789</v>
      </c>
      <c r="M3089" s="380"/>
      <c r="N3089" s="380">
        <v>11.6</v>
      </c>
      <c r="O3089" s="380"/>
      <c r="P3089" s="380"/>
      <c r="Q3089" s="381">
        <v>50.8</v>
      </c>
      <c r="R3089" s="381">
        <v>50.7</v>
      </c>
      <c r="S3089" s="381">
        <v>3.3300000000000003E-2</v>
      </c>
      <c r="T3089" s="381"/>
      <c r="U3089" s="381"/>
      <c r="V3089" s="382">
        <v>50.7333</v>
      </c>
      <c r="W3089" s="382">
        <v>0</v>
      </c>
      <c r="X3089" s="381">
        <v>4.3793103448275863</v>
      </c>
      <c r="Y3089" s="381">
        <v>4.3706896551724146</v>
      </c>
      <c r="Z3089" s="381">
        <v>2.8706896551724142E-3</v>
      </c>
      <c r="AA3089" s="381">
        <v>0</v>
      </c>
      <c r="AB3089" s="381">
        <v>0</v>
      </c>
      <c r="AC3089" s="382">
        <v>4.3735603448275873</v>
      </c>
      <c r="AD3089" s="382">
        <v>0</v>
      </c>
      <c r="AE3089" s="381" t="s">
        <v>168</v>
      </c>
    </row>
    <row r="3090" spans="1:31" ht="15" customHeight="1" x14ac:dyDescent="0.25">
      <c r="A3090" s="20" t="s">
        <v>4364</v>
      </c>
      <c r="B3090" s="378" t="s">
        <v>4430</v>
      </c>
      <c r="C3090" s="20" t="s">
        <v>4430</v>
      </c>
      <c r="D3090" s="378" t="s">
        <v>4521</v>
      </c>
      <c r="E3090" s="384">
        <v>45061</v>
      </c>
      <c r="F3090" s="384">
        <v>46888</v>
      </c>
      <c r="G3090" s="378" t="s">
        <v>439</v>
      </c>
      <c r="H3090" s="20" t="s">
        <v>4425</v>
      </c>
      <c r="I3090" s="20" t="s">
        <v>162</v>
      </c>
      <c r="J3090" s="20" t="s">
        <v>163</v>
      </c>
      <c r="K3090" s="378" t="s">
        <v>4426</v>
      </c>
      <c r="L3090" s="378" t="s">
        <v>2789</v>
      </c>
      <c r="M3090" s="380"/>
      <c r="N3090" s="380">
        <v>10.7</v>
      </c>
      <c r="O3090" s="380"/>
      <c r="P3090" s="380"/>
      <c r="Q3090" s="381">
        <v>46.7</v>
      </c>
      <c r="R3090" s="381">
        <v>46.6</v>
      </c>
      <c r="S3090" s="381">
        <v>2.9700000000000001E-2</v>
      </c>
      <c r="T3090" s="381"/>
      <c r="U3090" s="381"/>
      <c r="V3090" s="382">
        <v>46.6297</v>
      </c>
      <c r="W3090" s="382">
        <v>0</v>
      </c>
      <c r="X3090" s="381">
        <v>4.3644859813084116</v>
      </c>
      <c r="Y3090" s="381">
        <v>4.3551401869158886</v>
      </c>
      <c r="Z3090" s="381">
        <v>2.7757009345794393E-3</v>
      </c>
      <c r="AA3090" s="381">
        <v>0</v>
      </c>
      <c r="AB3090" s="381">
        <v>0</v>
      </c>
      <c r="AC3090" s="382">
        <v>4.357915887850468</v>
      </c>
      <c r="AD3090" s="382">
        <v>0</v>
      </c>
      <c r="AE3090" s="381" t="s">
        <v>168</v>
      </c>
    </row>
    <row r="3091" spans="1:31" ht="15" customHeight="1" x14ac:dyDescent="0.25">
      <c r="A3091" s="20" t="s">
        <v>3490</v>
      </c>
      <c r="B3091" s="20" t="s">
        <v>3491</v>
      </c>
      <c r="C3091" s="20" t="s">
        <v>3491</v>
      </c>
      <c r="D3091" s="378" t="s">
        <v>4522</v>
      </c>
      <c r="E3091" s="384">
        <v>43077</v>
      </c>
      <c r="F3091" s="384">
        <v>44903</v>
      </c>
      <c r="G3091" s="378" t="s">
        <v>439</v>
      </c>
      <c r="H3091" s="20" t="s">
        <v>3494</v>
      </c>
      <c r="I3091" s="20" t="s">
        <v>353</v>
      </c>
      <c r="J3091" s="20" t="s">
        <v>163</v>
      </c>
      <c r="K3091" s="378" t="s">
        <v>3495</v>
      </c>
      <c r="L3091" s="20" t="s">
        <v>165</v>
      </c>
      <c r="M3091" s="381">
        <v>722.72727272727275</v>
      </c>
      <c r="N3091" s="381"/>
      <c r="O3091" s="380"/>
      <c r="P3091" s="380"/>
      <c r="Q3091" s="381">
        <v>-417.27272727272731</v>
      </c>
      <c r="R3091" s="381">
        <v>622.72727272727275</v>
      </c>
      <c r="S3091" s="381">
        <v>-1040.909090909091</v>
      </c>
      <c r="T3091" s="381">
        <v>0</v>
      </c>
      <c r="U3091" s="381">
        <v>1205.7500000000002</v>
      </c>
      <c r="V3091" s="382">
        <v>787.56818181818198</v>
      </c>
      <c r="W3091" s="382">
        <v>1205.7500000000002</v>
      </c>
      <c r="X3091" s="381">
        <v>-0.57735849056603772</v>
      </c>
      <c r="Y3091" s="381">
        <v>0.86163522012578619</v>
      </c>
      <c r="Z3091" s="381">
        <v>-1.4402515723270441</v>
      </c>
      <c r="AA3091" s="381">
        <v>0</v>
      </c>
      <c r="AB3091" s="381">
        <v>1.6683333333333337</v>
      </c>
      <c r="AC3091" s="382">
        <v>1.0897169811320757</v>
      </c>
      <c r="AD3091" s="382">
        <v>1.6683333333333337</v>
      </c>
      <c r="AE3091" s="381" t="s">
        <v>168</v>
      </c>
    </row>
    <row r="3092" spans="1:31" ht="15" customHeight="1" x14ac:dyDescent="0.25">
      <c r="A3092" s="20" t="s">
        <v>3490</v>
      </c>
      <c r="B3092" s="20" t="s">
        <v>3491</v>
      </c>
      <c r="C3092" s="20" t="s">
        <v>3491</v>
      </c>
      <c r="D3092" s="378" t="s">
        <v>4523</v>
      </c>
      <c r="E3092" s="384">
        <v>43077</v>
      </c>
      <c r="F3092" s="384">
        <v>44903</v>
      </c>
      <c r="G3092" s="378" t="s">
        <v>439</v>
      </c>
      <c r="H3092" s="20" t="s">
        <v>3494</v>
      </c>
      <c r="I3092" s="20" t="s">
        <v>353</v>
      </c>
      <c r="J3092" s="20" t="s">
        <v>163</v>
      </c>
      <c r="K3092" s="378" t="s">
        <v>3495</v>
      </c>
      <c r="L3092" s="20" t="s">
        <v>165</v>
      </c>
      <c r="M3092" s="381">
        <v>732</v>
      </c>
      <c r="N3092" s="381"/>
      <c r="O3092" s="380"/>
      <c r="P3092" s="380"/>
      <c r="Q3092" s="381">
        <v>-420</v>
      </c>
      <c r="R3092" s="381">
        <v>627.99999999999989</v>
      </c>
      <c r="S3092" s="381">
        <v>-1048</v>
      </c>
      <c r="T3092" s="381">
        <v>0</v>
      </c>
      <c r="U3092" s="381">
        <v>1221.22</v>
      </c>
      <c r="V3092" s="382">
        <v>801.21999999999991</v>
      </c>
      <c r="W3092" s="382">
        <v>1221.22</v>
      </c>
      <c r="X3092" s="381">
        <v>-0.57377049180327866</v>
      </c>
      <c r="Y3092" s="381">
        <v>0.85792349726775941</v>
      </c>
      <c r="Z3092" s="381">
        <v>-1.4316939890710383</v>
      </c>
      <c r="AA3092" s="381">
        <v>0</v>
      </c>
      <c r="AB3092" s="381">
        <v>1.6683333333333334</v>
      </c>
      <c r="AC3092" s="382">
        <v>1.0945628415300546</v>
      </c>
      <c r="AD3092" s="382">
        <v>1.6683333333333334</v>
      </c>
      <c r="AE3092" s="381" t="s">
        <v>168</v>
      </c>
    </row>
    <row r="3093" spans="1:31" ht="15" customHeight="1" x14ac:dyDescent="0.25">
      <c r="A3093" s="20" t="s">
        <v>3490</v>
      </c>
      <c r="B3093" s="20" t="s">
        <v>3491</v>
      </c>
      <c r="C3093" s="20" t="s">
        <v>3491</v>
      </c>
      <c r="D3093" s="378" t="s">
        <v>4524</v>
      </c>
      <c r="E3093" s="384">
        <v>43077</v>
      </c>
      <c r="F3093" s="384">
        <v>44903</v>
      </c>
      <c r="G3093" s="378" t="s">
        <v>439</v>
      </c>
      <c r="H3093" s="378" t="s">
        <v>3494</v>
      </c>
      <c r="I3093" s="378" t="s">
        <v>353</v>
      </c>
      <c r="J3093" s="20" t="s">
        <v>163</v>
      </c>
      <c r="K3093" s="378" t="s">
        <v>3495</v>
      </c>
      <c r="L3093" s="20" t="s">
        <v>165</v>
      </c>
      <c r="M3093" s="381">
        <v>715.78947368421052</v>
      </c>
      <c r="N3093" s="381"/>
      <c r="O3093" s="380"/>
      <c r="P3093" s="380"/>
      <c r="Q3093" s="381">
        <v>-342.64736842105276</v>
      </c>
      <c r="R3093" s="381">
        <v>673.14210526315787</v>
      </c>
      <c r="S3093" s="381">
        <v>-1015.7894736842106</v>
      </c>
      <c r="T3093" s="381">
        <v>0</v>
      </c>
      <c r="U3093" s="381">
        <v>1181.05263157895</v>
      </c>
      <c r="V3093" s="382">
        <v>838.40526315789725</v>
      </c>
      <c r="W3093" s="382">
        <v>1181.05263157895</v>
      </c>
      <c r="X3093" s="381">
        <v>-0.47869852941176488</v>
      </c>
      <c r="Y3093" s="381">
        <v>0.94041911764705877</v>
      </c>
      <c r="Z3093" s="381">
        <v>-1.4191176470588236</v>
      </c>
      <c r="AA3093" s="381">
        <v>0</v>
      </c>
      <c r="AB3093" s="381">
        <v>1.6500000000000037</v>
      </c>
      <c r="AC3093" s="382">
        <v>1.1713014705882387</v>
      </c>
      <c r="AD3093" s="382">
        <v>1.6500000000000037</v>
      </c>
      <c r="AE3093" s="381" t="s">
        <v>168</v>
      </c>
    </row>
    <row r="3094" spans="1:31" ht="15" customHeight="1" x14ac:dyDescent="0.25">
      <c r="A3094" s="20" t="s">
        <v>3490</v>
      </c>
      <c r="B3094" s="20" t="s">
        <v>3491</v>
      </c>
      <c r="C3094" s="20" t="s">
        <v>3491</v>
      </c>
      <c r="D3094" s="378" t="s">
        <v>4525</v>
      </c>
      <c r="E3094" s="384">
        <v>43077</v>
      </c>
      <c r="F3094" s="384" t="s">
        <v>3497</v>
      </c>
      <c r="G3094" s="378" t="s">
        <v>439</v>
      </c>
      <c r="H3094" s="20" t="s">
        <v>3494</v>
      </c>
      <c r="I3094" s="378">
        <v>0</v>
      </c>
      <c r="J3094" s="20" t="s">
        <v>163</v>
      </c>
      <c r="K3094" s="378" t="s">
        <v>3495</v>
      </c>
      <c r="L3094" s="378" t="s">
        <v>165</v>
      </c>
      <c r="M3094" s="380">
        <v>715.78947368421052</v>
      </c>
      <c r="N3094" s="380" t="s">
        <v>443</v>
      </c>
      <c r="O3094" s="380" t="s">
        <v>443</v>
      </c>
      <c r="P3094" s="380" t="s">
        <v>443</v>
      </c>
      <c r="Q3094" s="381">
        <v>-440.08421560000011</v>
      </c>
      <c r="R3094" s="381">
        <v>575.70525839999993</v>
      </c>
      <c r="S3094" s="381">
        <v>-1015.789474</v>
      </c>
      <c r="T3094" s="381">
        <v>0</v>
      </c>
      <c r="U3094" s="381">
        <v>1181.0519999999999</v>
      </c>
      <c r="V3094" s="382">
        <v>740.9677843999998</v>
      </c>
      <c r="W3094" s="382">
        <v>1181.0519999999999</v>
      </c>
      <c r="X3094" s="381">
        <v>-0.6148235365000001</v>
      </c>
      <c r="Y3094" s="381">
        <v>0.80429411099999992</v>
      </c>
      <c r="Z3094" s="381">
        <v>-1.4191176475</v>
      </c>
      <c r="AA3094" s="381">
        <v>0</v>
      </c>
      <c r="AB3094" s="381">
        <v>1.6499991176470588</v>
      </c>
      <c r="AC3094" s="382">
        <v>1.0351755811470587</v>
      </c>
      <c r="AD3094" s="382">
        <v>1.6499991176470588</v>
      </c>
      <c r="AE3094" s="381" t="s">
        <v>168</v>
      </c>
    </row>
    <row r="3095" spans="1:31" ht="15" customHeight="1" x14ac:dyDescent="0.25">
      <c r="A3095" s="20" t="s">
        <v>3490</v>
      </c>
      <c r="B3095" s="20" t="s">
        <v>3491</v>
      </c>
      <c r="C3095" s="20" t="s">
        <v>3491</v>
      </c>
      <c r="D3095" s="378" t="s">
        <v>4526</v>
      </c>
      <c r="E3095" s="384">
        <v>43077</v>
      </c>
      <c r="F3095" s="384">
        <v>44903</v>
      </c>
      <c r="G3095" s="378" t="s">
        <v>439</v>
      </c>
      <c r="H3095" s="20" t="s">
        <v>3494</v>
      </c>
      <c r="I3095" s="20" t="s">
        <v>353</v>
      </c>
      <c r="J3095" s="20" t="s">
        <v>163</v>
      </c>
      <c r="K3095" s="378" t="s">
        <v>3495</v>
      </c>
      <c r="L3095" s="20" t="s">
        <v>165</v>
      </c>
      <c r="M3095" s="381">
        <v>715.78947368421052</v>
      </c>
      <c r="N3095" s="381"/>
      <c r="O3095" s="380"/>
      <c r="P3095" s="380"/>
      <c r="Q3095" s="381">
        <v>-380.5263157894737</v>
      </c>
      <c r="R3095" s="381">
        <v>636.84210526315792</v>
      </c>
      <c r="S3095" s="381">
        <v>-1015.7894736842106</v>
      </c>
      <c r="T3095" s="381">
        <v>0</v>
      </c>
      <c r="U3095" s="381">
        <v>1181.05263157895</v>
      </c>
      <c r="V3095" s="382">
        <v>802.1052631578973</v>
      </c>
      <c r="W3095" s="382">
        <v>1181.05263157895</v>
      </c>
      <c r="X3095" s="381">
        <v>-0.53161764705882353</v>
      </c>
      <c r="Y3095" s="381">
        <v>0.88970588235294124</v>
      </c>
      <c r="Z3095" s="381">
        <v>-1.4191176470588236</v>
      </c>
      <c r="AA3095" s="381">
        <v>0</v>
      </c>
      <c r="AB3095" s="381">
        <v>1.6500000000000037</v>
      </c>
      <c r="AC3095" s="382">
        <v>1.1205882352941212</v>
      </c>
      <c r="AD3095" s="382">
        <v>1.6500000000000037</v>
      </c>
      <c r="AE3095" s="381" t="s">
        <v>168</v>
      </c>
    </row>
    <row r="3096" spans="1:31" ht="15" customHeight="1" x14ac:dyDescent="0.25">
      <c r="A3096" s="20" t="s">
        <v>3490</v>
      </c>
      <c r="B3096" s="20" t="s">
        <v>3491</v>
      </c>
      <c r="C3096" s="20" t="s">
        <v>3491</v>
      </c>
      <c r="D3096" s="378" t="s">
        <v>4527</v>
      </c>
      <c r="E3096" s="384">
        <v>43910</v>
      </c>
      <c r="F3096" s="384">
        <v>46915</v>
      </c>
      <c r="G3096" s="378" t="s">
        <v>2837</v>
      </c>
      <c r="H3096" s="20" t="s">
        <v>4528</v>
      </c>
      <c r="I3096" s="378">
        <v>0</v>
      </c>
      <c r="J3096" s="20" t="s">
        <v>2831</v>
      </c>
      <c r="K3096" s="378" t="s">
        <v>4529</v>
      </c>
      <c r="L3096" s="378" t="s">
        <v>165</v>
      </c>
      <c r="M3096" s="380">
        <v>660</v>
      </c>
      <c r="N3096" s="380" t="s">
        <v>443</v>
      </c>
      <c r="O3096" s="380" t="s">
        <v>443</v>
      </c>
      <c r="P3096" s="380" t="s">
        <v>443</v>
      </c>
      <c r="Q3096" s="381">
        <v>687</v>
      </c>
      <c r="R3096" s="381">
        <v>320</v>
      </c>
      <c r="S3096" s="381">
        <v>-1010</v>
      </c>
      <c r="T3096" s="381">
        <v>0.23200000000000001</v>
      </c>
      <c r="U3096" s="381">
        <v>1012</v>
      </c>
      <c r="V3096" s="382">
        <v>322.23199999999997</v>
      </c>
      <c r="W3096" s="382">
        <v>1012</v>
      </c>
      <c r="X3096" s="381">
        <v>1.040909090909091</v>
      </c>
      <c r="Y3096" s="381">
        <v>0.48484848484848486</v>
      </c>
      <c r="Z3096" s="381">
        <v>-1.5303030303030303</v>
      </c>
      <c r="AA3096" s="381">
        <v>3.5151515151515155E-4</v>
      </c>
      <c r="AB3096" s="381">
        <v>1.5333333333333334</v>
      </c>
      <c r="AC3096" s="382">
        <v>0.48823030303030324</v>
      </c>
      <c r="AD3096" s="382">
        <v>1.5333333333333334</v>
      </c>
      <c r="AE3096" s="381" t="s">
        <v>168</v>
      </c>
    </row>
    <row r="3097" spans="1:31" ht="15" customHeight="1" x14ac:dyDescent="0.25">
      <c r="A3097" s="20" t="s">
        <v>4226</v>
      </c>
      <c r="B3097" s="20" t="s">
        <v>4227</v>
      </c>
      <c r="C3097" s="20" t="s">
        <v>4530</v>
      </c>
      <c r="D3097" s="378" t="s">
        <v>4531</v>
      </c>
      <c r="E3097" s="384">
        <v>45196</v>
      </c>
      <c r="F3097" s="384">
        <v>47023</v>
      </c>
      <c r="G3097" s="378" t="s">
        <v>2837</v>
      </c>
      <c r="H3097" s="20" t="s">
        <v>4532</v>
      </c>
      <c r="I3097" s="378">
        <v>0</v>
      </c>
      <c r="J3097" s="20" t="s">
        <v>2831</v>
      </c>
      <c r="K3097" s="378" t="s">
        <v>4533</v>
      </c>
      <c r="L3097" s="378" t="s">
        <v>2774</v>
      </c>
      <c r="M3097" s="380">
        <v>2250</v>
      </c>
      <c r="N3097" s="380" t="s">
        <v>443</v>
      </c>
      <c r="O3097" s="380" t="s">
        <v>443</v>
      </c>
      <c r="P3097" s="380" t="s">
        <v>443</v>
      </c>
      <c r="Q3097" s="381">
        <v>0.23599999999999999</v>
      </c>
      <c r="R3097" s="381">
        <v>0.308</v>
      </c>
      <c r="S3097" s="381">
        <v>-7.2300000000000003E-2</v>
      </c>
      <c r="T3097" s="381">
        <v>2.4699999999999999E-4</v>
      </c>
      <c r="U3097" s="381">
        <v>0</v>
      </c>
      <c r="V3097" s="382">
        <v>0.30824699999999999</v>
      </c>
      <c r="W3097" s="382">
        <v>0</v>
      </c>
      <c r="X3097" s="381">
        <v>0.23599999999999999</v>
      </c>
      <c r="Y3097" s="381">
        <v>0.308</v>
      </c>
      <c r="Z3097" s="381">
        <v>-7.2300000000000003E-2</v>
      </c>
      <c r="AA3097" s="381">
        <v>2.4699999999999999E-4</v>
      </c>
      <c r="AB3097" s="381">
        <v>0</v>
      </c>
      <c r="AC3097" s="382">
        <v>0.30824699999999999</v>
      </c>
      <c r="AD3097" s="382">
        <v>0</v>
      </c>
      <c r="AE3097" s="381" t="s">
        <v>168</v>
      </c>
    </row>
    <row r="3098" spans="1:31" ht="15" customHeight="1" x14ac:dyDescent="0.25">
      <c r="A3098" s="20" t="s">
        <v>4226</v>
      </c>
      <c r="B3098" s="20" t="s">
        <v>4227</v>
      </c>
      <c r="C3098" s="20" t="s">
        <v>4530</v>
      </c>
      <c r="D3098" s="378" t="s">
        <v>4534</v>
      </c>
      <c r="E3098" s="384">
        <v>44930</v>
      </c>
      <c r="F3098" s="384">
        <v>46756</v>
      </c>
      <c r="G3098" s="378" t="s">
        <v>2837</v>
      </c>
      <c r="H3098" s="20" t="s">
        <v>4535</v>
      </c>
      <c r="I3098" s="378">
        <v>0</v>
      </c>
      <c r="J3098" s="20" t="s">
        <v>2831</v>
      </c>
      <c r="K3098" s="378" t="s">
        <v>4536</v>
      </c>
      <c r="L3098" s="378" t="s">
        <v>2774</v>
      </c>
      <c r="M3098" s="380" t="s">
        <v>443</v>
      </c>
      <c r="N3098" s="380">
        <v>24.5</v>
      </c>
      <c r="O3098" s="380" t="s">
        <v>443</v>
      </c>
      <c r="P3098" s="380" t="s">
        <v>443</v>
      </c>
      <c r="Q3098" s="381">
        <v>0.82040816326530619</v>
      </c>
      <c r="R3098" s="381">
        <v>0.81632653061224492</v>
      </c>
      <c r="S3098" s="381">
        <v>3.4285714285714288E-3</v>
      </c>
      <c r="T3098" s="381">
        <v>1.5510204081632654E-4</v>
      </c>
      <c r="U3098" s="381">
        <v>0</v>
      </c>
      <c r="V3098" s="382">
        <v>0.81991020408163273</v>
      </c>
      <c r="W3098" s="382">
        <v>0</v>
      </c>
      <c r="X3098" s="381">
        <v>0.82040816326530619</v>
      </c>
      <c r="Y3098" s="381">
        <v>0.81632653061224492</v>
      </c>
      <c r="Z3098" s="381">
        <v>3.4285714285714288E-3</v>
      </c>
      <c r="AA3098" s="381">
        <v>1.5510204081632654E-4</v>
      </c>
      <c r="AB3098" s="381">
        <v>0</v>
      </c>
      <c r="AC3098" s="382">
        <v>0.81991020408163273</v>
      </c>
      <c r="AD3098" s="382">
        <v>0</v>
      </c>
      <c r="AE3098" s="381" t="s">
        <v>168</v>
      </c>
    </row>
    <row r="3099" spans="1:31" ht="15" customHeight="1" x14ac:dyDescent="0.25">
      <c r="A3099" s="20" t="s">
        <v>4226</v>
      </c>
      <c r="B3099" s="20" t="s">
        <v>4227</v>
      </c>
      <c r="C3099" s="20" t="s">
        <v>4530</v>
      </c>
      <c r="D3099" s="378" t="s">
        <v>4537</v>
      </c>
      <c r="E3099" s="384">
        <v>44637</v>
      </c>
      <c r="F3099" s="384">
        <v>46462</v>
      </c>
      <c r="G3099" s="378" t="s">
        <v>2837</v>
      </c>
      <c r="H3099" s="20" t="s">
        <v>4538</v>
      </c>
      <c r="I3099" s="378">
        <v>0</v>
      </c>
      <c r="J3099" s="20" t="s">
        <v>2831</v>
      </c>
      <c r="K3099" s="378" t="s">
        <v>4539</v>
      </c>
      <c r="L3099" s="378" t="s">
        <v>2774</v>
      </c>
      <c r="M3099" s="380" t="s">
        <v>443</v>
      </c>
      <c r="N3099" s="380">
        <v>22.1</v>
      </c>
      <c r="O3099" s="380" t="s">
        <v>443</v>
      </c>
      <c r="P3099" s="380" t="s">
        <v>443</v>
      </c>
      <c r="Q3099" s="381">
        <v>0.46153846153846145</v>
      </c>
      <c r="R3099" s="381">
        <v>0.45701357466063341</v>
      </c>
      <c r="S3099" s="381">
        <v>2.1447963800904973E-3</v>
      </c>
      <c r="T3099" s="381">
        <v>2.2805429864253393E-4</v>
      </c>
      <c r="U3099" s="381">
        <v>0</v>
      </c>
      <c r="V3099" s="382">
        <v>0.45938642533936647</v>
      </c>
      <c r="W3099" s="382">
        <v>0</v>
      </c>
      <c r="X3099" s="381">
        <v>0.46153846153846145</v>
      </c>
      <c r="Y3099" s="381">
        <v>0.45701357466063341</v>
      </c>
      <c r="Z3099" s="381">
        <v>2.1447963800904973E-3</v>
      </c>
      <c r="AA3099" s="381">
        <v>2.2805429864253393E-4</v>
      </c>
      <c r="AB3099" s="381">
        <v>0</v>
      </c>
      <c r="AC3099" s="382">
        <v>0.45938642533936647</v>
      </c>
      <c r="AD3099" s="382">
        <v>0</v>
      </c>
      <c r="AE3099" s="381" t="s">
        <v>168</v>
      </c>
    </row>
    <row r="3100" spans="1:31" ht="15" customHeight="1" x14ac:dyDescent="0.25">
      <c r="A3100" s="20" t="s">
        <v>4226</v>
      </c>
      <c r="B3100" s="20" t="s">
        <v>4227</v>
      </c>
      <c r="C3100" s="20" t="s">
        <v>4540</v>
      </c>
      <c r="D3100" s="378" t="s">
        <v>4541</v>
      </c>
      <c r="E3100" s="384" t="s">
        <v>4542</v>
      </c>
      <c r="F3100" s="384" t="s">
        <v>4543</v>
      </c>
      <c r="G3100" s="378" t="s">
        <v>2837</v>
      </c>
      <c r="H3100" s="20" t="s">
        <v>4544</v>
      </c>
      <c r="I3100" s="378" t="s">
        <v>441</v>
      </c>
      <c r="J3100" s="20" t="s">
        <v>4545</v>
      </c>
      <c r="K3100" s="378">
        <v>0</v>
      </c>
      <c r="L3100" s="378" t="s">
        <v>2774</v>
      </c>
      <c r="M3100" s="380" t="s">
        <v>443</v>
      </c>
      <c r="N3100" s="380">
        <v>20.7</v>
      </c>
      <c r="O3100" s="380" t="s">
        <v>443</v>
      </c>
      <c r="P3100" s="380" t="s">
        <v>443</v>
      </c>
      <c r="Q3100" s="381">
        <v>0.60386473429951693</v>
      </c>
      <c r="R3100" s="381">
        <v>0</v>
      </c>
      <c r="S3100" s="381">
        <v>0</v>
      </c>
      <c r="T3100" s="381">
        <v>0</v>
      </c>
      <c r="U3100" s="381">
        <v>0</v>
      </c>
      <c r="V3100" s="382">
        <v>0.60386473429951693</v>
      </c>
      <c r="W3100" s="382">
        <v>0</v>
      </c>
      <c r="X3100" s="381">
        <v>0.60386473429951693</v>
      </c>
      <c r="Y3100" s="381">
        <v>0</v>
      </c>
      <c r="Z3100" s="381">
        <v>0</v>
      </c>
      <c r="AA3100" s="381">
        <v>0</v>
      </c>
      <c r="AB3100" s="381">
        <v>0</v>
      </c>
      <c r="AC3100" s="382">
        <v>0.60386473429951693</v>
      </c>
      <c r="AD3100" s="382">
        <v>0</v>
      </c>
      <c r="AE3100" s="381" t="s">
        <v>444</v>
      </c>
    </row>
    <row r="3101" spans="1:31" ht="15" customHeight="1" x14ac:dyDescent="0.25">
      <c r="A3101" s="20" t="s">
        <v>4546</v>
      </c>
      <c r="B3101" s="20" t="s">
        <v>4546</v>
      </c>
      <c r="C3101" s="20" t="s">
        <v>4546</v>
      </c>
      <c r="D3101" s="378" t="s">
        <v>4547</v>
      </c>
      <c r="E3101" s="384">
        <v>45062</v>
      </c>
      <c r="F3101" s="384">
        <v>46889</v>
      </c>
      <c r="G3101" s="378" t="s">
        <v>439</v>
      </c>
      <c r="H3101" s="20" t="s">
        <v>4548</v>
      </c>
      <c r="I3101" s="20" t="s">
        <v>162</v>
      </c>
      <c r="J3101" s="20" t="s">
        <v>163</v>
      </c>
      <c r="K3101" s="386" t="s">
        <v>4549</v>
      </c>
      <c r="L3101" s="378" t="s">
        <v>2789</v>
      </c>
      <c r="M3101" s="380">
        <v>840</v>
      </c>
      <c r="N3101" s="380">
        <v>8.4</v>
      </c>
      <c r="O3101" s="380"/>
      <c r="P3101" s="380"/>
      <c r="Q3101" s="381">
        <v>1.8</v>
      </c>
      <c r="R3101" s="381">
        <v>2.69</v>
      </c>
      <c r="S3101" s="381">
        <v>-0.82899999999999996</v>
      </c>
      <c r="T3101" s="381">
        <v>3.0500000000000002E-3</v>
      </c>
      <c r="U3101" s="381">
        <v>0.86899999999999988</v>
      </c>
      <c r="V3101" s="382">
        <v>2.73305</v>
      </c>
      <c r="W3101" s="382">
        <v>0.86899999999999988</v>
      </c>
      <c r="X3101" s="381">
        <v>0.21428571428571427</v>
      </c>
      <c r="Y3101" s="381">
        <v>0.32023809523809521</v>
      </c>
      <c r="Z3101" s="381">
        <v>-9.8690476190476176E-2</v>
      </c>
      <c r="AA3101" s="381">
        <v>3.630952380952381E-4</v>
      </c>
      <c r="AB3101" s="381">
        <v>0.10345238095238093</v>
      </c>
      <c r="AC3101" s="382">
        <v>0.32536309523809526</v>
      </c>
      <c r="AD3101" s="382">
        <v>0.10345238095238093</v>
      </c>
      <c r="AE3101" s="381" t="s">
        <v>168</v>
      </c>
    </row>
    <row r="3102" spans="1:31" ht="15" customHeight="1" x14ac:dyDescent="0.25">
      <c r="A3102" s="20" t="s">
        <v>4546</v>
      </c>
      <c r="B3102" s="20" t="s">
        <v>4546</v>
      </c>
      <c r="C3102" s="20" t="s">
        <v>4546</v>
      </c>
      <c r="D3102" s="378" t="s">
        <v>4550</v>
      </c>
      <c r="E3102" s="384">
        <v>45062</v>
      </c>
      <c r="F3102" s="384">
        <v>46889</v>
      </c>
      <c r="G3102" s="378" t="s">
        <v>439</v>
      </c>
      <c r="H3102" s="20" t="s">
        <v>4548</v>
      </c>
      <c r="I3102" s="20" t="s">
        <v>162</v>
      </c>
      <c r="J3102" s="20" t="s">
        <v>163</v>
      </c>
      <c r="K3102" s="386" t="s">
        <v>4549</v>
      </c>
      <c r="L3102" s="378" t="s">
        <v>2789</v>
      </c>
      <c r="M3102" s="380">
        <v>953.84615384615392</v>
      </c>
      <c r="N3102" s="380">
        <v>12.4</v>
      </c>
      <c r="O3102" s="380"/>
      <c r="P3102" s="380"/>
      <c r="Q3102" s="381">
        <v>3.22</v>
      </c>
      <c r="R3102" s="381">
        <v>4.1399999999999997</v>
      </c>
      <c r="S3102" s="381">
        <v>-0.92300000000000004</v>
      </c>
      <c r="T3102" s="381">
        <v>3.0200000000000001E-3</v>
      </c>
      <c r="U3102" s="381">
        <v>0.89100000000000001</v>
      </c>
      <c r="V3102" s="382">
        <v>4.1430199999999999</v>
      </c>
      <c r="W3102" s="382">
        <v>0.89100000000000001</v>
      </c>
      <c r="X3102" s="381">
        <v>0.25967741935483873</v>
      </c>
      <c r="Y3102" s="381">
        <v>0.33387096774193548</v>
      </c>
      <c r="Z3102" s="381">
        <v>-7.4435483870967739E-2</v>
      </c>
      <c r="AA3102" s="381">
        <v>2.4354838709677418E-4</v>
      </c>
      <c r="AB3102" s="381">
        <v>7.1854838709677418E-2</v>
      </c>
      <c r="AC3102" s="382">
        <v>0.3341145161290322</v>
      </c>
      <c r="AD3102" s="382">
        <v>7.1854838709677418E-2</v>
      </c>
      <c r="AE3102" s="381" t="s">
        <v>168</v>
      </c>
    </row>
    <row r="3103" spans="1:31" ht="15" customHeight="1" x14ac:dyDescent="0.25">
      <c r="A3103" s="20" t="s">
        <v>4546</v>
      </c>
      <c r="B3103" s="20" t="s">
        <v>4546</v>
      </c>
      <c r="C3103" s="20" t="s">
        <v>4546</v>
      </c>
      <c r="D3103" s="378" t="s">
        <v>4551</v>
      </c>
      <c r="E3103" s="384">
        <v>45062</v>
      </c>
      <c r="F3103" s="384">
        <v>46889</v>
      </c>
      <c r="G3103" s="378" t="s">
        <v>439</v>
      </c>
      <c r="H3103" s="20" t="s">
        <v>4548</v>
      </c>
      <c r="I3103" s="20" t="s">
        <v>162</v>
      </c>
      <c r="J3103" s="20" t="s">
        <v>163</v>
      </c>
      <c r="K3103" s="386" t="s">
        <v>4549</v>
      </c>
      <c r="L3103" s="378" t="s">
        <v>2789</v>
      </c>
      <c r="M3103" s="380">
        <v>823.07692307692309</v>
      </c>
      <c r="N3103" s="380">
        <v>10.7</v>
      </c>
      <c r="O3103" s="380"/>
      <c r="P3103" s="380"/>
      <c r="Q3103" s="381">
        <v>2.61</v>
      </c>
      <c r="R3103" s="381">
        <v>3.35</v>
      </c>
      <c r="S3103" s="381">
        <v>-0.74399999999999999</v>
      </c>
      <c r="T3103" s="381">
        <v>3.6800000000000001E-3</v>
      </c>
      <c r="U3103" s="381">
        <v>0.69666666666666666</v>
      </c>
      <c r="V3103" s="382">
        <v>3.3536799999999998</v>
      </c>
      <c r="W3103" s="382">
        <v>0.69666666666666666</v>
      </c>
      <c r="X3103" s="381">
        <v>0.24392523364485982</v>
      </c>
      <c r="Y3103" s="381">
        <v>0.31308411214953275</v>
      </c>
      <c r="Z3103" s="381">
        <v>-6.9532710280373833E-2</v>
      </c>
      <c r="AA3103" s="381">
        <v>3.4392523364485983E-4</v>
      </c>
      <c r="AB3103" s="381">
        <v>6.5109034267912771E-2</v>
      </c>
      <c r="AC3103" s="382">
        <v>0.31342803738317759</v>
      </c>
      <c r="AD3103" s="382">
        <v>6.5109034267912771E-2</v>
      </c>
      <c r="AE3103" s="381" t="s">
        <v>168</v>
      </c>
    </row>
    <row r="3104" spans="1:31" ht="15" customHeight="1" x14ac:dyDescent="0.25">
      <c r="A3104" s="20" t="s">
        <v>4546</v>
      </c>
      <c r="B3104" s="20" t="s">
        <v>4546</v>
      </c>
      <c r="C3104" s="20" t="s">
        <v>4546</v>
      </c>
      <c r="D3104" s="378" t="s">
        <v>4552</v>
      </c>
      <c r="E3104" s="384">
        <v>45062</v>
      </c>
      <c r="F3104" s="384">
        <v>46889</v>
      </c>
      <c r="G3104" s="378" t="s">
        <v>439</v>
      </c>
      <c r="H3104" s="20" t="s">
        <v>4548</v>
      </c>
      <c r="I3104" s="20" t="s">
        <v>162</v>
      </c>
      <c r="J3104" s="20" t="s">
        <v>163</v>
      </c>
      <c r="K3104" s="386" t="s">
        <v>4549</v>
      </c>
      <c r="L3104" s="378" t="s">
        <v>2789</v>
      </c>
      <c r="M3104" s="380">
        <v>946.1538461538463</v>
      </c>
      <c r="N3104" s="380">
        <v>12.3</v>
      </c>
      <c r="O3104" s="380"/>
      <c r="P3104" s="380"/>
      <c r="Q3104" s="381">
        <v>2.95</v>
      </c>
      <c r="R3104" s="381">
        <v>3.75</v>
      </c>
      <c r="S3104" s="381">
        <v>-0.79300000000000004</v>
      </c>
      <c r="T3104" s="381">
        <v>3.3600000000000001E-3</v>
      </c>
      <c r="U3104" s="381">
        <v>0.7406666666666667</v>
      </c>
      <c r="V3104" s="382">
        <v>3.7533599999999998</v>
      </c>
      <c r="W3104" s="382">
        <v>0.7406666666666667</v>
      </c>
      <c r="X3104" s="381">
        <v>0.23983739837398374</v>
      </c>
      <c r="Y3104" s="381">
        <v>0.3048780487804878</v>
      </c>
      <c r="Z3104" s="381">
        <v>-6.4471544715447152E-2</v>
      </c>
      <c r="AA3104" s="381">
        <v>2.7317073170731707E-4</v>
      </c>
      <c r="AB3104" s="381">
        <v>6.021680216802168E-2</v>
      </c>
      <c r="AC3104" s="382">
        <v>0.30515121951219515</v>
      </c>
      <c r="AD3104" s="382">
        <v>6.021680216802168E-2</v>
      </c>
      <c r="AE3104" s="381" t="s">
        <v>168</v>
      </c>
    </row>
    <row r="3105" spans="1:31" ht="15" customHeight="1" x14ac:dyDescent="0.25">
      <c r="A3105" s="20" t="s">
        <v>4546</v>
      </c>
      <c r="B3105" s="20" t="s">
        <v>4546</v>
      </c>
      <c r="C3105" s="20" t="s">
        <v>4546</v>
      </c>
      <c r="D3105" s="378" t="s">
        <v>4553</v>
      </c>
      <c r="E3105" s="384">
        <v>45062</v>
      </c>
      <c r="F3105" s="384">
        <v>46889</v>
      </c>
      <c r="G3105" s="378" t="s">
        <v>439</v>
      </c>
      <c r="H3105" s="20" t="s">
        <v>4548</v>
      </c>
      <c r="I3105" s="20" t="s">
        <v>162</v>
      </c>
      <c r="J3105" s="20" t="s">
        <v>163</v>
      </c>
      <c r="K3105" s="386" t="s">
        <v>4549</v>
      </c>
      <c r="L3105" s="378" t="s">
        <v>2789</v>
      </c>
      <c r="M3105" s="380">
        <v>923.07692307692309</v>
      </c>
      <c r="N3105" s="380">
        <v>12</v>
      </c>
      <c r="O3105" s="380"/>
      <c r="P3105" s="380"/>
      <c r="Q3105" s="381">
        <v>2.88</v>
      </c>
      <c r="R3105" s="381">
        <v>3.62</v>
      </c>
      <c r="S3105" s="381">
        <v>-0.73599999999999999</v>
      </c>
      <c r="T3105" s="381">
        <v>3.3899999999999998E-3</v>
      </c>
      <c r="U3105" s="381">
        <v>0.68199999999999994</v>
      </c>
      <c r="V3105" s="382">
        <v>3.6233900000000006</v>
      </c>
      <c r="W3105" s="382">
        <v>0.68199999999999994</v>
      </c>
      <c r="X3105" s="381">
        <v>0.24</v>
      </c>
      <c r="Y3105" s="381">
        <v>0.30166666666666669</v>
      </c>
      <c r="Z3105" s="381">
        <v>-6.133333333333333E-2</v>
      </c>
      <c r="AA3105" s="381">
        <v>2.8249999999999998E-4</v>
      </c>
      <c r="AB3105" s="381">
        <v>5.6833333333333326E-2</v>
      </c>
      <c r="AC3105" s="382">
        <v>0.30194916666666671</v>
      </c>
      <c r="AD3105" s="382">
        <v>5.6833333333333326E-2</v>
      </c>
      <c r="AE3105" s="381" t="s">
        <v>168</v>
      </c>
    </row>
    <row r="3106" spans="1:31" ht="15" customHeight="1" x14ac:dyDescent="0.25">
      <c r="A3106" s="20" t="s">
        <v>4546</v>
      </c>
      <c r="B3106" s="20" t="s">
        <v>4546</v>
      </c>
      <c r="C3106" s="20" t="s">
        <v>4546</v>
      </c>
      <c r="D3106" s="378" t="s">
        <v>4554</v>
      </c>
      <c r="E3106" s="384">
        <v>45062</v>
      </c>
      <c r="F3106" s="384">
        <v>46889</v>
      </c>
      <c r="G3106" s="378" t="s">
        <v>439</v>
      </c>
      <c r="H3106" s="20" t="s">
        <v>4548</v>
      </c>
      <c r="I3106" s="20" t="s">
        <v>162</v>
      </c>
      <c r="J3106" s="20" t="s">
        <v>163</v>
      </c>
      <c r="K3106" s="386" t="s">
        <v>4549</v>
      </c>
      <c r="L3106" s="378" t="s">
        <v>2789</v>
      </c>
      <c r="M3106" s="380">
        <v>818.75</v>
      </c>
      <c r="N3106" s="380">
        <v>13.1</v>
      </c>
      <c r="O3106" s="380"/>
      <c r="P3106" s="380"/>
      <c r="Q3106" s="381">
        <v>3.29</v>
      </c>
      <c r="R3106" s="381">
        <v>4.05</v>
      </c>
      <c r="S3106" s="381">
        <v>-0.76</v>
      </c>
      <c r="T3106" s="381">
        <v>4.2500000000000003E-3</v>
      </c>
      <c r="U3106" s="381">
        <v>0.70033333333333336</v>
      </c>
      <c r="V3106" s="382">
        <v>4.0542499999999997</v>
      </c>
      <c r="W3106" s="382">
        <v>0.70033333333333336</v>
      </c>
      <c r="X3106" s="381">
        <v>0.25114503816793893</v>
      </c>
      <c r="Y3106" s="381">
        <v>0.30916030534351147</v>
      </c>
      <c r="Z3106" s="381">
        <v>-5.8015267175572524E-2</v>
      </c>
      <c r="AA3106" s="381">
        <v>3.2442748091603059E-4</v>
      </c>
      <c r="AB3106" s="381">
        <v>5.3460559796437664E-2</v>
      </c>
      <c r="AC3106" s="382">
        <v>0.30948473282442751</v>
      </c>
      <c r="AD3106" s="382">
        <v>5.3460559796437664E-2</v>
      </c>
      <c r="AE3106" s="381" t="s">
        <v>168</v>
      </c>
    </row>
    <row r="3107" spans="1:31" ht="15" customHeight="1" x14ac:dyDescent="0.25">
      <c r="A3107" s="20" t="s">
        <v>4546</v>
      </c>
      <c r="B3107" s="20" t="s">
        <v>4546</v>
      </c>
      <c r="C3107" s="20" t="s">
        <v>4546</v>
      </c>
      <c r="D3107" s="378" t="s">
        <v>4555</v>
      </c>
      <c r="E3107" s="384">
        <v>45106</v>
      </c>
      <c r="F3107" s="384">
        <v>46933</v>
      </c>
      <c r="G3107" s="378" t="s">
        <v>4179</v>
      </c>
      <c r="H3107" s="20" t="s">
        <v>4556</v>
      </c>
      <c r="I3107" s="378">
        <v>0</v>
      </c>
      <c r="J3107" s="20" t="s">
        <v>2831</v>
      </c>
      <c r="K3107" s="378" t="s">
        <v>4557</v>
      </c>
      <c r="L3107" s="378" t="s">
        <v>2789</v>
      </c>
      <c r="M3107" s="380" t="s">
        <v>443</v>
      </c>
      <c r="N3107" s="380">
        <v>8</v>
      </c>
      <c r="O3107" s="380" t="s">
        <v>443</v>
      </c>
      <c r="P3107" s="380" t="s">
        <v>443</v>
      </c>
      <c r="Q3107" s="381">
        <v>1.32</v>
      </c>
      <c r="R3107" s="381">
        <v>1.49</v>
      </c>
      <c r="S3107" s="381">
        <v>-0.184</v>
      </c>
      <c r="T3107" s="381">
        <v>0</v>
      </c>
      <c r="U3107" s="381">
        <v>0</v>
      </c>
      <c r="V3107" s="382">
        <v>1.49</v>
      </c>
      <c r="W3107" s="382">
        <v>0</v>
      </c>
      <c r="X3107" s="381">
        <v>0.16500000000000001</v>
      </c>
      <c r="Y3107" s="381">
        <v>0.18625</v>
      </c>
      <c r="Z3107" s="381">
        <v>-2.3E-2</v>
      </c>
      <c r="AA3107" s="381">
        <v>0</v>
      </c>
      <c r="AB3107" s="381">
        <v>0</v>
      </c>
      <c r="AC3107" s="382">
        <v>0.18625</v>
      </c>
      <c r="AD3107" s="382">
        <v>0</v>
      </c>
      <c r="AE3107" s="381" t="s">
        <v>168</v>
      </c>
    </row>
    <row r="3108" spans="1:31" ht="15" customHeight="1" x14ac:dyDescent="0.25">
      <c r="A3108" s="20" t="s">
        <v>4546</v>
      </c>
      <c r="B3108" s="20" t="s">
        <v>4546</v>
      </c>
      <c r="C3108" s="20" t="s">
        <v>4546</v>
      </c>
      <c r="D3108" s="378" t="s">
        <v>4558</v>
      </c>
      <c r="E3108" s="384">
        <v>45106</v>
      </c>
      <c r="F3108" s="384">
        <v>46933</v>
      </c>
      <c r="G3108" s="378" t="s">
        <v>4179</v>
      </c>
      <c r="H3108" s="20" t="s">
        <v>4559</v>
      </c>
      <c r="I3108" s="378">
        <v>0</v>
      </c>
      <c r="J3108" s="20" t="s">
        <v>2831</v>
      </c>
      <c r="K3108" s="378" t="s">
        <v>4560</v>
      </c>
      <c r="L3108" s="378" t="s">
        <v>2789</v>
      </c>
      <c r="M3108" s="380" t="s">
        <v>443</v>
      </c>
      <c r="N3108" s="380">
        <v>17</v>
      </c>
      <c r="O3108" s="380" t="s">
        <v>443</v>
      </c>
      <c r="P3108" s="380" t="s">
        <v>443</v>
      </c>
      <c r="Q3108" s="381">
        <v>2.7</v>
      </c>
      <c r="R3108" s="381">
        <v>3.02</v>
      </c>
      <c r="S3108" s="381">
        <v>-0.33800000000000002</v>
      </c>
      <c r="T3108" s="381">
        <v>0</v>
      </c>
      <c r="U3108" s="381">
        <v>0</v>
      </c>
      <c r="V3108" s="382">
        <v>3.02</v>
      </c>
      <c r="W3108" s="382">
        <v>0</v>
      </c>
      <c r="X3108" s="381">
        <v>0.15882352941176472</v>
      </c>
      <c r="Y3108" s="381">
        <v>0.17764705882352941</v>
      </c>
      <c r="Z3108" s="381">
        <v>-1.9882352941176473E-2</v>
      </c>
      <c r="AA3108" s="381">
        <v>0</v>
      </c>
      <c r="AB3108" s="381">
        <v>0</v>
      </c>
      <c r="AC3108" s="382">
        <v>0.17764705882352941</v>
      </c>
      <c r="AD3108" s="382">
        <v>0</v>
      </c>
      <c r="AE3108" s="381" t="s">
        <v>168</v>
      </c>
    </row>
    <row r="3109" spans="1:31" ht="15" customHeight="1" x14ac:dyDescent="0.25">
      <c r="A3109" s="20" t="s">
        <v>4546</v>
      </c>
      <c r="B3109" s="20" t="s">
        <v>4546</v>
      </c>
      <c r="C3109" s="20" t="s">
        <v>4546</v>
      </c>
      <c r="D3109" s="378" t="s">
        <v>4561</v>
      </c>
      <c r="E3109" s="384">
        <v>45106</v>
      </c>
      <c r="F3109" s="384">
        <v>46933</v>
      </c>
      <c r="G3109" s="378" t="s">
        <v>4179</v>
      </c>
      <c r="H3109" s="20" t="s">
        <v>4562</v>
      </c>
      <c r="I3109" s="378">
        <v>0</v>
      </c>
      <c r="J3109" s="20" t="s">
        <v>2831</v>
      </c>
      <c r="K3109" s="378" t="s">
        <v>4563</v>
      </c>
      <c r="L3109" s="378" t="s">
        <v>2789</v>
      </c>
      <c r="M3109" s="380" t="s">
        <v>443</v>
      </c>
      <c r="N3109" s="380">
        <v>12.5</v>
      </c>
      <c r="O3109" s="380" t="s">
        <v>443</v>
      </c>
      <c r="P3109" s="380" t="s">
        <v>443</v>
      </c>
      <c r="Q3109" s="381">
        <v>1.96</v>
      </c>
      <c r="R3109" s="381">
        <v>2.19</v>
      </c>
      <c r="S3109" s="381">
        <v>-0.25</v>
      </c>
      <c r="T3109" s="381">
        <v>0</v>
      </c>
      <c r="U3109" s="381">
        <v>0</v>
      </c>
      <c r="V3109" s="382">
        <v>2.19</v>
      </c>
      <c r="W3109" s="382">
        <v>0</v>
      </c>
      <c r="X3109" s="381">
        <v>0.15679999999999999</v>
      </c>
      <c r="Y3109" s="381">
        <v>0.17519999999999999</v>
      </c>
      <c r="Z3109" s="381">
        <v>-0.02</v>
      </c>
      <c r="AA3109" s="381">
        <v>0</v>
      </c>
      <c r="AB3109" s="381">
        <v>0</v>
      </c>
      <c r="AC3109" s="382">
        <v>0.17519999999999999</v>
      </c>
      <c r="AD3109" s="382">
        <v>0</v>
      </c>
      <c r="AE3109" s="381" t="s">
        <v>168</v>
      </c>
    </row>
    <row r="3110" spans="1:31" ht="15" customHeight="1" x14ac:dyDescent="0.25">
      <c r="A3110" s="20" t="s">
        <v>4546</v>
      </c>
      <c r="B3110" s="20" t="s">
        <v>4546</v>
      </c>
      <c r="C3110" s="20" t="s">
        <v>4546</v>
      </c>
      <c r="D3110" s="378" t="s">
        <v>4564</v>
      </c>
      <c r="E3110" s="384">
        <v>45106</v>
      </c>
      <c r="F3110" s="384">
        <v>46933</v>
      </c>
      <c r="G3110" s="378" t="s">
        <v>4179</v>
      </c>
      <c r="H3110" s="20" t="s">
        <v>4565</v>
      </c>
      <c r="I3110" s="378">
        <v>0</v>
      </c>
      <c r="J3110" s="20" t="s">
        <v>2831</v>
      </c>
      <c r="K3110" s="378" t="s">
        <v>4566</v>
      </c>
      <c r="L3110" s="378" t="s">
        <v>2789</v>
      </c>
      <c r="M3110" s="380" t="s">
        <v>443</v>
      </c>
      <c r="N3110" s="380">
        <v>12</v>
      </c>
      <c r="O3110" s="380" t="s">
        <v>443</v>
      </c>
      <c r="P3110" s="380" t="s">
        <v>443</v>
      </c>
      <c r="Q3110" s="381">
        <v>2.0099999999999998</v>
      </c>
      <c r="R3110" s="381">
        <v>2.2400000000000002</v>
      </c>
      <c r="S3110" s="381">
        <v>-0.24</v>
      </c>
      <c r="T3110" s="381">
        <v>0</v>
      </c>
      <c r="U3110" s="381">
        <v>0</v>
      </c>
      <c r="V3110" s="382">
        <v>2.2400000000000002</v>
      </c>
      <c r="W3110" s="382">
        <v>0</v>
      </c>
      <c r="X3110" s="381">
        <v>0.16749999999999998</v>
      </c>
      <c r="Y3110" s="381">
        <v>0.18666666666666668</v>
      </c>
      <c r="Z3110" s="381">
        <v>-0.02</v>
      </c>
      <c r="AA3110" s="381">
        <v>0</v>
      </c>
      <c r="AB3110" s="381">
        <v>0</v>
      </c>
      <c r="AC3110" s="382">
        <v>0.18666666666666668</v>
      </c>
      <c r="AD3110" s="382">
        <v>0</v>
      </c>
      <c r="AE3110" s="381" t="s">
        <v>168</v>
      </c>
    </row>
    <row r="3111" spans="1:31" ht="15" customHeight="1" x14ac:dyDescent="0.25">
      <c r="A3111" s="20" t="s">
        <v>4546</v>
      </c>
      <c r="B3111" s="20" t="s">
        <v>4546</v>
      </c>
      <c r="C3111" s="20" t="s">
        <v>4546</v>
      </c>
      <c r="D3111" s="378" t="s">
        <v>4567</v>
      </c>
      <c r="E3111" s="384">
        <v>45106</v>
      </c>
      <c r="F3111" s="384">
        <v>46933</v>
      </c>
      <c r="G3111" s="378" t="s">
        <v>4179</v>
      </c>
      <c r="H3111" s="20" t="s">
        <v>4568</v>
      </c>
      <c r="I3111" s="378">
        <v>0</v>
      </c>
      <c r="J3111" s="20" t="s">
        <v>2831</v>
      </c>
      <c r="K3111" s="378" t="s">
        <v>4569</v>
      </c>
      <c r="L3111" s="378" t="s">
        <v>2789</v>
      </c>
      <c r="M3111" s="380" t="s">
        <v>443</v>
      </c>
      <c r="N3111" s="380">
        <v>9.5</v>
      </c>
      <c r="O3111" s="380" t="s">
        <v>443</v>
      </c>
      <c r="P3111" s="380" t="s">
        <v>443</v>
      </c>
      <c r="Q3111" s="381">
        <v>1.51</v>
      </c>
      <c r="R3111" s="381">
        <v>1.68</v>
      </c>
      <c r="S3111" s="381">
        <v>-0.187</v>
      </c>
      <c r="T3111" s="381">
        <v>0</v>
      </c>
      <c r="U3111" s="381">
        <v>0</v>
      </c>
      <c r="V3111" s="382">
        <v>1.68</v>
      </c>
      <c r="W3111" s="382">
        <v>0</v>
      </c>
      <c r="X3111" s="381">
        <v>0.15894736842105264</v>
      </c>
      <c r="Y3111" s="381">
        <v>0.17684210526315788</v>
      </c>
      <c r="Z3111" s="381">
        <v>-1.968421052631579E-2</v>
      </c>
      <c r="AA3111" s="381">
        <v>0</v>
      </c>
      <c r="AB3111" s="381">
        <v>0</v>
      </c>
      <c r="AC3111" s="382">
        <v>0.17684210526315791</v>
      </c>
      <c r="AD3111" s="382">
        <v>0</v>
      </c>
      <c r="AE3111" s="381" t="s">
        <v>168</v>
      </c>
    </row>
    <row r="3112" spans="1:31" ht="15" customHeight="1" x14ac:dyDescent="0.25">
      <c r="A3112" s="20" t="s">
        <v>4546</v>
      </c>
      <c r="B3112" s="20" t="s">
        <v>4546</v>
      </c>
      <c r="C3112" s="20" t="s">
        <v>4546</v>
      </c>
      <c r="D3112" s="378" t="s">
        <v>4570</v>
      </c>
      <c r="E3112" s="384">
        <v>45106</v>
      </c>
      <c r="F3112" s="384">
        <v>46933</v>
      </c>
      <c r="G3112" s="378" t="s">
        <v>4179</v>
      </c>
      <c r="H3112" s="20" t="s">
        <v>4571</v>
      </c>
      <c r="I3112" s="378">
        <v>0</v>
      </c>
      <c r="J3112" s="20" t="s">
        <v>2831</v>
      </c>
      <c r="K3112" s="378" t="s">
        <v>4569</v>
      </c>
      <c r="L3112" s="378" t="s">
        <v>2789</v>
      </c>
      <c r="M3112" s="380" t="s">
        <v>443</v>
      </c>
      <c r="N3112" s="380">
        <v>9.1999999999999993</v>
      </c>
      <c r="O3112" s="380" t="s">
        <v>443</v>
      </c>
      <c r="P3112" s="380" t="s">
        <v>443</v>
      </c>
      <c r="Q3112" s="381">
        <v>1.51</v>
      </c>
      <c r="R3112" s="381">
        <v>1.68</v>
      </c>
      <c r="S3112" s="381">
        <v>-0.187</v>
      </c>
      <c r="T3112" s="381">
        <v>0</v>
      </c>
      <c r="U3112" s="381">
        <v>0</v>
      </c>
      <c r="V3112" s="382">
        <v>1.68</v>
      </c>
      <c r="W3112" s="382">
        <v>0</v>
      </c>
      <c r="X3112" s="381">
        <v>0.16413043478260872</v>
      </c>
      <c r="Y3112" s="381">
        <v>0.18260869565217391</v>
      </c>
      <c r="Z3112" s="381">
        <v>-2.032608695652174E-2</v>
      </c>
      <c r="AA3112" s="381">
        <v>0</v>
      </c>
      <c r="AB3112" s="381">
        <v>0</v>
      </c>
      <c r="AC3112" s="382">
        <v>0.18260869565217391</v>
      </c>
      <c r="AD3112" s="382">
        <v>0</v>
      </c>
      <c r="AE3112" s="381" t="s">
        <v>168</v>
      </c>
    </row>
    <row r="3113" spans="1:31" ht="15" customHeight="1" x14ac:dyDescent="0.25">
      <c r="A3113" s="20" t="s">
        <v>4546</v>
      </c>
      <c r="B3113" s="20" t="s">
        <v>4546</v>
      </c>
      <c r="C3113" s="20" t="s">
        <v>4546</v>
      </c>
      <c r="D3113" s="378" t="s">
        <v>4572</v>
      </c>
      <c r="E3113" s="384">
        <v>45062</v>
      </c>
      <c r="F3113" s="384">
        <v>46889</v>
      </c>
      <c r="G3113" s="378" t="s">
        <v>439</v>
      </c>
      <c r="H3113" s="20" t="s">
        <v>4548</v>
      </c>
      <c r="I3113" s="20" t="s">
        <v>162</v>
      </c>
      <c r="J3113" s="20" t="s">
        <v>163</v>
      </c>
      <c r="K3113" s="386" t="s">
        <v>4549</v>
      </c>
      <c r="L3113" s="378" t="s">
        <v>2789</v>
      </c>
      <c r="M3113" s="380">
        <v>738.46153846153845</v>
      </c>
      <c r="N3113" s="380">
        <v>4.8</v>
      </c>
      <c r="O3113" s="380"/>
      <c r="P3113" s="380"/>
      <c r="Q3113" s="381">
        <v>0.85899999999999999</v>
      </c>
      <c r="R3113" s="381">
        <v>1.89</v>
      </c>
      <c r="S3113" s="381">
        <v>-1.03</v>
      </c>
      <c r="T3113" s="381">
        <v>0</v>
      </c>
      <c r="U3113" s="381">
        <v>0.97900000000000009</v>
      </c>
      <c r="V3113" s="382">
        <v>1.89</v>
      </c>
      <c r="W3113" s="382">
        <v>0.97900000000000009</v>
      </c>
      <c r="X3113" s="381">
        <v>0.17895833333333333</v>
      </c>
      <c r="Y3113" s="381">
        <v>0.39374999999999999</v>
      </c>
      <c r="Z3113" s="381">
        <v>-0.21458333333333335</v>
      </c>
      <c r="AA3113" s="381">
        <v>0</v>
      </c>
      <c r="AB3113" s="381">
        <v>0.20395833333333335</v>
      </c>
      <c r="AC3113" s="382">
        <v>0.39374999999999999</v>
      </c>
      <c r="AD3113" s="382">
        <v>0.20395833333333335</v>
      </c>
      <c r="AE3113" s="381" t="s">
        <v>168</v>
      </c>
    </row>
    <row r="3114" spans="1:31" ht="15" customHeight="1" x14ac:dyDescent="0.25">
      <c r="A3114" s="20" t="s">
        <v>4546</v>
      </c>
      <c r="B3114" s="20" t="s">
        <v>4546</v>
      </c>
      <c r="C3114" s="20" t="s">
        <v>4546</v>
      </c>
      <c r="D3114" s="378" t="s">
        <v>4573</v>
      </c>
      <c r="E3114" s="384">
        <v>45062</v>
      </c>
      <c r="F3114" s="384">
        <v>46889</v>
      </c>
      <c r="G3114" s="378" t="s">
        <v>439</v>
      </c>
      <c r="H3114" s="20" t="s">
        <v>4548</v>
      </c>
      <c r="I3114" s="20" t="s">
        <v>162</v>
      </c>
      <c r="J3114" s="20" t="s">
        <v>163</v>
      </c>
      <c r="K3114" s="386" t="s">
        <v>4549</v>
      </c>
      <c r="L3114" s="378" t="s">
        <v>2789</v>
      </c>
      <c r="M3114" s="380">
        <v>832</v>
      </c>
      <c r="N3114" s="380">
        <v>20.8</v>
      </c>
      <c r="O3114" s="380"/>
      <c r="P3114" s="380"/>
      <c r="Q3114" s="381">
        <v>5.58</v>
      </c>
      <c r="R3114" s="381">
        <v>6.79</v>
      </c>
      <c r="S3114" s="381">
        <v>-1.21</v>
      </c>
      <c r="T3114" s="381">
        <v>0</v>
      </c>
      <c r="U3114" s="381">
        <v>1.0669999999999999</v>
      </c>
      <c r="V3114" s="382">
        <v>6.79</v>
      </c>
      <c r="W3114" s="382">
        <v>1.0669999999999999</v>
      </c>
      <c r="X3114" s="381">
        <v>0.26826923076923076</v>
      </c>
      <c r="Y3114" s="381">
        <v>0.3264423076923077</v>
      </c>
      <c r="Z3114" s="381">
        <v>-5.8173076923076918E-2</v>
      </c>
      <c r="AA3114" s="381">
        <v>0</v>
      </c>
      <c r="AB3114" s="381">
        <v>5.1298076923076918E-2</v>
      </c>
      <c r="AC3114" s="382">
        <v>0.3264423076923077</v>
      </c>
      <c r="AD3114" s="382">
        <v>5.1298076923076918E-2</v>
      </c>
      <c r="AE3114" s="381" t="s">
        <v>168</v>
      </c>
    </row>
    <row r="3115" spans="1:31" ht="15" customHeight="1" x14ac:dyDescent="0.25">
      <c r="A3115" s="20" t="s">
        <v>4546</v>
      </c>
      <c r="B3115" s="20" t="s">
        <v>4546</v>
      </c>
      <c r="C3115" s="20" t="s">
        <v>4546</v>
      </c>
      <c r="D3115" s="378" t="s">
        <v>4574</v>
      </c>
      <c r="E3115" s="384">
        <v>45062</v>
      </c>
      <c r="F3115" s="384">
        <v>46889</v>
      </c>
      <c r="G3115" s="378" t="s">
        <v>439</v>
      </c>
      <c r="H3115" s="20" t="s">
        <v>4548</v>
      </c>
      <c r="I3115" s="20" t="s">
        <v>162</v>
      </c>
      <c r="J3115" s="20" t="s">
        <v>163</v>
      </c>
      <c r="K3115" s="386" t="s">
        <v>4549</v>
      </c>
      <c r="L3115" s="378" t="s">
        <v>2789</v>
      </c>
      <c r="M3115" s="380">
        <v>760</v>
      </c>
      <c r="N3115" s="380">
        <v>7.6</v>
      </c>
      <c r="O3115" s="380"/>
      <c r="P3115" s="380"/>
      <c r="Q3115" s="381">
        <v>2.11</v>
      </c>
      <c r="R3115" s="381">
        <v>2.82</v>
      </c>
      <c r="S3115" s="381">
        <v>-0.70599999999999996</v>
      </c>
      <c r="T3115" s="381"/>
      <c r="U3115" s="381">
        <v>0.66733333333333322</v>
      </c>
      <c r="V3115" s="382">
        <v>2.82</v>
      </c>
      <c r="W3115" s="382">
        <v>0.66733333333333322</v>
      </c>
      <c r="X3115" s="381">
        <v>0.2776315789473684</v>
      </c>
      <c r="Y3115" s="381">
        <v>0.37105263157894736</v>
      </c>
      <c r="Z3115" s="381">
        <v>-9.2894736842105266E-2</v>
      </c>
      <c r="AA3115" s="381">
        <v>0</v>
      </c>
      <c r="AB3115" s="381">
        <v>8.7807017543859639E-2</v>
      </c>
      <c r="AC3115" s="382">
        <v>0.37105263157894736</v>
      </c>
      <c r="AD3115" s="382">
        <v>8.7807017543859639E-2</v>
      </c>
      <c r="AE3115" s="381" t="s">
        <v>168</v>
      </c>
    </row>
    <row r="3116" spans="1:31" ht="15" customHeight="1" x14ac:dyDescent="0.25">
      <c r="A3116" s="20" t="s">
        <v>4546</v>
      </c>
      <c r="B3116" s="20" t="s">
        <v>4546</v>
      </c>
      <c r="C3116" s="20" t="s">
        <v>4546</v>
      </c>
      <c r="D3116" s="378" t="s">
        <v>4575</v>
      </c>
      <c r="E3116" s="384">
        <v>45062</v>
      </c>
      <c r="F3116" s="384">
        <v>46889</v>
      </c>
      <c r="G3116" s="378" t="s">
        <v>439</v>
      </c>
      <c r="H3116" s="20" t="s">
        <v>4548</v>
      </c>
      <c r="I3116" s="20" t="s">
        <v>162</v>
      </c>
      <c r="J3116" s="20" t="s">
        <v>163</v>
      </c>
      <c r="K3116" s="386" t="s">
        <v>4549</v>
      </c>
      <c r="L3116" s="378" t="s">
        <v>2789</v>
      </c>
      <c r="M3116" s="380">
        <v>730.76923076923083</v>
      </c>
      <c r="N3116" s="380">
        <v>9.5</v>
      </c>
      <c r="O3116" s="380"/>
      <c r="P3116" s="380"/>
      <c r="Q3116" s="381">
        <v>2.66</v>
      </c>
      <c r="R3116" s="381">
        <v>3.4</v>
      </c>
      <c r="S3116" s="381">
        <v>-0.74099999999999999</v>
      </c>
      <c r="T3116" s="381">
        <v>0</v>
      </c>
      <c r="U3116" s="381">
        <v>0.68933333333333335</v>
      </c>
      <c r="V3116" s="382">
        <v>3.4</v>
      </c>
      <c r="W3116" s="382">
        <v>0.68933333333333335</v>
      </c>
      <c r="X3116" s="381">
        <v>0.28000000000000003</v>
      </c>
      <c r="Y3116" s="381">
        <v>0.35789473684210527</v>
      </c>
      <c r="Z3116" s="381">
        <v>-7.8E-2</v>
      </c>
      <c r="AA3116" s="381">
        <v>0</v>
      </c>
      <c r="AB3116" s="381">
        <v>7.2561403508771938E-2</v>
      </c>
      <c r="AC3116" s="382">
        <v>0.35789473684210527</v>
      </c>
      <c r="AD3116" s="382">
        <v>7.2561403508771938E-2</v>
      </c>
      <c r="AE3116" s="381" t="s">
        <v>168</v>
      </c>
    </row>
    <row r="3117" spans="1:31" ht="15" customHeight="1" x14ac:dyDescent="0.25">
      <c r="A3117" s="20" t="s">
        <v>4546</v>
      </c>
      <c r="B3117" s="20" t="s">
        <v>4546</v>
      </c>
      <c r="C3117" s="20" t="s">
        <v>4546</v>
      </c>
      <c r="D3117" s="378" t="s">
        <v>4576</v>
      </c>
      <c r="E3117" s="384">
        <v>45062</v>
      </c>
      <c r="F3117" s="384">
        <v>46889</v>
      </c>
      <c r="G3117" s="378" t="s">
        <v>439</v>
      </c>
      <c r="H3117" s="20" t="s">
        <v>4548</v>
      </c>
      <c r="I3117" s="20" t="s">
        <v>162</v>
      </c>
      <c r="J3117" s="20" t="s">
        <v>163</v>
      </c>
      <c r="K3117" s="386" t="s">
        <v>4549</v>
      </c>
      <c r="L3117" s="378" t="s">
        <v>2789</v>
      </c>
      <c r="M3117" s="380">
        <v>830.76923076923083</v>
      </c>
      <c r="N3117" s="380">
        <v>10.8</v>
      </c>
      <c r="O3117" s="380"/>
      <c r="P3117" s="380"/>
      <c r="Q3117" s="381">
        <v>3.17</v>
      </c>
      <c r="R3117" s="381">
        <v>3.96</v>
      </c>
      <c r="S3117" s="381">
        <v>-0.79600000000000004</v>
      </c>
      <c r="T3117" s="381">
        <v>0</v>
      </c>
      <c r="U3117" s="381">
        <v>0.72966666666666669</v>
      </c>
      <c r="V3117" s="382">
        <v>3.96</v>
      </c>
      <c r="W3117" s="382">
        <v>0.72966666666666669</v>
      </c>
      <c r="X3117" s="381">
        <v>0.29351851851851851</v>
      </c>
      <c r="Y3117" s="381">
        <v>0.36666666666666664</v>
      </c>
      <c r="Z3117" s="381">
        <v>-7.3703703703703702E-2</v>
      </c>
      <c r="AA3117" s="381">
        <v>0</v>
      </c>
      <c r="AB3117" s="381">
        <v>6.7561728395061721E-2</v>
      </c>
      <c r="AC3117" s="382">
        <v>0.36666666666666664</v>
      </c>
      <c r="AD3117" s="382">
        <v>6.7561728395061721E-2</v>
      </c>
      <c r="AE3117" s="381" t="s">
        <v>168</v>
      </c>
    </row>
    <row r="3118" spans="1:31" ht="15" customHeight="1" x14ac:dyDescent="0.25">
      <c r="A3118" s="20" t="s">
        <v>4546</v>
      </c>
      <c r="B3118" s="20" t="s">
        <v>4546</v>
      </c>
      <c r="C3118" s="20" t="s">
        <v>4546</v>
      </c>
      <c r="D3118" s="378" t="s">
        <v>4577</v>
      </c>
      <c r="E3118" s="384">
        <v>45062</v>
      </c>
      <c r="F3118" s="384">
        <v>46889</v>
      </c>
      <c r="G3118" s="378" t="s">
        <v>439</v>
      </c>
      <c r="H3118" s="20" t="s">
        <v>4548</v>
      </c>
      <c r="I3118" s="20" t="s">
        <v>162</v>
      </c>
      <c r="J3118" s="20" t="s">
        <v>163</v>
      </c>
      <c r="K3118" s="386" t="s">
        <v>4578</v>
      </c>
      <c r="L3118" s="378" t="s">
        <v>2789</v>
      </c>
      <c r="M3118" s="380">
        <v>818.75</v>
      </c>
      <c r="N3118" s="380">
        <v>13.1</v>
      </c>
      <c r="O3118" s="380"/>
      <c r="P3118" s="380"/>
      <c r="Q3118" s="381">
        <v>3.64</v>
      </c>
      <c r="R3118" s="381">
        <v>4.4000000000000004</v>
      </c>
      <c r="S3118" s="381">
        <v>-0.76300000000000001</v>
      </c>
      <c r="T3118" s="381">
        <v>0</v>
      </c>
      <c r="U3118" s="381">
        <v>0.69666666666666666</v>
      </c>
      <c r="V3118" s="382">
        <v>4.4000000000000004</v>
      </c>
      <c r="W3118" s="382">
        <v>0.69666666666666666</v>
      </c>
      <c r="X3118" s="381">
        <v>0.27786259541984737</v>
      </c>
      <c r="Y3118" s="381">
        <v>0.33587786259541991</v>
      </c>
      <c r="Z3118" s="381">
        <v>-5.8244274809160307E-2</v>
      </c>
      <c r="AA3118" s="381">
        <v>0</v>
      </c>
      <c r="AB3118" s="381">
        <v>5.3180661577608146E-2</v>
      </c>
      <c r="AC3118" s="382">
        <v>0.33587786259541985</v>
      </c>
      <c r="AD3118" s="382">
        <v>5.3180661577608146E-2</v>
      </c>
      <c r="AE3118" s="381" t="s">
        <v>168</v>
      </c>
    </row>
    <row r="3119" spans="1:31" ht="15" customHeight="1" x14ac:dyDescent="0.25">
      <c r="A3119" s="20" t="s">
        <v>4546</v>
      </c>
      <c r="B3119" s="20" t="s">
        <v>4546</v>
      </c>
      <c r="C3119" s="20" t="s">
        <v>4546</v>
      </c>
      <c r="D3119" s="378" t="s">
        <v>4579</v>
      </c>
      <c r="E3119" s="384">
        <v>45062</v>
      </c>
      <c r="F3119" s="384">
        <v>46889</v>
      </c>
      <c r="G3119" s="378" t="s">
        <v>439</v>
      </c>
      <c r="H3119" s="20" t="s">
        <v>4548</v>
      </c>
      <c r="I3119" s="20" t="s">
        <v>162</v>
      </c>
      <c r="J3119" s="20" t="s">
        <v>163</v>
      </c>
      <c r="K3119" s="386" t="s">
        <v>4549</v>
      </c>
      <c r="L3119" s="378" t="s">
        <v>2789</v>
      </c>
      <c r="M3119" s="380">
        <v>660</v>
      </c>
      <c r="N3119" s="380">
        <v>6.6</v>
      </c>
      <c r="O3119" s="380"/>
      <c r="P3119" s="380"/>
      <c r="Q3119" s="381">
        <v>1.42</v>
      </c>
      <c r="R3119" s="381">
        <v>2.1</v>
      </c>
      <c r="S3119" s="381">
        <v>-0.67700000000000005</v>
      </c>
      <c r="T3119" s="381">
        <v>0</v>
      </c>
      <c r="U3119" s="381">
        <v>0.66</v>
      </c>
      <c r="V3119" s="382">
        <v>2.1</v>
      </c>
      <c r="W3119" s="382">
        <v>0.66</v>
      </c>
      <c r="X3119" s="381">
        <v>0.21515151515151515</v>
      </c>
      <c r="Y3119" s="381">
        <v>0.31818181818181823</v>
      </c>
      <c r="Z3119" s="381">
        <v>-0.10257575757575758</v>
      </c>
      <c r="AA3119" s="381">
        <v>0</v>
      </c>
      <c r="AB3119" s="381">
        <v>0.1</v>
      </c>
      <c r="AC3119" s="382">
        <v>0.31818181818181823</v>
      </c>
      <c r="AD3119" s="382">
        <v>0.1</v>
      </c>
      <c r="AE3119" s="381" t="s">
        <v>168</v>
      </c>
    </row>
    <row r="3120" spans="1:31" ht="15" customHeight="1" x14ac:dyDescent="0.25">
      <c r="A3120" s="20" t="s">
        <v>4546</v>
      </c>
      <c r="B3120" s="20" t="s">
        <v>4546</v>
      </c>
      <c r="C3120" s="20" t="s">
        <v>4546</v>
      </c>
      <c r="D3120" s="378" t="s">
        <v>4580</v>
      </c>
      <c r="E3120" s="384">
        <v>45062</v>
      </c>
      <c r="F3120" s="384">
        <v>46889</v>
      </c>
      <c r="G3120" s="378" t="s">
        <v>439</v>
      </c>
      <c r="H3120" s="20" t="s">
        <v>4548</v>
      </c>
      <c r="I3120" s="20" t="s">
        <v>162</v>
      </c>
      <c r="J3120" s="20" t="s">
        <v>163</v>
      </c>
      <c r="K3120" s="386" t="s">
        <v>4549</v>
      </c>
      <c r="L3120" s="378" t="s">
        <v>2789</v>
      </c>
      <c r="M3120" s="380">
        <v>953.84615384615392</v>
      </c>
      <c r="N3120" s="380">
        <v>12.4</v>
      </c>
      <c r="O3120" s="380"/>
      <c r="P3120" s="380"/>
      <c r="Q3120" s="381">
        <v>3.42</v>
      </c>
      <c r="R3120" s="381">
        <v>4.3499999999999996</v>
      </c>
      <c r="S3120" s="381">
        <v>-0.92400000000000004</v>
      </c>
      <c r="T3120" s="381">
        <v>0</v>
      </c>
      <c r="U3120" s="381">
        <v>0.88733333333333331</v>
      </c>
      <c r="V3120" s="382">
        <v>4.3499999999999996</v>
      </c>
      <c r="W3120" s="382">
        <v>0.88733333333333331</v>
      </c>
      <c r="X3120" s="381">
        <v>0.27580645161290324</v>
      </c>
      <c r="Y3120" s="381">
        <v>0.35080645161290319</v>
      </c>
      <c r="Z3120" s="381">
        <v>-7.4516129032258072E-2</v>
      </c>
      <c r="AA3120" s="381">
        <v>0</v>
      </c>
      <c r="AB3120" s="381">
        <v>7.1559139784946227E-2</v>
      </c>
      <c r="AC3120" s="382">
        <v>0.35080645161290319</v>
      </c>
      <c r="AD3120" s="382">
        <v>7.1559139784946227E-2</v>
      </c>
      <c r="AE3120" s="381" t="s">
        <v>168</v>
      </c>
    </row>
    <row r="3121" spans="1:31" ht="15" customHeight="1" x14ac:dyDescent="0.25">
      <c r="A3121" s="20" t="s">
        <v>4546</v>
      </c>
      <c r="B3121" s="20" t="s">
        <v>4546</v>
      </c>
      <c r="C3121" s="20" t="s">
        <v>4546</v>
      </c>
      <c r="D3121" s="378" t="s">
        <v>4581</v>
      </c>
      <c r="E3121" s="384">
        <v>45062</v>
      </c>
      <c r="F3121" s="384">
        <v>46889</v>
      </c>
      <c r="G3121" s="378" t="s">
        <v>439</v>
      </c>
      <c r="H3121" s="20" t="s">
        <v>4548</v>
      </c>
      <c r="I3121" s="20" t="s">
        <v>162</v>
      </c>
      <c r="J3121" s="20" t="s">
        <v>163</v>
      </c>
      <c r="K3121" s="386" t="s">
        <v>4549</v>
      </c>
      <c r="L3121" s="378" t="s">
        <v>2789</v>
      </c>
      <c r="M3121" s="380">
        <v>638.46153846153857</v>
      </c>
      <c r="N3121" s="380">
        <v>8.3000000000000007</v>
      </c>
      <c r="O3121" s="380"/>
      <c r="P3121" s="380"/>
      <c r="Q3121" s="381">
        <v>1.92</v>
      </c>
      <c r="R3121" s="381">
        <v>2.64</v>
      </c>
      <c r="S3121" s="381">
        <v>-0.72699999999999998</v>
      </c>
      <c r="T3121" s="381">
        <v>0</v>
      </c>
      <c r="U3121" s="381">
        <v>0.69666666666666666</v>
      </c>
      <c r="V3121" s="382">
        <v>2.64</v>
      </c>
      <c r="W3121" s="382">
        <v>0.69666666666666666</v>
      </c>
      <c r="X3121" s="381">
        <v>0.23132530120481926</v>
      </c>
      <c r="Y3121" s="381">
        <v>0.3180722891566265</v>
      </c>
      <c r="Z3121" s="381">
        <v>-8.7590361445783124E-2</v>
      </c>
      <c r="AA3121" s="381">
        <v>0</v>
      </c>
      <c r="AB3121" s="381">
        <v>8.3935742971887536E-2</v>
      </c>
      <c r="AC3121" s="382">
        <v>0.3180722891566265</v>
      </c>
      <c r="AD3121" s="382">
        <v>8.3935742971887536E-2</v>
      </c>
      <c r="AE3121" s="381" t="s">
        <v>168</v>
      </c>
    </row>
    <row r="3122" spans="1:31" ht="15" customHeight="1" x14ac:dyDescent="0.25">
      <c r="A3122" s="20" t="s">
        <v>4546</v>
      </c>
      <c r="B3122" s="20" t="s">
        <v>4546</v>
      </c>
      <c r="C3122" s="20" t="s">
        <v>4546</v>
      </c>
      <c r="D3122" s="378" t="s">
        <v>4582</v>
      </c>
      <c r="E3122" s="384">
        <v>45062</v>
      </c>
      <c r="F3122" s="384">
        <v>46889</v>
      </c>
      <c r="G3122" s="378" t="s">
        <v>439</v>
      </c>
      <c r="H3122" s="20" t="s">
        <v>4548</v>
      </c>
      <c r="I3122" s="20" t="s">
        <v>162</v>
      </c>
      <c r="J3122" s="20" t="s">
        <v>163</v>
      </c>
      <c r="K3122" s="386" t="s">
        <v>4549</v>
      </c>
      <c r="L3122" s="378" t="s">
        <v>2789</v>
      </c>
      <c r="M3122" s="380">
        <v>925</v>
      </c>
      <c r="N3122" s="380">
        <v>14.8</v>
      </c>
      <c r="O3122" s="380"/>
      <c r="P3122" s="380"/>
      <c r="Q3122" s="381">
        <v>4.12</v>
      </c>
      <c r="R3122" s="381">
        <v>5.08</v>
      </c>
      <c r="S3122" s="381">
        <v>-0.96799999999999997</v>
      </c>
      <c r="T3122" s="381">
        <v>0</v>
      </c>
      <c r="U3122" s="381">
        <v>0.91666666666666663</v>
      </c>
      <c r="V3122" s="382">
        <v>5.08</v>
      </c>
      <c r="W3122" s="382">
        <v>0.91666666666666663</v>
      </c>
      <c r="X3122" s="381">
        <v>0.27837837837837837</v>
      </c>
      <c r="Y3122" s="381">
        <v>0.34324324324324323</v>
      </c>
      <c r="Z3122" s="381">
        <v>-6.5405405405405403E-2</v>
      </c>
      <c r="AA3122" s="381">
        <v>0</v>
      </c>
      <c r="AB3122" s="381">
        <v>6.1936936936936929E-2</v>
      </c>
      <c r="AC3122" s="382">
        <v>0.34324324324324323</v>
      </c>
      <c r="AD3122" s="382">
        <v>6.1936936936936929E-2</v>
      </c>
      <c r="AE3122" s="381" t="s">
        <v>168</v>
      </c>
    </row>
    <row r="3123" spans="1:31" ht="15" customHeight="1" x14ac:dyDescent="0.25">
      <c r="A3123" s="20" t="s">
        <v>4546</v>
      </c>
      <c r="B3123" s="20" t="s">
        <v>4546</v>
      </c>
      <c r="C3123" s="20" t="s">
        <v>4546</v>
      </c>
      <c r="D3123" s="378" t="s">
        <v>4583</v>
      </c>
      <c r="E3123" s="384">
        <v>45062</v>
      </c>
      <c r="F3123" s="384">
        <v>46889</v>
      </c>
      <c r="G3123" s="378" t="s">
        <v>439</v>
      </c>
      <c r="H3123" s="20" t="s">
        <v>4548</v>
      </c>
      <c r="I3123" s="20" t="s">
        <v>162</v>
      </c>
      <c r="J3123" s="20" t="s">
        <v>163</v>
      </c>
      <c r="K3123" s="386" t="s">
        <v>4549</v>
      </c>
      <c r="L3123" s="378" t="s">
        <v>2789</v>
      </c>
      <c r="M3123" s="380">
        <v>925</v>
      </c>
      <c r="N3123" s="380">
        <v>14.8</v>
      </c>
      <c r="O3123" s="380"/>
      <c r="P3123" s="380"/>
      <c r="Q3123" s="381">
        <v>3.71</v>
      </c>
      <c r="R3123" s="381">
        <v>4.75</v>
      </c>
      <c r="S3123" s="381">
        <v>-1.04</v>
      </c>
      <c r="T3123" s="381">
        <v>0</v>
      </c>
      <c r="U3123" s="381">
        <v>1.0010000000000001</v>
      </c>
      <c r="V3123" s="382">
        <v>4.75</v>
      </c>
      <c r="W3123" s="382">
        <v>1.0010000000000001</v>
      </c>
      <c r="X3123" s="381">
        <v>0.25067567567567567</v>
      </c>
      <c r="Y3123" s="381">
        <v>0.32094594594594594</v>
      </c>
      <c r="Z3123" s="381">
        <v>-7.0270270270270274E-2</v>
      </c>
      <c r="AA3123" s="381">
        <v>0</v>
      </c>
      <c r="AB3123" s="381">
        <v>6.7635135135135138E-2</v>
      </c>
      <c r="AC3123" s="382">
        <v>0.32094594594594594</v>
      </c>
      <c r="AD3123" s="382">
        <v>6.7635135135135138E-2</v>
      </c>
      <c r="AE3123" s="381" t="s">
        <v>168</v>
      </c>
    </row>
    <row r="3124" spans="1:31" ht="15" customHeight="1" x14ac:dyDescent="0.25">
      <c r="A3124" s="20" t="s">
        <v>4546</v>
      </c>
      <c r="B3124" s="20" t="s">
        <v>4546</v>
      </c>
      <c r="C3124" s="20" t="s">
        <v>4546</v>
      </c>
      <c r="D3124" s="378" t="s">
        <v>4584</v>
      </c>
      <c r="E3124" s="384">
        <v>45062</v>
      </c>
      <c r="F3124" s="384">
        <v>46889</v>
      </c>
      <c r="G3124" s="378" t="s">
        <v>439</v>
      </c>
      <c r="H3124" s="20" t="s">
        <v>4548</v>
      </c>
      <c r="I3124" s="20" t="s">
        <v>162</v>
      </c>
      <c r="J3124" s="20" t="s">
        <v>163</v>
      </c>
      <c r="K3124" s="386" t="s">
        <v>4549</v>
      </c>
      <c r="L3124" s="378" t="s">
        <v>2789</v>
      </c>
      <c r="M3124" s="380">
        <v>620</v>
      </c>
      <c r="N3124" s="380">
        <v>6.2</v>
      </c>
      <c r="O3124" s="380"/>
      <c r="P3124" s="380"/>
      <c r="Q3124" s="381">
        <v>1.4</v>
      </c>
      <c r="R3124" s="381">
        <v>2.0499999999999998</v>
      </c>
      <c r="S3124" s="381">
        <v>-0.65700000000000003</v>
      </c>
      <c r="T3124" s="381">
        <v>0</v>
      </c>
      <c r="U3124" s="381">
        <v>0.63800000000000001</v>
      </c>
      <c r="V3124" s="382">
        <v>2.0499999999999998</v>
      </c>
      <c r="W3124" s="382">
        <v>0.63800000000000001</v>
      </c>
      <c r="X3124" s="381">
        <v>0.22580645161290319</v>
      </c>
      <c r="Y3124" s="381">
        <v>0.33064516129032256</v>
      </c>
      <c r="Z3124" s="381">
        <v>-0.10596774193548388</v>
      </c>
      <c r="AA3124" s="381">
        <v>0</v>
      </c>
      <c r="AB3124" s="381">
        <v>0.10290322580645161</v>
      </c>
      <c r="AC3124" s="382">
        <v>0.33064516129032256</v>
      </c>
      <c r="AD3124" s="382">
        <v>0.10290322580645161</v>
      </c>
      <c r="AE3124" s="381" t="s">
        <v>168</v>
      </c>
    </row>
    <row r="3125" spans="1:31" ht="15" customHeight="1" x14ac:dyDescent="0.25">
      <c r="A3125" s="20" t="s">
        <v>4546</v>
      </c>
      <c r="B3125" s="20" t="s">
        <v>4546</v>
      </c>
      <c r="C3125" s="20" t="s">
        <v>4546</v>
      </c>
      <c r="D3125" s="378" t="s">
        <v>4585</v>
      </c>
      <c r="E3125" s="384">
        <v>45062</v>
      </c>
      <c r="F3125" s="384">
        <v>46889</v>
      </c>
      <c r="G3125" s="378" t="s">
        <v>439</v>
      </c>
      <c r="H3125" s="20" t="s">
        <v>4548</v>
      </c>
      <c r="I3125" s="20" t="s">
        <v>162</v>
      </c>
      <c r="J3125" s="20" t="s">
        <v>163</v>
      </c>
      <c r="K3125" s="386" t="s">
        <v>4549</v>
      </c>
      <c r="L3125" s="378" t="s">
        <v>2789</v>
      </c>
      <c r="M3125" s="380">
        <v>850</v>
      </c>
      <c r="N3125" s="380">
        <v>8.5</v>
      </c>
      <c r="O3125" s="380"/>
      <c r="P3125" s="380"/>
      <c r="Q3125" s="381">
        <v>2.23</v>
      </c>
      <c r="R3125" s="381">
        <v>2.96</v>
      </c>
      <c r="S3125" s="381">
        <v>-0.73099999999999998</v>
      </c>
      <c r="T3125" s="381">
        <v>0</v>
      </c>
      <c r="U3125" s="381">
        <v>0.71133333333333326</v>
      </c>
      <c r="V3125" s="382">
        <v>2.96</v>
      </c>
      <c r="W3125" s="382">
        <v>0.71133333333333326</v>
      </c>
      <c r="X3125" s="381">
        <v>0.26235294117647057</v>
      </c>
      <c r="Y3125" s="381">
        <v>0.34823529411764703</v>
      </c>
      <c r="Z3125" s="381">
        <v>-8.5999999999999993E-2</v>
      </c>
      <c r="AA3125" s="381">
        <v>0</v>
      </c>
      <c r="AB3125" s="381">
        <v>8.3686274509803912E-2</v>
      </c>
      <c r="AC3125" s="382">
        <v>0.34823529411764698</v>
      </c>
      <c r="AD3125" s="382">
        <v>8.3686274509803912E-2</v>
      </c>
      <c r="AE3125" s="381" t="s">
        <v>168</v>
      </c>
    </row>
    <row r="3126" spans="1:31" ht="15" customHeight="1" x14ac:dyDescent="0.25">
      <c r="A3126" s="20" t="s">
        <v>4546</v>
      </c>
      <c r="B3126" s="20" t="s">
        <v>4546</v>
      </c>
      <c r="C3126" s="20" t="s">
        <v>4546</v>
      </c>
      <c r="D3126" s="378" t="s">
        <v>4586</v>
      </c>
      <c r="E3126" s="384">
        <v>45534</v>
      </c>
      <c r="F3126" s="384">
        <v>47360</v>
      </c>
      <c r="G3126" s="378" t="s">
        <v>439</v>
      </c>
      <c r="H3126" s="20" t="s">
        <v>4587</v>
      </c>
      <c r="I3126" s="378" t="s">
        <v>441</v>
      </c>
      <c r="J3126" s="20" t="s">
        <v>163</v>
      </c>
      <c r="K3126" s="378" t="s">
        <v>4588</v>
      </c>
      <c r="L3126" s="378" t="s">
        <v>2789</v>
      </c>
      <c r="M3126" s="380">
        <v>654</v>
      </c>
      <c r="N3126" s="380">
        <v>8.5</v>
      </c>
      <c r="O3126" s="380" t="s">
        <v>443</v>
      </c>
      <c r="P3126" s="380" t="s">
        <v>443</v>
      </c>
      <c r="Q3126" s="381">
        <v>1.83</v>
      </c>
      <c r="R3126" s="381">
        <v>2.42</v>
      </c>
      <c r="S3126" s="381">
        <v>-0.59299999999999997</v>
      </c>
      <c r="T3126" s="381">
        <v>1.1100000000000001E-3</v>
      </c>
      <c r="U3126" s="381">
        <v>0</v>
      </c>
      <c r="V3126" s="382">
        <v>2.4211099999999997</v>
      </c>
      <c r="W3126" s="382">
        <v>0</v>
      </c>
      <c r="X3126" s="381">
        <v>0.21529411764705883</v>
      </c>
      <c r="Y3126" s="381">
        <v>0.28470588235294114</v>
      </c>
      <c r="Z3126" s="381">
        <v>-6.9764705882352937E-2</v>
      </c>
      <c r="AA3126" s="381">
        <v>1.3058823529411766E-4</v>
      </c>
      <c r="AB3126" s="381">
        <v>0</v>
      </c>
      <c r="AC3126" s="382">
        <v>0.28483647058823525</v>
      </c>
      <c r="AD3126" s="382">
        <v>0</v>
      </c>
      <c r="AE3126" s="381" t="s">
        <v>444</v>
      </c>
    </row>
    <row r="3127" spans="1:31" ht="15" customHeight="1" x14ac:dyDescent="0.25">
      <c r="A3127" s="20" t="s">
        <v>4546</v>
      </c>
      <c r="B3127" s="20" t="s">
        <v>4546</v>
      </c>
      <c r="C3127" s="20" t="s">
        <v>4546</v>
      </c>
      <c r="D3127" s="378" t="s">
        <v>4589</v>
      </c>
      <c r="E3127" s="384">
        <v>45534</v>
      </c>
      <c r="F3127" s="384">
        <v>47360</v>
      </c>
      <c r="G3127" s="378" t="s">
        <v>439</v>
      </c>
      <c r="H3127" s="20" t="s">
        <v>4590</v>
      </c>
      <c r="I3127" s="378" t="s">
        <v>441</v>
      </c>
      <c r="J3127" s="20" t="s">
        <v>163</v>
      </c>
      <c r="K3127" s="378" t="s">
        <v>4591</v>
      </c>
      <c r="L3127" s="378" t="s">
        <v>2789</v>
      </c>
      <c r="M3127" s="380">
        <v>838</v>
      </c>
      <c r="N3127" s="380">
        <v>10.9</v>
      </c>
      <c r="O3127" s="380" t="s">
        <v>443</v>
      </c>
      <c r="P3127" s="380" t="s">
        <v>443</v>
      </c>
      <c r="Q3127" s="381">
        <v>2.93</v>
      </c>
      <c r="R3127" s="381">
        <v>3.56</v>
      </c>
      <c r="S3127" s="381">
        <v>-0.63200000000000001</v>
      </c>
      <c r="T3127" s="381">
        <v>1.6100000000000001E-3</v>
      </c>
      <c r="U3127" s="381">
        <v>0</v>
      </c>
      <c r="V3127" s="382">
        <v>3.5616099999999999</v>
      </c>
      <c r="W3127" s="382">
        <v>0</v>
      </c>
      <c r="X3127" s="381">
        <v>0.26880733944954127</v>
      </c>
      <c r="Y3127" s="381">
        <v>0.32660550458715598</v>
      </c>
      <c r="Z3127" s="381">
        <v>-5.7981651376146789E-2</v>
      </c>
      <c r="AA3127" s="381">
        <v>1.4770642201834862E-4</v>
      </c>
      <c r="AB3127" s="381">
        <v>0</v>
      </c>
      <c r="AC3127" s="382">
        <v>0.32675321100917432</v>
      </c>
      <c r="AD3127" s="382">
        <v>0</v>
      </c>
      <c r="AE3127" s="381" t="s">
        <v>444</v>
      </c>
    </row>
    <row r="3128" spans="1:31" ht="15" customHeight="1" x14ac:dyDescent="0.25">
      <c r="A3128" s="20" t="s">
        <v>4546</v>
      </c>
      <c r="B3128" s="20" t="s">
        <v>4546</v>
      </c>
      <c r="C3128" s="20" t="s">
        <v>4546</v>
      </c>
      <c r="D3128" s="378" t="s">
        <v>4592</v>
      </c>
      <c r="E3128" s="384">
        <v>45534</v>
      </c>
      <c r="F3128" s="384">
        <v>47360</v>
      </c>
      <c r="G3128" s="378" t="s">
        <v>439</v>
      </c>
      <c r="H3128" s="20" t="s">
        <v>4593</v>
      </c>
      <c r="I3128" s="378" t="s">
        <v>441</v>
      </c>
      <c r="J3128" s="20" t="s">
        <v>163</v>
      </c>
      <c r="K3128" s="378" t="s">
        <v>4594</v>
      </c>
      <c r="L3128" s="378" t="s">
        <v>2789</v>
      </c>
      <c r="M3128" s="380">
        <v>590</v>
      </c>
      <c r="N3128" s="380">
        <v>5.9</v>
      </c>
      <c r="O3128" s="380" t="s">
        <v>443</v>
      </c>
      <c r="P3128" s="380" t="s">
        <v>443</v>
      </c>
      <c r="Q3128" s="381">
        <v>1.1399999999999999</v>
      </c>
      <c r="R3128" s="381">
        <v>1.77</v>
      </c>
      <c r="S3128" s="381">
        <v>-0.626</v>
      </c>
      <c r="T3128" s="381">
        <v>1.39E-3</v>
      </c>
      <c r="U3128" s="381">
        <v>0</v>
      </c>
      <c r="V3128" s="382">
        <v>1.7713900000000002</v>
      </c>
      <c r="W3128" s="382">
        <v>0</v>
      </c>
      <c r="X3128" s="381">
        <v>0.19322033898305083</v>
      </c>
      <c r="Y3128" s="381">
        <v>0.3</v>
      </c>
      <c r="Z3128" s="381">
        <v>-0.10610169491525423</v>
      </c>
      <c r="AA3128" s="381">
        <v>2.3559322033898304E-4</v>
      </c>
      <c r="AB3128" s="381">
        <v>0</v>
      </c>
      <c r="AC3128" s="382">
        <v>0.30023559322033899</v>
      </c>
      <c r="AD3128" s="382">
        <v>0</v>
      </c>
      <c r="AE3128" s="381" t="s">
        <v>444</v>
      </c>
    </row>
    <row r="3129" spans="1:31" ht="15" customHeight="1" x14ac:dyDescent="0.25">
      <c r="A3129" s="20" t="s">
        <v>4546</v>
      </c>
      <c r="B3129" s="20" t="s">
        <v>4546</v>
      </c>
      <c r="C3129" s="20" t="s">
        <v>4546</v>
      </c>
      <c r="D3129" s="378" t="s">
        <v>4595</v>
      </c>
      <c r="E3129" s="384">
        <v>45534</v>
      </c>
      <c r="F3129" s="384">
        <v>47360</v>
      </c>
      <c r="G3129" s="378" t="s">
        <v>439</v>
      </c>
      <c r="H3129" s="20" t="s">
        <v>4596</v>
      </c>
      <c r="I3129" s="378" t="s">
        <v>441</v>
      </c>
      <c r="J3129" s="20" t="s">
        <v>163</v>
      </c>
      <c r="K3129" s="378" t="s">
        <v>4597</v>
      </c>
      <c r="L3129" s="378" t="s">
        <v>2789</v>
      </c>
      <c r="M3129" s="380">
        <v>708</v>
      </c>
      <c r="N3129" s="380">
        <v>9.1999999999999993</v>
      </c>
      <c r="O3129" s="380" t="s">
        <v>443</v>
      </c>
      <c r="P3129" s="380" t="s">
        <v>443</v>
      </c>
      <c r="Q3129" s="381">
        <v>2.2400000000000002</v>
      </c>
      <c r="R3129" s="381">
        <v>2.88</v>
      </c>
      <c r="S3129" s="381">
        <v>-0.63900000000000001</v>
      </c>
      <c r="T3129" s="381">
        <v>1.57E-3</v>
      </c>
      <c r="U3129" s="381">
        <v>0</v>
      </c>
      <c r="V3129" s="382">
        <v>2.88157</v>
      </c>
      <c r="W3129" s="382">
        <v>0</v>
      </c>
      <c r="X3129" s="381">
        <v>0.24347826086956526</v>
      </c>
      <c r="Y3129" s="381">
        <v>0.31304347826086959</v>
      </c>
      <c r="Z3129" s="381">
        <v>-6.9456521739130445E-2</v>
      </c>
      <c r="AA3129" s="381">
        <v>1.706521739130435E-4</v>
      </c>
      <c r="AB3129" s="381">
        <v>0</v>
      </c>
      <c r="AC3129" s="382">
        <v>0.31321413043478263</v>
      </c>
      <c r="AD3129" s="382">
        <v>0</v>
      </c>
      <c r="AE3129" s="381" t="s">
        <v>444</v>
      </c>
    </row>
    <row r="3130" spans="1:31" ht="15" customHeight="1" x14ac:dyDescent="0.25">
      <c r="A3130" s="20" t="s">
        <v>4546</v>
      </c>
      <c r="B3130" s="20" t="s">
        <v>4546</v>
      </c>
      <c r="C3130" s="20" t="s">
        <v>4546</v>
      </c>
      <c r="D3130" s="378" t="s">
        <v>4598</v>
      </c>
      <c r="E3130" s="384">
        <v>45534</v>
      </c>
      <c r="F3130" s="384">
        <v>47360</v>
      </c>
      <c r="G3130" s="378" t="s">
        <v>439</v>
      </c>
      <c r="H3130" s="20" t="s">
        <v>4599</v>
      </c>
      <c r="I3130" s="378" t="s">
        <v>441</v>
      </c>
      <c r="J3130" s="20" t="s">
        <v>163</v>
      </c>
      <c r="K3130" s="378" t="s">
        <v>4600</v>
      </c>
      <c r="L3130" s="378" t="s">
        <v>2789</v>
      </c>
      <c r="M3130" s="380">
        <v>720</v>
      </c>
      <c r="N3130" s="380">
        <v>7.2</v>
      </c>
      <c r="O3130" s="380" t="s">
        <v>443</v>
      </c>
      <c r="P3130" s="380" t="s">
        <v>443</v>
      </c>
      <c r="Q3130" s="381">
        <v>1.76</v>
      </c>
      <c r="R3130" s="381">
        <v>2.4</v>
      </c>
      <c r="S3130" s="381">
        <v>-0.63500000000000001</v>
      </c>
      <c r="T3130" s="381">
        <v>1.5900000000000001E-3</v>
      </c>
      <c r="U3130" s="381">
        <v>0</v>
      </c>
      <c r="V3130" s="382">
        <v>2.4015899999999997</v>
      </c>
      <c r="W3130" s="382">
        <v>0</v>
      </c>
      <c r="X3130" s="381">
        <v>0.24444444444444444</v>
      </c>
      <c r="Y3130" s="381">
        <v>0.33333333333333331</v>
      </c>
      <c r="Z3130" s="381">
        <v>-8.819444444444445E-2</v>
      </c>
      <c r="AA3130" s="381">
        <v>2.2083333333333333E-4</v>
      </c>
      <c r="AB3130" s="381">
        <v>0</v>
      </c>
      <c r="AC3130" s="382">
        <v>0.33355416666666665</v>
      </c>
      <c r="AD3130" s="382">
        <v>0</v>
      </c>
      <c r="AE3130" s="381" t="s">
        <v>444</v>
      </c>
    </row>
    <row r="3131" spans="1:31" ht="15" customHeight="1" x14ac:dyDescent="0.25">
      <c r="A3131" s="20" t="s">
        <v>4546</v>
      </c>
      <c r="B3131" s="20" t="s">
        <v>4546</v>
      </c>
      <c r="C3131" s="20" t="s">
        <v>4546</v>
      </c>
      <c r="D3131" s="378" t="s">
        <v>4601</v>
      </c>
      <c r="E3131" s="384">
        <v>45534</v>
      </c>
      <c r="F3131" s="384">
        <v>47360</v>
      </c>
      <c r="G3131" s="378" t="s">
        <v>439</v>
      </c>
      <c r="H3131" s="20" t="s">
        <v>4602</v>
      </c>
      <c r="I3131" s="378" t="s">
        <v>441</v>
      </c>
      <c r="J3131" s="20" t="s">
        <v>163</v>
      </c>
      <c r="K3131" s="378" t="s">
        <v>4603</v>
      </c>
      <c r="L3131" s="378" t="s">
        <v>2789</v>
      </c>
      <c r="M3131" s="380">
        <v>838</v>
      </c>
      <c r="N3131" s="380">
        <v>10.9</v>
      </c>
      <c r="O3131" s="380" t="s">
        <v>443</v>
      </c>
      <c r="P3131" s="380" t="s">
        <v>443</v>
      </c>
      <c r="Q3131" s="381">
        <v>3.23</v>
      </c>
      <c r="R3131" s="381">
        <v>3.9</v>
      </c>
      <c r="S3131" s="381">
        <v>-0.67200000000000004</v>
      </c>
      <c r="T3131" s="381">
        <v>1.97E-3</v>
      </c>
      <c r="U3131" s="381">
        <v>0</v>
      </c>
      <c r="V3131" s="382">
        <v>3.9019699999999999</v>
      </c>
      <c r="W3131" s="382">
        <v>0</v>
      </c>
      <c r="X3131" s="381">
        <v>0.29633027522935779</v>
      </c>
      <c r="Y3131" s="381">
        <v>0.35779816513761464</v>
      </c>
      <c r="Z3131" s="381">
        <v>-6.1651376146788991E-2</v>
      </c>
      <c r="AA3131" s="381">
        <v>1.8073394495412843E-4</v>
      </c>
      <c r="AB3131" s="381">
        <v>0</v>
      </c>
      <c r="AC3131" s="382">
        <v>0.35797889908256875</v>
      </c>
      <c r="AD3131" s="382">
        <v>0</v>
      </c>
      <c r="AE3131" s="381" t="s">
        <v>444</v>
      </c>
    </row>
    <row r="3132" spans="1:31" ht="15" customHeight="1" x14ac:dyDescent="0.25">
      <c r="A3132" s="20" t="s">
        <v>4546</v>
      </c>
      <c r="B3132" s="20" t="s">
        <v>4546</v>
      </c>
      <c r="C3132" s="20" t="s">
        <v>4546</v>
      </c>
      <c r="D3132" s="378" t="s">
        <v>4604</v>
      </c>
      <c r="E3132" s="384">
        <v>45534</v>
      </c>
      <c r="F3132" s="384">
        <v>47360</v>
      </c>
      <c r="G3132" s="378" t="s">
        <v>439</v>
      </c>
      <c r="H3132" s="20" t="s">
        <v>4605</v>
      </c>
      <c r="I3132" s="378" t="s">
        <v>441</v>
      </c>
      <c r="J3132" s="20" t="s">
        <v>163</v>
      </c>
      <c r="K3132" s="378" t="s">
        <v>4606</v>
      </c>
      <c r="L3132" s="378" t="s">
        <v>2789</v>
      </c>
      <c r="M3132" s="380">
        <v>900</v>
      </c>
      <c r="N3132" s="380">
        <v>9</v>
      </c>
      <c r="O3132" s="380" t="s">
        <v>443</v>
      </c>
      <c r="P3132" s="380" t="s">
        <v>443</v>
      </c>
      <c r="Q3132" s="381">
        <v>1.87</v>
      </c>
      <c r="R3132" s="381">
        <v>2.54</v>
      </c>
      <c r="S3132" s="381">
        <v>-0.67500000000000004</v>
      </c>
      <c r="T3132" s="381">
        <v>1.08E-3</v>
      </c>
      <c r="U3132" s="381">
        <v>0</v>
      </c>
      <c r="V3132" s="382">
        <v>2.54108</v>
      </c>
      <c r="W3132" s="382">
        <v>0</v>
      </c>
      <c r="X3132" s="381">
        <v>0.20777777777777778</v>
      </c>
      <c r="Y3132" s="381">
        <v>0.28222222222222221</v>
      </c>
      <c r="Z3132" s="381">
        <v>-7.5000000000000011E-2</v>
      </c>
      <c r="AA3132" s="381">
        <v>1.2E-4</v>
      </c>
      <c r="AB3132" s="381">
        <v>0</v>
      </c>
      <c r="AC3132" s="382">
        <v>0.28234222222222222</v>
      </c>
      <c r="AD3132" s="382">
        <v>0</v>
      </c>
      <c r="AE3132" s="381" t="s">
        <v>444</v>
      </c>
    </row>
    <row r="3133" spans="1:31" ht="15" customHeight="1" x14ac:dyDescent="0.25">
      <c r="A3133" s="20" t="s">
        <v>4546</v>
      </c>
      <c r="B3133" s="20" t="s">
        <v>4546</v>
      </c>
      <c r="C3133" s="20" t="s">
        <v>4546</v>
      </c>
      <c r="D3133" s="378" t="s">
        <v>4607</v>
      </c>
      <c r="E3133" s="384">
        <v>45534</v>
      </c>
      <c r="F3133" s="384">
        <v>47360</v>
      </c>
      <c r="G3133" s="378" t="s">
        <v>439</v>
      </c>
      <c r="H3133" s="20" t="s">
        <v>4608</v>
      </c>
      <c r="I3133" s="378" t="s">
        <v>441</v>
      </c>
      <c r="J3133" s="20" t="s">
        <v>163</v>
      </c>
      <c r="K3133" s="378" t="s">
        <v>4609</v>
      </c>
      <c r="L3133" s="378" t="s">
        <v>2789</v>
      </c>
      <c r="M3133" s="380">
        <v>908</v>
      </c>
      <c r="N3133" s="380">
        <v>11.8</v>
      </c>
      <c r="O3133" s="380" t="s">
        <v>443</v>
      </c>
      <c r="P3133" s="380" t="s">
        <v>443</v>
      </c>
      <c r="Q3133" s="381">
        <v>2.4</v>
      </c>
      <c r="R3133" s="381">
        <v>3.07</v>
      </c>
      <c r="S3133" s="381">
        <v>-0.67500000000000004</v>
      </c>
      <c r="T3133" s="381">
        <v>1.1000000000000001E-3</v>
      </c>
      <c r="U3133" s="381">
        <v>0</v>
      </c>
      <c r="V3133" s="382">
        <v>3.0710999999999995</v>
      </c>
      <c r="W3133" s="382">
        <v>0</v>
      </c>
      <c r="X3133" s="381">
        <v>0.20338983050847456</v>
      </c>
      <c r="Y3133" s="381">
        <v>0.26016949152542368</v>
      </c>
      <c r="Z3133" s="381">
        <v>-5.7203389830508475E-2</v>
      </c>
      <c r="AA3133" s="381">
        <v>9.322033898305085E-5</v>
      </c>
      <c r="AB3133" s="381">
        <v>0</v>
      </c>
      <c r="AC3133" s="382">
        <v>0.26026271186440669</v>
      </c>
      <c r="AD3133" s="382">
        <v>0</v>
      </c>
      <c r="AE3133" s="381" t="s">
        <v>444</v>
      </c>
    </row>
    <row r="3134" spans="1:31" ht="15" customHeight="1" x14ac:dyDescent="0.25">
      <c r="A3134" s="20" t="s">
        <v>4546</v>
      </c>
      <c r="B3134" s="20" t="s">
        <v>4546</v>
      </c>
      <c r="C3134" s="20" t="s">
        <v>4546</v>
      </c>
      <c r="D3134" s="378" t="s">
        <v>4610</v>
      </c>
      <c r="E3134" s="384">
        <v>45534</v>
      </c>
      <c r="F3134" s="384">
        <v>47360</v>
      </c>
      <c r="G3134" s="378" t="s">
        <v>439</v>
      </c>
      <c r="H3134" s="20" t="s">
        <v>4611</v>
      </c>
      <c r="I3134" s="378" t="s">
        <v>441</v>
      </c>
      <c r="J3134" s="20" t="s">
        <v>163</v>
      </c>
      <c r="K3134" s="378" t="s">
        <v>4612</v>
      </c>
      <c r="L3134" s="378" t="s">
        <v>2789</v>
      </c>
      <c r="M3134" s="380">
        <v>838</v>
      </c>
      <c r="N3134" s="380">
        <v>13.4</v>
      </c>
      <c r="O3134" s="380" t="s">
        <v>443</v>
      </c>
      <c r="P3134" s="380" t="s">
        <v>443</v>
      </c>
      <c r="Q3134" s="381">
        <v>3.71</v>
      </c>
      <c r="R3134" s="381">
        <v>4.3899999999999997</v>
      </c>
      <c r="S3134" s="381">
        <v>-0.68400000000000005</v>
      </c>
      <c r="T3134" s="381">
        <v>2.1700000000000001E-3</v>
      </c>
      <c r="U3134" s="381">
        <v>0</v>
      </c>
      <c r="V3134" s="382">
        <v>4.3921699999999992</v>
      </c>
      <c r="W3134" s="382">
        <v>0</v>
      </c>
      <c r="X3134" s="381">
        <v>0.27686567164179104</v>
      </c>
      <c r="Y3134" s="381">
        <v>0.32761194029850743</v>
      </c>
      <c r="Z3134" s="381">
        <v>-5.1044776119402988E-2</v>
      </c>
      <c r="AA3134" s="381">
        <v>1.6194029850746268E-4</v>
      </c>
      <c r="AB3134" s="381">
        <v>0</v>
      </c>
      <c r="AC3134" s="382">
        <v>0.3277738805970149</v>
      </c>
      <c r="AD3134" s="382">
        <v>0</v>
      </c>
      <c r="AE3134" s="381" t="s">
        <v>444</v>
      </c>
    </row>
    <row r="3135" spans="1:31" ht="15" customHeight="1" x14ac:dyDescent="0.25">
      <c r="A3135" s="20" t="s">
        <v>4546</v>
      </c>
      <c r="B3135" s="20" t="s">
        <v>4546</v>
      </c>
      <c r="C3135" s="20" t="s">
        <v>4546</v>
      </c>
      <c r="D3135" s="378" t="s">
        <v>4613</v>
      </c>
      <c r="E3135" s="384">
        <v>45534</v>
      </c>
      <c r="F3135" s="384">
        <v>47360</v>
      </c>
      <c r="G3135" s="378" t="s">
        <v>439</v>
      </c>
      <c r="H3135" s="20" t="s">
        <v>4614</v>
      </c>
      <c r="I3135" s="378" t="s">
        <v>441</v>
      </c>
      <c r="J3135" s="20" t="s">
        <v>163</v>
      </c>
      <c r="K3135" s="378" t="s">
        <v>4615</v>
      </c>
      <c r="L3135" s="378" t="s">
        <v>2789</v>
      </c>
      <c r="M3135" s="380">
        <v>838</v>
      </c>
      <c r="N3135" s="380">
        <v>13.4</v>
      </c>
      <c r="O3135" s="380" t="s">
        <v>443</v>
      </c>
      <c r="P3135" s="380" t="s">
        <v>443</v>
      </c>
      <c r="Q3135" s="381">
        <v>3.72</v>
      </c>
      <c r="R3135" s="381">
        <v>4.4000000000000004</v>
      </c>
      <c r="S3135" s="381">
        <v>-0.68600000000000005</v>
      </c>
      <c r="T3135" s="381">
        <v>2.1900000000000001E-3</v>
      </c>
      <c r="U3135" s="381">
        <v>0</v>
      </c>
      <c r="V3135" s="382">
        <v>4.4021900000000009</v>
      </c>
      <c r="W3135" s="382">
        <v>0</v>
      </c>
      <c r="X3135" s="381">
        <v>0.27761194029850744</v>
      </c>
      <c r="Y3135" s="381">
        <v>0.32835820895522388</v>
      </c>
      <c r="Z3135" s="381">
        <v>-5.1194029850746274E-2</v>
      </c>
      <c r="AA3135" s="381">
        <v>1.6343283582089552E-4</v>
      </c>
      <c r="AB3135" s="381">
        <v>0</v>
      </c>
      <c r="AC3135" s="382">
        <v>0.32852164179104476</v>
      </c>
      <c r="AD3135" s="382">
        <v>0</v>
      </c>
      <c r="AE3135" s="381" t="s">
        <v>444</v>
      </c>
    </row>
    <row r="3136" spans="1:31" ht="15" customHeight="1" x14ac:dyDescent="0.25">
      <c r="A3136" s="20" t="s">
        <v>4546</v>
      </c>
      <c r="B3136" s="20" t="s">
        <v>4546</v>
      </c>
      <c r="C3136" s="20" t="s">
        <v>4546</v>
      </c>
      <c r="D3136" s="378" t="s">
        <v>4616</v>
      </c>
      <c r="E3136" s="384">
        <v>45534</v>
      </c>
      <c r="F3136" s="384">
        <v>47360</v>
      </c>
      <c r="G3136" s="378" t="s">
        <v>439</v>
      </c>
      <c r="H3136" s="20" t="s">
        <v>4617</v>
      </c>
      <c r="I3136" s="378" t="s">
        <v>441</v>
      </c>
      <c r="J3136" s="20" t="s">
        <v>163</v>
      </c>
      <c r="K3136" s="378" t="s">
        <v>4618</v>
      </c>
      <c r="L3136" s="378" t="s">
        <v>2789</v>
      </c>
      <c r="M3136" s="380">
        <v>913</v>
      </c>
      <c r="N3136" s="380">
        <v>14.6</v>
      </c>
      <c r="O3136" s="380" t="s">
        <v>443</v>
      </c>
      <c r="P3136" s="380" t="s">
        <v>443</v>
      </c>
      <c r="Q3136" s="381">
        <v>3.94</v>
      </c>
      <c r="R3136" s="381">
        <v>4.71</v>
      </c>
      <c r="S3136" s="381">
        <v>-0.77700000000000002</v>
      </c>
      <c r="T3136" s="381">
        <v>2.0699999999999998E-3</v>
      </c>
      <c r="U3136" s="381">
        <v>0</v>
      </c>
      <c r="V3136" s="382">
        <v>4.7120699999999998</v>
      </c>
      <c r="W3136" s="382">
        <v>0</v>
      </c>
      <c r="X3136" s="381">
        <v>0.26986301369863014</v>
      </c>
      <c r="Y3136" s="381">
        <v>0.32260273972602738</v>
      </c>
      <c r="Z3136" s="381">
        <v>-5.3219178082191787E-2</v>
      </c>
      <c r="AA3136" s="381">
        <v>1.4178082191780822E-4</v>
      </c>
      <c r="AB3136" s="381">
        <v>0</v>
      </c>
      <c r="AC3136" s="382">
        <v>0.32274452054794517</v>
      </c>
      <c r="AD3136" s="382">
        <v>0</v>
      </c>
      <c r="AE3136" s="381" t="s">
        <v>444</v>
      </c>
    </row>
    <row r="3137" spans="1:31" ht="15" customHeight="1" x14ac:dyDescent="0.25">
      <c r="A3137" s="20" t="s">
        <v>4546</v>
      </c>
      <c r="B3137" s="20" t="s">
        <v>4546</v>
      </c>
      <c r="C3137" s="20" t="s">
        <v>4546</v>
      </c>
      <c r="D3137" s="378" t="s">
        <v>4619</v>
      </c>
      <c r="E3137" s="384">
        <v>45534</v>
      </c>
      <c r="F3137" s="384">
        <v>47360</v>
      </c>
      <c r="G3137" s="378" t="s">
        <v>439</v>
      </c>
      <c r="H3137" s="20" t="s">
        <v>4620</v>
      </c>
      <c r="I3137" s="378" t="s">
        <v>441</v>
      </c>
      <c r="J3137" s="20" t="s">
        <v>163</v>
      </c>
      <c r="K3137" s="378" t="s">
        <v>4621</v>
      </c>
      <c r="L3137" s="378" t="s">
        <v>2789</v>
      </c>
      <c r="M3137" s="380">
        <v>923</v>
      </c>
      <c r="N3137" s="380">
        <v>12</v>
      </c>
      <c r="O3137" s="380" t="s">
        <v>443</v>
      </c>
      <c r="P3137" s="380" t="s">
        <v>443</v>
      </c>
      <c r="Q3137" s="381">
        <v>3.25</v>
      </c>
      <c r="R3137" s="381">
        <v>4.05</v>
      </c>
      <c r="S3137" s="381">
        <v>-0.79900000000000004</v>
      </c>
      <c r="T3137" s="381">
        <v>2.15E-3</v>
      </c>
      <c r="U3137" s="381">
        <v>0</v>
      </c>
      <c r="V3137" s="382">
        <v>4.0521500000000001</v>
      </c>
      <c r="W3137" s="382">
        <v>0</v>
      </c>
      <c r="X3137" s="381">
        <v>0.27083333333333331</v>
      </c>
      <c r="Y3137" s="381">
        <v>0.33749999999999997</v>
      </c>
      <c r="Z3137" s="381">
        <v>-6.6583333333333342E-2</v>
      </c>
      <c r="AA3137" s="381">
        <v>1.7916666666666667E-4</v>
      </c>
      <c r="AB3137" s="381">
        <v>0</v>
      </c>
      <c r="AC3137" s="382">
        <v>0.33767916666666664</v>
      </c>
      <c r="AD3137" s="382">
        <v>0</v>
      </c>
      <c r="AE3137" s="381" t="s">
        <v>444</v>
      </c>
    </row>
    <row r="3138" spans="1:31" ht="15" customHeight="1" x14ac:dyDescent="0.25">
      <c r="A3138" s="20" t="s">
        <v>4546</v>
      </c>
      <c r="B3138" s="20" t="s">
        <v>4546</v>
      </c>
      <c r="C3138" s="20" t="s">
        <v>4546</v>
      </c>
      <c r="D3138" s="378" t="s">
        <v>4622</v>
      </c>
      <c r="E3138" s="384">
        <v>45534</v>
      </c>
      <c r="F3138" s="384">
        <v>47360</v>
      </c>
      <c r="G3138" s="378" t="s">
        <v>439</v>
      </c>
      <c r="H3138" s="20" t="s">
        <v>4623</v>
      </c>
      <c r="I3138" s="378" t="s">
        <v>441</v>
      </c>
      <c r="J3138" s="20" t="s">
        <v>163</v>
      </c>
      <c r="K3138" s="378" t="s">
        <v>4624</v>
      </c>
      <c r="L3138" s="378" t="s">
        <v>2789</v>
      </c>
      <c r="M3138" s="380">
        <v>820</v>
      </c>
      <c r="N3138" s="380">
        <v>20.5</v>
      </c>
      <c r="O3138" s="380" t="s">
        <v>443</v>
      </c>
      <c r="P3138" s="380" t="s">
        <v>443</v>
      </c>
      <c r="Q3138" s="381">
        <v>5.98</v>
      </c>
      <c r="R3138" s="381">
        <v>6.83</v>
      </c>
      <c r="S3138" s="381">
        <v>-0.85</v>
      </c>
      <c r="T3138" s="381">
        <v>2.7399999999999998E-3</v>
      </c>
      <c r="U3138" s="381">
        <v>0</v>
      </c>
      <c r="V3138" s="382">
        <v>6.8327400000000003</v>
      </c>
      <c r="W3138" s="382">
        <v>0</v>
      </c>
      <c r="X3138" s="381">
        <v>0.29170731707317077</v>
      </c>
      <c r="Y3138" s="381">
        <v>0.33317073170731709</v>
      </c>
      <c r="Z3138" s="381">
        <v>-4.1463414634146344E-2</v>
      </c>
      <c r="AA3138" s="381">
        <v>1.3365853658536583E-4</v>
      </c>
      <c r="AB3138" s="381">
        <v>0</v>
      </c>
      <c r="AC3138" s="382">
        <v>0.33330439024390246</v>
      </c>
      <c r="AD3138" s="382">
        <v>0</v>
      </c>
      <c r="AE3138" s="381" t="s">
        <v>444</v>
      </c>
    </row>
    <row r="3139" spans="1:31" ht="15" customHeight="1" x14ac:dyDescent="0.25">
      <c r="A3139" s="20" t="s">
        <v>4625</v>
      </c>
      <c r="B3139" s="20"/>
      <c r="C3139" s="20" t="s">
        <v>4625</v>
      </c>
      <c r="D3139" s="378" t="s">
        <v>4626</v>
      </c>
      <c r="E3139" s="384">
        <v>44679</v>
      </c>
      <c r="F3139" s="384">
        <v>46503</v>
      </c>
      <c r="G3139" s="378" t="s">
        <v>2837</v>
      </c>
      <c r="H3139" s="20" t="s">
        <v>4627</v>
      </c>
      <c r="I3139" s="378">
        <v>0</v>
      </c>
      <c r="J3139" s="20" t="s">
        <v>3537</v>
      </c>
      <c r="K3139" s="378" t="s">
        <v>4628</v>
      </c>
      <c r="L3139" s="378" t="s">
        <v>165</v>
      </c>
      <c r="M3139" s="380">
        <v>1170</v>
      </c>
      <c r="N3139" s="380" t="s">
        <v>443</v>
      </c>
      <c r="O3139" s="380" t="s">
        <v>443</v>
      </c>
      <c r="P3139" s="380" t="s">
        <v>443</v>
      </c>
      <c r="Q3139" s="381">
        <v>7420</v>
      </c>
      <c r="R3139" s="381">
        <v>7390</v>
      </c>
      <c r="S3139" s="381">
        <v>26.7</v>
      </c>
      <c r="T3139" s="381">
        <v>2.63</v>
      </c>
      <c r="U3139" s="381">
        <v>0</v>
      </c>
      <c r="V3139" s="382">
        <v>7419.33</v>
      </c>
      <c r="W3139" s="382">
        <v>0</v>
      </c>
      <c r="X3139" s="381">
        <v>6.3418803418803416</v>
      </c>
      <c r="Y3139" s="381">
        <v>6.316239316239316</v>
      </c>
      <c r="Z3139" s="381">
        <v>2.2820512820512819E-2</v>
      </c>
      <c r="AA3139" s="381">
        <v>2.2478632478632478E-3</v>
      </c>
      <c r="AB3139" s="381">
        <v>0</v>
      </c>
      <c r="AC3139" s="382">
        <v>6.3413076923076916</v>
      </c>
      <c r="AD3139" s="382">
        <v>0</v>
      </c>
      <c r="AE3139" s="381" t="s">
        <v>444</v>
      </c>
    </row>
    <row r="3140" spans="1:31" ht="15" customHeight="1" x14ac:dyDescent="0.25">
      <c r="A3140" s="20" t="s">
        <v>4625</v>
      </c>
      <c r="B3140" s="20"/>
      <c r="C3140" s="20" t="s">
        <v>4625</v>
      </c>
      <c r="D3140" s="378" t="s">
        <v>4629</v>
      </c>
      <c r="E3140" s="384">
        <v>44679</v>
      </c>
      <c r="F3140" s="384">
        <v>46503</v>
      </c>
      <c r="G3140" s="378" t="s">
        <v>2837</v>
      </c>
      <c r="H3140" s="20" t="s">
        <v>4630</v>
      </c>
      <c r="I3140" s="378">
        <v>0</v>
      </c>
      <c r="J3140" s="20" t="s">
        <v>3537</v>
      </c>
      <c r="K3140" s="378" t="s">
        <v>4631</v>
      </c>
      <c r="L3140" s="378" t="s">
        <v>165</v>
      </c>
      <c r="M3140" s="380">
        <v>1200</v>
      </c>
      <c r="N3140" s="380" t="s">
        <v>443</v>
      </c>
      <c r="O3140" s="380" t="s">
        <v>443</v>
      </c>
      <c r="P3140" s="380" t="s">
        <v>443</v>
      </c>
      <c r="Q3140" s="381">
        <v>10800</v>
      </c>
      <c r="R3140" s="381">
        <v>10800</v>
      </c>
      <c r="S3140" s="381">
        <v>26.3</v>
      </c>
      <c r="T3140" s="381">
        <v>2.17</v>
      </c>
      <c r="U3140" s="381">
        <v>0</v>
      </c>
      <c r="V3140" s="382">
        <v>10828.47</v>
      </c>
      <c r="W3140" s="382">
        <v>0</v>
      </c>
      <c r="X3140" s="381">
        <v>9</v>
      </c>
      <c r="Y3140" s="381">
        <v>9</v>
      </c>
      <c r="Z3140" s="381">
        <v>2.1916666666666668E-2</v>
      </c>
      <c r="AA3140" s="381">
        <v>1.8083333333333332E-3</v>
      </c>
      <c r="AB3140" s="381">
        <v>0</v>
      </c>
      <c r="AC3140" s="382">
        <v>9.0237249999999989</v>
      </c>
      <c r="AD3140" s="382">
        <v>0</v>
      </c>
      <c r="AE3140" s="381" t="s">
        <v>444</v>
      </c>
    </row>
    <row r="3141" spans="1:31" ht="15" customHeight="1" x14ac:dyDescent="0.25">
      <c r="A3141" s="20" t="s">
        <v>4625</v>
      </c>
      <c r="B3141" s="20"/>
      <c r="C3141" s="20" t="s">
        <v>4625</v>
      </c>
      <c r="D3141" s="378" t="s">
        <v>4632</v>
      </c>
      <c r="E3141" s="384">
        <v>44679</v>
      </c>
      <c r="F3141" s="384">
        <v>46503</v>
      </c>
      <c r="G3141" s="378" t="s">
        <v>2837</v>
      </c>
      <c r="H3141" s="20" t="s">
        <v>4630</v>
      </c>
      <c r="I3141" s="378">
        <v>0</v>
      </c>
      <c r="J3141" s="20" t="s">
        <v>3537</v>
      </c>
      <c r="K3141" s="378" t="s">
        <v>4633</v>
      </c>
      <c r="L3141" s="378" t="s">
        <v>165</v>
      </c>
      <c r="M3141" s="380">
        <v>1200</v>
      </c>
      <c r="N3141" s="380" t="s">
        <v>443</v>
      </c>
      <c r="O3141" s="380" t="s">
        <v>443</v>
      </c>
      <c r="P3141" s="380" t="s">
        <v>443</v>
      </c>
      <c r="Q3141" s="381">
        <v>11500</v>
      </c>
      <c r="R3141" s="381">
        <v>11500</v>
      </c>
      <c r="S3141" s="381">
        <v>26.6</v>
      </c>
      <c r="T3141" s="381">
        <v>2.1800000000000002</v>
      </c>
      <c r="U3141" s="381">
        <v>0</v>
      </c>
      <c r="V3141" s="382">
        <v>11528.78</v>
      </c>
      <c r="W3141" s="382">
        <v>0</v>
      </c>
      <c r="X3141" s="381">
        <v>9.5833333333333339</v>
      </c>
      <c r="Y3141" s="381">
        <v>9.5833333333333339</v>
      </c>
      <c r="Z3141" s="381">
        <v>2.2166666666666668E-2</v>
      </c>
      <c r="AA3141" s="381">
        <v>1.8166666666666667E-3</v>
      </c>
      <c r="AB3141" s="381">
        <v>0</v>
      </c>
      <c r="AC3141" s="382">
        <v>9.6073166666666676</v>
      </c>
      <c r="AD3141" s="382">
        <v>0</v>
      </c>
      <c r="AE3141" s="381" t="s">
        <v>444</v>
      </c>
    </row>
    <row r="3142" spans="1:31" ht="15" customHeight="1" x14ac:dyDescent="0.25">
      <c r="A3142" s="20" t="s">
        <v>4625</v>
      </c>
      <c r="B3142" s="20"/>
      <c r="C3142" s="20" t="s">
        <v>4625</v>
      </c>
      <c r="D3142" s="378" t="s">
        <v>4634</v>
      </c>
      <c r="E3142" s="384">
        <v>45106</v>
      </c>
      <c r="F3142" s="384">
        <v>46932</v>
      </c>
      <c r="G3142" s="378" t="s">
        <v>2837</v>
      </c>
      <c r="H3142" s="20" t="s">
        <v>4635</v>
      </c>
      <c r="I3142" s="378">
        <v>0</v>
      </c>
      <c r="J3142" s="20" t="s">
        <v>3537</v>
      </c>
      <c r="K3142" s="378" t="s">
        <v>4636</v>
      </c>
      <c r="L3142" s="378" t="s">
        <v>165</v>
      </c>
      <c r="M3142" s="380">
        <v>1100</v>
      </c>
      <c r="N3142" s="380" t="s">
        <v>443</v>
      </c>
      <c r="O3142" s="380" t="s">
        <v>443</v>
      </c>
      <c r="P3142" s="380" t="s">
        <v>443</v>
      </c>
      <c r="Q3142" s="381">
        <v>487</v>
      </c>
      <c r="R3142" s="381">
        <v>479</v>
      </c>
      <c r="S3142" s="381">
        <v>3.53</v>
      </c>
      <c r="T3142" s="381">
        <v>2.65</v>
      </c>
      <c r="U3142" s="381">
        <v>0</v>
      </c>
      <c r="V3142" s="382">
        <v>485.17999999999995</v>
      </c>
      <c r="W3142" s="382">
        <v>0</v>
      </c>
      <c r="X3142" s="381">
        <v>0.44272727272727275</v>
      </c>
      <c r="Y3142" s="381">
        <v>0.43545454545454543</v>
      </c>
      <c r="Z3142" s="381">
        <v>3.2090909090909088E-3</v>
      </c>
      <c r="AA3142" s="381">
        <v>2.4090909090909089E-3</v>
      </c>
      <c r="AB3142" s="381">
        <v>0</v>
      </c>
      <c r="AC3142" s="382">
        <v>0.44107272727272723</v>
      </c>
      <c r="AD3142" s="382">
        <v>0</v>
      </c>
      <c r="AE3142" s="381" t="s">
        <v>444</v>
      </c>
    </row>
    <row r="3143" spans="1:31" ht="15" customHeight="1" x14ac:dyDescent="0.25">
      <c r="A3143" s="20" t="s">
        <v>4637</v>
      </c>
      <c r="B3143" s="20"/>
      <c r="C3143" s="20" t="s">
        <v>4638</v>
      </c>
      <c r="D3143" s="378" t="s">
        <v>4639</v>
      </c>
      <c r="E3143" s="384">
        <v>0</v>
      </c>
      <c r="F3143" s="384">
        <v>0</v>
      </c>
      <c r="G3143" s="378">
        <v>0</v>
      </c>
      <c r="H3143" s="20">
        <v>0</v>
      </c>
      <c r="I3143" s="378" t="s">
        <v>441</v>
      </c>
      <c r="J3143" s="20">
        <v>0</v>
      </c>
      <c r="K3143" s="378">
        <v>0</v>
      </c>
      <c r="L3143" s="378" t="s">
        <v>2774</v>
      </c>
      <c r="M3143" s="380" t="s">
        <v>443</v>
      </c>
      <c r="N3143" s="380" t="s">
        <v>443</v>
      </c>
      <c r="O3143" s="380" t="s">
        <v>443</v>
      </c>
      <c r="P3143" s="380" t="s">
        <v>443</v>
      </c>
      <c r="Q3143" s="381">
        <v>3.3413000000000004</v>
      </c>
      <c r="R3143" s="381">
        <v>0</v>
      </c>
      <c r="S3143" s="381">
        <v>0</v>
      </c>
      <c r="T3143" s="381">
        <v>0</v>
      </c>
      <c r="U3143" s="381">
        <v>0</v>
      </c>
      <c r="V3143" s="382">
        <v>3.3413000000000004</v>
      </c>
      <c r="W3143" s="382">
        <v>0</v>
      </c>
      <c r="X3143" s="381">
        <v>3.3413000000000004</v>
      </c>
      <c r="Y3143" s="381">
        <v>0</v>
      </c>
      <c r="Z3143" s="381">
        <v>0</v>
      </c>
      <c r="AA3143" s="381">
        <v>0</v>
      </c>
      <c r="AB3143" s="381">
        <v>0</v>
      </c>
      <c r="AC3143" s="382">
        <v>3.3413000000000004</v>
      </c>
      <c r="AD3143" s="382">
        <v>0</v>
      </c>
      <c r="AE3143" s="381" t="s">
        <v>168</v>
      </c>
    </row>
    <row r="3144" spans="1:31" ht="15" customHeight="1" x14ac:dyDescent="0.25">
      <c r="A3144" s="20" t="s">
        <v>4640</v>
      </c>
      <c r="B3144" s="20"/>
      <c r="C3144" s="20" t="s">
        <v>4641</v>
      </c>
      <c r="D3144" s="378" t="s">
        <v>4642</v>
      </c>
      <c r="E3144" s="384">
        <v>0</v>
      </c>
      <c r="F3144" s="384">
        <v>0</v>
      </c>
      <c r="G3144" s="378">
        <v>0</v>
      </c>
      <c r="H3144" s="20">
        <v>0</v>
      </c>
      <c r="I3144" s="378" t="s">
        <v>441</v>
      </c>
      <c r="J3144" s="20">
        <v>0</v>
      </c>
      <c r="K3144" s="378">
        <v>0</v>
      </c>
      <c r="L3144" s="378" t="s">
        <v>2774</v>
      </c>
      <c r="M3144" s="380" t="s">
        <v>443</v>
      </c>
      <c r="N3144" s="380" t="s">
        <v>443</v>
      </c>
      <c r="O3144" s="380" t="s">
        <v>443</v>
      </c>
      <c r="P3144" s="380" t="s">
        <v>443</v>
      </c>
      <c r="Q3144" s="381">
        <v>2.2713000000000001</v>
      </c>
      <c r="R3144" s="381">
        <v>0</v>
      </c>
      <c r="S3144" s="381">
        <v>0</v>
      </c>
      <c r="T3144" s="381">
        <v>0</v>
      </c>
      <c r="U3144" s="381">
        <v>0</v>
      </c>
      <c r="V3144" s="382">
        <v>2.2713000000000001</v>
      </c>
      <c r="W3144" s="382">
        <v>0</v>
      </c>
      <c r="X3144" s="381">
        <v>2.2713000000000001</v>
      </c>
      <c r="Y3144" s="381">
        <v>0</v>
      </c>
      <c r="Z3144" s="381">
        <v>0</v>
      </c>
      <c r="AA3144" s="381">
        <v>0</v>
      </c>
      <c r="AB3144" s="381">
        <v>0</v>
      </c>
      <c r="AC3144" s="382">
        <v>2.2713000000000001</v>
      </c>
      <c r="AD3144" s="382">
        <v>0</v>
      </c>
      <c r="AE3144" s="381" t="s">
        <v>168</v>
      </c>
    </row>
    <row r="3145" spans="1:31" ht="15" customHeight="1" x14ac:dyDescent="0.25">
      <c r="A3145" s="20" t="s">
        <v>2783</v>
      </c>
      <c r="B3145" s="20" t="s">
        <v>4643</v>
      </c>
      <c r="C3145" s="20" t="s">
        <v>4644</v>
      </c>
      <c r="D3145" s="378" t="s">
        <v>4645</v>
      </c>
      <c r="E3145" s="384">
        <v>43077</v>
      </c>
      <c r="F3145" s="384">
        <v>44903</v>
      </c>
      <c r="G3145" s="378" t="s">
        <v>439</v>
      </c>
      <c r="H3145" s="20" t="s">
        <v>3750</v>
      </c>
      <c r="I3145" s="20" t="s">
        <v>353</v>
      </c>
      <c r="J3145" s="20" t="s">
        <v>163</v>
      </c>
      <c r="K3145" s="378" t="s">
        <v>4646</v>
      </c>
      <c r="L3145" s="20" t="s">
        <v>165</v>
      </c>
      <c r="M3145" s="381">
        <v>492</v>
      </c>
      <c r="N3145" s="381"/>
      <c r="O3145" s="380"/>
      <c r="P3145" s="380"/>
      <c r="Q3145" s="381">
        <v>-336.4</v>
      </c>
      <c r="R3145" s="381">
        <v>432</v>
      </c>
      <c r="S3145" s="381">
        <v>-772</v>
      </c>
      <c r="T3145" s="381">
        <v>0</v>
      </c>
      <c r="U3145" s="381">
        <v>829.84000000000015</v>
      </c>
      <c r="V3145" s="382">
        <v>489.84000000000015</v>
      </c>
      <c r="W3145" s="382">
        <v>829.84000000000015</v>
      </c>
      <c r="X3145" s="381">
        <v>-0.68373983739837396</v>
      </c>
      <c r="Y3145" s="381">
        <v>0.87804878048780488</v>
      </c>
      <c r="Z3145" s="381">
        <v>-1.5691056910569106</v>
      </c>
      <c r="AA3145" s="381">
        <v>0</v>
      </c>
      <c r="AB3145" s="381">
        <v>1.686666666666667</v>
      </c>
      <c r="AC3145" s="382">
        <v>0.9956097560975613</v>
      </c>
      <c r="AD3145" s="382">
        <v>1.686666666666667</v>
      </c>
      <c r="AE3145" s="381" t="s">
        <v>168</v>
      </c>
    </row>
    <row r="3146" spans="1:31" ht="15" customHeight="1" x14ac:dyDescent="0.25">
      <c r="A3146" s="20" t="s">
        <v>2783</v>
      </c>
      <c r="B3146" s="20" t="s">
        <v>4643</v>
      </c>
      <c r="C3146" s="20" t="s">
        <v>4644</v>
      </c>
      <c r="D3146" s="378" t="s">
        <v>4647</v>
      </c>
      <c r="E3146" s="384">
        <v>43077</v>
      </c>
      <c r="F3146" s="384">
        <v>44903</v>
      </c>
      <c r="G3146" s="378" t="s">
        <v>439</v>
      </c>
      <c r="H3146" s="20" t="s">
        <v>3750</v>
      </c>
      <c r="I3146" s="20" t="s">
        <v>353</v>
      </c>
      <c r="J3146" s="20" t="s">
        <v>163</v>
      </c>
      <c r="K3146" s="378" t="s">
        <v>4646</v>
      </c>
      <c r="L3146" s="20" t="s">
        <v>165</v>
      </c>
      <c r="M3146" s="381">
        <v>493.33333333333337</v>
      </c>
      <c r="N3146" s="381"/>
      <c r="O3146" s="380"/>
      <c r="P3146" s="380"/>
      <c r="Q3146" s="381">
        <v>-363.33333333333337</v>
      </c>
      <c r="R3146" s="381">
        <v>410.66666666666669</v>
      </c>
      <c r="S3146" s="381">
        <v>-773.33333333333337</v>
      </c>
      <c r="T3146" s="381">
        <v>0</v>
      </c>
      <c r="U3146" s="381">
        <v>832.08888888888896</v>
      </c>
      <c r="V3146" s="382">
        <v>469.42222222222227</v>
      </c>
      <c r="W3146" s="382">
        <v>832.08888888888896</v>
      </c>
      <c r="X3146" s="381">
        <v>-0.73648648648648651</v>
      </c>
      <c r="Y3146" s="381">
        <v>0.83243243243243237</v>
      </c>
      <c r="Z3146" s="381">
        <v>-1.5675675675675675</v>
      </c>
      <c r="AA3146" s="381">
        <v>0</v>
      </c>
      <c r="AB3146" s="381">
        <v>1.6866666666666668</v>
      </c>
      <c r="AC3146" s="382">
        <v>0.95153153153153158</v>
      </c>
      <c r="AD3146" s="382">
        <v>1.6866666666666668</v>
      </c>
      <c r="AE3146" s="381" t="s">
        <v>168</v>
      </c>
    </row>
    <row r="3147" spans="1:31" ht="15" customHeight="1" x14ac:dyDescent="0.25">
      <c r="A3147" s="20" t="s">
        <v>4643</v>
      </c>
      <c r="B3147" s="20" t="s">
        <v>4643</v>
      </c>
      <c r="C3147" s="20" t="s">
        <v>4644</v>
      </c>
      <c r="D3147" s="378" t="s">
        <v>4648</v>
      </c>
      <c r="E3147" s="384">
        <v>44854</v>
      </c>
      <c r="F3147" s="384">
        <v>46740</v>
      </c>
      <c r="G3147" s="378" t="s">
        <v>4649</v>
      </c>
      <c r="H3147" s="20" t="s">
        <v>4650</v>
      </c>
      <c r="I3147" s="378">
        <v>0</v>
      </c>
      <c r="J3147" s="20" t="s">
        <v>2831</v>
      </c>
      <c r="K3147" s="378" t="s">
        <v>4651</v>
      </c>
      <c r="L3147" s="378" t="s">
        <v>165</v>
      </c>
      <c r="M3147" s="380">
        <v>515</v>
      </c>
      <c r="N3147" s="380" t="s">
        <v>443</v>
      </c>
      <c r="O3147" s="380" t="s">
        <v>443</v>
      </c>
      <c r="P3147" s="380" t="s">
        <v>443</v>
      </c>
      <c r="Q3147" s="381">
        <v>-454</v>
      </c>
      <c r="R3147" s="381">
        <v>320</v>
      </c>
      <c r="S3147" s="381">
        <v>-841</v>
      </c>
      <c r="T3147" s="381">
        <v>0.107</v>
      </c>
      <c r="U3147" s="381">
        <v>849.75</v>
      </c>
      <c r="V3147" s="382">
        <v>328.85699999999997</v>
      </c>
      <c r="W3147" s="382">
        <v>849.75</v>
      </c>
      <c r="X3147" s="381">
        <v>-0.88155339805825239</v>
      </c>
      <c r="Y3147" s="381">
        <v>0.62135922330097082</v>
      </c>
      <c r="Z3147" s="381">
        <v>-1.6330097087378641</v>
      </c>
      <c r="AA3147" s="381">
        <v>2.0776699029126212E-4</v>
      </c>
      <c r="AB3147" s="381">
        <v>1.65</v>
      </c>
      <c r="AC3147" s="382">
        <v>0.63855728155339797</v>
      </c>
      <c r="AD3147" s="382">
        <v>1.65</v>
      </c>
      <c r="AE3147" s="381" t="s">
        <v>168</v>
      </c>
    </row>
    <row r="3148" spans="1:31" ht="15" customHeight="1" x14ac:dyDescent="0.25">
      <c r="A3148" s="20" t="s">
        <v>4643</v>
      </c>
      <c r="B3148" s="20" t="s">
        <v>4643</v>
      </c>
      <c r="C3148" s="20" t="s">
        <v>4644</v>
      </c>
      <c r="D3148" s="378" t="s">
        <v>4652</v>
      </c>
      <c r="E3148" s="384">
        <v>44854</v>
      </c>
      <c r="F3148" s="384">
        <v>46740</v>
      </c>
      <c r="G3148" s="378" t="s">
        <v>4649</v>
      </c>
      <c r="H3148" s="20" t="s">
        <v>4653</v>
      </c>
      <c r="I3148" s="378">
        <v>0</v>
      </c>
      <c r="J3148" s="20" t="s">
        <v>2831</v>
      </c>
      <c r="K3148" s="378" t="s">
        <v>4654</v>
      </c>
      <c r="L3148" s="378" t="s">
        <v>165</v>
      </c>
      <c r="M3148" s="380">
        <v>515</v>
      </c>
      <c r="N3148" s="380" t="s">
        <v>443</v>
      </c>
      <c r="O3148" s="380" t="s">
        <v>443</v>
      </c>
      <c r="P3148" s="380" t="s">
        <v>443</v>
      </c>
      <c r="Q3148" s="381">
        <v>-512</v>
      </c>
      <c r="R3148" s="381">
        <v>262</v>
      </c>
      <c r="S3148" s="381">
        <v>-841</v>
      </c>
      <c r="T3148" s="381">
        <v>0.105</v>
      </c>
      <c r="U3148" s="381">
        <v>849.75</v>
      </c>
      <c r="V3148" s="382">
        <v>270.85500000000002</v>
      </c>
      <c r="W3148" s="382">
        <v>849.75</v>
      </c>
      <c r="X3148" s="381">
        <v>-0.99417475728155336</v>
      </c>
      <c r="Y3148" s="381">
        <v>0.50873786407766985</v>
      </c>
      <c r="Z3148" s="381">
        <v>-1.6330097087378641</v>
      </c>
      <c r="AA3148" s="381">
        <v>2.0388349514563107E-4</v>
      </c>
      <c r="AB3148" s="381">
        <v>1.65</v>
      </c>
      <c r="AC3148" s="382">
        <v>0.52593203883495132</v>
      </c>
      <c r="AD3148" s="382">
        <v>1.65</v>
      </c>
      <c r="AE3148" s="381" t="s">
        <v>168</v>
      </c>
    </row>
    <row r="3149" spans="1:31" ht="15" customHeight="1" x14ac:dyDescent="0.25">
      <c r="A3149" s="20" t="s">
        <v>4643</v>
      </c>
      <c r="B3149" s="20" t="s">
        <v>4643</v>
      </c>
      <c r="C3149" s="20" t="s">
        <v>4644</v>
      </c>
      <c r="D3149" s="378" t="s">
        <v>4655</v>
      </c>
      <c r="E3149" s="384">
        <v>45028</v>
      </c>
      <c r="F3149" s="384">
        <v>46855</v>
      </c>
      <c r="G3149" s="378" t="s">
        <v>2829</v>
      </c>
      <c r="H3149" s="20" t="s">
        <v>4656</v>
      </c>
      <c r="I3149" s="378">
        <v>0</v>
      </c>
      <c r="J3149" s="20" t="s">
        <v>2831</v>
      </c>
      <c r="K3149" s="378" t="s">
        <v>4657</v>
      </c>
      <c r="L3149" s="378" t="s">
        <v>165</v>
      </c>
      <c r="M3149" s="380">
        <v>593</v>
      </c>
      <c r="N3149" s="380" t="s">
        <v>443</v>
      </c>
      <c r="O3149" s="380" t="s">
        <v>443</v>
      </c>
      <c r="P3149" s="380" t="s">
        <v>443</v>
      </c>
      <c r="Q3149" s="381">
        <v>-737</v>
      </c>
      <c r="R3149" s="381">
        <v>215</v>
      </c>
      <c r="S3149" s="381">
        <v>-952</v>
      </c>
      <c r="T3149" s="381">
        <v>5.7700000000000001E-2</v>
      </c>
      <c r="U3149" s="381">
        <v>971.66666666666663</v>
      </c>
      <c r="V3149" s="382">
        <v>234.72436666666658</v>
      </c>
      <c r="W3149" s="382">
        <v>971.66666666666663</v>
      </c>
      <c r="X3149" s="381">
        <v>-1.2428330522765598</v>
      </c>
      <c r="Y3149" s="381">
        <v>0.36256323777403038</v>
      </c>
      <c r="Z3149" s="381">
        <v>-1.6053962900505903</v>
      </c>
      <c r="AA3149" s="381">
        <v>9.7301854974704894E-5</v>
      </c>
      <c r="AB3149" s="381">
        <v>1.6385609893198425</v>
      </c>
      <c r="AC3149" s="382">
        <v>0.39582523889825749</v>
      </c>
      <c r="AD3149" s="382">
        <v>1.6385609893198425</v>
      </c>
      <c r="AE3149" s="381" t="s">
        <v>168</v>
      </c>
    </row>
    <row r="3150" spans="1:31" ht="15" customHeight="1" x14ac:dyDescent="0.25">
      <c r="A3150" s="20" t="s">
        <v>4643</v>
      </c>
      <c r="B3150" s="20" t="s">
        <v>4643</v>
      </c>
      <c r="C3150" s="20" t="s">
        <v>4644</v>
      </c>
      <c r="D3150" s="378" t="s">
        <v>4658</v>
      </c>
      <c r="E3150" s="384">
        <v>45204</v>
      </c>
      <c r="F3150" s="384">
        <v>46784</v>
      </c>
      <c r="G3150" s="378" t="s">
        <v>4659</v>
      </c>
      <c r="H3150" s="20" t="s">
        <v>4660</v>
      </c>
      <c r="I3150" s="378">
        <v>0</v>
      </c>
      <c r="J3150" s="20" t="s">
        <v>2831</v>
      </c>
      <c r="K3150" s="378" t="s">
        <v>4661</v>
      </c>
      <c r="L3150" s="378" t="s">
        <v>165</v>
      </c>
      <c r="M3150" s="380">
        <v>550</v>
      </c>
      <c r="N3150" s="380" t="s">
        <v>443</v>
      </c>
      <c r="O3150" s="380" t="s">
        <v>443</v>
      </c>
      <c r="P3150" s="380" t="s">
        <v>443</v>
      </c>
      <c r="Q3150" s="381">
        <v>-514</v>
      </c>
      <c r="R3150" s="381">
        <v>363</v>
      </c>
      <c r="S3150" s="381">
        <v>-883</v>
      </c>
      <c r="T3150" s="381">
        <v>5.17</v>
      </c>
      <c r="U3150" s="381">
        <v>810.33333333333337</v>
      </c>
      <c r="V3150" s="382">
        <v>368.16999999999996</v>
      </c>
      <c r="W3150" s="382">
        <v>810.33333333333337</v>
      </c>
      <c r="X3150" s="381">
        <v>-0.93454545454545457</v>
      </c>
      <c r="Y3150" s="381">
        <v>0.66</v>
      </c>
      <c r="Z3150" s="381">
        <v>-1.6054545454545455</v>
      </c>
      <c r="AA3150" s="381">
        <v>9.4000000000000004E-3</v>
      </c>
      <c r="AB3150" s="381">
        <v>1.4733333333333334</v>
      </c>
      <c r="AC3150" s="382">
        <v>0.6694</v>
      </c>
      <c r="AD3150" s="382">
        <v>1.4733333333333334</v>
      </c>
      <c r="AE3150" s="381" t="s">
        <v>168</v>
      </c>
    </row>
    <row r="3151" spans="1:31" ht="15" customHeight="1" x14ac:dyDescent="0.25">
      <c r="A3151" s="20" t="s">
        <v>4643</v>
      </c>
      <c r="B3151" s="20" t="s">
        <v>4643</v>
      </c>
      <c r="C3151" s="20" t="s">
        <v>4644</v>
      </c>
      <c r="D3151" s="378" t="s">
        <v>4662</v>
      </c>
      <c r="E3151" s="384">
        <v>45069</v>
      </c>
      <c r="F3151" s="384">
        <v>46769</v>
      </c>
      <c r="G3151" s="378" t="s">
        <v>4663</v>
      </c>
      <c r="H3151" s="20" t="s">
        <v>4664</v>
      </c>
      <c r="I3151" s="378">
        <v>0</v>
      </c>
      <c r="J3151" s="20" t="s">
        <v>2831</v>
      </c>
      <c r="K3151" s="378" t="s">
        <v>4665</v>
      </c>
      <c r="L3151" s="378" t="s">
        <v>165</v>
      </c>
      <c r="M3151" s="380">
        <v>410</v>
      </c>
      <c r="N3151" s="380" t="s">
        <v>443</v>
      </c>
      <c r="O3151" s="380" t="s">
        <v>443</v>
      </c>
      <c r="P3151" s="380" t="s">
        <v>443</v>
      </c>
      <c r="Q3151" s="381">
        <v>-126</v>
      </c>
      <c r="R3151" s="381">
        <v>448</v>
      </c>
      <c r="S3151" s="381">
        <v>-563</v>
      </c>
      <c r="T3151" s="381">
        <v>1.5</v>
      </c>
      <c r="U3151" s="381">
        <v>522.70000000000005</v>
      </c>
      <c r="V3151" s="382">
        <v>449.5</v>
      </c>
      <c r="W3151" s="382">
        <v>522.70000000000005</v>
      </c>
      <c r="X3151" s="381">
        <v>-0.3073170731707317</v>
      </c>
      <c r="Y3151" s="381">
        <v>1.0926829268292684</v>
      </c>
      <c r="Z3151" s="381">
        <v>-1.3731707317073172</v>
      </c>
      <c r="AA3151" s="381">
        <v>3.6585365853658539E-3</v>
      </c>
      <c r="AB3151" s="381">
        <v>1.2748780487804878</v>
      </c>
      <c r="AC3151" s="382">
        <v>1.0963414634146342</v>
      </c>
      <c r="AD3151" s="382">
        <v>1.2748780487804878</v>
      </c>
      <c r="AE3151" s="381" t="s">
        <v>168</v>
      </c>
    </row>
    <row r="3152" spans="1:31" ht="15" customHeight="1" x14ac:dyDescent="0.25">
      <c r="A3152" s="20" t="s">
        <v>3490</v>
      </c>
      <c r="B3152" s="20" t="s">
        <v>4643</v>
      </c>
      <c r="C3152" s="20" t="s">
        <v>4644</v>
      </c>
      <c r="D3152" s="378" t="s">
        <v>4666</v>
      </c>
      <c r="E3152" s="384">
        <v>43077</v>
      </c>
      <c r="F3152" s="384">
        <v>44903</v>
      </c>
      <c r="G3152" s="378" t="s">
        <v>439</v>
      </c>
      <c r="H3152" s="20" t="s">
        <v>3750</v>
      </c>
      <c r="I3152" s="20" t="s">
        <v>353</v>
      </c>
      <c r="J3152" s="20" t="s">
        <v>163</v>
      </c>
      <c r="K3152" s="378" t="s">
        <v>4646</v>
      </c>
      <c r="L3152" s="20" t="s">
        <v>165</v>
      </c>
      <c r="M3152" s="381">
        <v>514.7058823529411</v>
      </c>
      <c r="N3152" s="381"/>
      <c r="O3152" s="380"/>
      <c r="P3152" s="380"/>
      <c r="Q3152" s="381">
        <v>-248.23529411764702</v>
      </c>
      <c r="R3152" s="381">
        <v>526.47058823529403</v>
      </c>
      <c r="S3152" s="381">
        <v>-776.47058823529403</v>
      </c>
      <c r="T3152" s="381">
        <v>0</v>
      </c>
      <c r="U3152" s="381">
        <v>868.13725490196066</v>
      </c>
      <c r="V3152" s="382">
        <v>618.13725490196066</v>
      </c>
      <c r="W3152" s="382">
        <v>868.13725490196066</v>
      </c>
      <c r="X3152" s="381">
        <v>-0.48228571428571426</v>
      </c>
      <c r="Y3152" s="381">
        <v>1.0228571428571429</v>
      </c>
      <c r="Z3152" s="381">
        <v>-1.5085714285714287</v>
      </c>
      <c r="AA3152" s="381">
        <v>0</v>
      </c>
      <c r="AB3152" s="381">
        <v>1.6866666666666668</v>
      </c>
      <c r="AC3152" s="382">
        <v>1.200952380952381</v>
      </c>
      <c r="AD3152" s="382">
        <v>1.6866666666666668</v>
      </c>
      <c r="AE3152" s="381" t="s">
        <v>168</v>
      </c>
    </row>
    <row r="3153" spans="1:31" ht="15" customHeight="1" x14ac:dyDescent="0.25">
      <c r="A3153" s="20" t="s">
        <v>3490</v>
      </c>
      <c r="B3153" s="20" t="s">
        <v>4643</v>
      </c>
      <c r="C3153" s="20" t="s">
        <v>4644</v>
      </c>
      <c r="D3153" s="378" t="s">
        <v>4667</v>
      </c>
      <c r="E3153" s="384">
        <v>43077</v>
      </c>
      <c r="F3153" s="384">
        <v>44903</v>
      </c>
      <c r="G3153" s="378" t="s">
        <v>439</v>
      </c>
      <c r="H3153" s="20" t="s">
        <v>3750</v>
      </c>
      <c r="I3153" s="20" t="s">
        <v>353</v>
      </c>
      <c r="J3153" s="20" t="s">
        <v>163</v>
      </c>
      <c r="K3153" s="378" t="s">
        <v>4646</v>
      </c>
      <c r="L3153" s="20" t="s">
        <v>165</v>
      </c>
      <c r="M3153" s="381">
        <v>492.85714285714289</v>
      </c>
      <c r="N3153" s="381"/>
      <c r="O3153" s="380"/>
      <c r="P3153" s="380"/>
      <c r="Q3153" s="381">
        <v>-331.42857142857139</v>
      </c>
      <c r="R3153" s="381">
        <v>440</v>
      </c>
      <c r="S3153" s="381">
        <v>-771.42857142857144</v>
      </c>
      <c r="T3153" s="381">
        <v>0</v>
      </c>
      <c r="U3153" s="381">
        <v>831.28571428571433</v>
      </c>
      <c r="V3153" s="382">
        <v>499.85714285714289</v>
      </c>
      <c r="W3153" s="382">
        <v>831.28571428571433</v>
      </c>
      <c r="X3153" s="381">
        <v>-0.67246376811594188</v>
      </c>
      <c r="Y3153" s="381">
        <v>0.89275362318840579</v>
      </c>
      <c r="Z3153" s="381">
        <v>-1.5652173913043477</v>
      </c>
      <c r="AA3153" s="381">
        <v>0</v>
      </c>
      <c r="AB3153" s="381">
        <v>1.6866666666666668</v>
      </c>
      <c r="AC3153" s="382">
        <v>1.014202898550725</v>
      </c>
      <c r="AD3153" s="382">
        <v>1.6866666666666668</v>
      </c>
      <c r="AE3153" s="381" t="s">
        <v>168</v>
      </c>
    </row>
    <row r="3154" spans="1:31" ht="15" customHeight="1" x14ac:dyDescent="0.25">
      <c r="A3154" s="20" t="s">
        <v>3490</v>
      </c>
      <c r="B3154" s="20" t="s">
        <v>4643</v>
      </c>
      <c r="C3154" s="20" t="s">
        <v>4644</v>
      </c>
      <c r="D3154" s="378" t="s">
        <v>4668</v>
      </c>
      <c r="E3154" s="384">
        <v>43077</v>
      </c>
      <c r="F3154" s="384">
        <v>44903</v>
      </c>
      <c r="G3154" s="378" t="s">
        <v>439</v>
      </c>
      <c r="H3154" s="20" t="s">
        <v>3750</v>
      </c>
      <c r="I3154" s="20" t="s">
        <v>353</v>
      </c>
      <c r="J3154" s="20" t="s">
        <v>163</v>
      </c>
      <c r="K3154" s="378" t="s">
        <v>4646</v>
      </c>
      <c r="L3154" s="20" t="s">
        <v>165</v>
      </c>
      <c r="M3154" s="381">
        <v>493.33333333333343</v>
      </c>
      <c r="N3154" s="381"/>
      <c r="O3154" s="380"/>
      <c r="P3154" s="380"/>
      <c r="Q3154" s="381">
        <v>-353.33333333333337</v>
      </c>
      <c r="R3154" s="381">
        <v>422.22222222222223</v>
      </c>
      <c r="S3154" s="381">
        <v>-775.55555555555566</v>
      </c>
      <c r="T3154" s="381">
        <v>0</v>
      </c>
      <c r="U3154" s="381">
        <v>832.08888888888907</v>
      </c>
      <c r="V3154" s="382">
        <v>478.75555555555565</v>
      </c>
      <c r="W3154" s="382">
        <v>832.08888888888907</v>
      </c>
      <c r="X3154" s="381">
        <v>-0.71621621621621612</v>
      </c>
      <c r="Y3154" s="381">
        <v>0.85585585585585566</v>
      </c>
      <c r="Z3154" s="381">
        <v>-1.572072072072072</v>
      </c>
      <c r="AA3154" s="381">
        <v>0</v>
      </c>
      <c r="AB3154" s="381">
        <v>1.6866666666666668</v>
      </c>
      <c r="AC3154" s="382">
        <v>0.97045045045045042</v>
      </c>
      <c r="AD3154" s="382">
        <v>1.6866666666666668</v>
      </c>
      <c r="AE3154" s="381" t="s">
        <v>168</v>
      </c>
    </row>
    <row r="3155" spans="1:31" ht="15" customHeight="1" x14ac:dyDescent="0.25">
      <c r="A3155" s="20" t="s">
        <v>3490</v>
      </c>
      <c r="B3155" s="20" t="s">
        <v>4643</v>
      </c>
      <c r="C3155" s="20" t="s">
        <v>4644</v>
      </c>
      <c r="D3155" s="378" t="s">
        <v>4669</v>
      </c>
      <c r="E3155" s="384">
        <v>43077</v>
      </c>
      <c r="F3155" s="384">
        <v>44903</v>
      </c>
      <c r="G3155" s="378" t="s">
        <v>439</v>
      </c>
      <c r="H3155" s="378" t="s">
        <v>3750</v>
      </c>
      <c r="I3155" s="378" t="s">
        <v>353</v>
      </c>
      <c r="J3155" s="20" t="s">
        <v>163</v>
      </c>
      <c r="K3155" s="378" t="s">
        <v>4646</v>
      </c>
      <c r="L3155" s="20" t="s">
        <v>165</v>
      </c>
      <c r="M3155" s="381">
        <v>545.88235294117635</v>
      </c>
      <c r="N3155" s="381"/>
      <c r="O3155" s="380"/>
      <c r="P3155" s="380"/>
      <c r="Q3155" s="381">
        <v>1.6529411764705628</v>
      </c>
      <c r="R3155" s="381">
        <v>778.12352941176459</v>
      </c>
      <c r="S3155" s="381">
        <v>-776.47058823529403</v>
      </c>
      <c r="T3155" s="381">
        <v>0</v>
      </c>
      <c r="U3155" s="381">
        <v>920.72156862745078</v>
      </c>
      <c r="V3155" s="382">
        <v>922.37450980392134</v>
      </c>
      <c r="W3155" s="382">
        <v>920.72156862745078</v>
      </c>
      <c r="X3155" s="381">
        <v>3.0280172413792643E-3</v>
      </c>
      <c r="Y3155" s="381">
        <v>1.4254418103448276</v>
      </c>
      <c r="Z3155" s="381">
        <v>-1.4224137931034484</v>
      </c>
      <c r="AA3155" s="381">
        <v>0</v>
      </c>
      <c r="AB3155" s="381">
        <v>1.6866666666666668</v>
      </c>
      <c r="AC3155" s="382">
        <v>1.689694683908046</v>
      </c>
      <c r="AD3155" s="382">
        <v>1.6866666666666668</v>
      </c>
      <c r="AE3155" s="381" t="s">
        <v>168</v>
      </c>
    </row>
    <row r="3156" spans="1:31" ht="15" customHeight="1" x14ac:dyDescent="0.25">
      <c r="A3156" s="20" t="s">
        <v>3490</v>
      </c>
      <c r="B3156" s="20" t="s">
        <v>4643</v>
      </c>
      <c r="C3156" s="20" t="s">
        <v>4644</v>
      </c>
      <c r="D3156" s="378" t="s">
        <v>4670</v>
      </c>
      <c r="E3156" s="384">
        <v>43077</v>
      </c>
      <c r="F3156" s="384" t="s">
        <v>3497</v>
      </c>
      <c r="G3156" s="378" t="s">
        <v>439</v>
      </c>
      <c r="H3156" s="20" t="s">
        <v>3750</v>
      </c>
      <c r="I3156" s="378" t="s">
        <v>353</v>
      </c>
      <c r="J3156" s="20" t="s">
        <v>163</v>
      </c>
      <c r="K3156" s="378" t="s">
        <v>4671</v>
      </c>
      <c r="L3156" s="378" t="s">
        <v>165</v>
      </c>
      <c r="M3156" s="380">
        <v>493.33333333333337</v>
      </c>
      <c r="N3156" s="380" t="s">
        <v>443</v>
      </c>
      <c r="O3156" s="380" t="s">
        <v>443</v>
      </c>
      <c r="P3156" s="380" t="s">
        <v>443</v>
      </c>
      <c r="Q3156" s="381">
        <v>-364.7196683333334</v>
      </c>
      <c r="R3156" s="381">
        <v>408.61366499999997</v>
      </c>
      <c r="S3156" s="381">
        <v>-773.33333333333337</v>
      </c>
      <c r="T3156" s="381">
        <v>0</v>
      </c>
      <c r="U3156" s="381">
        <v>832.08888888888896</v>
      </c>
      <c r="V3156" s="382">
        <v>467.36922055555556</v>
      </c>
      <c r="W3156" s="382">
        <v>832.08888888888896</v>
      </c>
      <c r="X3156" s="381">
        <v>-0.73929662500000004</v>
      </c>
      <c r="Y3156" s="381">
        <v>0.82827094256756739</v>
      </c>
      <c r="Z3156" s="381">
        <v>-1.5675675675675675</v>
      </c>
      <c r="AA3156" s="381">
        <v>0</v>
      </c>
      <c r="AB3156" s="381">
        <v>1.6866666666666668</v>
      </c>
      <c r="AC3156" s="382">
        <v>0.94737004166666661</v>
      </c>
      <c r="AD3156" s="382">
        <v>1.6866666666666668</v>
      </c>
      <c r="AE3156" s="381" t="s">
        <v>168</v>
      </c>
    </row>
    <row r="3157" spans="1:31" ht="15" customHeight="1" x14ac:dyDescent="0.25">
      <c r="A3157" s="20" t="s">
        <v>3490</v>
      </c>
      <c r="B3157" s="20" t="s">
        <v>4643</v>
      </c>
      <c r="C3157" s="20" t="s">
        <v>4644</v>
      </c>
      <c r="D3157" s="378" t="s">
        <v>4672</v>
      </c>
      <c r="E3157" s="384">
        <v>43077</v>
      </c>
      <c r="F3157" s="384">
        <v>44903</v>
      </c>
      <c r="G3157" s="378" t="s">
        <v>439</v>
      </c>
      <c r="H3157" s="20" t="s">
        <v>3750</v>
      </c>
      <c r="I3157" s="20" t="s">
        <v>353</v>
      </c>
      <c r="J3157" s="20" t="s">
        <v>163</v>
      </c>
      <c r="K3157" s="378" t="s">
        <v>4646</v>
      </c>
      <c r="L3157" s="20" t="s">
        <v>165</v>
      </c>
      <c r="M3157" s="381">
        <v>545.88235294117635</v>
      </c>
      <c r="N3157" s="381"/>
      <c r="O3157" s="380"/>
      <c r="P3157" s="380"/>
      <c r="Q3157" s="381">
        <v>-297.64705882352939</v>
      </c>
      <c r="R3157" s="381">
        <v>499.41176470588232</v>
      </c>
      <c r="S3157" s="381">
        <v>-794.11764705882342</v>
      </c>
      <c r="T3157" s="381">
        <v>0</v>
      </c>
      <c r="U3157" s="381">
        <v>920.72156862745078</v>
      </c>
      <c r="V3157" s="382">
        <v>626.01568627450968</v>
      </c>
      <c r="W3157" s="382">
        <v>920.72156862745078</v>
      </c>
      <c r="X3157" s="381">
        <v>-0.54525862068965525</v>
      </c>
      <c r="Y3157" s="381">
        <v>0.9148706896551726</v>
      </c>
      <c r="Z3157" s="381">
        <v>-1.454741379310345</v>
      </c>
      <c r="AA3157" s="381">
        <v>0</v>
      </c>
      <c r="AB3157" s="381">
        <v>1.6866666666666668</v>
      </c>
      <c r="AC3157" s="382">
        <v>1.1467959770114944</v>
      </c>
      <c r="AD3157" s="382">
        <v>1.6866666666666668</v>
      </c>
      <c r="AE3157" s="381" t="s">
        <v>168</v>
      </c>
    </row>
    <row r="3158" spans="1:31" ht="15" customHeight="1" x14ac:dyDescent="0.25">
      <c r="A3158" s="20" t="s">
        <v>3794</v>
      </c>
      <c r="B3158" s="20" t="s">
        <v>3949</v>
      </c>
      <c r="C3158" s="20" t="s">
        <v>3949</v>
      </c>
      <c r="D3158" s="378" t="s">
        <v>4673</v>
      </c>
      <c r="E3158" s="384">
        <v>45022</v>
      </c>
      <c r="F3158" s="384">
        <v>46849</v>
      </c>
      <c r="G3158" s="378" t="s">
        <v>3806</v>
      </c>
      <c r="H3158" s="20" t="s">
        <v>4674</v>
      </c>
      <c r="I3158" s="378">
        <v>0</v>
      </c>
      <c r="J3158" s="20" t="s">
        <v>2831</v>
      </c>
      <c r="K3158" s="378" t="s">
        <v>4675</v>
      </c>
      <c r="L3158" s="378" t="s">
        <v>2848</v>
      </c>
      <c r="M3158" s="380" t="s">
        <v>443</v>
      </c>
      <c r="N3158" s="380" t="s">
        <v>443</v>
      </c>
      <c r="O3158" s="380" t="s">
        <v>443</v>
      </c>
      <c r="P3158" s="380" t="s">
        <v>443</v>
      </c>
      <c r="Q3158" s="381">
        <v>214</v>
      </c>
      <c r="R3158" s="381">
        <v>211</v>
      </c>
      <c r="S3158" s="381">
        <v>3.3</v>
      </c>
      <c r="T3158" s="381">
        <v>0.69299999999999995</v>
      </c>
      <c r="U3158" s="381">
        <v>0</v>
      </c>
      <c r="V3158" s="382">
        <v>214.99300000000002</v>
      </c>
      <c r="W3158" s="382">
        <v>0</v>
      </c>
      <c r="X3158" s="381">
        <v>0.214</v>
      </c>
      <c r="Y3158" s="381">
        <v>0.21099999999999999</v>
      </c>
      <c r="Z3158" s="381">
        <v>3.3E-3</v>
      </c>
      <c r="AA3158" s="381">
        <v>6.9299999999999993E-4</v>
      </c>
      <c r="AB3158" s="381">
        <v>0</v>
      </c>
      <c r="AC3158" s="382">
        <v>0.21499299999999999</v>
      </c>
      <c r="AD3158" s="382">
        <v>0</v>
      </c>
      <c r="AE3158" s="381" t="s">
        <v>168</v>
      </c>
    </row>
    <row r="3159" spans="1:31" ht="15" customHeight="1" x14ac:dyDescent="0.25">
      <c r="A3159" s="20" t="s">
        <v>3794</v>
      </c>
      <c r="B3159" s="20" t="s">
        <v>3949</v>
      </c>
      <c r="C3159" s="20" t="s">
        <v>3949</v>
      </c>
      <c r="D3159" s="378" t="s">
        <v>4676</v>
      </c>
      <c r="E3159" s="384">
        <v>45022</v>
      </c>
      <c r="F3159" s="384">
        <v>46849</v>
      </c>
      <c r="G3159" s="378" t="s">
        <v>3806</v>
      </c>
      <c r="H3159" s="20" t="s">
        <v>4677</v>
      </c>
      <c r="I3159" s="378">
        <v>0</v>
      </c>
      <c r="J3159" s="20" t="s">
        <v>2831</v>
      </c>
      <c r="K3159" s="378" t="s">
        <v>4678</v>
      </c>
      <c r="L3159" s="378" t="s">
        <v>2848</v>
      </c>
      <c r="M3159" s="380" t="s">
        <v>443</v>
      </c>
      <c r="N3159" s="380" t="s">
        <v>443</v>
      </c>
      <c r="O3159" s="380" t="s">
        <v>443</v>
      </c>
      <c r="P3159" s="380" t="s">
        <v>443</v>
      </c>
      <c r="Q3159" s="381">
        <v>183</v>
      </c>
      <c r="R3159" s="381">
        <v>180</v>
      </c>
      <c r="S3159" s="381">
        <v>2.4300000000000002</v>
      </c>
      <c r="T3159" s="381">
        <v>0.66400000000000003</v>
      </c>
      <c r="U3159" s="381">
        <v>0</v>
      </c>
      <c r="V3159" s="382">
        <v>183.09399999999999</v>
      </c>
      <c r="W3159" s="382">
        <v>0</v>
      </c>
      <c r="X3159" s="381">
        <v>0.183</v>
      </c>
      <c r="Y3159" s="381">
        <v>0.18</v>
      </c>
      <c r="Z3159" s="381">
        <v>2.4300000000000003E-3</v>
      </c>
      <c r="AA3159" s="381">
        <v>6.6399999999999999E-4</v>
      </c>
      <c r="AB3159" s="381">
        <v>0</v>
      </c>
      <c r="AC3159" s="382">
        <v>0.18309399999999998</v>
      </c>
      <c r="AD3159" s="382">
        <v>0</v>
      </c>
      <c r="AE3159" s="381" t="s">
        <v>168</v>
      </c>
    </row>
    <row r="3160" spans="1:31" ht="15" customHeight="1" x14ac:dyDescent="0.25">
      <c r="A3160" s="20" t="s">
        <v>3794</v>
      </c>
      <c r="B3160" s="20" t="s">
        <v>3949</v>
      </c>
      <c r="C3160" s="20" t="s">
        <v>3949</v>
      </c>
      <c r="D3160" s="378" t="s">
        <v>4679</v>
      </c>
      <c r="E3160" s="384">
        <v>0</v>
      </c>
      <c r="F3160" s="384">
        <v>0</v>
      </c>
      <c r="G3160" s="378" t="s">
        <v>439</v>
      </c>
      <c r="H3160" s="20">
        <v>0</v>
      </c>
      <c r="I3160" s="378" t="s">
        <v>441</v>
      </c>
      <c r="J3160" s="20" t="s">
        <v>3951</v>
      </c>
      <c r="K3160" s="378" t="s">
        <v>3952</v>
      </c>
      <c r="L3160" s="378" t="s">
        <v>2848</v>
      </c>
      <c r="M3160" s="380">
        <v>2400</v>
      </c>
      <c r="N3160" s="380" t="s">
        <v>443</v>
      </c>
      <c r="O3160" s="380" t="s">
        <v>443</v>
      </c>
      <c r="P3160" s="380" t="s">
        <v>443</v>
      </c>
      <c r="Q3160" s="381">
        <v>217.85472099999998</v>
      </c>
      <c r="R3160" s="381">
        <v>0</v>
      </c>
      <c r="S3160" s="381">
        <v>0</v>
      </c>
      <c r="T3160" s="381">
        <v>0</v>
      </c>
      <c r="U3160" s="381">
        <v>0</v>
      </c>
      <c r="V3160" s="382">
        <v>217.85472099999998</v>
      </c>
      <c r="W3160" s="382">
        <v>0</v>
      </c>
      <c r="X3160" s="381">
        <v>0.21785472099999997</v>
      </c>
      <c r="Y3160" s="381">
        <v>0</v>
      </c>
      <c r="Z3160" s="381">
        <v>0</v>
      </c>
      <c r="AA3160" s="381">
        <v>0</v>
      </c>
      <c r="AB3160" s="381">
        <v>0</v>
      </c>
      <c r="AC3160" s="382">
        <v>0.21785472099999997</v>
      </c>
      <c r="AD3160" s="382">
        <v>0</v>
      </c>
      <c r="AE3160" s="381" t="s">
        <v>168</v>
      </c>
    </row>
    <row r="3161" spans="1:31" ht="15" customHeight="1" x14ac:dyDescent="0.25">
      <c r="A3161" s="20" t="s">
        <v>3794</v>
      </c>
      <c r="B3161" s="20" t="s">
        <v>3949</v>
      </c>
      <c r="C3161" s="20" t="s">
        <v>3949</v>
      </c>
      <c r="D3161" s="378" t="s">
        <v>4680</v>
      </c>
      <c r="E3161" s="384">
        <v>0</v>
      </c>
      <c r="F3161" s="384">
        <v>0</v>
      </c>
      <c r="G3161" s="378" t="s">
        <v>439</v>
      </c>
      <c r="H3161" s="20">
        <v>0</v>
      </c>
      <c r="I3161" s="378" t="s">
        <v>441</v>
      </c>
      <c r="J3161" s="20" t="s">
        <v>3951</v>
      </c>
      <c r="K3161" s="378" t="s">
        <v>3952</v>
      </c>
      <c r="L3161" s="378" t="s">
        <v>2848</v>
      </c>
      <c r="M3161" s="380">
        <v>2400</v>
      </c>
      <c r="N3161" s="380" t="s">
        <v>443</v>
      </c>
      <c r="O3161" s="380" t="s">
        <v>443</v>
      </c>
      <c r="P3161" s="380" t="s">
        <v>443</v>
      </c>
      <c r="Q3161" s="381">
        <v>214.74937619999997</v>
      </c>
      <c r="R3161" s="381">
        <v>0</v>
      </c>
      <c r="S3161" s="381">
        <v>0</v>
      </c>
      <c r="T3161" s="381">
        <v>0</v>
      </c>
      <c r="U3161" s="381">
        <v>0</v>
      </c>
      <c r="V3161" s="382">
        <v>214.74937619999997</v>
      </c>
      <c r="W3161" s="382">
        <v>0</v>
      </c>
      <c r="X3161" s="381">
        <v>0.21474937619999998</v>
      </c>
      <c r="Y3161" s="381">
        <v>0</v>
      </c>
      <c r="Z3161" s="381">
        <v>0</v>
      </c>
      <c r="AA3161" s="381">
        <v>0</v>
      </c>
      <c r="AB3161" s="381">
        <v>0</v>
      </c>
      <c r="AC3161" s="382">
        <v>0.21474937619999998</v>
      </c>
      <c r="AD3161" s="382">
        <v>0</v>
      </c>
      <c r="AE3161" s="381" t="s">
        <v>168</v>
      </c>
    </row>
    <row r="3162" spans="1:31" ht="15" customHeight="1" x14ac:dyDescent="0.25">
      <c r="A3162" s="20" t="s">
        <v>3505</v>
      </c>
      <c r="B3162" s="20" t="s">
        <v>4681</v>
      </c>
      <c r="C3162" s="20" t="s">
        <v>4682</v>
      </c>
      <c r="D3162" s="378" t="s">
        <v>4683</v>
      </c>
      <c r="E3162" s="384">
        <v>45436</v>
      </c>
      <c r="F3162" s="384">
        <v>47262</v>
      </c>
      <c r="G3162" s="378" t="s">
        <v>439</v>
      </c>
      <c r="H3162" s="20" t="s">
        <v>4684</v>
      </c>
      <c r="I3162" s="378">
        <v>0</v>
      </c>
      <c r="J3162" s="20" t="s">
        <v>163</v>
      </c>
      <c r="K3162" s="378" t="s">
        <v>4685</v>
      </c>
      <c r="L3162" s="378" t="s">
        <v>2848</v>
      </c>
      <c r="M3162" s="380" t="s">
        <v>443</v>
      </c>
      <c r="N3162" s="380" t="s">
        <v>443</v>
      </c>
      <c r="O3162" s="380" t="s">
        <v>443</v>
      </c>
      <c r="P3162" s="380" t="s">
        <v>443</v>
      </c>
      <c r="Q3162" s="381">
        <v>0.61199999999999999</v>
      </c>
      <c r="R3162" s="381">
        <v>0.61199999999999999</v>
      </c>
      <c r="S3162" s="381">
        <v>3.8299999999999999E-4</v>
      </c>
      <c r="T3162" s="381">
        <v>1.4399999999999999E-5</v>
      </c>
      <c r="U3162" s="381">
        <v>0</v>
      </c>
      <c r="V3162" s="382">
        <v>0.61239739999999998</v>
      </c>
      <c r="W3162" s="382">
        <v>0</v>
      </c>
      <c r="X3162" s="381">
        <v>6.1200000000000002E-4</v>
      </c>
      <c r="Y3162" s="381">
        <v>6.1200000000000002E-4</v>
      </c>
      <c r="Z3162" s="381">
        <v>3.8299999999999998E-7</v>
      </c>
      <c r="AA3162" s="381">
        <v>1.44E-8</v>
      </c>
      <c r="AB3162" s="381">
        <v>0</v>
      </c>
      <c r="AC3162" s="382">
        <v>6.1239740000000001E-4</v>
      </c>
      <c r="AD3162" s="382">
        <v>0</v>
      </c>
      <c r="AE3162" s="381" t="s">
        <v>444</v>
      </c>
    </row>
    <row r="3163" spans="1:31" ht="15" customHeight="1" x14ac:dyDescent="0.25">
      <c r="A3163" s="20" t="s">
        <v>3505</v>
      </c>
      <c r="B3163" s="20" t="s">
        <v>4681</v>
      </c>
      <c r="C3163" s="20" t="s">
        <v>4682</v>
      </c>
      <c r="D3163" s="378" t="s">
        <v>4686</v>
      </c>
      <c r="E3163" s="384">
        <v>45436</v>
      </c>
      <c r="F3163" s="384">
        <v>47262</v>
      </c>
      <c r="G3163" s="378" t="s">
        <v>439</v>
      </c>
      <c r="H3163" s="20" t="s">
        <v>4687</v>
      </c>
      <c r="I3163" s="378">
        <v>0</v>
      </c>
      <c r="J3163" s="20" t="s">
        <v>163</v>
      </c>
      <c r="K3163" s="378" t="s">
        <v>4688</v>
      </c>
      <c r="L3163" s="378" t="s">
        <v>2848</v>
      </c>
      <c r="M3163" s="380" t="s">
        <v>443</v>
      </c>
      <c r="N3163" s="380" t="s">
        <v>443</v>
      </c>
      <c r="O3163" s="380" t="s">
        <v>443</v>
      </c>
      <c r="P3163" s="380" t="s">
        <v>443</v>
      </c>
      <c r="Q3163" s="381">
        <v>0.49199999999999999</v>
      </c>
      <c r="R3163" s="381">
        <v>0.49199999999999999</v>
      </c>
      <c r="S3163" s="381">
        <v>2.9999999999999997E-4</v>
      </c>
      <c r="T3163" s="381">
        <v>1.1600000000000001E-5</v>
      </c>
      <c r="U3163" s="381">
        <v>0</v>
      </c>
      <c r="V3163" s="382">
        <v>0.49231160000000002</v>
      </c>
      <c r="W3163" s="382">
        <v>0</v>
      </c>
      <c r="X3163" s="381">
        <v>4.9200000000000003E-4</v>
      </c>
      <c r="Y3163" s="381">
        <v>4.9200000000000003E-4</v>
      </c>
      <c r="Z3163" s="381">
        <v>2.9999999999999999E-7</v>
      </c>
      <c r="AA3163" s="381">
        <v>1.1600000000000001E-8</v>
      </c>
      <c r="AB3163" s="381">
        <v>0</v>
      </c>
      <c r="AC3163" s="382">
        <v>4.9231160000000004E-4</v>
      </c>
      <c r="AD3163" s="382">
        <v>0</v>
      </c>
      <c r="AE3163" s="381" t="s">
        <v>444</v>
      </c>
    </row>
    <row r="3164" spans="1:31" ht="15" customHeight="1" x14ac:dyDescent="0.25">
      <c r="A3164" s="20" t="s">
        <v>3505</v>
      </c>
      <c r="B3164" s="20" t="s">
        <v>4681</v>
      </c>
      <c r="C3164" s="20" t="s">
        <v>4682</v>
      </c>
      <c r="D3164" s="378" t="s">
        <v>4689</v>
      </c>
      <c r="E3164" s="384">
        <v>45566</v>
      </c>
      <c r="F3164" s="384">
        <v>47392</v>
      </c>
      <c r="G3164" s="378" t="s">
        <v>439</v>
      </c>
      <c r="H3164" s="20" t="s">
        <v>4690</v>
      </c>
      <c r="I3164" s="378" t="s">
        <v>441</v>
      </c>
      <c r="J3164" s="20" t="s">
        <v>163</v>
      </c>
      <c r="K3164" s="378" t="s">
        <v>4691</v>
      </c>
      <c r="L3164" s="378" t="s">
        <v>2848</v>
      </c>
      <c r="M3164" s="380" t="s">
        <v>443</v>
      </c>
      <c r="N3164" s="380" t="s">
        <v>443</v>
      </c>
      <c r="O3164" s="380" t="s">
        <v>443</v>
      </c>
      <c r="P3164" s="380" t="s">
        <v>443</v>
      </c>
      <c r="Q3164" s="381">
        <v>3.08</v>
      </c>
      <c r="R3164" s="381">
        <v>3.08</v>
      </c>
      <c r="S3164" s="381">
        <v>7.2999999999999996E-4</v>
      </c>
      <c r="T3164" s="381">
        <v>5.91E-5</v>
      </c>
      <c r="U3164" s="381">
        <v>0</v>
      </c>
      <c r="V3164" s="382">
        <v>3.0807891000000001</v>
      </c>
      <c r="W3164" s="382">
        <v>0</v>
      </c>
      <c r="X3164" s="381">
        <v>3.0800000000000003E-3</v>
      </c>
      <c r="Y3164" s="381">
        <v>3.0800000000000003E-3</v>
      </c>
      <c r="Z3164" s="381">
        <v>7.3E-7</v>
      </c>
      <c r="AA3164" s="381">
        <v>5.91E-8</v>
      </c>
      <c r="AB3164" s="381">
        <v>0</v>
      </c>
      <c r="AC3164" s="382">
        <v>3.0807891000000005E-3</v>
      </c>
      <c r="AD3164" s="382">
        <v>0</v>
      </c>
      <c r="AE3164" s="381" t="s">
        <v>444</v>
      </c>
    </row>
    <row r="3165" spans="1:31" ht="15" customHeight="1" x14ac:dyDescent="0.25">
      <c r="A3165" s="20" t="s">
        <v>3505</v>
      </c>
      <c r="B3165" s="20" t="s">
        <v>4681</v>
      </c>
      <c r="C3165" s="20" t="s">
        <v>4682</v>
      </c>
      <c r="D3165" s="378" t="s">
        <v>4692</v>
      </c>
      <c r="E3165" s="384">
        <v>44774</v>
      </c>
      <c r="F3165" s="384">
        <v>46600</v>
      </c>
      <c r="G3165" s="378" t="s">
        <v>2829</v>
      </c>
      <c r="H3165" s="20" t="s">
        <v>4693</v>
      </c>
      <c r="I3165" s="378">
        <v>0</v>
      </c>
      <c r="J3165" s="20" t="s">
        <v>163</v>
      </c>
      <c r="K3165" s="378" t="s">
        <v>4694</v>
      </c>
      <c r="L3165" s="378" t="s">
        <v>2848</v>
      </c>
      <c r="M3165" s="380" t="s">
        <v>443</v>
      </c>
      <c r="N3165" s="380" t="s">
        <v>443</v>
      </c>
      <c r="O3165" s="380" t="s">
        <v>443</v>
      </c>
      <c r="P3165" s="380" t="s">
        <v>443</v>
      </c>
      <c r="Q3165" s="381">
        <v>0.82699999999999996</v>
      </c>
      <c r="R3165" s="381">
        <v>0.79300000000000004</v>
      </c>
      <c r="S3165" s="381">
        <v>3.4299999999999997E-2</v>
      </c>
      <c r="T3165" s="381">
        <v>8.4499999999999994E-5</v>
      </c>
      <c r="U3165" s="381">
        <v>0</v>
      </c>
      <c r="V3165" s="382">
        <v>0.82738450000000008</v>
      </c>
      <c r="W3165" s="382">
        <v>0</v>
      </c>
      <c r="X3165" s="381">
        <v>8.2699999999999994E-4</v>
      </c>
      <c r="Y3165" s="381">
        <v>7.9300000000000009E-4</v>
      </c>
      <c r="Z3165" s="381">
        <v>3.43E-5</v>
      </c>
      <c r="AA3165" s="381">
        <v>8.4499999999999996E-8</v>
      </c>
      <c r="AB3165" s="381">
        <v>0</v>
      </c>
      <c r="AC3165" s="382">
        <v>8.2738450000000008E-4</v>
      </c>
      <c r="AD3165" s="382">
        <v>0</v>
      </c>
      <c r="AE3165" s="381" t="s">
        <v>444</v>
      </c>
    </row>
    <row r="3166" spans="1:31" ht="15" customHeight="1" x14ac:dyDescent="0.25">
      <c r="A3166" s="20" t="s">
        <v>3505</v>
      </c>
      <c r="B3166" s="20" t="s">
        <v>4681</v>
      </c>
      <c r="C3166" s="20" t="s">
        <v>4682</v>
      </c>
      <c r="D3166" s="378" t="s">
        <v>4695</v>
      </c>
      <c r="E3166" s="384">
        <v>45292</v>
      </c>
      <c r="F3166" s="384">
        <v>47119</v>
      </c>
      <c r="G3166" s="378" t="s">
        <v>439</v>
      </c>
      <c r="H3166" s="20" t="s">
        <v>4696</v>
      </c>
      <c r="I3166" s="378" t="s">
        <v>441</v>
      </c>
      <c r="J3166" s="20" t="s">
        <v>163</v>
      </c>
      <c r="K3166" s="378" t="s">
        <v>4697</v>
      </c>
      <c r="L3166" s="378" t="s">
        <v>2848</v>
      </c>
      <c r="M3166" s="380">
        <v>1800</v>
      </c>
      <c r="N3166" s="380" t="s">
        <v>443</v>
      </c>
      <c r="O3166" s="380" t="s">
        <v>443</v>
      </c>
      <c r="P3166" s="380" t="s">
        <v>443</v>
      </c>
      <c r="Q3166" s="381">
        <v>9.5500000000000007</v>
      </c>
      <c r="R3166" s="381">
        <v>9.5299999999999994</v>
      </c>
      <c r="S3166" s="381">
        <v>2.8700000000000002E-3</v>
      </c>
      <c r="T3166" s="381">
        <v>1.78E-2</v>
      </c>
      <c r="U3166" s="381">
        <v>0</v>
      </c>
      <c r="V3166" s="382">
        <v>9.5506699999999984</v>
      </c>
      <c r="W3166" s="382">
        <v>0</v>
      </c>
      <c r="X3166" s="381">
        <v>9.5500000000000012E-3</v>
      </c>
      <c r="Y3166" s="381">
        <v>9.5299999999999985E-3</v>
      </c>
      <c r="Z3166" s="381">
        <v>2.8700000000000001E-6</v>
      </c>
      <c r="AA3166" s="381">
        <v>1.7799999999999999E-5</v>
      </c>
      <c r="AB3166" s="381">
        <v>0</v>
      </c>
      <c r="AC3166" s="382">
        <v>9.550669999999999E-3</v>
      </c>
      <c r="AD3166" s="382">
        <v>0</v>
      </c>
      <c r="AE3166" s="381" t="s">
        <v>444</v>
      </c>
    </row>
    <row r="3167" spans="1:31" ht="15" customHeight="1" x14ac:dyDescent="0.25">
      <c r="A3167" s="20" t="s">
        <v>3505</v>
      </c>
      <c r="B3167" s="20" t="s">
        <v>4681</v>
      </c>
      <c r="C3167" s="20" t="s">
        <v>4682</v>
      </c>
      <c r="D3167" s="378" t="s">
        <v>4698</v>
      </c>
      <c r="E3167" s="384">
        <v>45292</v>
      </c>
      <c r="F3167" s="384">
        <v>47119</v>
      </c>
      <c r="G3167" s="378" t="s">
        <v>439</v>
      </c>
      <c r="H3167" s="20" t="s">
        <v>4699</v>
      </c>
      <c r="I3167" s="378" t="s">
        <v>441</v>
      </c>
      <c r="J3167" s="20" t="s">
        <v>163</v>
      </c>
      <c r="K3167" s="378" t="s">
        <v>4700</v>
      </c>
      <c r="L3167" s="378" t="s">
        <v>2848</v>
      </c>
      <c r="M3167" s="380">
        <v>1800</v>
      </c>
      <c r="N3167" s="380" t="s">
        <v>443</v>
      </c>
      <c r="O3167" s="380" t="s">
        <v>443</v>
      </c>
      <c r="P3167" s="380" t="s">
        <v>443</v>
      </c>
      <c r="Q3167" s="381">
        <v>8.14</v>
      </c>
      <c r="R3167" s="381">
        <v>8.1199999999999992</v>
      </c>
      <c r="S3167" s="381">
        <v>1.04E-2</v>
      </c>
      <c r="T3167" s="381">
        <v>4.8599999999999997E-3</v>
      </c>
      <c r="U3167" s="381">
        <v>0</v>
      </c>
      <c r="V3167" s="382">
        <v>8.1352600000000006</v>
      </c>
      <c r="W3167" s="382">
        <v>0</v>
      </c>
      <c r="X3167" s="381">
        <v>8.1400000000000014E-3</v>
      </c>
      <c r="Y3167" s="381">
        <v>8.1199999999999987E-3</v>
      </c>
      <c r="Z3167" s="381">
        <v>1.0399999999999999E-5</v>
      </c>
      <c r="AA3167" s="381">
        <v>4.8600000000000001E-6</v>
      </c>
      <c r="AB3167" s="381">
        <v>0</v>
      </c>
      <c r="AC3167" s="382">
        <v>8.1352600000000001E-3</v>
      </c>
      <c r="AD3167" s="382">
        <v>0</v>
      </c>
      <c r="AE3167" s="381" t="s">
        <v>444</v>
      </c>
    </row>
    <row r="3168" spans="1:31" ht="15" customHeight="1" x14ac:dyDescent="0.25">
      <c r="A3168" s="20" t="s">
        <v>3505</v>
      </c>
      <c r="B3168" s="20" t="s">
        <v>4681</v>
      </c>
      <c r="C3168" s="20" t="s">
        <v>4682</v>
      </c>
      <c r="D3168" s="378" t="s">
        <v>4701</v>
      </c>
      <c r="E3168" s="384">
        <v>45292</v>
      </c>
      <c r="F3168" s="384">
        <v>47119</v>
      </c>
      <c r="G3168" s="378" t="s">
        <v>439</v>
      </c>
      <c r="H3168" s="20" t="s">
        <v>4702</v>
      </c>
      <c r="I3168" s="378" t="s">
        <v>441</v>
      </c>
      <c r="J3168" s="20" t="s">
        <v>163</v>
      </c>
      <c r="K3168" s="378" t="s">
        <v>4703</v>
      </c>
      <c r="L3168" s="378" t="s">
        <v>2848</v>
      </c>
      <c r="M3168" s="380">
        <v>1800</v>
      </c>
      <c r="N3168" s="380" t="s">
        <v>443</v>
      </c>
      <c r="O3168" s="380" t="s">
        <v>443</v>
      </c>
      <c r="P3168" s="380" t="s">
        <v>443</v>
      </c>
      <c r="Q3168" s="381">
        <v>5.32</v>
      </c>
      <c r="R3168" s="381">
        <v>5.3</v>
      </c>
      <c r="S3168" s="381">
        <v>1.6000000000000001E-3</v>
      </c>
      <c r="T3168" s="381">
        <v>9.9100000000000004E-3</v>
      </c>
      <c r="U3168" s="381">
        <v>0</v>
      </c>
      <c r="V3168" s="382">
        <v>5.3115099999999993</v>
      </c>
      <c r="W3168" s="382">
        <v>0</v>
      </c>
      <c r="X3168" s="381">
        <v>5.3200000000000001E-3</v>
      </c>
      <c r="Y3168" s="381">
        <v>5.3E-3</v>
      </c>
      <c r="Z3168" s="381">
        <v>1.6000000000000001E-6</v>
      </c>
      <c r="AA3168" s="381">
        <v>9.91E-6</v>
      </c>
      <c r="AB3168" s="381">
        <v>0</v>
      </c>
      <c r="AC3168" s="382">
        <v>5.3115100000000002E-3</v>
      </c>
      <c r="AD3168" s="382">
        <v>0</v>
      </c>
      <c r="AE3168" s="381" t="s">
        <v>444</v>
      </c>
    </row>
    <row r="3169" spans="1:31" ht="15" customHeight="1" x14ac:dyDescent="0.25">
      <c r="A3169" s="20" t="s">
        <v>3505</v>
      </c>
      <c r="B3169" s="20" t="s">
        <v>4681</v>
      </c>
      <c r="C3169" s="20" t="s">
        <v>4682</v>
      </c>
      <c r="D3169" s="378" t="s">
        <v>4704</v>
      </c>
      <c r="E3169" s="384">
        <v>45292</v>
      </c>
      <c r="F3169" s="384">
        <v>47119</v>
      </c>
      <c r="G3169" s="378" t="s">
        <v>439</v>
      </c>
      <c r="H3169" s="20" t="s">
        <v>4705</v>
      </c>
      <c r="I3169" s="378" t="s">
        <v>441</v>
      </c>
      <c r="J3169" s="20" t="s">
        <v>163</v>
      </c>
      <c r="K3169" s="378" t="s">
        <v>4706</v>
      </c>
      <c r="L3169" s="378" t="s">
        <v>2848</v>
      </c>
      <c r="M3169" s="380">
        <v>1800</v>
      </c>
      <c r="N3169" s="380" t="s">
        <v>443</v>
      </c>
      <c r="O3169" s="380" t="s">
        <v>443</v>
      </c>
      <c r="P3169" s="380" t="s">
        <v>443</v>
      </c>
      <c r="Q3169" s="381">
        <v>2.64</v>
      </c>
      <c r="R3169" s="381">
        <v>2.63</v>
      </c>
      <c r="S3169" s="381">
        <v>3.3700000000000002E-3</v>
      </c>
      <c r="T3169" s="381">
        <v>1.57E-3</v>
      </c>
      <c r="U3169" s="381">
        <v>0</v>
      </c>
      <c r="V3169" s="382">
        <v>2.6349399999999998</v>
      </c>
      <c r="W3169" s="382">
        <v>0</v>
      </c>
      <c r="X3169" s="381">
        <v>2.64E-3</v>
      </c>
      <c r="Y3169" s="381">
        <v>2.63E-3</v>
      </c>
      <c r="Z3169" s="381">
        <v>3.3700000000000003E-6</v>
      </c>
      <c r="AA3169" s="381">
        <v>1.57E-6</v>
      </c>
      <c r="AB3169" s="381">
        <v>0</v>
      </c>
      <c r="AC3169" s="382">
        <v>2.6349399999999997E-3</v>
      </c>
      <c r="AD3169" s="382">
        <v>0</v>
      </c>
      <c r="AE3169" s="381" t="s">
        <v>444</v>
      </c>
    </row>
    <row r="3170" spans="1:31" ht="15" customHeight="1" x14ac:dyDescent="0.25">
      <c r="A3170" s="20" t="s">
        <v>3505</v>
      </c>
      <c r="B3170" s="20" t="s">
        <v>4681</v>
      </c>
      <c r="C3170" s="20" t="s">
        <v>4682</v>
      </c>
      <c r="D3170" s="378" t="s">
        <v>4707</v>
      </c>
      <c r="E3170" s="384">
        <v>45292</v>
      </c>
      <c r="F3170" s="384">
        <v>47119</v>
      </c>
      <c r="G3170" s="378" t="s">
        <v>439</v>
      </c>
      <c r="H3170" s="20" t="s">
        <v>4708</v>
      </c>
      <c r="I3170" s="378" t="s">
        <v>441</v>
      </c>
      <c r="J3170" s="20" t="s">
        <v>163</v>
      </c>
      <c r="K3170" s="378" t="s">
        <v>4709</v>
      </c>
      <c r="L3170" s="378" t="s">
        <v>2848</v>
      </c>
      <c r="M3170" s="380">
        <v>1800</v>
      </c>
      <c r="N3170" s="380" t="s">
        <v>443</v>
      </c>
      <c r="O3170" s="380" t="s">
        <v>443</v>
      </c>
      <c r="P3170" s="380" t="s">
        <v>443</v>
      </c>
      <c r="Q3170" s="381">
        <v>2.64</v>
      </c>
      <c r="R3170" s="381">
        <v>2.63</v>
      </c>
      <c r="S3170" s="381">
        <v>3.3700000000000002E-3</v>
      </c>
      <c r="T3170" s="381">
        <v>1.57E-3</v>
      </c>
      <c r="U3170" s="381">
        <v>0</v>
      </c>
      <c r="V3170" s="382">
        <v>2.6349399999999998</v>
      </c>
      <c r="W3170" s="382">
        <v>0</v>
      </c>
      <c r="X3170" s="381">
        <v>2.64E-3</v>
      </c>
      <c r="Y3170" s="381">
        <v>2.63E-3</v>
      </c>
      <c r="Z3170" s="381">
        <v>3.3700000000000003E-6</v>
      </c>
      <c r="AA3170" s="381">
        <v>1.57E-6</v>
      </c>
      <c r="AB3170" s="381">
        <v>0</v>
      </c>
      <c r="AC3170" s="382">
        <v>2.6349399999999997E-3</v>
      </c>
      <c r="AD3170" s="382">
        <v>0</v>
      </c>
      <c r="AE3170" s="381" t="s">
        <v>444</v>
      </c>
    </row>
    <row r="3171" spans="1:31" ht="15" customHeight="1" x14ac:dyDescent="0.25">
      <c r="A3171" s="20" t="s">
        <v>3505</v>
      </c>
      <c r="B3171" s="20" t="s">
        <v>4681</v>
      </c>
      <c r="C3171" s="20" t="s">
        <v>4682</v>
      </c>
      <c r="D3171" s="378" t="s">
        <v>4710</v>
      </c>
      <c r="E3171" s="384">
        <v>45292</v>
      </c>
      <c r="F3171" s="384">
        <v>47119</v>
      </c>
      <c r="G3171" s="378" t="s">
        <v>439</v>
      </c>
      <c r="H3171" s="20" t="s">
        <v>4711</v>
      </c>
      <c r="I3171" s="378" t="s">
        <v>441</v>
      </c>
      <c r="J3171" s="20" t="s">
        <v>163</v>
      </c>
      <c r="K3171" s="378" t="s">
        <v>4712</v>
      </c>
      <c r="L3171" s="378" t="s">
        <v>2848</v>
      </c>
      <c r="M3171" s="380">
        <v>1800</v>
      </c>
      <c r="N3171" s="380" t="s">
        <v>443</v>
      </c>
      <c r="O3171" s="380" t="s">
        <v>443</v>
      </c>
      <c r="P3171" s="380" t="s">
        <v>443</v>
      </c>
      <c r="Q3171" s="381">
        <v>3.49</v>
      </c>
      <c r="R3171" s="381">
        <v>3.48</v>
      </c>
      <c r="S3171" s="381">
        <v>4.4600000000000004E-3</v>
      </c>
      <c r="T3171" s="381">
        <v>2.0799999999999998E-3</v>
      </c>
      <c r="U3171" s="381">
        <v>0</v>
      </c>
      <c r="V3171" s="382">
        <v>3.4865399999999998</v>
      </c>
      <c r="W3171" s="382">
        <v>0</v>
      </c>
      <c r="X3171" s="381">
        <v>3.49E-3</v>
      </c>
      <c r="Y3171" s="381">
        <v>3.48E-3</v>
      </c>
      <c r="Z3171" s="381">
        <v>4.4600000000000005E-6</v>
      </c>
      <c r="AA3171" s="381">
        <v>2.08E-6</v>
      </c>
      <c r="AB3171" s="381">
        <v>0</v>
      </c>
      <c r="AC3171" s="382">
        <v>3.4865399999999998E-3</v>
      </c>
      <c r="AD3171" s="382">
        <v>0</v>
      </c>
      <c r="AE3171" s="381" t="s">
        <v>444</v>
      </c>
    </row>
    <row r="3172" spans="1:31" ht="15" customHeight="1" x14ac:dyDescent="0.25">
      <c r="A3172" s="20" t="s">
        <v>3505</v>
      </c>
      <c r="B3172" s="20" t="s">
        <v>4681</v>
      </c>
      <c r="C3172" s="20" t="s">
        <v>4682</v>
      </c>
      <c r="D3172" s="378" t="s">
        <v>4713</v>
      </c>
      <c r="E3172" s="384">
        <v>45292</v>
      </c>
      <c r="F3172" s="384">
        <v>47119</v>
      </c>
      <c r="G3172" s="378" t="s">
        <v>439</v>
      </c>
      <c r="H3172" s="20" t="s">
        <v>4714</v>
      </c>
      <c r="I3172" s="378" t="s">
        <v>441</v>
      </c>
      <c r="J3172" s="20" t="s">
        <v>163</v>
      </c>
      <c r="K3172" s="378" t="s">
        <v>4715</v>
      </c>
      <c r="L3172" s="378" t="s">
        <v>2848</v>
      </c>
      <c r="M3172" s="380">
        <v>1800</v>
      </c>
      <c r="N3172" s="380" t="s">
        <v>443</v>
      </c>
      <c r="O3172" s="380" t="s">
        <v>443</v>
      </c>
      <c r="P3172" s="380" t="s">
        <v>443</v>
      </c>
      <c r="Q3172" s="381">
        <v>4.59</v>
      </c>
      <c r="R3172" s="381">
        <v>4.58</v>
      </c>
      <c r="S3172" s="381">
        <v>1.3799999999999999E-3</v>
      </c>
      <c r="T3172" s="381">
        <v>8.5500000000000003E-3</v>
      </c>
      <c r="U3172" s="381">
        <v>0</v>
      </c>
      <c r="V3172" s="382">
        <v>4.5899299999999998</v>
      </c>
      <c r="W3172" s="382">
        <v>0</v>
      </c>
      <c r="X3172" s="381">
        <v>4.5899999999999995E-3</v>
      </c>
      <c r="Y3172" s="381">
        <v>4.5799999999999999E-3</v>
      </c>
      <c r="Z3172" s="381">
        <v>1.3799999999999999E-6</v>
      </c>
      <c r="AA3172" s="381">
        <v>8.5500000000000011E-6</v>
      </c>
      <c r="AB3172" s="381">
        <v>0</v>
      </c>
      <c r="AC3172" s="382">
        <v>4.5899299999999999E-3</v>
      </c>
      <c r="AD3172" s="382">
        <v>0</v>
      </c>
      <c r="AE3172" s="381" t="s">
        <v>444</v>
      </c>
    </row>
    <row r="3173" spans="1:31" ht="15" customHeight="1" x14ac:dyDescent="0.25">
      <c r="A3173" s="20" t="s">
        <v>3505</v>
      </c>
      <c r="B3173" s="20" t="s">
        <v>4681</v>
      </c>
      <c r="C3173" s="20" t="s">
        <v>4682</v>
      </c>
      <c r="D3173" s="378" t="s">
        <v>4704</v>
      </c>
      <c r="E3173" s="384">
        <v>45292</v>
      </c>
      <c r="F3173" s="384">
        <v>47119</v>
      </c>
      <c r="G3173" s="378" t="s">
        <v>439</v>
      </c>
      <c r="H3173" s="20" t="s">
        <v>4705</v>
      </c>
      <c r="I3173" s="378" t="s">
        <v>441</v>
      </c>
      <c r="J3173" s="20" t="s">
        <v>163</v>
      </c>
      <c r="K3173" s="378" t="s">
        <v>4706</v>
      </c>
      <c r="L3173" s="378" t="s">
        <v>2848</v>
      </c>
      <c r="M3173" s="380">
        <v>1800</v>
      </c>
      <c r="N3173" s="380" t="s">
        <v>443</v>
      </c>
      <c r="O3173" s="380" t="s">
        <v>443</v>
      </c>
      <c r="P3173" s="380" t="s">
        <v>443</v>
      </c>
      <c r="Q3173" s="381">
        <v>2.64</v>
      </c>
      <c r="R3173" s="381">
        <v>2.63</v>
      </c>
      <c r="S3173" s="381">
        <v>3.3700000000000002E-3</v>
      </c>
      <c r="T3173" s="381">
        <v>1.57E-3</v>
      </c>
      <c r="U3173" s="381">
        <v>0</v>
      </c>
      <c r="V3173" s="382">
        <v>2.6349399999999998</v>
      </c>
      <c r="W3173" s="382">
        <v>0</v>
      </c>
      <c r="X3173" s="381">
        <v>2.64E-3</v>
      </c>
      <c r="Y3173" s="381">
        <v>2.63E-3</v>
      </c>
      <c r="Z3173" s="381">
        <v>3.3700000000000003E-6</v>
      </c>
      <c r="AA3173" s="381">
        <v>1.57E-6</v>
      </c>
      <c r="AB3173" s="381">
        <v>0</v>
      </c>
      <c r="AC3173" s="382">
        <v>2.6349399999999997E-3</v>
      </c>
      <c r="AD3173" s="382">
        <v>0</v>
      </c>
      <c r="AE3173" s="381" t="s">
        <v>444</v>
      </c>
    </row>
    <row r="3174" spans="1:31" ht="15" customHeight="1" x14ac:dyDescent="0.25">
      <c r="A3174" s="20" t="s">
        <v>3505</v>
      </c>
      <c r="B3174" s="20" t="s">
        <v>4681</v>
      </c>
      <c r="C3174" s="20" t="s">
        <v>4682</v>
      </c>
      <c r="D3174" s="378" t="s">
        <v>4716</v>
      </c>
      <c r="E3174" s="384">
        <v>45292</v>
      </c>
      <c r="F3174" s="384">
        <v>47119</v>
      </c>
      <c r="G3174" s="378" t="s">
        <v>439</v>
      </c>
      <c r="H3174" s="20" t="s">
        <v>4717</v>
      </c>
      <c r="I3174" s="378" t="s">
        <v>441</v>
      </c>
      <c r="J3174" s="20" t="s">
        <v>163</v>
      </c>
      <c r="K3174" s="378" t="s">
        <v>4718</v>
      </c>
      <c r="L3174" s="378" t="s">
        <v>2848</v>
      </c>
      <c r="M3174" s="380">
        <v>1800</v>
      </c>
      <c r="N3174" s="380" t="s">
        <v>443</v>
      </c>
      <c r="O3174" s="380" t="s">
        <v>443</v>
      </c>
      <c r="P3174" s="380" t="s">
        <v>443</v>
      </c>
      <c r="Q3174" s="381">
        <v>4.42</v>
      </c>
      <c r="R3174" s="381">
        <v>4.42</v>
      </c>
      <c r="S3174" s="381">
        <v>5.6600000000000001E-3</v>
      </c>
      <c r="T3174" s="381">
        <v>2.64E-3</v>
      </c>
      <c r="U3174" s="381">
        <v>0</v>
      </c>
      <c r="V3174" s="382">
        <v>4.4283000000000001</v>
      </c>
      <c r="W3174" s="382">
        <v>0</v>
      </c>
      <c r="X3174" s="381">
        <v>4.4200000000000003E-3</v>
      </c>
      <c r="Y3174" s="381">
        <v>4.4200000000000003E-3</v>
      </c>
      <c r="Z3174" s="381">
        <v>5.66E-6</v>
      </c>
      <c r="AA3174" s="381">
        <v>2.6400000000000001E-6</v>
      </c>
      <c r="AB3174" s="381">
        <v>0</v>
      </c>
      <c r="AC3174" s="382">
        <v>4.4283000000000005E-3</v>
      </c>
      <c r="AD3174" s="382">
        <v>0</v>
      </c>
      <c r="AE3174" s="381" t="s">
        <v>444</v>
      </c>
    </row>
    <row r="3175" spans="1:31" ht="15" customHeight="1" x14ac:dyDescent="0.25">
      <c r="A3175" s="20" t="s">
        <v>3505</v>
      </c>
      <c r="B3175" s="20" t="s">
        <v>4681</v>
      </c>
      <c r="C3175" s="20" t="s">
        <v>4682</v>
      </c>
      <c r="D3175" s="378" t="s">
        <v>4707</v>
      </c>
      <c r="E3175" s="384">
        <v>45292</v>
      </c>
      <c r="F3175" s="384">
        <v>47119</v>
      </c>
      <c r="G3175" s="378" t="s">
        <v>439</v>
      </c>
      <c r="H3175" s="20" t="s">
        <v>4708</v>
      </c>
      <c r="I3175" s="378" t="s">
        <v>441</v>
      </c>
      <c r="J3175" s="20" t="s">
        <v>163</v>
      </c>
      <c r="K3175" s="378" t="s">
        <v>4709</v>
      </c>
      <c r="L3175" s="378" t="s">
        <v>2848</v>
      </c>
      <c r="M3175" s="380">
        <v>1800</v>
      </c>
      <c r="N3175" s="380" t="s">
        <v>443</v>
      </c>
      <c r="O3175" s="380" t="s">
        <v>443</v>
      </c>
      <c r="P3175" s="380" t="s">
        <v>443</v>
      </c>
      <c r="Q3175" s="381">
        <v>2.64</v>
      </c>
      <c r="R3175" s="381">
        <v>2.63</v>
      </c>
      <c r="S3175" s="381">
        <v>3.3700000000000002E-3</v>
      </c>
      <c r="T3175" s="381">
        <v>1.57E-3</v>
      </c>
      <c r="U3175" s="381">
        <v>0</v>
      </c>
      <c r="V3175" s="382">
        <v>2.6349399999999998</v>
      </c>
      <c r="W3175" s="382">
        <v>0</v>
      </c>
      <c r="X3175" s="381">
        <v>2.64E-3</v>
      </c>
      <c r="Y3175" s="381">
        <v>2.63E-3</v>
      </c>
      <c r="Z3175" s="381">
        <v>3.3700000000000003E-6</v>
      </c>
      <c r="AA3175" s="381">
        <v>1.57E-6</v>
      </c>
      <c r="AB3175" s="381">
        <v>0</v>
      </c>
      <c r="AC3175" s="382">
        <v>2.6349399999999997E-3</v>
      </c>
      <c r="AD3175" s="382">
        <v>0</v>
      </c>
      <c r="AE3175" s="381" t="s">
        <v>444</v>
      </c>
    </row>
    <row r="3176" spans="1:31" ht="15" customHeight="1" x14ac:dyDescent="0.25">
      <c r="A3176" s="20" t="s">
        <v>3967</v>
      </c>
      <c r="B3176" s="20" t="s">
        <v>4719</v>
      </c>
      <c r="C3176" s="20" t="s">
        <v>4720</v>
      </c>
      <c r="D3176" s="378" t="s">
        <v>4721</v>
      </c>
      <c r="E3176" s="384">
        <v>45349</v>
      </c>
      <c r="F3176" s="384">
        <v>47175</v>
      </c>
      <c r="G3176" s="378" t="s">
        <v>2856</v>
      </c>
      <c r="H3176" s="20" t="s">
        <v>4722</v>
      </c>
      <c r="I3176" s="378">
        <v>0</v>
      </c>
      <c r="J3176" s="20" t="s">
        <v>776</v>
      </c>
      <c r="K3176" s="378" t="s">
        <v>4723</v>
      </c>
      <c r="L3176" s="378" t="s">
        <v>2789</v>
      </c>
      <c r="M3176" s="380" t="s">
        <v>443</v>
      </c>
      <c r="N3176" s="380">
        <v>23.294</v>
      </c>
      <c r="O3176" s="380" t="s">
        <v>443</v>
      </c>
      <c r="P3176" s="380" t="s">
        <v>443</v>
      </c>
      <c r="Q3176" s="381">
        <v>110</v>
      </c>
      <c r="R3176" s="381">
        <v>0</v>
      </c>
      <c r="S3176" s="381">
        <v>0</v>
      </c>
      <c r="T3176" s="381">
        <v>0</v>
      </c>
      <c r="U3176" s="381">
        <v>0</v>
      </c>
      <c r="V3176" s="382">
        <v>110</v>
      </c>
      <c r="W3176" s="382">
        <v>0</v>
      </c>
      <c r="X3176" s="381">
        <v>4.7222460719498578</v>
      </c>
      <c r="Y3176" s="381">
        <v>0</v>
      </c>
      <c r="Z3176" s="381">
        <v>0</v>
      </c>
      <c r="AA3176" s="381">
        <v>0</v>
      </c>
      <c r="AB3176" s="381">
        <v>0</v>
      </c>
      <c r="AC3176" s="382">
        <v>4.7222460719498578</v>
      </c>
      <c r="AD3176" s="382">
        <v>0</v>
      </c>
      <c r="AE3176" s="381" t="s">
        <v>168</v>
      </c>
    </row>
    <row r="3177" spans="1:31" ht="15" customHeight="1" x14ac:dyDescent="0.25">
      <c r="A3177" s="20" t="s">
        <v>3967</v>
      </c>
      <c r="B3177" s="20" t="s">
        <v>4719</v>
      </c>
      <c r="C3177" s="20" t="s">
        <v>4720</v>
      </c>
      <c r="D3177" s="378" t="s">
        <v>4724</v>
      </c>
      <c r="E3177" s="384">
        <v>45349</v>
      </c>
      <c r="F3177" s="384">
        <v>47175</v>
      </c>
      <c r="G3177" s="378" t="s">
        <v>2856</v>
      </c>
      <c r="H3177" s="20" t="s">
        <v>4725</v>
      </c>
      <c r="I3177" s="378">
        <v>0</v>
      </c>
      <c r="J3177" s="20" t="s">
        <v>776</v>
      </c>
      <c r="K3177" s="378" t="s">
        <v>4726</v>
      </c>
      <c r="L3177" s="378" t="s">
        <v>2789</v>
      </c>
      <c r="M3177" s="380" t="s">
        <v>443</v>
      </c>
      <c r="N3177" s="380">
        <v>29.693999999999999</v>
      </c>
      <c r="O3177" s="380" t="s">
        <v>443</v>
      </c>
      <c r="P3177" s="380" t="s">
        <v>443</v>
      </c>
      <c r="Q3177" s="381">
        <v>96.7</v>
      </c>
      <c r="R3177" s="381">
        <v>0</v>
      </c>
      <c r="S3177" s="381">
        <v>0</v>
      </c>
      <c r="T3177" s="381">
        <v>0</v>
      </c>
      <c r="U3177" s="381">
        <v>0</v>
      </c>
      <c r="V3177" s="382">
        <v>96.7</v>
      </c>
      <c r="W3177" s="382">
        <v>0</v>
      </c>
      <c r="X3177" s="381">
        <v>3.2565501448103995</v>
      </c>
      <c r="Y3177" s="381">
        <v>0</v>
      </c>
      <c r="Z3177" s="381">
        <v>0</v>
      </c>
      <c r="AA3177" s="381">
        <v>0</v>
      </c>
      <c r="AB3177" s="381">
        <v>0</v>
      </c>
      <c r="AC3177" s="382">
        <v>3.2565501448103995</v>
      </c>
      <c r="AD3177" s="382">
        <v>0</v>
      </c>
      <c r="AE3177" s="381" t="s">
        <v>168</v>
      </c>
    </row>
    <row r="3178" spans="1:31" ht="15" customHeight="1" x14ac:dyDescent="0.25">
      <c r="A3178" s="20" t="s">
        <v>4226</v>
      </c>
      <c r="B3178" s="20" t="s">
        <v>4231</v>
      </c>
      <c r="C3178" s="20" t="s">
        <v>4727</v>
      </c>
      <c r="D3178" s="378" t="s">
        <v>4728</v>
      </c>
      <c r="E3178" s="384">
        <v>44568</v>
      </c>
      <c r="F3178" s="384">
        <v>46393</v>
      </c>
      <c r="G3178" s="378" t="s">
        <v>2886</v>
      </c>
      <c r="H3178" s="20" t="s">
        <v>4729</v>
      </c>
      <c r="I3178" s="378">
        <v>0</v>
      </c>
      <c r="J3178" s="20" t="s">
        <v>2831</v>
      </c>
      <c r="K3178" s="378" t="s">
        <v>4730</v>
      </c>
      <c r="L3178" s="378" t="s">
        <v>2848</v>
      </c>
      <c r="M3178" s="380" t="s">
        <v>443</v>
      </c>
      <c r="N3178" s="380">
        <v>60.02</v>
      </c>
      <c r="O3178" s="380" t="s">
        <v>443</v>
      </c>
      <c r="P3178" s="380" t="s">
        <v>443</v>
      </c>
      <c r="Q3178" s="381">
        <v>521.4928357214261</v>
      </c>
      <c r="R3178" s="381">
        <v>568.14395201599461</v>
      </c>
      <c r="S3178" s="381">
        <v>-47.650783072309224</v>
      </c>
      <c r="T3178" s="381">
        <v>0</v>
      </c>
      <c r="U3178" s="381">
        <v>0</v>
      </c>
      <c r="V3178" s="382">
        <v>568.14395201599461</v>
      </c>
      <c r="W3178" s="382">
        <v>0</v>
      </c>
      <c r="X3178" s="381">
        <v>0.52149283572142613</v>
      </c>
      <c r="Y3178" s="381">
        <v>0.56814395201599466</v>
      </c>
      <c r="Z3178" s="381">
        <v>-4.7650783072309223E-2</v>
      </c>
      <c r="AA3178" s="381">
        <v>0</v>
      </c>
      <c r="AB3178" s="381">
        <v>0</v>
      </c>
      <c r="AC3178" s="382">
        <v>0.56814395201599466</v>
      </c>
      <c r="AD3178" s="382">
        <v>0</v>
      </c>
      <c r="AE3178" s="381" t="s">
        <v>168</v>
      </c>
    </row>
    <row r="3179" spans="1:31" ht="15" customHeight="1" x14ac:dyDescent="0.25">
      <c r="A3179" s="20" t="s">
        <v>4226</v>
      </c>
      <c r="B3179" s="20" t="s">
        <v>4231</v>
      </c>
      <c r="C3179" s="20" t="s">
        <v>4727</v>
      </c>
      <c r="D3179" s="378" t="s">
        <v>4731</v>
      </c>
      <c r="E3179" s="384">
        <v>44960</v>
      </c>
      <c r="F3179" s="384">
        <v>46785</v>
      </c>
      <c r="G3179" s="378" t="s">
        <v>2837</v>
      </c>
      <c r="H3179" s="20" t="s">
        <v>3465</v>
      </c>
      <c r="I3179" s="378">
        <v>0</v>
      </c>
      <c r="J3179" s="20" t="s">
        <v>2831</v>
      </c>
      <c r="K3179" s="378" t="s">
        <v>3466</v>
      </c>
      <c r="L3179" s="378" t="s">
        <v>2848</v>
      </c>
      <c r="M3179" s="380" t="s">
        <v>443</v>
      </c>
      <c r="N3179" s="380" t="s">
        <v>443</v>
      </c>
      <c r="O3179" s="380" t="s">
        <v>443</v>
      </c>
      <c r="P3179" s="380" t="s">
        <v>443</v>
      </c>
      <c r="Q3179" s="381">
        <v>47.9</v>
      </c>
      <c r="R3179" s="381">
        <v>47.4</v>
      </c>
      <c r="S3179" s="381">
        <v>0.42399999999999999</v>
      </c>
      <c r="T3179" s="381">
        <v>8.09E-3</v>
      </c>
      <c r="U3179" s="381">
        <v>0</v>
      </c>
      <c r="V3179" s="382">
        <v>47.832090000000001</v>
      </c>
      <c r="W3179" s="382">
        <v>0</v>
      </c>
      <c r="X3179" s="381">
        <v>4.7899999999999998E-2</v>
      </c>
      <c r="Y3179" s="381">
        <v>4.7399999999999998E-2</v>
      </c>
      <c r="Z3179" s="381">
        <v>4.2400000000000001E-4</v>
      </c>
      <c r="AA3179" s="381">
        <v>8.0900000000000005E-6</v>
      </c>
      <c r="AB3179" s="381">
        <v>0</v>
      </c>
      <c r="AC3179" s="382">
        <v>4.7832090000000001E-2</v>
      </c>
      <c r="AD3179" s="382">
        <v>0</v>
      </c>
      <c r="AE3179" s="381" t="s">
        <v>168</v>
      </c>
    </row>
    <row r="3180" spans="1:31" ht="15" customHeight="1" x14ac:dyDescent="0.25">
      <c r="A3180" s="20" t="s">
        <v>4226</v>
      </c>
      <c r="B3180" s="20" t="s">
        <v>4231</v>
      </c>
      <c r="C3180" s="20" t="s">
        <v>4727</v>
      </c>
      <c r="D3180" s="378" t="s">
        <v>4732</v>
      </c>
      <c r="E3180" s="384">
        <v>45018</v>
      </c>
      <c r="F3180" s="384">
        <v>46846</v>
      </c>
      <c r="G3180" s="378" t="s">
        <v>3806</v>
      </c>
      <c r="H3180" s="20" t="s">
        <v>4733</v>
      </c>
      <c r="I3180" s="378">
        <v>0</v>
      </c>
      <c r="J3180" s="20" t="s">
        <v>2831</v>
      </c>
      <c r="K3180" s="378" t="s">
        <v>4734</v>
      </c>
      <c r="L3180" s="378" t="s">
        <v>2848</v>
      </c>
      <c r="M3180" s="380" t="s">
        <v>443</v>
      </c>
      <c r="N3180" s="380" t="s">
        <v>443</v>
      </c>
      <c r="O3180" s="380" t="s">
        <v>443</v>
      </c>
      <c r="P3180" s="380" t="s">
        <v>443</v>
      </c>
      <c r="Q3180" s="381">
        <v>316.14999999999998</v>
      </c>
      <c r="R3180" s="381">
        <v>312.75140000000005</v>
      </c>
      <c r="S3180" s="381">
        <v>2.0219100000000001</v>
      </c>
      <c r="T3180" s="381">
        <v>0</v>
      </c>
      <c r="U3180" s="381">
        <v>0</v>
      </c>
      <c r="V3180" s="382">
        <v>314.77331000000004</v>
      </c>
      <c r="W3180" s="382">
        <v>0</v>
      </c>
      <c r="X3180" s="381">
        <v>0.31614999999999999</v>
      </c>
      <c r="Y3180" s="381">
        <v>0.31275140000000007</v>
      </c>
      <c r="Z3180" s="381">
        <v>2.02191E-3</v>
      </c>
      <c r="AA3180" s="381">
        <v>0</v>
      </c>
      <c r="AB3180" s="381">
        <v>0</v>
      </c>
      <c r="AC3180" s="382">
        <v>0.31477331000000008</v>
      </c>
      <c r="AD3180" s="382">
        <v>0</v>
      </c>
      <c r="AE3180" s="381" t="s">
        <v>168</v>
      </c>
    </row>
    <row r="3181" spans="1:31" ht="15" customHeight="1" x14ac:dyDescent="0.25">
      <c r="A3181" s="20" t="s">
        <v>2783</v>
      </c>
      <c r="B3181" s="20" t="s">
        <v>4735</v>
      </c>
      <c r="C3181" s="20" t="s">
        <v>4736</v>
      </c>
      <c r="D3181" s="378" t="s">
        <v>4737</v>
      </c>
      <c r="E3181" s="384">
        <v>45150</v>
      </c>
      <c r="F3181" s="384">
        <v>46946</v>
      </c>
      <c r="G3181" s="378" t="s">
        <v>2886</v>
      </c>
      <c r="H3181" s="20" t="s">
        <v>4738</v>
      </c>
      <c r="I3181" s="378">
        <v>0</v>
      </c>
      <c r="J3181" s="20" t="s">
        <v>776</v>
      </c>
      <c r="K3181" s="378" t="s">
        <v>4739</v>
      </c>
      <c r="L3181" s="378" t="s">
        <v>2789</v>
      </c>
      <c r="M3181" s="380" t="s">
        <v>443</v>
      </c>
      <c r="N3181" s="380">
        <v>1.9000000000000001</v>
      </c>
      <c r="O3181" s="380" t="s">
        <v>443</v>
      </c>
      <c r="P3181" s="380" t="s">
        <v>443</v>
      </c>
      <c r="Q3181" s="381">
        <v>15.7</v>
      </c>
      <c r="R3181" s="381">
        <v>16.100000000000001</v>
      </c>
      <c r="S3181" s="381">
        <v>-0.53300000000000003</v>
      </c>
      <c r="T3181" s="381">
        <v>0.11899999999999999</v>
      </c>
      <c r="U3181" s="381">
        <v>0</v>
      </c>
      <c r="V3181" s="382">
        <v>16.219000000000001</v>
      </c>
      <c r="W3181" s="382">
        <v>0</v>
      </c>
      <c r="X3181" s="381">
        <v>8.2631578947368407</v>
      </c>
      <c r="Y3181" s="381">
        <v>8.4736842105263168</v>
      </c>
      <c r="Z3181" s="381">
        <v>-0.28052631578947368</v>
      </c>
      <c r="AA3181" s="381">
        <v>6.2631578947368413E-2</v>
      </c>
      <c r="AB3181" s="381">
        <v>0</v>
      </c>
      <c r="AC3181" s="382">
        <v>8.5363157894736847</v>
      </c>
      <c r="AD3181" s="382">
        <v>0</v>
      </c>
      <c r="AE3181" s="381" t="s">
        <v>168</v>
      </c>
    </row>
    <row r="3182" spans="1:31" ht="15" customHeight="1" x14ac:dyDescent="0.25">
      <c r="A3182" s="20" t="s">
        <v>2783</v>
      </c>
      <c r="B3182" s="20" t="s">
        <v>4735</v>
      </c>
      <c r="C3182" s="20" t="s">
        <v>4736</v>
      </c>
      <c r="D3182" s="378" t="s">
        <v>4740</v>
      </c>
      <c r="E3182" s="384">
        <v>43834</v>
      </c>
      <c r="F3182" s="384">
        <v>45661</v>
      </c>
      <c r="G3182" s="378" t="s">
        <v>4741</v>
      </c>
      <c r="H3182" s="20" t="s">
        <v>4742</v>
      </c>
      <c r="I3182" s="378" t="s">
        <v>441</v>
      </c>
      <c r="J3182" s="20" t="s">
        <v>3311</v>
      </c>
      <c r="K3182" s="378" t="s">
        <v>4743</v>
      </c>
      <c r="L3182" s="378" t="s">
        <v>2789</v>
      </c>
      <c r="M3182" s="380" t="s">
        <v>443</v>
      </c>
      <c r="N3182" s="380">
        <v>3.3</v>
      </c>
      <c r="O3182" s="380" t="s">
        <v>443</v>
      </c>
      <c r="P3182" s="380" t="s">
        <v>443</v>
      </c>
      <c r="Q3182" s="381">
        <v>9.4619999999999997</v>
      </c>
      <c r="R3182" s="381">
        <v>0</v>
      </c>
      <c r="S3182" s="381">
        <v>0</v>
      </c>
      <c r="T3182" s="381">
        <v>0</v>
      </c>
      <c r="U3182" s="381">
        <v>0</v>
      </c>
      <c r="V3182" s="382">
        <v>9.4619999999999997</v>
      </c>
      <c r="W3182" s="382">
        <v>0</v>
      </c>
      <c r="X3182" s="381">
        <v>2.8672727272727272</v>
      </c>
      <c r="Y3182" s="381">
        <v>0</v>
      </c>
      <c r="Z3182" s="381">
        <v>0</v>
      </c>
      <c r="AA3182" s="381">
        <v>0</v>
      </c>
      <c r="AB3182" s="381">
        <v>0</v>
      </c>
      <c r="AC3182" s="382">
        <v>2.8672727272727272</v>
      </c>
      <c r="AD3182" s="382">
        <v>0</v>
      </c>
      <c r="AE3182" s="381" t="s">
        <v>444</v>
      </c>
    </row>
    <row r="3183" spans="1:31" ht="15" customHeight="1" x14ac:dyDescent="0.25">
      <c r="A3183" s="20" t="s">
        <v>2783</v>
      </c>
      <c r="B3183" s="20" t="s">
        <v>4735</v>
      </c>
      <c r="C3183" s="20" t="s">
        <v>4736</v>
      </c>
      <c r="D3183" s="378" t="s">
        <v>4744</v>
      </c>
      <c r="E3183" s="384" t="s">
        <v>4745</v>
      </c>
      <c r="F3183" s="384" t="s">
        <v>4746</v>
      </c>
      <c r="G3183" s="378" t="s">
        <v>2837</v>
      </c>
      <c r="H3183" s="20" t="s">
        <v>4747</v>
      </c>
      <c r="I3183" s="378">
        <v>0</v>
      </c>
      <c r="J3183" s="20" t="s">
        <v>3307</v>
      </c>
      <c r="K3183" s="378" t="s">
        <v>4748</v>
      </c>
      <c r="L3183" s="378" t="s">
        <v>2789</v>
      </c>
      <c r="M3183" s="380" t="s">
        <v>443</v>
      </c>
      <c r="N3183" s="380">
        <v>0.88</v>
      </c>
      <c r="O3183" s="380" t="s">
        <v>443</v>
      </c>
      <c r="P3183" s="380" t="s">
        <v>443</v>
      </c>
      <c r="Q3183" s="381">
        <v>0.37270000000000003</v>
      </c>
      <c r="R3183" s="381">
        <v>0.37790000000000001</v>
      </c>
      <c r="S3183" s="381">
        <v>-5.53252E-3</v>
      </c>
      <c r="T3183" s="381">
        <v>4.4366000000000002E-4</v>
      </c>
      <c r="U3183" s="381">
        <v>0</v>
      </c>
      <c r="V3183" s="382">
        <v>0.37834366000000003</v>
      </c>
      <c r="W3183" s="382">
        <v>0</v>
      </c>
      <c r="X3183" s="381">
        <v>0.42352272727272733</v>
      </c>
      <c r="Y3183" s="381">
        <v>0.42943181818181819</v>
      </c>
      <c r="Z3183" s="381">
        <v>-6.2869545454545452E-3</v>
      </c>
      <c r="AA3183" s="381">
        <v>5.0415909090909092E-4</v>
      </c>
      <c r="AB3183" s="381">
        <v>0</v>
      </c>
      <c r="AC3183" s="382">
        <v>0.42993597727272731</v>
      </c>
      <c r="AD3183" s="382">
        <v>0</v>
      </c>
      <c r="AE3183" s="381" t="s">
        <v>444</v>
      </c>
    </row>
    <row r="3184" spans="1:31" ht="15" customHeight="1" x14ac:dyDescent="0.25">
      <c r="A3184" s="20" t="s">
        <v>3490</v>
      </c>
      <c r="B3184" s="20" t="s">
        <v>4749</v>
      </c>
      <c r="C3184" s="20" t="s">
        <v>4750</v>
      </c>
      <c r="D3184" s="378" t="s">
        <v>4751</v>
      </c>
      <c r="E3184" s="384">
        <v>43077</v>
      </c>
      <c r="F3184" s="384">
        <v>44903</v>
      </c>
      <c r="G3184" s="378" t="s">
        <v>439</v>
      </c>
      <c r="H3184" s="378" t="s">
        <v>4752</v>
      </c>
      <c r="I3184" s="378" t="s">
        <v>353</v>
      </c>
      <c r="J3184" s="20" t="s">
        <v>163</v>
      </c>
      <c r="K3184" s="378" t="s">
        <v>4753</v>
      </c>
      <c r="L3184" s="20" t="s">
        <v>165</v>
      </c>
      <c r="M3184" s="381">
        <v>735</v>
      </c>
      <c r="N3184" s="381"/>
      <c r="O3184" s="380"/>
      <c r="P3184" s="380"/>
      <c r="Q3184" s="381">
        <v>-860.5</v>
      </c>
      <c r="R3184" s="381">
        <v>236.4</v>
      </c>
      <c r="S3184" s="381">
        <v>-1099.8789999999999</v>
      </c>
      <c r="T3184" s="381">
        <v>0</v>
      </c>
      <c r="U3184" s="381">
        <v>1212.75</v>
      </c>
      <c r="V3184" s="382">
        <v>349.27100000000007</v>
      </c>
      <c r="W3184" s="382">
        <v>1212.75</v>
      </c>
      <c r="X3184" s="381">
        <v>-1.1707482993197278</v>
      </c>
      <c r="Y3184" s="381">
        <v>0.32163265306122452</v>
      </c>
      <c r="Z3184" s="381">
        <v>-1.4964340136054421</v>
      </c>
      <c r="AA3184" s="381">
        <v>0</v>
      </c>
      <c r="AB3184" s="381">
        <v>1.65</v>
      </c>
      <c r="AC3184" s="382">
        <v>0.47519863945578233</v>
      </c>
      <c r="AD3184" s="382">
        <v>1.65</v>
      </c>
      <c r="AE3184" s="381" t="s">
        <v>168</v>
      </c>
    </row>
    <row r="3185" spans="1:31" ht="15" customHeight="1" x14ac:dyDescent="0.25">
      <c r="A3185" s="20" t="s">
        <v>3490</v>
      </c>
      <c r="B3185" s="20" t="s">
        <v>4749</v>
      </c>
      <c r="C3185" s="20" t="s">
        <v>4750</v>
      </c>
      <c r="D3185" s="378" t="s">
        <v>4754</v>
      </c>
      <c r="E3185" s="384">
        <v>43077</v>
      </c>
      <c r="F3185" s="384">
        <v>44903</v>
      </c>
      <c r="G3185" s="378" t="s">
        <v>439</v>
      </c>
      <c r="H3185" s="378" t="s">
        <v>4752</v>
      </c>
      <c r="I3185" s="378" t="s">
        <v>353</v>
      </c>
      <c r="J3185" s="20" t="s">
        <v>163</v>
      </c>
      <c r="K3185" s="378" t="s">
        <v>4753</v>
      </c>
      <c r="L3185" s="20" t="s">
        <v>165</v>
      </c>
      <c r="M3185" s="381">
        <v>735</v>
      </c>
      <c r="N3185" s="381"/>
      <c r="O3185" s="380"/>
      <c r="P3185" s="380"/>
      <c r="Q3185" s="381">
        <v>-856.5</v>
      </c>
      <c r="R3185" s="381">
        <v>240.5</v>
      </c>
      <c r="S3185" s="381">
        <v>-1099.9283</v>
      </c>
      <c r="T3185" s="381">
        <v>0</v>
      </c>
      <c r="U3185" s="381">
        <v>1212.75</v>
      </c>
      <c r="V3185" s="382">
        <v>353.32169999999996</v>
      </c>
      <c r="W3185" s="382">
        <v>1212.75</v>
      </c>
      <c r="X3185" s="381">
        <v>-1.1653061224489796</v>
      </c>
      <c r="Y3185" s="381">
        <v>0.32721088435374152</v>
      </c>
      <c r="Z3185" s="381">
        <v>-1.4965010884353742</v>
      </c>
      <c r="AA3185" s="381">
        <v>0</v>
      </c>
      <c r="AB3185" s="381">
        <v>1.65</v>
      </c>
      <c r="AC3185" s="382">
        <v>0.48070979591836727</v>
      </c>
      <c r="AD3185" s="382">
        <v>1.65</v>
      </c>
      <c r="AE3185" s="381" t="s">
        <v>168</v>
      </c>
    </row>
    <row r="3186" spans="1:31" ht="15" customHeight="1" x14ac:dyDescent="0.25">
      <c r="A3186" s="20" t="s">
        <v>3490</v>
      </c>
      <c r="B3186" s="20" t="s">
        <v>4749</v>
      </c>
      <c r="C3186" s="20" t="s">
        <v>4750</v>
      </c>
      <c r="D3186" s="378" t="s">
        <v>4755</v>
      </c>
      <c r="E3186" s="384">
        <v>43077</v>
      </c>
      <c r="F3186" s="384">
        <v>44903</v>
      </c>
      <c r="G3186" s="378" t="s">
        <v>439</v>
      </c>
      <c r="H3186" s="378" t="s">
        <v>4752</v>
      </c>
      <c r="I3186" s="378" t="s">
        <v>353</v>
      </c>
      <c r="J3186" s="20" t="s">
        <v>163</v>
      </c>
      <c r="K3186" s="378" t="s">
        <v>4753</v>
      </c>
      <c r="L3186" s="378" t="s">
        <v>165</v>
      </c>
      <c r="M3186" s="381">
        <v>735</v>
      </c>
      <c r="N3186" s="381"/>
      <c r="O3186" s="380"/>
      <c r="P3186" s="380"/>
      <c r="Q3186" s="381">
        <v>-877.2</v>
      </c>
      <c r="R3186" s="381">
        <v>219.8</v>
      </c>
      <c r="S3186" s="381">
        <v>-1099.99757</v>
      </c>
      <c r="T3186" s="381">
        <v>0</v>
      </c>
      <c r="U3186" s="381">
        <v>1212.75</v>
      </c>
      <c r="V3186" s="382">
        <v>332.55242999999996</v>
      </c>
      <c r="W3186" s="382">
        <v>1212.75</v>
      </c>
      <c r="X3186" s="381">
        <v>-1.1934693877551021</v>
      </c>
      <c r="Y3186" s="381">
        <v>0.29904761904761906</v>
      </c>
      <c r="Z3186" s="381">
        <v>-1.4965953333333333</v>
      </c>
      <c r="AA3186" s="381">
        <v>0</v>
      </c>
      <c r="AB3186" s="381">
        <v>1.65</v>
      </c>
      <c r="AC3186" s="382">
        <v>0.45245228571428564</v>
      </c>
      <c r="AD3186" s="382">
        <v>1.65</v>
      </c>
      <c r="AE3186" s="381" t="s">
        <v>168</v>
      </c>
    </row>
    <row r="3187" spans="1:31" ht="15" customHeight="1" x14ac:dyDescent="0.25">
      <c r="A3187" s="20" t="s">
        <v>3490</v>
      </c>
      <c r="B3187" s="20" t="s">
        <v>4749</v>
      </c>
      <c r="C3187" s="20" t="s">
        <v>4750</v>
      </c>
      <c r="D3187" s="378" t="s">
        <v>4756</v>
      </c>
      <c r="E3187" s="384">
        <v>43077</v>
      </c>
      <c r="F3187" s="384">
        <v>44903</v>
      </c>
      <c r="G3187" s="378" t="s">
        <v>439</v>
      </c>
      <c r="H3187" s="20" t="s">
        <v>4752</v>
      </c>
      <c r="I3187" s="20" t="s">
        <v>353</v>
      </c>
      <c r="J3187" s="20" t="s">
        <v>163</v>
      </c>
      <c r="K3187" s="378" t="s">
        <v>4753</v>
      </c>
      <c r="L3187" s="20" t="s">
        <v>165</v>
      </c>
      <c r="M3187" s="381">
        <v>735</v>
      </c>
      <c r="N3187" s="381"/>
      <c r="O3187" s="380"/>
      <c r="P3187" s="380"/>
      <c r="Q3187" s="381">
        <v>-888</v>
      </c>
      <c r="R3187" s="381">
        <v>209</v>
      </c>
      <c r="S3187" s="381">
        <v>-1100</v>
      </c>
      <c r="T3187" s="381">
        <v>0</v>
      </c>
      <c r="U3187" s="381">
        <v>1212.75</v>
      </c>
      <c r="V3187" s="382">
        <v>321.75</v>
      </c>
      <c r="W3187" s="382">
        <v>1212.75</v>
      </c>
      <c r="X3187" s="381">
        <v>-1.2081632653061225</v>
      </c>
      <c r="Y3187" s="381">
        <v>0.28435374149659864</v>
      </c>
      <c r="Z3187" s="381">
        <v>-1.4965986394557824</v>
      </c>
      <c r="AA3187" s="381">
        <v>0</v>
      </c>
      <c r="AB3187" s="381">
        <v>1.65</v>
      </c>
      <c r="AC3187" s="382">
        <v>0.43775510204081614</v>
      </c>
      <c r="AD3187" s="382">
        <v>1.65</v>
      </c>
      <c r="AE3187" s="381" t="s">
        <v>168</v>
      </c>
    </row>
    <row r="3188" spans="1:31" ht="15" customHeight="1" x14ac:dyDescent="0.25">
      <c r="A3188" s="20" t="s">
        <v>3490</v>
      </c>
      <c r="B3188" s="20" t="s">
        <v>4749</v>
      </c>
      <c r="C3188" s="20" t="s">
        <v>4750</v>
      </c>
      <c r="D3188" s="378" t="s">
        <v>4757</v>
      </c>
      <c r="E3188" s="384">
        <v>43077</v>
      </c>
      <c r="F3188" s="384">
        <v>44903</v>
      </c>
      <c r="G3188" s="378" t="s">
        <v>439</v>
      </c>
      <c r="H3188" s="378" t="s">
        <v>4752</v>
      </c>
      <c r="I3188" s="378" t="s">
        <v>353</v>
      </c>
      <c r="J3188" s="20" t="s">
        <v>163</v>
      </c>
      <c r="K3188" s="378" t="s">
        <v>4753</v>
      </c>
      <c r="L3188" s="20" t="s">
        <v>165</v>
      </c>
      <c r="M3188" s="381">
        <v>735</v>
      </c>
      <c r="N3188" s="381"/>
      <c r="O3188" s="380"/>
      <c r="P3188" s="380"/>
      <c r="Q3188" s="381">
        <v>-703.5</v>
      </c>
      <c r="R3188" s="381">
        <v>354.4</v>
      </c>
      <c r="S3188" s="381">
        <v>-1059.8789999999999</v>
      </c>
      <c r="T3188" s="381">
        <v>0</v>
      </c>
      <c r="U3188" s="381">
        <v>1212.75</v>
      </c>
      <c r="V3188" s="382">
        <v>507.27100000000007</v>
      </c>
      <c r="W3188" s="382">
        <v>1212.75</v>
      </c>
      <c r="X3188" s="381">
        <v>-0.95714285714285718</v>
      </c>
      <c r="Y3188" s="381">
        <v>0.48217687074829929</v>
      </c>
      <c r="Z3188" s="381">
        <v>-1.4420122448979591</v>
      </c>
      <c r="AA3188" s="381">
        <v>0</v>
      </c>
      <c r="AB3188" s="381">
        <v>1.65</v>
      </c>
      <c r="AC3188" s="382">
        <v>0.69016462585034011</v>
      </c>
      <c r="AD3188" s="382">
        <v>1.65</v>
      </c>
      <c r="AE3188" s="381" t="s">
        <v>168</v>
      </c>
    </row>
    <row r="3189" spans="1:31" ht="15" customHeight="1" x14ac:dyDescent="0.25">
      <c r="A3189" s="20" t="s">
        <v>3490</v>
      </c>
      <c r="B3189" s="20" t="s">
        <v>4749</v>
      </c>
      <c r="C3189" s="20" t="s">
        <v>4750</v>
      </c>
      <c r="D3189" s="378" t="s">
        <v>4758</v>
      </c>
      <c r="E3189" s="384">
        <v>43077</v>
      </c>
      <c r="F3189" s="384">
        <v>44903</v>
      </c>
      <c r="G3189" s="378" t="s">
        <v>439</v>
      </c>
      <c r="H3189" s="378" t="s">
        <v>4752</v>
      </c>
      <c r="I3189" s="378" t="s">
        <v>353</v>
      </c>
      <c r="J3189" s="20" t="s">
        <v>163</v>
      </c>
      <c r="K3189" s="378" t="s">
        <v>4753</v>
      </c>
      <c r="L3189" s="20" t="s">
        <v>165</v>
      </c>
      <c r="M3189" s="381">
        <v>735</v>
      </c>
      <c r="N3189" s="381"/>
      <c r="O3189" s="380"/>
      <c r="P3189" s="380"/>
      <c r="Q3189" s="381">
        <v>-720.2</v>
      </c>
      <c r="R3189" s="381">
        <v>337.8</v>
      </c>
      <c r="S3189" s="381">
        <v>-1059.99757</v>
      </c>
      <c r="T3189" s="381">
        <v>0</v>
      </c>
      <c r="U3189" s="381">
        <v>1212.75</v>
      </c>
      <c r="V3189" s="382">
        <v>490.55242999999996</v>
      </c>
      <c r="W3189" s="382">
        <v>1212.75</v>
      </c>
      <c r="X3189" s="381">
        <v>-0.97986394557823131</v>
      </c>
      <c r="Y3189" s="381">
        <v>0.45959183673469389</v>
      </c>
      <c r="Z3189" s="381">
        <v>-1.4421735646258502</v>
      </c>
      <c r="AA3189" s="381">
        <v>0</v>
      </c>
      <c r="AB3189" s="381">
        <v>1.65</v>
      </c>
      <c r="AC3189" s="382">
        <v>0.66741827210884352</v>
      </c>
      <c r="AD3189" s="382">
        <v>1.65</v>
      </c>
      <c r="AE3189" s="381" t="s">
        <v>168</v>
      </c>
    </row>
    <row r="3190" spans="1:31" ht="15" customHeight="1" x14ac:dyDescent="0.25">
      <c r="A3190" s="20" t="s">
        <v>3490</v>
      </c>
      <c r="B3190" s="20" t="s">
        <v>4749</v>
      </c>
      <c r="C3190" s="20" t="s">
        <v>4750</v>
      </c>
      <c r="D3190" s="378" t="s">
        <v>4759</v>
      </c>
      <c r="E3190" s="384">
        <v>43077</v>
      </c>
      <c r="F3190" s="384">
        <v>44903</v>
      </c>
      <c r="G3190" s="378" t="s">
        <v>439</v>
      </c>
      <c r="H3190" s="20" t="s">
        <v>4752</v>
      </c>
      <c r="I3190" s="20" t="s">
        <v>353</v>
      </c>
      <c r="J3190" s="20" t="s">
        <v>163</v>
      </c>
      <c r="K3190" s="378" t="s">
        <v>4753</v>
      </c>
      <c r="L3190" s="20" t="s">
        <v>165</v>
      </c>
      <c r="M3190" s="381">
        <v>735</v>
      </c>
      <c r="N3190" s="381"/>
      <c r="O3190" s="380"/>
      <c r="P3190" s="380"/>
      <c r="Q3190" s="381">
        <v>-731</v>
      </c>
      <c r="R3190" s="381">
        <v>327</v>
      </c>
      <c r="S3190" s="381">
        <v>-1060</v>
      </c>
      <c r="T3190" s="381">
        <v>0</v>
      </c>
      <c r="U3190" s="381">
        <v>1212.75</v>
      </c>
      <c r="V3190" s="382">
        <v>479.75</v>
      </c>
      <c r="W3190" s="382">
        <v>1212.75</v>
      </c>
      <c r="X3190" s="381">
        <v>-0.99455782312925167</v>
      </c>
      <c r="Y3190" s="381">
        <v>0.44489795918367347</v>
      </c>
      <c r="Z3190" s="381">
        <v>-1.4421768707482994</v>
      </c>
      <c r="AA3190" s="381">
        <v>0</v>
      </c>
      <c r="AB3190" s="381">
        <v>1.65</v>
      </c>
      <c r="AC3190" s="382">
        <v>0.65272108843537402</v>
      </c>
      <c r="AD3190" s="382">
        <v>1.65</v>
      </c>
      <c r="AE3190" s="381" t="s">
        <v>168</v>
      </c>
    </row>
    <row r="3191" spans="1:31" ht="15" customHeight="1" x14ac:dyDescent="0.25">
      <c r="A3191" s="20" t="s">
        <v>3490</v>
      </c>
      <c r="B3191" s="20" t="s">
        <v>4749</v>
      </c>
      <c r="C3191" s="20" t="s">
        <v>4750</v>
      </c>
      <c r="D3191" s="378" t="s">
        <v>4760</v>
      </c>
      <c r="E3191" s="384">
        <v>43077</v>
      </c>
      <c r="F3191" s="384">
        <v>44903</v>
      </c>
      <c r="G3191" s="378" t="s">
        <v>439</v>
      </c>
      <c r="H3191" s="378" t="s">
        <v>4752</v>
      </c>
      <c r="I3191" s="378" t="s">
        <v>353</v>
      </c>
      <c r="J3191" s="20" t="s">
        <v>163</v>
      </c>
      <c r="K3191" s="378" t="s">
        <v>4753</v>
      </c>
      <c r="L3191" s="20" t="s">
        <v>165</v>
      </c>
      <c r="M3191" s="381">
        <v>735</v>
      </c>
      <c r="N3191" s="381"/>
      <c r="O3191" s="380"/>
      <c r="P3191" s="380"/>
      <c r="Q3191" s="381">
        <v>-709.5</v>
      </c>
      <c r="R3191" s="381">
        <v>348.5</v>
      </c>
      <c r="S3191" s="381">
        <v>-1059.9283</v>
      </c>
      <c r="T3191" s="381">
        <v>0</v>
      </c>
      <c r="U3191" s="381">
        <v>1212.75</v>
      </c>
      <c r="V3191" s="382">
        <v>501.32169999999996</v>
      </c>
      <c r="W3191" s="382">
        <v>1212.75</v>
      </c>
      <c r="X3191" s="381">
        <v>-0.96530612244897962</v>
      </c>
      <c r="Y3191" s="381">
        <v>0.47414965986394558</v>
      </c>
      <c r="Z3191" s="381">
        <v>-1.4420793197278912</v>
      </c>
      <c r="AA3191" s="381">
        <v>0</v>
      </c>
      <c r="AB3191" s="381">
        <v>1.65</v>
      </c>
      <c r="AC3191" s="382">
        <v>0.68207034013605439</v>
      </c>
      <c r="AD3191" s="382">
        <v>1.65</v>
      </c>
      <c r="AE3191" s="381" t="s">
        <v>168</v>
      </c>
    </row>
    <row r="3192" spans="1:31" ht="15" customHeight="1" x14ac:dyDescent="0.25">
      <c r="A3192" s="20" t="s">
        <v>3490</v>
      </c>
      <c r="B3192" s="20" t="s">
        <v>4749</v>
      </c>
      <c r="C3192" s="20" t="s">
        <v>4750</v>
      </c>
      <c r="D3192" s="378" t="s">
        <v>4761</v>
      </c>
      <c r="E3192" s="384">
        <v>43077</v>
      </c>
      <c r="F3192" s="387">
        <v>44903</v>
      </c>
      <c r="G3192" s="378" t="s">
        <v>439</v>
      </c>
      <c r="H3192" s="378" t="s">
        <v>4752</v>
      </c>
      <c r="I3192" s="378" t="s">
        <v>353</v>
      </c>
      <c r="J3192" s="20" t="s">
        <v>163</v>
      </c>
      <c r="K3192" s="378" t="s">
        <v>4753</v>
      </c>
      <c r="L3192" s="378" t="s">
        <v>165</v>
      </c>
      <c r="M3192" s="381">
        <v>735</v>
      </c>
      <c r="N3192" s="381"/>
      <c r="O3192" s="380"/>
      <c r="P3192" s="380"/>
      <c r="Q3192" s="381">
        <v>-650.24619999999982</v>
      </c>
      <c r="R3192" s="381">
        <v>449.63280000000003</v>
      </c>
      <c r="S3192" s="381">
        <v>-1099.8789999999999</v>
      </c>
      <c r="T3192" s="381">
        <v>0</v>
      </c>
      <c r="U3192" s="381">
        <v>1212.75</v>
      </c>
      <c r="V3192" s="382">
        <v>562.50380000000018</v>
      </c>
      <c r="W3192" s="382">
        <v>1212.75</v>
      </c>
      <c r="X3192" s="381">
        <v>-0.884688707482993</v>
      </c>
      <c r="Y3192" s="381">
        <v>0.61174530612244904</v>
      </c>
      <c r="Z3192" s="381">
        <v>-1.4964340136054421</v>
      </c>
      <c r="AA3192" s="381">
        <v>0</v>
      </c>
      <c r="AB3192" s="381">
        <v>1.65</v>
      </c>
      <c r="AC3192" s="382">
        <v>0.7653112925170068</v>
      </c>
      <c r="AD3192" s="382">
        <v>1.65</v>
      </c>
      <c r="AE3192" s="381" t="s">
        <v>168</v>
      </c>
    </row>
    <row r="3193" spans="1:31" ht="15" customHeight="1" x14ac:dyDescent="0.25">
      <c r="A3193" s="20" t="s">
        <v>3490</v>
      </c>
      <c r="B3193" s="20" t="s">
        <v>4749</v>
      </c>
      <c r="C3193" s="20" t="s">
        <v>4750</v>
      </c>
      <c r="D3193" s="378" t="s">
        <v>4762</v>
      </c>
      <c r="E3193" s="384">
        <v>43077</v>
      </c>
      <c r="F3193" s="384">
        <v>44903</v>
      </c>
      <c r="G3193" s="378" t="s">
        <v>439</v>
      </c>
      <c r="H3193" s="20" t="s">
        <v>4752</v>
      </c>
      <c r="I3193" s="20" t="s">
        <v>353</v>
      </c>
      <c r="J3193" s="20" t="s">
        <v>163</v>
      </c>
      <c r="K3193" s="378" t="s">
        <v>4753</v>
      </c>
      <c r="L3193" s="20" t="s">
        <v>165</v>
      </c>
      <c r="M3193" s="381">
        <v>768</v>
      </c>
      <c r="N3193" s="381"/>
      <c r="O3193" s="380"/>
      <c r="P3193" s="380"/>
      <c r="Q3193" s="381">
        <v>-851</v>
      </c>
      <c r="R3193" s="381">
        <v>151</v>
      </c>
      <c r="S3193" s="381">
        <v>-1000</v>
      </c>
      <c r="T3193" s="381">
        <v>0</v>
      </c>
      <c r="U3193" s="381">
        <v>1041.9199999999998</v>
      </c>
      <c r="V3193" s="382">
        <v>192.91999999999985</v>
      </c>
      <c r="W3193" s="382">
        <v>1041.9199999999998</v>
      </c>
      <c r="X3193" s="381">
        <v>-1.1080729166666667</v>
      </c>
      <c r="Y3193" s="381">
        <v>0.19661458333333334</v>
      </c>
      <c r="Z3193" s="381">
        <v>-1.3020833333333333</v>
      </c>
      <c r="AA3193" s="381">
        <v>0</v>
      </c>
      <c r="AB3193" s="381">
        <v>1.3566666666666665</v>
      </c>
      <c r="AC3193" s="382">
        <v>0.25119791666666647</v>
      </c>
      <c r="AD3193" s="382">
        <v>1.3566666666666665</v>
      </c>
      <c r="AE3193" s="381" t="s">
        <v>168</v>
      </c>
    </row>
    <row r="3194" spans="1:31" ht="15" customHeight="1" x14ac:dyDescent="0.25">
      <c r="A3194" s="20" t="s">
        <v>3490</v>
      </c>
      <c r="B3194" s="20" t="s">
        <v>4749</v>
      </c>
      <c r="C3194" s="20" t="s">
        <v>4750</v>
      </c>
      <c r="D3194" s="378" t="s">
        <v>4763</v>
      </c>
      <c r="E3194" s="384">
        <v>43077</v>
      </c>
      <c r="F3194" s="384" t="s">
        <v>3497</v>
      </c>
      <c r="G3194" s="378" t="s">
        <v>439</v>
      </c>
      <c r="H3194" s="20" t="s">
        <v>4752</v>
      </c>
      <c r="I3194" s="378" t="s">
        <v>353</v>
      </c>
      <c r="J3194" s="20" t="s">
        <v>163</v>
      </c>
      <c r="K3194" s="378" t="s">
        <v>4753</v>
      </c>
      <c r="L3194" s="378" t="s">
        <v>165</v>
      </c>
      <c r="M3194" s="380">
        <v>830</v>
      </c>
      <c r="N3194" s="380" t="s">
        <v>443</v>
      </c>
      <c r="O3194" s="380" t="s">
        <v>443</v>
      </c>
      <c r="P3194" s="380" t="s">
        <v>443</v>
      </c>
      <c r="Q3194" s="381">
        <v>-1095.74</v>
      </c>
      <c r="R3194" s="381">
        <v>104.26</v>
      </c>
      <c r="S3194" s="381">
        <v>-1200</v>
      </c>
      <c r="T3194" s="381">
        <v>0</v>
      </c>
      <c r="U3194" s="381">
        <v>1065.1666666666667</v>
      </c>
      <c r="V3194" s="382">
        <v>104.25999999999999</v>
      </c>
      <c r="W3194" s="382">
        <v>1065.1666666666667</v>
      </c>
      <c r="X3194" s="381">
        <v>-1.3201686746987953</v>
      </c>
      <c r="Y3194" s="381">
        <v>0.1256144578313253</v>
      </c>
      <c r="Z3194" s="381">
        <v>-1.4457831325301205</v>
      </c>
      <c r="AA3194" s="381">
        <v>0</v>
      </c>
      <c r="AB3194" s="381">
        <v>1.2833333333333334</v>
      </c>
      <c r="AC3194" s="382">
        <v>0.12561445783132519</v>
      </c>
      <c r="AD3194" s="382">
        <v>1.2833333333333334</v>
      </c>
      <c r="AE3194" s="381" t="s">
        <v>168</v>
      </c>
    </row>
    <row r="3195" spans="1:31" ht="15" customHeight="1" x14ac:dyDescent="0.25">
      <c r="A3195" s="20" t="s">
        <v>3490</v>
      </c>
      <c r="B3195" s="20" t="s">
        <v>4749</v>
      </c>
      <c r="C3195" s="20" t="s">
        <v>4750</v>
      </c>
      <c r="D3195" s="378" t="s">
        <v>4764</v>
      </c>
      <c r="E3195" s="384">
        <v>44606</v>
      </c>
      <c r="F3195" s="384">
        <v>46432</v>
      </c>
      <c r="G3195" s="378" t="s">
        <v>439</v>
      </c>
      <c r="H3195" s="20" t="s">
        <v>4765</v>
      </c>
      <c r="I3195" s="20" t="s">
        <v>162</v>
      </c>
      <c r="J3195" s="20" t="s">
        <v>163</v>
      </c>
      <c r="K3195" s="378" t="s">
        <v>4766</v>
      </c>
      <c r="L3195" s="20" t="s">
        <v>165</v>
      </c>
      <c r="M3195" s="381">
        <v>830</v>
      </c>
      <c r="N3195" s="381"/>
      <c r="O3195" s="380"/>
      <c r="P3195" s="380"/>
      <c r="Q3195" s="381">
        <v>-1070</v>
      </c>
      <c r="R3195" s="381">
        <v>130</v>
      </c>
      <c r="S3195" s="381">
        <v>-1200</v>
      </c>
      <c r="T3195" s="381">
        <v>0</v>
      </c>
      <c r="U3195" s="381">
        <v>1065.1666666666667</v>
      </c>
      <c r="V3195" s="382">
        <v>130</v>
      </c>
      <c r="W3195" s="382">
        <v>1065.1666666666667</v>
      </c>
      <c r="X3195" s="381">
        <v>-1.2891566265060241</v>
      </c>
      <c r="Y3195" s="381">
        <v>0.15662650602409639</v>
      </c>
      <c r="Z3195" s="381">
        <v>-1.4457831325301205</v>
      </c>
      <c r="AA3195" s="381">
        <v>0</v>
      </c>
      <c r="AB3195" s="381">
        <v>1.2833333333333334</v>
      </c>
      <c r="AC3195" s="382">
        <v>0.15662650602409633</v>
      </c>
      <c r="AD3195" s="382">
        <v>1.2833333333333334</v>
      </c>
      <c r="AE3195" s="381" t="s">
        <v>168</v>
      </c>
    </row>
    <row r="3196" spans="1:31" ht="15" customHeight="1" x14ac:dyDescent="0.25">
      <c r="A3196" s="20" t="s">
        <v>3490</v>
      </c>
      <c r="B3196" s="20" t="s">
        <v>4749</v>
      </c>
      <c r="C3196" s="20" t="s">
        <v>4750</v>
      </c>
      <c r="D3196" s="378" t="s">
        <v>4767</v>
      </c>
      <c r="E3196" s="384">
        <v>44606</v>
      </c>
      <c r="F3196" s="384">
        <v>46432</v>
      </c>
      <c r="G3196" s="378" t="s">
        <v>439</v>
      </c>
      <c r="H3196" s="20" t="s">
        <v>4765</v>
      </c>
      <c r="I3196" s="20" t="s">
        <v>162</v>
      </c>
      <c r="J3196" s="20" t="s">
        <v>163</v>
      </c>
      <c r="K3196" s="378" t="s">
        <v>4766</v>
      </c>
      <c r="L3196" s="20" t="s">
        <v>165</v>
      </c>
      <c r="M3196" s="381">
        <v>830</v>
      </c>
      <c r="N3196" s="381"/>
      <c r="O3196" s="380"/>
      <c r="P3196" s="380"/>
      <c r="Q3196" s="381">
        <v>-1010</v>
      </c>
      <c r="R3196" s="381">
        <v>184</v>
      </c>
      <c r="S3196" s="381">
        <v>-1190</v>
      </c>
      <c r="T3196" s="381">
        <v>0</v>
      </c>
      <c r="U3196" s="381">
        <v>1065.1666666666667</v>
      </c>
      <c r="V3196" s="382">
        <v>184</v>
      </c>
      <c r="W3196" s="382">
        <v>1065.1666666666667</v>
      </c>
      <c r="X3196" s="381">
        <v>-1.2168674698795181</v>
      </c>
      <c r="Y3196" s="381">
        <v>0.22168674698795179</v>
      </c>
      <c r="Z3196" s="381">
        <v>-1.4337349397590362</v>
      </c>
      <c r="AA3196" s="381">
        <v>0</v>
      </c>
      <c r="AB3196" s="381">
        <v>1.2833333333333334</v>
      </c>
      <c r="AC3196" s="382">
        <v>0.22168674698795177</v>
      </c>
      <c r="AD3196" s="382">
        <v>1.2833333333333334</v>
      </c>
      <c r="AE3196" s="381" t="s">
        <v>168</v>
      </c>
    </row>
    <row r="3197" spans="1:31" ht="15" customHeight="1" x14ac:dyDescent="0.25">
      <c r="A3197" s="20" t="s">
        <v>3490</v>
      </c>
      <c r="B3197" s="20" t="s">
        <v>4768</v>
      </c>
      <c r="C3197" s="20" t="s">
        <v>4769</v>
      </c>
      <c r="D3197" s="378" t="s">
        <v>4770</v>
      </c>
      <c r="E3197" s="384">
        <v>44606</v>
      </c>
      <c r="F3197" s="384">
        <v>46432</v>
      </c>
      <c r="G3197" s="378" t="s">
        <v>439</v>
      </c>
      <c r="H3197" s="20" t="s">
        <v>4771</v>
      </c>
      <c r="I3197" s="20" t="s">
        <v>4772</v>
      </c>
      <c r="J3197" s="20" t="s">
        <v>163</v>
      </c>
      <c r="K3197" s="378" t="s">
        <v>4773</v>
      </c>
      <c r="L3197" s="20" t="s">
        <v>165</v>
      </c>
      <c r="M3197" s="381">
        <v>551</v>
      </c>
      <c r="N3197" s="381"/>
      <c r="O3197" s="380"/>
      <c r="P3197" s="380"/>
      <c r="Q3197" s="381">
        <v>-749.1</v>
      </c>
      <c r="R3197" s="381">
        <v>131.80000000000001</v>
      </c>
      <c r="S3197" s="381">
        <v>-880.96349999999995</v>
      </c>
      <c r="T3197" s="381">
        <v>0</v>
      </c>
      <c r="U3197" s="381">
        <v>888.94666666666672</v>
      </c>
      <c r="V3197" s="382">
        <v>139.78316666666683</v>
      </c>
      <c r="W3197" s="382">
        <v>888.94666666666672</v>
      </c>
      <c r="X3197" s="381">
        <v>-1.3595281306715064</v>
      </c>
      <c r="Y3197" s="381">
        <v>0.23920145190562617</v>
      </c>
      <c r="Z3197" s="381">
        <v>-1.5988448275862068</v>
      </c>
      <c r="AA3197" s="381">
        <v>0</v>
      </c>
      <c r="AB3197" s="381">
        <v>1.6133333333333335</v>
      </c>
      <c r="AC3197" s="382">
        <v>0.25368995765275293</v>
      </c>
      <c r="AD3197" s="382">
        <v>1.6133333333333335</v>
      </c>
      <c r="AE3197" s="381" t="s">
        <v>168</v>
      </c>
    </row>
    <row r="3198" spans="1:31" ht="15" customHeight="1" x14ac:dyDescent="0.25">
      <c r="A3198" s="20" t="s">
        <v>3490</v>
      </c>
      <c r="B3198" s="20" t="s">
        <v>4768</v>
      </c>
      <c r="C3198" s="20" t="s">
        <v>4769</v>
      </c>
      <c r="D3198" s="378" t="s">
        <v>4774</v>
      </c>
      <c r="E3198" s="384">
        <v>44606</v>
      </c>
      <c r="F3198" s="384">
        <v>46432</v>
      </c>
      <c r="G3198" s="378" t="s">
        <v>439</v>
      </c>
      <c r="H3198" s="20" t="s">
        <v>4771</v>
      </c>
      <c r="I3198" s="20" t="s">
        <v>4772</v>
      </c>
      <c r="J3198" s="20" t="s">
        <v>163</v>
      </c>
      <c r="K3198" s="378" t="s">
        <v>4773</v>
      </c>
      <c r="L3198" s="20" t="s">
        <v>165</v>
      </c>
      <c r="M3198" s="381">
        <v>551</v>
      </c>
      <c r="N3198" s="381"/>
      <c r="O3198" s="380"/>
      <c r="P3198" s="380"/>
      <c r="Q3198" s="381">
        <v>-764</v>
      </c>
      <c r="R3198" s="381">
        <v>117</v>
      </c>
      <c r="S3198" s="381">
        <v>-881</v>
      </c>
      <c r="T3198" s="381">
        <v>0</v>
      </c>
      <c r="U3198" s="381">
        <v>888.94666666666672</v>
      </c>
      <c r="V3198" s="382">
        <v>124.94666666666672</v>
      </c>
      <c r="W3198" s="382">
        <v>888.94666666666672</v>
      </c>
      <c r="X3198" s="381">
        <v>-1.3865698729582576</v>
      </c>
      <c r="Y3198" s="381">
        <v>0.21234119782214156</v>
      </c>
      <c r="Z3198" s="381">
        <v>-1.5989110707803993</v>
      </c>
      <c r="AA3198" s="381">
        <v>0</v>
      </c>
      <c r="AB3198" s="381">
        <v>1.6133333333333335</v>
      </c>
      <c r="AC3198" s="382">
        <v>0.22676346037507566</v>
      </c>
      <c r="AD3198" s="382">
        <v>1.6133333333333335</v>
      </c>
      <c r="AE3198" s="381" t="s">
        <v>168</v>
      </c>
    </row>
    <row r="3199" spans="1:31" ht="15" customHeight="1" x14ac:dyDescent="0.25">
      <c r="A3199" s="20" t="s">
        <v>3490</v>
      </c>
      <c r="B3199" s="20" t="s">
        <v>4768</v>
      </c>
      <c r="C3199" s="20" t="s">
        <v>4769</v>
      </c>
      <c r="D3199" s="378" t="s">
        <v>4775</v>
      </c>
      <c r="E3199" s="384">
        <v>44606</v>
      </c>
      <c r="F3199" s="384">
        <v>46432</v>
      </c>
      <c r="G3199" s="378" t="s">
        <v>439</v>
      </c>
      <c r="H3199" s="20" t="s">
        <v>4771</v>
      </c>
      <c r="I3199" s="20" t="s">
        <v>4772</v>
      </c>
      <c r="J3199" s="20" t="s">
        <v>163</v>
      </c>
      <c r="K3199" s="378" t="s">
        <v>4773</v>
      </c>
      <c r="L3199" s="20" t="s">
        <v>165</v>
      </c>
      <c r="M3199" s="381">
        <v>551</v>
      </c>
      <c r="N3199" s="381"/>
      <c r="O3199" s="380"/>
      <c r="P3199" s="380"/>
      <c r="Q3199" s="381">
        <v>-746.6</v>
      </c>
      <c r="R3199" s="381">
        <v>134.4</v>
      </c>
      <c r="S3199" s="381">
        <v>-880.947</v>
      </c>
      <c r="T3199" s="381">
        <v>0</v>
      </c>
      <c r="U3199" s="381">
        <v>888.94666666666672</v>
      </c>
      <c r="V3199" s="382">
        <v>142.39966666666669</v>
      </c>
      <c r="W3199" s="382">
        <v>888.94666666666672</v>
      </c>
      <c r="X3199" s="381">
        <v>-1.3549909255898367</v>
      </c>
      <c r="Y3199" s="381">
        <v>0.24392014519056263</v>
      </c>
      <c r="Z3199" s="381">
        <v>-1.598814882032668</v>
      </c>
      <c r="AA3199" s="381">
        <v>0</v>
      </c>
      <c r="AB3199" s="381">
        <v>1.6133333333333335</v>
      </c>
      <c r="AC3199" s="382">
        <v>0.25843859649122813</v>
      </c>
      <c r="AD3199" s="382">
        <v>1.6133333333333335</v>
      </c>
      <c r="AE3199" s="381" t="s">
        <v>168</v>
      </c>
    </row>
    <row r="3200" spans="1:31" ht="15" customHeight="1" x14ac:dyDescent="0.25">
      <c r="A3200" s="20" t="s">
        <v>3490</v>
      </c>
      <c r="B3200" s="20" t="s">
        <v>4768</v>
      </c>
      <c r="C3200" s="20" t="s">
        <v>4769</v>
      </c>
      <c r="D3200" s="378" t="s">
        <v>4776</v>
      </c>
      <c r="E3200" s="384">
        <v>44606</v>
      </c>
      <c r="F3200" s="384">
        <v>46432</v>
      </c>
      <c r="G3200" s="378" t="s">
        <v>439</v>
      </c>
      <c r="H3200" s="20" t="s">
        <v>4771</v>
      </c>
      <c r="I3200" s="20" t="s">
        <v>4772</v>
      </c>
      <c r="J3200" s="20" t="s">
        <v>163</v>
      </c>
      <c r="K3200" s="378" t="s">
        <v>4773</v>
      </c>
      <c r="L3200" s="20" t="s">
        <v>165</v>
      </c>
      <c r="M3200" s="381">
        <v>551</v>
      </c>
      <c r="N3200" s="381"/>
      <c r="O3200" s="380"/>
      <c r="P3200" s="380"/>
      <c r="Q3200" s="381">
        <v>-739.3</v>
      </c>
      <c r="R3200" s="381">
        <v>141.69999999999999</v>
      </c>
      <c r="S3200" s="381">
        <v>-880.94299999999998</v>
      </c>
      <c r="T3200" s="381">
        <v>0</v>
      </c>
      <c r="U3200" s="381">
        <v>888.94666666666672</v>
      </c>
      <c r="V3200" s="382">
        <v>149.70366666666678</v>
      </c>
      <c r="W3200" s="382">
        <v>888.94666666666672</v>
      </c>
      <c r="X3200" s="381">
        <v>-1.3417422867513611</v>
      </c>
      <c r="Y3200" s="381">
        <v>0.25716878402903809</v>
      </c>
      <c r="Z3200" s="381">
        <v>-1.5988076225045371</v>
      </c>
      <c r="AA3200" s="381">
        <v>0</v>
      </c>
      <c r="AB3200" s="381">
        <v>1.6133333333333335</v>
      </c>
      <c r="AC3200" s="382">
        <v>0.27169449485783459</v>
      </c>
      <c r="AD3200" s="382">
        <v>1.6133333333333335</v>
      </c>
      <c r="AE3200" s="381" t="s">
        <v>168</v>
      </c>
    </row>
    <row r="3201" spans="1:31" ht="15" customHeight="1" x14ac:dyDescent="0.25">
      <c r="A3201" s="20" t="s">
        <v>3490</v>
      </c>
      <c r="B3201" s="20" t="s">
        <v>4768</v>
      </c>
      <c r="C3201" s="20" t="s">
        <v>4769</v>
      </c>
      <c r="D3201" s="378" t="s">
        <v>4777</v>
      </c>
      <c r="E3201" s="384">
        <v>44606</v>
      </c>
      <c r="F3201" s="384">
        <v>46432</v>
      </c>
      <c r="G3201" s="378" t="s">
        <v>439</v>
      </c>
      <c r="H3201" s="20" t="s">
        <v>4771</v>
      </c>
      <c r="I3201" s="20" t="s">
        <v>4772</v>
      </c>
      <c r="J3201" s="20" t="s">
        <v>163</v>
      </c>
      <c r="K3201" s="378" t="s">
        <v>4773</v>
      </c>
      <c r="L3201" s="20" t="s">
        <v>165</v>
      </c>
      <c r="M3201" s="381">
        <v>551</v>
      </c>
      <c r="N3201" s="381"/>
      <c r="O3201" s="380"/>
      <c r="P3201" s="380"/>
      <c r="Q3201" s="381">
        <v>-745.2</v>
      </c>
      <c r="R3201" s="381">
        <v>135.80000000000001</v>
      </c>
      <c r="S3201" s="381">
        <v>-880.93790000000001</v>
      </c>
      <c r="T3201" s="381">
        <v>0</v>
      </c>
      <c r="U3201" s="381">
        <v>888.94666666666672</v>
      </c>
      <c r="V3201" s="382">
        <v>143.80876666666677</v>
      </c>
      <c r="W3201" s="382">
        <v>888.94666666666672</v>
      </c>
      <c r="X3201" s="381">
        <v>-1.3524500907441017</v>
      </c>
      <c r="Y3201" s="381">
        <v>0.24646098003629766</v>
      </c>
      <c r="Z3201" s="381">
        <v>-1.5987983666061707</v>
      </c>
      <c r="AA3201" s="381">
        <v>0</v>
      </c>
      <c r="AB3201" s="381">
        <v>1.6133333333333335</v>
      </c>
      <c r="AC3201" s="382">
        <v>0.26099594676346038</v>
      </c>
      <c r="AD3201" s="382">
        <v>1.6133333333333335</v>
      </c>
      <c r="AE3201" s="381" t="s">
        <v>168</v>
      </c>
    </row>
    <row r="3202" spans="1:31" ht="15" customHeight="1" x14ac:dyDescent="0.25">
      <c r="A3202" s="20" t="s">
        <v>3490</v>
      </c>
      <c r="B3202" s="20" t="s">
        <v>4768</v>
      </c>
      <c r="C3202" s="20" t="s">
        <v>4769</v>
      </c>
      <c r="D3202" s="378" t="s">
        <v>4778</v>
      </c>
      <c r="E3202" s="384">
        <v>44606</v>
      </c>
      <c r="F3202" s="384">
        <v>46432</v>
      </c>
      <c r="G3202" s="378" t="s">
        <v>439</v>
      </c>
      <c r="H3202" s="20" t="s">
        <v>4771</v>
      </c>
      <c r="I3202" s="20" t="s">
        <v>4772</v>
      </c>
      <c r="J3202" s="20" t="s">
        <v>163</v>
      </c>
      <c r="K3202" s="378" t="s">
        <v>4773</v>
      </c>
      <c r="L3202" s="20" t="s">
        <v>165</v>
      </c>
      <c r="M3202" s="381">
        <v>551</v>
      </c>
      <c r="N3202" s="381"/>
      <c r="O3202" s="380"/>
      <c r="P3202" s="380"/>
      <c r="Q3202" s="381">
        <v>-705.4</v>
      </c>
      <c r="R3202" s="381">
        <v>175.5</v>
      </c>
      <c r="S3202" s="381">
        <v>-880.05700000000002</v>
      </c>
      <c r="T3202" s="381">
        <v>0</v>
      </c>
      <c r="U3202" s="381">
        <v>888.94666666666672</v>
      </c>
      <c r="V3202" s="382">
        <v>184.3896666666667</v>
      </c>
      <c r="W3202" s="382">
        <v>888.94666666666672</v>
      </c>
      <c r="X3202" s="381">
        <v>-1.2802177858439201</v>
      </c>
      <c r="Y3202" s="381">
        <v>0.31851179673321234</v>
      </c>
      <c r="Z3202" s="381">
        <v>-1.5971996370235935</v>
      </c>
      <c r="AA3202" s="381">
        <v>0</v>
      </c>
      <c r="AB3202" s="381">
        <v>1.6133333333333335</v>
      </c>
      <c r="AC3202" s="382">
        <v>0.33464549304295232</v>
      </c>
      <c r="AD3202" s="382">
        <v>1.6133333333333335</v>
      </c>
      <c r="AE3202" s="381" t="s">
        <v>168</v>
      </c>
    </row>
    <row r="3203" spans="1:31" ht="15" customHeight="1" x14ac:dyDescent="0.25">
      <c r="A3203" s="20" t="s">
        <v>3490</v>
      </c>
      <c r="B3203" s="20" t="s">
        <v>4768</v>
      </c>
      <c r="C3203" s="20" t="s">
        <v>4769</v>
      </c>
      <c r="D3203" s="378" t="s">
        <v>4779</v>
      </c>
      <c r="E3203" s="384">
        <v>44606</v>
      </c>
      <c r="F3203" s="384">
        <v>46432</v>
      </c>
      <c r="G3203" s="378" t="s">
        <v>439</v>
      </c>
      <c r="H3203" s="20" t="s">
        <v>4771</v>
      </c>
      <c r="I3203" s="20" t="s">
        <v>4772</v>
      </c>
      <c r="J3203" s="20" t="s">
        <v>163</v>
      </c>
      <c r="K3203" s="378" t="s">
        <v>4773</v>
      </c>
      <c r="L3203" s="20" t="s">
        <v>165</v>
      </c>
      <c r="M3203" s="381">
        <v>551</v>
      </c>
      <c r="N3203" s="381"/>
      <c r="O3203" s="380"/>
      <c r="P3203" s="380"/>
      <c r="Q3203" s="381">
        <v>-731.8</v>
      </c>
      <c r="R3203" s="381">
        <v>207.6</v>
      </c>
      <c r="S3203" s="381">
        <v>-880.91679999999997</v>
      </c>
      <c r="T3203" s="381">
        <v>0</v>
      </c>
      <c r="U3203" s="381">
        <v>888.94666666666672</v>
      </c>
      <c r="V3203" s="382">
        <v>215.62986666666677</v>
      </c>
      <c r="W3203" s="382">
        <v>888.94666666666672</v>
      </c>
      <c r="X3203" s="381">
        <v>-1.3281306715063521</v>
      </c>
      <c r="Y3203" s="381">
        <v>0.37676950998185116</v>
      </c>
      <c r="Z3203" s="381">
        <v>-1.5987600725952813</v>
      </c>
      <c r="AA3203" s="381">
        <v>0</v>
      </c>
      <c r="AB3203" s="381">
        <v>1.6133333333333335</v>
      </c>
      <c r="AC3203" s="382">
        <v>0.39134277071990331</v>
      </c>
      <c r="AD3203" s="382">
        <v>1.6133333333333335</v>
      </c>
      <c r="AE3203" s="381" t="s">
        <v>168</v>
      </c>
    </row>
    <row r="3204" spans="1:31" ht="15" customHeight="1" x14ac:dyDescent="0.25">
      <c r="A3204" s="20" t="s">
        <v>3490</v>
      </c>
      <c r="B3204" s="20" t="s">
        <v>4768</v>
      </c>
      <c r="C3204" s="20" t="s">
        <v>4780</v>
      </c>
      <c r="D3204" s="378" t="s">
        <v>4781</v>
      </c>
      <c r="E3204" s="384">
        <v>44606</v>
      </c>
      <c r="F3204" s="384">
        <v>46432</v>
      </c>
      <c r="G3204" s="378" t="s">
        <v>439</v>
      </c>
      <c r="H3204" s="20" t="s">
        <v>4771</v>
      </c>
      <c r="I3204" s="20" t="s">
        <v>4772</v>
      </c>
      <c r="J3204" s="20" t="s">
        <v>163</v>
      </c>
      <c r="K3204" s="378" t="s">
        <v>4773</v>
      </c>
      <c r="L3204" s="20" t="s">
        <v>165</v>
      </c>
      <c r="M3204" s="381">
        <v>551</v>
      </c>
      <c r="N3204" s="381"/>
      <c r="O3204" s="380"/>
      <c r="P3204" s="380"/>
      <c r="Q3204" s="381">
        <v>-706.2</v>
      </c>
      <c r="R3204" s="381">
        <v>168.7</v>
      </c>
      <c r="S3204" s="381">
        <v>-874.98350000000005</v>
      </c>
      <c r="T3204" s="381">
        <v>0</v>
      </c>
      <c r="U3204" s="381">
        <v>888.94666666666672</v>
      </c>
      <c r="V3204" s="382">
        <v>182.66316666666671</v>
      </c>
      <c r="W3204" s="382">
        <v>888.94666666666672</v>
      </c>
      <c r="X3204" s="381">
        <v>-1.2816696914700545</v>
      </c>
      <c r="Y3204" s="381">
        <v>0.30617059891107073</v>
      </c>
      <c r="Z3204" s="381">
        <v>-1.5879918330308531</v>
      </c>
      <c r="AA3204" s="381">
        <v>0</v>
      </c>
      <c r="AB3204" s="381">
        <v>1.6133333333333335</v>
      </c>
      <c r="AC3204" s="382">
        <v>0.33151209921355118</v>
      </c>
      <c r="AD3204" s="382">
        <v>1.6133333333333335</v>
      </c>
      <c r="AE3204" s="381" t="s">
        <v>168</v>
      </c>
    </row>
    <row r="3205" spans="1:31" ht="15" customHeight="1" x14ac:dyDescent="0.25">
      <c r="A3205" s="20" t="s">
        <v>3490</v>
      </c>
      <c r="B3205" s="20" t="s">
        <v>4768</v>
      </c>
      <c r="C3205" s="20" t="s">
        <v>4780</v>
      </c>
      <c r="D3205" s="378" t="s">
        <v>4782</v>
      </c>
      <c r="E3205" s="384">
        <v>44606</v>
      </c>
      <c r="F3205" s="384">
        <v>46432</v>
      </c>
      <c r="G3205" s="378" t="s">
        <v>439</v>
      </c>
      <c r="H3205" s="20" t="s">
        <v>4771</v>
      </c>
      <c r="I3205" s="20" t="s">
        <v>4772</v>
      </c>
      <c r="J3205" s="20" t="s">
        <v>163</v>
      </c>
      <c r="K3205" s="378" t="s">
        <v>4773</v>
      </c>
      <c r="L3205" s="20" t="s">
        <v>165</v>
      </c>
      <c r="M3205" s="381">
        <v>551</v>
      </c>
      <c r="N3205" s="381"/>
      <c r="O3205" s="380"/>
      <c r="P3205" s="380"/>
      <c r="Q3205" s="381">
        <v>-703.1</v>
      </c>
      <c r="R3205" s="381">
        <v>171.8</v>
      </c>
      <c r="S3205" s="381">
        <v>-874.96349999999995</v>
      </c>
      <c r="T3205" s="381">
        <v>0</v>
      </c>
      <c r="U3205" s="381">
        <v>888.94666666666672</v>
      </c>
      <c r="V3205" s="382">
        <v>185.78316666666683</v>
      </c>
      <c r="W3205" s="382">
        <v>888.94666666666672</v>
      </c>
      <c r="X3205" s="381">
        <v>-1.276043557168784</v>
      </c>
      <c r="Y3205" s="381">
        <v>0.31179673321234119</v>
      </c>
      <c r="Z3205" s="381">
        <v>-1.5879555353901995</v>
      </c>
      <c r="AA3205" s="381">
        <v>0</v>
      </c>
      <c r="AB3205" s="381">
        <v>1.6133333333333335</v>
      </c>
      <c r="AC3205" s="382">
        <v>0.33717453115547524</v>
      </c>
      <c r="AD3205" s="382">
        <v>1.6133333333333335</v>
      </c>
      <c r="AE3205" s="381" t="s">
        <v>168</v>
      </c>
    </row>
    <row r="3206" spans="1:31" ht="15" customHeight="1" x14ac:dyDescent="0.25">
      <c r="A3206" s="20" t="s">
        <v>3490</v>
      </c>
      <c r="B3206" s="20" t="s">
        <v>4768</v>
      </c>
      <c r="C3206" s="20" t="s">
        <v>4780</v>
      </c>
      <c r="D3206" s="378" t="s">
        <v>4783</v>
      </c>
      <c r="E3206" s="384">
        <v>44606</v>
      </c>
      <c r="F3206" s="384">
        <v>46432</v>
      </c>
      <c r="G3206" s="378" t="s">
        <v>439</v>
      </c>
      <c r="H3206" s="378" t="s">
        <v>4771</v>
      </c>
      <c r="I3206" s="378" t="s">
        <v>4772</v>
      </c>
      <c r="J3206" s="20" t="s">
        <v>163</v>
      </c>
      <c r="K3206" s="378" t="s">
        <v>4773</v>
      </c>
      <c r="L3206" s="20" t="s">
        <v>165</v>
      </c>
      <c r="M3206" s="381">
        <v>551</v>
      </c>
      <c r="N3206" s="381"/>
      <c r="O3206" s="380"/>
      <c r="P3206" s="380"/>
      <c r="Q3206" s="381">
        <v>-556.84100000000001</v>
      </c>
      <c r="R3206" s="381">
        <v>317.21600000000001</v>
      </c>
      <c r="S3206" s="381">
        <v>-874.05700000000002</v>
      </c>
      <c r="T3206" s="381">
        <v>0</v>
      </c>
      <c r="U3206" s="381">
        <v>888.94666666666672</v>
      </c>
      <c r="V3206" s="382">
        <v>332.10566666666671</v>
      </c>
      <c r="W3206" s="382">
        <v>888.94666666666672</v>
      </c>
      <c r="X3206" s="381">
        <v>-1.0106007259528131</v>
      </c>
      <c r="Y3206" s="381">
        <v>0.57570961887477312</v>
      </c>
      <c r="Z3206" s="381">
        <v>-1.5863103448275861</v>
      </c>
      <c r="AA3206" s="381">
        <v>0</v>
      </c>
      <c r="AB3206" s="381">
        <v>1.6133333333333335</v>
      </c>
      <c r="AC3206" s="382">
        <v>0.60273260738052037</v>
      </c>
      <c r="AD3206" s="382">
        <v>1.6133333333333335</v>
      </c>
      <c r="AE3206" s="381" t="s">
        <v>168</v>
      </c>
    </row>
    <row r="3207" spans="1:31" ht="15" customHeight="1" x14ac:dyDescent="0.25">
      <c r="A3207" s="20" t="s">
        <v>3490</v>
      </c>
      <c r="B3207" s="20" t="s">
        <v>4768</v>
      </c>
      <c r="C3207" s="20" t="s">
        <v>4780</v>
      </c>
      <c r="D3207" s="378" t="s">
        <v>4784</v>
      </c>
      <c r="E3207" s="384">
        <v>44606</v>
      </c>
      <c r="F3207" s="384">
        <v>46432</v>
      </c>
      <c r="G3207" s="378" t="s">
        <v>439</v>
      </c>
      <c r="H3207" s="20" t="s">
        <v>4771</v>
      </c>
      <c r="I3207" s="20" t="s">
        <v>4772</v>
      </c>
      <c r="J3207" s="20" t="s">
        <v>163</v>
      </c>
      <c r="K3207" s="378" t="s">
        <v>4773</v>
      </c>
      <c r="L3207" s="20" t="s">
        <v>165</v>
      </c>
      <c r="M3207" s="381">
        <v>551</v>
      </c>
      <c r="N3207" s="381"/>
      <c r="O3207" s="380"/>
      <c r="P3207" s="380"/>
      <c r="Q3207" s="381">
        <v>-718</v>
      </c>
      <c r="R3207" s="381">
        <v>157</v>
      </c>
      <c r="S3207" s="381">
        <v>-875</v>
      </c>
      <c r="T3207" s="381">
        <v>0</v>
      </c>
      <c r="U3207" s="381">
        <v>888.94666666666672</v>
      </c>
      <c r="V3207" s="382">
        <v>170.94666666666672</v>
      </c>
      <c r="W3207" s="382">
        <v>888.94666666666672</v>
      </c>
      <c r="X3207" s="381">
        <v>-1.3030852994555353</v>
      </c>
      <c r="Y3207" s="381">
        <v>0.28493647912885661</v>
      </c>
      <c r="Z3207" s="381">
        <v>-1.588021778584392</v>
      </c>
      <c r="AA3207" s="381">
        <v>0</v>
      </c>
      <c r="AB3207" s="381">
        <v>1.6133333333333335</v>
      </c>
      <c r="AC3207" s="382">
        <v>0.3102480338777982</v>
      </c>
      <c r="AD3207" s="382">
        <v>1.6133333333333335</v>
      </c>
      <c r="AE3207" s="381" t="s">
        <v>168</v>
      </c>
    </row>
    <row r="3208" spans="1:31" ht="15" customHeight="1" x14ac:dyDescent="0.25">
      <c r="A3208" s="20" t="s">
        <v>3490</v>
      </c>
      <c r="B3208" s="20" t="s">
        <v>4768</v>
      </c>
      <c r="C3208" s="20" t="s">
        <v>4780</v>
      </c>
      <c r="D3208" s="378" t="s">
        <v>4785</v>
      </c>
      <c r="E3208" s="384">
        <v>44606</v>
      </c>
      <c r="F3208" s="384">
        <v>46432</v>
      </c>
      <c r="G3208" s="378" t="s">
        <v>439</v>
      </c>
      <c r="H3208" s="20" t="s">
        <v>4771</v>
      </c>
      <c r="I3208" s="378" t="s">
        <v>4772</v>
      </c>
      <c r="J3208" s="20" t="s">
        <v>163</v>
      </c>
      <c r="K3208" s="378" t="s">
        <v>4773</v>
      </c>
      <c r="L3208" s="378" t="s">
        <v>165</v>
      </c>
      <c r="M3208" s="380">
        <v>551</v>
      </c>
      <c r="N3208" s="380" t="s">
        <v>443</v>
      </c>
      <c r="O3208" s="380" t="s">
        <v>443</v>
      </c>
      <c r="P3208" s="380" t="s">
        <v>443</v>
      </c>
      <c r="Q3208" s="381">
        <v>-776.22</v>
      </c>
      <c r="R3208" s="381">
        <v>97.836999999999989</v>
      </c>
      <c r="S3208" s="381">
        <v>-874.05700000000002</v>
      </c>
      <c r="T3208" s="381">
        <v>0</v>
      </c>
      <c r="U3208" s="381">
        <v>888.94666666666672</v>
      </c>
      <c r="V3208" s="382">
        <v>112.72666666666669</v>
      </c>
      <c r="W3208" s="382">
        <v>888.94666666666672</v>
      </c>
      <c r="X3208" s="381">
        <v>-1.4087477313974592</v>
      </c>
      <c r="Y3208" s="381">
        <v>0.17756261343012703</v>
      </c>
      <c r="Z3208" s="381">
        <v>-1.5863103448275861</v>
      </c>
      <c r="AA3208" s="381">
        <v>0</v>
      </c>
      <c r="AB3208" s="381">
        <v>1.6133333333333335</v>
      </c>
      <c r="AC3208" s="382">
        <v>0.20458560193587449</v>
      </c>
      <c r="AD3208" s="382">
        <v>1.6133333333333335</v>
      </c>
      <c r="AE3208" s="381" t="s">
        <v>168</v>
      </c>
    </row>
    <row r="3209" spans="1:31" ht="15" customHeight="1" x14ac:dyDescent="0.25">
      <c r="A3209" s="20" t="s">
        <v>3490</v>
      </c>
      <c r="B3209" s="20" t="s">
        <v>4768</v>
      </c>
      <c r="C3209" s="20" t="s">
        <v>4780</v>
      </c>
      <c r="D3209" s="378" t="s">
        <v>4786</v>
      </c>
      <c r="E3209" s="384">
        <v>45082</v>
      </c>
      <c r="F3209" s="384">
        <v>46909</v>
      </c>
      <c r="G3209" s="378" t="s">
        <v>439</v>
      </c>
      <c r="H3209" s="20" t="s">
        <v>4787</v>
      </c>
      <c r="I3209" s="20" t="s">
        <v>162</v>
      </c>
      <c r="J3209" s="20" t="s">
        <v>163</v>
      </c>
      <c r="K3209" s="378" t="s">
        <v>4788</v>
      </c>
      <c r="L3209" s="20" t="s">
        <v>165</v>
      </c>
      <c r="M3209" s="381">
        <v>492</v>
      </c>
      <c r="N3209" s="381"/>
      <c r="O3209" s="380"/>
      <c r="P3209" s="380"/>
      <c r="Q3209" s="381">
        <v>-711</v>
      </c>
      <c r="R3209" s="381">
        <v>119</v>
      </c>
      <c r="S3209" s="381">
        <v>-830</v>
      </c>
      <c r="T3209" s="381">
        <v>9.92E-3</v>
      </c>
      <c r="U3209" s="381">
        <v>865.33333333333337</v>
      </c>
      <c r="V3209" s="382">
        <v>154.34325333333334</v>
      </c>
      <c r="W3209" s="382">
        <v>865.33333333333337</v>
      </c>
      <c r="X3209" s="381">
        <v>-1.4451219512195121</v>
      </c>
      <c r="Y3209" s="381">
        <v>0.241869918699187</v>
      </c>
      <c r="Z3209" s="381">
        <v>-1.6869918699186992</v>
      </c>
      <c r="AA3209" s="381">
        <v>2.0162601626016259E-5</v>
      </c>
      <c r="AB3209" s="381">
        <v>1.7588075880758809</v>
      </c>
      <c r="AC3209" s="382">
        <v>0.31370579945799482</v>
      </c>
      <c r="AD3209" s="382">
        <v>1.7588075880758809</v>
      </c>
      <c r="AE3209" s="381" t="s">
        <v>168</v>
      </c>
    </row>
    <row r="3210" spans="1:31" ht="15" customHeight="1" x14ac:dyDescent="0.25">
      <c r="A3210" s="20" t="s">
        <v>3490</v>
      </c>
      <c r="B3210" s="20" t="s">
        <v>4768</v>
      </c>
      <c r="C3210" s="20" t="s">
        <v>4780</v>
      </c>
      <c r="D3210" s="378" t="s">
        <v>4789</v>
      </c>
      <c r="E3210" s="384">
        <v>45082</v>
      </c>
      <c r="F3210" s="384">
        <v>46909</v>
      </c>
      <c r="G3210" s="378" t="s">
        <v>439</v>
      </c>
      <c r="H3210" s="20" t="s">
        <v>4787</v>
      </c>
      <c r="I3210" s="20" t="s">
        <v>162</v>
      </c>
      <c r="J3210" s="20" t="s">
        <v>163</v>
      </c>
      <c r="K3210" s="378" t="s">
        <v>4788</v>
      </c>
      <c r="L3210" s="20" t="s">
        <v>165</v>
      </c>
      <c r="M3210" s="381">
        <v>528</v>
      </c>
      <c r="N3210" s="381"/>
      <c r="O3210" s="380"/>
      <c r="P3210" s="380"/>
      <c r="Q3210" s="381">
        <v>-705</v>
      </c>
      <c r="R3210" s="381">
        <v>125</v>
      </c>
      <c r="S3210" s="381">
        <v>-830</v>
      </c>
      <c r="T3210" s="381">
        <v>1.01E-2</v>
      </c>
      <c r="U3210" s="381">
        <v>865.33333333333337</v>
      </c>
      <c r="V3210" s="382">
        <v>160.34343333333334</v>
      </c>
      <c r="W3210" s="382">
        <v>865.33333333333337</v>
      </c>
      <c r="X3210" s="381">
        <v>-1.3352272727272727</v>
      </c>
      <c r="Y3210" s="381">
        <v>0.23674242424242425</v>
      </c>
      <c r="Z3210" s="381">
        <v>-1.571969696969697</v>
      </c>
      <c r="AA3210" s="381">
        <v>1.9128787878787877E-5</v>
      </c>
      <c r="AB3210" s="381">
        <v>1.6388888888888891</v>
      </c>
      <c r="AC3210" s="382">
        <v>0.30368074494949515</v>
      </c>
      <c r="AD3210" s="382">
        <v>1.6388888888888891</v>
      </c>
      <c r="AE3210" s="381" t="s">
        <v>168</v>
      </c>
    </row>
    <row r="3211" spans="1:31" ht="15" customHeight="1" x14ac:dyDescent="0.25">
      <c r="A3211" s="20" t="s">
        <v>3490</v>
      </c>
      <c r="B3211" s="20" t="s">
        <v>4768</v>
      </c>
      <c r="C3211" s="20" t="s">
        <v>4780</v>
      </c>
      <c r="D3211" s="378" t="s">
        <v>4790</v>
      </c>
      <c r="E3211" s="384">
        <v>45082</v>
      </c>
      <c r="F3211" s="384">
        <v>46909</v>
      </c>
      <c r="G3211" s="378" t="s">
        <v>439</v>
      </c>
      <c r="H3211" s="20" t="s">
        <v>4787</v>
      </c>
      <c r="I3211" s="20" t="s">
        <v>162</v>
      </c>
      <c r="J3211" s="20" t="s">
        <v>163</v>
      </c>
      <c r="K3211" s="378" t="s">
        <v>4788</v>
      </c>
      <c r="L3211" s="20" t="s">
        <v>165</v>
      </c>
      <c r="M3211" s="381">
        <v>526</v>
      </c>
      <c r="N3211" s="381"/>
      <c r="O3211" s="380"/>
      <c r="P3211" s="380"/>
      <c r="Q3211" s="381">
        <v>-670</v>
      </c>
      <c r="R3211" s="381">
        <v>148</v>
      </c>
      <c r="S3211" s="381">
        <v>-818</v>
      </c>
      <c r="T3211" s="381">
        <v>1.8599999999999998E-2</v>
      </c>
      <c r="U3211" s="381">
        <v>854.33333333333337</v>
      </c>
      <c r="V3211" s="382">
        <v>184.35193333333336</v>
      </c>
      <c r="W3211" s="382">
        <v>854.33333333333337</v>
      </c>
      <c r="X3211" s="381">
        <v>-1.273764258555133</v>
      </c>
      <c r="Y3211" s="381">
        <v>0.28136882129277568</v>
      </c>
      <c r="Z3211" s="381">
        <v>-1.5551330798479088</v>
      </c>
      <c r="AA3211" s="381">
        <v>3.5361216730038019E-5</v>
      </c>
      <c r="AB3211" s="381">
        <v>1.6242078580481623</v>
      </c>
      <c r="AC3211" s="382">
        <v>0.35047896070975915</v>
      </c>
      <c r="AD3211" s="382">
        <v>1.6242078580481623</v>
      </c>
      <c r="AE3211" s="381" t="s">
        <v>168</v>
      </c>
    </row>
    <row r="3212" spans="1:31" ht="15" customHeight="1" x14ac:dyDescent="0.25">
      <c r="A3212" s="20" t="s">
        <v>3490</v>
      </c>
      <c r="B3212" s="20" t="s">
        <v>4768</v>
      </c>
      <c r="C3212" s="20" t="s">
        <v>4780</v>
      </c>
      <c r="D3212" s="378" t="s">
        <v>4791</v>
      </c>
      <c r="E3212" s="384">
        <v>44606</v>
      </c>
      <c r="F3212" s="384">
        <v>46432</v>
      </c>
      <c r="G3212" s="378" t="s">
        <v>439</v>
      </c>
      <c r="H3212" s="20" t="s">
        <v>4771</v>
      </c>
      <c r="I3212" s="20" t="s">
        <v>4772</v>
      </c>
      <c r="J3212" s="20" t="s">
        <v>163</v>
      </c>
      <c r="K3212" s="378" t="s">
        <v>4773</v>
      </c>
      <c r="L3212" s="20" t="s">
        <v>165</v>
      </c>
      <c r="M3212" s="381">
        <v>551</v>
      </c>
      <c r="N3212" s="381"/>
      <c r="O3212" s="380"/>
      <c r="P3212" s="380"/>
      <c r="Q3212" s="381">
        <v>-700.6</v>
      </c>
      <c r="R3212" s="381">
        <v>174.4</v>
      </c>
      <c r="S3212" s="381">
        <v>-874.947</v>
      </c>
      <c r="T3212" s="381">
        <v>0</v>
      </c>
      <c r="U3212" s="381">
        <v>888.94666666666672</v>
      </c>
      <c r="V3212" s="382">
        <v>188.39966666666669</v>
      </c>
      <c r="W3212" s="382">
        <v>888.94666666666672</v>
      </c>
      <c r="X3212" s="381">
        <v>-1.2715063520871144</v>
      </c>
      <c r="Y3212" s="381">
        <v>0.31651542649727771</v>
      </c>
      <c r="Z3212" s="381">
        <v>-1.5879255898366607</v>
      </c>
      <c r="AA3212" s="381">
        <v>0</v>
      </c>
      <c r="AB3212" s="381">
        <v>1.6133333333333335</v>
      </c>
      <c r="AC3212" s="382">
        <v>0.34192316999395067</v>
      </c>
      <c r="AD3212" s="382">
        <v>1.6133333333333335</v>
      </c>
      <c r="AE3212" s="381" t="s">
        <v>168</v>
      </c>
    </row>
    <row r="3213" spans="1:31" ht="15" customHeight="1" x14ac:dyDescent="0.25">
      <c r="A3213" s="20" t="s">
        <v>3490</v>
      </c>
      <c r="B3213" s="20" t="s">
        <v>4768</v>
      </c>
      <c r="C3213" s="20" t="s">
        <v>4780</v>
      </c>
      <c r="D3213" s="378" t="s">
        <v>4792</v>
      </c>
      <c r="E3213" s="384">
        <v>44606</v>
      </c>
      <c r="F3213" s="384">
        <v>46432</v>
      </c>
      <c r="G3213" s="378" t="s">
        <v>439</v>
      </c>
      <c r="H3213" s="20" t="s">
        <v>4771</v>
      </c>
      <c r="I3213" s="20" t="s">
        <v>4772</v>
      </c>
      <c r="J3213" s="20" t="s">
        <v>163</v>
      </c>
      <c r="K3213" s="378" t="s">
        <v>4773</v>
      </c>
      <c r="L3213" s="20" t="s">
        <v>165</v>
      </c>
      <c r="M3213" s="381">
        <v>551</v>
      </c>
      <c r="N3213" s="381"/>
      <c r="O3213" s="380"/>
      <c r="P3213" s="380"/>
      <c r="Q3213" s="381">
        <v>-693.3</v>
      </c>
      <c r="R3213" s="381">
        <v>181.7</v>
      </c>
      <c r="S3213" s="381">
        <v>-874.94299999999998</v>
      </c>
      <c r="T3213" s="381">
        <v>0</v>
      </c>
      <c r="U3213" s="381">
        <v>888.94666666666672</v>
      </c>
      <c r="V3213" s="382">
        <v>195.70366666666678</v>
      </c>
      <c r="W3213" s="382">
        <v>888.94666666666672</v>
      </c>
      <c r="X3213" s="381">
        <v>-1.2582577132486388</v>
      </c>
      <c r="Y3213" s="381">
        <v>0.32976406533575314</v>
      </c>
      <c r="Z3213" s="381">
        <v>-1.58791833030853</v>
      </c>
      <c r="AA3213" s="381">
        <v>0</v>
      </c>
      <c r="AB3213" s="381">
        <v>1.6133333333333335</v>
      </c>
      <c r="AC3213" s="382">
        <v>0.35517906836055668</v>
      </c>
      <c r="AD3213" s="382">
        <v>1.6133333333333335</v>
      </c>
      <c r="AE3213" s="381" t="s">
        <v>168</v>
      </c>
    </row>
    <row r="3214" spans="1:31" ht="15" customHeight="1" x14ac:dyDescent="0.25">
      <c r="A3214" s="20" t="s">
        <v>3490</v>
      </c>
      <c r="B3214" s="20" t="s">
        <v>4768</v>
      </c>
      <c r="C3214" s="20" t="s">
        <v>4780</v>
      </c>
      <c r="D3214" s="378" t="s">
        <v>4793</v>
      </c>
      <c r="E3214" s="384">
        <v>44606</v>
      </c>
      <c r="F3214" s="384">
        <v>46432</v>
      </c>
      <c r="G3214" s="378" t="s">
        <v>439</v>
      </c>
      <c r="H3214" s="20" t="s">
        <v>4771</v>
      </c>
      <c r="I3214" s="20" t="s">
        <v>4772</v>
      </c>
      <c r="J3214" s="20" t="s">
        <v>163</v>
      </c>
      <c r="K3214" s="378" t="s">
        <v>4773</v>
      </c>
      <c r="L3214" s="20" t="s">
        <v>165</v>
      </c>
      <c r="M3214" s="381">
        <v>551</v>
      </c>
      <c r="N3214" s="381"/>
      <c r="O3214" s="380"/>
      <c r="P3214" s="380"/>
      <c r="Q3214" s="381">
        <v>-699.2</v>
      </c>
      <c r="R3214" s="381">
        <v>175.8</v>
      </c>
      <c r="S3214" s="381">
        <v>-874.93790000000001</v>
      </c>
      <c r="T3214" s="381">
        <v>0</v>
      </c>
      <c r="U3214" s="381">
        <v>888.94666666666672</v>
      </c>
      <c r="V3214" s="382">
        <v>189.80876666666677</v>
      </c>
      <c r="W3214" s="382">
        <v>888.94666666666672</v>
      </c>
      <c r="X3214" s="381">
        <v>-1.2689655172413794</v>
      </c>
      <c r="Y3214" s="381">
        <v>0.31905626134301274</v>
      </c>
      <c r="Z3214" s="381">
        <v>-1.5879090744101634</v>
      </c>
      <c r="AA3214" s="381">
        <v>0</v>
      </c>
      <c r="AB3214" s="381">
        <v>1.6133333333333335</v>
      </c>
      <c r="AC3214" s="382">
        <v>0.34448052026618292</v>
      </c>
      <c r="AD3214" s="382">
        <v>1.6133333333333335</v>
      </c>
      <c r="AE3214" s="381" t="s">
        <v>168</v>
      </c>
    </row>
    <row r="3215" spans="1:31" ht="15" customHeight="1" x14ac:dyDescent="0.25">
      <c r="A3215" s="20" t="s">
        <v>3490</v>
      </c>
      <c r="B3215" s="20" t="s">
        <v>4768</v>
      </c>
      <c r="C3215" s="20" t="s">
        <v>4780</v>
      </c>
      <c r="D3215" s="378" t="s">
        <v>4794</v>
      </c>
      <c r="E3215" s="384">
        <v>44606</v>
      </c>
      <c r="F3215" s="384">
        <v>46432</v>
      </c>
      <c r="G3215" s="378" t="s">
        <v>439</v>
      </c>
      <c r="H3215" s="20" t="s">
        <v>4771</v>
      </c>
      <c r="I3215" s="20" t="s">
        <v>4772</v>
      </c>
      <c r="J3215" s="20" t="s">
        <v>163</v>
      </c>
      <c r="K3215" s="378" t="s">
        <v>4773</v>
      </c>
      <c r="L3215" s="20" t="s">
        <v>165</v>
      </c>
      <c r="M3215" s="381">
        <v>551</v>
      </c>
      <c r="N3215" s="381"/>
      <c r="O3215" s="380"/>
      <c r="P3215" s="380"/>
      <c r="Q3215" s="381">
        <v>-659.4</v>
      </c>
      <c r="R3215" s="381">
        <v>215.5</v>
      </c>
      <c r="S3215" s="381">
        <v>-874.05700000000002</v>
      </c>
      <c r="T3215" s="381">
        <v>0</v>
      </c>
      <c r="U3215" s="381">
        <v>888.94666666666672</v>
      </c>
      <c r="V3215" s="382">
        <v>230.3896666666667</v>
      </c>
      <c r="W3215" s="382">
        <v>888.94666666666672</v>
      </c>
      <c r="X3215" s="381">
        <v>-1.1967332123411978</v>
      </c>
      <c r="Y3215" s="381">
        <v>0.39110707803992739</v>
      </c>
      <c r="Z3215" s="381">
        <v>-1.5863103448275861</v>
      </c>
      <c r="AA3215" s="381">
        <v>0</v>
      </c>
      <c r="AB3215" s="381">
        <v>1.6133333333333335</v>
      </c>
      <c r="AC3215" s="382">
        <v>0.41813006654567464</v>
      </c>
      <c r="AD3215" s="382">
        <v>1.6133333333333335</v>
      </c>
      <c r="AE3215" s="381" t="s">
        <v>168</v>
      </c>
    </row>
    <row r="3216" spans="1:31" ht="15" customHeight="1" x14ac:dyDescent="0.25">
      <c r="A3216" s="20" t="s">
        <v>3490</v>
      </c>
      <c r="B3216" s="20" t="s">
        <v>4768</v>
      </c>
      <c r="C3216" s="20" t="s">
        <v>4780</v>
      </c>
      <c r="D3216" s="378" t="s">
        <v>4795</v>
      </c>
      <c r="E3216" s="384">
        <v>45005</v>
      </c>
      <c r="F3216" s="384">
        <v>45881</v>
      </c>
      <c r="G3216" s="378" t="s">
        <v>2829</v>
      </c>
      <c r="H3216" s="20" t="s">
        <v>3771</v>
      </c>
      <c r="I3216" s="378" t="s">
        <v>3772</v>
      </c>
      <c r="J3216" s="20" t="s">
        <v>2831</v>
      </c>
      <c r="K3216" s="378" t="s">
        <v>3773</v>
      </c>
      <c r="L3216" s="378" t="s">
        <v>165</v>
      </c>
      <c r="M3216" s="380">
        <v>420</v>
      </c>
      <c r="N3216" s="380" t="s">
        <v>443</v>
      </c>
      <c r="O3216" s="380" t="s">
        <v>443</v>
      </c>
      <c r="P3216" s="380" t="s">
        <v>443</v>
      </c>
      <c r="Q3216" s="381">
        <v>-535</v>
      </c>
      <c r="R3216" s="381">
        <v>224</v>
      </c>
      <c r="S3216" s="381">
        <v>-758</v>
      </c>
      <c r="T3216" s="381">
        <v>0</v>
      </c>
      <c r="U3216" s="381">
        <v>716.09999999999991</v>
      </c>
      <c r="V3216" s="382">
        <v>224</v>
      </c>
      <c r="W3216" s="382">
        <v>716.09999999999991</v>
      </c>
      <c r="X3216" s="381">
        <v>-1.2738095238095237</v>
      </c>
      <c r="Y3216" s="381">
        <v>0.53333333333333333</v>
      </c>
      <c r="Z3216" s="381">
        <v>-1.8047619047619048</v>
      </c>
      <c r="AA3216" s="381">
        <v>0</v>
      </c>
      <c r="AB3216" s="381">
        <v>1.7049999999999998</v>
      </c>
      <c r="AC3216" s="382">
        <v>0.53333333333333344</v>
      </c>
      <c r="AD3216" s="382">
        <v>1.7049999999999998</v>
      </c>
      <c r="AE3216" s="381" t="s">
        <v>168</v>
      </c>
    </row>
    <row r="3217" spans="1:31" ht="15" customHeight="1" x14ac:dyDescent="0.25">
      <c r="A3217" s="20" t="s">
        <v>3490</v>
      </c>
      <c r="B3217" s="20" t="s">
        <v>4768</v>
      </c>
      <c r="C3217" s="20" t="s">
        <v>4780</v>
      </c>
      <c r="D3217" s="378" t="s">
        <v>4796</v>
      </c>
      <c r="E3217" s="384">
        <v>45005</v>
      </c>
      <c r="F3217" s="384">
        <v>45881</v>
      </c>
      <c r="G3217" s="378" t="s">
        <v>2829</v>
      </c>
      <c r="H3217" s="20" t="s">
        <v>3771</v>
      </c>
      <c r="I3217" s="378" t="s">
        <v>3772</v>
      </c>
      <c r="J3217" s="20" t="s">
        <v>2831</v>
      </c>
      <c r="K3217" s="378" t="s">
        <v>3773</v>
      </c>
      <c r="L3217" s="378" t="s">
        <v>165</v>
      </c>
      <c r="M3217" s="380">
        <v>420</v>
      </c>
      <c r="N3217" s="380" t="s">
        <v>443</v>
      </c>
      <c r="O3217" s="380" t="s">
        <v>443</v>
      </c>
      <c r="P3217" s="380" t="s">
        <v>443</v>
      </c>
      <c r="Q3217" s="381">
        <v>-516</v>
      </c>
      <c r="R3217" s="381">
        <v>243</v>
      </c>
      <c r="S3217" s="381">
        <v>-758</v>
      </c>
      <c r="T3217" s="381">
        <v>0</v>
      </c>
      <c r="U3217" s="381">
        <v>716.09999999999991</v>
      </c>
      <c r="V3217" s="382">
        <v>243</v>
      </c>
      <c r="W3217" s="382">
        <v>716.09999999999991</v>
      </c>
      <c r="X3217" s="381">
        <v>-1.2285714285714286</v>
      </c>
      <c r="Y3217" s="381">
        <v>0.57857142857142863</v>
      </c>
      <c r="Z3217" s="381">
        <v>-1.8047619047619048</v>
      </c>
      <c r="AA3217" s="381">
        <v>0</v>
      </c>
      <c r="AB3217" s="381">
        <v>1.7049999999999998</v>
      </c>
      <c r="AC3217" s="382">
        <v>0.57857142857142851</v>
      </c>
      <c r="AD3217" s="382">
        <v>1.7049999999999998</v>
      </c>
      <c r="AE3217" s="381" t="s">
        <v>168</v>
      </c>
    </row>
    <row r="3218" spans="1:31" ht="15" customHeight="1" x14ac:dyDescent="0.25">
      <c r="A3218" s="20" t="s">
        <v>3490</v>
      </c>
      <c r="B3218" s="20" t="s">
        <v>4768</v>
      </c>
      <c r="C3218" s="20" t="s">
        <v>4780</v>
      </c>
      <c r="D3218" s="378" t="s">
        <v>4797</v>
      </c>
      <c r="E3218" s="384">
        <v>44606</v>
      </c>
      <c r="F3218" s="384">
        <v>46432</v>
      </c>
      <c r="G3218" s="378" t="s">
        <v>439</v>
      </c>
      <c r="H3218" s="20" t="s">
        <v>4771</v>
      </c>
      <c r="I3218" s="20" t="s">
        <v>4772</v>
      </c>
      <c r="J3218" s="20" t="s">
        <v>163</v>
      </c>
      <c r="K3218" s="378" t="s">
        <v>4773</v>
      </c>
      <c r="L3218" s="20" t="s">
        <v>165</v>
      </c>
      <c r="M3218" s="381">
        <v>551</v>
      </c>
      <c r="N3218" s="381"/>
      <c r="O3218" s="380"/>
      <c r="P3218" s="380"/>
      <c r="Q3218" s="381">
        <v>-685.8</v>
      </c>
      <c r="R3218" s="381">
        <v>247.6</v>
      </c>
      <c r="S3218" s="381">
        <v>-874.91679999999997</v>
      </c>
      <c r="T3218" s="381">
        <v>0</v>
      </c>
      <c r="U3218" s="381">
        <v>888.94666666666672</v>
      </c>
      <c r="V3218" s="382">
        <v>261.62986666666677</v>
      </c>
      <c r="W3218" s="382">
        <v>888.94666666666672</v>
      </c>
      <c r="X3218" s="381">
        <v>-1.2446460980036296</v>
      </c>
      <c r="Y3218" s="381">
        <v>0.44936479128856621</v>
      </c>
      <c r="Z3218" s="381">
        <v>-1.587870780399274</v>
      </c>
      <c r="AA3218" s="381">
        <v>0</v>
      </c>
      <c r="AB3218" s="381">
        <v>1.6133333333333335</v>
      </c>
      <c r="AC3218" s="382">
        <v>0.47482734422262562</v>
      </c>
      <c r="AD3218" s="382">
        <v>1.6133333333333335</v>
      </c>
      <c r="AE3218" s="381" t="s">
        <v>168</v>
      </c>
    </row>
    <row r="3219" spans="1:31" ht="15" customHeight="1" x14ac:dyDescent="0.25">
      <c r="A3219" s="20" t="s">
        <v>3490</v>
      </c>
      <c r="B3219" s="20" t="s">
        <v>4768</v>
      </c>
      <c r="C3219" s="20" t="s">
        <v>4798</v>
      </c>
      <c r="D3219" s="378" t="s">
        <v>4799</v>
      </c>
      <c r="E3219" s="384">
        <v>45005</v>
      </c>
      <c r="F3219" s="384">
        <v>45881</v>
      </c>
      <c r="G3219" s="378" t="s">
        <v>2829</v>
      </c>
      <c r="H3219" s="20" t="s">
        <v>3771</v>
      </c>
      <c r="I3219" s="378" t="s">
        <v>3772</v>
      </c>
      <c r="J3219" s="20" t="s">
        <v>2831</v>
      </c>
      <c r="K3219" s="378" t="s">
        <v>3773</v>
      </c>
      <c r="L3219" s="378" t="s">
        <v>165</v>
      </c>
      <c r="M3219" s="380">
        <v>420</v>
      </c>
      <c r="N3219" s="380" t="s">
        <v>443</v>
      </c>
      <c r="O3219" s="380" t="s">
        <v>443</v>
      </c>
      <c r="P3219" s="380" t="s">
        <v>443</v>
      </c>
      <c r="Q3219" s="381">
        <v>-469</v>
      </c>
      <c r="R3219" s="381">
        <v>290</v>
      </c>
      <c r="S3219" s="381">
        <v>-758</v>
      </c>
      <c r="T3219" s="381">
        <v>0</v>
      </c>
      <c r="U3219" s="381">
        <v>716.09999999999991</v>
      </c>
      <c r="V3219" s="382">
        <v>290</v>
      </c>
      <c r="W3219" s="382">
        <v>716.09999999999991</v>
      </c>
      <c r="X3219" s="381">
        <v>-1.1166666666666667</v>
      </c>
      <c r="Y3219" s="381">
        <v>0.69047619047619047</v>
      </c>
      <c r="Z3219" s="381">
        <v>-1.8047619047619048</v>
      </c>
      <c r="AA3219" s="381">
        <v>0</v>
      </c>
      <c r="AB3219" s="381">
        <v>1.7049999999999998</v>
      </c>
      <c r="AC3219" s="382">
        <v>0.69047619047619047</v>
      </c>
      <c r="AD3219" s="382">
        <v>1.7049999999999998</v>
      </c>
      <c r="AE3219" s="381" t="s">
        <v>168</v>
      </c>
    </row>
    <row r="3220" spans="1:31" ht="15" customHeight="1" x14ac:dyDescent="0.25">
      <c r="A3220" s="20" t="s">
        <v>3490</v>
      </c>
      <c r="B3220" s="20" t="s">
        <v>4768</v>
      </c>
      <c r="C3220" s="20" t="s">
        <v>4798</v>
      </c>
      <c r="D3220" s="378" t="s">
        <v>4800</v>
      </c>
      <c r="E3220" s="384">
        <v>45044</v>
      </c>
      <c r="F3220" s="384">
        <v>46870</v>
      </c>
      <c r="G3220" s="378" t="s">
        <v>2856</v>
      </c>
      <c r="H3220" s="20" t="s">
        <v>4801</v>
      </c>
      <c r="I3220" s="378" t="s">
        <v>162</v>
      </c>
      <c r="J3220" s="20" t="s">
        <v>2831</v>
      </c>
      <c r="K3220" s="378" t="s">
        <v>4802</v>
      </c>
      <c r="L3220" s="378" t="s">
        <v>165</v>
      </c>
      <c r="M3220" s="380">
        <v>438.95</v>
      </c>
      <c r="N3220" s="380" t="s">
        <v>443</v>
      </c>
      <c r="O3220" s="380" t="s">
        <v>443</v>
      </c>
      <c r="P3220" s="380" t="s">
        <v>443</v>
      </c>
      <c r="Q3220" s="381">
        <v>-650</v>
      </c>
      <c r="R3220" s="381">
        <v>100</v>
      </c>
      <c r="S3220" s="381">
        <v>-750</v>
      </c>
      <c r="T3220" s="381">
        <v>0</v>
      </c>
      <c r="U3220" s="381">
        <v>667.93558333333328</v>
      </c>
      <c r="V3220" s="382">
        <v>100</v>
      </c>
      <c r="W3220" s="382">
        <v>667.93558333333328</v>
      </c>
      <c r="X3220" s="381">
        <v>-1.4808064699851919</v>
      </c>
      <c r="Y3220" s="381">
        <v>0.22781637999772184</v>
      </c>
      <c r="Z3220" s="381">
        <v>-1.7086228499829139</v>
      </c>
      <c r="AA3220" s="381">
        <v>0</v>
      </c>
      <c r="AB3220" s="381">
        <v>1.5216666666666665</v>
      </c>
      <c r="AC3220" s="382">
        <v>0.22781637999772175</v>
      </c>
      <c r="AD3220" s="382">
        <v>1.5216666666666665</v>
      </c>
      <c r="AE3220" s="381" t="s">
        <v>168</v>
      </c>
    </row>
    <row r="3221" spans="1:31" ht="15" customHeight="1" x14ac:dyDescent="0.25">
      <c r="A3221" s="20" t="s">
        <v>2769</v>
      </c>
      <c r="B3221" s="20" t="s">
        <v>4803</v>
      </c>
      <c r="C3221" s="20" t="s">
        <v>4804</v>
      </c>
      <c r="D3221" s="378" t="s">
        <v>4805</v>
      </c>
      <c r="E3221" s="384">
        <v>43922</v>
      </c>
      <c r="F3221" s="384">
        <v>45747</v>
      </c>
      <c r="G3221" s="378" t="s">
        <v>2886</v>
      </c>
      <c r="H3221" s="20" t="s">
        <v>4806</v>
      </c>
      <c r="I3221" s="378">
        <v>0</v>
      </c>
      <c r="J3221" s="20" t="s">
        <v>2831</v>
      </c>
      <c r="K3221" s="378" t="s">
        <v>4807</v>
      </c>
      <c r="L3221" s="378" t="s">
        <v>165</v>
      </c>
      <c r="M3221" s="380">
        <v>450</v>
      </c>
      <c r="N3221" s="380" t="s">
        <v>443</v>
      </c>
      <c r="O3221" s="380" t="s">
        <v>443</v>
      </c>
      <c r="P3221" s="380" t="s">
        <v>443</v>
      </c>
      <c r="Q3221" s="381">
        <v>150</v>
      </c>
      <c r="R3221" s="381">
        <v>150</v>
      </c>
      <c r="S3221" s="381">
        <v>8.6999999999999994E-2</v>
      </c>
      <c r="T3221" s="381">
        <v>0.16</v>
      </c>
      <c r="U3221" s="381">
        <v>0</v>
      </c>
      <c r="V3221" s="382">
        <v>150.24699999999999</v>
      </c>
      <c r="W3221" s="382">
        <v>0</v>
      </c>
      <c r="X3221" s="381">
        <v>0.33333333333333331</v>
      </c>
      <c r="Y3221" s="381">
        <v>0.33333333333333331</v>
      </c>
      <c r="Z3221" s="381">
        <v>1.9333333333333331E-4</v>
      </c>
      <c r="AA3221" s="381">
        <v>3.5555555555555557E-4</v>
      </c>
      <c r="AB3221" s="381">
        <v>0</v>
      </c>
      <c r="AC3221" s="382">
        <v>0.33388222222222219</v>
      </c>
      <c r="AD3221" s="382">
        <v>0</v>
      </c>
      <c r="AE3221" s="381" t="s">
        <v>168</v>
      </c>
    </row>
    <row r="3222" spans="1:31" ht="15" customHeight="1" x14ac:dyDescent="0.25">
      <c r="A3222" s="20" t="s">
        <v>2769</v>
      </c>
      <c r="B3222" s="20" t="s">
        <v>4803</v>
      </c>
      <c r="C3222" s="20" t="s">
        <v>4804</v>
      </c>
      <c r="D3222" s="378" t="s">
        <v>4808</v>
      </c>
      <c r="E3222" s="384">
        <v>44274</v>
      </c>
      <c r="F3222" s="384">
        <v>46096</v>
      </c>
      <c r="G3222" s="378" t="s">
        <v>4663</v>
      </c>
      <c r="H3222" s="20" t="s">
        <v>4809</v>
      </c>
      <c r="I3222" s="378">
        <v>0</v>
      </c>
      <c r="J3222" s="20" t="s">
        <v>2831</v>
      </c>
      <c r="K3222" s="378" t="s">
        <v>4810</v>
      </c>
      <c r="L3222" s="378" t="s">
        <v>165</v>
      </c>
      <c r="M3222" s="380">
        <v>300</v>
      </c>
      <c r="N3222" s="380" t="s">
        <v>443</v>
      </c>
      <c r="O3222" s="380" t="s">
        <v>443</v>
      </c>
      <c r="P3222" s="380" t="s">
        <v>443</v>
      </c>
      <c r="Q3222" s="381">
        <v>181</v>
      </c>
      <c r="R3222" s="381">
        <v>0</v>
      </c>
      <c r="S3222" s="381">
        <v>0</v>
      </c>
      <c r="T3222" s="381">
        <v>0</v>
      </c>
      <c r="U3222" s="381">
        <v>0</v>
      </c>
      <c r="V3222" s="382">
        <v>181</v>
      </c>
      <c r="W3222" s="382">
        <v>0</v>
      </c>
      <c r="X3222" s="381">
        <v>0.60333333333333339</v>
      </c>
      <c r="Y3222" s="381">
        <v>0</v>
      </c>
      <c r="Z3222" s="381">
        <v>0</v>
      </c>
      <c r="AA3222" s="381">
        <v>0</v>
      </c>
      <c r="AB3222" s="381">
        <v>0</v>
      </c>
      <c r="AC3222" s="382">
        <v>0.60333333333333339</v>
      </c>
      <c r="AD3222" s="382">
        <v>0</v>
      </c>
      <c r="AE3222" s="381" t="s">
        <v>168</v>
      </c>
    </row>
    <row r="3223" spans="1:31" ht="15" customHeight="1" x14ac:dyDescent="0.25">
      <c r="A3223" s="20" t="s">
        <v>2769</v>
      </c>
      <c r="B3223" s="20" t="s">
        <v>4803</v>
      </c>
      <c r="C3223" s="20" t="s">
        <v>4804</v>
      </c>
      <c r="D3223" s="378" t="s">
        <v>4811</v>
      </c>
      <c r="E3223" s="384">
        <v>44274</v>
      </c>
      <c r="F3223" s="384">
        <v>46096</v>
      </c>
      <c r="G3223" s="378" t="s">
        <v>4663</v>
      </c>
      <c r="H3223" s="20" t="s">
        <v>4809</v>
      </c>
      <c r="I3223" s="378">
        <v>0</v>
      </c>
      <c r="J3223" s="20" t="s">
        <v>2831</v>
      </c>
      <c r="K3223" s="378" t="s">
        <v>4810</v>
      </c>
      <c r="L3223" s="378" t="s">
        <v>165</v>
      </c>
      <c r="M3223" s="380">
        <v>480</v>
      </c>
      <c r="N3223" s="380" t="s">
        <v>443</v>
      </c>
      <c r="O3223" s="380" t="s">
        <v>443</v>
      </c>
      <c r="P3223" s="380" t="s">
        <v>443</v>
      </c>
      <c r="Q3223" s="381">
        <v>197</v>
      </c>
      <c r="R3223" s="381">
        <v>0</v>
      </c>
      <c r="S3223" s="381">
        <v>0</v>
      </c>
      <c r="T3223" s="381">
        <v>0</v>
      </c>
      <c r="U3223" s="381">
        <v>0</v>
      </c>
      <c r="V3223" s="382">
        <v>197</v>
      </c>
      <c r="W3223" s="382">
        <v>0</v>
      </c>
      <c r="X3223" s="381">
        <v>0.41041666666666665</v>
      </c>
      <c r="Y3223" s="381">
        <v>0</v>
      </c>
      <c r="Z3223" s="381">
        <v>0</v>
      </c>
      <c r="AA3223" s="381">
        <v>0</v>
      </c>
      <c r="AB3223" s="381">
        <v>0</v>
      </c>
      <c r="AC3223" s="382">
        <v>0.41041666666666665</v>
      </c>
      <c r="AD3223" s="382">
        <v>0</v>
      </c>
      <c r="AE3223" s="381" t="s">
        <v>168</v>
      </c>
    </row>
    <row r="3224" spans="1:31" ht="15" customHeight="1" x14ac:dyDescent="0.25">
      <c r="A3224" s="20" t="s">
        <v>2769</v>
      </c>
      <c r="B3224" s="20" t="s">
        <v>4803</v>
      </c>
      <c r="C3224" s="20" t="s">
        <v>4804</v>
      </c>
      <c r="D3224" s="378" t="s">
        <v>4812</v>
      </c>
      <c r="E3224" s="384">
        <v>44274</v>
      </c>
      <c r="F3224" s="384">
        <v>46096</v>
      </c>
      <c r="G3224" s="378" t="s">
        <v>4663</v>
      </c>
      <c r="H3224" s="20" t="s">
        <v>4809</v>
      </c>
      <c r="I3224" s="378">
        <v>0</v>
      </c>
      <c r="J3224" s="20" t="s">
        <v>2831</v>
      </c>
      <c r="K3224" s="378" t="s">
        <v>4810</v>
      </c>
      <c r="L3224" s="378" t="s">
        <v>165</v>
      </c>
      <c r="M3224" s="380">
        <v>580</v>
      </c>
      <c r="N3224" s="380" t="s">
        <v>443</v>
      </c>
      <c r="O3224" s="380" t="s">
        <v>443</v>
      </c>
      <c r="P3224" s="380" t="s">
        <v>443</v>
      </c>
      <c r="Q3224" s="381">
        <v>232</v>
      </c>
      <c r="R3224" s="381">
        <v>0</v>
      </c>
      <c r="S3224" s="381">
        <v>0</v>
      </c>
      <c r="T3224" s="381">
        <v>0</v>
      </c>
      <c r="U3224" s="381">
        <v>0</v>
      </c>
      <c r="V3224" s="382">
        <v>232</v>
      </c>
      <c r="W3224" s="382">
        <v>0</v>
      </c>
      <c r="X3224" s="381">
        <v>0.4</v>
      </c>
      <c r="Y3224" s="381">
        <v>0</v>
      </c>
      <c r="Z3224" s="381">
        <v>0</v>
      </c>
      <c r="AA3224" s="381">
        <v>0</v>
      </c>
      <c r="AB3224" s="381">
        <v>0</v>
      </c>
      <c r="AC3224" s="382">
        <v>0.4</v>
      </c>
      <c r="AD3224" s="382">
        <v>0</v>
      </c>
      <c r="AE3224" s="381" t="s">
        <v>168</v>
      </c>
    </row>
    <row r="3225" spans="1:31" ht="15" customHeight="1" x14ac:dyDescent="0.25">
      <c r="A3225" s="20" t="s">
        <v>156</v>
      </c>
      <c r="B3225" s="20" t="s">
        <v>4813</v>
      </c>
      <c r="C3225" s="20" t="s">
        <v>4814</v>
      </c>
      <c r="D3225" s="378" t="s">
        <v>4815</v>
      </c>
      <c r="E3225" s="379">
        <v>45016</v>
      </c>
      <c r="F3225" s="379">
        <v>46843</v>
      </c>
      <c r="G3225" s="378" t="s">
        <v>193</v>
      </c>
      <c r="H3225" s="20" t="s">
        <v>194</v>
      </c>
      <c r="I3225" s="20" t="s">
        <v>162</v>
      </c>
      <c r="J3225" s="20" t="s">
        <v>163</v>
      </c>
      <c r="K3225" s="378" t="s">
        <v>195</v>
      </c>
      <c r="L3225" s="20" t="s">
        <v>165</v>
      </c>
      <c r="M3225" s="380">
        <v>2400</v>
      </c>
      <c r="N3225" s="380"/>
      <c r="O3225" s="380"/>
      <c r="P3225" s="380"/>
      <c r="Q3225" s="381">
        <v>101</v>
      </c>
      <c r="R3225" s="381">
        <v>101</v>
      </c>
      <c r="S3225" s="381">
        <v>7.5399999999999995E-2</v>
      </c>
      <c r="T3225" s="381"/>
      <c r="U3225" s="381"/>
      <c r="V3225" s="382">
        <v>101.0754</v>
      </c>
      <c r="W3225" s="382">
        <v>0</v>
      </c>
      <c r="X3225" s="381">
        <v>4.2083333333333334E-2</v>
      </c>
      <c r="Y3225" s="381">
        <v>4.2083333333333334E-2</v>
      </c>
      <c r="Z3225" s="381">
        <v>3.1416666666666667E-5</v>
      </c>
      <c r="AA3225" s="381">
        <v>0</v>
      </c>
      <c r="AB3225" s="381">
        <v>0</v>
      </c>
      <c r="AC3225" s="382">
        <v>4.2114749999999999E-2</v>
      </c>
      <c r="AD3225" s="382">
        <v>0</v>
      </c>
      <c r="AE3225" s="381" t="s">
        <v>168</v>
      </c>
    </row>
    <row r="3226" spans="1:31" ht="15" customHeight="1" x14ac:dyDescent="0.25">
      <c r="A3226" s="20" t="s">
        <v>156</v>
      </c>
      <c r="B3226" s="20" t="s">
        <v>4813</v>
      </c>
      <c r="C3226" s="20" t="s">
        <v>4814</v>
      </c>
      <c r="D3226" s="378" t="s">
        <v>4816</v>
      </c>
      <c r="E3226" s="379">
        <v>44788</v>
      </c>
      <c r="F3226" s="379">
        <v>46113</v>
      </c>
      <c r="G3226" s="378" t="s">
        <v>320</v>
      </c>
      <c r="H3226" s="20" t="s">
        <v>352</v>
      </c>
      <c r="I3226" s="20" t="s">
        <v>353</v>
      </c>
      <c r="J3226" s="20" t="s">
        <v>163</v>
      </c>
      <c r="K3226" s="378" t="s">
        <v>354</v>
      </c>
      <c r="L3226" s="20" t="s">
        <v>165</v>
      </c>
      <c r="M3226" s="380">
        <v>1750</v>
      </c>
      <c r="N3226" s="380"/>
      <c r="O3226" s="380"/>
      <c r="P3226" s="380"/>
      <c r="Q3226" s="381">
        <v>117</v>
      </c>
      <c r="R3226" s="381"/>
      <c r="S3226" s="381"/>
      <c r="T3226" s="381"/>
      <c r="U3226" s="381"/>
      <c r="V3226" s="382">
        <v>117</v>
      </c>
      <c r="W3226" s="382">
        <v>0</v>
      </c>
      <c r="X3226" s="381">
        <v>6.6857142857142851E-2</v>
      </c>
      <c r="Y3226" s="381">
        <v>0</v>
      </c>
      <c r="Z3226" s="381">
        <v>0</v>
      </c>
      <c r="AA3226" s="381">
        <v>0</v>
      </c>
      <c r="AB3226" s="381">
        <v>0</v>
      </c>
      <c r="AC3226" s="382">
        <v>6.6857142857142851E-2</v>
      </c>
      <c r="AD3226" s="382">
        <v>0</v>
      </c>
      <c r="AE3226" s="381" t="s">
        <v>168</v>
      </c>
    </row>
    <row r="3227" spans="1:31" ht="15" customHeight="1" x14ac:dyDescent="0.25">
      <c r="A3227" s="20" t="s">
        <v>156</v>
      </c>
      <c r="B3227" s="20" t="s">
        <v>4813</v>
      </c>
      <c r="C3227" s="20" t="s">
        <v>4814</v>
      </c>
      <c r="D3227" s="378" t="s">
        <v>4817</v>
      </c>
      <c r="E3227" s="379">
        <v>44788</v>
      </c>
      <c r="F3227" s="379">
        <v>46113</v>
      </c>
      <c r="G3227" s="378" t="s">
        <v>320</v>
      </c>
      <c r="H3227" s="20" t="s">
        <v>352</v>
      </c>
      <c r="I3227" s="20" t="s">
        <v>353</v>
      </c>
      <c r="J3227" s="20" t="s">
        <v>163</v>
      </c>
      <c r="K3227" s="378" t="s">
        <v>354</v>
      </c>
      <c r="L3227" s="20" t="s">
        <v>165</v>
      </c>
      <c r="M3227" s="380">
        <v>1750</v>
      </c>
      <c r="N3227" s="380"/>
      <c r="O3227" s="380"/>
      <c r="P3227" s="380"/>
      <c r="Q3227" s="381">
        <v>188</v>
      </c>
      <c r="R3227" s="381"/>
      <c r="S3227" s="381"/>
      <c r="T3227" s="381"/>
      <c r="U3227" s="381"/>
      <c r="V3227" s="382">
        <v>188</v>
      </c>
      <c r="W3227" s="382">
        <v>0</v>
      </c>
      <c r="X3227" s="381">
        <v>0.10742857142857143</v>
      </c>
      <c r="Y3227" s="381">
        <v>0</v>
      </c>
      <c r="Z3227" s="381">
        <v>0</v>
      </c>
      <c r="AA3227" s="381">
        <v>0</v>
      </c>
      <c r="AB3227" s="381">
        <v>0</v>
      </c>
      <c r="AC3227" s="382">
        <v>0.10742857142857143</v>
      </c>
      <c r="AD3227" s="382">
        <v>0</v>
      </c>
      <c r="AE3227" s="381" t="s">
        <v>168</v>
      </c>
    </row>
    <row r="3228" spans="1:31" ht="15" customHeight="1" x14ac:dyDescent="0.25">
      <c r="A3228" s="20" t="s">
        <v>156</v>
      </c>
      <c r="B3228" s="20" t="s">
        <v>4813</v>
      </c>
      <c r="C3228" s="20" t="s">
        <v>4814</v>
      </c>
      <c r="D3228" s="378" t="s">
        <v>4818</v>
      </c>
      <c r="E3228" s="379">
        <v>44788</v>
      </c>
      <c r="F3228" s="379">
        <v>46113</v>
      </c>
      <c r="G3228" s="378" t="s">
        <v>320</v>
      </c>
      <c r="H3228" s="20" t="s">
        <v>352</v>
      </c>
      <c r="I3228" s="20" t="s">
        <v>353</v>
      </c>
      <c r="J3228" s="20" t="s">
        <v>163</v>
      </c>
      <c r="K3228" s="378" t="s">
        <v>354</v>
      </c>
      <c r="L3228" s="20" t="s">
        <v>165</v>
      </c>
      <c r="M3228" s="380">
        <v>1750</v>
      </c>
      <c r="N3228" s="380"/>
      <c r="O3228" s="380"/>
      <c r="P3228" s="380"/>
      <c r="Q3228" s="381">
        <v>318</v>
      </c>
      <c r="R3228" s="381"/>
      <c r="S3228" s="381"/>
      <c r="T3228" s="381"/>
      <c r="U3228" s="381"/>
      <c r="V3228" s="382">
        <v>318</v>
      </c>
      <c r="W3228" s="382">
        <v>0</v>
      </c>
      <c r="X3228" s="381">
        <v>0.18171428571428572</v>
      </c>
      <c r="Y3228" s="381">
        <v>0</v>
      </c>
      <c r="Z3228" s="381">
        <v>0</v>
      </c>
      <c r="AA3228" s="381">
        <v>0</v>
      </c>
      <c r="AB3228" s="381">
        <v>0</v>
      </c>
      <c r="AC3228" s="382">
        <v>0.18171428571428572</v>
      </c>
      <c r="AD3228" s="382">
        <v>0</v>
      </c>
      <c r="AE3228" s="381" t="s">
        <v>168</v>
      </c>
    </row>
    <row r="3229" spans="1:31" ht="15" customHeight="1" x14ac:dyDescent="0.25">
      <c r="A3229" s="20" t="s">
        <v>156</v>
      </c>
      <c r="B3229" s="20" t="s">
        <v>4819</v>
      </c>
      <c r="C3229" s="20" t="s">
        <v>4814</v>
      </c>
      <c r="D3229" s="378" t="s">
        <v>4820</v>
      </c>
      <c r="E3229" s="379">
        <v>44788</v>
      </c>
      <c r="F3229" s="379">
        <v>46113</v>
      </c>
      <c r="G3229" s="378" t="s">
        <v>362</v>
      </c>
      <c r="H3229" s="20" t="s">
        <v>352</v>
      </c>
      <c r="I3229" s="20" t="s">
        <v>353</v>
      </c>
      <c r="J3229" s="20" t="s">
        <v>163</v>
      </c>
      <c r="K3229" s="378" t="s">
        <v>354</v>
      </c>
      <c r="L3229" s="20" t="s">
        <v>165</v>
      </c>
      <c r="M3229" s="380">
        <v>1750</v>
      </c>
      <c r="N3229" s="380"/>
      <c r="O3229" s="380"/>
      <c r="P3229" s="380"/>
      <c r="Q3229" s="381">
        <v>123</v>
      </c>
      <c r="R3229" s="381"/>
      <c r="S3229" s="381"/>
      <c r="T3229" s="381"/>
      <c r="U3229" s="381"/>
      <c r="V3229" s="382">
        <v>123</v>
      </c>
      <c r="W3229" s="382">
        <v>0</v>
      </c>
      <c r="X3229" s="381">
        <v>7.0285714285714285E-2</v>
      </c>
      <c r="Y3229" s="381">
        <v>0</v>
      </c>
      <c r="Z3229" s="381">
        <v>0</v>
      </c>
      <c r="AA3229" s="381">
        <v>0</v>
      </c>
      <c r="AB3229" s="381">
        <v>0</v>
      </c>
      <c r="AC3229" s="382">
        <v>7.0285714285714285E-2</v>
      </c>
      <c r="AD3229" s="382">
        <v>0</v>
      </c>
      <c r="AE3229" s="381" t="s">
        <v>168</v>
      </c>
    </row>
    <row r="3230" spans="1:31" ht="15" customHeight="1" x14ac:dyDescent="0.25">
      <c r="A3230" s="20" t="s">
        <v>156</v>
      </c>
      <c r="B3230" s="20" t="s">
        <v>4819</v>
      </c>
      <c r="C3230" s="20" t="s">
        <v>4814</v>
      </c>
      <c r="D3230" s="378" t="s">
        <v>4821</v>
      </c>
      <c r="E3230" s="379">
        <v>44788</v>
      </c>
      <c r="F3230" s="379">
        <v>46113</v>
      </c>
      <c r="G3230" s="378" t="s">
        <v>362</v>
      </c>
      <c r="H3230" s="20" t="s">
        <v>352</v>
      </c>
      <c r="I3230" s="20" t="s">
        <v>353</v>
      </c>
      <c r="J3230" s="20" t="s">
        <v>163</v>
      </c>
      <c r="K3230" s="378" t="s">
        <v>354</v>
      </c>
      <c r="L3230" s="20" t="s">
        <v>165</v>
      </c>
      <c r="M3230" s="380">
        <v>1750</v>
      </c>
      <c r="N3230" s="380"/>
      <c r="O3230" s="380"/>
      <c r="P3230" s="380"/>
      <c r="Q3230" s="381">
        <v>210</v>
      </c>
      <c r="R3230" s="381"/>
      <c r="S3230" s="381"/>
      <c r="T3230" s="381"/>
      <c r="U3230" s="381"/>
      <c r="V3230" s="382">
        <v>210</v>
      </c>
      <c r="W3230" s="382">
        <v>0</v>
      </c>
      <c r="X3230" s="381">
        <v>0.12</v>
      </c>
      <c r="Y3230" s="381">
        <v>0</v>
      </c>
      <c r="Z3230" s="381">
        <v>0</v>
      </c>
      <c r="AA3230" s="381">
        <v>0</v>
      </c>
      <c r="AB3230" s="381">
        <v>0</v>
      </c>
      <c r="AC3230" s="382">
        <v>0.12</v>
      </c>
      <c r="AD3230" s="382">
        <v>0</v>
      </c>
      <c r="AE3230" s="381" t="s">
        <v>168</v>
      </c>
    </row>
    <row r="3231" spans="1:31" ht="15" customHeight="1" x14ac:dyDescent="0.25">
      <c r="A3231" s="20" t="s">
        <v>156</v>
      </c>
      <c r="B3231" s="20" t="s">
        <v>4813</v>
      </c>
      <c r="C3231" s="20" t="s">
        <v>4814</v>
      </c>
      <c r="D3231" s="378" t="s">
        <v>4822</v>
      </c>
      <c r="E3231" s="379">
        <v>44788</v>
      </c>
      <c r="F3231" s="379">
        <v>46113</v>
      </c>
      <c r="G3231" s="378" t="s">
        <v>219</v>
      </c>
      <c r="H3231" s="20" t="s">
        <v>352</v>
      </c>
      <c r="I3231" s="20" t="s">
        <v>353</v>
      </c>
      <c r="J3231" s="20" t="s">
        <v>163</v>
      </c>
      <c r="K3231" s="378" t="s">
        <v>354</v>
      </c>
      <c r="L3231" s="20" t="s">
        <v>165</v>
      </c>
      <c r="M3231" s="380">
        <v>1750</v>
      </c>
      <c r="N3231" s="380"/>
      <c r="O3231" s="380"/>
      <c r="P3231" s="380"/>
      <c r="Q3231" s="381">
        <v>172</v>
      </c>
      <c r="R3231" s="381"/>
      <c r="S3231" s="381"/>
      <c r="T3231" s="381"/>
      <c r="U3231" s="381"/>
      <c r="V3231" s="382">
        <v>172</v>
      </c>
      <c r="W3231" s="382">
        <v>0</v>
      </c>
      <c r="X3231" s="381">
        <v>9.8285714285714282E-2</v>
      </c>
      <c r="Y3231" s="381">
        <v>0</v>
      </c>
      <c r="Z3231" s="381">
        <v>0</v>
      </c>
      <c r="AA3231" s="381">
        <v>0</v>
      </c>
      <c r="AB3231" s="381">
        <v>0</v>
      </c>
      <c r="AC3231" s="382">
        <v>9.8285714285714282E-2</v>
      </c>
      <c r="AD3231" s="382">
        <v>0</v>
      </c>
      <c r="AE3231" s="381" t="s">
        <v>168</v>
      </c>
    </row>
    <row r="3232" spans="1:31" ht="15" customHeight="1" x14ac:dyDescent="0.25">
      <c r="A3232" s="20" t="s">
        <v>156</v>
      </c>
      <c r="B3232" s="20" t="s">
        <v>4813</v>
      </c>
      <c r="C3232" s="20" t="s">
        <v>4814</v>
      </c>
      <c r="D3232" s="378" t="s">
        <v>4823</v>
      </c>
      <c r="E3232" s="379">
        <v>44788</v>
      </c>
      <c r="F3232" s="379">
        <v>46113</v>
      </c>
      <c r="G3232" s="378" t="s">
        <v>378</v>
      </c>
      <c r="H3232" s="20" t="s">
        <v>352</v>
      </c>
      <c r="I3232" s="20" t="s">
        <v>353</v>
      </c>
      <c r="J3232" s="20" t="s">
        <v>163</v>
      </c>
      <c r="K3232" s="378" t="s">
        <v>354</v>
      </c>
      <c r="L3232" s="20" t="s">
        <v>165</v>
      </c>
      <c r="M3232" s="380">
        <v>1750</v>
      </c>
      <c r="N3232" s="380"/>
      <c r="O3232" s="380"/>
      <c r="P3232" s="380"/>
      <c r="Q3232" s="381">
        <v>185</v>
      </c>
      <c r="R3232" s="381"/>
      <c r="S3232" s="381"/>
      <c r="T3232" s="381"/>
      <c r="U3232" s="381"/>
      <c r="V3232" s="382">
        <v>185</v>
      </c>
      <c r="W3232" s="382">
        <v>0</v>
      </c>
      <c r="X3232" s="381">
        <v>0.10571428571428572</v>
      </c>
      <c r="Y3232" s="381">
        <v>0</v>
      </c>
      <c r="Z3232" s="381">
        <v>0</v>
      </c>
      <c r="AA3232" s="381">
        <v>0</v>
      </c>
      <c r="AB3232" s="381">
        <v>0</v>
      </c>
      <c r="AC3232" s="382">
        <v>0.10571428571428572</v>
      </c>
      <c r="AD3232" s="382">
        <v>0</v>
      </c>
      <c r="AE3232" s="381" t="s">
        <v>168</v>
      </c>
    </row>
    <row r="3233" spans="1:31" ht="15" customHeight="1" x14ac:dyDescent="0.25">
      <c r="A3233" s="20" t="s">
        <v>156</v>
      </c>
      <c r="B3233" s="20" t="s">
        <v>4813</v>
      </c>
      <c r="C3233" s="20" t="s">
        <v>4814</v>
      </c>
      <c r="D3233" s="378" t="s">
        <v>4824</v>
      </c>
      <c r="E3233" s="379">
        <v>44788</v>
      </c>
      <c r="F3233" s="379">
        <v>46113</v>
      </c>
      <c r="G3233" s="378" t="s">
        <v>378</v>
      </c>
      <c r="H3233" s="20" t="s">
        <v>352</v>
      </c>
      <c r="I3233" s="20" t="s">
        <v>353</v>
      </c>
      <c r="J3233" s="20" t="s">
        <v>163</v>
      </c>
      <c r="K3233" s="378" t="s">
        <v>354</v>
      </c>
      <c r="L3233" s="20" t="s">
        <v>165</v>
      </c>
      <c r="M3233" s="380">
        <v>1750</v>
      </c>
      <c r="N3233" s="380"/>
      <c r="O3233" s="380"/>
      <c r="P3233" s="380"/>
      <c r="Q3233" s="381">
        <v>314</v>
      </c>
      <c r="R3233" s="381"/>
      <c r="S3233" s="381"/>
      <c r="T3233" s="381"/>
      <c r="U3233" s="381"/>
      <c r="V3233" s="382">
        <v>314</v>
      </c>
      <c r="W3233" s="382">
        <v>0</v>
      </c>
      <c r="X3233" s="381">
        <v>0.17942857142857144</v>
      </c>
      <c r="Y3233" s="381">
        <v>0</v>
      </c>
      <c r="Z3233" s="381">
        <v>0</v>
      </c>
      <c r="AA3233" s="381">
        <v>0</v>
      </c>
      <c r="AB3233" s="381">
        <v>0</v>
      </c>
      <c r="AC3233" s="382">
        <v>0.17942857142857144</v>
      </c>
      <c r="AD3233" s="382">
        <v>0</v>
      </c>
      <c r="AE3233" s="381" t="s">
        <v>168</v>
      </c>
    </row>
    <row r="3234" spans="1:31" ht="15" customHeight="1" x14ac:dyDescent="0.25">
      <c r="A3234" s="20" t="s">
        <v>156</v>
      </c>
      <c r="B3234" s="20" t="s">
        <v>4813</v>
      </c>
      <c r="C3234" s="20" t="s">
        <v>4814</v>
      </c>
      <c r="D3234" s="378" t="s">
        <v>4825</v>
      </c>
      <c r="E3234" s="379">
        <v>44620</v>
      </c>
      <c r="F3234" s="379">
        <v>46446</v>
      </c>
      <c r="G3234" s="378" t="s">
        <v>173</v>
      </c>
      <c r="H3234" s="20" t="s">
        <v>393</v>
      </c>
      <c r="I3234" s="20"/>
      <c r="J3234" s="20" t="s">
        <v>163</v>
      </c>
      <c r="K3234" s="378" t="s">
        <v>394</v>
      </c>
      <c r="L3234" s="20" t="s">
        <v>165</v>
      </c>
      <c r="M3234" s="380">
        <v>1750</v>
      </c>
      <c r="N3234" s="380"/>
      <c r="O3234" s="380"/>
      <c r="P3234" s="380"/>
      <c r="Q3234" s="381">
        <v>124</v>
      </c>
      <c r="R3234" s="381"/>
      <c r="S3234" s="381"/>
      <c r="T3234" s="381"/>
      <c r="U3234" s="381"/>
      <c r="V3234" s="382">
        <v>124</v>
      </c>
      <c r="W3234" s="382">
        <v>0</v>
      </c>
      <c r="X3234" s="381">
        <v>7.0857142857142855E-2</v>
      </c>
      <c r="Y3234" s="381">
        <v>0</v>
      </c>
      <c r="Z3234" s="381">
        <v>0</v>
      </c>
      <c r="AA3234" s="381">
        <v>0</v>
      </c>
      <c r="AB3234" s="381">
        <v>0</v>
      </c>
      <c r="AC3234" s="382">
        <v>7.0857142857142855E-2</v>
      </c>
      <c r="AD3234" s="382">
        <v>0</v>
      </c>
      <c r="AE3234" s="381" t="s">
        <v>168</v>
      </c>
    </row>
    <row r="3235" spans="1:31" ht="15" customHeight="1" x14ac:dyDescent="0.25">
      <c r="A3235" s="20" t="s">
        <v>156</v>
      </c>
      <c r="B3235" s="20" t="s">
        <v>4813</v>
      </c>
      <c r="C3235" s="20" t="s">
        <v>4814</v>
      </c>
      <c r="D3235" s="378" t="s">
        <v>4826</v>
      </c>
      <c r="E3235" s="379">
        <v>44620</v>
      </c>
      <c r="F3235" s="379">
        <v>46446</v>
      </c>
      <c r="G3235" s="378" t="s">
        <v>173</v>
      </c>
      <c r="H3235" s="20" t="s">
        <v>393</v>
      </c>
      <c r="I3235" s="20"/>
      <c r="J3235" s="20" t="s">
        <v>163</v>
      </c>
      <c r="K3235" s="378" t="s">
        <v>394</v>
      </c>
      <c r="L3235" s="20" t="s">
        <v>165</v>
      </c>
      <c r="M3235" s="380">
        <v>1750</v>
      </c>
      <c r="N3235" s="380"/>
      <c r="O3235" s="380"/>
      <c r="P3235" s="380"/>
      <c r="Q3235" s="381">
        <v>179</v>
      </c>
      <c r="R3235" s="381"/>
      <c r="S3235" s="381"/>
      <c r="T3235" s="381"/>
      <c r="U3235" s="381"/>
      <c r="V3235" s="382">
        <v>179</v>
      </c>
      <c r="W3235" s="382">
        <v>0</v>
      </c>
      <c r="X3235" s="381">
        <v>0.10228571428571429</v>
      </c>
      <c r="Y3235" s="381">
        <v>0</v>
      </c>
      <c r="Z3235" s="381">
        <v>0</v>
      </c>
      <c r="AA3235" s="381">
        <v>0</v>
      </c>
      <c r="AB3235" s="381">
        <v>0</v>
      </c>
      <c r="AC3235" s="382">
        <v>0.10228571428571429</v>
      </c>
      <c r="AD3235" s="382">
        <v>0</v>
      </c>
      <c r="AE3235" s="381" t="s">
        <v>168</v>
      </c>
    </row>
    <row r="3236" spans="1:31" ht="15" customHeight="1" x14ac:dyDescent="0.25">
      <c r="A3236" s="20" t="s">
        <v>156</v>
      </c>
      <c r="B3236" s="20" t="s">
        <v>4813</v>
      </c>
      <c r="C3236" s="20" t="s">
        <v>4814</v>
      </c>
      <c r="D3236" s="378" t="s">
        <v>4827</v>
      </c>
      <c r="E3236" s="379">
        <v>44620</v>
      </c>
      <c r="F3236" s="379">
        <v>46446</v>
      </c>
      <c r="G3236" s="378" t="s">
        <v>173</v>
      </c>
      <c r="H3236" s="20" t="s">
        <v>393</v>
      </c>
      <c r="I3236" s="20"/>
      <c r="J3236" s="20" t="s">
        <v>163</v>
      </c>
      <c r="K3236" s="378" t="s">
        <v>394</v>
      </c>
      <c r="L3236" s="20" t="s">
        <v>165</v>
      </c>
      <c r="M3236" s="380">
        <v>1750</v>
      </c>
      <c r="N3236" s="380"/>
      <c r="O3236" s="380"/>
      <c r="P3236" s="380"/>
      <c r="Q3236" s="381">
        <v>289</v>
      </c>
      <c r="R3236" s="381"/>
      <c r="S3236" s="381"/>
      <c r="T3236" s="381"/>
      <c r="U3236" s="381"/>
      <c r="V3236" s="382">
        <v>289</v>
      </c>
      <c r="W3236" s="382">
        <v>0</v>
      </c>
      <c r="X3236" s="381">
        <v>0.16514285714285715</v>
      </c>
      <c r="Y3236" s="381">
        <v>0</v>
      </c>
      <c r="Z3236" s="381">
        <v>0</v>
      </c>
      <c r="AA3236" s="381">
        <v>0</v>
      </c>
      <c r="AB3236" s="381">
        <v>0</v>
      </c>
      <c r="AC3236" s="382">
        <v>0.16514285714285715</v>
      </c>
      <c r="AD3236" s="382">
        <v>0</v>
      </c>
      <c r="AE3236" s="381" t="s">
        <v>168</v>
      </c>
    </row>
    <row r="3237" spans="1:31" ht="15" customHeight="1" x14ac:dyDescent="0.25">
      <c r="A3237" s="20" t="s">
        <v>156</v>
      </c>
      <c r="B3237" s="20" t="s">
        <v>4813</v>
      </c>
      <c r="C3237" s="20" t="s">
        <v>4814</v>
      </c>
      <c r="D3237" s="378" t="s">
        <v>4828</v>
      </c>
      <c r="E3237" s="379">
        <v>44620</v>
      </c>
      <c r="F3237" s="379">
        <v>46446</v>
      </c>
      <c r="G3237" s="378" t="s">
        <v>173</v>
      </c>
      <c r="H3237" s="20" t="s">
        <v>393</v>
      </c>
      <c r="I3237" s="20"/>
      <c r="J3237" s="20" t="s">
        <v>163</v>
      </c>
      <c r="K3237" s="378" t="s">
        <v>394</v>
      </c>
      <c r="L3237" s="20" t="s">
        <v>165</v>
      </c>
      <c r="M3237" s="380">
        <v>1750</v>
      </c>
      <c r="N3237" s="380"/>
      <c r="O3237" s="380"/>
      <c r="P3237" s="380"/>
      <c r="Q3237" s="381">
        <v>344</v>
      </c>
      <c r="R3237" s="381"/>
      <c r="S3237" s="381"/>
      <c r="T3237" s="381"/>
      <c r="U3237" s="381"/>
      <c r="V3237" s="382">
        <v>344</v>
      </c>
      <c r="W3237" s="382">
        <v>0</v>
      </c>
      <c r="X3237" s="381">
        <v>0.19657142857142856</v>
      </c>
      <c r="Y3237" s="381">
        <v>0</v>
      </c>
      <c r="Z3237" s="381">
        <v>0</v>
      </c>
      <c r="AA3237" s="381">
        <v>0</v>
      </c>
      <c r="AB3237" s="381">
        <v>0</v>
      </c>
      <c r="AC3237" s="382">
        <v>0.19657142857142856</v>
      </c>
      <c r="AD3237" s="382">
        <v>0</v>
      </c>
      <c r="AE3237" s="381" t="s">
        <v>168</v>
      </c>
    </row>
    <row r="3238" spans="1:31" ht="15" customHeight="1" x14ac:dyDescent="0.25">
      <c r="A3238" s="20" t="s">
        <v>156</v>
      </c>
      <c r="B3238" s="20" t="s">
        <v>4813</v>
      </c>
      <c r="C3238" s="20" t="s">
        <v>4814</v>
      </c>
      <c r="D3238" s="378" t="s">
        <v>4829</v>
      </c>
      <c r="E3238" s="379">
        <v>44620</v>
      </c>
      <c r="F3238" s="379">
        <v>46446</v>
      </c>
      <c r="G3238" s="378" t="s">
        <v>173</v>
      </c>
      <c r="H3238" s="20" t="s">
        <v>393</v>
      </c>
      <c r="I3238" s="20"/>
      <c r="J3238" s="20" t="s">
        <v>163</v>
      </c>
      <c r="K3238" s="378" t="s">
        <v>394</v>
      </c>
      <c r="L3238" s="20" t="s">
        <v>165</v>
      </c>
      <c r="M3238" s="380">
        <v>1750</v>
      </c>
      <c r="N3238" s="380"/>
      <c r="O3238" s="380"/>
      <c r="P3238" s="380"/>
      <c r="Q3238" s="381">
        <v>67.8</v>
      </c>
      <c r="R3238" s="381"/>
      <c r="S3238" s="381"/>
      <c r="T3238" s="381"/>
      <c r="U3238" s="381"/>
      <c r="V3238" s="382">
        <v>67.8</v>
      </c>
      <c r="W3238" s="382">
        <v>0</v>
      </c>
      <c r="X3238" s="381">
        <v>3.8742857142857141E-2</v>
      </c>
      <c r="Y3238" s="381">
        <v>0</v>
      </c>
      <c r="Z3238" s="381">
        <v>0</v>
      </c>
      <c r="AA3238" s="381">
        <v>0</v>
      </c>
      <c r="AB3238" s="381">
        <v>0</v>
      </c>
      <c r="AC3238" s="382">
        <v>3.8742857142857141E-2</v>
      </c>
      <c r="AD3238" s="382">
        <v>0</v>
      </c>
      <c r="AE3238" s="381" t="s">
        <v>168</v>
      </c>
    </row>
    <row r="3239" spans="1:31" ht="15" customHeight="1" x14ac:dyDescent="0.25">
      <c r="A3239" s="20" t="s">
        <v>156</v>
      </c>
      <c r="B3239" s="20" t="s">
        <v>4813</v>
      </c>
      <c r="C3239" s="20" t="s">
        <v>4814</v>
      </c>
      <c r="D3239" s="378" t="s">
        <v>4830</v>
      </c>
      <c r="E3239" s="379">
        <v>44620</v>
      </c>
      <c r="F3239" s="379">
        <v>46446</v>
      </c>
      <c r="G3239" s="378" t="s">
        <v>173</v>
      </c>
      <c r="H3239" s="20" t="s">
        <v>393</v>
      </c>
      <c r="I3239" s="20"/>
      <c r="J3239" s="20" t="s">
        <v>163</v>
      </c>
      <c r="K3239" s="378" t="s">
        <v>394</v>
      </c>
      <c r="L3239" s="20" t="s">
        <v>165</v>
      </c>
      <c r="M3239" s="380">
        <v>1750</v>
      </c>
      <c r="N3239" s="380"/>
      <c r="O3239" s="380"/>
      <c r="P3239" s="380"/>
      <c r="Q3239" s="381">
        <v>108</v>
      </c>
      <c r="R3239" s="381"/>
      <c r="S3239" s="381"/>
      <c r="T3239" s="381"/>
      <c r="U3239" s="381"/>
      <c r="V3239" s="382">
        <v>108</v>
      </c>
      <c r="W3239" s="382">
        <v>0</v>
      </c>
      <c r="X3239" s="381">
        <v>6.1714285714285715E-2</v>
      </c>
      <c r="Y3239" s="381">
        <v>0</v>
      </c>
      <c r="Z3239" s="381">
        <v>0</v>
      </c>
      <c r="AA3239" s="381">
        <v>0</v>
      </c>
      <c r="AB3239" s="381">
        <v>0</v>
      </c>
      <c r="AC3239" s="382">
        <v>6.1714285714285715E-2</v>
      </c>
      <c r="AD3239" s="382">
        <v>0</v>
      </c>
      <c r="AE3239" s="381" t="s">
        <v>168</v>
      </c>
    </row>
    <row r="3240" spans="1:31" ht="15" customHeight="1" x14ac:dyDescent="0.25">
      <c r="A3240" s="20" t="s">
        <v>156</v>
      </c>
      <c r="B3240" s="20" t="s">
        <v>4813</v>
      </c>
      <c r="C3240" s="20" t="s">
        <v>4814</v>
      </c>
      <c r="D3240" s="378" t="s">
        <v>4831</v>
      </c>
      <c r="E3240" s="379">
        <v>44620</v>
      </c>
      <c r="F3240" s="379">
        <v>46446</v>
      </c>
      <c r="G3240" s="378" t="s">
        <v>173</v>
      </c>
      <c r="H3240" s="20" t="s">
        <v>393</v>
      </c>
      <c r="I3240" s="20"/>
      <c r="J3240" s="20" t="s">
        <v>163</v>
      </c>
      <c r="K3240" s="378" t="s">
        <v>394</v>
      </c>
      <c r="L3240" s="20" t="s">
        <v>165</v>
      </c>
      <c r="M3240" s="380">
        <v>1750</v>
      </c>
      <c r="N3240" s="380"/>
      <c r="O3240" s="380"/>
      <c r="P3240" s="380"/>
      <c r="Q3240" s="381">
        <v>138</v>
      </c>
      <c r="R3240" s="381"/>
      <c r="S3240" s="381"/>
      <c r="T3240" s="381"/>
      <c r="U3240" s="381"/>
      <c r="V3240" s="382">
        <v>138</v>
      </c>
      <c r="W3240" s="382">
        <v>0</v>
      </c>
      <c r="X3240" s="381">
        <v>7.8857142857142862E-2</v>
      </c>
      <c r="Y3240" s="381">
        <v>0</v>
      </c>
      <c r="Z3240" s="381">
        <v>0</v>
      </c>
      <c r="AA3240" s="381">
        <v>0</v>
      </c>
      <c r="AB3240" s="381">
        <v>0</v>
      </c>
      <c r="AC3240" s="382">
        <v>7.8857142857142862E-2</v>
      </c>
      <c r="AD3240" s="382">
        <v>0</v>
      </c>
      <c r="AE3240" s="381" t="s">
        <v>168</v>
      </c>
    </row>
    <row r="3241" spans="1:31" ht="15" customHeight="1" x14ac:dyDescent="0.25">
      <c r="A3241" s="20" t="s">
        <v>156</v>
      </c>
      <c r="B3241" s="20" t="s">
        <v>4813</v>
      </c>
      <c r="C3241" s="20" t="s">
        <v>4814</v>
      </c>
      <c r="D3241" s="378" t="s">
        <v>4832</v>
      </c>
      <c r="E3241" s="379">
        <v>44620</v>
      </c>
      <c r="F3241" s="379">
        <v>46446</v>
      </c>
      <c r="G3241" s="378" t="s">
        <v>173</v>
      </c>
      <c r="H3241" s="20" t="s">
        <v>393</v>
      </c>
      <c r="I3241" s="20"/>
      <c r="J3241" s="20" t="s">
        <v>163</v>
      </c>
      <c r="K3241" s="378" t="s">
        <v>394</v>
      </c>
      <c r="L3241" s="20" t="s">
        <v>165</v>
      </c>
      <c r="M3241" s="380">
        <v>1750</v>
      </c>
      <c r="N3241" s="380"/>
      <c r="O3241" s="380"/>
      <c r="P3241" s="380"/>
      <c r="Q3241" s="381">
        <v>221</v>
      </c>
      <c r="R3241" s="381"/>
      <c r="S3241" s="381"/>
      <c r="T3241" s="381"/>
      <c r="U3241" s="381"/>
      <c r="V3241" s="382">
        <v>221</v>
      </c>
      <c r="W3241" s="382">
        <v>0</v>
      </c>
      <c r="X3241" s="381">
        <v>0.12628571428571428</v>
      </c>
      <c r="Y3241" s="381">
        <v>0</v>
      </c>
      <c r="Z3241" s="381">
        <v>0</v>
      </c>
      <c r="AA3241" s="381">
        <v>0</v>
      </c>
      <c r="AB3241" s="381">
        <v>0</v>
      </c>
      <c r="AC3241" s="382">
        <v>0.12628571428571428</v>
      </c>
      <c r="AD3241" s="382">
        <v>0</v>
      </c>
      <c r="AE3241" s="381" t="s">
        <v>168</v>
      </c>
    </row>
    <row r="3242" spans="1:31" ht="15" customHeight="1" x14ac:dyDescent="0.25">
      <c r="A3242" s="20" t="s">
        <v>156</v>
      </c>
      <c r="B3242" s="20" t="s">
        <v>4813</v>
      </c>
      <c r="C3242" s="20" t="s">
        <v>4814</v>
      </c>
      <c r="D3242" s="378" t="s">
        <v>4833</v>
      </c>
      <c r="E3242" s="379">
        <v>44620</v>
      </c>
      <c r="F3242" s="379">
        <v>46446</v>
      </c>
      <c r="G3242" s="378" t="s">
        <v>173</v>
      </c>
      <c r="H3242" s="20" t="s">
        <v>393</v>
      </c>
      <c r="I3242" s="20"/>
      <c r="J3242" s="20" t="s">
        <v>163</v>
      </c>
      <c r="K3242" s="388" t="s">
        <v>394</v>
      </c>
      <c r="L3242" s="20" t="s">
        <v>165</v>
      </c>
      <c r="M3242" s="380">
        <v>1750</v>
      </c>
      <c r="N3242" s="380"/>
      <c r="O3242" s="380"/>
      <c r="P3242" s="380"/>
      <c r="Q3242" s="381">
        <v>267</v>
      </c>
      <c r="R3242" s="381"/>
      <c r="S3242" s="381"/>
      <c r="T3242" s="381"/>
      <c r="U3242" s="381"/>
      <c r="V3242" s="382">
        <v>267</v>
      </c>
      <c r="W3242" s="382">
        <v>0</v>
      </c>
      <c r="X3242" s="381">
        <v>0.15257142857142858</v>
      </c>
      <c r="Y3242" s="381">
        <v>0</v>
      </c>
      <c r="Z3242" s="381">
        <v>0</v>
      </c>
      <c r="AA3242" s="381">
        <v>0</v>
      </c>
      <c r="AB3242" s="381">
        <v>0</v>
      </c>
      <c r="AC3242" s="382">
        <v>0.15257142857142858</v>
      </c>
      <c r="AD3242" s="382">
        <v>0</v>
      </c>
      <c r="AE3242" s="381" t="s">
        <v>168</v>
      </c>
    </row>
    <row r="3243" spans="1:31" ht="15" customHeight="1" x14ac:dyDescent="0.25">
      <c r="A3243" s="20" t="s">
        <v>156</v>
      </c>
      <c r="B3243" s="20" t="s">
        <v>4813</v>
      </c>
      <c r="C3243" s="20" t="s">
        <v>4814</v>
      </c>
      <c r="D3243" s="378" t="s">
        <v>4834</v>
      </c>
      <c r="E3243" s="379">
        <v>44620</v>
      </c>
      <c r="F3243" s="379">
        <v>46446</v>
      </c>
      <c r="G3243" s="378" t="s">
        <v>396</v>
      </c>
      <c r="H3243" s="20" t="s">
        <v>393</v>
      </c>
      <c r="I3243" s="20"/>
      <c r="J3243" s="20" t="s">
        <v>163</v>
      </c>
      <c r="K3243" s="378" t="s">
        <v>397</v>
      </c>
      <c r="L3243" s="20" t="s">
        <v>165</v>
      </c>
      <c r="M3243" s="380">
        <v>1750</v>
      </c>
      <c r="N3243" s="380"/>
      <c r="O3243" s="380"/>
      <c r="P3243" s="380"/>
      <c r="Q3243" s="381">
        <v>182</v>
      </c>
      <c r="R3243" s="381"/>
      <c r="S3243" s="381"/>
      <c r="T3243" s="381"/>
      <c r="U3243" s="381"/>
      <c r="V3243" s="382">
        <v>182</v>
      </c>
      <c r="W3243" s="382">
        <v>0</v>
      </c>
      <c r="X3243" s="381">
        <v>0.104</v>
      </c>
      <c r="Y3243" s="381">
        <v>0</v>
      </c>
      <c r="Z3243" s="381">
        <v>0</v>
      </c>
      <c r="AA3243" s="381">
        <v>0</v>
      </c>
      <c r="AB3243" s="381">
        <v>0</v>
      </c>
      <c r="AC3243" s="382">
        <v>0.104</v>
      </c>
      <c r="AD3243" s="382">
        <v>0</v>
      </c>
      <c r="AE3243" s="381" t="s">
        <v>168</v>
      </c>
    </row>
    <row r="3244" spans="1:31" ht="15" customHeight="1" x14ac:dyDescent="0.25">
      <c r="A3244" s="20" t="s">
        <v>4209</v>
      </c>
      <c r="B3244" s="20" t="s">
        <v>4813</v>
      </c>
      <c r="C3244" s="20" t="s">
        <v>4814</v>
      </c>
      <c r="D3244" s="378" t="s">
        <v>4835</v>
      </c>
      <c r="E3244" s="379">
        <v>44620</v>
      </c>
      <c r="F3244" s="379">
        <v>46446</v>
      </c>
      <c r="G3244" s="378" t="s">
        <v>396</v>
      </c>
      <c r="H3244" s="20" t="s">
        <v>393</v>
      </c>
      <c r="I3244" s="20"/>
      <c r="J3244" s="20" t="s">
        <v>163</v>
      </c>
      <c r="K3244" s="378" t="s">
        <v>397</v>
      </c>
      <c r="L3244" s="20" t="s">
        <v>165</v>
      </c>
      <c r="M3244" s="380">
        <v>1750</v>
      </c>
      <c r="N3244" s="380"/>
      <c r="O3244" s="380"/>
      <c r="P3244" s="380"/>
      <c r="Q3244" s="381">
        <v>83</v>
      </c>
      <c r="R3244" s="381"/>
      <c r="S3244" s="381"/>
      <c r="T3244" s="381"/>
      <c r="U3244" s="381"/>
      <c r="V3244" s="382">
        <v>83</v>
      </c>
      <c r="W3244" s="382">
        <v>0</v>
      </c>
      <c r="X3244" s="381">
        <v>4.7428571428571431E-2</v>
      </c>
      <c r="Y3244" s="381">
        <v>0</v>
      </c>
      <c r="Z3244" s="381">
        <v>0</v>
      </c>
      <c r="AA3244" s="381">
        <v>0</v>
      </c>
      <c r="AB3244" s="381">
        <v>0</v>
      </c>
      <c r="AC3244" s="382">
        <v>4.7428571428571431E-2</v>
      </c>
      <c r="AD3244" s="382">
        <v>0</v>
      </c>
      <c r="AE3244" s="381" t="s">
        <v>168</v>
      </c>
    </row>
    <row r="3245" spans="1:31" ht="15" customHeight="1" x14ac:dyDescent="0.25">
      <c r="A3245" s="20" t="s">
        <v>4209</v>
      </c>
      <c r="B3245" s="20" t="s">
        <v>4813</v>
      </c>
      <c r="C3245" s="20" t="s">
        <v>4814</v>
      </c>
      <c r="D3245" s="378" t="s">
        <v>4836</v>
      </c>
      <c r="E3245" s="379">
        <v>44620</v>
      </c>
      <c r="F3245" s="379">
        <v>46446</v>
      </c>
      <c r="G3245" s="378" t="s">
        <v>396</v>
      </c>
      <c r="H3245" s="20" t="s">
        <v>393</v>
      </c>
      <c r="I3245" s="20"/>
      <c r="J3245" s="20" t="s">
        <v>163</v>
      </c>
      <c r="K3245" s="378" t="s">
        <v>397</v>
      </c>
      <c r="L3245" s="20" t="s">
        <v>165</v>
      </c>
      <c r="M3245" s="380">
        <v>1750</v>
      </c>
      <c r="N3245" s="380"/>
      <c r="O3245" s="380"/>
      <c r="P3245" s="380"/>
      <c r="Q3245" s="381">
        <v>210</v>
      </c>
      <c r="R3245" s="381"/>
      <c r="S3245" s="381"/>
      <c r="T3245" s="381"/>
      <c r="U3245" s="381"/>
      <c r="V3245" s="382">
        <v>210</v>
      </c>
      <c r="W3245" s="382">
        <v>0</v>
      </c>
      <c r="X3245" s="381">
        <v>0.12</v>
      </c>
      <c r="Y3245" s="381">
        <v>0</v>
      </c>
      <c r="Z3245" s="381">
        <v>0</v>
      </c>
      <c r="AA3245" s="381">
        <v>0</v>
      </c>
      <c r="AB3245" s="381">
        <v>0</v>
      </c>
      <c r="AC3245" s="382">
        <v>0.12</v>
      </c>
      <c r="AD3245" s="382">
        <v>0</v>
      </c>
      <c r="AE3245" s="381" t="s">
        <v>168</v>
      </c>
    </row>
    <row r="3246" spans="1:31" ht="15" customHeight="1" x14ac:dyDescent="0.25">
      <c r="A3246" s="20" t="s">
        <v>4209</v>
      </c>
      <c r="B3246" s="20" t="s">
        <v>4813</v>
      </c>
      <c r="C3246" s="20" t="s">
        <v>4814</v>
      </c>
      <c r="D3246" s="378" t="s">
        <v>4837</v>
      </c>
      <c r="E3246" s="379">
        <v>44620</v>
      </c>
      <c r="F3246" s="379">
        <v>46446</v>
      </c>
      <c r="G3246" s="378" t="s">
        <v>396</v>
      </c>
      <c r="H3246" s="20" t="s">
        <v>393</v>
      </c>
      <c r="I3246" s="20"/>
      <c r="J3246" s="20" t="s">
        <v>163</v>
      </c>
      <c r="K3246" s="378" t="s">
        <v>397</v>
      </c>
      <c r="L3246" s="20" t="s">
        <v>165</v>
      </c>
      <c r="M3246" s="380">
        <v>1750</v>
      </c>
      <c r="N3246" s="380"/>
      <c r="O3246" s="380"/>
      <c r="P3246" s="380"/>
      <c r="Q3246" s="381">
        <v>121</v>
      </c>
      <c r="R3246" s="381"/>
      <c r="S3246" s="381"/>
      <c r="T3246" s="381"/>
      <c r="U3246" s="381"/>
      <c r="V3246" s="382">
        <v>121</v>
      </c>
      <c r="W3246" s="382">
        <v>0</v>
      </c>
      <c r="X3246" s="381">
        <v>6.9142857142857145E-2</v>
      </c>
      <c r="Y3246" s="381">
        <v>0</v>
      </c>
      <c r="Z3246" s="381">
        <v>0</v>
      </c>
      <c r="AA3246" s="381">
        <v>0</v>
      </c>
      <c r="AB3246" s="381">
        <v>0</v>
      </c>
      <c r="AC3246" s="382">
        <v>6.9142857142857145E-2</v>
      </c>
      <c r="AD3246" s="382">
        <v>0</v>
      </c>
      <c r="AE3246" s="381" t="s">
        <v>168</v>
      </c>
    </row>
    <row r="3247" spans="1:31" ht="15" customHeight="1" x14ac:dyDescent="0.25">
      <c r="A3247" s="20" t="s">
        <v>4838</v>
      </c>
      <c r="B3247" s="20" t="s">
        <v>4838</v>
      </c>
      <c r="C3247" s="20" t="s">
        <v>4839</v>
      </c>
      <c r="D3247" s="378" t="s">
        <v>4840</v>
      </c>
      <c r="E3247" s="384">
        <v>44939</v>
      </c>
      <c r="F3247" s="384">
        <v>46762</v>
      </c>
      <c r="G3247" s="378" t="s">
        <v>2837</v>
      </c>
      <c r="H3247" s="20" t="s">
        <v>4841</v>
      </c>
      <c r="I3247" s="378">
        <v>0</v>
      </c>
      <c r="J3247" s="20" t="s">
        <v>2831</v>
      </c>
      <c r="K3247" s="378" t="s">
        <v>4842</v>
      </c>
      <c r="L3247" s="378" t="s">
        <v>2848</v>
      </c>
      <c r="M3247" s="380" t="s">
        <v>443</v>
      </c>
      <c r="N3247" s="380" t="s">
        <v>443</v>
      </c>
      <c r="O3247" s="380" t="s">
        <v>443</v>
      </c>
      <c r="P3247" s="380" t="s">
        <v>443</v>
      </c>
      <c r="Q3247" s="381">
        <v>3700</v>
      </c>
      <c r="R3247" s="381">
        <v>3460</v>
      </c>
      <c r="S3247" s="381">
        <v>240</v>
      </c>
      <c r="T3247" s="381">
        <v>6.5</v>
      </c>
      <c r="U3247" s="381">
        <v>0</v>
      </c>
      <c r="V3247" s="382">
        <v>3706.5</v>
      </c>
      <c r="W3247" s="382">
        <v>0</v>
      </c>
      <c r="X3247" s="381">
        <v>3.7</v>
      </c>
      <c r="Y3247" s="381">
        <v>3.46</v>
      </c>
      <c r="Z3247" s="381">
        <v>0.24</v>
      </c>
      <c r="AA3247" s="381">
        <v>6.4999999999999997E-3</v>
      </c>
      <c r="AB3247" s="381">
        <v>0</v>
      </c>
      <c r="AC3247" s="382">
        <v>3.7065000000000001</v>
      </c>
      <c r="AD3247" s="382">
        <v>0</v>
      </c>
      <c r="AE3247" s="381" t="s">
        <v>168</v>
      </c>
    </row>
    <row r="3248" spans="1:31" ht="15" customHeight="1" x14ac:dyDescent="0.25">
      <c r="A3248" s="20" t="s">
        <v>4838</v>
      </c>
      <c r="B3248" s="20" t="s">
        <v>4838</v>
      </c>
      <c r="C3248" s="20" t="s">
        <v>4839</v>
      </c>
      <c r="D3248" s="378" t="s">
        <v>4843</v>
      </c>
      <c r="E3248" s="384">
        <v>44939</v>
      </c>
      <c r="F3248" s="384">
        <v>46762</v>
      </c>
      <c r="G3248" s="378" t="s">
        <v>2856</v>
      </c>
      <c r="H3248" s="20" t="s">
        <v>4841</v>
      </c>
      <c r="I3248" s="378">
        <v>0</v>
      </c>
      <c r="J3248" s="20" t="s">
        <v>2831</v>
      </c>
      <c r="K3248" s="378" t="s">
        <v>4842</v>
      </c>
      <c r="L3248" s="378" t="s">
        <v>2848</v>
      </c>
      <c r="M3248" s="380">
        <v>1757</v>
      </c>
      <c r="N3248" s="380" t="s">
        <v>443</v>
      </c>
      <c r="O3248" s="380" t="s">
        <v>443</v>
      </c>
      <c r="P3248" s="380" t="s">
        <v>443</v>
      </c>
      <c r="Q3248" s="381">
        <v>3700</v>
      </c>
      <c r="R3248" s="381">
        <v>3460</v>
      </c>
      <c r="S3248" s="381">
        <v>240</v>
      </c>
      <c r="T3248" s="381">
        <v>6.5</v>
      </c>
      <c r="U3248" s="381">
        <v>0</v>
      </c>
      <c r="V3248" s="382">
        <v>3706.5</v>
      </c>
      <c r="W3248" s="382">
        <v>0</v>
      </c>
      <c r="X3248" s="381">
        <v>3.7</v>
      </c>
      <c r="Y3248" s="381">
        <v>3.46</v>
      </c>
      <c r="Z3248" s="381">
        <v>0.24</v>
      </c>
      <c r="AA3248" s="381">
        <v>6.4999999999999997E-3</v>
      </c>
      <c r="AB3248" s="381">
        <v>0</v>
      </c>
      <c r="AC3248" s="382">
        <v>3.7065000000000001</v>
      </c>
      <c r="AD3248" s="382">
        <v>0</v>
      </c>
      <c r="AE3248" s="381" t="s">
        <v>168</v>
      </c>
    </row>
    <row r="3249" spans="1:31" ht="15" customHeight="1" x14ac:dyDescent="0.25">
      <c r="A3249" s="20" t="s">
        <v>4838</v>
      </c>
      <c r="B3249" s="20" t="s">
        <v>4838</v>
      </c>
      <c r="C3249" s="20" t="s">
        <v>4839</v>
      </c>
      <c r="D3249" s="378" t="s">
        <v>4844</v>
      </c>
      <c r="E3249" s="384">
        <v>45119</v>
      </c>
      <c r="F3249" s="384">
        <v>46945</v>
      </c>
      <c r="G3249" s="378" t="s">
        <v>2856</v>
      </c>
      <c r="H3249" s="20" t="s">
        <v>4845</v>
      </c>
      <c r="I3249" s="378">
        <v>0</v>
      </c>
      <c r="J3249" s="20" t="s">
        <v>2831</v>
      </c>
      <c r="K3249" s="378" t="s">
        <v>2854</v>
      </c>
      <c r="L3249" s="378" t="s">
        <v>2848</v>
      </c>
      <c r="M3249" s="380">
        <v>8000</v>
      </c>
      <c r="N3249" s="380" t="s">
        <v>443</v>
      </c>
      <c r="O3249" s="380" t="s">
        <v>443</v>
      </c>
      <c r="P3249" s="380" t="s">
        <v>443</v>
      </c>
      <c r="Q3249" s="381">
        <v>2800</v>
      </c>
      <c r="R3249" s="381">
        <v>2780</v>
      </c>
      <c r="S3249" s="381">
        <v>19</v>
      </c>
      <c r="T3249" s="381">
        <v>3.48</v>
      </c>
      <c r="U3249" s="381">
        <v>0</v>
      </c>
      <c r="V3249" s="382">
        <v>2802.48</v>
      </c>
      <c r="W3249" s="382">
        <v>0</v>
      </c>
      <c r="X3249" s="381">
        <v>2.8</v>
      </c>
      <c r="Y3249" s="381">
        <v>2.78</v>
      </c>
      <c r="Z3249" s="381">
        <v>1.9E-2</v>
      </c>
      <c r="AA3249" s="381">
        <v>3.48E-3</v>
      </c>
      <c r="AB3249" s="381">
        <v>0</v>
      </c>
      <c r="AC3249" s="382">
        <v>2.8024800000000001</v>
      </c>
      <c r="AD3249" s="382">
        <v>0</v>
      </c>
      <c r="AE3249" s="381" t="s">
        <v>168</v>
      </c>
    </row>
    <row r="3250" spans="1:31" ht="15" customHeight="1" x14ac:dyDescent="0.25">
      <c r="A3250" s="20" t="s">
        <v>4838</v>
      </c>
      <c r="B3250" s="20" t="s">
        <v>4838</v>
      </c>
      <c r="C3250" s="20" t="s">
        <v>4839</v>
      </c>
      <c r="D3250" s="378" t="s">
        <v>4846</v>
      </c>
      <c r="E3250" s="384">
        <v>45119</v>
      </c>
      <c r="F3250" s="384">
        <v>46945</v>
      </c>
      <c r="G3250" s="378" t="s">
        <v>2856</v>
      </c>
      <c r="H3250" s="20" t="s">
        <v>4847</v>
      </c>
      <c r="I3250" s="378">
        <v>0</v>
      </c>
      <c r="J3250" s="20" t="s">
        <v>2831</v>
      </c>
      <c r="K3250" s="378" t="s">
        <v>4848</v>
      </c>
      <c r="L3250" s="378" t="s">
        <v>2848</v>
      </c>
      <c r="M3250" s="380">
        <v>8000</v>
      </c>
      <c r="N3250" s="380" t="s">
        <v>443</v>
      </c>
      <c r="O3250" s="380" t="s">
        <v>443</v>
      </c>
      <c r="P3250" s="380" t="s">
        <v>443</v>
      </c>
      <c r="Q3250" s="381">
        <v>2830</v>
      </c>
      <c r="R3250" s="381">
        <v>2810</v>
      </c>
      <c r="S3250" s="381">
        <v>18.899999999999999</v>
      </c>
      <c r="T3250" s="381">
        <v>3.45</v>
      </c>
      <c r="U3250" s="381">
        <v>0</v>
      </c>
      <c r="V3250" s="382">
        <v>2832.35</v>
      </c>
      <c r="W3250" s="382">
        <v>0</v>
      </c>
      <c r="X3250" s="381">
        <v>2.83</v>
      </c>
      <c r="Y3250" s="381">
        <v>2.81</v>
      </c>
      <c r="Z3250" s="381">
        <v>1.89E-2</v>
      </c>
      <c r="AA3250" s="381">
        <v>3.4500000000000004E-3</v>
      </c>
      <c r="AB3250" s="381">
        <v>0</v>
      </c>
      <c r="AC3250" s="382">
        <v>2.8323499999999999</v>
      </c>
      <c r="AD3250" s="382">
        <v>0</v>
      </c>
      <c r="AE3250" s="381" t="s">
        <v>168</v>
      </c>
    </row>
    <row r="3251" spans="1:31" ht="15" customHeight="1" x14ac:dyDescent="0.25">
      <c r="A3251" s="20" t="s">
        <v>4838</v>
      </c>
      <c r="B3251" s="20" t="s">
        <v>4838</v>
      </c>
      <c r="C3251" s="20" t="s">
        <v>4839</v>
      </c>
      <c r="D3251" s="378" t="s">
        <v>4849</v>
      </c>
      <c r="E3251" s="384">
        <v>45119</v>
      </c>
      <c r="F3251" s="384">
        <v>46945</v>
      </c>
      <c r="G3251" s="378" t="s">
        <v>2856</v>
      </c>
      <c r="H3251" s="20" t="s">
        <v>4850</v>
      </c>
      <c r="I3251" s="378">
        <v>0</v>
      </c>
      <c r="J3251" s="20" t="s">
        <v>2831</v>
      </c>
      <c r="K3251" s="378" t="s">
        <v>4851</v>
      </c>
      <c r="L3251" s="378" t="s">
        <v>2848</v>
      </c>
      <c r="M3251" s="380">
        <v>7700</v>
      </c>
      <c r="N3251" s="380" t="s">
        <v>443</v>
      </c>
      <c r="O3251" s="380" t="s">
        <v>443</v>
      </c>
      <c r="P3251" s="380" t="s">
        <v>443</v>
      </c>
      <c r="Q3251" s="381">
        <v>2810</v>
      </c>
      <c r="R3251" s="381">
        <v>2790</v>
      </c>
      <c r="S3251" s="381">
        <v>16.600000000000001</v>
      </c>
      <c r="T3251" s="381">
        <v>3.77</v>
      </c>
      <c r="U3251" s="381">
        <v>0</v>
      </c>
      <c r="V3251" s="382">
        <v>2810.37</v>
      </c>
      <c r="W3251" s="382">
        <v>0</v>
      </c>
      <c r="X3251" s="381">
        <v>2.81</v>
      </c>
      <c r="Y3251" s="381">
        <v>2.79</v>
      </c>
      <c r="Z3251" s="381">
        <v>1.66E-2</v>
      </c>
      <c r="AA3251" s="381">
        <v>3.7699999999999999E-3</v>
      </c>
      <c r="AB3251" s="381">
        <v>0</v>
      </c>
      <c r="AC3251" s="382">
        <v>2.8103699999999998</v>
      </c>
      <c r="AD3251" s="382">
        <v>0</v>
      </c>
      <c r="AE3251" s="381" t="s">
        <v>168</v>
      </c>
    </row>
    <row r="3252" spans="1:31" ht="15" customHeight="1" x14ac:dyDescent="0.25">
      <c r="A3252" s="20" t="s">
        <v>4838</v>
      </c>
      <c r="B3252" s="20" t="s">
        <v>4838</v>
      </c>
      <c r="C3252" s="20" t="s">
        <v>4839</v>
      </c>
      <c r="D3252" s="378" t="s">
        <v>4852</v>
      </c>
      <c r="E3252" s="384">
        <v>44504</v>
      </c>
      <c r="F3252" s="384">
        <v>46329</v>
      </c>
      <c r="G3252" s="378" t="s">
        <v>2856</v>
      </c>
      <c r="H3252" s="20" t="s">
        <v>4853</v>
      </c>
      <c r="I3252" s="378">
        <v>0</v>
      </c>
      <c r="J3252" s="20" t="s">
        <v>2831</v>
      </c>
      <c r="K3252" s="378" t="s">
        <v>2854</v>
      </c>
      <c r="L3252" s="378" t="s">
        <v>2848</v>
      </c>
      <c r="M3252" s="380">
        <v>7800</v>
      </c>
      <c r="N3252" s="380" t="s">
        <v>443</v>
      </c>
      <c r="O3252" s="380" t="s">
        <v>443</v>
      </c>
      <c r="P3252" s="380" t="s">
        <v>443</v>
      </c>
      <c r="Q3252" s="381">
        <v>4990</v>
      </c>
      <c r="R3252" s="381">
        <v>0</v>
      </c>
      <c r="S3252" s="381">
        <v>0</v>
      </c>
      <c r="T3252" s="381">
        <v>0</v>
      </c>
      <c r="U3252" s="381">
        <v>0</v>
      </c>
      <c r="V3252" s="382">
        <v>4990</v>
      </c>
      <c r="W3252" s="382">
        <v>0</v>
      </c>
      <c r="X3252" s="381">
        <v>4.99</v>
      </c>
      <c r="Y3252" s="381">
        <v>0</v>
      </c>
      <c r="Z3252" s="381">
        <v>0</v>
      </c>
      <c r="AA3252" s="381">
        <v>0</v>
      </c>
      <c r="AB3252" s="381">
        <v>0</v>
      </c>
      <c r="AC3252" s="382">
        <v>4.99</v>
      </c>
      <c r="AD3252" s="382">
        <v>0</v>
      </c>
      <c r="AE3252" s="381" t="s">
        <v>168</v>
      </c>
    </row>
    <row r="3253" spans="1:31" ht="15" customHeight="1" x14ac:dyDescent="0.25">
      <c r="A3253" s="20" t="s">
        <v>4838</v>
      </c>
      <c r="B3253" s="20" t="s">
        <v>4838</v>
      </c>
      <c r="C3253" s="20" t="s">
        <v>4839</v>
      </c>
      <c r="D3253" s="378" t="s">
        <v>4854</v>
      </c>
      <c r="E3253" s="384">
        <v>45121</v>
      </c>
      <c r="F3253" s="384">
        <v>46930</v>
      </c>
      <c r="G3253" s="378" t="s">
        <v>2856</v>
      </c>
      <c r="H3253" s="20" t="s">
        <v>4855</v>
      </c>
      <c r="I3253" s="378">
        <v>0</v>
      </c>
      <c r="J3253" s="20" t="s">
        <v>2831</v>
      </c>
      <c r="K3253" s="378" t="s">
        <v>2854</v>
      </c>
      <c r="L3253" s="378" t="s">
        <v>2848</v>
      </c>
      <c r="M3253" s="380" t="s">
        <v>443</v>
      </c>
      <c r="N3253" s="380" t="s">
        <v>443</v>
      </c>
      <c r="O3253" s="380" t="s">
        <v>443</v>
      </c>
      <c r="P3253" s="380" t="s">
        <v>443</v>
      </c>
      <c r="Q3253" s="381">
        <v>3860</v>
      </c>
      <c r="R3253" s="381">
        <v>0</v>
      </c>
      <c r="S3253" s="381">
        <v>0</v>
      </c>
      <c r="T3253" s="381">
        <v>0</v>
      </c>
      <c r="U3253" s="381">
        <v>0</v>
      </c>
      <c r="V3253" s="382">
        <v>3860</v>
      </c>
      <c r="W3253" s="382">
        <v>0</v>
      </c>
      <c r="X3253" s="381">
        <v>3.86</v>
      </c>
      <c r="Y3253" s="381">
        <v>0</v>
      </c>
      <c r="Z3253" s="381">
        <v>0</v>
      </c>
      <c r="AA3253" s="381">
        <v>0</v>
      </c>
      <c r="AB3253" s="381">
        <v>0</v>
      </c>
      <c r="AC3253" s="382">
        <v>3.86</v>
      </c>
      <c r="AD3253" s="382">
        <v>0</v>
      </c>
      <c r="AE3253" s="381" t="s">
        <v>168</v>
      </c>
    </row>
    <row r="3254" spans="1:31" ht="15" customHeight="1" x14ac:dyDescent="0.25">
      <c r="A3254" s="20" t="s">
        <v>4838</v>
      </c>
      <c r="B3254" s="20" t="s">
        <v>4838</v>
      </c>
      <c r="C3254" s="20" t="s">
        <v>4839</v>
      </c>
      <c r="D3254" s="378" t="s">
        <v>4856</v>
      </c>
      <c r="E3254" s="384">
        <v>45121</v>
      </c>
      <c r="F3254" s="384">
        <v>46930</v>
      </c>
      <c r="G3254" s="378" t="s">
        <v>2856</v>
      </c>
      <c r="H3254" s="20" t="s">
        <v>4855</v>
      </c>
      <c r="I3254" s="378">
        <v>0</v>
      </c>
      <c r="J3254" s="20" t="s">
        <v>2831</v>
      </c>
      <c r="K3254" s="378" t="s">
        <v>2854</v>
      </c>
      <c r="L3254" s="378" t="s">
        <v>2848</v>
      </c>
      <c r="M3254" s="380" t="s">
        <v>443</v>
      </c>
      <c r="N3254" s="380" t="s">
        <v>443</v>
      </c>
      <c r="O3254" s="380" t="s">
        <v>443</v>
      </c>
      <c r="P3254" s="380" t="s">
        <v>443</v>
      </c>
      <c r="Q3254" s="381">
        <v>4750</v>
      </c>
      <c r="R3254" s="381">
        <v>0</v>
      </c>
      <c r="S3254" s="381">
        <v>0</v>
      </c>
      <c r="T3254" s="381">
        <v>0</v>
      </c>
      <c r="U3254" s="381">
        <v>0</v>
      </c>
      <c r="V3254" s="382">
        <v>4750</v>
      </c>
      <c r="W3254" s="382">
        <v>0</v>
      </c>
      <c r="X3254" s="381">
        <v>4.75</v>
      </c>
      <c r="Y3254" s="381">
        <v>0</v>
      </c>
      <c r="Z3254" s="381">
        <v>0</v>
      </c>
      <c r="AA3254" s="381">
        <v>0</v>
      </c>
      <c r="AB3254" s="381">
        <v>0</v>
      </c>
      <c r="AC3254" s="382">
        <v>4.75</v>
      </c>
      <c r="AD3254" s="382">
        <v>0</v>
      </c>
      <c r="AE3254" s="381" t="s">
        <v>168</v>
      </c>
    </row>
    <row r="3255" spans="1:31" ht="15" customHeight="1" x14ac:dyDescent="0.25">
      <c r="A3255" s="20" t="s">
        <v>4838</v>
      </c>
      <c r="B3255" s="20" t="s">
        <v>4838</v>
      </c>
      <c r="C3255" s="20" t="s">
        <v>4839</v>
      </c>
      <c r="D3255" s="378" t="s">
        <v>4857</v>
      </c>
      <c r="E3255" s="384">
        <v>45603</v>
      </c>
      <c r="F3255" s="384">
        <v>47429</v>
      </c>
      <c r="G3255" s="378" t="s">
        <v>2837</v>
      </c>
      <c r="H3255" s="20" t="s">
        <v>4858</v>
      </c>
      <c r="I3255" s="378" t="s">
        <v>441</v>
      </c>
      <c r="J3255" s="20" t="s">
        <v>2831</v>
      </c>
      <c r="K3255" s="378" t="s">
        <v>4859</v>
      </c>
      <c r="L3255" s="378" t="s">
        <v>2848</v>
      </c>
      <c r="M3255" s="380">
        <v>7900</v>
      </c>
      <c r="N3255" s="380" t="s">
        <v>443</v>
      </c>
      <c r="O3255" s="380" t="s">
        <v>443</v>
      </c>
      <c r="P3255" s="380" t="s">
        <v>443</v>
      </c>
      <c r="Q3255" s="381">
        <v>3180</v>
      </c>
      <c r="R3255" s="381">
        <v>0</v>
      </c>
      <c r="S3255" s="381">
        <v>0</v>
      </c>
      <c r="T3255" s="381">
        <v>0</v>
      </c>
      <c r="U3255" s="381">
        <v>0</v>
      </c>
      <c r="V3255" s="382">
        <v>3180</v>
      </c>
      <c r="W3255" s="382">
        <v>0</v>
      </c>
      <c r="X3255" s="381">
        <v>3.18</v>
      </c>
      <c r="Y3255" s="381">
        <v>0</v>
      </c>
      <c r="Z3255" s="381">
        <v>0</v>
      </c>
      <c r="AA3255" s="381">
        <v>0</v>
      </c>
      <c r="AB3255" s="381">
        <v>0</v>
      </c>
      <c r="AC3255" s="382">
        <v>3.18</v>
      </c>
      <c r="AD3255" s="382">
        <v>0</v>
      </c>
      <c r="AE3255" s="381" t="s">
        <v>168</v>
      </c>
    </row>
    <row r="3256" spans="1:31" ht="15" customHeight="1" x14ac:dyDescent="0.25">
      <c r="A3256" s="20" t="s">
        <v>4838</v>
      </c>
      <c r="B3256" s="20" t="s">
        <v>4838</v>
      </c>
      <c r="C3256" s="20" t="s">
        <v>4839</v>
      </c>
      <c r="D3256" s="378" t="s">
        <v>4860</v>
      </c>
      <c r="E3256" s="384">
        <v>45603</v>
      </c>
      <c r="F3256" s="384">
        <v>47429</v>
      </c>
      <c r="G3256" s="378" t="s">
        <v>2837</v>
      </c>
      <c r="H3256" s="20" t="s">
        <v>4861</v>
      </c>
      <c r="I3256" s="378" t="s">
        <v>441</v>
      </c>
      <c r="J3256" s="20" t="s">
        <v>2831</v>
      </c>
      <c r="K3256" s="378" t="s">
        <v>4230</v>
      </c>
      <c r="L3256" s="378" t="s">
        <v>2848</v>
      </c>
      <c r="M3256" s="380">
        <v>7900</v>
      </c>
      <c r="N3256" s="380" t="s">
        <v>443</v>
      </c>
      <c r="O3256" s="380" t="s">
        <v>443</v>
      </c>
      <c r="P3256" s="380" t="s">
        <v>443</v>
      </c>
      <c r="Q3256" s="381">
        <v>2800</v>
      </c>
      <c r="R3256" s="381">
        <v>0</v>
      </c>
      <c r="S3256" s="381">
        <v>0</v>
      </c>
      <c r="T3256" s="381">
        <v>0</v>
      </c>
      <c r="U3256" s="381">
        <v>0</v>
      </c>
      <c r="V3256" s="382">
        <v>2800</v>
      </c>
      <c r="W3256" s="382">
        <v>0</v>
      </c>
      <c r="X3256" s="381">
        <v>2.8</v>
      </c>
      <c r="Y3256" s="381">
        <v>0</v>
      </c>
      <c r="Z3256" s="381">
        <v>0</v>
      </c>
      <c r="AA3256" s="381">
        <v>0</v>
      </c>
      <c r="AB3256" s="381">
        <v>0</v>
      </c>
      <c r="AC3256" s="382">
        <v>2.8</v>
      </c>
      <c r="AD3256" s="382">
        <v>0</v>
      </c>
      <c r="AE3256" s="381" t="s">
        <v>168</v>
      </c>
    </row>
    <row r="3257" spans="1:31" ht="15" customHeight="1" x14ac:dyDescent="0.25">
      <c r="A3257" s="20" t="s">
        <v>4838</v>
      </c>
      <c r="B3257" s="20" t="s">
        <v>4838</v>
      </c>
      <c r="C3257" s="20" t="s">
        <v>4839</v>
      </c>
      <c r="D3257" s="378" t="s">
        <v>4862</v>
      </c>
      <c r="E3257" s="384">
        <v>44939</v>
      </c>
      <c r="F3257" s="384">
        <v>46762</v>
      </c>
      <c r="G3257" s="378" t="s">
        <v>2856</v>
      </c>
      <c r="H3257" s="20" t="s">
        <v>4863</v>
      </c>
      <c r="I3257" s="378">
        <v>0</v>
      </c>
      <c r="J3257" s="20" t="s">
        <v>2831</v>
      </c>
      <c r="K3257" s="378" t="s">
        <v>4864</v>
      </c>
      <c r="L3257" s="378" t="s">
        <v>2848</v>
      </c>
      <c r="M3257" s="380">
        <v>8000</v>
      </c>
      <c r="N3257" s="380" t="s">
        <v>443</v>
      </c>
      <c r="O3257" s="380" t="s">
        <v>443</v>
      </c>
      <c r="P3257" s="380" t="s">
        <v>443</v>
      </c>
      <c r="Q3257" s="381">
        <v>3870</v>
      </c>
      <c r="R3257" s="381">
        <v>3540</v>
      </c>
      <c r="S3257" s="381">
        <v>320</v>
      </c>
      <c r="T3257" s="381">
        <v>8.93</v>
      </c>
      <c r="U3257" s="381">
        <v>0</v>
      </c>
      <c r="V3257" s="382">
        <v>3868.93</v>
      </c>
      <c r="W3257" s="382">
        <v>0</v>
      </c>
      <c r="X3257" s="381">
        <v>3.87</v>
      </c>
      <c r="Y3257" s="381">
        <v>3.54</v>
      </c>
      <c r="Z3257" s="381">
        <v>0.32</v>
      </c>
      <c r="AA3257" s="381">
        <v>8.9300000000000004E-3</v>
      </c>
      <c r="AB3257" s="381">
        <v>0</v>
      </c>
      <c r="AC3257" s="382">
        <v>3.8689299999999998</v>
      </c>
      <c r="AD3257" s="382">
        <v>0</v>
      </c>
      <c r="AE3257" s="381" t="s">
        <v>168</v>
      </c>
    </row>
    <row r="3258" spans="1:31" ht="15" customHeight="1" x14ac:dyDescent="0.25">
      <c r="A3258" s="20" t="s">
        <v>4838</v>
      </c>
      <c r="B3258" s="20" t="s">
        <v>4838</v>
      </c>
      <c r="C3258" s="20" t="s">
        <v>4839</v>
      </c>
      <c r="D3258" s="378" t="s">
        <v>4865</v>
      </c>
      <c r="E3258" s="384">
        <v>45119</v>
      </c>
      <c r="F3258" s="384">
        <v>46945</v>
      </c>
      <c r="G3258" s="378" t="s">
        <v>2856</v>
      </c>
      <c r="H3258" s="20" t="s">
        <v>4866</v>
      </c>
      <c r="I3258" s="378">
        <v>0</v>
      </c>
      <c r="J3258" s="20" t="s">
        <v>2831</v>
      </c>
      <c r="K3258" s="378" t="s">
        <v>4867</v>
      </c>
      <c r="L3258" s="378" t="s">
        <v>2848</v>
      </c>
      <c r="M3258" s="380">
        <v>7700</v>
      </c>
      <c r="N3258" s="380" t="s">
        <v>443</v>
      </c>
      <c r="O3258" s="380" t="s">
        <v>443</v>
      </c>
      <c r="P3258" s="380" t="s">
        <v>443</v>
      </c>
      <c r="Q3258" s="381">
        <v>2810</v>
      </c>
      <c r="R3258" s="381">
        <v>2780</v>
      </c>
      <c r="S3258" s="381">
        <v>17</v>
      </c>
      <c r="T3258" s="381">
        <v>3.88</v>
      </c>
      <c r="U3258" s="381">
        <v>0</v>
      </c>
      <c r="V3258" s="382">
        <v>2800.88</v>
      </c>
      <c r="W3258" s="382">
        <v>0</v>
      </c>
      <c r="X3258" s="381">
        <v>2.81</v>
      </c>
      <c r="Y3258" s="381">
        <v>2.78</v>
      </c>
      <c r="Z3258" s="381">
        <v>1.7000000000000001E-2</v>
      </c>
      <c r="AA3258" s="381">
        <v>3.8799999999999998E-3</v>
      </c>
      <c r="AB3258" s="381">
        <v>0</v>
      </c>
      <c r="AC3258" s="382">
        <v>2.8008799999999998</v>
      </c>
      <c r="AD3258" s="382">
        <v>0</v>
      </c>
      <c r="AE3258" s="381" t="s">
        <v>168</v>
      </c>
    </row>
    <row r="3259" spans="1:31" ht="15" customHeight="1" x14ac:dyDescent="0.25">
      <c r="A3259" s="20" t="s">
        <v>4868</v>
      </c>
      <c r="B3259" s="20" t="s">
        <v>4868</v>
      </c>
      <c r="C3259" s="20" t="s">
        <v>4869</v>
      </c>
      <c r="D3259" s="378" t="s">
        <v>4870</v>
      </c>
      <c r="E3259" s="384">
        <v>45076</v>
      </c>
      <c r="F3259" s="384">
        <v>46903</v>
      </c>
      <c r="G3259" s="378" t="s">
        <v>439</v>
      </c>
      <c r="H3259" s="378" t="s">
        <v>4871</v>
      </c>
      <c r="I3259" s="378" t="s">
        <v>162</v>
      </c>
      <c r="J3259" s="20" t="s">
        <v>163</v>
      </c>
      <c r="K3259" s="378" t="s">
        <v>4872</v>
      </c>
      <c r="L3259" s="378" t="s">
        <v>2789</v>
      </c>
      <c r="M3259" s="381"/>
      <c r="N3259" s="381">
        <v>9.5500000000000007</v>
      </c>
      <c r="O3259" s="380"/>
      <c r="P3259" s="380"/>
      <c r="Q3259" s="381">
        <v>27.756</v>
      </c>
      <c r="R3259" s="381">
        <v>28</v>
      </c>
      <c r="S3259" s="381">
        <v>-0.24399999999999999</v>
      </c>
      <c r="T3259" s="381"/>
      <c r="U3259" s="381"/>
      <c r="V3259" s="382">
        <v>28</v>
      </c>
      <c r="W3259" s="382">
        <v>0</v>
      </c>
      <c r="X3259" s="381">
        <v>2.9063874345549738</v>
      </c>
      <c r="Y3259" s="381">
        <v>2.9319371727748691</v>
      </c>
      <c r="Z3259" s="381">
        <v>-2.5549738219895285E-2</v>
      </c>
      <c r="AA3259" s="381">
        <v>0</v>
      </c>
      <c r="AB3259" s="381">
        <v>0</v>
      </c>
      <c r="AC3259" s="382">
        <v>2.9319371727748691</v>
      </c>
      <c r="AD3259" s="382">
        <v>0</v>
      </c>
      <c r="AE3259" s="381" t="s">
        <v>168</v>
      </c>
    </row>
    <row r="3260" spans="1:31" ht="15" customHeight="1" x14ac:dyDescent="0.25">
      <c r="A3260" s="20" t="s">
        <v>4868</v>
      </c>
      <c r="B3260" s="20" t="s">
        <v>4868</v>
      </c>
      <c r="C3260" s="20" t="s">
        <v>4869</v>
      </c>
      <c r="D3260" s="378" t="s">
        <v>4873</v>
      </c>
      <c r="E3260" s="384">
        <v>45076</v>
      </c>
      <c r="F3260" s="384">
        <v>46903</v>
      </c>
      <c r="G3260" s="378" t="s">
        <v>439</v>
      </c>
      <c r="H3260" s="378" t="s">
        <v>4871</v>
      </c>
      <c r="I3260" s="378" t="s">
        <v>162</v>
      </c>
      <c r="J3260" s="20" t="s">
        <v>163</v>
      </c>
      <c r="K3260" s="378" t="s">
        <v>4872</v>
      </c>
      <c r="L3260" s="378" t="s">
        <v>2789</v>
      </c>
      <c r="M3260" s="381"/>
      <c r="N3260" s="381">
        <v>9.16</v>
      </c>
      <c r="O3260" s="380"/>
      <c r="P3260" s="380"/>
      <c r="Q3260" s="381">
        <v>26.765999999999998</v>
      </c>
      <c r="R3260" s="381">
        <v>27</v>
      </c>
      <c r="S3260" s="381">
        <v>-0.23400000000000001</v>
      </c>
      <c r="T3260" s="381"/>
      <c r="U3260" s="381"/>
      <c r="V3260" s="382">
        <v>27</v>
      </c>
      <c r="W3260" s="382">
        <v>0</v>
      </c>
      <c r="X3260" s="381">
        <v>2.9220524017467246</v>
      </c>
      <c r="Y3260" s="381">
        <v>2.947598253275109</v>
      </c>
      <c r="Z3260" s="381">
        <v>-2.5545851528384282E-2</v>
      </c>
      <c r="AA3260" s="381">
        <v>0</v>
      </c>
      <c r="AB3260" s="381">
        <v>0</v>
      </c>
      <c r="AC3260" s="382">
        <v>2.947598253275109</v>
      </c>
      <c r="AD3260" s="382">
        <v>0</v>
      </c>
      <c r="AE3260" s="381" t="s">
        <v>168</v>
      </c>
    </row>
    <row r="3261" spans="1:31" ht="15" customHeight="1" x14ac:dyDescent="0.25">
      <c r="A3261" s="20" t="s">
        <v>4868</v>
      </c>
      <c r="B3261" s="20" t="s">
        <v>4868</v>
      </c>
      <c r="C3261" s="20" t="s">
        <v>4869</v>
      </c>
      <c r="D3261" s="378" t="s">
        <v>4874</v>
      </c>
      <c r="E3261" s="384">
        <v>45076</v>
      </c>
      <c r="F3261" s="384">
        <v>46903</v>
      </c>
      <c r="G3261" s="378" t="s">
        <v>439</v>
      </c>
      <c r="H3261" s="378" t="s">
        <v>4871</v>
      </c>
      <c r="I3261" s="378" t="s">
        <v>162</v>
      </c>
      <c r="J3261" s="20" t="s">
        <v>163</v>
      </c>
      <c r="K3261" s="378" t="s">
        <v>4872</v>
      </c>
      <c r="L3261" s="378" t="s">
        <v>2789</v>
      </c>
      <c r="M3261" s="381"/>
      <c r="N3261" s="381">
        <v>7.98</v>
      </c>
      <c r="O3261" s="380"/>
      <c r="P3261" s="380"/>
      <c r="Q3261" s="381">
        <v>23.495999999999999</v>
      </c>
      <c r="R3261" s="381">
        <v>23.7</v>
      </c>
      <c r="S3261" s="381">
        <v>-0.20399999999999999</v>
      </c>
      <c r="T3261" s="381"/>
      <c r="U3261" s="381"/>
      <c r="V3261" s="382">
        <v>23.7</v>
      </c>
      <c r="W3261" s="382">
        <v>0</v>
      </c>
      <c r="X3261" s="381">
        <v>2.9443609022556387</v>
      </c>
      <c r="Y3261" s="381">
        <v>2.969924812030075</v>
      </c>
      <c r="Z3261" s="381">
        <v>-2.5563909774436087E-2</v>
      </c>
      <c r="AA3261" s="381">
        <v>0</v>
      </c>
      <c r="AB3261" s="381">
        <v>0</v>
      </c>
      <c r="AC3261" s="382">
        <v>2.969924812030075</v>
      </c>
      <c r="AD3261" s="382">
        <v>0</v>
      </c>
      <c r="AE3261" s="381" t="s">
        <v>168</v>
      </c>
    </row>
    <row r="3262" spans="1:31" ht="15" customHeight="1" x14ac:dyDescent="0.25">
      <c r="A3262" s="20" t="s">
        <v>4868</v>
      </c>
      <c r="B3262" s="20" t="s">
        <v>4868</v>
      </c>
      <c r="C3262" s="20" t="s">
        <v>4869</v>
      </c>
      <c r="D3262" s="378" t="s">
        <v>4875</v>
      </c>
      <c r="E3262" s="384">
        <v>45076</v>
      </c>
      <c r="F3262" s="384">
        <v>46903</v>
      </c>
      <c r="G3262" s="378" t="s">
        <v>439</v>
      </c>
      <c r="H3262" s="378" t="s">
        <v>4871</v>
      </c>
      <c r="I3262" s="378" t="s">
        <v>162</v>
      </c>
      <c r="J3262" s="20" t="s">
        <v>163</v>
      </c>
      <c r="K3262" s="378" t="s">
        <v>4872</v>
      </c>
      <c r="L3262" s="378" t="s">
        <v>2789</v>
      </c>
      <c r="M3262" s="381"/>
      <c r="N3262" s="381">
        <v>7.59</v>
      </c>
      <c r="O3262" s="380"/>
      <c r="P3262" s="380"/>
      <c r="Q3262" s="381">
        <v>22.504999999999999</v>
      </c>
      <c r="R3262" s="381">
        <v>22.7</v>
      </c>
      <c r="S3262" s="381">
        <v>-0.19500000000000001</v>
      </c>
      <c r="T3262" s="381"/>
      <c r="U3262" s="381"/>
      <c r="V3262" s="382">
        <v>22.7</v>
      </c>
      <c r="W3262" s="382">
        <v>0</v>
      </c>
      <c r="X3262" s="381">
        <v>2.9650856389986826</v>
      </c>
      <c r="Y3262" s="381">
        <v>2.9907773386034253</v>
      </c>
      <c r="Z3262" s="381">
        <v>-2.5691699604743084E-2</v>
      </c>
      <c r="AA3262" s="381">
        <v>0</v>
      </c>
      <c r="AB3262" s="381">
        <v>0</v>
      </c>
      <c r="AC3262" s="382">
        <v>2.9907773386034253</v>
      </c>
      <c r="AD3262" s="382">
        <v>0</v>
      </c>
      <c r="AE3262" s="381" t="s">
        <v>168</v>
      </c>
    </row>
    <row r="3263" spans="1:31" ht="15" customHeight="1" x14ac:dyDescent="0.25">
      <c r="A3263" s="20" t="s">
        <v>4868</v>
      </c>
      <c r="B3263" s="20" t="s">
        <v>4868</v>
      </c>
      <c r="C3263" s="20" t="s">
        <v>4869</v>
      </c>
      <c r="D3263" s="378" t="s">
        <v>4876</v>
      </c>
      <c r="E3263" s="384">
        <v>45076</v>
      </c>
      <c r="F3263" s="384">
        <v>46903</v>
      </c>
      <c r="G3263" s="378" t="s">
        <v>439</v>
      </c>
      <c r="H3263" s="378" t="s">
        <v>4871</v>
      </c>
      <c r="I3263" s="378" t="s">
        <v>162</v>
      </c>
      <c r="J3263" s="20" t="s">
        <v>163</v>
      </c>
      <c r="K3263" s="378" t="s">
        <v>4872</v>
      </c>
      <c r="L3263" s="378" t="s">
        <v>2789</v>
      </c>
      <c r="M3263" s="381"/>
      <c r="N3263" s="381">
        <v>6.02</v>
      </c>
      <c r="O3263" s="380"/>
      <c r="P3263" s="380"/>
      <c r="Q3263" s="381">
        <v>18.244999999999997</v>
      </c>
      <c r="R3263" s="381">
        <v>18.399999999999999</v>
      </c>
      <c r="S3263" s="381">
        <v>-0.155</v>
      </c>
      <c r="T3263" s="381"/>
      <c r="U3263" s="381"/>
      <c r="V3263" s="382">
        <v>18.399999999999999</v>
      </c>
      <c r="W3263" s="382">
        <v>0</v>
      </c>
      <c r="X3263" s="381">
        <v>3.0307308970099665</v>
      </c>
      <c r="Y3263" s="381">
        <v>3.0564784053156147</v>
      </c>
      <c r="Z3263" s="381">
        <v>-2.5747508305647843E-2</v>
      </c>
      <c r="AA3263" s="381">
        <v>0</v>
      </c>
      <c r="AB3263" s="381">
        <v>0</v>
      </c>
      <c r="AC3263" s="382">
        <v>3.0564784053156147</v>
      </c>
      <c r="AD3263" s="382">
        <v>0</v>
      </c>
      <c r="AE3263" s="381" t="s">
        <v>168</v>
      </c>
    </row>
    <row r="3264" spans="1:31" ht="15" customHeight="1" x14ac:dyDescent="0.25">
      <c r="A3264" s="20" t="s">
        <v>4868</v>
      </c>
      <c r="B3264" s="20" t="s">
        <v>4868</v>
      </c>
      <c r="C3264" s="20" t="s">
        <v>4869</v>
      </c>
      <c r="D3264" s="378" t="s">
        <v>4877</v>
      </c>
      <c r="E3264" s="384">
        <v>45076</v>
      </c>
      <c r="F3264" s="384">
        <v>46903</v>
      </c>
      <c r="G3264" s="378" t="s">
        <v>439</v>
      </c>
      <c r="H3264" s="378" t="s">
        <v>4871</v>
      </c>
      <c r="I3264" s="378" t="s">
        <v>162</v>
      </c>
      <c r="J3264" s="20" t="s">
        <v>163</v>
      </c>
      <c r="K3264" s="378" t="s">
        <v>4872</v>
      </c>
      <c r="L3264" s="378" t="s">
        <v>2789</v>
      </c>
      <c r="M3264" s="381"/>
      <c r="N3264" s="381">
        <v>5.63</v>
      </c>
      <c r="O3264" s="380"/>
      <c r="P3264" s="380"/>
      <c r="Q3264" s="381">
        <v>17.155000000000001</v>
      </c>
      <c r="R3264" s="381">
        <v>17.3</v>
      </c>
      <c r="S3264" s="381">
        <v>-0.14499999999999999</v>
      </c>
      <c r="T3264" s="381"/>
      <c r="U3264" s="381"/>
      <c r="V3264" s="382">
        <v>17.3</v>
      </c>
      <c r="W3264" s="382">
        <v>0</v>
      </c>
      <c r="X3264" s="381">
        <v>3.0470692717584371</v>
      </c>
      <c r="Y3264" s="381">
        <v>3.0728241563055065</v>
      </c>
      <c r="Z3264" s="381">
        <v>-2.5754884547069271E-2</v>
      </c>
      <c r="AA3264" s="381">
        <v>0</v>
      </c>
      <c r="AB3264" s="381">
        <v>0</v>
      </c>
      <c r="AC3264" s="382">
        <v>3.0728241563055065</v>
      </c>
      <c r="AD3264" s="382">
        <v>0</v>
      </c>
      <c r="AE3264" s="381" t="s">
        <v>168</v>
      </c>
    </row>
    <row r="3265" spans="1:31" ht="15" customHeight="1" x14ac:dyDescent="0.25">
      <c r="A3265" s="20" t="s">
        <v>4868</v>
      </c>
      <c r="B3265" s="20" t="s">
        <v>4868</v>
      </c>
      <c r="C3265" s="20" t="s">
        <v>4869</v>
      </c>
      <c r="D3265" s="378" t="s">
        <v>4878</v>
      </c>
      <c r="E3265" s="384">
        <v>45076</v>
      </c>
      <c r="F3265" s="384">
        <v>46903</v>
      </c>
      <c r="G3265" s="378" t="s">
        <v>439</v>
      </c>
      <c r="H3265" s="378" t="s">
        <v>4871</v>
      </c>
      <c r="I3265" s="378" t="s">
        <v>162</v>
      </c>
      <c r="J3265" s="20" t="s">
        <v>163</v>
      </c>
      <c r="K3265" s="378" t="s">
        <v>4872</v>
      </c>
      <c r="L3265" s="378" t="s">
        <v>2789</v>
      </c>
      <c r="M3265" s="381"/>
      <c r="N3265" s="381">
        <v>4.84</v>
      </c>
      <c r="O3265" s="380"/>
      <c r="P3265" s="380"/>
      <c r="Q3265" s="381">
        <v>15.074</v>
      </c>
      <c r="R3265" s="381">
        <v>15.2</v>
      </c>
      <c r="S3265" s="381">
        <v>-0.126</v>
      </c>
      <c r="T3265" s="381"/>
      <c r="U3265" s="381"/>
      <c r="V3265" s="382">
        <v>15.2</v>
      </c>
      <c r="W3265" s="382">
        <v>0</v>
      </c>
      <c r="X3265" s="381">
        <v>3.1144628099173555</v>
      </c>
      <c r="Y3265" s="381">
        <v>3.1404958677685948</v>
      </c>
      <c r="Z3265" s="381">
        <v>-2.6033057851239671E-2</v>
      </c>
      <c r="AA3265" s="381">
        <v>0</v>
      </c>
      <c r="AB3265" s="381">
        <v>0</v>
      </c>
      <c r="AC3265" s="382">
        <v>3.1404958677685948</v>
      </c>
      <c r="AD3265" s="382">
        <v>0</v>
      </c>
      <c r="AE3265" s="381" t="s">
        <v>168</v>
      </c>
    </row>
    <row r="3266" spans="1:31" ht="15" customHeight="1" x14ac:dyDescent="0.25">
      <c r="A3266" s="20" t="s">
        <v>4868</v>
      </c>
      <c r="B3266" s="20" t="s">
        <v>4868</v>
      </c>
      <c r="C3266" s="20" t="s">
        <v>4869</v>
      </c>
      <c r="D3266" s="378" t="s">
        <v>4879</v>
      </c>
      <c r="E3266" s="384">
        <v>45076</v>
      </c>
      <c r="F3266" s="384">
        <v>46903</v>
      </c>
      <c r="G3266" s="378" t="s">
        <v>439</v>
      </c>
      <c r="H3266" s="378" t="s">
        <v>4871</v>
      </c>
      <c r="I3266" s="378" t="s">
        <v>162</v>
      </c>
      <c r="J3266" s="20" t="s">
        <v>163</v>
      </c>
      <c r="K3266" s="378" t="s">
        <v>4872</v>
      </c>
      <c r="L3266" s="378" t="s">
        <v>2789</v>
      </c>
      <c r="M3266" s="381"/>
      <c r="N3266" s="381">
        <v>4.45</v>
      </c>
      <c r="O3266" s="380"/>
      <c r="P3266" s="380"/>
      <c r="Q3266" s="381">
        <v>13.984</v>
      </c>
      <c r="R3266" s="381">
        <v>14.1</v>
      </c>
      <c r="S3266" s="381">
        <v>-0.11600000000000001</v>
      </c>
      <c r="T3266" s="381"/>
      <c r="U3266" s="381"/>
      <c r="V3266" s="382">
        <v>14.1</v>
      </c>
      <c r="W3266" s="382">
        <v>0</v>
      </c>
      <c r="X3266" s="381">
        <v>3.1424719101123593</v>
      </c>
      <c r="Y3266" s="381">
        <v>3.1685393258426964</v>
      </c>
      <c r="Z3266" s="381">
        <v>-2.6067415730337079E-2</v>
      </c>
      <c r="AA3266" s="381">
        <v>0</v>
      </c>
      <c r="AB3266" s="381">
        <v>0</v>
      </c>
      <c r="AC3266" s="382">
        <v>3.1685393258426964</v>
      </c>
      <c r="AD3266" s="382">
        <v>0</v>
      </c>
      <c r="AE3266" s="381" t="s">
        <v>168</v>
      </c>
    </row>
    <row r="3267" spans="1:31" ht="15" customHeight="1" x14ac:dyDescent="0.25">
      <c r="A3267" s="20" t="s">
        <v>4868</v>
      </c>
      <c r="B3267" s="20" t="s">
        <v>4868</v>
      </c>
      <c r="C3267" s="20" t="s">
        <v>4869</v>
      </c>
      <c r="D3267" s="378" t="s">
        <v>4880</v>
      </c>
      <c r="E3267" s="384">
        <v>45076</v>
      </c>
      <c r="F3267" s="384">
        <v>46903</v>
      </c>
      <c r="G3267" s="378" t="s">
        <v>439</v>
      </c>
      <c r="H3267" s="378" t="s">
        <v>4871</v>
      </c>
      <c r="I3267" s="378" t="s">
        <v>162</v>
      </c>
      <c r="J3267" s="20" t="s">
        <v>163</v>
      </c>
      <c r="K3267" s="378" t="s">
        <v>4872</v>
      </c>
      <c r="L3267" s="378" t="s">
        <v>2789</v>
      </c>
      <c r="M3267" s="381"/>
      <c r="N3267" s="381">
        <v>4.0599999999999996</v>
      </c>
      <c r="O3267" s="380"/>
      <c r="P3267" s="380"/>
      <c r="Q3267" s="381">
        <v>12.894</v>
      </c>
      <c r="R3267" s="381">
        <v>13</v>
      </c>
      <c r="S3267" s="381">
        <v>-0.106</v>
      </c>
      <c r="T3267" s="381"/>
      <c r="U3267" s="381"/>
      <c r="V3267" s="382">
        <v>13</v>
      </c>
      <c r="W3267" s="382">
        <v>0</v>
      </c>
      <c r="X3267" s="381">
        <v>3.1758620689655177</v>
      </c>
      <c r="Y3267" s="381">
        <v>3.201970443349754</v>
      </c>
      <c r="Z3267" s="381">
        <v>-2.6108374384236455E-2</v>
      </c>
      <c r="AA3267" s="381">
        <v>0</v>
      </c>
      <c r="AB3267" s="381">
        <v>0</v>
      </c>
      <c r="AC3267" s="382">
        <v>3.201970443349754</v>
      </c>
      <c r="AD3267" s="382">
        <v>0</v>
      </c>
      <c r="AE3267" s="381" t="s">
        <v>168</v>
      </c>
    </row>
    <row r="3268" spans="1:31" ht="15" customHeight="1" x14ac:dyDescent="0.25">
      <c r="A3268" s="20" t="s">
        <v>4868</v>
      </c>
      <c r="B3268" s="20" t="s">
        <v>4868</v>
      </c>
      <c r="C3268" s="20" t="s">
        <v>4869</v>
      </c>
      <c r="D3268" s="378" t="s">
        <v>4881</v>
      </c>
      <c r="E3268" s="384">
        <v>45076</v>
      </c>
      <c r="F3268" s="384">
        <v>46903</v>
      </c>
      <c r="G3268" s="378" t="s">
        <v>439</v>
      </c>
      <c r="H3268" s="378" t="s">
        <v>4871</v>
      </c>
      <c r="I3268" s="378" t="s">
        <v>162</v>
      </c>
      <c r="J3268" s="20" t="s">
        <v>163</v>
      </c>
      <c r="K3268" s="378" t="s">
        <v>4872</v>
      </c>
      <c r="L3268" s="378" t="s">
        <v>2789</v>
      </c>
      <c r="M3268" s="381"/>
      <c r="N3268" s="381">
        <v>3.9</v>
      </c>
      <c r="O3268" s="380"/>
      <c r="P3268" s="380"/>
      <c r="Q3268" s="381">
        <v>12.497999999999999</v>
      </c>
      <c r="R3268" s="381">
        <v>12.6</v>
      </c>
      <c r="S3268" s="381">
        <v>-0.10199999999999999</v>
      </c>
      <c r="T3268" s="381"/>
      <c r="U3268" s="381"/>
      <c r="V3268" s="382">
        <v>12.6</v>
      </c>
      <c r="W3268" s="382">
        <v>0</v>
      </c>
      <c r="X3268" s="381">
        <v>3.2046153846153844</v>
      </c>
      <c r="Y3268" s="381">
        <v>3.2307692307692308</v>
      </c>
      <c r="Z3268" s="381">
        <v>-2.6153846153846153E-2</v>
      </c>
      <c r="AA3268" s="381">
        <v>0</v>
      </c>
      <c r="AB3268" s="381">
        <v>0</v>
      </c>
      <c r="AC3268" s="382">
        <v>3.2307692307692308</v>
      </c>
      <c r="AD3268" s="382">
        <v>0</v>
      </c>
      <c r="AE3268" s="381" t="s">
        <v>168</v>
      </c>
    </row>
    <row r="3269" spans="1:31" ht="15" customHeight="1" x14ac:dyDescent="0.25">
      <c r="A3269" s="20" t="s">
        <v>4868</v>
      </c>
      <c r="B3269" s="20" t="s">
        <v>4868</v>
      </c>
      <c r="C3269" s="20" t="s">
        <v>4869</v>
      </c>
      <c r="D3269" s="378" t="s">
        <v>4882</v>
      </c>
      <c r="E3269" s="384">
        <v>45076</v>
      </c>
      <c r="F3269" s="384">
        <v>46903</v>
      </c>
      <c r="G3269" s="378" t="s">
        <v>439</v>
      </c>
      <c r="H3269" s="378" t="s">
        <v>4871</v>
      </c>
      <c r="I3269" s="378" t="s">
        <v>162</v>
      </c>
      <c r="J3269" s="20" t="s">
        <v>163</v>
      </c>
      <c r="K3269" s="378" t="s">
        <v>4872</v>
      </c>
      <c r="L3269" s="378" t="s">
        <v>2789</v>
      </c>
      <c r="M3269" s="381"/>
      <c r="N3269" s="381">
        <v>3.43</v>
      </c>
      <c r="O3269" s="380"/>
      <c r="P3269" s="380"/>
      <c r="Q3269" s="381">
        <v>11.209700000000002</v>
      </c>
      <c r="R3269" s="381">
        <v>11.3</v>
      </c>
      <c r="S3269" s="381">
        <v>-9.0300000000000005E-2</v>
      </c>
      <c r="T3269" s="381"/>
      <c r="U3269" s="381"/>
      <c r="V3269" s="382">
        <v>11.3</v>
      </c>
      <c r="W3269" s="382">
        <v>0</v>
      </c>
      <c r="X3269" s="381">
        <v>3.2681341107871722</v>
      </c>
      <c r="Y3269" s="381">
        <v>3.2944606413994171</v>
      </c>
      <c r="Z3269" s="381">
        <v>-2.6326530612244898E-2</v>
      </c>
      <c r="AA3269" s="381">
        <v>0</v>
      </c>
      <c r="AB3269" s="381">
        <v>0</v>
      </c>
      <c r="AC3269" s="382">
        <v>3.2944606413994171</v>
      </c>
      <c r="AD3269" s="382">
        <v>0</v>
      </c>
      <c r="AE3269" s="381" t="s">
        <v>168</v>
      </c>
    </row>
    <row r="3270" spans="1:31" ht="15" customHeight="1" x14ac:dyDescent="0.25">
      <c r="A3270" s="20" t="s">
        <v>4868</v>
      </c>
      <c r="B3270" s="20" t="s">
        <v>4868</v>
      </c>
      <c r="C3270" s="20" t="s">
        <v>4869</v>
      </c>
      <c r="D3270" s="378" t="s">
        <v>4883</v>
      </c>
      <c r="E3270" s="384">
        <v>45076</v>
      </c>
      <c r="F3270" s="384">
        <v>46903</v>
      </c>
      <c r="G3270" s="378" t="s">
        <v>439</v>
      </c>
      <c r="H3270" s="378" t="s">
        <v>4871</v>
      </c>
      <c r="I3270" s="378" t="s">
        <v>162</v>
      </c>
      <c r="J3270" s="20" t="s">
        <v>163</v>
      </c>
      <c r="K3270" s="378" t="s">
        <v>4872</v>
      </c>
      <c r="L3270" s="378" t="s">
        <v>2789</v>
      </c>
      <c r="M3270" s="381"/>
      <c r="N3270" s="381">
        <v>3.12</v>
      </c>
      <c r="O3270" s="380"/>
      <c r="P3270" s="380"/>
      <c r="Q3270" s="381">
        <v>10.317600000000001</v>
      </c>
      <c r="R3270" s="381">
        <v>10.4</v>
      </c>
      <c r="S3270" s="381">
        <v>-8.2400000000000001E-2</v>
      </c>
      <c r="T3270" s="381"/>
      <c r="U3270" s="381"/>
      <c r="V3270" s="382">
        <v>10.4</v>
      </c>
      <c r="W3270" s="382">
        <v>0</v>
      </c>
      <c r="X3270" s="381">
        <v>3.3069230769230771</v>
      </c>
      <c r="Y3270" s="381">
        <v>3.3333333333333335</v>
      </c>
      <c r="Z3270" s="381">
        <v>-2.6410256410256409E-2</v>
      </c>
      <c r="AA3270" s="381">
        <v>0</v>
      </c>
      <c r="AB3270" s="381">
        <v>0</v>
      </c>
      <c r="AC3270" s="382">
        <v>3.3333333333333335</v>
      </c>
      <c r="AD3270" s="382">
        <v>0</v>
      </c>
      <c r="AE3270" s="381" t="s">
        <v>168</v>
      </c>
    </row>
    <row r="3271" spans="1:31" ht="15" customHeight="1" x14ac:dyDescent="0.25">
      <c r="A3271" s="20" t="s">
        <v>4868</v>
      </c>
      <c r="B3271" s="20" t="s">
        <v>4868</v>
      </c>
      <c r="C3271" s="20" t="s">
        <v>4869</v>
      </c>
      <c r="D3271" s="378" t="s">
        <v>4884</v>
      </c>
      <c r="E3271" s="384">
        <v>45076</v>
      </c>
      <c r="F3271" s="384">
        <v>46903</v>
      </c>
      <c r="G3271" s="378" t="s">
        <v>439</v>
      </c>
      <c r="H3271" s="378" t="s">
        <v>4871</v>
      </c>
      <c r="I3271" s="378" t="s">
        <v>162</v>
      </c>
      <c r="J3271" s="20" t="s">
        <v>163</v>
      </c>
      <c r="K3271" s="378" t="s">
        <v>4872</v>
      </c>
      <c r="L3271" s="378" t="s">
        <v>2789</v>
      </c>
      <c r="M3271" s="381"/>
      <c r="N3271" s="381">
        <v>3.27</v>
      </c>
      <c r="O3271" s="380"/>
      <c r="P3271" s="380"/>
      <c r="Q3271" s="381">
        <v>10.813700000000001</v>
      </c>
      <c r="R3271" s="381">
        <v>10.9</v>
      </c>
      <c r="S3271" s="381">
        <v>-8.6300000000000002E-2</v>
      </c>
      <c r="T3271" s="381"/>
      <c r="U3271" s="381"/>
      <c r="V3271" s="382">
        <v>10.9</v>
      </c>
      <c r="W3271" s="382">
        <v>0</v>
      </c>
      <c r="X3271" s="381">
        <v>3.306941896024465</v>
      </c>
      <c r="Y3271" s="381">
        <v>3.3333333333333335</v>
      </c>
      <c r="Z3271" s="381">
        <v>-2.63914373088685E-2</v>
      </c>
      <c r="AA3271" s="381">
        <v>0</v>
      </c>
      <c r="AB3271" s="381">
        <v>0</v>
      </c>
      <c r="AC3271" s="382">
        <v>3.3333333333333335</v>
      </c>
      <c r="AD3271" s="382">
        <v>0</v>
      </c>
      <c r="AE3271" s="381" t="s">
        <v>168</v>
      </c>
    </row>
    <row r="3272" spans="1:31" ht="15" customHeight="1" x14ac:dyDescent="0.25">
      <c r="A3272" s="20" t="s">
        <v>4868</v>
      </c>
      <c r="B3272" s="20" t="s">
        <v>4868</v>
      </c>
      <c r="C3272" s="20" t="s">
        <v>4869</v>
      </c>
      <c r="D3272" s="378" t="s">
        <v>4885</v>
      </c>
      <c r="E3272" s="384">
        <v>45076</v>
      </c>
      <c r="F3272" s="384">
        <v>46903</v>
      </c>
      <c r="G3272" s="378" t="s">
        <v>439</v>
      </c>
      <c r="H3272" s="378" t="s">
        <v>4871</v>
      </c>
      <c r="I3272" s="378" t="s">
        <v>162</v>
      </c>
      <c r="J3272" s="20" t="s">
        <v>163</v>
      </c>
      <c r="K3272" s="378" t="s">
        <v>4872</v>
      </c>
      <c r="L3272" s="378" t="s">
        <v>2789</v>
      </c>
      <c r="M3272" s="381"/>
      <c r="N3272" s="381">
        <v>2.88</v>
      </c>
      <c r="O3272" s="380"/>
      <c r="P3272" s="380"/>
      <c r="Q3272" s="381">
        <v>9.7235000000000014</v>
      </c>
      <c r="R3272" s="381">
        <v>9.8000000000000007</v>
      </c>
      <c r="S3272" s="381">
        <v>-7.6499999999999999E-2</v>
      </c>
      <c r="T3272" s="381"/>
      <c r="U3272" s="381"/>
      <c r="V3272" s="382">
        <v>9.8000000000000007</v>
      </c>
      <c r="W3272" s="382">
        <v>0</v>
      </c>
      <c r="X3272" s="381">
        <v>3.3762152777777783</v>
      </c>
      <c r="Y3272" s="381">
        <v>3.4027777777777781</v>
      </c>
      <c r="Z3272" s="381">
        <v>-2.6562499999999999E-2</v>
      </c>
      <c r="AA3272" s="381">
        <v>0</v>
      </c>
      <c r="AB3272" s="381">
        <v>0</v>
      </c>
      <c r="AC3272" s="382">
        <v>3.4027777777777781</v>
      </c>
      <c r="AD3272" s="382">
        <v>0</v>
      </c>
      <c r="AE3272" s="381" t="s">
        <v>168</v>
      </c>
    </row>
    <row r="3273" spans="1:31" ht="15" customHeight="1" x14ac:dyDescent="0.25">
      <c r="A3273" s="20" t="s">
        <v>4868</v>
      </c>
      <c r="B3273" s="20" t="s">
        <v>4868</v>
      </c>
      <c r="C3273" s="20" t="s">
        <v>4869</v>
      </c>
      <c r="D3273" s="378" t="s">
        <v>4886</v>
      </c>
      <c r="E3273" s="384">
        <v>45076</v>
      </c>
      <c r="F3273" s="384">
        <v>46903</v>
      </c>
      <c r="G3273" s="378" t="s">
        <v>439</v>
      </c>
      <c r="H3273" s="378" t="s">
        <v>4871</v>
      </c>
      <c r="I3273" s="378" t="s">
        <v>162</v>
      </c>
      <c r="J3273" s="20" t="s">
        <v>163</v>
      </c>
      <c r="K3273" s="378" t="s">
        <v>4872</v>
      </c>
      <c r="L3273" s="378" t="s">
        <v>2789</v>
      </c>
      <c r="M3273" s="381"/>
      <c r="N3273" s="381">
        <v>2.4900000000000002</v>
      </c>
      <c r="O3273" s="380"/>
      <c r="P3273" s="380"/>
      <c r="Q3273" s="381">
        <v>8.6632999999999996</v>
      </c>
      <c r="R3273" s="381">
        <v>8.73</v>
      </c>
      <c r="S3273" s="381">
        <v>-6.6699999999999995E-2</v>
      </c>
      <c r="T3273" s="381"/>
      <c r="U3273" s="381"/>
      <c r="V3273" s="382">
        <v>8.73</v>
      </c>
      <c r="W3273" s="382">
        <v>0</v>
      </c>
      <c r="X3273" s="381">
        <v>3.479236947791164</v>
      </c>
      <c r="Y3273" s="381">
        <v>3.5060240963855422</v>
      </c>
      <c r="Z3273" s="381">
        <v>-2.6787148594377506E-2</v>
      </c>
      <c r="AA3273" s="381">
        <v>0</v>
      </c>
      <c r="AB3273" s="381">
        <v>0</v>
      </c>
      <c r="AC3273" s="382">
        <v>3.5060240963855422</v>
      </c>
      <c r="AD3273" s="382">
        <v>0</v>
      </c>
      <c r="AE3273" s="381" t="s">
        <v>168</v>
      </c>
    </row>
    <row r="3274" spans="1:31" ht="15" customHeight="1" x14ac:dyDescent="0.25">
      <c r="A3274" s="20" t="s">
        <v>4868</v>
      </c>
      <c r="B3274" s="20" t="s">
        <v>4868</v>
      </c>
      <c r="C3274" s="20" t="s">
        <v>4869</v>
      </c>
      <c r="D3274" s="378" t="s">
        <v>4887</v>
      </c>
      <c r="E3274" s="384">
        <v>45145</v>
      </c>
      <c r="F3274" s="384">
        <v>46971</v>
      </c>
      <c r="G3274" s="378" t="s">
        <v>2837</v>
      </c>
      <c r="H3274" s="20" t="s">
        <v>4888</v>
      </c>
      <c r="I3274" s="378">
        <v>0</v>
      </c>
      <c r="J3274" s="20" t="s">
        <v>2831</v>
      </c>
      <c r="K3274" s="378" t="s">
        <v>4889</v>
      </c>
      <c r="L3274" s="378" t="s">
        <v>2789</v>
      </c>
      <c r="M3274" s="380" t="s">
        <v>443</v>
      </c>
      <c r="N3274" s="380">
        <v>3.27</v>
      </c>
      <c r="O3274" s="380" t="s">
        <v>443</v>
      </c>
      <c r="P3274" s="380" t="s">
        <v>443</v>
      </c>
      <c r="Q3274" s="381">
        <v>16.3827</v>
      </c>
      <c r="R3274" s="381">
        <v>16.3827</v>
      </c>
      <c r="S3274" s="381">
        <v>2.1745499999999999E-3</v>
      </c>
      <c r="T3274" s="381">
        <v>1.3276199999999998E-2</v>
      </c>
      <c r="U3274" s="381">
        <v>0</v>
      </c>
      <c r="V3274" s="382">
        <v>16.398150749999999</v>
      </c>
      <c r="W3274" s="382">
        <v>0</v>
      </c>
      <c r="X3274" s="381">
        <v>5.01</v>
      </c>
      <c r="Y3274" s="381">
        <v>5.01</v>
      </c>
      <c r="Z3274" s="381">
        <v>6.6500000000000001E-4</v>
      </c>
      <c r="AA3274" s="381">
        <v>4.0599999999999994E-3</v>
      </c>
      <c r="AB3274" s="381">
        <v>0</v>
      </c>
      <c r="AC3274" s="382">
        <v>5.0147249999999994</v>
      </c>
      <c r="AD3274" s="382">
        <v>0</v>
      </c>
      <c r="AE3274" s="381" t="s">
        <v>168</v>
      </c>
    </row>
    <row r="3275" spans="1:31" ht="15" customHeight="1" x14ac:dyDescent="0.25">
      <c r="A3275" s="20" t="s">
        <v>4868</v>
      </c>
      <c r="B3275" s="20" t="s">
        <v>4868</v>
      </c>
      <c r="C3275" s="20" t="s">
        <v>4869</v>
      </c>
      <c r="D3275" s="378" t="s">
        <v>4890</v>
      </c>
      <c r="E3275" s="384">
        <v>45135</v>
      </c>
      <c r="F3275" s="384">
        <v>46962</v>
      </c>
      <c r="G3275" s="378" t="s">
        <v>439</v>
      </c>
      <c r="H3275" s="378" t="s">
        <v>4891</v>
      </c>
      <c r="I3275" s="378" t="s">
        <v>162</v>
      </c>
      <c r="J3275" s="20" t="s">
        <v>163</v>
      </c>
      <c r="K3275" s="378" t="s">
        <v>4892</v>
      </c>
      <c r="L3275" s="378" t="s">
        <v>2789</v>
      </c>
      <c r="M3275" s="381"/>
      <c r="N3275" s="381">
        <v>3.05</v>
      </c>
      <c r="O3275" s="380"/>
      <c r="P3275" s="380"/>
      <c r="Q3275" s="381">
        <v>9.80213</v>
      </c>
      <c r="R3275" s="381">
        <v>9.81</v>
      </c>
      <c r="S3275" s="381">
        <v>-7.8700000000000003E-3</v>
      </c>
      <c r="T3275" s="381"/>
      <c r="U3275" s="381"/>
      <c r="V3275" s="382">
        <v>9.81</v>
      </c>
      <c r="W3275" s="382">
        <v>0</v>
      </c>
      <c r="X3275" s="381">
        <v>3.2138131147540987</v>
      </c>
      <c r="Y3275" s="381">
        <v>3.2163934426229512</v>
      </c>
      <c r="Z3275" s="381">
        <v>-2.580327868852459E-3</v>
      </c>
      <c r="AA3275" s="381">
        <v>0</v>
      </c>
      <c r="AB3275" s="381">
        <v>0</v>
      </c>
      <c r="AC3275" s="382">
        <v>3.2163934426229512</v>
      </c>
      <c r="AD3275" s="382">
        <v>0</v>
      </c>
      <c r="AE3275" s="381" t="s">
        <v>168</v>
      </c>
    </row>
    <row r="3276" spans="1:31" ht="15" customHeight="1" x14ac:dyDescent="0.25">
      <c r="A3276" s="20" t="s">
        <v>4868</v>
      </c>
      <c r="B3276" s="20" t="s">
        <v>4868</v>
      </c>
      <c r="C3276" s="20" t="s">
        <v>4869</v>
      </c>
      <c r="D3276" s="378" t="s">
        <v>4893</v>
      </c>
      <c r="E3276" s="384">
        <v>45135</v>
      </c>
      <c r="F3276" s="384">
        <v>46962</v>
      </c>
      <c r="G3276" s="378" t="s">
        <v>439</v>
      </c>
      <c r="H3276" s="378" t="s">
        <v>4891</v>
      </c>
      <c r="I3276" s="378" t="s">
        <v>162</v>
      </c>
      <c r="J3276" s="20" t="s">
        <v>163</v>
      </c>
      <c r="K3276" s="378" t="s">
        <v>4892</v>
      </c>
      <c r="L3276" s="378" t="s">
        <v>2789</v>
      </c>
      <c r="M3276" s="381"/>
      <c r="N3276" s="381">
        <v>3.28</v>
      </c>
      <c r="O3276" s="380"/>
      <c r="P3276" s="380"/>
      <c r="Q3276" s="381">
        <v>10.39231</v>
      </c>
      <c r="R3276" s="381">
        <v>10.4</v>
      </c>
      <c r="S3276" s="381">
        <v>-7.6899999999999998E-3</v>
      </c>
      <c r="T3276" s="381"/>
      <c r="U3276" s="381"/>
      <c r="V3276" s="382">
        <v>10.4</v>
      </c>
      <c r="W3276" s="382">
        <v>0</v>
      </c>
      <c r="X3276" s="381">
        <v>3.1683871951219515</v>
      </c>
      <c r="Y3276" s="381">
        <v>3.1707317073170733</v>
      </c>
      <c r="Z3276" s="381">
        <v>-2.3445121951219511E-3</v>
      </c>
      <c r="AA3276" s="381">
        <v>0</v>
      </c>
      <c r="AB3276" s="381">
        <v>0</v>
      </c>
      <c r="AC3276" s="382">
        <v>3.1707317073170733</v>
      </c>
      <c r="AD3276" s="382">
        <v>0</v>
      </c>
      <c r="AE3276" s="381" t="s">
        <v>168</v>
      </c>
    </row>
    <row r="3277" spans="1:31" ht="15" customHeight="1" x14ac:dyDescent="0.25">
      <c r="A3277" s="20" t="s">
        <v>4868</v>
      </c>
      <c r="B3277" s="20" t="s">
        <v>4868</v>
      </c>
      <c r="C3277" s="20" t="s">
        <v>4869</v>
      </c>
      <c r="D3277" s="378" t="s">
        <v>4894</v>
      </c>
      <c r="E3277" s="384">
        <v>45135</v>
      </c>
      <c r="F3277" s="384">
        <v>46962</v>
      </c>
      <c r="G3277" s="378" t="s">
        <v>439</v>
      </c>
      <c r="H3277" s="378" t="s">
        <v>4891</v>
      </c>
      <c r="I3277" s="378" t="s">
        <v>162</v>
      </c>
      <c r="J3277" s="20" t="s">
        <v>163</v>
      </c>
      <c r="K3277" s="378" t="s">
        <v>4892</v>
      </c>
      <c r="L3277" s="378" t="s">
        <v>2789</v>
      </c>
      <c r="M3277" s="381"/>
      <c r="N3277" s="381">
        <v>3.42</v>
      </c>
      <c r="O3277" s="380"/>
      <c r="P3277" s="380"/>
      <c r="Q3277" s="381">
        <v>11.39235</v>
      </c>
      <c r="R3277" s="381">
        <v>11.4</v>
      </c>
      <c r="S3277" s="381">
        <v>-7.6499999999999997E-3</v>
      </c>
      <c r="T3277" s="381"/>
      <c r="U3277" s="381"/>
      <c r="V3277" s="382">
        <v>11.4</v>
      </c>
      <c r="W3277" s="382">
        <v>0</v>
      </c>
      <c r="X3277" s="381">
        <v>3.3310964912280703</v>
      </c>
      <c r="Y3277" s="381">
        <v>3.3333333333333335</v>
      </c>
      <c r="Z3277" s="381">
        <v>-2.2368421052631577E-3</v>
      </c>
      <c r="AA3277" s="381">
        <v>0</v>
      </c>
      <c r="AB3277" s="381">
        <v>0</v>
      </c>
      <c r="AC3277" s="382">
        <v>3.3333333333333335</v>
      </c>
      <c r="AD3277" s="382">
        <v>0</v>
      </c>
      <c r="AE3277" s="381" t="s">
        <v>168</v>
      </c>
    </row>
    <row r="3278" spans="1:31" ht="15" customHeight="1" x14ac:dyDescent="0.25">
      <c r="A3278" s="20" t="s">
        <v>4868</v>
      </c>
      <c r="B3278" s="20" t="s">
        <v>4868</v>
      </c>
      <c r="C3278" s="20" t="s">
        <v>4869</v>
      </c>
      <c r="D3278" s="378" t="s">
        <v>4895</v>
      </c>
      <c r="E3278" s="384">
        <v>45135</v>
      </c>
      <c r="F3278" s="384">
        <v>46962</v>
      </c>
      <c r="G3278" s="378" t="s">
        <v>439</v>
      </c>
      <c r="H3278" s="378" t="s">
        <v>4891</v>
      </c>
      <c r="I3278" s="378" t="s">
        <v>162</v>
      </c>
      <c r="J3278" s="20" t="s">
        <v>163</v>
      </c>
      <c r="K3278" s="378" t="s">
        <v>4892</v>
      </c>
      <c r="L3278" s="378" t="s">
        <v>2789</v>
      </c>
      <c r="M3278" s="381"/>
      <c r="N3278" s="381">
        <v>3.68</v>
      </c>
      <c r="O3278" s="380"/>
      <c r="P3278" s="380"/>
      <c r="Q3278" s="381">
        <v>11.39263</v>
      </c>
      <c r="R3278" s="381">
        <v>11.4</v>
      </c>
      <c r="S3278" s="381">
        <v>-7.3699999999999998E-3</v>
      </c>
      <c r="T3278" s="381"/>
      <c r="U3278" s="381"/>
      <c r="V3278" s="382">
        <v>11.4</v>
      </c>
      <c r="W3278" s="382">
        <v>0</v>
      </c>
      <c r="X3278" s="381">
        <v>3.0958233695652173</v>
      </c>
      <c r="Y3278" s="381">
        <v>3.0978260869565215</v>
      </c>
      <c r="Z3278" s="381">
        <v>-2.0027173913043476E-3</v>
      </c>
      <c r="AA3278" s="381">
        <v>0</v>
      </c>
      <c r="AB3278" s="381">
        <v>0</v>
      </c>
      <c r="AC3278" s="382">
        <v>3.0978260869565215</v>
      </c>
      <c r="AD3278" s="382">
        <v>0</v>
      </c>
      <c r="AE3278" s="381" t="s">
        <v>168</v>
      </c>
    </row>
    <row r="3279" spans="1:31" ht="15" customHeight="1" x14ac:dyDescent="0.25">
      <c r="A3279" s="20" t="s">
        <v>4868</v>
      </c>
      <c r="B3279" s="20" t="s">
        <v>4868</v>
      </c>
      <c r="C3279" s="20" t="s">
        <v>4869</v>
      </c>
      <c r="D3279" s="378" t="s">
        <v>4896</v>
      </c>
      <c r="E3279" s="384">
        <v>45135</v>
      </c>
      <c r="F3279" s="384">
        <v>46962</v>
      </c>
      <c r="G3279" s="378" t="s">
        <v>439</v>
      </c>
      <c r="H3279" s="378" t="s">
        <v>4891</v>
      </c>
      <c r="I3279" s="378" t="s">
        <v>162</v>
      </c>
      <c r="J3279" s="20" t="s">
        <v>163</v>
      </c>
      <c r="K3279" s="378" t="s">
        <v>4892</v>
      </c>
      <c r="L3279" s="378" t="s">
        <v>2789</v>
      </c>
      <c r="M3279" s="381"/>
      <c r="N3279" s="381">
        <v>4.07</v>
      </c>
      <c r="O3279" s="380"/>
      <c r="P3279" s="380"/>
      <c r="Q3279" s="381">
        <v>12.492940000000001</v>
      </c>
      <c r="R3279" s="381">
        <v>12.5</v>
      </c>
      <c r="S3279" s="381">
        <v>-7.0600000000000003E-3</v>
      </c>
      <c r="T3279" s="381"/>
      <c r="U3279" s="381"/>
      <c r="V3279" s="382">
        <v>12.5</v>
      </c>
      <c r="W3279" s="382">
        <v>0</v>
      </c>
      <c r="X3279" s="381">
        <v>3.0695184275184273</v>
      </c>
      <c r="Y3279" s="381">
        <v>3.071253071253071</v>
      </c>
      <c r="Z3279" s="381">
        <v>-1.7346437346437346E-3</v>
      </c>
      <c r="AA3279" s="381">
        <v>0</v>
      </c>
      <c r="AB3279" s="381">
        <v>0</v>
      </c>
      <c r="AC3279" s="382">
        <v>3.071253071253071</v>
      </c>
      <c r="AD3279" s="382">
        <v>0</v>
      </c>
      <c r="AE3279" s="381" t="s">
        <v>168</v>
      </c>
    </row>
    <row r="3280" spans="1:31" ht="15" customHeight="1" x14ac:dyDescent="0.25">
      <c r="A3280" s="20" t="s">
        <v>4868</v>
      </c>
      <c r="B3280" s="20" t="s">
        <v>4868</v>
      </c>
      <c r="C3280" s="20" t="s">
        <v>4869</v>
      </c>
      <c r="D3280" s="378" t="s">
        <v>4897</v>
      </c>
      <c r="E3280" s="384">
        <v>45135</v>
      </c>
      <c r="F3280" s="384">
        <v>46962</v>
      </c>
      <c r="G3280" s="378" t="s">
        <v>439</v>
      </c>
      <c r="H3280" s="378" t="s">
        <v>4891</v>
      </c>
      <c r="I3280" s="378" t="s">
        <v>162</v>
      </c>
      <c r="J3280" s="20" t="s">
        <v>163</v>
      </c>
      <c r="K3280" s="378" t="s">
        <v>4892</v>
      </c>
      <c r="L3280" s="378" t="s">
        <v>2789</v>
      </c>
      <c r="M3280" s="381"/>
      <c r="N3280" s="381">
        <v>3.35</v>
      </c>
      <c r="O3280" s="380"/>
      <c r="P3280" s="380"/>
      <c r="Q3280" s="381">
        <v>10.594149999999999</v>
      </c>
      <c r="R3280" s="381">
        <v>10.6</v>
      </c>
      <c r="S3280" s="381">
        <v>-5.8500000000000002E-3</v>
      </c>
      <c r="T3280" s="381"/>
      <c r="U3280" s="381"/>
      <c r="V3280" s="382">
        <v>10.6</v>
      </c>
      <c r="W3280" s="382">
        <v>0</v>
      </c>
      <c r="X3280" s="381">
        <v>3.1624328358208951</v>
      </c>
      <c r="Y3280" s="381">
        <v>3.1641791044776117</v>
      </c>
      <c r="Z3280" s="381">
        <v>-1.7462686567164178E-3</v>
      </c>
      <c r="AA3280" s="381">
        <v>0</v>
      </c>
      <c r="AB3280" s="381">
        <v>0</v>
      </c>
      <c r="AC3280" s="382">
        <v>3.1641791044776117</v>
      </c>
      <c r="AD3280" s="382">
        <v>0</v>
      </c>
      <c r="AE3280" s="381" t="s">
        <v>168</v>
      </c>
    </row>
    <row r="3281" spans="1:31" ht="15" customHeight="1" x14ac:dyDescent="0.25">
      <c r="A3281" s="20" t="s">
        <v>4868</v>
      </c>
      <c r="B3281" s="20" t="s">
        <v>4868</v>
      </c>
      <c r="C3281" s="20" t="s">
        <v>4869</v>
      </c>
      <c r="D3281" s="378" t="s">
        <v>4898</v>
      </c>
      <c r="E3281" s="384">
        <v>45135</v>
      </c>
      <c r="F3281" s="384">
        <v>46962</v>
      </c>
      <c r="G3281" s="378" t="s">
        <v>439</v>
      </c>
      <c r="H3281" s="378" t="s">
        <v>4891</v>
      </c>
      <c r="I3281" s="378" t="s">
        <v>162</v>
      </c>
      <c r="J3281" s="20" t="s">
        <v>163</v>
      </c>
      <c r="K3281" s="378" t="s">
        <v>4892</v>
      </c>
      <c r="L3281" s="378" t="s">
        <v>2789</v>
      </c>
      <c r="M3281" s="381"/>
      <c r="N3281" s="381">
        <v>4.21</v>
      </c>
      <c r="O3281" s="380"/>
      <c r="P3281" s="380"/>
      <c r="Q3281" s="381">
        <v>13.492979999999999</v>
      </c>
      <c r="R3281" s="381">
        <v>13.5</v>
      </c>
      <c r="S3281" s="381">
        <v>-7.0200000000000002E-3</v>
      </c>
      <c r="T3281" s="381"/>
      <c r="U3281" s="381"/>
      <c r="V3281" s="382">
        <v>13.5</v>
      </c>
      <c r="W3281" s="382">
        <v>0</v>
      </c>
      <c r="X3281" s="381">
        <v>3.2049833729216153</v>
      </c>
      <c r="Y3281" s="381">
        <v>3.2066508313539193</v>
      </c>
      <c r="Z3281" s="381">
        <v>-1.667458432304038E-3</v>
      </c>
      <c r="AA3281" s="381">
        <v>0</v>
      </c>
      <c r="AB3281" s="381">
        <v>0</v>
      </c>
      <c r="AC3281" s="382">
        <v>3.2066508313539193</v>
      </c>
      <c r="AD3281" s="382">
        <v>0</v>
      </c>
      <c r="AE3281" s="381" t="s">
        <v>168</v>
      </c>
    </row>
    <row r="3282" spans="1:31" ht="15" customHeight="1" x14ac:dyDescent="0.25">
      <c r="A3282" s="20" t="s">
        <v>4868</v>
      </c>
      <c r="B3282" s="20" t="s">
        <v>4868</v>
      </c>
      <c r="C3282" s="20" t="s">
        <v>4869</v>
      </c>
      <c r="D3282" s="378" t="s">
        <v>4899</v>
      </c>
      <c r="E3282" s="384">
        <v>45135</v>
      </c>
      <c r="F3282" s="384">
        <v>46962</v>
      </c>
      <c r="G3282" s="378" t="s">
        <v>439</v>
      </c>
      <c r="H3282" s="378" t="s">
        <v>4891</v>
      </c>
      <c r="I3282" s="378" t="s">
        <v>162</v>
      </c>
      <c r="J3282" s="20" t="s">
        <v>163</v>
      </c>
      <c r="K3282" s="378" t="s">
        <v>4892</v>
      </c>
      <c r="L3282" s="378" t="s">
        <v>2789</v>
      </c>
      <c r="M3282" s="381"/>
      <c r="N3282" s="381">
        <v>4.46</v>
      </c>
      <c r="O3282" s="380"/>
      <c r="P3282" s="380"/>
      <c r="Q3282" s="381">
        <v>13.49325</v>
      </c>
      <c r="R3282" s="381">
        <v>13.5</v>
      </c>
      <c r="S3282" s="381">
        <v>-6.7499999999999999E-3</v>
      </c>
      <c r="T3282" s="381"/>
      <c r="U3282" s="381"/>
      <c r="V3282" s="382">
        <v>13.5</v>
      </c>
      <c r="W3282" s="382">
        <v>0</v>
      </c>
      <c r="X3282" s="381">
        <v>3.0253923766816144</v>
      </c>
      <c r="Y3282" s="381">
        <v>3.0269058295964126</v>
      </c>
      <c r="Z3282" s="381">
        <v>-1.5134529147982064E-3</v>
      </c>
      <c r="AA3282" s="381">
        <v>0</v>
      </c>
      <c r="AB3282" s="381">
        <v>0</v>
      </c>
      <c r="AC3282" s="382">
        <v>3.0269058295964126</v>
      </c>
      <c r="AD3282" s="382">
        <v>0</v>
      </c>
      <c r="AE3282" s="381" t="s">
        <v>168</v>
      </c>
    </row>
    <row r="3283" spans="1:31" ht="15" customHeight="1" x14ac:dyDescent="0.25">
      <c r="A3283" s="20" t="s">
        <v>4868</v>
      </c>
      <c r="B3283" s="20" t="s">
        <v>4868</v>
      </c>
      <c r="C3283" s="20" t="s">
        <v>4869</v>
      </c>
      <c r="D3283" s="378" t="s">
        <v>4900</v>
      </c>
      <c r="E3283" s="384">
        <v>45135</v>
      </c>
      <c r="F3283" s="384">
        <v>46962</v>
      </c>
      <c r="G3283" s="378" t="s">
        <v>439</v>
      </c>
      <c r="H3283" s="378" t="s">
        <v>4891</v>
      </c>
      <c r="I3283" s="378" t="s">
        <v>162</v>
      </c>
      <c r="J3283" s="20" t="s">
        <v>163</v>
      </c>
      <c r="K3283" s="378" t="s">
        <v>4892</v>
      </c>
      <c r="L3283" s="378" t="s">
        <v>2789</v>
      </c>
      <c r="M3283" s="381"/>
      <c r="N3283" s="381">
        <v>4.5999999999999996</v>
      </c>
      <c r="O3283" s="380"/>
      <c r="P3283" s="380"/>
      <c r="Q3283" s="381">
        <v>14.49329</v>
      </c>
      <c r="R3283" s="381">
        <v>14.5</v>
      </c>
      <c r="S3283" s="381">
        <v>-6.7099999999999998E-3</v>
      </c>
      <c r="T3283" s="381"/>
      <c r="U3283" s="381"/>
      <c r="V3283" s="382">
        <v>14.5</v>
      </c>
      <c r="W3283" s="382">
        <v>0</v>
      </c>
      <c r="X3283" s="381">
        <v>3.1507152173913044</v>
      </c>
      <c r="Y3283" s="381">
        <v>3.1521739130434785</v>
      </c>
      <c r="Z3283" s="381">
        <v>-1.4586956521739131E-3</v>
      </c>
      <c r="AA3283" s="381">
        <v>0</v>
      </c>
      <c r="AB3283" s="381">
        <v>0</v>
      </c>
      <c r="AC3283" s="382">
        <v>3.1521739130434785</v>
      </c>
      <c r="AD3283" s="382">
        <v>0</v>
      </c>
      <c r="AE3283" s="381" t="s">
        <v>168</v>
      </c>
    </row>
    <row r="3284" spans="1:31" ht="15" customHeight="1" x14ac:dyDescent="0.25">
      <c r="A3284" s="20" t="s">
        <v>4868</v>
      </c>
      <c r="B3284" s="20" t="s">
        <v>4868</v>
      </c>
      <c r="C3284" s="20" t="s">
        <v>4869</v>
      </c>
      <c r="D3284" s="378" t="s">
        <v>4901</v>
      </c>
      <c r="E3284" s="384">
        <v>45135</v>
      </c>
      <c r="F3284" s="384">
        <v>46962</v>
      </c>
      <c r="G3284" s="378" t="s">
        <v>439</v>
      </c>
      <c r="H3284" s="378" t="s">
        <v>4891</v>
      </c>
      <c r="I3284" s="378" t="s">
        <v>162</v>
      </c>
      <c r="J3284" s="20" t="s">
        <v>163</v>
      </c>
      <c r="K3284" s="378" t="s">
        <v>4892</v>
      </c>
      <c r="L3284" s="378" t="s">
        <v>2789</v>
      </c>
      <c r="M3284" s="381"/>
      <c r="N3284" s="381">
        <v>4.99</v>
      </c>
      <c r="O3284" s="380"/>
      <c r="P3284" s="380"/>
      <c r="Q3284" s="381">
        <v>15.493600000000001</v>
      </c>
      <c r="R3284" s="381">
        <v>15.5</v>
      </c>
      <c r="S3284" s="381">
        <v>-6.4000000000000003E-3</v>
      </c>
      <c r="T3284" s="381"/>
      <c r="U3284" s="381"/>
      <c r="V3284" s="382">
        <v>15.5</v>
      </c>
      <c r="W3284" s="382">
        <v>0</v>
      </c>
      <c r="X3284" s="381">
        <v>3.104929859719439</v>
      </c>
      <c r="Y3284" s="381">
        <v>3.1062124248496992</v>
      </c>
      <c r="Z3284" s="381">
        <v>-1.282565130260521E-3</v>
      </c>
      <c r="AA3284" s="381">
        <v>0</v>
      </c>
      <c r="AB3284" s="381">
        <v>0</v>
      </c>
      <c r="AC3284" s="382">
        <v>3.1062124248496992</v>
      </c>
      <c r="AD3284" s="382">
        <v>0</v>
      </c>
      <c r="AE3284" s="381" t="s">
        <v>168</v>
      </c>
    </row>
    <row r="3285" spans="1:31" ht="15" customHeight="1" x14ac:dyDescent="0.25">
      <c r="A3285" s="20" t="s">
        <v>4868</v>
      </c>
      <c r="B3285" s="20" t="s">
        <v>4868</v>
      </c>
      <c r="C3285" s="20" t="s">
        <v>4869</v>
      </c>
      <c r="D3285" s="378" t="s">
        <v>4902</v>
      </c>
      <c r="E3285" s="384">
        <v>45135</v>
      </c>
      <c r="F3285" s="384">
        <v>46962</v>
      </c>
      <c r="G3285" s="378" t="s">
        <v>439</v>
      </c>
      <c r="H3285" s="378" t="s">
        <v>4891</v>
      </c>
      <c r="I3285" s="378" t="s">
        <v>162</v>
      </c>
      <c r="J3285" s="20" t="s">
        <v>163</v>
      </c>
      <c r="K3285" s="378" t="s">
        <v>4892</v>
      </c>
      <c r="L3285" s="378" t="s">
        <v>2789</v>
      </c>
      <c r="M3285" s="381"/>
      <c r="N3285" s="381">
        <v>4.13</v>
      </c>
      <c r="O3285" s="380"/>
      <c r="P3285" s="380"/>
      <c r="Q3285" s="381">
        <v>12.69478</v>
      </c>
      <c r="R3285" s="381">
        <v>12.7</v>
      </c>
      <c r="S3285" s="381">
        <v>-5.2199999999999998E-3</v>
      </c>
      <c r="T3285" s="381"/>
      <c r="U3285" s="381"/>
      <c r="V3285" s="382">
        <v>12.7</v>
      </c>
      <c r="W3285" s="382">
        <v>0</v>
      </c>
      <c r="X3285" s="381">
        <v>3.0737966101694916</v>
      </c>
      <c r="Y3285" s="381">
        <v>3.0750605326876514</v>
      </c>
      <c r="Z3285" s="381">
        <v>-1.2639225181598063E-3</v>
      </c>
      <c r="AA3285" s="381">
        <v>0</v>
      </c>
      <c r="AB3285" s="381">
        <v>0</v>
      </c>
      <c r="AC3285" s="382">
        <v>3.0750605326876514</v>
      </c>
      <c r="AD3285" s="382">
        <v>0</v>
      </c>
      <c r="AE3285" s="381" t="s">
        <v>168</v>
      </c>
    </row>
    <row r="3286" spans="1:31" ht="15" customHeight="1" x14ac:dyDescent="0.25">
      <c r="A3286" s="20" t="s">
        <v>4868</v>
      </c>
      <c r="B3286" s="20" t="s">
        <v>4868</v>
      </c>
      <c r="C3286" s="20" t="s">
        <v>4869</v>
      </c>
      <c r="D3286" s="378" t="s">
        <v>4903</v>
      </c>
      <c r="E3286" s="384">
        <v>45135</v>
      </c>
      <c r="F3286" s="384">
        <v>46962</v>
      </c>
      <c r="G3286" s="378" t="s">
        <v>439</v>
      </c>
      <c r="H3286" s="378" t="s">
        <v>4891</v>
      </c>
      <c r="I3286" s="378" t="s">
        <v>162</v>
      </c>
      <c r="J3286" s="20" t="s">
        <v>163</v>
      </c>
      <c r="K3286" s="378" t="s">
        <v>4892</v>
      </c>
      <c r="L3286" s="378" t="s">
        <v>2789</v>
      </c>
      <c r="M3286" s="381"/>
      <c r="N3286" s="381">
        <v>4.5199999999999996</v>
      </c>
      <c r="O3286" s="380"/>
      <c r="P3286" s="380"/>
      <c r="Q3286" s="381">
        <v>13.695089999999999</v>
      </c>
      <c r="R3286" s="381">
        <v>13.7</v>
      </c>
      <c r="S3286" s="381">
        <v>-4.9100000000000003E-3</v>
      </c>
      <c r="T3286" s="381"/>
      <c r="U3286" s="381"/>
      <c r="V3286" s="382">
        <v>13.7</v>
      </c>
      <c r="W3286" s="382">
        <v>0</v>
      </c>
      <c r="X3286" s="381">
        <v>3.0298871681415931</v>
      </c>
      <c r="Y3286" s="381">
        <v>3.0309734513274336</v>
      </c>
      <c r="Z3286" s="381">
        <v>-1.0862831858407082E-3</v>
      </c>
      <c r="AA3286" s="381">
        <v>0</v>
      </c>
      <c r="AB3286" s="381">
        <v>0</v>
      </c>
      <c r="AC3286" s="382">
        <v>3.0309734513274336</v>
      </c>
      <c r="AD3286" s="382">
        <v>0</v>
      </c>
      <c r="AE3286" s="381" t="s">
        <v>168</v>
      </c>
    </row>
    <row r="3287" spans="1:31" ht="15" customHeight="1" x14ac:dyDescent="0.25">
      <c r="A3287" s="20" t="s">
        <v>4868</v>
      </c>
      <c r="B3287" s="20" t="s">
        <v>4868</v>
      </c>
      <c r="C3287" s="20" t="s">
        <v>4869</v>
      </c>
      <c r="D3287" s="378" t="s">
        <v>4904</v>
      </c>
      <c r="E3287" s="384">
        <v>45135</v>
      </c>
      <c r="F3287" s="384">
        <v>46962</v>
      </c>
      <c r="G3287" s="378" t="s">
        <v>439</v>
      </c>
      <c r="H3287" s="378" t="s">
        <v>4891</v>
      </c>
      <c r="I3287" s="378" t="s">
        <v>162</v>
      </c>
      <c r="J3287" s="20" t="s">
        <v>163</v>
      </c>
      <c r="K3287" s="378" t="s">
        <v>4892</v>
      </c>
      <c r="L3287" s="378" t="s">
        <v>2789</v>
      </c>
      <c r="M3287" s="381"/>
      <c r="N3287" s="381">
        <v>5.64</v>
      </c>
      <c r="O3287" s="380"/>
      <c r="P3287" s="380"/>
      <c r="Q3287" s="381">
        <v>16.594190000000001</v>
      </c>
      <c r="R3287" s="381">
        <v>16.600000000000001</v>
      </c>
      <c r="S3287" s="381">
        <v>-5.8100000000000001E-3</v>
      </c>
      <c r="T3287" s="381"/>
      <c r="U3287" s="381"/>
      <c r="V3287" s="382">
        <v>16.600000000000001</v>
      </c>
      <c r="W3287" s="382">
        <v>0</v>
      </c>
      <c r="X3287" s="381">
        <v>2.9422322695035463</v>
      </c>
      <c r="Y3287" s="381">
        <v>2.9432624113475181</v>
      </c>
      <c r="Z3287" s="381">
        <v>-1.0301418439716313E-3</v>
      </c>
      <c r="AA3287" s="381">
        <v>0</v>
      </c>
      <c r="AB3287" s="381">
        <v>0</v>
      </c>
      <c r="AC3287" s="382">
        <v>2.9432624113475181</v>
      </c>
      <c r="AD3287" s="382">
        <v>0</v>
      </c>
      <c r="AE3287" s="381" t="s">
        <v>168</v>
      </c>
    </row>
    <row r="3288" spans="1:31" ht="15" customHeight="1" x14ac:dyDescent="0.25">
      <c r="A3288" s="20" t="s">
        <v>4868</v>
      </c>
      <c r="B3288" s="20" t="s">
        <v>4868</v>
      </c>
      <c r="C3288" s="20" t="s">
        <v>4869</v>
      </c>
      <c r="D3288" s="378" t="s">
        <v>4905</v>
      </c>
      <c r="E3288" s="384">
        <v>45135</v>
      </c>
      <c r="F3288" s="384">
        <v>46962</v>
      </c>
      <c r="G3288" s="378" t="s">
        <v>439</v>
      </c>
      <c r="H3288" s="378" t="s">
        <v>4891</v>
      </c>
      <c r="I3288" s="378" t="s">
        <v>162</v>
      </c>
      <c r="J3288" s="20" t="s">
        <v>163</v>
      </c>
      <c r="K3288" s="378" t="s">
        <v>4892</v>
      </c>
      <c r="L3288" s="378" t="s">
        <v>2789</v>
      </c>
      <c r="M3288" s="381"/>
      <c r="N3288" s="381">
        <v>5.78</v>
      </c>
      <c r="O3288" s="380"/>
      <c r="P3288" s="380"/>
      <c r="Q3288" s="381">
        <v>17.594230000000003</v>
      </c>
      <c r="R3288" s="381">
        <v>17.600000000000001</v>
      </c>
      <c r="S3288" s="381">
        <v>-5.77E-3</v>
      </c>
      <c r="T3288" s="381"/>
      <c r="U3288" s="381"/>
      <c r="V3288" s="382">
        <v>17.600000000000001</v>
      </c>
      <c r="W3288" s="382">
        <v>0</v>
      </c>
      <c r="X3288" s="381">
        <v>3.0439844290657443</v>
      </c>
      <c r="Y3288" s="381">
        <v>3.0449826989619377</v>
      </c>
      <c r="Z3288" s="381">
        <v>-9.9826989619377152E-4</v>
      </c>
      <c r="AA3288" s="381">
        <v>0</v>
      </c>
      <c r="AB3288" s="381">
        <v>0</v>
      </c>
      <c r="AC3288" s="382">
        <v>3.0449826989619377</v>
      </c>
      <c r="AD3288" s="382">
        <v>0</v>
      </c>
      <c r="AE3288" s="381" t="s">
        <v>168</v>
      </c>
    </row>
    <row r="3289" spans="1:31" ht="15" customHeight="1" x14ac:dyDescent="0.25">
      <c r="A3289" s="20" t="s">
        <v>4868</v>
      </c>
      <c r="B3289" s="20" t="s">
        <v>4868</v>
      </c>
      <c r="C3289" s="20" t="s">
        <v>4869</v>
      </c>
      <c r="D3289" s="378" t="s">
        <v>4906</v>
      </c>
      <c r="E3289" s="384">
        <v>45135</v>
      </c>
      <c r="F3289" s="384">
        <v>46962</v>
      </c>
      <c r="G3289" s="378" t="s">
        <v>439</v>
      </c>
      <c r="H3289" s="378" t="s">
        <v>4891</v>
      </c>
      <c r="I3289" s="378" t="s">
        <v>162</v>
      </c>
      <c r="J3289" s="20" t="s">
        <v>163</v>
      </c>
      <c r="K3289" s="378" t="s">
        <v>4892</v>
      </c>
      <c r="L3289" s="378" t="s">
        <v>2789</v>
      </c>
      <c r="M3289" s="381"/>
      <c r="N3289" s="381">
        <v>6.03</v>
      </c>
      <c r="O3289" s="380"/>
      <c r="P3289" s="380"/>
      <c r="Q3289" s="381">
        <v>17.5945</v>
      </c>
      <c r="R3289" s="381">
        <v>17.600000000000001</v>
      </c>
      <c r="S3289" s="381">
        <v>-5.4999999999999997E-3</v>
      </c>
      <c r="T3289" s="381"/>
      <c r="U3289" s="381"/>
      <c r="V3289" s="382">
        <v>17.600000000000001</v>
      </c>
      <c r="W3289" s="382">
        <v>0</v>
      </c>
      <c r="X3289" s="381">
        <v>2.917827529021559</v>
      </c>
      <c r="Y3289" s="381">
        <v>2.9187396351575456</v>
      </c>
      <c r="Z3289" s="381">
        <v>-9.1210613598673293E-4</v>
      </c>
      <c r="AA3289" s="381">
        <v>0</v>
      </c>
      <c r="AB3289" s="381">
        <v>0</v>
      </c>
      <c r="AC3289" s="382">
        <v>2.9187396351575456</v>
      </c>
      <c r="AD3289" s="382">
        <v>0</v>
      </c>
      <c r="AE3289" s="381" t="s">
        <v>168</v>
      </c>
    </row>
    <row r="3290" spans="1:31" ht="15" customHeight="1" x14ac:dyDescent="0.25">
      <c r="A3290" s="20" t="s">
        <v>4868</v>
      </c>
      <c r="B3290" s="20" t="s">
        <v>4868</v>
      </c>
      <c r="C3290" s="20" t="s">
        <v>4869</v>
      </c>
      <c r="D3290" s="378" t="s">
        <v>4907</v>
      </c>
      <c r="E3290" s="384">
        <v>45135</v>
      </c>
      <c r="F3290" s="384">
        <v>46962</v>
      </c>
      <c r="G3290" s="378" t="s">
        <v>439</v>
      </c>
      <c r="H3290" s="378" t="s">
        <v>4891</v>
      </c>
      <c r="I3290" s="378" t="s">
        <v>162</v>
      </c>
      <c r="J3290" s="20" t="s">
        <v>163</v>
      </c>
      <c r="K3290" s="378" t="s">
        <v>4892</v>
      </c>
      <c r="L3290" s="378" t="s">
        <v>2789</v>
      </c>
      <c r="M3290" s="381"/>
      <c r="N3290" s="381">
        <v>6.17</v>
      </c>
      <c r="O3290" s="380"/>
      <c r="P3290" s="380"/>
      <c r="Q3290" s="381">
        <v>18.594540000000002</v>
      </c>
      <c r="R3290" s="381">
        <v>18.600000000000001</v>
      </c>
      <c r="S3290" s="381">
        <v>-5.4599999999999996E-3</v>
      </c>
      <c r="T3290" s="381"/>
      <c r="U3290" s="381"/>
      <c r="V3290" s="382">
        <v>18.600000000000001</v>
      </c>
      <c r="W3290" s="382">
        <v>0</v>
      </c>
      <c r="X3290" s="381">
        <v>3.0137017828200978</v>
      </c>
      <c r="Y3290" s="381">
        <v>3.0145867098865482</v>
      </c>
      <c r="Z3290" s="381">
        <v>-8.8492706645056725E-4</v>
      </c>
      <c r="AA3290" s="381">
        <v>0</v>
      </c>
      <c r="AB3290" s="381">
        <v>0</v>
      </c>
      <c r="AC3290" s="382">
        <v>3.0145867098865482</v>
      </c>
      <c r="AD3290" s="382">
        <v>0</v>
      </c>
      <c r="AE3290" s="381" t="s">
        <v>168</v>
      </c>
    </row>
    <row r="3291" spans="1:31" ht="15" customHeight="1" x14ac:dyDescent="0.25">
      <c r="A3291" s="20" t="s">
        <v>4868</v>
      </c>
      <c r="B3291" s="20" t="s">
        <v>4868</v>
      </c>
      <c r="C3291" s="20" t="s">
        <v>4869</v>
      </c>
      <c r="D3291" s="378" t="s">
        <v>4908</v>
      </c>
      <c r="E3291" s="384">
        <v>45076</v>
      </c>
      <c r="F3291" s="384">
        <v>46903</v>
      </c>
      <c r="G3291" s="378" t="s">
        <v>439</v>
      </c>
      <c r="H3291" s="378" t="s">
        <v>4871</v>
      </c>
      <c r="I3291" s="378" t="s">
        <v>162</v>
      </c>
      <c r="J3291" s="20" t="s">
        <v>163</v>
      </c>
      <c r="K3291" s="378" t="s">
        <v>4872</v>
      </c>
      <c r="L3291" s="378" t="s">
        <v>2789</v>
      </c>
      <c r="M3291" s="381"/>
      <c r="N3291" s="381">
        <v>2.4900000000000002</v>
      </c>
      <c r="O3291" s="380"/>
      <c r="P3291" s="380"/>
      <c r="Q3291" s="381">
        <v>8.39771</v>
      </c>
      <c r="R3291" s="381">
        <v>8.4</v>
      </c>
      <c r="S3291" s="381">
        <v>-2.2899999999999999E-3</v>
      </c>
      <c r="T3291" s="381"/>
      <c r="U3291" s="381"/>
      <c r="V3291" s="382">
        <v>8.4</v>
      </c>
      <c r="W3291" s="382">
        <v>0</v>
      </c>
      <c r="X3291" s="381">
        <v>3.3725742971887547</v>
      </c>
      <c r="Y3291" s="381">
        <v>3.3734939759036142</v>
      </c>
      <c r="Z3291" s="381">
        <v>-9.1967871485943765E-4</v>
      </c>
      <c r="AA3291" s="381">
        <v>0</v>
      </c>
      <c r="AB3291" s="381">
        <v>0</v>
      </c>
      <c r="AC3291" s="382">
        <v>3.3734939759036142</v>
      </c>
      <c r="AD3291" s="382">
        <v>0</v>
      </c>
      <c r="AE3291" s="381" t="s">
        <v>168</v>
      </c>
    </row>
    <row r="3292" spans="1:31" ht="15" customHeight="1" x14ac:dyDescent="0.25">
      <c r="A3292" s="20" t="s">
        <v>4868</v>
      </c>
      <c r="B3292" s="20" t="s">
        <v>4868</v>
      </c>
      <c r="C3292" s="20" t="s">
        <v>4869</v>
      </c>
      <c r="D3292" s="378" t="s">
        <v>4909</v>
      </c>
      <c r="E3292" s="384">
        <v>45135</v>
      </c>
      <c r="F3292" s="384">
        <v>46962</v>
      </c>
      <c r="G3292" s="378" t="s">
        <v>439</v>
      </c>
      <c r="H3292" s="378" t="s">
        <v>4891</v>
      </c>
      <c r="I3292" s="378" t="s">
        <v>162</v>
      </c>
      <c r="J3292" s="20" t="s">
        <v>163</v>
      </c>
      <c r="K3292" s="378" t="s">
        <v>4892</v>
      </c>
      <c r="L3292" s="378" t="s">
        <v>2789</v>
      </c>
      <c r="M3292" s="381"/>
      <c r="N3292" s="381">
        <v>6.56</v>
      </c>
      <c r="O3292" s="380"/>
      <c r="P3292" s="380"/>
      <c r="Q3292" s="381">
        <v>19.594850000000001</v>
      </c>
      <c r="R3292" s="381">
        <v>19.600000000000001</v>
      </c>
      <c r="S3292" s="381">
        <v>-5.1500000000000001E-3</v>
      </c>
      <c r="T3292" s="381"/>
      <c r="U3292" s="381"/>
      <c r="V3292" s="382">
        <v>19.600000000000001</v>
      </c>
      <c r="W3292" s="382">
        <v>0</v>
      </c>
      <c r="X3292" s="381">
        <v>2.987019817073171</v>
      </c>
      <c r="Y3292" s="381">
        <v>2.9878048780487809</v>
      </c>
      <c r="Z3292" s="381">
        <v>-7.8506097560975614E-4</v>
      </c>
      <c r="AA3292" s="381">
        <v>0</v>
      </c>
      <c r="AB3292" s="381">
        <v>0</v>
      </c>
      <c r="AC3292" s="382">
        <v>2.9878048780487809</v>
      </c>
      <c r="AD3292" s="382">
        <v>0</v>
      </c>
      <c r="AE3292" s="381" t="s">
        <v>168</v>
      </c>
    </row>
    <row r="3293" spans="1:31" ht="15" customHeight="1" x14ac:dyDescent="0.25">
      <c r="A3293" s="20" t="s">
        <v>4868</v>
      </c>
      <c r="B3293" s="20" t="s">
        <v>4868</v>
      </c>
      <c r="C3293" s="20" t="s">
        <v>4869</v>
      </c>
      <c r="D3293" s="378" t="s">
        <v>4910</v>
      </c>
      <c r="E3293" s="384">
        <v>45135</v>
      </c>
      <c r="F3293" s="384">
        <v>46962</v>
      </c>
      <c r="G3293" s="378" t="s">
        <v>439</v>
      </c>
      <c r="H3293" s="378" t="s">
        <v>4891</v>
      </c>
      <c r="I3293" s="378" t="s">
        <v>162</v>
      </c>
      <c r="J3293" s="20" t="s">
        <v>163</v>
      </c>
      <c r="K3293" s="378" t="s">
        <v>4892</v>
      </c>
      <c r="L3293" s="378" t="s">
        <v>2789</v>
      </c>
      <c r="M3293" s="381"/>
      <c r="N3293" s="381">
        <v>6.95</v>
      </c>
      <c r="O3293" s="380"/>
      <c r="P3293" s="380"/>
      <c r="Q3293" s="381">
        <v>20.595170000000003</v>
      </c>
      <c r="R3293" s="381">
        <v>20.6</v>
      </c>
      <c r="S3293" s="381">
        <v>-4.8300000000000001E-3</v>
      </c>
      <c r="T3293" s="381"/>
      <c r="U3293" s="381"/>
      <c r="V3293" s="382">
        <v>20.6</v>
      </c>
      <c r="W3293" s="382">
        <v>0</v>
      </c>
      <c r="X3293" s="381">
        <v>2.9633338129496405</v>
      </c>
      <c r="Y3293" s="381">
        <v>2.9640287769784175</v>
      </c>
      <c r="Z3293" s="381">
        <v>-6.9496402877697837E-4</v>
      </c>
      <c r="AA3293" s="381">
        <v>0</v>
      </c>
      <c r="AB3293" s="381">
        <v>0</v>
      </c>
      <c r="AC3293" s="382">
        <v>2.9640287769784175</v>
      </c>
      <c r="AD3293" s="382">
        <v>0</v>
      </c>
      <c r="AE3293" s="381" t="s">
        <v>168</v>
      </c>
    </row>
    <row r="3294" spans="1:31" ht="15" customHeight="1" x14ac:dyDescent="0.25">
      <c r="A3294" s="20" t="s">
        <v>4868</v>
      </c>
      <c r="B3294" s="20" t="s">
        <v>4868</v>
      </c>
      <c r="C3294" s="20" t="s">
        <v>4869</v>
      </c>
      <c r="D3294" s="378" t="s">
        <v>4911</v>
      </c>
      <c r="E3294" s="384">
        <v>45076</v>
      </c>
      <c r="F3294" s="384">
        <v>46903</v>
      </c>
      <c r="G3294" s="378" t="s">
        <v>439</v>
      </c>
      <c r="H3294" s="378" t="s">
        <v>4871</v>
      </c>
      <c r="I3294" s="378" t="s">
        <v>162</v>
      </c>
      <c r="J3294" s="20" t="s">
        <v>163</v>
      </c>
      <c r="K3294" s="378" t="s">
        <v>4872</v>
      </c>
      <c r="L3294" s="378" t="s">
        <v>2789</v>
      </c>
      <c r="M3294" s="381"/>
      <c r="N3294" s="381">
        <v>2.88</v>
      </c>
      <c r="O3294" s="380"/>
      <c r="P3294" s="380"/>
      <c r="Q3294" s="381">
        <v>9.4280200000000001</v>
      </c>
      <c r="R3294" s="381">
        <v>9.43</v>
      </c>
      <c r="S3294" s="381">
        <v>-1.98E-3</v>
      </c>
      <c r="T3294" s="381"/>
      <c r="U3294" s="381"/>
      <c r="V3294" s="382">
        <v>9.43</v>
      </c>
      <c r="W3294" s="382">
        <v>0</v>
      </c>
      <c r="X3294" s="381">
        <v>3.2736180555555556</v>
      </c>
      <c r="Y3294" s="381">
        <v>3.2743055555555554</v>
      </c>
      <c r="Z3294" s="381">
        <v>-6.8750000000000007E-4</v>
      </c>
      <c r="AA3294" s="381">
        <v>0</v>
      </c>
      <c r="AB3294" s="381">
        <v>0</v>
      </c>
      <c r="AC3294" s="382">
        <v>3.2743055555555554</v>
      </c>
      <c r="AD3294" s="382">
        <v>0</v>
      </c>
      <c r="AE3294" s="381" t="s">
        <v>168</v>
      </c>
    </row>
    <row r="3295" spans="1:31" ht="15" customHeight="1" x14ac:dyDescent="0.25">
      <c r="A3295" s="20" t="s">
        <v>4868</v>
      </c>
      <c r="B3295" s="20" t="s">
        <v>4868</v>
      </c>
      <c r="C3295" s="20" t="s">
        <v>4869</v>
      </c>
      <c r="D3295" s="378" t="s">
        <v>4912</v>
      </c>
      <c r="E3295" s="384">
        <v>45135</v>
      </c>
      <c r="F3295" s="384">
        <v>46962</v>
      </c>
      <c r="G3295" s="378" t="s">
        <v>439</v>
      </c>
      <c r="H3295" s="378" t="s">
        <v>4891</v>
      </c>
      <c r="I3295" s="378" t="s">
        <v>162</v>
      </c>
      <c r="J3295" s="20" t="s">
        <v>163</v>
      </c>
      <c r="K3295" s="378" t="s">
        <v>4892</v>
      </c>
      <c r="L3295" s="378" t="s">
        <v>2789</v>
      </c>
      <c r="M3295" s="381"/>
      <c r="N3295" s="381">
        <v>7.35</v>
      </c>
      <c r="O3295" s="380"/>
      <c r="P3295" s="380"/>
      <c r="Q3295" s="381">
        <v>21.69548</v>
      </c>
      <c r="R3295" s="381">
        <v>21.7</v>
      </c>
      <c r="S3295" s="381">
        <v>-4.5199999999999997E-3</v>
      </c>
      <c r="T3295" s="381"/>
      <c r="U3295" s="381"/>
      <c r="V3295" s="382">
        <v>21.7</v>
      </c>
      <c r="W3295" s="382">
        <v>0</v>
      </c>
      <c r="X3295" s="381">
        <v>2.951765986394558</v>
      </c>
      <c r="Y3295" s="381">
        <v>2.9523809523809526</v>
      </c>
      <c r="Z3295" s="381">
        <v>-6.1496598639455781E-4</v>
      </c>
      <c r="AA3295" s="381">
        <v>0</v>
      </c>
      <c r="AB3295" s="381">
        <v>0</v>
      </c>
      <c r="AC3295" s="382">
        <v>2.9523809523809526</v>
      </c>
      <c r="AD3295" s="382">
        <v>0</v>
      </c>
      <c r="AE3295" s="381" t="s">
        <v>168</v>
      </c>
    </row>
    <row r="3296" spans="1:31" ht="15" customHeight="1" x14ac:dyDescent="0.25">
      <c r="A3296" s="20" t="s">
        <v>4868</v>
      </c>
      <c r="B3296" s="20" t="s">
        <v>4868</v>
      </c>
      <c r="C3296" s="20" t="s">
        <v>4869</v>
      </c>
      <c r="D3296" s="378" t="s">
        <v>4913</v>
      </c>
      <c r="E3296" s="384">
        <v>45135</v>
      </c>
      <c r="F3296" s="384">
        <v>46962</v>
      </c>
      <c r="G3296" s="378" t="s">
        <v>439</v>
      </c>
      <c r="H3296" s="378" t="s">
        <v>4891</v>
      </c>
      <c r="I3296" s="378" t="s">
        <v>162</v>
      </c>
      <c r="J3296" s="20" t="s">
        <v>163</v>
      </c>
      <c r="K3296" s="378" t="s">
        <v>4892</v>
      </c>
      <c r="L3296" s="378" t="s">
        <v>2789</v>
      </c>
      <c r="M3296" s="381"/>
      <c r="N3296" s="381">
        <v>7.74</v>
      </c>
      <c r="O3296" s="380"/>
      <c r="P3296" s="380"/>
      <c r="Q3296" s="381">
        <v>22.695789999999999</v>
      </c>
      <c r="R3296" s="381">
        <v>22.7</v>
      </c>
      <c r="S3296" s="381">
        <v>-4.2100000000000002E-3</v>
      </c>
      <c r="T3296" s="381"/>
      <c r="U3296" s="381"/>
      <c r="V3296" s="382">
        <v>22.7</v>
      </c>
      <c r="W3296" s="382">
        <v>0</v>
      </c>
      <c r="X3296" s="381">
        <v>2.9322726098191212</v>
      </c>
      <c r="Y3296" s="381">
        <v>2.9328165374677</v>
      </c>
      <c r="Z3296" s="381">
        <v>-5.4392764857881136E-4</v>
      </c>
      <c r="AA3296" s="381">
        <v>0</v>
      </c>
      <c r="AB3296" s="381">
        <v>0</v>
      </c>
      <c r="AC3296" s="382">
        <v>2.9328165374677</v>
      </c>
      <c r="AD3296" s="382">
        <v>0</v>
      </c>
      <c r="AE3296" s="381" t="s">
        <v>168</v>
      </c>
    </row>
    <row r="3297" spans="1:31" ht="15" customHeight="1" x14ac:dyDescent="0.25">
      <c r="A3297" s="20" t="s">
        <v>4868</v>
      </c>
      <c r="B3297" s="20" t="s">
        <v>4868</v>
      </c>
      <c r="C3297" s="20" t="s">
        <v>4869</v>
      </c>
      <c r="D3297" s="378" t="s">
        <v>4914</v>
      </c>
      <c r="E3297" s="384">
        <v>45076</v>
      </c>
      <c r="F3297" s="384">
        <v>46903</v>
      </c>
      <c r="G3297" s="378" t="s">
        <v>439</v>
      </c>
      <c r="H3297" s="378" t="s">
        <v>4871</v>
      </c>
      <c r="I3297" s="378" t="s">
        <v>162</v>
      </c>
      <c r="J3297" s="20" t="s">
        <v>163</v>
      </c>
      <c r="K3297" s="378" t="s">
        <v>4872</v>
      </c>
      <c r="L3297" s="378" t="s">
        <v>2789</v>
      </c>
      <c r="M3297" s="381"/>
      <c r="N3297" s="381">
        <v>3.12</v>
      </c>
      <c r="O3297" s="380"/>
      <c r="P3297" s="380"/>
      <c r="Q3297" s="381">
        <v>9.9982100000000003</v>
      </c>
      <c r="R3297" s="381">
        <v>10</v>
      </c>
      <c r="S3297" s="381">
        <v>-1.7899999999999999E-3</v>
      </c>
      <c r="T3297" s="381"/>
      <c r="U3297" s="381"/>
      <c r="V3297" s="382">
        <v>10</v>
      </c>
      <c r="W3297" s="382">
        <v>0</v>
      </c>
      <c r="X3297" s="381">
        <v>3.2045544871794873</v>
      </c>
      <c r="Y3297" s="381">
        <v>3.2051282051282048</v>
      </c>
      <c r="Z3297" s="381">
        <v>-5.7371794871794867E-4</v>
      </c>
      <c r="AA3297" s="381">
        <v>0</v>
      </c>
      <c r="AB3297" s="381">
        <v>0</v>
      </c>
      <c r="AC3297" s="382">
        <v>3.2051282051282048</v>
      </c>
      <c r="AD3297" s="382">
        <v>0</v>
      </c>
      <c r="AE3297" s="381" t="s">
        <v>168</v>
      </c>
    </row>
    <row r="3298" spans="1:31" ht="15" customHeight="1" x14ac:dyDescent="0.25">
      <c r="A3298" s="20" t="s">
        <v>4868</v>
      </c>
      <c r="B3298" s="20" t="s">
        <v>4868</v>
      </c>
      <c r="C3298" s="20" t="s">
        <v>4869</v>
      </c>
      <c r="D3298" s="378" t="s">
        <v>4915</v>
      </c>
      <c r="E3298" s="384">
        <v>45135</v>
      </c>
      <c r="F3298" s="384">
        <v>46962</v>
      </c>
      <c r="G3298" s="378" t="s">
        <v>439</v>
      </c>
      <c r="H3298" s="378" t="s">
        <v>4891</v>
      </c>
      <c r="I3298" s="378" t="s">
        <v>162</v>
      </c>
      <c r="J3298" s="20" t="s">
        <v>163</v>
      </c>
      <c r="K3298" s="378" t="s">
        <v>4892</v>
      </c>
      <c r="L3298" s="378" t="s">
        <v>2789</v>
      </c>
      <c r="M3298" s="381"/>
      <c r="N3298" s="381">
        <v>7.99</v>
      </c>
      <c r="O3298" s="380"/>
      <c r="P3298" s="380"/>
      <c r="Q3298" s="381">
        <v>22.696059999999999</v>
      </c>
      <c r="R3298" s="381">
        <v>22.7</v>
      </c>
      <c r="S3298" s="381">
        <v>-3.9399999999999999E-3</v>
      </c>
      <c r="T3298" s="381"/>
      <c r="U3298" s="381"/>
      <c r="V3298" s="382">
        <v>22.7</v>
      </c>
      <c r="W3298" s="382">
        <v>0</v>
      </c>
      <c r="X3298" s="381">
        <v>2.8405581977471837</v>
      </c>
      <c r="Y3298" s="381">
        <v>2.8410513141426783</v>
      </c>
      <c r="Z3298" s="381">
        <v>-4.9311639549436798E-4</v>
      </c>
      <c r="AA3298" s="381">
        <v>0</v>
      </c>
      <c r="AB3298" s="381">
        <v>0</v>
      </c>
      <c r="AC3298" s="382">
        <v>2.8410513141426783</v>
      </c>
      <c r="AD3298" s="382">
        <v>0</v>
      </c>
      <c r="AE3298" s="381" t="s">
        <v>168</v>
      </c>
    </row>
    <row r="3299" spans="1:31" ht="15" customHeight="1" x14ac:dyDescent="0.25">
      <c r="A3299" s="20" t="s">
        <v>4868</v>
      </c>
      <c r="B3299" s="20" t="s">
        <v>4868</v>
      </c>
      <c r="C3299" s="20" t="s">
        <v>4869</v>
      </c>
      <c r="D3299" s="378" t="s">
        <v>4916</v>
      </c>
      <c r="E3299" s="384">
        <v>45135</v>
      </c>
      <c r="F3299" s="384">
        <v>46962</v>
      </c>
      <c r="G3299" s="378" t="s">
        <v>439</v>
      </c>
      <c r="H3299" s="378" t="s">
        <v>4891</v>
      </c>
      <c r="I3299" s="378" t="s">
        <v>162</v>
      </c>
      <c r="J3299" s="20" t="s">
        <v>163</v>
      </c>
      <c r="K3299" s="378" t="s">
        <v>4892</v>
      </c>
      <c r="L3299" s="378" t="s">
        <v>2789</v>
      </c>
      <c r="M3299" s="381"/>
      <c r="N3299" s="381">
        <v>8.1300000000000008</v>
      </c>
      <c r="O3299" s="380"/>
      <c r="P3299" s="380"/>
      <c r="Q3299" s="381">
        <v>23.696110000000001</v>
      </c>
      <c r="R3299" s="381">
        <v>23.7</v>
      </c>
      <c r="S3299" s="381">
        <v>-3.8899999999999998E-3</v>
      </c>
      <c r="T3299" s="381"/>
      <c r="U3299" s="381"/>
      <c r="V3299" s="382">
        <v>23.7</v>
      </c>
      <c r="W3299" s="382">
        <v>0</v>
      </c>
      <c r="X3299" s="381">
        <v>2.9146506765067648</v>
      </c>
      <c r="Y3299" s="381">
        <v>2.9151291512915125</v>
      </c>
      <c r="Z3299" s="381">
        <v>-4.7847478474784743E-4</v>
      </c>
      <c r="AA3299" s="381">
        <v>0</v>
      </c>
      <c r="AB3299" s="381">
        <v>0</v>
      </c>
      <c r="AC3299" s="382">
        <v>2.9151291512915125</v>
      </c>
      <c r="AD3299" s="382">
        <v>0</v>
      </c>
      <c r="AE3299" s="381" t="s">
        <v>168</v>
      </c>
    </row>
    <row r="3300" spans="1:31" ht="15" customHeight="1" x14ac:dyDescent="0.25">
      <c r="A3300" s="20" t="s">
        <v>4868</v>
      </c>
      <c r="B3300" s="20" t="s">
        <v>4868</v>
      </c>
      <c r="C3300" s="20" t="s">
        <v>4869</v>
      </c>
      <c r="D3300" s="378" t="s">
        <v>4917</v>
      </c>
      <c r="E3300" s="384">
        <v>45076</v>
      </c>
      <c r="F3300" s="384">
        <v>46903</v>
      </c>
      <c r="G3300" s="378" t="s">
        <v>439</v>
      </c>
      <c r="H3300" s="378" t="s">
        <v>4871</v>
      </c>
      <c r="I3300" s="378" t="s">
        <v>162</v>
      </c>
      <c r="J3300" s="20" t="s">
        <v>163</v>
      </c>
      <c r="K3300" s="378" t="s">
        <v>4872</v>
      </c>
      <c r="L3300" s="378" t="s">
        <v>2789</v>
      </c>
      <c r="M3300" s="381"/>
      <c r="N3300" s="381">
        <v>3.27</v>
      </c>
      <c r="O3300" s="380"/>
      <c r="P3300" s="380"/>
      <c r="Q3300" s="381">
        <v>10.498329999999999</v>
      </c>
      <c r="R3300" s="381">
        <v>10.5</v>
      </c>
      <c r="S3300" s="381">
        <v>-1.67E-3</v>
      </c>
      <c r="T3300" s="381"/>
      <c r="U3300" s="381"/>
      <c r="V3300" s="382">
        <v>10.5</v>
      </c>
      <c r="W3300" s="382">
        <v>0</v>
      </c>
      <c r="X3300" s="381">
        <v>3.210498470948012</v>
      </c>
      <c r="Y3300" s="381">
        <v>3.2110091743119265</v>
      </c>
      <c r="Z3300" s="381">
        <v>-5.1070336391437308E-4</v>
      </c>
      <c r="AA3300" s="381">
        <v>0</v>
      </c>
      <c r="AB3300" s="381">
        <v>0</v>
      </c>
      <c r="AC3300" s="382">
        <v>3.2110091743119265</v>
      </c>
      <c r="AD3300" s="382">
        <v>0</v>
      </c>
      <c r="AE3300" s="381" t="s">
        <v>168</v>
      </c>
    </row>
    <row r="3301" spans="1:31" ht="15" customHeight="1" x14ac:dyDescent="0.25">
      <c r="A3301" s="20" t="s">
        <v>4868</v>
      </c>
      <c r="B3301" s="20" t="s">
        <v>4868</v>
      </c>
      <c r="C3301" s="20" t="s">
        <v>4869</v>
      </c>
      <c r="D3301" s="378" t="s">
        <v>4918</v>
      </c>
      <c r="E3301" s="384">
        <v>45076</v>
      </c>
      <c r="F3301" s="384">
        <v>46903</v>
      </c>
      <c r="G3301" s="378" t="s">
        <v>439</v>
      </c>
      <c r="H3301" s="378" t="s">
        <v>4871</v>
      </c>
      <c r="I3301" s="378" t="s">
        <v>162</v>
      </c>
      <c r="J3301" s="20" t="s">
        <v>163</v>
      </c>
      <c r="K3301" s="378" t="s">
        <v>4872</v>
      </c>
      <c r="L3301" s="378" t="s">
        <v>2789</v>
      </c>
      <c r="M3301" s="381"/>
      <c r="N3301" s="381">
        <v>3.43</v>
      </c>
      <c r="O3301" s="380"/>
      <c r="P3301" s="380"/>
      <c r="Q3301" s="381">
        <v>10.89846</v>
      </c>
      <c r="R3301" s="381">
        <v>10.9</v>
      </c>
      <c r="S3301" s="381">
        <v>-1.5399999999999999E-3</v>
      </c>
      <c r="T3301" s="381"/>
      <c r="U3301" s="381"/>
      <c r="V3301" s="382">
        <v>10.9</v>
      </c>
      <c r="W3301" s="382">
        <v>0</v>
      </c>
      <c r="X3301" s="381">
        <v>3.1773935860058309</v>
      </c>
      <c r="Y3301" s="381">
        <v>3.1778425655976674</v>
      </c>
      <c r="Z3301" s="381">
        <v>-4.4897959183673463E-4</v>
      </c>
      <c r="AA3301" s="381">
        <v>0</v>
      </c>
      <c r="AB3301" s="381">
        <v>0</v>
      </c>
      <c r="AC3301" s="382">
        <v>3.1778425655976674</v>
      </c>
      <c r="AD3301" s="382">
        <v>0</v>
      </c>
      <c r="AE3301" s="381" t="s">
        <v>168</v>
      </c>
    </row>
    <row r="3302" spans="1:31" ht="15" customHeight="1" x14ac:dyDescent="0.25">
      <c r="A3302" s="20" t="s">
        <v>4868</v>
      </c>
      <c r="B3302" s="20" t="s">
        <v>4868</v>
      </c>
      <c r="C3302" s="20" t="s">
        <v>4869</v>
      </c>
      <c r="D3302" s="378" t="s">
        <v>4919</v>
      </c>
      <c r="E3302" s="384">
        <v>45135</v>
      </c>
      <c r="F3302" s="384">
        <v>46962</v>
      </c>
      <c r="G3302" s="378" t="s">
        <v>439</v>
      </c>
      <c r="H3302" s="378" t="s">
        <v>4891</v>
      </c>
      <c r="I3302" s="378" t="s">
        <v>162</v>
      </c>
      <c r="J3302" s="20" t="s">
        <v>163</v>
      </c>
      <c r="K3302" s="378" t="s">
        <v>4892</v>
      </c>
      <c r="L3302" s="378" t="s">
        <v>2789</v>
      </c>
      <c r="M3302" s="381"/>
      <c r="N3302" s="381">
        <v>8.92</v>
      </c>
      <c r="O3302" s="380"/>
      <c r="P3302" s="380"/>
      <c r="Q3302" s="381">
        <v>25.79673</v>
      </c>
      <c r="R3302" s="381">
        <v>25.8</v>
      </c>
      <c r="S3302" s="381">
        <v>-3.2699999999999999E-3</v>
      </c>
      <c r="T3302" s="381"/>
      <c r="U3302" s="381"/>
      <c r="V3302" s="382">
        <v>25.8</v>
      </c>
      <c r="W3302" s="382">
        <v>0</v>
      </c>
      <c r="X3302" s="381">
        <v>2.8920100896860985</v>
      </c>
      <c r="Y3302" s="381">
        <v>2.8923766816143499</v>
      </c>
      <c r="Z3302" s="381">
        <v>-3.6659192825112108E-4</v>
      </c>
      <c r="AA3302" s="381">
        <v>0</v>
      </c>
      <c r="AB3302" s="381">
        <v>0</v>
      </c>
      <c r="AC3302" s="382">
        <v>2.8923766816143499</v>
      </c>
      <c r="AD3302" s="382">
        <v>0</v>
      </c>
      <c r="AE3302" s="381" t="s">
        <v>168</v>
      </c>
    </row>
    <row r="3303" spans="1:31" ht="15" customHeight="1" x14ac:dyDescent="0.25">
      <c r="A3303" s="20" t="s">
        <v>4868</v>
      </c>
      <c r="B3303" s="20" t="s">
        <v>4868</v>
      </c>
      <c r="C3303" s="20" t="s">
        <v>4869</v>
      </c>
      <c r="D3303" s="378" t="s">
        <v>4920</v>
      </c>
      <c r="E3303" s="384">
        <v>45135</v>
      </c>
      <c r="F3303" s="384">
        <v>46962</v>
      </c>
      <c r="G3303" s="378" t="s">
        <v>439</v>
      </c>
      <c r="H3303" s="378" t="s">
        <v>4891</v>
      </c>
      <c r="I3303" s="378" t="s">
        <v>162</v>
      </c>
      <c r="J3303" s="20" t="s">
        <v>163</v>
      </c>
      <c r="K3303" s="378" t="s">
        <v>4892</v>
      </c>
      <c r="L3303" s="378" t="s">
        <v>2789</v>
      </c>
      <c r="M3303" s="381"/>
      <c r="N3303" s="381">
        <v>9.31</v>
      </c>
      <c r="O3303" s="380"/>
      <c r="P3303" s="380"/>
      <c r="Q3303" s="381">
        <v>26.797039999999999</v>
      </c>
      <c r="R3303" s="381">
        <v>26.8</v>
      </c>
      <c r="S3303" s="381">
        <v>-2.96E-3</v>
      </c>
      <c r="T3303" s="381"/>
      <c r="U3303" s="381"/>
      <c r="V3303" s="382">
        <v>26.8</v>
      </c>
      <c r="W3303" s="382">
        <v>0</v>
      </c>
      <c r="X3303" s="381">
        <v>2.8783071965628353</v>
      </c>
      <c r="Y3303" s="381">
        <v>2.8786251342642317</v>
      </c>
      <c r="Z3303" s="381">
        <v>-3.1793770139634797E-4</v>
      </c>
      <c r="AA3303" s="381">
        <v>0</v>
      </c>
      <c r="AB3303" s="381">
        <v>0</v>
      </c>
      <c r="AC3303" s="382">
        <v>2.8786251342642317</v>
      </c>
      <c r="AD3303" s="382">
        <v>0</v>
      </c>
      <c r="AE3303" s="381" t="s">
        <v>168</v>
      </c>
    </row>
    <row r="3304" spans="1:31" ht="15" customHeight="1" x14ac:dyDescent="0.25">
      <c r="A3304" s="20" t="s">
        <v>4868</v>
      </c>
      <c r="B3304" s="20" t="s">
        <v>4868</v>
      </c>
      <c r="C3304" s="20" t="s">
        <v>4869</v>
      </c>
      <c r="D3304" s="378" t="s">
        <v>4921</v>
      </c>
      <c r="E3304" s="384">
        <v>45076</v>
      </c>
      <c r="F3304" s="384">
        <v>46903</v>
      </c>
      <c r="G3304" s="378" t="s">
        <v>439</v>
      </c>
      <c r="H3304" s="378" t="s">
        <v>4871</v>
      </c>
      <c r="I3304" s="378" t="s">
        <v>162</v>
      </c>
      <c r="J3304" s="20" t="s">
        <v>163</v>
      </c>
      <c r="K3304" s="378" t="s">
        <v>4872</v>
      </c>
      <c r="L3304" s="378" t="s">
        <v>2789</v>
      </c>
      <c r="M3304" s="381"/>
      <c r="N3304" s="381">
        <v>3.9</v>
      </c>
      <c r="O3304" s="380"/>
      <c r="P3304" s="380"/>
      <c r="Q3304" s="381">
        <v>12.09883</v>
      </c>
      <c r="R3304" s="381">
        <v>12.1</v>
      </c>
      <c r="S3304" s="381">
        <v>-1.17E-3</v>
      </c>
      <c r="T3304" s="381"/>
      <c r="U3304" s="381"/>
      <c r="V3304" s="382">
        <v>12.1</v>
      </c>
      <c r="W3304" s="382">
        <v>0</v>
      </c>
      <c r="X3304" s="381">
        <v>3.1022641025641025</v>
      </c>
      <c r="Y3304" s="381">
        <v>3.1025641025641026</v>
      </c>
      <c r="Z3304" s="381">
        <v>-3.0000000000000003E-4</v>
      </c>
      <c r="AA3304" s="381">
        <v>0</v>
      </c>
      <c r="AB3304" s="381">
        <v>0</v>
      </c>
      <c r="AC3304" s="382">
        <v>3.1025641025641026</v>
      </c>
      <c r="AD3304" s="382">
        <v>0</v>
      </c>
      <c r="AE3304" s="381" t="s">
        <v>168</v>
      </c>
    </row>
    <row r="3305" spans="1:31" ht="15" customHeight="1" x14ac:dyDescent="0.25">
      <c r="A3305" s="20" t="s">
        <v>4868</v>
      </c>
      <c r="B3305" s="20" t="s">
        <v>4868</v>
      </c>
      <c r="C3305" s="20" t="s">
        <v>4869</v>
      </c>
      <c r="D3305" s="378" t="s">
        <v>4922</v>
      </c>
      <c r="E3305" s="384">
        <v>45135</v>
      </c>
      <c r="F3305" s="384">
        <v>46962</v>
      </c>
      <c r="G3305" s="378" t="s">
        <v>439</v>
      </c>
      <c r="H3305" s="378" t="s">
        <v>4891</v>
      </c>
      <c r="I3305" s="378" t="s">
        <v>162</v>
      </c>
      <c r="J3305" s="20" t="s">
        <v>163</v>
      </c>
      <c r="K3305" s="378" t="s">
        <v>4892</v>
      </c>
      <c r="L3305" s="378" t="s">
        <v>2789</v>
      </c>
      <c r="M3305" s="381"/>
      <c r="N3305" s="381">
        <v>9.6999999999999993</v>
      </c>
      <c r="O3305" s="380"/>
      <c r="P3305" s="380"/>
      <c r="Q3305" s="381">
        <v>27.797360000000001</v>
      </c>
      <c r="R3305" s="381">
        <v>27.8</v>
      </c>
      <c r="S3305" s="381">
        <v>-2.64E-3</v>
      </c>
      <c r="T3305" s="381"/>
      <c r="U3305" s="381"/>
      <c r="V3305" s="382">
        <v>27.8</v>
      </c>
      <c r="W3305" s="382">
        <v>0</v>
      </c>
      <c r="X3305" s="381">
        <v>2.8657072164948456</v>
      </c>
      <c r="Y3305" s="381">
        <v>2.8659793814432994</v>
      </c>
      <c r="Z3305" s="381">
        <v>-2.7216494845360827E-4</v>
      </c>
      <c r="AA3305" s="381">
        <v>0</v>
      </c>
      <c r="AB3305" s="381">
        <v>0</v>
      </c>
      <c r="AC3305" s="382">
        <v>2.8659793814432994</v>
      </c>
      <c r="AD3305" s="382">
        <v>0</v>
      </c>
      <c r="AE3305" s="381" t="s">
        <v>168</v>
      </c>
    </row>
    <row r="3306" spans="1:31" ht="15" customHeight="1" x14ac:dyDescent="0.25">
      <c r="A3306" s="20" t="s">
        <v>4868</v>
      </c>
      <c r="B3306" s="20" t="s">
        <v>4868</v>
      </c>
      <c r="C3306" s="20" t="s">
        <v>4869</v>
      </c>
      <c r="D3306" s="378" t="s">
        <v>4923</v>
      </c>
      <c r="E3306" s="384">
        <v>45076</v>
      </c>
      <c r="F3306" s="384">
        <v>46903</v>
      </c>
      <c r="G3306" s="378" t="s">
        <v>439</v>
      </c>
      <c r="H3306" s="378" t="s">
        <v>4871</v>
      </c>
      <c r="I3306" s="378" t="s">
        <v>162</v>
      </c>
      <c r="J3306" s="20" t="s">
        <v>163</v>
      </c>
      <c r="K3306" s="378" t="s">
        <v>4872</v>
      </c>
      <c r="L3306" s="378" t="s">
        <v>2789</v>
      </c>
      <c r="M3306" s="381"/>
      <c r="N3306" s="381">
        <v>4.0599999999999996</v>
      </c>
      <c r="O3306" s="380"/>
      <c r="P3306" s="380"/>
      <c r="Q3306" s="381">
        <v>12.49896</v>
      </c>
      <c r="R3306" s="381">
        <v>12.5</v>
      </c>
      <c r="S3306" s="381">
        <v>-1.0399999999999999E-3</v>
      </c>
      <c r="T3306" s="381"/>
      <c r="U3306" s="381"/>
      <c r="V3306" s="382">
        <v>12.5</v>
      </c>
      <c r="W3306" s="382">
        <v>0</v>
      </c>
      <c r="X3306" s="381">
        <v>3.0785615763546801</v>
      </c>
      <c r="Y3306" s="381">
        <v>3.0788177339901481</v>
      </c>
      <c r="Z3306" s="381">
        <v>-2.5615763546798029E-4</v>
      </c>
      <c r="AA3306" s="381">
        <v>0</v>
      </c>
      <c r="AB3306" s="381">
        <v>0</v>
      </c>
      <c r="AC3306" s="382">
        <v>3.0788177339901481</v>
      </c>
      <c r="AD3306" s="382">
        <v>0</v>
      </c>
      <c r="AE3306" s="381" t="s">
        <v>168</v>
      </c>
    </row>
    <row r="3307" spans="1:31" ht="15" customHeight="1" x14ac:dyDescent="0.25">
      <c r="A3307" s="20" t="s">
        <v>4868</v>
      </c>
      <c r="B3307" s="20" t="s">
        <v>4868</v>
      </c>
      <c r="C3307" s="20" t="s">
        <v>4869</v>
      </c>
      <c r="D3307" s="378" t="s">
        <v>4924</v>
      </c>
      <c r="E3307" s="384">
        <v>45076</v>
      </c>
      <c r="F3307" s="384">
        <v>46903</v>
      </c>
      <c r="G3307" s="378" t="s">
        <v>439</v>
      </c>
      <c r="H3307" s="378" t="s">
        <v>4871</v>
      </c>
      <c r="I3307" s="378" t="s">
        <v>162</v>
      </c>
      <c r="J3307" s="20" t="s">
        <v>163</v>
      </c>
      <c r="K3307" s="378" t="s">
        <v>4872</v>
      </c>
      <c r="L3307" s="378" t="s">
        <v>2789</v>
      </c>
      <c r="M3307" s="381"/>
      <c r="N3307" s="381">
        <v>4.45</v>
      </c>
      <c r="O3307" s="380"/>
      <c r="P3307" s="380"/>
      <c r="Q3307" s="381">
        <v>13.499271999999999</v>
      </c>
      <c r="R3307" s="381">
        <v>13.5</v>
      </c>
      <c r="S3307" s="381">
        <v>-7.2800000000000002E-4</v>
      </c>
      <c r="T3307" s="381"/>
      <c r="U3307" s="381"/>
      <c r="V3307" s="382">
        <v>13.5</v>
      </c>
      <c r="W3307" s="382">
        <v>0</v>
      </c>
      <c r="X3307" s="381">
        <v>3.0335442696629209</v>
      </c>
      <c r="Y3307" s="381">
        <v>3.0337078651685392</v>
      </c>
      <c r="Z3307" s="381">
        <v>-1.6359550561797752E-4</v>
      </c>
      <c r="AA3307" s="381">
        <v>0</v>
      </c>
      <c r="AB3307" s="381">
        <v>0</v>
      </c>
      <c r="AC3307" s="382">
        <v>3.0337078651685392</v>
      </c>
      <c r="AD3307" s="382">
        <v>0</v>
      </c>
      <c r="AE3307" s="381" t="s">
        <v>168</v>
      </c>
    </row>
    <row r="3308" spans="1:31" ht="15" customHeight="1" x14ac:dyDescent="0.25">
      <c r="A3308" s="20" t="s">
        <v>4868</v>
      </c>
      <c r="B3308" s="20" t="s">
        <v>4868</v>
      </c>
      <c r="C3308" s="20" t="s">
        <v>4869</v>
      </c>
      <c r="D3308" s="378" t="s">
        <v>4925</v>
      </c>
      <c r="E3308" s="384">
        <v>45076</v>
      </c>
      <c r="F3308" s="384">
        <v>46903</v>
      </c>
      <c r="G3308" s="378" t="s">
        <v>439</v>
      </c>
      <c r="H3308" s="378" t="s">
        <v>4871</v>
      </c>
      <c r="I3308" s="378" t="s">
        <v>162</v>
      </c>
      <c r="J3308" s="20" t="s">
        <v>163</v>
      </c>
      <c r="K3308" s="378" t="s">
        <v>4872</v>
      </c>
      <c r="L3308" s="378" t="s">
        <v>2789</v>
      </c>
      <c r="M3308" s="381"/>
      <c r="N3308" s="381">
        <v>4.84</v>
      </c>
      <c r="O3308" s="380"/>
      <c r="P3308" s="380"/>
      <c r="Q3308" s="381">
        <v>14.599584999999999</v>
      </c>
      <c r="R3308" s="381">
        <v>14.6</v>
      </c>
      <c r="S3308" s="381">
        <v>-4.15E-4</v>
      </c>
      <c r="T3308" s="381"/>
      <c r="U3308" s="381"/>
      <c r="V3308" s="382">
        <v>14.6</v>
      </c>
      <c r="W3308" s="382">
        <v>0</v>
      </c>
      <c r="X3308" s="381">
        <v>3.0164431818181816</v>
      </c>
      <c r="Y3308" s="381">
        <v>3.0165289256198347</v>
      </c>
      <c r="Z3308" s="381">
        <v>-8.5743801652892569E-5</v>
      </c>
      <c r="AA3308" s="381">
        <v>0</v>
      </c>
      <c r="AB3308" s="381">
        <v>0</v>
      </c>
      <c r="AC3308" s="382">
        <v>3.0165289256198347</v>
      </c>
      <c r="AD3308" s="382">
        <v>0</v>
      </c>
      <c r="AE3308" s="381" t="s">
        <v>168</v>
      </c>
    </row>
    <row r="3309" spans="1:31" ht="15" customHeight="1" x14ac:dyDescent="0.25">
      <c r="A3309" s="20" t="s">
        <v>4868</v>
      </c>
      <c r="B3309" s="20" t="s">
        <v>4868</v>
      </c>
      <c r="C3309" s="20" t="s">
        <v>4869</v>
      </c>
      <c r="D3309" s="378" t="s">
        <v>4926</v>
      </c>
      <c r="E3309" s="384">
        <v>45135</v>
      </c>
      <c r="F3309" s="384">
        <v>46962</v>
      </c>
      <c r="G3309" s="378" t="s">
        <v>439</v>
      </c>
      <c r="H3309" s="378" t="s">
        <v>4891</v>
      </c>
      <c r="I3309" s="378" t="s">
        <v>162</v>
      </c>
      <c r="J3309" s="20" t="s">
        <v>163</v>
      </c>
      <c r="K3309" s="378" t="s">
        <v>4892</v>
      </c>
      <c r="L3309" s="378" t="s">
        <v>2789</v>
      </c>
      <c r="M3309" s="381"/>
      <c r="N3309" s="381">
        <v>12.06</v>
      </c>
      <c r="O3309" s="380"/>
      <c r="P3309" s="380"/>
      <c r="Q3309" s="381">
        <v>33.999231000000002</v>
      </c>
      <c r="R3309" s="381">
        <v>34</v>
      </c>
      <c r="S3309" s="381">
        <v>-7.6900000000000004E-4</v>
      </c>
      <c r="T3309" s="381"/>
      <c r="U3309" s="381"/>
      <c r="V3309" s="382">
        <v>34</v>
      </c>
      <c r="W3309" s="382">
        <v>0</v>
      </c>
      <c r="X3309" s="381">
        <v>2.8191733830845771</v>
      </c>
      <c r="Y3309" s="381">
        <v>2.8192371475953566</v>
      </c>
      <c r="Z3309" s="381">
        <v>-6.3764510779436157E-5</v>
      </c>
      <c r="AA3309" s="381">
        <v>0</v>
      </c>
      <c r="AB3309" s="381">
        <v>0</v>
      </c>
      <c r="AC3309" s="382">
        <v>2.8192371475953566</v>
      </c>
      <c r="AD3309" s="382">
        <v>0</v>
      </c>
      <c r="AE3309" s="381" t="s">
        <v>168</v>
      </c>
    </row>
    <row r="3310" spans="1:31" ht="15" customHeight="1" x14ac:dyDescent="0.25">
      <c r="A3310" s="20" t="s">
        <v>4868</v>
      </c>
      <c r="B3310" s="20" t="s">
        <v>4868</v>
      </c>
      <c r="C3310" s="20" t="s">
        <v>4869</v>
      </c>
      <c r="D3310" s="378" t="s">
        <v>4927</v>
      </c>
      <c r="E3310" s="384">
        <v>45135</v>
      </c>
      <c r="F3310" s="384">
        <v>46962</v>
      </c>
      <c r="G3310" s="378" t="s">
        <v>439</v>
      </c>
      <c r="H3310" s="378" t="s">
        <v>4891</v>
      </c>
      <c r="I3310" s="378" t="s">
        <v>162</v>
      </c>
      <c r="J3310" s="20" t="s">
        <v>163</v>
      </c>
      <c r="K3310" s="378" t="s">
        <v>4892</v>
      </c>
      <c r="L3310" s="378" t="s">
        <v>2789</v>
      </c>
      <c r="M3310" s="381"/>
      <c r="N3310" s="381">
        <v>12.45</v>
      </c>
      <c r="O3310" s="380"/>
      <c r="P3310" s="380"/>
      <c r="Q3310" s="381">
        <v>34.999543000000003</v>
      </c>
      <c r="R3310" s="381">
        <v>35</v>
      </c>
      <c r="S3310" s="381">
        <v>-4.57E-4</v>
      </c>
      <c r="T3310" s="381"/>
      <c r="U3310" s="381"/>
      <c r="V3310" s="382">
        <v>35</v>
      </c>
      <c r="W3310" s="382">
        <v>0</v>
      </c>
      <c r="X3310" s="381">
        <v>2.8112082730923698</v>
      </c>
      <c r="Y3310" s="381">
        <v>2.811244979919679</v>
      </c>
      <c r="Z3310" s="381">
        <v>-3.670682730923695E-5</v>
      </c>
      <c r="AA3310" s="381">
        <v>0</v>
      </c>
      <c r="AB3310" s="381">
        <v>0</v>
      </c>
      <c r="AC3310" s="382">
        <v>2.811244979919679</v>
      </c>
      <c r="AD3310" s="382">
        <v>0</v>
      </c>
      <c r="AE3310" s="381" t="s">
        <v>168</v>
      </c>
    </row>
    <row r="3311" spans="1:31" ht="15" customHeight="1" x14ac:dyDescent="0.25">
      <c r="A3311" s="20" t="s">
        <v>4868</v>
      </c>
      <c r="B3311" s="20" t="s">
        <v>4868</v>
      </c>
      <c r="C3311" s="20" t="s">
        <v>4869</v>
      </c>
      <c r="D3311" s="378" t="s">
        <v>4928</v>
      </c>
      <c r="E3311" s="384">
        <v>45135</v>
      </c>
      <c r="F3311" s="384">
        <v>46962</v>
      </c>
      <c r="G3311" s="378" t="s">
        <v>439</v>
      </c>
      <c r="H3311" s="378" t="s">
        <v>4891</v>
      </c>
      <c r="I3311" s="378" t="s">
        <v>162</v>
      </c>
      <c r="J3311" s="20" t="s">
        <v>163</v>
      </c>
      <c r="K3311" s="378" t="s">
        <v>4892</v>
      </c>
      <c r="L3311" s="378" t="s">
        <v>2789</v>
      </c>
      <c r="M3311" s="381"/>
      <c r="N3311" s="381">
        <v>12.84</v>
      </c>
      <c r="O3311" s="380"/>
      <c r="P3311" s="380"/>
      <c r="Q3311" s="381">
        <v>35.999856000000001</v>
      </c>
      <c r="R3311" s="381">
        <v>36</v>
      </c>
      <c r="S3311" s="381">
        <v>-1.44E-4</v>
      </c>
      <c r="T3311" s="381"/>
      <c r="U3311" s="381"/>
      <c r="V3311" s="382">
        <v>36</v>
      </c>
      <c r="W3311" s="382">
        <v>0</v>
      </c>
      <c r="X3311" s="381">
        <v>2.8037271028037383</v>
      </c>
      <c r="Y3311" s="381">
        <v>2.8037383177570092</v>
      </c>
      <c r="Z3311" s="381">
        <v>-1.1214953271028037E-5</v>
      </c>
      <c r="AA3311" s="381">
        <v>0</v>
      </c>
      <c r="AB3311" s="381">
        <v>0</v>
      </c>
      <c r="AC3311" s="382">
        <v>2.8037383177570092</v>
      </c>
      <c r="AD3311" s="382">
        <v>0</v>
      </c>
      <c r="AE3311" s="381" t="s">
        <v>168</v>
      </c>
    </row>
    <row r="3312" spans="1:31" ht="15" customHeight="1" x14ac:dyDescent="0.25">
      <c r="A3312" s="20" t="s">
        <v>4868</v>
      </c>
      <c r="B3312" s="20" t="s">
        <v>4868</v>
      </c>
      <c r="C3312" s="20" t="s">
        <v>4869</v>
      </c>
      <c r="D3312" s="378" t="s">
        <v>4929</v>
      </c>
      <c r="E3312" s="384">
        <v>45135</v>
      </c>
      <c r="F3312" s="384">
        <v>46962</v>
      </c>
      <c r="G3312" s="378" t="s">
        <v>439</v>
      </c>
      <c r="H3312" s="378" t="s">
        <v>4891</v>
      </c>
      <c r="I3312" s="378" t="s">
        <v>162</v>
      </c>
      <c r="J3312" s="20" t="s">
        <v>163</v>
      </c>
      <c r="K3312" s="378" t="s">
        <v>4892</v>
      </c>
      <c r="L3312" s="378" t="s">
        <v>2789</v>
      </c>
      <c r="M3312" s="381"/>
      <c r="N3312" s="381">
        <v>11.2</v>
      </c>
      <c r="O3312" s="380"/>
      <c r="P3312" s="380"/>
      <c r="Q3312" s="381">
        <v>31.200403999999999</v>
      </c>
      <c r="R3312" s="381">
        <v>31.2</v>
      </c>
      <c r="S3312" s="381">
        <v>4.0400000000000001E-4</v>
      </c>
      <c r="T3312" s="381"/>
      <c r="U3312" s="381"/>
      <c r="V3312" s="382">
        <v>31.200403999999999</v>
      </c>
      <c r="W3312" s="382">
        <v>0</v>
      </c>
      <c r="X3312" s="381">
        <v>2.7857503571428572</v>
      </c>
      <c r="Y3312" s="381">
        <v>2.785714285714286</v>
      </c>
      <c r="Z3312" s="381">
        <v>3.6071428571428577E-5</v>
      </c>
      <c r="AA3312" s="381">
        <v>0</v>
      </c>
      <c r="AB3312" s="381">
        <v>0</v>
      </c>
      <c r="AC3312" s="382">
        <v>2.7857503571428577</v>
      </c>
      <c r="AD3312" s="382">
        <v>0</v>
      </c>
      <c r="AE3312" s="381" t="s">
        <v>168</v>
      </c>
    </row>
    <row r="3313" spans="1:31" ht="15" customHeight="1" x14ac:dyDescent="0.25">
      <c r="A3313" s="20" t="s">
        <v>4868</v>
      </c>
      <c r="B3313" s="20" t="s">
        <v>4868</v>
      </c>
      <c r="C3313" s="20" t="s">
        <v>4869</v>
      </c>
      <c r="D3313" s="378" t="s">
        <v>4930</v>
      </c>
      <c r="E3313" s="384">
        <v>45135</v>
      </c>
      <c r="F3313" s="384">
        <v>46962</v>
      </c>
      <c r="G3313" s="378" t="s">
        <v>439</v>
      </c>
      <c r="H3313" s="378" t="s">
        <v>4891</v>
      </c>
      <c r="I3313" s="378" t="s">
        <v>162</v>
      </c>
      <c r="J3313" s="20" t="s">
        <v>163</v>
      </c>
      <c r="K3313" s="378" t="s">
        <v>4892</v>
      </c>
      <c r="L3313" s="378" t="s">
        <v>2789</v>
      </c>
      <c r="M3313" s="381"/>
      <c r="N3313" s="381">
        <v>15.2</v>
      </c>
      <c r="O3313" s="380"/>
      <c r="P3313" s="380"/>
      <c r="Q3313" s="381">
        <v>42.201730000000005</v>
      </c>
      <c r="R3313" s="381">
        <v>42.2</v>
      </c>
      <c r="S3313" s="381">
        <v>1.73E-3</v>
      </c>
      <c r="T3313" s="381"/>
      <c r="U3313" s="381"/>
      <c r="V3313" s="382">
        <v>42.201730000000005</v>
      </c>
      <c r="W3313" s="382">
        <v>0</v>
      </c>
      <c r="X3313" s="381">
        <v>2.7764296052631585</v>
      </c>
      <c r="Y3313" s="381">
        <v>2.7763157894736845</v>
      </c>
      <c r="Z3313" s="381">
        <v>1.1381578947368421E-4</v>
      </c>
      <c r="AA3313" s="381">
        <v>0</v>
      </c>
      <c r="AB3313" s="381">
        <v>0</v>
      </c>
      <c r="AC3313" s="382">
        <v>2.7764296052631581</v>
      </c>
      <c r="AD3313" s="382">
        <v>0</v>
      </c>
      <c r="AE3313" s="381" t="s">
        <v>168</v>
      </c>
    </row>
    <row r="3314" spans="1:31" ht="15" customHeight="1" x14ac:dyDescent="0.25">
      <c r="A3314" s="20" t="s">
        <v>4868</v>
      </c>
      <c r="B3314" s="20" t="s">
        <v>4868</v>
      </c>
      <c r="C3314" s="20" t="s">
        <v>4869</v>
      </c>
      <c r="D3314" s="378" t="s">
        <v>4931</v>
      </c>
      <c r="E3314" s="384">
        <v>45135</v>
      </c>
      <c r="F3314" s="384">
        <v>46962</v>
      </c>
      <c r="G3314" s="378" t="s">
        <v>439</v>
      </c>
      <c r="H3314" s="378" t="s">
        <v>4891</v>
      </c>
      <c r="I3314" s="378" t="s">
        <v>162</v>
      </c>
      <c r="J3314" s="20" t="s">
        <v>163</v>
      </c>
      <c r="K3314" s="378" t="s">
        <v>4892</v>
      </c>
      <c r="L3314" s="378" t="s">
        <v>2789</v>
      </c>
      <c r="M3314" s="381"/>
      <c r="N3314" s="381">
        <v>15.59</v>
      </c>
      <c r="O3314" s="380"/>
      <c r="P3314" s="380"/>
      <c r="Q3314" s="381">
        <v>43.202040000000004</v>
      </c>
      <c r="R3314" s="381">
        <v>43.2</v>
      </c>
      <c r="S3314" s="381">
        <v>2.0400000000000001E-3</v>
      </c>
      <c r="T3314" s="381"/>
      <c r="U3314" s="381"/>
      <c r="V3314" s="382">
        <v>43.202040000000004</v>
      </c>
      <c r="W3314" s="382">
        <v>0</v>
      </c>
      <c r="X3314" s="381">
        <v>2.7711379089159722</v>
      </c>
      <c r="Y3314" s="381">
        <v>2.7710070558050033</v>
      </c>
      <c r="Z3314" s="381">
        <v>1.3085311096856959E-4</v>
      </c>
      <c r="AA3314" s="381">
        <v>0</v>
      </c>
      <c r="AB3314" s="381">
        <v>0</v>
      </c>
      <c r="AC3314" s="382">
        <v>2.7711379089159718</v>
      </c>
      <c r="AD3314" s="382">
        <v>0</v>
      </c>
      <c r="AE3314" s="381" t="s">
        <v>168</v>
      </c>
    </row>
    <row r="3315" spans="1:31" ht="15" customHeight="1" x14ac:dyDescent="0.25">
      <c r="A3315" s="20" t="s">
        <v>4868</v>
      </c>
      <c r="B3315" s="20" t="s">
        <v>4868</v>
      </c>
      <c r="C3315" s="20" t="s">
        <v>4869</v>
      </c>
      <c r="D3315" s="378" t="s">
        <v>4932</v>
      </c>
      <c r="E3315" s="384">
        <v>45135</v>
      </c>
      <c r="F3315" s="384">
        <v>46962</v>
      </c>
      <c r="G3315" s="378" t="s">
        <v>439</v>
      </c>
      <c r="H3315" s="378" t="s">
        <v>4891</v>
      </c>
      <c r="I3315" s="378" t="s">
        <v>162</v>
      </c>
      <c r="J3315" s="20" t="s">
        <v>163</v>
      </c>
      <c r="K3315" s="378" t="s">
        <v>4892</v>
      </c>
      <c r="L3315" s="378" t="s">
        <v>2789</v>
      </c>
      <c r="M3315" s="381"/>
      <c r="N3315" s="381">
        <v>19.12</v>
      </c>
      <c r="O3315" s="380"/>
      <c r="P3315" s="380"/>
      <c r="Q3315" s="381">
        <v>52.504860000000001</v>
      </c>
      <c r="R3315" s="381">
        <v>52.5</v>
      </c>
      <c r="S3315" s="381">
        <v>4.8599999999999997E-3</v>
      </c>
      <c r="T3315" s="381"/>
      <c r="U3315" s="381"/>
      <c r="V3315" s="382">
        <v>52.504860000000001</v>
      </c>
      <c r="W3315" s="382">
        <v>0</v>
      </c>
      <c r="X3315" s="381">
        <v>2.7460700836820084</v>
      </c>
      <c r="Y3315" s="381">
        <v>2.74581589958159</v>
      </c>
      <c r="Z3315" s="381">
        <v>2.5418410041841004E-4</v>
      </c>
      <c r="AA3315" s="381">
        <v>0</v>
      </c>
      <c r="AB3315" s="381">
        <v>0</v>
      </c>
      <c r="AC3315" s="382">
        <v>2.7460700836820084</v>
      </c>
      <c r="AD3315" s="382">
        <v>0</v>
      </c>
      <c r="AE3315" s="381" t="s">
        <v>168</v>
      </c>
    </row>
    <row r="3316" spans="1:31" ht="15" customHeight="1" x14ac:dyDescent="0.25">
      <c r="A3316" s="20" t="s">
        <v>4868</v>
      </c>
      <c r="B3316" s="20" t="s">
        <v>4868</v>
      </c>
      <c r="C3316" s="20" t="s">
        <v>4869</v>
      </c>
      <c r="D3316" s="378" t="s">
        <v>4933</v>
      </c>
      <c r="E3316" s="384">
        <v>45135</v>
      </c>
      <c r="F3316" s="384">
        <v>46962</v>
      </c>
      <c r="G3316" s="378" t="s">
        <v>439</v>
      </c>
      <c r="H3316" s="378" t="s">
        <v>4891</v>
      </c>
      <c r="I3316" s="378" t="s">
        <v>162</v>
      </c>
      <c r="J3316" s="20" t="s">
        <v>163</v>
      </c>
      <c r="K3316" s="378" t="s">
        <v>4892</v>
      </c>
      <c r="L3316" s="378" t="s">
        <v>2789</v>
      </c>
      <c r="M3316" s="381"/>
      <c r="N3316" s="381">
        <v>23.05</v>
      </c>
      <c r="O3316" s="380"/>
      <c r="P3316" s="380"/>
      <c r="Q3316" s="381">
        <v>62.707980000000006</v>
      </c>
      <c r="R3316" s="381">
        <v>62.7</v>
      </c>
      <c r="S3316" s="381">
        <v>7.9799999999999992E-3</v>
      </c>
      <c r="T3316" s="381"/>
      <c r="U3316" s="381"/>
      <c r="V3316" s="382">
        <v>62.707980000000006</v>
      </c>
      <c r="W3316" s="382">
        <v>0</v>
      </c>
      <c r="X3316" s="381">
        <v>2.7205197396963126</v>
      </c>
      <c r="Y3316" s="381">
        <v>2.7201735357917571</v>
      </c>
      <c r="Z3316" s="381">
        <v>3.462039045553145E-4</v>
      </c>
      <c r="AA3316" s="381">
        <v>0</v>
      </c>
      <c r="AB3316" s="381">
        <v>0</v>
      </c>
      <c r="AC3316" s="382">
        <v>2.7205197396963126</v>
      </c>
      <c r="AD3316" s="382">
        <v>0</v>
      </c>
      <c r="AE3316" s="381" t="s">
        <v>168</v>
      </c>
    </row>
    <row r="3317" spans="1:31" ht="15" customHeight="1" x14ac:dyDescent="0.25">
      <c r="A3317" s="20" t="s">
        <v>4868</v>
      </c>
      <c r="B3317" s="20" t="s">
        <v>4868</v>
      </c>
      <c r="C3317" s="20" t="s">
        <v>4869</v>
      </c>
      <c r="D3317" s="378" t="s">
        <v>4934</v>
      </c>
      <c r="E3317" s="384">
        <v>45076</v>
      </c>
      <c r="F3317" s="384">
        <v>46903</v>
      </c>
      <c r="G3317" s="378" t="s">
        <v>439</v>
      </c>
      <c r="H3317" s="378" t="s">
        <v>4871</v>
      </c>
      <c r="I3317" s="378" t="s">
        <v>162</v>
      </c>
      <c r="J3317" s="20" t="s">
        <v>163</v>
      </c>
      <c r="K3317" s="378" t="s">
        <v>4872</v>
      </c>
      <c r="L3317" s="378" t="s">
        <v>2789</v>
      </c>
      <c r="M3317" s="381"/>
      <c r="N3317" s="381">
        <v>5.63</v>
      </c>
      <c r="O3317" s="380"/>
      <c r="P3317" s="380"/>
      <c r="Q3317" s="381">
        <v>16.600210000000001</v>
      </c>
      <c r="R3317" s="381">
        <v>16.600000000000001</v>
      </c>
      <c r="S3317" s="381">
        <v>2.1000000000000001E-4</v>
      </c>
      <c r="T3317" s="381"/>
      <c r="U3317" s="381"/>
      <c r="V3317" s="382">
        <v>16.600210000000001</v>
      </c>
      <c r="W3317" s="382">
        <v>0</v>
      </c>
      <c r="X3317" s="381">
        <v>2.9485275310834815</v>
      </c>
      <c r="Y3317" s="381">
        <v>2.9484902309058616</v>
      </c>
      <c r="Z3317" s="381">
        <v>3.7300177619893428E-5</v>
      </c>
      <c r="AA3317" s="381">
        <v>0</v>
      </c>
      <c r="AB3317" s="381">
        <v>0</v>
      </c>
      <c r="AC3317" s="382">
        <v>2.9485275310834815</v>
      </c>
      <c r="AD3317" s="382">
        <v>0</v>
      </c>
      <c r="AE3317" s="381" t="s">
        <v>168</v>
      </c>
    </row>
    <row r="3318" spans="1:31" ht="15" customHeight="1" x14ac:dyDescent="0.25">
      <c r="A3318" s="20" t="s">
        <v>4868</v>
      </c>
      <c r="B3318" s="20" t="s">
        <v>4868</v>
      </c>
      <c r="C3318" s="20" t="s">
        <v>4869</v>
      </c>
      <c r="D3318" s="378" t="s">
        <v>4935</v>
      </c>
      <c r="E3318" s="384">
        <v>45076</v>
      </c>
      <c r="F3318" s="384">
        <v>46903</v>
      </c>
      <c r="G3318" s="378" t="s">
        <v>439</v>
      </c>
      <c r="H3318" s="378" t="s">
        <v>4871</v>
      </c>
      <c r="I3318" s="378" t="s">
        <v>162</v>
      </c>
      <c r="J3318" s="20" t="s">
        <v>163</v>
      </c>
      <c r="K3318" s="378" t="s">
        <v>4872</v>
      </c>
      <c r="L3318" s="378" t="s">
        <v>2789</v>
      </c>
      <c r="M3318" s="381"/>
      <c r="N3318" s="381">
        <v>6.02</v>
      </c>
      <c r="O3318" s="380"/>
      <c r="P3318" s="380"/>
      <c r="Q3318" s="381">
        <v>17.600522000000002</v>
      </c>
      <c r="R3318" s="381">
        <v>17.600000000000001</v>
      </c>
      <c r="S3318" s="381">
        <v>5.22E-4</v>
      </c>
      <c r="T3318" s="381"/>
      <c r="U3318" s="381"/>
      <c r="V3318" s="382">
        <v>17.600522000000002</v>
      </c>
      <c r="W3318" s="382">
        <v>0</v>
      </c>
      <c r="X3318" s="381">
        <v>2.9236747508305654</v>
      </c>
      <c r="Y3318" s="381">
        <v>2.9235880398671101</v>
      </c>
      <c r="Z3318" s="381">
        <v>8.6710963455149511E-5</v>
      </c>
      <c r="AA3318" s="381">
        <v>0</v>
      </c>
      <c r="AB3318" s="381">
        <v>0</v>
      </c>
      <c r="AC3318" s="382">
        <v>2.9236747508305654</v>
      </c>
      <c r="AD3318" s="382">
        <v>0</v>
      </c>
      <c r="AE3318" s="381" t="s">
        <v>168</v>
      </c>
    </row>
    <row r="3319" spans="1:31" ht="15" customHeight="1" x14ac:dyDescent="0.25">
      <c r="A3319" s="20" t="s">
        <v>4868</v>
      </c>
      <c r="B3319" s="20" t="s">
        <v>4868</v>
      </c>
      <c r="C3319" s="20" t="s">
        <v>4869</v>
      </c>
      <c r="D3319" s="378" t="s">
        <v>4936</v>
      </c>
      <c r="E3319" s="384">
        <v>45076</v>
      </c>
      <c r="F3319" s="384">
        <v>46903</v>
      </c>
      <c r="G3319" s="378" t="s">
        <v>439</v>
      </c>
      <c r="H3319" s="378" t="s">
        <v>4871</v>
      </c>
      <c r="I3319" s="378" t="s">
        <v>162</v>
      </c>
      <c r="J3319" s="20" t="s">
        <v>163</v>
      </c>
      <c r="K3319" s="378" t="s">
        <v>4872</v>
      </c>
      <c r="L3319" s="378" t="s">
        <v>2789</v>
      </c>
      <c r="M3319" s="381"/>
      <c r="N3319" s="381">
        <v>7.59</v>
      </c>
      <c r="O3319" s="380"/>
      <c r="P3319" s="380"/>
      <c r="Q3319" s="381">
        <v>21.70177</v>
      </c>
      <c r="R3319" s="381">
        <v>21.7</v>
      </c>
      <c r="S3319" s="381">
        <v>1.7700000000000001E-3</v>
      </c>
      <c r="T3319" s="381"/>
      <c r="U3319" s="381"/>
      <c r="V3319" s="382">
        <v>21.70177</v>
      </c>
      <c r="W3319" s="382">
        <v>0</v>
      </c>
      <c r="X3319" s="381">
        <v>2.8592582345191042</v>
      </c>
      <c r="Y3319" s="381">
        <v>2.8590250329380762</v>
      </c>
      <c r="Z3319" s="381">
        <v>2.33201581027668E-4</v>
      </c>
      <c r="AA3319" s="381">
        <v>0</v>
      </c>
      <c r="AB3319" s="381">
        <v>0</v>
      </c>
      <c r="AC3319" s="382">
        <v>2.8592582345191038</v>
      </c>
      <c r="AD3319" s="382">
        <v>0</v>
      </c>
      <c r="AE3319" s="381" t="s">
        <v>168</v>
      </c>
    </row>
    <row r="3320" spans="1:31" ht="15" customHeight="1" x14ac:dyDescent="0.25">
      <c r="A3320" s="20" t="s">
        <v>4868</v>
      </c>
      <c r="B3320" s="20" t="s">
        <v>4868</v>
      </c>
      <c r="C3320" s="20" t="s">
        <v>4869</v>
      </c>
      <c r="D3320" s="378" t="s">
        <v>4937</v>
      </c>
      <c r="E3320" s="384">
        <v>45076</v>
      </c>
      <c r="F3320" s="384">
        <v>46903</v>
      </c>
      <c r="G3320" s="378" t="s">
        <v>439</v>
      </c>
      <c r="H3320" s="378" t="s">
        <v>4871</v>
      </c>
      <c r="I3320" s="378" t="s">
        <v>162</v>
      </c>
      <c r="J3320" s="20" t="s">
        <v>163</v>
      </c>
      <c r="K3320" s="378" t="s">
        <v>4872</v>
      </c>
      <c r="L3320" s="378" t="s">
        <v>2789</v>
      </c>
      <c r="M3320" s="381"/>
      <c r="N3320" s="381">
        <v>7.98</v>
      </c>
      <c r="O3320" s="380"/>
      <c r="P3320" s="380"/>
      <c r="Q3320" s="381">
        <v>22.80209</v>
      </c>
      <c r="R3320" s="381">
        <v>22.8</v>
      </c>
      <c r="S3320" s="381">
        <v>2.0899999999999998E-3</v>
      </c>
      <c r="T3320" s="381"/>
      <c r="U3320" s="381"/>
      <c r="V3320" s="382">
        <v>22.80209</v>
      </c>
      <c r="W3320" s="382">
        <v>0</v>
      </c>
      <c r="X3320" s="381">
        <v>2.8574047619047618</v>
      </c>
      <c r="Y3320" s="381">
        <v>2.8571428571428572</v>
      </c>
      <c r="Z3320" s="381">
        <v>2.6190476190476186E-4</v>
      </c>
      <c r="AA3320" s="381">
        <v>0</v>
      </c>
      <c r="AB3320" s="381">
        <v>0</v>
      </c>
      <c r="AC3320" s="382">
        <v>2.8574047619047618</v>
      </c>
      <c r="AD3320" s="382">
        <v>0</v>
      </c>
      <c r="AE3320" s="381" t="s">
        <v>168</v>
      </c>
    </row>
    <row r="3321" spans="1:31" ht="15" customHeight="1" x14ac:dyDescent="0.25">
      <c r="A3321" s="20" t="s">
        <v>4868</v>
      </c>
      <c r="B3321" s="20" t="s">
        <v>4868</v>
      </c>
      <c r="C3321" s="20" t="s">
        <v>4869</v>
      </c>
      <c r="D3321" s="378" t="s">
        <v>4938</v>
      </c>
      <c r="E3321" s="384">
        <v>45076</v>
      </c>
      <c r="F3321" s="384">
        <v>46903</v>
      </c>
      <c r="G3321" s="378" t="s">
        <v>439</v>
      </c>
      <c r="H3321" s="378" t="s">
        <v>4871</v>
      </c>
      <c r="I3321" s="378" t="s">
        <v>162</v>
      </c>
      <c r="J3321" s="20" t="s">
        <v>163</v>
      </c>
      <c r="K3321" s="378" t="s">
        <v>4872</v>
      </c>
      <c r="L3321" s="378" t="s">
        <v>2789</v>
      </c>
      <c r="M3321" s="381"/>
      <c r="N3321" s="381">
        <v>9.16</v>
      </c>
      <c r="O3321" s="380"/>
      <c r="P3321" s="380"/>
      <c r="Q3321" s="381">
        <v>25.80302</v>
      </c>
      <c r="R3321" s="381">
        <v>25.8</v>
      </c>
      <c r="S3321" s="381">
        <v>3.0200000000000001E-3</v>
      </c>
      <c r="T3321" s="381"/>
      <c r="U3321" s="381"/>
      <c r="V3321" s="382">
        <v>25.80302</v>
      </c>
      <c r="W3321" s="382">
        <v>0</v>
      </c>
      <c r="X3321" s="381">
        <v>2.816923580786026</v>
      </c>
      <c r="Y3321" s="381">
        <v>2.8165938864628823</v>
      </c>
      <c r="Z3321" s="381">
        <v>3.296943231441048E-4</v>
      </c>
      <c r="AA3321" s="381">
        <v>0</v>
      </c>
      <c r="AB3321" s="381">
        <v>0</v>
      </c>
      <c r="AC3321" s="382">
        <v>2.8169235807860264</v>
      </c>
      <c r="AD3321" s="382">
        <v>0</v>
      </c>
      <c r="AE3321" s="381" t="s">
        <v>168</v>
      </c>
    </row>
    <row r="3322" spans="1:31" ht="15" customHeight="1" x14ac:dyDescent="0.25">
      <c r="A3322" s="20" t="s">
        <v>4868</v>
      </c>
      <c r="B3322" s="20" t="s">
        <v>4868</v>
      </c>
      <c r="C3322" s="20" t="s">
        <v>4869</v>
      </c>
      <c r="D3322" s="378" t="s">
        <v>4939</v>
      </c>
      <c r="E3322" s="384">
        <v>45076</v>
      </c>
      <c r="F3322" s="384">
        <v>46903</v>
      </c>
      <c r="G3322" s="378" t="s">
        <v>439</v>
      </c>
      <c r="H3322" s="378" t="s">
        <v>4871</v>
      </c>
      <c r="I3322" s="378" t="s">
        <v>162</v>
      </c>
      <c r="J3322" s="20" t="s">
        <v>163</v>
      </c>
      <c r="K3322" s="378" t="s">
        <v>4872</v>
      </c>
      <c r="L3322" s="378" t="s">
        <v>2789</v>
      </c>
      <c r="M3322" s="381"/>
      <c r="N3322" s="381">
        <v>9.5500000000000007</v>
      </c>
      <c r="O3322" s="380"/>
      <c r="P3322" s="380"/>
      <c r="Q3322" s="381">
        <v>26.90334</v>
      </c>
      <c r="R3322" s="381">
        <v>26.9</v>
      </c>
      <c r="S3322" s="381">
        <v>3.3400000000000001E-3</v>
      </c>
      <c r="T3322" s="381"/>
      <c r="U3322" s="381"/>
      <c r="V3322" s="382">
        <v>26.90334</v>
      </c>
      <c r="W3322" s="382">
        <v>0</v>
      </c>
      <c r="X3322" s="381">
        <v>2.8171036649214658</v>
      </c>
      <c r="Y3322" s="381">
        <v>2.8167539267015704</v>
      </c>
      <c r="Z3322" s="381">
        <v>3.4973821989528795E-4</v>
      </c>
      <c r="AA3322" s="381">
        <v>0</v>
      </c>
      <c r="AB3322" s="381">
        <v>0</v>
      </c>
      <c r="AC3322" s="382">
        <v>2.8171036649214658</v>
      </c>
      <c r="AD3322" s="382">
        <v>0</v>
      </c>
      <c r="AE3322" s="381" t="s">
        <v>168</v>
      </c>
    </row>
    <row r="3323" spans="1:31" ht="15" customHeight="1" x14ac:dyDescent="0.25">
      <c r="A3323" s="20" t="s">
        <v>4868</v>
      </c>
      <c r="B3323" s="20" t="s">
        <v>4868</v>
      </c>
      <c r="C3323" s="20" t="s">
        <v>4869</v>
      </c>
      <c r="D3323" s="378" t="s">
        <v>4940</v>
      </c>
      <c r="E3323" s="384">
        <v>45535</v>
      </c>
      <c r="F3323" s="384">
        <v>47361</v>
      </c>
      <c r="G3323" s="378" t="s">
        <v>2829</v>
      </c>
      <c r="H3323" s="20" t="s">
        <v>4941</v>
      </c>
      <c r="I3323" s="378" t="s">
        <v>441</v>
      </c>
      <c r="J3323" s="20" t="s">
        <v>2831</v>
      </c>
      <c r="K3323" s="378" t="s">
        <v>4942</v>
      </c>
      <c r="L3323" s="378" t="s">
        <v>2789</v>
      </c>
      <c r="M3323" s="380">
        <v>7850</v>
      </c>
      <c r="N3323" s="380">
        <v>3.2969999999999997</v>
      </c>
      <c r="O3323" s="380" t="s">
        <v>443</v>
      </c>
      <c r="P3323" s="380" t="s">
        <v>443</v>
      </c>
      <c r="Q3323" s="381">
        <v>11.7</v>
      </c>
      <c r="R3323" s="381">
        <v>0</v>
      </c>
      <c r="S3323" s="381">
        <v>0</v>
      </c>
      <c r="T3323" s="381">
        <v>0</v>
      </c>
      <c r="U3323" s="381">
        <v>0</v>
      </c>
      <c r="V3323" s="382">
        <v>11.7</v>
      </c>
      <c r="W3323" s="382">
        <v>0</v>
      </c>
      <c r="X3323" s="381">
        <v>3.5486806187443132</v>
      </c>
      <c r="Y3323" s="381">
        <v>0</v>
      </c>
      <c r="Z3323" s="381">
        <v>0</v>
      </c>
      <c r="AA3323" s="381">
        <v>0</v>
      </c>
      <c r="AB3323" s="381">
        <v>0</v>
      </c>
      <c r="AC3323" s="382">
        <v>3.5486806187443132</v>
      </c>
      <c r="AD3323" s="382">
        <v>0</v>
      </c>
      <c r="AE3323" s="381" t="s">
        <v>168</v>
      </c>
    </row>
    <row r="3324" spans="1:31" ht="15" customHeight="1" x14ac:dyDescent="0.25">
      <c r="A3324" s="20" t="s">
        <v>4868</v>
      </c>
      <c r="B3324" s="20" t="s">
        <v>4868</v>
      </c>
      <c r="C3324" s="20" t="s">
        <v>4869</v>
      </c>
      <c r="D3324" s="378" t="s">
        <v>4943</v>
      </c>
      <c r="E3324" s="384">
        <v>45535</v>
      </c>
      <c r="F3324" s="384">
        <v>47361</v>
      </c>
      <c r="G3324" s="378" t="s">
        <v>2829</v>
      </c>
      <c r="H3324" s="20" t="s">
        <v>4944</v>
      </c>
      <c r="I3324" s="378" t="s">
        <v>441</v>
      </c>
      <c r="J3324" s="20" t="s">
        <v>2831</v>
      </c>
      <c r="K3324" s="378" t="s">
        <v>4945</v>
      </c>
      <c r="L3324" s="378" t="s">
        <v>2789</v>
      </c>
      <c r="M3324" s="380">
        <v>7850</v>
      </c>
      <c r="N3324" s="380">
        <v>3.7679999999999998</v>
      </c>
      <c r="O3324" s="380" t="s">
        <v>443</v>
      </c>
      <c r="P3324" s="380" t="s">
        <v>443</v>
      </c>
      <c r="Q3324" s="381">
        <v>13.1</v>
      </c>
      <c r="R3324" s="381">
        <v>0</v>
      </c>
      <c r="S3324" s="381">
        <v>0</v>
      </c>
      <c r="T3324" s="381">
        <v>0</v>
      </c>
      <c r="U3324" s="381">
        <v>0</v>
      </c>
      <c r="V3324" s="382">
        <v>13.1</v>
      </c>
      <c r="W3324" s="382">
        <v>0</v>
      </c>
      <c r="X3324" s="381">
        <v>3.4766454352441616</v>
      </c>
      <c r="Y3324" s="381">
        <v>0</v>
      </c>
      <c r="Z3324" s="381">
        <v>0</v>
      </c>
      <c r="AA3324" s="381">
        <v>0</v>
      </c>
      <c r="AB3324" s="381">
        <v>0</v>
      </c>
      <c r="AC3324" s="382">
        <v>3.4766454352441616</v>
      </c>
      <c r="AD3324" s="382">
        <v>0</v>
      </c>
      <c r="AE3324" s="381" t="s">
        <v>168</v>
      </c>
    </row>
    <row r="3325" spans="1:31" ht="15" customHeight="1" x14ac:dyDescent="0.25">
      <c r="A3325" s="20" t="s">
        <v>4868</v>
      </c>
      <c r="B3325" s="20" t="s">
        <v>4868</v>
      </c>
      <c r="C3325" s="20" t="s">
        <v>4869</v>
      </c>
      <c r="D3325" s="378" t="s">
        <v>4946</v>
      </c>
      <c r="E3325" s="384">
        <v>45535</v>
      </c>
      <c r="F3325" s="384">
        <v>47361</v>
      </c>
      <c r="G3325" s="378" t="s">
        <v>2829</v>
      </c>
      <c r="H3325" s="20" t="s">
        <v>4947</v>
      </c>
      <c r="I3325" s="378" t="s">
        <v>441</v>
      </c>
      <c r="J3325" s="20" t="s">
        <v>2831</v>
      </c>
      <c r="K3325" s="378" t="s">
        <v>4948</v>
      </c>
      <c r="L3325" s="378" t="s">
        <v>2789</v>
      </c>
      <c r="M3325" s="380">
        <v>7850</v>
      </c>
      <c r="N3325" s="380">
        <v>3.2969999999999997</v>
      </c>
      <c r="O3325" s="380" t="s">
        <v>443</v>
      </c>
      <c r="P3325" s="380" t="s">
        <v>443</v>
      </c>
      <c r="Q3325" s="381">
        <v>14.5</v>
      </c>
      <c r="R3325" s="381">
        <v>0</v>
      </c>
      <c r="S3325" s="381">
        <v>0</v>
      </c>
      <c r="T3325" s="381">
        <v>0</v>
      </c>
      <c r="U3325" s="381">
        <v>0</v>
      </c>
      <c r="V3325" s="382">
        <v>14.5</v>
      </c>
      <c r="W3325" s="382">
        <v>0</v>
      </c>
      <c r="X3325" s="381">
        <v>4.3979375189566277</v>
      </c>
      <c r="Y3325" s="381">
        <v>0</v>
      </c>
      <c r="Z3325" s="381">
        <v>0</v>
      </c>
      <c r="AA3325" s="381">
        <v>0</v>
      </c>
      <c r="AB3325" s="381">
        <v>0</v>
      </c>
      <c r="AC3325" s="382">
        <v>4.3979375189566277</v>
      </c>
      <c r="AD3325" s="382">
        <v>0</v>
      </c>
      <c r="AE3325" s="381" t="s">
        <v>168</v>
      </c>
    </row>
    <row r="3326" spans="1:31" ht="15" customHeight="1" x14ac:dyDescent="0.25">
      <c r="A3326" s="20" t="s">
        <v>4868</v>
      </c>
      <c r="B3326" s="20" t="s">
        <v>4868</v>
      </c>
      <c r="C3326" s="20" t="s">
        <v>4869</v>
      </c>
      <c r="D3326" s="378" t="s">
        <v>4949</v>
      </c>
      <c r="E3326" s="384">
        <v>45535</v>
      </c>
      <c r="F3326" s="384">
        <v>47361</v>
      </c>
      <c r="G3326" s="378" t="s">
        <v>2829</v>
      </c>
      <c r="H3326" s="20" t="s">
        <v>4950</v>
      </c>
      <c r="I3326" s="378" t="s">
        <v>441</v>
      </c>
      <c r="J3326" s="20" t="s">
        <v>2831</v>
      </c>
      <c r="K3326" s="378" t="s">
        <v>4951</v>
      </c>
      <c r="L3326" s="378" t="s">
        <v>2789</v>
      </c>
      <c r="M3326" s="380">
        <v>7850</v>
      </c>
      <c r="N3326" s="380">
        <v>3.7679999999999998</v>
      </c>
      <c r="O3326" s="380" t="s">
        <v>443</v>
      </c>
      <c r="P3326" s="380" t="s">
        <v>443</v>
      </c>
      <c r="Q3326" s="381">
        <v>16.2</v>
      </c>
      <c r="R3326" s="381">
        <v>0</v>
      </c>
      <c r="S3326" s="381">
        <v>0</v>
      </c>
      <c r="T3326" s="381">
        <v>0</v>
      </c>
      <c r="U3326" s="381">
        <v>0</v>
      </c>
      <c r="V3326" s="382">
        <v>16.2</v>
      </c>
      <c r="W3326" s="382">
        <v>0</v>
      </c>
      <c r="X3326" s="381">
        <v>4.2993630573248405</v>
      </c>
      <c r="Y3326" s="381">
        <v>0</v>
      </c>
      <c r="Z3326" s="381">
        <v>0</v>
      </c>
      <c r="AA3326" s="381">
        <v>0</v>
      </c>
      <c r="AB3326" s="381">
        <v>0</v>
      </c>
      <c r="AC3326" s="382">
        <v>4.2993630573248405</v>
      </c>
      <c r="AD3326" s="382">
        <v>0</v>
      </c>
      <c r="AE3326" s="381" t="s">
        <v>168</v>
      </c>
    </row>
    <row r="3327" spans="1:31" ht="15" customHeight="1" x14ac:dyDescent="0.25">
      <c r="A3327" s="20" t="s">
        <v>4868</v>
      </c>
      <c r="B3327" s="20" t="s">
        <v>4868</v>
      </c>
      <c r="C3327" s="20" t="s">
        <v>4869</v>
      </c>
      <c r="D3327" s="378" t="s">
        <v>4952</v>
      </c>
      <c r="E3327" s="384">
        <v>45292</v>
      </c>
      <c r="F3327" s="384">
        <v>47119</v>
      </c>
      <c r="G3327" s="378" t="s">
        <v>439</v>
      </c>
      <c r="H3327" s="20" t="s">
        <v>4950</v>
      </c>
      <c r="I3327" s="378" t="s">
        <v>441</v>
      </c>
      <c r="J3327" s="20" t="s">
        <v>163</v>
      </c>
      <c r="K3327" s="378" t="s">
        <v>4953</v>
      </c>
      <c r="L3327" s="378" t="s">
        <v>2789</v>
      </c>
      <c r="M3327" s="380" t="s">
        <v>443</v>
      </c>
      <c r="N3327" s="380">
        <v>3.98</v>
      </c>
      <c r="O3327" s="380" t="s">
        <v>443</v>
      </c>
      <c r="P3327" s="380" t="s">
        <v>443</v>
      </c>
      <c r="Q3327" s="381">
        <v>16.192475269147401</v>
      </c>
      <c r="R3327" s="381">
        <v>16.180269998706699</v>
      </c>
      <c r="S3327" s="381">
        <v>8.8056842050062093E-3</v>
      </c>
      <c r="T3327" s="381">
        <v>3.3995862357761699E-3</v>
      </c>
      <c r="U3327" s="381">
        <v>0</v>
      </c>
      <c r="V3327" s="382">
        <v>16.192475269147483</v>
      </c>
      <c r="W3327" s="382">
        <v>0</v>
      </c>
      <c r="X3327" s="381">
        <v>4.0684611229013568</v>
      </c>
      <c r="Y3327" s="381">
        <v>4.0653944720368589</v>
      </c>
      <c r="Z3327" s="381">
        <v>2.2124834685945251E-3</v>
      </c>
      <c r="AA3327" s="381">
        <v>8.541673959236608E-4</v>
      </c>
      <c r="AB3327" s="381">
        <v>0</v>
      </c>
      <c r="AC3327" s="382">
        <v>4.0684611229013763</v>
      </c>
      <c r="AD3327" s="382">
        <v>0</v>
      </c>
      <c r="AE3327" s="381" t="s">
        <v>444</v>
      </c>
    </row>
    <row r="3328" spans="1:31" ht="15" customHeight="1" x14ac:dyDescent="0.25">
      <c r="A3328" s="20" t="s">
        <v>4868</v>
      </c>
      <c r="B3328" s="20" t="s">
        <v>4868</v>
      </c>
      <c r="C3328" s="20" t="s">
        <v>4869</v>
      </c>
      <c r="D3328" s="378" t="s">
        <v>4954</v>
      </c>
      <c r="E3328" s="384">
        <v>45292</v>
      </c>
      <c r="F3328" s="384">
        <v>47119</v>
      </c>
      <c r="G3328" s="378" t="s">
        <v>439</v>
      </c>
      <c r="H3328" s="20" t="s">
        <v>4947</v>
      </c>
      <c r="I3328" s="378" t="s">
        <v>441</v>
      </c>
      <c r="J3328" s="20" t="s">
        <v>163</v>
      </c>
      <c r="K3328" s="378" t="s">
        <v>4955</v>
      </c>
      <c r="L3328" s="378" t="s">
        <v>2789</v>
      </c>
      <c r="M3328" s="380" t="s">
        <v>443</v>
      </c>
      <c r="N3328" s="380">
        <v>3.52</v>
      </c>
      <c r="O3328" s="380" t="s">
        <v>443</v>
      </c>
      <c r="P3328" s="380" t="s">
        <v>443</v>
      </c>
      <c r="Q3328" s="381">
        <v>14.4866319468921</v>
      </c>
      <c r="R3328" s="381">
        <v>14.4745796810687</v>
      </c>
      <c r="S3328" s="381">
        <v>8.95247481478878E-3</v>
      </c>
      <c r="T3328" s="381">
        <v>3.0997910085422001E-3</v>
      </c>
      <c r="U3328" s="381">
        <v>0</v>
      </c>
      <c r="V3328" s="382">
        <v>14.486631946892032</v>
      </c>
      <c r="W3328" s="382">
        <v>0</v>
      </c>
      <c r="X3328" s="381">
        <v>4.115520439457983</v>
      </c>
      <c r="Y3328" s="381">
        <v>4.1120965003036076</v>
      </c>
      <c r="Z3328" s="381">
        <v>2.5433167087468124E-3</v>
      </c>
      <c r="AA3328" s="381">
        <v>8.8062244560857962E-4</v>
      </c>
      <c r="AB3328" s="381">
        <v>0</v>
      </c>
      <c r="AC3328" s="382">
        <v>4.1155204394579625</v>
      </c>
      <c r="AD3328" s="382">
        <v>0</v>
      </c>
      <c r="AE3328" s="381" t="s">
        <v>444</v>
      </c>
    </row>
    <row r="3329" spans="1:31" ht="15" customHeight="1" x14ac:dyDescent="0.25">
      <c r="A3329" s="20" t="s">
        <v>4868</v>
      </c>
      <c r="B3329" s="20" t="s">
        <v>4868</v>
      </c>
      <c r="C3329" s="20" t="s">
        <v>4869</v>
      </c>
      <c r="D3329" s="378" t="s">
        <v>4956</v>
      </c>
      <c r="E3329" s="384">
        <v>45292</v>
      </c>
      <c r="F3329" s="384">
        <v>47119</v>
      </c>
      <c r="G3329" s="378" t="s">
        <v>439</v>
      </c>
      <c r="H3329" s="20" t="s">
        <v>4944</v>
      </c>
      <c r="I3329" s="378" t="s">
        <v>441</v>
      </c>
      <c r="J3329" s="20" t="s">
        <v>163</v>
      </c>
      <c r="K3329" s="378" t="s">
        <v>4957</v>
      </c>
      <c r="L3329" s="378" t="s">
        <v>2789</v>
      </c>
      <c r="M3329" s="380" t="s">
        <v>443</v>
      </c>
      <c r="N3329" s="380">
        <v>4.0999999999999996</v>
      </c>
      <c r="O3329" s="380" t="s">
        <v>443</v>
      </c>
      <c r="P3329" s="380" t="s">
        <v>443</v>
      </c>
      <c r="Q3329" s="381">
        <v>13.1375435718906</v>
      </c>
      <c r="R3329" s="381">
        <v>13.1300316004534</v>
      </c>
      <c r="S3329" s="381">
        <v>2.1128930274998702E-2</v>
      </c>
      <c r="T3329" s="381">
        <v>2.3457139031698598E-3</v>
      </c>
      <c r="U3329" s="381">
        <v>0</v>
      </c>
      <c r="V3329" s="382">
        <v>13.153506244631568</v>
      </c>
      <c r="W3329" s="382">
        <v>0</v>
      </c>
      <c r="X3329" s="381">
        <v>3.2042789199733175</v>
      </c>
      <c r="Y3329" s="381">
        <v>3.2024467318179028</v>
      </c>
      <c r="Z3329" s="381">
        <v>5.1533976280484645E-3</v>
      </c>
      <c r="AA3329" s="381">
        <v>5.7212534223655121E-4</v>
      </c>
      <c r="AB3329" s="381">
        <v>0</v>
      </c>
      <c r="AC3329" s="382">
        <v>3.2081722547881881</v>
      </c>
      <c r="AD3329" s="382">
        <v>0</v>
      </c>
      <c r="AE3329" s="381" t="s">
        <v>444</v>
      </c>
    </row>
    <row r="3330" spans="1:31" ht="15" customHeight="1" x14ac:dyDescent="0.25">
      <c r="A3330" s="20" t="s">
        <v>4868</v>
      </c>
      <c r="B3330" s="20" t="s">
        <v>4868</v>
      </c>
      <c r="C3330" s="20" t="s">
        <v>4869</v>
      </c>
      <c r="D3330" s="378" t="s">
        <v>4958</v>
      </c>
      <c r="E3330" s="384">
        <v>45292</v>
      </c>
      <c r="F3330" s="384">
        <v>47119</v>
      </c>
      <c r="G3330" s="378" t="s">
        <v>439</v>
      </c>
      <c r="H3330" s="20" t="s">
        <v>4941</v>
      </c>
      <c r="I3330" s="378" t="s">
        <v>441</v>
      </c>
      <c r="J3330" s="20" t="s">
        <v>163</v>
      </c>
      <c r="K3330" s="378" t="s">
        <v>4959</v>
      </c>
      <c r="L3330" s="378" t="s">
        <v>2789</v>
      </c>
      <c r="M3330" s="380" t="s">
        <v>443</v>
      </c>
      <c r="N3330" s="380">
        <v>3.64</v>
      </c>
      <c r="O3330" s="380" t="s">
        <v>443</v>
      </c>
      <c r="P3330" s="380" t="s">
        <v>443</v>
      </c>
      <c r="Q3330" s="381">
        <v>11.736036805462501</v>
      </c>
      <c r="R3330" s="381">
        <v>11.7285570699106</v>
      </c>
      <c r="S3330" s="381">
        <v>1.9514560185184101E-2</v>
      </c>
      <c r="T3330" s="381">
        <v>2.0990898194400299E-3</v>
      </c>
      <c r="U3330" s="381">
        <v>0</v>
      </c>
      <c r="V3330" s="382">
        <v>11.750170719915225</v>
      </c>
      <c r="W3330" s="382">
        <v>0</v>
      </c>
      <c r="X3330" s="381">
        <v>3.2241859355666209</v>
      </c>
      <c r="Y3330" s="381">
        <v>3.2221310631622528</v>
      </c>
      <c r="Z3330" s="381">
        <v>5.3611429080176101E-3</v>
      </c>
      <c r="AA3330" s="381">
        <v>5.7667302731868951E-4</v>
      </c>
      <c r="AB3330" s="381">
        <v>0</v>
      </c>
      <c r="AC3330" s="382">
        <v>3.2280688790975893</v>
      </c>
      <c r="AD3330" s="382">
        <v>0</v>
      </c>
      <c r="AE3330" s="381" t="s">
        <v>444</v>
      </c>
    </row>
    <row r="3331" spans="1:31" ht="15" customHeight="1" x14ac:dyDescent="0.25">
      <c r="A3331" s="20" t="s">
        <v>4960</v>
      </c>
      <c r="B3331" s="20" t="s">
        <v>4960</v>
      </c>
      <c r="C3331" s="20" t="s">
        <v>4960</v>
      </c>
      <c r="D3331" s="378" t="s">
        <v>4961</v>
      </c>
      <c r="E3331" s="384">
        <v>45005</v>
      </c>
      <c r="F3331" s="384">
        <v>46832</v>
      </c>
      <c r="G3331" s="378" t="s">
        <v>439</v>
      </c>
      <c r="H3331" s="378" t="s">
        <v>4962</v>
      </c>
      <c r="I3331" s="378" t="s">
        <v>4772</v>
      </c>
      <c r="J3331" s="20" t="s">
        <v>163</v>
      </c>
      <c r="K3331" s="378" t="s">
        <v>4963</v>
      </c>
      <c r="L3331" s="378" t="s">
        <v>2789</v>
      </c>
      <c r="M3331" s="381"/>
      <c r="N3331" s="381">
        <v>8.01</v>
      </c>
      <c r="O3331" s="380"/>
      <c r="P3331" s="380"/>
      <c r="Q3331" s="381">
        <v>24.690999999999999</v>
      </c>
      <c r="R3331" s="381">
        <v>24.9</v>
      </c>
      <c r="S3331" s="381">
        <v>-0.20899999999999999</v>
      </c>
      <c r="T3331" s="381"/>
      <c r="U3331" s="381"/>
      <c r="V3331" s="382">
        <v>24.9</v>
      </c>
      <c r="W3331" s="382">
        <v>0</v>
      </c>
      <c r="X3331" s="381">
        <v>3.0825218476903871</v>
      </c>
      <c r="Y3331" s="381">
        <v>3.1086142322097379</v>
      </c>
      <c r="Z3331" s="381">
        <v>-2.6092384519350812E-2</v>
      </c>
      <c r="AA3331" s="381">
        <v>0</v>
      </c>
      <c r="AB3331" s="381">
        <v>0</v>
      </c>
      <c r="AC3331" s="382">
        <v>3.1086142322097379</v>
      </c>
      <c r="AD3331" s="382">
        <v>0</v>
      </c>
      <c r="AE3331" s="381" t="s">
        <v>168</v>
      </c>
    </row>
    <row r="3332" spans="1:31" ht="15" customHeight="1" x14ac:dyDescent="0.25">
      <c r="A3332" s="20" t="s">
        <v>4960</v>
      </c>
      <c r="B3332" s="20" t="s">
        <v>4960</v>
      </c>
      <c r="C3332" s="20" t="s">
        <v>4960</v>
      </c>
      <c r="D3332" s="378" t="s">
        <v>4964</v>
      </c>
      <c r="E3332" s="384">
        <v>45008</v>
      </c>
      <c r="F3332" s="384">
        <v>46835</v>
      </c>
      <c r="G3332" s="378" t="s">
        <v>439</v>
      </c>
      <c r="H3332" s="378" t="s">
        <v>4965</v>
      </c>
      <c r="I3332" s="378" t="s">
        <v>162</v>
      </c>
      <c r="J3332" s="20" t="s">
        <v>163</v>
      </c>
      <c r="K3332" s="378" t="s">
        <v>4966</v>
      </c>
      <c r="L3332" s="378" t="s">
        <v>2789</v>
      </c>
      <c r="M3332" s="381"/>
      <c r="N3332" s="381">
        <v>4.5</v>
      </c>
      <c r="O3332" s="380"/>
      <c r="P3332" s="380"/>
      <c r="Q3332" s="381">
        <v>15.174000000000001</v>
      </c>
      <c r="R3332" s="381">
        <v>15.3</v>
      </c>
      <c r="S3332" s="381">
        <v>-0.126</v>
      </c>
      <c r="T3332" s="381"/>
      <c r="U3332" s="381"/>
      <c r="V3332" s="382">
        <v>15.3</v>
      </c>
      <c r="W3332" s="382">
        <v>0</v>
      </c>
      <c r="X3332" s="381">
        <v>3.3720000000000003</v>
      </c>
      <c r="Y3332" s="381">
        <v>3.4000000000000004</v>
      </c>
      <c r="Z3332" s="381">
        <v>-2.8000000000000001E-2</v>
      </c>
      <c r="AA3332" s="381">
        <v>0</v>
      </c>
      <c r="AB3332" s="381">
        <v>0</v>
      </c>
      <c r="AC3332" s="382">
        <v>3.4000000000000004</v>
      </c>
      <c r="AD3332" s="382">
        <v>0</v>
      </c>
      <c r="AE3332" s="381" t="s">
        <v>168</v>
      </c>
    </row>
    <row r="3333" spans="1:31" ht="15" customHeight="1" x14ac:dyDescent="0.25">
      <c r="A3333" s="20" t="s">
        <v>4960</v>
      </c>
      <c r="B3333" s="20" t="s">
        <v>4960</v>
      </c>
      <c r="C3333" s="20" t="s">
        <v>4960</v>
      </c>
      <c r="D3333" s="378" t="s">
        <v>4967</v>
      </c>
      <c r="E3333" s="384">
        <v>45005</v>
      </c>
      <c r="F3333" s="384">
        <v>46832</v>
      </c>
      <c r="G3333" s="378" t="s">
        <v>439</v>
      </c>
      <c r="H3333" s="378" t="s">
        <v>4962</v>
      </c>
      <c r="I3333" s="378" t="s">
        <v>4772</v>
      </c>
      <c r="J3333" s="20" t="s">
        <v>163</v>
      </c>
      <c r="K3333" s="378" t="s">
        <v>4963</v>
      </c>
      <c r="L3333" s="378" t="s">
        <v>2789</v>
      </c>
      <c r="M3333" s="381"/>
      <c r="N3333" s="381">
        <v>6.05</v>
      </c>
      <c r="O3333" s="380"/>
      <c r="P3333" s="380"/>
      <c r="Q3333" s="381">
        <v>19.34</v>
      </c>
      <c r="R3333" s="381">
        <v>19.5</v>
      </c>
      <c r="S3333" s="381">
        <v>-0.16</v>
      </c>
      <c r="T3333" s="381"/>
      <c r="U3333" s="381"/>
      <c r="V3333" s="382">
        <v>19.5</v>
      </c>
      <c r="W3333" s="382">
        <v>0</v>
      </c>
      <c r="X3333" s="381">
        <v>3.1966942148760333</v>
      </c>
      <c r="Y3333" s="381">
        <v>3.2231404958677685</v>
      </c>
      <c r="Z3333" s="381">
        <v>-2.644628099173554E-2</v>
      </c>
      <c r="AA3333" s="381">
        <v>0</v>
      </c>
      <c r="AB3333" s="381">
        <v>0</v>
      </c>
      <c r="AC3333" s="382">
        <v>3.2231404958677685</v>
      </c>
      <c r="AD3333" s="382">
        <v>0</v>
      </c>
      <c r="AE3333" s="381" t="s">
        <v>168</v>
      </c>
    </row>
    <row r="3334" spans="1:31" ht="15" customHeight="1" x14ac:dyDescent="0.25">
      <c r="A3334" s="20" t="s">
        <v>4960</v>
      </c>
      <c r="B3334" s="20" t="s">
        <v>4960</v>
      </c>
      <c r="C3334" s="20" t="s">
        <v>4960</v>
      </c>
      <c r="D3334" s="378" t="s">
        <v>4968</v>
      </c>
      <c r="E3334" s="384">
        <v>45005</v>
      </c>
      <c r="F3334" s="384">
        <v>46832</v>
      </c>
      <c r="G3334" s="378" t="s">
        <v>439</v>
      </c>
      <c r="H3334" s="378" t="s">
        <v>4962</v>
      </c>
      <c r="I3334" s="378" t="s">
        <v>4772</v>
      </c>
      <c r="J3334" s="20" t="s">
        <v>163</v>
      </c>
      <c r="K3334" s="378" t="s">
        <v>4963</v>
      </c>
      <c r="L3334" s="378" t="s">
        <v>2789</v>
      </c>
      <c r="M3334" s="381"/>
      <c r="N3334" s="381">
        <v>5.65</v>
      </c>
      <c r="O3334" s="380"/>
      <c r="P3334" s="380"/>
      <c r="Q3334" s="381">
        <v>18.25</v>
      </c>
      <c r="R3334" s="381">
        <v>18.399999999999999</v>
      </c>
      <c r="S3334" s="381">
        <v>-0.15</v>
      </c>
      <c r="T3334" s="381"/>
      <c r="U3334" s="381"/>
      <c r="V3334" s="382">
        <v>18.399999999999999</v>
      </c>
      <c r="W3334" s="382">
        <v>0</v>
      </c>
      <c r="X3334" s="381">
        <v>3.2300884955752212</v>
      </c>
      <c r="Y3334" s="381">
        <v>3.2566371681415927</v>
      </c>
      <c r="Z3334" s="381">
        <v>-2.6548672566371678E-2</v>
      </c>
      <c r="AA3334" s="381">
        <v>0</v>
      </c>
      <c r="AB3334" s="381">
        <v>0</v>
      </c>
      <c r="AC3334" s="382">
        <v>3.2566371681415927</v>
      </c>
      <c r="AD3334" s="382">
        <v>0</v>
      </c>
      <c r="AE3334" s="381" t="s">
        <v>168</v>
      </c>
    </row>
    <row r="3335" spans="1:31" ht="15" customHeight="1" x14ac:dyDescent="0.25">
      <c r="A3335" s="20" t="s">
        <v>4960</v>
      </c>
      <c r="B3335" s="20" t="s">
        <v>4960</v>
      </c>
      <c r="C3335" s="20" t="s">
        <v>4960</v>
      </c>
      <c r="D3335" s="378" t="s">
        <v>4969</v>
      </c>
      <c r="E3335" s="384">
        <v>45008</v>
      </c>
      <c r="F3335" s="384">
        <v>46835</v>
      </c>
      <c r="G3335" s="378" t="s">
        <v>439</v>
      </c>
      <c r="H3335" s="378" t="s">
        <v>4965</v>
      </c>
      <c r="I3335" s="378" t="s">
        <v>162</v>
      </c>
      <c r="J3335" s="20" t="s">
        <v>163</v>
      </c>
      <c r="K3335" s="378" t="s">
        <v>4966</v>
      </c>
      <c r="L3335" s="378" t="s">
        <v>2789</v>
      </c>
      <c r="M3335" s="381"/>
      <c r="N3335" s="381">
        <v>3.95</v>
      </c>
      <c r="O3335" s="380"/>
      <c r="P3335" s="380"/>
      <c r="Q3335" s="381">
        <v>13.688000000000001</v>
      </c>
      <c r="R3335" s="381">
        <v>13.8</v>
      </c>
      <c r="S3335" s="381">
        <v>-0.112</v>
      </c>
      <c r="T3335" s="381"/>
      <c r="U3335" s="381"/>
      <c r="V3335" s="382">
        <v>13.8</v>
      </c>
      <c r="W3335" s="382">
        <v>0</v>
      </c>
      <c r="X3335" s="381">
        <v>3.4653164556962026</v>
      </c>
      <c r="Y3335" s="381">
        <v>3.4936708860759493</v>
      </c>
      <c r="Z3335" s="381">
        <v>-2.8354430379746835E-2</v>
      </c>
      <c r="AA3335" s="381">
        <v>0</v>
      </c>
      <c r="AB3335" s="381">
        <v>0</v>
      </c>
      <c r="AC3335" s="382">
        <v>3.4936708860759493</v>
      </c>
      <c r="AD3335" s="382">
        <v>0</v>
      </c>
      <c r="AE3335" s="381" t="s">
        <v>168</v>
      </c>
    </row>
    <row r="3336" spans="1:31" ht="15" customHeight="1" x14ac:dyDescent="0.25">
      <c r="A3336" s="20" t="s">
        <v>4960</v>
      </c>
      <c r="B3336" s="20" t="s">
        <v>4960</v>
      </c>
      <c r="C3336" s="20" t="s">
        <v>4960</v>
      </c>
      <c r="D3336" s="378" t="s">
        <v>4970</v>
      </c>
      <c r="E3336" s="384">
        <v>45005</v>
      </c>
      <c r="F3336" s="384">
        <v>46832</v>
      </c>
      <c r="G3336" s="378" t="s">
        <v>439</v>
      </c>
      <c r="H3336" s="378" t="s">
        <v>4962</v>
      </c>
      <c r="I3336" s="378" t="s">
        <v>4772</v>
      </c>
      <c r="J3336" s="20" t="s">
        <v>163</v>
      </c>
      <c r="K3336" s="378" t="s">
        <v>4963</v>
      </c>
      <c r="L3336" s="378" t="s">
        <v>2789</v>
      </c>
      <c r="M3336" s="381"/>
      <c r="N3336" s="381">
        <v>4.87</v>
      </c>
      <c r="O3336" s="380"/>
      <c r="P3336" s="380"/>
      <c r="Q3336" s="381">
        <v>16.169</v>
      </c>
      <c r="R3336" s="381">
        <v>16.3</v>
      </c>
      <c r="S3336" s="381">
        <v>-0.13100000000000001</v>
      </c>
      <c r="T3336" s="381"/>
      <c r="U3336" s="381"/>
      <c r="V3336" s="382">
        <v>16.3</v>
      </c>
      <c r="W3336" s="382">
        <v>0</v>
      </c>
      <c r="X3336" s="381">
        <v>3.3201232032854211</v>
      </c>
      <c r="Y3336" s="381">
        <v>3.3470225872689938</v>
      </c>
      <c r="Z3336" s="381">
        <v>-2.6899383983572896E-2</v>
      </c>
      <c r="AA3336" s="381">
        <v>0</v>
      </c>
      <c r="AB3336" s="381">
        <v>0</v>
      </c>
      <c r="AC3336" s="382">
        <v>3.3470225872689938</v>
      </c>
      <c r="AD3336" s="382">
        <v>0</v>
      </c>
      <c r="AE3336" s="381" t="s">
        <v>168</v>
      </c>
    </row>
    <row r="3337" spans="1:31" ht="15" customHeight="1" x14ac:dyDescent="0.25">
      <c r="A3337" s="20" t="s">
        <v>4960</v>
      </c>
      <c r="B3337" s="20" t="s">
        <v>4960</v>
      </c>
      <c r="C3337" s="20" t="s">
        <v>4960</v>
      </c>
      <c r="D3337" s="378" t="s">
        <v>4971</v>
      </c>
      <c r="E3337" s="384">
        <v>45008</v>
      </c>
      <c r="F3337" s="384">
        <v>46835</v>
      </c>
      <c r="G3337" s="378" t="s">
        <v>439</v>
      </c>
      <c r="H3337" s="378" t="s">
        <v>4965</v>
      </c>
      <c r="I3337" s="378" t="s">
        <v>162</v>
      </c>
      <c r="J3337" s="20" t="s">
        <v>163</v>
      </c>
      <c r="K3337" s="378" t="s">
        <v>4966</v>
      </c>
      <c r="L3337" s="378" t="s">
        <v>2789</v>
      </c>
      <c r="M3337" s="381"/>
      <c r="N3337" s="381">
        <v>3.48</v>
      </c>
      <c r="O3337" s="380"/>
      <c r="P3337" s="380"/>
      <c r="Q3337" s="381">
        <v>12.4</v>
      </c>
      <c r="R3337" s="381">
        <v>12.5</v>
      </c>
      <c r="S3337" s="381">
        <v>-0.1</v>
      </c>
      <c r="T3337" s="381"/>
      <c r="U3337" s="381"/>
      <c r="V3337" s="382">
        <v>12.5</v>
      </c>
      <c r="W3337" s="382">
        <v>0</v>
      </c>
      <c r="X3337" s="381">
        <v>3.563218390804598</v>
      </c>
      <c r="Y3337" s="381">
        <v>3.5919540229885056</v>
      </c>
      <c r="Z3337" s="381">
        <v>-2.8735632183908049E-2</v>
      </c>
      <c r="AA3337" s="381">
        <v>0</v>
      </c>
      <c r="AB3337" s="381">
        <v>0</v>
      </c>
      <c r="AC3337" s="382">
        <v>3.5919540229885056</v>
      </c>
      <c r="AD3337" s="382">
        <v>0</v>
      </c>
      <c r="AE3337" s="381" t="s">
        <v>168</v>
      </c>
    </row>
    <row r="3338" spans="1:31" ht="15" customHeight="1" x14ac:dyDescent="0.25">
      <c r="A3338" s="20" t="s">
        <v>4960</v>
      </c>
      <c r="B3338" s="20" t="s">
        <v>4960</v>
      </c>
      <c r="C3338" s="20" t="s">
        <v>4960</v>
      </c>
      <c r="D3338" s="378" t="s">
        <v>4972</v>
      </c>
      <c r="E3338" s="384">
        <v>45005</v>
      </c>
      <c r="F3338" s="384">
        <v>46832</v>
      </c>
      <c r="G3338" s="378" t="s">
        <v>439</v>
      </c>
      <c r="H3338" s="378" t="s">
        <v>4962</v>
      </c>
      <c r="I3338" s="378" t="s">
        <v>4772</v>
      </c>
      <c r="J3338" s="20" t="s">
        <v>163</v>
      </c>
      <c r="K3338" s="378" t="s">
        <v>4963</v>
      </c>
      <c r="L3338" s="378" t="s">
        <v>2789</v>
      </c>
      <c r="M3338" s="381"/>
      <c r="N3338" s="381">
        <v>4.4800000000000004</v>
      </c>
      <c r="O3338" s="380"/>
      <c r="P3338" s="380"/>
      <c r="Q3338" s="381">
        <v>15.078999999999999</v>
      </c>
      <c r="R3338" s="381">
        <v>15.2</v>
      </c>
      <c r="S3338" s="381">
        <v>-0.121</v>
      </c>
      <c r="T3338" s="381"/>
      <c r="U3338" s="381"/>
      <c r="V3338" s="382">
        <v>15.2</v>
      </c>
      <c r="W3338" s="382">
        <v>0</v>
      </c>
      <c r="X3338" s="381">
        <v>3.3658482142857138</v>
      </c>
      <c r="Y3338" s="381">
        <v>3.3928571428571423</v>
      </c>
      <c r="Z3338" s="381">
        <v>-2.7008928571428569E-2</v>
      </c>
      <c r="AA3338" s="381">
        <v>0</v>
      </c>
      <c r="AB3338" s="381">
        <v>0</v>
      </c>
      <c r="AC3338" s="382">
        <v>3.3928571428571423</v>
      </c>
      <c r="AD3338" s="382">
        <v>0</v>
      </c>
      <c r="AE3338" s="381" t="s">
        <v>168</v>
      </c>
    </row>
    <row r="3339" spans="1:31" ht="15" customHeight="1" x14ac:dyDescent="0.25">
      <c r="A3339" s="20" t="s">
        <v>4960</v>
      </c>
      <c r="B3339" s="20" t="s">
        <v>4960</v>
      </c>
      <c r="C3339" s="20" t="s">
        <v>4960</v>
      </c>
      <c r="D3339" s="378" t="s">
        <v>4973</v>
      </c>
      <c r="E3339" s="384">
        <v>45005</v>
      </c>
      <c r="F3339" s="384">
        <v>46832</v>
      </c>
      <c r="G3339" s="378" t="s">
        <v>439</v>
      </c>
      <c r="H3339" s="378" t="s">
        <v>4962</v>
      </c>
      <c r="I3339" s="378" t="s">
        <v>4772</v>
      </c>
      <c r="J3339" s="20" t="s">
        <v>163</v>
      </c>
      <c r="K3339" s="378" t="s">
        <v>4963</v>
      </c>
      <c r="L3339" s="378" t="s">
        <v>2789</v>
      </c>
      <c r="M3339" s="381"/>
      <c r="N3339" s="381">
        <v>3.93</v>
      </c>
      <c r="O3339" s="380"/>
      <c r="P3339" s="380"/>
      <c r="Q3339" s="381">
        <v>13.593</v>
      </c>
      <c r="R3339" s="381">
        <v>13.7</v>
      </c>
      <c r="S3339" s="381">
        <v>-0.107</v>
      </c>
      <c r="T3339" s="381"/>
      <c r="U3339" s="381"/>
      <c r="V3339" s="382">
        <v>13.7</v>
      </c>
      <c r="W3339" s="382">
        <v>0</v>
      </c>
      <c r="X3339" s="381">
        <v>3.4587786259541984</v>
      </c>
      <c r="Y3339" s="381">
        <v>3.4860050890585237</v>
      </c>
      <c r="Z3339" s="381">
        <v>-2.7226463104325697E-2</v>
      </c>
      <c r="AA3339" s="381">
        <v>0</v>
      </c>
      <c r="AB3339" s="381">
        <v>0</v>
      </c>
      <c r="AC3339" s="382">
        <v>3.4860050890585237</v>
      </c>
      <c r="AD3339" s="382">
        <v>0</v>
      </c>
      <c r="AE3339" s="381" t="s">
        <v>168</v>
      </c>
    </row>
    <row r="3340" spans="1:31" ht="15" customHeight="1" x14ac:dyDescent="0.25">
      <c r="A3340" s="20" t="s">
        <v>4960</v>
      </c>
      <c r="B3340" s="20" t="s">
        <v>4960</v>
      </c>
      <c r="C3340" s="20" t="s">
        <v>4960</v>
      </c>
      <c r="D3340" s="378" t="s">
        <v>4974</v>
      </c>
      <c r="E3340" s="384">
        <v>45005</v>
      </c>
      <c r="F3340" s="384">
        <v>46832</v>
      </c>
      <c r="G3340" s="378" t="s">
        <v>439</v>
      </c>
      <c r="H3340" s="378" t="s">
        <v>4962</v>
      </c>
      <c r="I3340" s="378" t="s">
        <v>4772</v>
      </c>
      <c r="J3340" s="20" t="s">
        <v>163</v>
      </c>
      <c r="K3340" s="378" t="s">
        <v>4963</v>
      </c>
      <c r="L3340" s="378" t="s">
        <v>2789</v>
      </c>
      <c r="M3340" s="381"/>
      <c r="N3340" s="381">
        <v>3.69</v>
      </c>
      <c r="O3340" s="380"/>
      <c r="P3340" s="380"/>
      <c r="Q3340" s="381">
        <v>12.998999999999999</v>
      </c>
      <c r="R3340" s="381">
        <v>13.1</v>
      </c>
      <c r="S3340" s="381">
        <v>-0.10100000000000001</v>
      </c>
      <c r="T3340" s="381"/>
      <c r="U3340" s="381"/>
      <c r="V3340" s="382">
        <v>13.1</v>
      </c>
      <c r="W3340" s="382">
        <v>0</v>
      </c>
      <c r="X3340" s="381">
        <v>3.5227642276422761</v>
      </c>
      <c r="Y3340" s="381">
        <v>3.5501355013550135</v>
      </c>
      <c r="Z3340" s="381">
        <v>-2.7371273712737128E-2</v>
      </c>
      <c r="AA3340" s="381">
        <v>0</v>
      </c>
      <c r="AB3340" s="381">
        <v>0</v>
      </c>
      <c r="AC3340" s="382">
        <v>3.5501355013550135</v>
      </c>
      <c r="AD3340" s="382">
        <v>0</v>
      </c>
      <c r="AE3340" s="381" t="s">
        <v>168</v>
      </c>
    </row>
    <row r="3341" spans="1:31" ht="15" customHeight="1" x14ac:dyDescent="0.25">
      <c r="A3341" s="20" t="s">
        <v>4960</v>
      </c>
      <c r="B3341" s="20" t="s">
        <v>4960</v>
      </c>
      <c r="C3341" s="20" t="s">
        <v>4960</v>
      </c>
      <c r="D3341" s="378" t="s">
        <v>4975</v>
      </c>
      <c r="E3341" s="384">
        <v>45005</v>
      </c>
      <c r="F3341" s="384">
        <v>46832</v>
      </c>
      <c r="G3341" s="378" t="s">
        <v>439</v>
      </c>
      <c r="H3341" s="378" t="s">
        <v>4962</v>
      </c>
      <c r="I3341" s="378" t="s">
        <v>4772</v>
      </c>
      <c r="J3341" s="20" t="s">
        <v>163</v>
      </c>
      <c r="K3341" s="378" t="s">
        <v>4963</v>
      </c>
      <c r="L3341" s="378" t="s">
        <v>2789</v>
      </c>
      <c r="M3341" s="381"/>
      <c r="N3341" s="381">
        <v>3.46</v>
      </c>
      <c r="O3341" s="380"/>
      <c r="P3341" s="380"/>
      <c r="Q3341" s="381">
        <v>12.3048</v>
      </c>
      <c r="R3341" s="381">
        <v>12.4</v>
      </c>
      <c r="S3341" s="381">
        <v>-9.5200000000000007E-2</v>
      </c>
      <c r="T3341" s="381"/>
      <c r="U3341" s="381"/>
      <c r="V3341" s="382">
        <v>12.4</v>
      </c>
      <c r="W3341" s="382">
        <v>0</v>
      </c>
      <c r="X3341" s="381">
        <v>3.5563005780346821</v>
      </c>
      <c r="Y3341" s="381">
        <v>3.5838150289017343</v>
      </c>
      <c r="Z3341" s="381">
        <v>-2.7514450867052027E-2</v>
      </c>
      <c r="AA3341" s="381">
        <v>0</v>
      </c>
      <c r="AB3341" s="381">
        <v>0</v>
      </c>
      <c r="AC3341" s="382">
        <v>3.5838150289017343</v>
      </c>
      <c r="AD3341" s="382">
        <v>0</v>
      </c>
      <c r="AE3341" s="381" t="s">
        <v>168</v>
      </c>
    </row>
    <row r="3342" spans="1:31" ht="15" customHeight="1" x14ac:dyDescent="0.25">
      <c r="A3342" s="20" t="s">
        <v>4960</v>
      </c>
      <c r="B3342" s="20" t="s">
        <v>4960</v>
      </c>
      <c r="C3342" s="20" t="s">
        <v>4960</v>
      </c>
      <c r="D3342" s="378" t="s">
        <v>4976</v>
      </c>
      <c r="E3342" s="384">
        <v>45005</v>
      </c>
      <c r="F3342" s="384">
        <v>46832</v>
      </c>
      <c r="G3342" s="378" t="s">
        <v>439</v>
      </c>
      <c r="H3342" s="378" t="s">
        <v>4962</v>
      </c>
      <c r="I3342" s="378" t="s">
        <v>4772</v>
      </c>
      <c r="J3342" s="20" t="s">
        <v>163</v>
      </c>
      <c r="K3342" s="378" t="s">
        <v>4963</v>
      </c>
      <c r="L3342" s="378" t="s">
        <v>2789</v>
      </c>
      <c r="M3342" s="381"/>
      <c r="N3342" s="381">
        <v>3.3</v>
      </c>
      <c r="O3342" s="380"/>
      <c r="P3342" s="380"/>
      <c r="Q3342" s="381">
        <v>11.908799999999999</v>
      </c>
      <c r="R3342" s="381">
        <v>12</v>
      </c>
      <c r="S3342" s="381">
        <v>-9.1200000000000003E-2</v>
      </c>
      <c r="T3342" s="381"/>
      <c r="U3342" s="381"/>
      <c r="V3342" s="382">
        <v>12</v>
      </c>
      <c r="W3342" s="382">
        <v>0</v>
      </c>
      <c r="X3342" s="381">
        <v>3.6087272727272728</v>
      </c>
      <c r="Y3342" s="381">
        <v>3.6363636363636367</v>
      </c>
      <c r="Z3342" s="381">
        <v>-2.7636363636363639E-2</v>
      </c>
      <c r="AA3342" s="381">
        <v>0</v>
      </c>
      <c r="AB3342" s="381">
        <v>0</v>
      </c>
      <c r="AC3342" s="382">
        <v>3.6363636363636367</v>
      </c>
      <c r="AD3342" s="382">
        <v>0</v>
      </c>
      <c r="AE3342" s="381" t="s">
        <v>168</v>
      </c>
    </row>
    <row r="3343" spans="1:31" ht="15" customHeight="1" x14ac:dyDescent="0.25">
      <c r="A3343" s="20" t="s">
        <v>4960</v>
      </c>
      <c r="B3343" s="20" t="s">
        <v>4960</v>
      </c>
      <c r="C3343" s="20" t="s">
        <v>4960</v>
      </c>
      <c r="D3343" s="378" t="s">
        <v>4977</v>
      </c>
      <c r="E3343" s="384">
        <v>45005</v>
      </c>
      <c r="F3343" s="384">
        <v>46832</v>
      </c>
      <c r="G3343" s="378" t="s">
        <v>439</v>
      </c>
      <c r="H3343" s="378" t="s">
        <v>4962</v>
      </c>
      <c r="I3343" s="378" t="s">
        <v>4772</v>
      </c>
      <c r="J3343" s="20" t="s">
        <v>163</v>
      </c>
      <c r="K3343" s="378" t="s">
        <v>4963</v>
      </c>
      <c r="L3343" s="378" t="s">
        <v>2789</v>
      </c>
      <c r="M3343" s="381"/>
      <c r="N3343" s="381">
        <v>2.91</v>
      </c>
      <c r="O3343" s="380"/>
      <c r="P3343" s="380"/>
      <c r="Q3343" s="381">
        <v>10.8186</v>
      </c>
      <c r="R3343" s="381">
        <v>10.9</v>
      </c>
      <c r="S3343" s="381">
        <v>-8.14E-2</v>
      </c>
      <c r="T3343" s="381"/>
      <c r="U3343" s="381"/>
      <c r="V3343" s="382">
        <v>10.9</v>
      </c>
      <c r="W3343" s="382">
        <v>0</v>
      </c>
      <c r="X3343" s="381">
        <v>3.7177319587628865</v>
      </c>
      <c r="Y3343" s="381">
        <v>3.7457044673539519</v>
      </c>
      <c r="Z3343" s="381">
        <v>-2.7972508591065291E-2</v>
      </c>
      <c r="AA3343" s="381">
        <v>0</v>
      </c>
      <c r="AB3343" s="381">
        <v>0</v>
      </c>
      <c r="AC3343" s="382">
        <v>3.7457044673539519</v>
      </c>
      <c r="AD3343" s="382">
        <v>0</v>
      </c>
      <c r="AE3343" s="381" t="s">
        <v>168</v>
      </c>
    </row>
    <row r="3344" spans="1:31" ht="15" customHeight="1" x14ac:dyDescent="0.25">
      <c r="A3344" s="20" t="s">
        <v>4960</v>
      </c>
      <c r="B3344" s="20" t="s">
        <v>4960</v>
      </c>
      <c r="C3344" s="20" t="s">
        <v>4960</v>
      </c>
      <c r="D3344" s="378" t="s">
        <v>4978</v>
      </c>
      <c r="E3344" s="384">
        <v>45005</v>
      </c>
      <c r="F3344" s="384">
        <v>46832</v>
      </c>
      <c r="G3344" s="378" t="s">
        <v>439</v>
      </c>
      <c r="H3344" s="378" t="s">
        <v>4962</v>
      </c>
      <c r="I3344" s="378" t="s">
        <v>4772</v>
      </c>
      <c r="J3344" s="20" t="s">
        <v>163</v>
      </c>
      <c r="K3344" s="378" t="s">
        <v>4963</v>
      </c>
      <c r="L3344" s="378" t="s">
        <v>2789</v>
      </c>
      <c r="M3344" s="381"/>
      <c r="N3344" s="381">
        <v>2.5099999999999998</v>
      </c>
      <c r="O3344" s="380"/>
      <c r="P3344" s="380"/>
      <c r="Q3344" s="381">
        <v>9.7683999999999997</v>
      </c>
      <c r="R3344" s="381">
        <v>9.84</v>
      </c>
      <c r="S3344" s="381">
        <v>-7.1599999999999997E-2</v>
      </c>
      <c r="T3344" s="381"/>
      <c r="U3344" s="381"/>
      <c r="V3344" s="382">
        <v>9.84</v>
      </c>
      <c r="W3344" s="382">
        <v>0</v>
      </c>
      <c r="X3344" s="381">
        <v>3.8917928286852592</v>
      </c>
      <c r="Y3344" s="381">
        <v>3.9203187250996017</v>
      </c>
      <c r="Z3344" s="381">
        <v>-2.8525896414342632E-2</v>
      </c>
      <c r="AA3344" s="381">
        <v>0</v>
      </c>
      <c r="AB3344" s="381">
        <v>0</v>
      </c>
      <c r="AC3344" s="382">
        <v>3.9203187250996017</v>
      </c>
      <c r="AD3344" s="382">
        <v>0</v>
      </c>
      <c r="AE3344" s="381" t="s">
        <v>168</v>
      </c>
    </row>
    <row r="3345" spans="1:31" ht="15" customHeight="1" x14ac:dyDescent="0.25">
      <c r="A3345" s="20" t="s">
        <v>4960</v>
      </c>
      <c r="B3345" s="20" t="s">
        <v>4960</v>
      </c>
      <c r="C3345" s="20" t="s">
        <v>4960</v>
      </c>
      <c r="D3345" s="378" t="s">
        <v>4979</v>
      </c>
      <c r="E3345" s="384">
        <v>45008</v>
      </c>
      <c r="F3345" s="384">
        <v>46835</v>
      </c>
      <c r="G3345" s="378" t="s">
        <v>439</v>
      </c>
      <c r="H3345" s="378" t="s">
        <v>4965</v>
      </c>
      <c r="I3345" s="378" t="s">
        <v>162</v>
      </c>
      <c r="J3345" s="20" t="s">
        <v>163</v>
      </c>
      <c r="K3345" s="378" t="s">
        <v>4966</v>
      </c>
      <c r="L3345" s="378" t="s">
        <v>2789</v>
      </c>
      <c r="M3345" s="381"/>
      <c r="N3345" s="381">
        <v>3.48</v>
      </c>
      <c r="O3345" s="380"/>
      <c r="P3345" s="380"/>
      <c r="Q3345" s="381">
        <v>12.0898</v>
      </c>
      <c r="R3345" s="381">
        <v>12.1</v>
      </c>
      <c r="S3345" s="381">
        <v>-1.0200000000000001E-2</v>
      </c>
      <c r="T3345" s="381"/>
      <c r="U3345" s="381"/>
      <c r="V3345" s="382">
        <v>12.1</v>
      </c>
      <c r="W3345" s="382">
        <v>0</v>
      </c>
      <c r="X3345" s="381">
        <v>3.4740804597701151</v>
      </c>
      <c r="Y3345" s="381">
        <v>3.4770114942528734</v>
      </c>
      <c r="Z3345" s="381">
        <v>-2.9310344827586207E-3</v>
      </c>
      <c r="AA3345" s="381">
        <v>0</v>
      </c>
      <c r="AB3345" s="381">
        <v>0</v>
      </c>
      <c r="AC3345" s="382">
        <v>3.4770114942528734</v>
      </c>
      <c r="AD3345" s="382">
        <v>0</v>
      </c>
      <c r="AE3345" s="381" t="s">
        <v>168</v>
      </c>
    </row>
    <row r="3346" spans="1:31" ht="15" customHeight="1" x14ac:dyDescent="0.25">
      <c r="A3346" s="20" t="s">
        <v>4960</v>
      </c>
      <c r="B3346" s="20" t="s">
        <v>4960</v>
      </c>
      <c r="C3346" s="20" t="s">
        <v>4960</v>
      </c>
      <c r="D3346" s="378" t="s">
        <v>4980</v>
      </c>
      <c r="E3346" s="384">
        <v>45138</v>
      </c>
      <c r="F3346" s="384">
        <v>46965</v>
      </c>
      <c r="G3346" s="378" t="s">
        <v>439</v>
      </c>
      <c r="H3346" s="378" t="s">
        <v>4981</v>
      </c>
      <c r="I3346" s="378" t="s">
        <v>162</v>
      </c>
      <c r="J3346" s="20" t="s">
        <v>163</v>
      </c>
      <c r="K3346" s="378" t="s">
        <v>4982</v>
      </c>
      <c r="L3346" s="378" t="s">
        <v>2789</v>
      </c>
      <c r="M3346" s="381"/>
      <c r="N3346" s="381">
        <v>3.47</v>
      </c>
      <c r="O3346" s="380"/>
      <c r="P3346" s="380"/>
      <c r="Q3346" s="381">
        <v>12.3901</v>
      </c>
      <c r="R3346" s="381">
        <v>12.4</v>
      </c>
      <c r="S3346" s="381">
        <v>-9.9000000000000008E-3</v>
      </c>
      <c r="T3346" s="381"/>
      <c r="U3346" s="381"/>
      <c r="V3346" s="382">
        <v>12.4</v>
      </c>
      <c r="W3346" s="382">
        <v>0</v>
      </c>
      <c r="X3346" s="381">
        <v>3.5706340057636887</v>
      </c>
      <c r="Y3346" s="381">
        <v>3.5734870317002883</v>
      </c>
      <c r="Z3346" s="381">
        <v>-2.8530259365994238E-3</v>
      </c>
      <c r="AA3346" s="381">
        <v>0</v>
      </c>
      <c r="AB3346" s="381">
        <v>0</v>
      </c>
      <c r="AC3346" s="382">
        <v>3.5734870317002883</v>
      </c>
      <c r="AD3346" s="382">
        <v>0</v>
      </c>
      <c r="AE3346" s="381" t="s">
        <v>168</v>
      </c>
    </row>
    <row r="3347" spans="1:31" ht="15" customHeight="1" x14ac:dyDescent="0.25">
      <c r="A3347" s="20" t="s">
        <v>4960</v>
      </c>
      <c r="B3347" s="20" t="s">
        <v>4960</v>
      </c>
      <c r="C3347" s="20" t="s">
        <v>4960</v>
      </c>
      <c r="D3347" s="378" t="s">
        <v>4983</v>
      </c>
      <c r="E3347" s="384">
        <v>45008</v>
      </c>
      <c r="F3347" s="384">
        <v>46835</v>
      </c>
      <c r="G3347" s="378" t="s">
        <v>439</v>
      </c>
      <c r="H3347" s="378" t="s">
        <v>4965</v>
      </c>
      <c r="I3347" s="378" t="s">
        <v>162</v>
      </c>
      <c r="J3347" s="20" t="s">
        <v>163</v>
      </c>
      <c r="K3347" s="378" t="s">
        <v>4966</v>
      </c>
      <c r="L3347" s="378" t="s">
        <v>2789</v>
      </c>
      <c r="M3347" s="381"/>
      <c r="N3347" s="381">
        <v>3.95</v>
      </c>
      <c r="O3347" s="380"/>
      <c r="P3347" s="380"/>
      <c r="Q3347" s="381">
        <v>13.290190000000001</v>
      </c>
      <c r="R3347" s="381">
        <v>13.3</v>
      </c>
      <c r="S3347" s="381">
        <v>-9.8099999999999993E-3</v>
      </c>
      <c r="T3347" s="381"/>
      <c r="U3347" s="381"/>
      <c r="V3347" s="382">
        <v>13.3</v>
      </c>
      <c r="W3347" s="382">
        <v>0</v>
      </c>
      <c r="X3347" s="381">
        <v>3.3646050632911395</v>
      </c>
      <c r="Y3347" s="381">
        <v>3.3670886075949369</v>
      </c>
      <c r="Z3347" s="381">
        <v>-2.4835443037974679E-3</v>
      </c>
      <c r="AA3347" s="381">
        <v>0</v>
      </c>
      <c r="AB3347" s="381">
        <v>0</v>
      </c>
      <c r="AC3347" s="382">
        <v>3.3670886075949369</v>
      </c>
      <c r="AD3347" s="382">
        <v>0</v>
      </c>
      <c r="AE3347" s="381" t="s">
        <v>168</v>
      </c>
    </row>
    <row r="3348" spans="1:31" ht="15" customHeight="1" x14ac:dyDescent="0.25">
      <c r="A3348" s="20" t="s">
        <v>4960</v>
      </c>
      <c r="B3348" s="20" t="s">
        <v>4960</v>
      </c>
      <c r="C3348" s="20" t="s">
        <v>4960</v>
      </c>
      <c r="D3348" s="378" t="s">
        <v>4984</v>
      </c>
      <c r="E3348" s="384">
        <v>45138</v>
      </c>
      <c r="F3348" s="384">
        <v>46965</v>
      </c>
      <c r="G3348" s="378" t="s">
        <v>439</v>
      </c>
      <c r="H3348" s="378" t="s">
        <v>4981</v>
      </c>
      <c r="I3348" s="378" t="s">
        <v>162</v>
      </c>
      <c r="J3348" s="20" t="s">
        <v>163</v>
      </c>
      <c r="K3348" s="378" t="s">
        <v>4982</v>
      </c>
      <c r="L3348" s="378" t="s">
        <v>2789</v>
      </c>
      <c r="M3348" s="381"/>
      <c r="N3348" s="381">
        <v>3.94</v>
      </c>
      <c r="O3348" s="380"/>
      <c r="P3348" s="380"/>
      <c r="Q3348" s="381">
        <v>13.690469999999999</v>
      </c>
      <c r="R3348" s="381">
        <v>13.7</v>
      </c>
      <c r="S3348" s="381">
        <v>-9.5300000000000003E-3</v>
      </c>
      <c r="T3348" s="381"/>
      <c r="U3348" s="381"/>
      <c r="V3348" s="382">
        <v>13.7</v>
      </c>
      <c r="W3348" s="382">
        <v>0</v>
      </c>
      <c r="X3348" s="381">
        <v>3.4747385786802027</v>
      </c>
      <c r="Y3348" s="381">
        <v>3.4771573604060912</v>
      </c>
      <c r="Z3348" s="381">
        <v>-2.4187817258883248E-3</v>
      </c>
      <c r="AA3348" s="381">
        <v>0</v>
      </c>
      <c r="AB3348" s="381">
        <v>0</v>
      </c>
      <c r="AC3348" s="382">
        <v>3.4771573604060912</v>
      </c>
      <c r="AD3348" s="382">
        <v>0</v>
      </c>
      <c r="AE3348" s="381" t="s">
        <v>168</v>
      </c>
    </row>
    <row r="3349" spans="1:31" ht="15" customHeight="1" x14ac:dyDescent="0.25">
      <c r="A3349" s="20" t="s">
        <v>4960</v>
      </c>
      <c r="B3349" s="20" t="s">
        <v>4960</v>
      </c>
      <c r="C3349" s="20" t="s">
        <v>4960</v>
      </c>
      <c r="D3349" s="378" t="s">
        <v>4985</v>
      </c>
      <c r="E3349" s="384">
        <v>45005</v>
      </c>
      <c r="F3349" s="384">
        <v>46832</v>
      </c>
      <c r="G3349" s="378" t="s">
        <v>439</v>
      </c>
      <c r="H3349" s="378" t="s">
        <v>4962</v>
      </c>
      <c r="I3349" s="378" t="s">
        <v>4772</v>
      </c>
      <c r="J3349" s="20" t="s">
        <v>163</v>
      </c>
      <c r="K3349" s="378" t="s">
        <v>4963</v>
      </c>
      <c r="L3349" s="378" t="s">
        <v>2789</v>
      </c>
      <c r="M3349" s="381"/>
      <c r="N3349" s="381">
        <v>2.5099999999999998</v>
      </c>
      <c r="O3349" s="380"/>
      <c r="P3349" s="380"/>
      <c r="Q3349" s="381">
        <v>9.4834700000000005</v>
      </c>
      <c r="R3349" s="381">
        <v>9.49</v>
      </c>
      <c r="S3349" s="381">
        <v>-6.5300000000000002E-3</v>
      </c>
      <c r="T3349" s="381"/>
      <c r="U3349" s="381"/>
      <c r="V3349" s="382">
        <v>9.49</v>
      </c>
      <c r="W3349" s="382">
        <v>0</v>
      </c>
      <c r="X3349" s="381">
        <v>3.7782749003984071</v>
      </c>
      <c r="Y3349" s="381">
        <v>3.7808764940239046</v>
      </c>
      <c r="Z3349" s="381">
        <v>-2.6015936254980081E-3</v>
      </c>
      <c r="AA3349" s="381">
        <v>0</v>
      </c>
      <c r="AB3349" s="381">
        <v>0</v>
      </c>
      <c r="AC3349" s="382">
        <v>3.7808764940239046</v>
      </c>
      <c r="AD3349" s="382">
        <v>0</v>
      </c>
      <c r="AE3349" s="381" t="s">
        <v>168</v>
      </c>
    </row>
    <row r="3350" spans="1:31" ht="15" customHeight="1" x14ac:dyDescent="0.25">
      <c r="A3350" s="20" t="s">
        <v>4960</v>
      </c>
      <c r="B3350" s="20" t="s">
        <v>4960</v>
      </c>
      <c r="C3350" s="20" t="s">
        <v>4960</v>
      </c>
      <c r="D3350" s="378" t="s">
        <v>4986</v>
      </c>
      <c r="E3350" s="384">
        <v>45008</v>
      </c>
      <c r="F3350" s="384">
        <v>46835</v>
      </c>
      <c r="G3350" s="378" t="s">
        <v>439</v>
      </c>
      <c r="H3350" s="378" t="s">
        <v>4965</v>
      </c>
      <c r="I3350" s="378" t="s">
        <v>162</v>
      </c>
      <c r="J3350" s="20" t="s">
        <v>163</v>
      </c>
      <c r="K3350" s="378" t="s">
        <v>4966</v>
      </c>
      <c r="L3350" s="378" t="s">
        <v>2789</v>
      </c>
      <c r="M3350" s="381"/>
      <c r="N3350" s="381">
        <v>4.5</v>
      </c>
      <c r="O3350" s="380"/>
      <c r="P3350" s="380"/>
      <c r="Q3350" s="381">
        <v>14.79063</v>
      </c>
      <c r="R3350" s="381">
        <v>14.8</v>
      </c>
      <c r="S3350" s="381">
        <v>-9.3699999999999999E-3</v>
      </c>
      <c r="T3350" s="381"/>
      <c r="U3350" s="381"/>
      <c r="V3350" s="382">
        <v>14.8</v>
      </c>
      <c r="W3350" s="382">
        <v>0</v>
      </c>
      <c r="X3350" s="381">
        <v>3.2868066666666667</v>
      </c>
      <c r="Y3350" s="381">
        <v>3.2888888888888892</v>
      </c>
      <c r="Z3350" s="381">
        <v>-2.0822222222222223E-3</v>
      </c>
      <c r="AA3350" s="381">
        <v>0</v>
      </c>
      <c r="AB3350" s="381">
        <v>0</v>
      </c>
      <c r="AC3350" s="382">
        <v>3.2888888888888892</v>
      </c>
      <c r="AD3350" s="382">
        <v>0</v>
      </c>
      <c r="AE3350" s="381" t="s">
        <v>168</v>
      </c>
    </row>
    <row r="3351" spans="1:31" ht="15" customHeight="1" x14ac:dyDescent="0.25">
      <c r="A3351" s="20" t="s">
        <v>4960</v>
      </c>
      <c r="B3351" s="20" t="s">
        <v>4960</v>
      </c>
      <c r="C3351" s="20" t="s">
        <v>4960</v>
      </c>
      <c r="D3351" s="378" t="s">
        <v>4987</v>
      </c>
      <c r="E3351" s="384">
        <v>45138</v>
      </c>
      <c r="F3351" s="384">
        <v>46965</v>
      </c>
      <c r="G3351" s="378" t="s">
        <v>439</v>
      </c>
      <c r="H3351" s="378" t="s">
        <v>4981</v>
      </c>
      <c r="I3351" s="378" t="s">
        <v>162</v>
      </c>
      <c r="J3351" s="20" t="s">
        <v>163</v>
      </c>
      <c r="K3351" s="378" t="s">
        <v>4982</v>
      </c>
      <c r="L3351" s="378" t="s">
        <v>2789</v>
      </c>
      <c r="M3351" s="381"/>
      <c r="N3351" s="381">
        <v>4.49</v>
      </c>
      <c r="O3351" s="380"/>
      <c r="P3351" s="380"/>
      <c r="Q3351" s="381">
        <v>15.090909999999999</v>
      </c>
      <c r="R3351" s="381">
        <v>15.1</v>
      </c>
      <c r="S3351" s="381">
        <v>-9.0900000000000009E-3</v>
      </c>
      <c r="T3351" s="381"/>
      <c r="U3351" s="381"/>
      <c r="V3351" s="382">
        <v>15.1</v>
      </c>
      <c r="W3351" s="382">
        <v>0</v>
      </c>
      <c r="X3351" s="381">
        <v>3.361004454342984</v>
      </c>
      <c r="Y3351" s="381">
        <v>3.3630289532293984</v>
      </c>
      <c r="Z3351" s="381">
        <v>-2.0244988864142541E-3</v>
      </c>
      <c r="AA3351" s="381">
        <v>0</v>
      </c>
      <c r="AB3351" s="381">
        <v>0</v>
      </c>
      <c r="AC3351" s="382">
        <v>3.3630289532293984</v>
      </c>
      <c r="AD3351" s="382">
        <v>0</v>
      </c>
      <c r="AE3351" s="381" t="s">
        <v>168</v>
      </c>
    </row>
    <row r="3352" spans="1:31" ht="15" customHeight="1" x14ac:dyDescent="0.25">
      <c r="A3352" s="20" t="s">
        <v>4960</v>
      </c>
      <c r="B3352" s="20" t="s">
        <v>4960</v>
      </c>
      <c r="C3352" s="20" t="s">
        <v>4960</v>
      </c>
      <c r="D3352" s="378" t="s">
        <v>4988</v>
      </c>
      <c r="E3352" s="384">
        <v>45005</v>
      </c>
      <c r="F3352" s="384">
        <v>46832</v>
      </c>
      <c r="G3352" s="378" t="s">
        <v>439</v>
      </c>
      <c r="H3352" s="378" t="s">
        <v>4962</v>
      </c>
      <c r="I3352" s="378" t="s">
        <v>4772</v>
      </c>
      <c r="J3352" s="20" t="s">
        <v>163</v>
      </c>
      <c r="K3352" s="378" t="s">
        <v>4963</v>
      </c>
      <c r="L3352" s="378" t="s">
        <v>2789</v>
      </c>
      <c r="M3352" s="381"/>
      <c r="N3352" s="381">
        <v>2.91</v>
      </c>
      <c r="O3352" s="380"/>
      <c r="P3352" s="380"/>
      <c r="Q3352" s="381">
        <v>10.493790000000001</v>
      </c>
      <c r="R3352" s="381">
        <v>10.5</v>
      </c>
      <c r="S3352" s="381">
        <v>-6.2100000000000002E-3</v>
      </c>
      <c r="T3352" s="381"/>
      <c r="U3352" s="381"/>
      <c r="V3352" s="382">
        <v>10.5</v>
      </c>
      <c r="W3352" s="382">
        <v>0</v>
      </c>
      <c r="X3352" s="381">
        <v>3.6061134020618555</v>
      </c>
      <c r="Y3352" s="381">
        <v>3.608247422680412</v>
      </c>
      <c r="Z3352" s="381">
        <v>-2.134020618556701E-3</v>
      </c>
      <c r="AA3352" s="381">
        <v>0</v>
      </c>
      <c r="AB3352" s="381">
        <v>0</v>
      </c>
      <c r="AC3352" s="382">
        <v>3.608247422680412</v>
      </c>
      <c r="AD3352" s="382">
        <v>0</v>
      </c>
      <c r="AE3352" s="381" t="s">
        <v>168</v>
      </c>
    </row>
    <row r="3353" spans="1:31" ht="15" customHeight="1" x14ac:dyDescent="0.25">
      <c r="A3353" s="20" t="s">
        <v>4960</v>
      </c>
      <c r="B3353" s="20" t="s">
        <v>4960</v>
      </c>
      <c r="C3353" s="20" t="s">
        <v>4960</v>
      </c>
      <c r="D3353" s="378" t="s">
        <v>4989</v>
      </c>
      <c r="E3353" s="384">
        <v>45138</v>
      </c>
      <c r="F3353" s="384">
        <v>46965</v>
      </c>
      <c r="G3353" s="378" t="s">
        <v>439</v>
      </c>
      <c r="H3353" s="378" t="s">
        <v>4981</v>
      </c>
      <c r="I3353" s="378" t="s">
        <v>162</v>
      </c>
      <c r="J3353" s="20" t="s">
        <v>163</v>
      </c>
      <c r="K3353" s="378" t="s">
        <v>4982</v>
      </c>
      <c r="L3353" s="378" t="s">
        <v>2789</v>
      </c>
      <c r="M3353" s="381"/>
      <c r="N3353" s="381">
        <v>4.88</v>
      </c>
      <c r="O3353" s="380"/>
      <c r="P3353" s="380"/>
      <c r="Q3353" s="381">
        <v>16.09122</v>
      </c>
      <c r="R3353" s="381">
        <v>16.100000000000001</v>
      </c>
      <c r="S3353" s="381">
        <v>-8.7799999999999996E-3</v>
      </c>
      <c r="T3353" s="381"/>
      <c r="U3353" s="381"/>
      <c r="V3353" s="382">
        <v>16.100000000000001</v>
      </c>
      <c r="W3353" s="382">
        <v>0</v>
      </c>
      <c r="X3353" s="381">
        <v>3.2973811475409835</v>
      </c>
      <c r="Y3353" s="381">
        <v>3.2991803278688527</v>
      </c>
      <c r="Z3353" s="381">
        <v>-1.7991803278688523E-3</v>
      </c>
      <c r="AA3353" s="381">
        <v>0</v>
      </c>
      <c r="AB3353" s="381">
        <v>0</v>
      </c>
      <c r="AC3353" s="382">
        <v>3.2991803278688527</v>
      </c>
      <c r="AD3353" s="382">
        <v>0</v>
      </c>
      <c r="AE3353" s="381" t="s">
        <v>168</v>
      </c>
    </row>
    <row r="3354" spans="1:31" ht="15" customHeight="1" x14ac:dyDescent="0.25">
      <c r="A3354" s="20" t="s">
        <v>4960</v>
      </c>
      <c r="B3354" s="20" t="s">
        <v>4960</v>
      </c>
      <c r="C3354" s="20" t="s">
        <v>4960</v>
      </c>
      <c r="D3354" s="378" t="s">
        <v>4990</v>
      </c>
      <c r="E3354" s="384">
        <v>45005</v>
      </c>
      <c r="F3354" s="384">
        <v>46832</v>
      </c>
      <c r="G3354" s="378" t="s">
        <v>439</v>
      </c>
      <c r="H3354" s="378" t="s">
        <v>4962</v>
      </c>
      <c r="I3354" s="378" t="s">
        <v>4772</v>
      </c>
      <c r="J3354" s="20" t="s">
        <v>163</v>
      </c>
      <c r="K3354" s="378" t="s">
        <v>4963</v>
      </c>
      <c r="L3354" s="378" t="s">
        <v>2789</v>
      </c>
      <c r="M3354" s="381"/>
      <c r="N3354" s="381">
        <v>3.3</v>
      </c>
      <c r="O3354" s="380"/>
      <c r="P3354" s="380"/>
      <c r="Q3354" s="381">
        <v>11.4941</v>
      </c>
      <c r="R3354" s="381">
        <v>11.5</v>
      </c>
      <c r="S3354" s="381">
        <v>-5.8999999999999999E-3</v>
      </c>
      <c r="T3354" s="381"/>
      <c r="U3354" s="381"/>
      <c r="V3354" s="382">
        <v>11.5</v>
      </c>
      <c r="W3354" s="382">
        <v>0</v>
      </c>
      <c r="X3354" s="381">
        <v>3.4830606060606062</v>
      </c>
      <c r="Y3354" s="381">
        <v>3.4848484848484849</v>
      </c>
      <c r="Z3354" s="381">
        <v>-1.7878787878787879E-3</v>
      </c>
      <c r="AA3354" s="381">
        <v>0</v>
      </c>
      <c r="AB3354" s="381">
        <v>0</v>
      </c>
      <c r="AC3354" s="382">
        <v>3.4848484848484849</v>
      </c>
      <c r="AD3354" s="382">
        <v>0</v>
      </c>
      <c r="AE3354" s="381" t="s">
        <v>168</v>
      </c>
    </row>
    <row r="3355" spans="1:31" ht="15" customHeight="1" x14ac:dyDescent="0.25">
      <c r="A3355" s="20" t="s">
        <v>4960</v>
      </c>
      <c r="B3355" s="20" t="s">
        <v>4960</v>
      </c>
      <c r="C3355" s="20" t="s">
        <v>4960</v>
      </c>
      <c r="D3355" s="378" t="s">
        <v>4991</v>
      </c>
      <c r="E3355" s="384">
        <v>45005</v>
      </c>
      <c r="F3355" s="384">
        <v>46832</v>
      </c>
      <c r="G3355" s="378" t="s">
        <v>439</v>
      </c>
      <c r="H3355" s="378" t="s">
        <v>4962</v>
      </c>
      <c r="I3355" s="378" t="s">
        <v>4772</v>
      </c>
      <c r="J3355" s="20" t="s">
        <v>163</v>
      </c>
      <c r="K3355" s="378" t="s">
        <v>4963</v>
      </c>
      <c r="L3355" s="378" t="s">
        <v>2789</v>
      </c>
      <c r="M3355" s="381"/>
      <c r="N3355" s="381">
        <v>3.46</v>
      </c>
      <c r="O3355" s="380"/>
      <c r="P3355" s="380"/>
      <c r="Q3355" s="381">
        <v>11.99422</v>
      </c>
      <c r="R3355" s="381">
        <v>12</v>
      </c>
      <c r="S3355" s="381">
        <v>-5.7800000000000004E-3</v>
      </c>
      <c r="T3355" s="381"/>
      <c r="U3355" s="381"/>
      <c r="V3355" s="382">
        <v>12</v>
      </c>
      <c r="W3355" s="382">
        <v>0</v>
      </c>
      <c r="X3355" s="381">
        <v>3.4665375722543352</v>
      </c>
      <c r="Y3355" s="381">
        <v>3.4682080924855492</v>
      </c>
      <c r="Z3355" s="381">
        <v>-1.6705202312138729E-3</v>
      </c>
      <c r="AA3355" s="381">
        <v>0</v>
      </c>
      <c r="AB3355" s="381">
        <v>0</v>
      </c>
      <c r="AC3355" s="382">
        <v>3.4682080924855492</v>
      </c>
      <c r="AD3355" s="382">
        <v>0</v>
      </c>
      <c r="AE3355" s="381" t="s">
        <v>168</v>
      </c>
    </row>
    <row r="3356" spans="1:31" ht="15" customHeight="1" x14ac:dyDescent="0.25">
      <c r="A3356" s="20" t="s">
        <v>4960</v>
      </c>
      <c r="B3356" s="20" t="s">
        <v>4960</v>
      </c>
      <c r="C3356" s="20" t="s">
        <v>4960</v>
      </c>
      <c r="D3356" s="378" t="s">
        <v>4992</v>
      </c>
      <c r="E3356" s="384">
        <v>45138</v>
      </c>
      <c r="F3356" s="384">
        <v>46965</v>
      </c>
      <c r="G3356" s="378" t="s">
        <v>439</v>
      </c>
      <c r="H3356" s="378" t="s">
        <v>4981</v>
      </c>
      <c r="I3356" s="378" t="s">
        <v>162</v>
      </c>
      <c r="J3356" s="20" t="s">
        <v>163</v>
      </c>
      <c r="K3356" s="378" t="s">
        <v>4982</v>
      </c>
      <c r="L3356" s="378" t="s">
        <v>2789</v>
      </c>
      <c r="M3356" s="381"/>
      <c r="N3356" s="381">
        <v>5.67</v>
      </c>
      <c r="O3356" s="380"/>
      <c r="P3356" s="380"/>
      <c r="Q3356" s="381">
        <v>18.191849999999999</v>
      </c>
      <c r="R3356" s="381">
        <v>18.2</v>
      </c>
      <c r="S3356" s="381">
        <v>-8.1499999999999993E-3</v>
      </c>
      <c r="T3356" s="381"/>
      <c r="U3356" s="381"/>
      <c r="V3356" s="382">
        <v>18.2</v>
      </c>
      <c r="W3356" s="382">
        <v>0</v>
      </c>
      <c r="X3356" s="381">
        <v>3.2084391534391532</v>
      </c>
      <c r="Y3356" s="381">
        <v>3.2098765432098766</v>
      </c>
      <c r="Z3356" s="381">
        <v>-1.4373897707231039E-3</v>
      </c>
      <c r="AA3356" s="381">
        <v>0</v>
      </c>
      <c r="AB3356" s="381">
        <v>0</v>
      </c>
      <c r="AC3356" s="382">
        <v>3.2098765432098766</v>
      </c>
      <c r="AD3356" s="382">
        <v>0</v>
      </c>
      <c r="AE3356" s="381" t="s">
        <v>168</v>
      </c>
    </row>
    <row r="3357" spans="1:31" ht="15" customHeight="1" x14ac:dyDescent="0.25">
      <c r="A3357" s="20" t="s">
        <v>4960</v>
      </c>
      <c r="B3357" s="20" t="s">
        <v>4960</v>
      </c>
      <c r="C3357" s="20" t="s">
        <v>4960</v>
      </c>
      <c r="D3357" s="378" t="s">
        <v>4993</v>
      </c>
      <c r="E3357" s="384">
        <v>45005</v>
      </c>
      <c r="F3357" s="384">
        <v>46832</v>
      </c>
      <c r="G3357" s="378" t="s">
        <v>439</v>
      </c>
      <c r="H3357" s="378" t="s">
        <v>4962</v>
      </c>
      <c r="I3357" s="378" t="s">
        <v>4772</v>
      </c>
      <c r="J3357" s="20" t="s">
        <v>163</v>
      </c>
      <c r="K3357" s="378" t="s">
        <v>4963</v>
      </c>
      <c r="L3357" s="378" t="s">
        <v>2789</v>
      </c>
      <c r="M3357" s="381"/>
      <c r="N3357" s="381">
        <v>3.69</v>
      </c>
      <c r="O3357" s="380"/>
      <c r="P3357" s="380"/>
      <c r="Q3357" s="381">
        <v>12.59441</v>
      </c>
      <c r="R3357" s="381">
        <v>12.6</v>
      </c>
      <c r="S3357" s="381">
        <v>-5.5900000000000004E-3</v>
      </c>
      <c r="T3357" s="381"/>
      <c r="U3357" s="381"/>
      <c r="V3357" s="382">
        <v>12.6</v>
      </c>
      <c r="W3357" s="382">
        <v>0</v>
      </c>
      <c r="X3357" s="381">
        <v>3.4131192411924118</v>
      </c>
      <c r="Y3357" s="381">
        <v>3.4146341463414633</v>
      </c>
      <c r="Z3357" s="381">
        <v>-1.5149051490514905E-3</v>
      </c>
      <c r="AA3357" s="381">
        <v>0</v>
      </c>
      <c r="AB3357" s="381">
        <v>0</v>
      </c>
      <c r="AC3357" s="382">
        <v>3.4146341463414633</v>
      </c>
      <c r="AD3357" s="382">
        <v>0</v>
      </c>
      <c r="AE3357" s="381" t="s">
        <v>168</v>
      </c>
    </row>
    <row r="3358" spans="1:31" ht="15" customHeight="1" x14ac:dyDescent="0.25">
      <c r="A3358" s="20" t="s">
        <v>4960</v>
      </c>
      <c r="B3358" s="20" t="s">
        <v>4960</v>
      </c>
      <c r="C3358" s="20" t="s">
        <v>4960</v>
      </c>
      <c r="D3358" s="378" t="s">
        <v>4994</v>
      </c>
      <c r="E3358" s="384">
        <v>45005</v>
      </c>
      <c r="F3358" s="384">
        <v>46832</v>
      </c>
      <c r="G3358" s="378" t="s">
        <v>439</v>
      </c>
      <c r="H3358" s="378" t="s">
        <v>4962</v>
      </c>
      <c r="I3358" s="378" t="s">
        <v>4772</v>
      </c>
      <c r="J3358" s="20" t="s">
        <v>163</v>
      </c>
      <c r="K3358" s="378" t="s">
        <v>4963</v>
      </c>
      <c r="L3358" s="378" t="s">
        <v>2789</v>
      </c>
      <c r="M3358" s="381"/>
      <c r="N3358" s="381">
        <v>3.93</v>
      </c>
      <c r="O3358" s="380"/>
      <c r="P3358" s="380"/>
      <c r="Q3358" s="381">
        <v>13.194599999999999</v>
      </c>
      <c r="R3358" s="381">
        <v>13.2</v>
      </c>
      <c r="S3358" s="381">
        <v>-5.4000000000000003E-3</v>
      </c>
      <c r="T3358" s="381"/>
      <c r="U3358" s="381"/>
      <c r="V3358" s="382">
        <v>13.2</v>
      </c>
      <c r="W3358" s="382">
        <v>0</v>
      </c>
      <c r="X3358" s="381">
        <v>3.3574045801526715</v>
      </c>
      <c r="Y3358" s="381">
        <v>3.3587786259541983</v>
      </c>
      <c r="Z3358" s="381">
        <v>-1.3740458015267176E-3</v>
      </c>
      <c r="AA3358" s="381">
        <v>0</v>
      </c>
      <c r="AB3358" s="381">
        <v>0</v>
      </c>
      <c r="AC3358" s="382">
        <v>3.3587786259541983</v>
      </c>
      <c r="AD3358" s="382">
        <v>0</v>
      </c>
      <c r="AE3358" s="381" t="s">
        <v>168</v>
      </c>
    </row>
    <row r="3359" spans="1:31" ht="15" customHeight="1" x14ac:dyDescent="0.25">
      <c r="A3359" s="20" t="s">
        <v>4960</v>
      </c>
      <c r="B3359" s="20" t="s">
        <v>4960</v>
      </c>
      <c r="C3359" s="20" t="s">
        <v>4960</v>
      </c>
      <c r="D3359" s="378" t="s">
        <v>4995</v>
      </c>
      <c r="E3359" s="384">
        <v>45138</v>
      </c>
      <c r="F3359" s="384">
        <v>46965</v>
      </c>
      <c r="G3359" s="378" t="s">
        <v>439</v>
      </c>
      <c r="H3359" s="378" t="s">
        <v>4981</v>
      </c>
      <c r="I3359" s="378" t="s">
        <v>162</v>
      </c>
      <c r="J3359" s="20" t="s">
        <v>163</v>
      </c>
      <c r="K3359" s="378" t="s">
        <v>4982</v>
      </c>
      <c r="L3359" s="378" t="s">
        <v>2789</v>
      </c>
      <c r="M3359" s="381"/>
      <c r="N3359" s="381">
        <v>6.06</v>
      </c>
      <c r="O3359" s="380"/>
      <c r="P3359" s="380"/>
      <c r="Q3359" s="381">
        <v>19.192159999999998</v>
      </c>
      <c r="R3359" s="381">
        <v>19.2</v>
      </c>
      <c r="S3359" s="381">
        <v>-7.8399999999999997E-3</v>
      </c>
      <c r="T3359" s="381"/>
      <c r="U3359" s="381"/>
      <c r="V3359" s="382">
        <v>19.2</v>
      </c>
      <c r="W3359" s="382">
        <v>0</v>
      </c>
      <c r="X3359" s="381">
        <v>3.1670231023102309</v>
      </c>
      <c r="Y3359" s="381">
        <v>3.1683168316831685</v>
      </c>
      <c r="Z3359" s="381">
        <v>-1.2937293729372939E-3</v>
      </c>
      <c r="AA3359" s="381">
        <v>0</v>
      </c>
      <c r="AB3359" s="381">
        <v>0</v>
      </c>
      <c r="AC3359" s="382">
        <v>3.1683168316831685</v>
      </c>
      <c r="AD3359" s="382">
        <v>0</v>
      </c>
      <c r="AE3359" s="381" t="s">
        <v>168</v>
      </c>
    </row>
    <row r="3360" spans="1:31" ht="15" customHeight="1" x14ac:dyDescent="0.25">
      <c r="A3360" s="20" t="s">
        <v>4960</v>
      </c>
      <c r="B3360" s="20" t="s">
        <v>4960</v>
      </c>
      <c r="C3360" s="20" t="s">
        <v>4960</v>
      </c>
      <c r="D3360" s="378" t="s">
        <v>4996</v>
      </c>
      <c r="E3360" s="384">
        <v>45005</v>
      </c>
      <c r="F3360" s="384">
        <v>46832</v>
      </c>
      <c r="G3360" s="378" t="s">
        <v>439</v>
      </c>
      <c r="H3360" s="378" t="s">
        <v>4962</v>
      </c>
      <c r="I3360" s="378" t="s">
        <v>4772</v>
      </c>
      <c r="J3360" s="20" t="s">
        <v>163</v>
      </c>
      <c r="K3360" s="378" t="s">
        <v>4963</v>
      </c>
      <c r="L3360" s="378" t="s">
        <v>2789</v>
      </c>
      <c r="M3360" s="381"/>
      <c r="N3360" s="381">
        <v>4.4800000000000004</v>
      </c>
      <c r="O3360" s="380"/>
      <c r="P3360" s="380"/>
      <c r="Q3360" s="381">
        <v>14.595039999999999</v>
      </c>
      <c r="R3360" s="381">
        <v>14.6</v>
      </c>
      <c r="S3360" s="381">
        <v>-4.96E-3</v>
      </c>
      <c r="T3360" s="381"/>
      <c r="U3360" s="381"/>
      <c r="V3360" s="382">
        <v>14.6</v>
      </c>
      <c r="W3360" s="382">
        <v>0</v>
      </c>
      <c r="X3360" s="381">
        <v>3.257821428571428</v>
      </c>
      <c r="Y3360" s="381">
        <v>3.2589285714285712</v>
      </c>
      <c r="Z3360" s="381">
        <v>-1.1071428571428571E-3</v>
      </c>
      <c r="AA3360" s="381">
        <v>0</v>
      </c>
      <c r="AB3360" s="381">
        <v>0</v>
      </c>
      <c r="AC3360" s="382">
        <v>3.2589285714285712</v>
      </c>
      <c r="AD3360" s="382">
        <v>0</v>
      </c>
      <c r="AE3360" s="381" t="s">
        <v>168</v>
      </c>
    </row>
    <row r="3361" spans="1:31" ht="15" customHeight="1" x14ac:dyDescent="0.25">
      <c r="A3361" s="20" t="s">
        <v>4960</v>
      </c>
      <c r="B3361" s="20" t="s">
        <v>4960</v>
      </c>
      <c r="C3361" s="20" t="s">
        <v>4960</v>
      </c>
      <c r="D3361" s="378" t="s">
        <v>4997</v>
      </c>
      <c r="E3361" s="384">
        <v>45138</v>
      </c>
      <c r="F3361" s="384">
        <v>46965</v>
      </c>
      <c r="G3361" s="378" t="s">
        <v>439</v>
      </c>
      <c r="H3361" s="378" t="s">
        <v>4998</v>
      </c>
      <c r="I3361" s="378" t="s">
        <v>162</v>
      </c>
      <c r="J3361" s="20" t="s">
        <v>163</v>
      </c>
      <c r="K3361" s="378" t="s">
        <v>4999</v>
      </c>
      <c r="L3361" s="378" t="s">
        <v>2789</v>
      </c>
      <c r="M3361" s="381"/>
      <c r="N3361" s="381">
        <v>3.51</v>
      </c>
      <c r="O3361" s="380"/>
      <c r="P3361" s="380"/>
      <c r="Q3361" s="381">
        <v>12.696009999999999</v>
      </c>
      <c r="R3361" s="381">
        <v>12.7</v>
      </c>
      <c r="S3361" s="381">
        <v>-3.9899999999999996E-3</v>
      </c>
      <c r="T3361" s="381"/>
      <c r="U3361" s="381"/>
      <c r="V3361" s="382">
        <v>12.7</v>
      </c>
      <c r="W3361" s="382">
        <v>0</v>
      </c>
      <c r="X3361" s="381">
        <v>3.6170968660968663</v>
      </c>
      <c r="Y3361" s="381">
        <v>3.6182336182336181</v>
      </c>
      <c r="Z3361" s="381">
        <v>-1.1367521367521367E-3</v>
      </c>
      <c r="AA3361" s="381">
        <v>0</v>
      </c>
      <c r="AB3361" s="381">
        <v>0</v>
      </c>
      <c r="AC3361" s="382">
        <v>3.6182336182336181</v>
      </c>
      <c r="AD3361" s="382">
        <v>0</v>
      </c>
      <c r="AE3361" s="381" t="s">
        <v>168</v>
      </c>
    </row>
    <row r="3362" spans="1:31" ht="15" customHeight="1" x14ac:dyDescent="0.25">
      <c r="A3362" s="20" t="s">
        <v>4960</v>
      </c>
      <c r="B3362" s="20" t="s">
        <v>4960</v>
      </c>
      <c r="C3362" s="20" t="s">
        <v>4960</v>
      </c>
      <c r="D3362" s="378" t="s">
        <v>5000</v>
      </c>
      <c r="E3362" s="384">
        <v>45005</v>
      </c>
      <c r="F3362" s="384">
        <v>46832</v>
      </c>
      <c r="G3362" s="378" t="s">
        <v>439</v>
      </c>
      <c r="H3362" s="378" t="s">
        <v>4962</v>
      </c>
      <c r="I3362" s="378" t="s">
        <v>4772</v>
      </c>
      <c r="J3362" s="20" t="s">
        <v>163</v>
      </c>
      <c r="K3362" s="378" t="s">
        <v>4963</v>
      </c>
      <c r="L3362" s="378" t="s">
        <v>2789</v>
      </c>
      <c r="M3362" s="381"/>
      <c r="N3362" s="381">
        <v>4.87</v>
      </c>
      <c r="O3362" s="380"/>
      <c r="P3362" s="380"/>
      <c r="Q3362" s="381">
        <v>15.695349999999999</v>
      </c>
      <c r="R3362" s="381">
        <v>15.7</v>
      </c>
      <c r="S3362" s="381">
        <v>-4.6499999999999996E-3</v>
      </c>
      <c r="T3362" s="381"/>
      <c r="U3362" s="381"/>
      <c r="V3362" s="382">
        <v>15.7</v>
      </c>
      <c r="W3362" s="382">
        <v>0</v>
      </c>
      <c r="X3362" s="381">
        <v>3.2228644763860368</v>
      </c>
      <c r="Y3362" s="381">
        <v>3.223819301848049</v>
      </c>
      <c r="Z3362" s="381">
        <v>-9.5482546201232019E-4</v>
      </c>
      <c r="AA3362" s="381">
        <v>0</v>
      </c>
      <c r="AB3362" s="381">
        <v>0</v>
      </c>
      <c r="AC3362" s="382">
        <v>3.223819301848049</v>
      </c>
      <c r="AD3362" s="382">
        <v>0</v>
      </c>
      <c r="AE3362" s="381" t="s">
        <v>168</v>
      </c>
    </row>
    <row r="3363" spans="1:31" ht="15" customHeight="1" x14ac:dyDescent="0.25">
      <c r="A3363" s="20" t="s">
        <v>4960</v>
      </c>
      <c r="B3363" s="20" t="s">
        <v>4960</v>
      </c>
      <c r="C3363" s="20" t="s">
        <v>4960</v>
      </c>
      <c r="D3363" s="378" t="s">
        <v>5001</v>
      </c>
      <c r="E3363" s="384">
        <v>45138</v>
      </c>
      <c r="F3363" s="384">
        <v>46965</v>
      </c>
      <c r="G3363" s="378" t="s">
        <v>439</v>
      </c>
      <c r="H3363" s="378" t="s">
        <v>4998</v>
      </c>
      <c r="I3363" s="378" t="s">
        <v>162</v>
      </c>
      <c r="J3363" s="20" t="s">
        <v>163</v>
      </c>
      <c r="K3363" s="378" t="s">
        <v>4999</v>
      </c>
      <c r="L3363" s="378" t="s">
        <v>2789</v>
      </c>
      <c r="M3363" s="381"/>
      <c r="N3363" s="381">
        <v>3.98</v>
      </c>
      <c r="O3363" s="380"/>
      <c r="P3363" s="380"/>
      <c r="Q3363" s="381">
        <v>13.89639</v>
      </c>
      <c r="R3363" s="381">
        <v>13.9</v>
      </c>
      <c r="S3363" s="381">
        <v>-3.6099999999999999E-3</v>
      </c>
      <c r="T3363" s="381"/>
      <c r="U3363" s="381"/>
      <c r="V3363" s="382">
        <v>13.9</v>
      </c>
      <c r="W3363" s="382">
        <v>0</v>
      </c>
      <c r="X3363" s="381">
        <v>3.4915552763819098</v>
      </c>
      <c r="Y3363" s="381">
        <v>3.4924623115577891</v>
      </c>
      <c r="Z3363" s="381">
        <v>-9.0703517587939692E-4</v>
      </c>
      <c r="AA3363" s="381">
        <v>0</v>
      </c>
      <c r="AB3363" s="381">
        <v>0</v>
      </c>
      <c r="AC3363" s="382">
        <v>3.4924623115577891</v>
      </c>
      <c r="AD3363" s="382">
        <v>0</v>
      </c>
      <c r="AE3363" s="381" t="s">
        <v>168</v>
      </c>
    </row>
    <row r="3364" spans="1:31" ht="15" customHeight="1" x14ac:dyDescent="0.25">
      <c r="A3364" s="20" t="s">
        <v>4960</v>
      </c>
      <c r="B3364" s="20" t="s">
        <v>4960</v>
      </c>
      <c r="C3364" s="20" t="s">
        <v>4960</v>
      </c>
      <c r="D3364" s="378" t="s">
        <v>5002</v>
      </c>
      <c r="E3364" s="384">
        <v>45005</v>
      </c>
      <c r="F3364" s="384">
        <v>46832</v>
      </c>
      <c r="G3364" s="378" t="s">
        <v>439</v>
      </c>
      <c r="H3364" s="378" t="s">
        <v>4962</v>
      </c>
      <c r="I3364" s="378" t="s">
        <v>4772</v>
      </c>
      <c r="J3364" s="20" t="s">
        <v>163</v>
      </c>
      <c r="K3364" s="378" t="s">
        <v>4963</v>
      </c>
      <c r="L3364" s="378" t="s">
        <v>2789</v>
      </c>
      <c r="M3364" s="381"/>
      <c r="N3364" s="381">
        <v>5.65</v>
      </c>
      <c r="O3364" s="380"/>
      <c r="P3364" s="380"/>
      <c r="Q3364" s="381">
        <v>17.695979999999999</v>
      </c>
      <c r="R3364" s="381">
        <v>17.7</v>
      </c>
      <c r="S3364" s="381">
        <v>-4.0200000000000001E-3</v>
      </c>
      <c r="T3364" s="381"/>
      <c r="U3364" s="381"/>
      <c r="V3364" s="382">
        <v>17.7</v>
      </c>
      <c r="W3364" s="382">
        <v>0</v>
      </c>
      <c r="X3364" s="381">
        <v>3.1320318584070792</v>
      </c>
      <c r="Y3364" s="381">
        <v>3.1327433628318579</v>
      </c>
      <c r="Z3364" s="381">
        <v>-7.1150442477876106E-4</v>
      </c>
      <c r="AA3364" s="381">
        <v>0</v>
      </c>
      <c r="AB3364" s="381">
        <v>0</v>
      </c>
      <c r="AC3364" s="382">
        <v>3.1327433628318579</v>
      </c>
      <c r="AD3364" s="382">
        <v>0</v>
      </c>
      <c r="AE3364" s="381" t="s">
        <v>168</v>
      </c>
    </row>
    <row r="3365" spans="1:31" ht="15" customHeight="1" x14ac:dyDescent="0.25">
      <c r="A3365" s="20" t="s">
        <v>4960</v>
      </c>
      <c r="B3365" s="20" t="s">
        <v>4960</v>
      </c>
      <c r="C3365" s="20" t="s">
        <v>4960</v>
      </c>
      <c r="D3365" s="378" t="s">
        <v>5003</v>
      </c>
      <c r="E3365" s="384">
        <v>45138</v>
      </c>
      <c r="F3365" s="384">
        <v>46965</v>
      </c>
      <c r="G3365" s="378" t="s">
        <v>439</v>
      </c>
      <c r="H3365" s="378" t="s">
        <v>4998</v>
      </c>
      <c r="I3365" s="378" t="s">
        <v>162</v>
      </c>
      <c r="J3365" s="20" t="s">
        <v>163</v>
      </c>
      <c r="K3365" s="378" t="s">
        <v>4999</v>
      </c>
      <c r="L3365" s="378" t="s">
        <v>2789</v>
      </c>
      <c r="M3365" s="381"/>
      <c r="N3365" s="381">
        <v>4.53</v>
      </c>
      <c r="O3365" s="380"/>
      <c r="P3365" s="380"/>
      <c r="Q3365" s="381">
        <v>15.39683</v>
      </c>
      <c r="R3365" s="381">
        <v>15.4</v>
      </c>
      <c r="S3365" s="381">
        <v>-3.1700000000000001E-3</v>
      </c>
      <c r="T3365" s="381"/>
      <c r="U3365" s="381"/>
      <c r="V3365" s="382">
        <v>15.4</v>
      </c>
      <c r="W3365" s="382">
        <v>0</v>
      </c>
      <c r="X3365" s="381">
        <v>3.3988587196467988</v>
      </c>
      <c r="Y3365" s="381">
        <v>3.3995584988962473</v>
      </c>
      <c r="Z3365" s="381">
        <v>-6.997792494481236E-4</v>
      </c>
      <c r="AA3365" s="381">
        <v>0</v>
      </c>
      <c r="AB3365" s="381">
        <v>0</v>
      </c>
      <c r="AC3365" s="382">
        <v>3.3995584988962473</v>
      </c>
      <c r="AD3365" s="382">
        <v>0</v>
      </c>
      <c r="AE3365" s="381" t="s">
        <v>168</v>
      </c>
    </row>
    <row r="3366" spans="1:31" ht="15" customHeight="1" x14ac:dyDescent="0.25">
      <c r="A3366" s="20" t="s">
        <v>4960</v>
      </c>
      <c r="B3366" s="20" t="s">
        <v>4960</v>
      </c>
      <c r="C3366" s="20" t="s">
        <v>4960</v>
      </c>
      <c r="D3366" s="378" t="s">
        <v>5004</v>
      </c>
      <c r="E3366" s="384">
        <v>45005</v>
      </c>
      <c r="F3366" s="384">
        <v>46832</v>
      </c>
      <c r="G3366" s="378" t="s">
        <v>439</v>
      </c>
      <c r="H3366" s="378" t="s">
        <v>4962</v>
      </c>
      <c r="I3366" s="378" t="s">
        <v>4772</v>
      </c>
      <c r="J3366" s="20" t="s">
        <v>163</v>
      </c>
      <c r="K3366" s="378" t="s">
        <v>4963</v>
      </c>
      <c r="L3366" s="378" t="s">
        <v>2789</v>
      </c>
      <c r="M3366" s="381"/>
      <c r="N3366" s="381">
        <v>6.05</v>
      </c>
      <c r="O3366" s="380"/>
      <c r="P3366" s="380"/>
      <c r="Q3366" s="381">
        <v>18.796289999999999</v>
      </c>
      <c r="R3366" s="381">
        <v>18.8</v>
      </c>
      <c r="S3366" s="381">
        <v>-3.7100000000000002E-3</v>
      </c>
      <c r="T3366" s="381"/>
      <c r="U3366" s="381"/>
      <c r="V3366" s="382">
        <v>18.8</v>
      </c>
      <c r="W3366" s="382">
        <v>0</v>
      </c>
      <c r="X3366" s="381">
        <v>3.1068247933884297</v>
      </c>
      <c r="Y3366" s="381">
        <v>3.1074380165289259</v>
      </c>
      <c r="Z3366" s="381">
        <v>-6.1322314049586785E-4</v>
      </c>
      <c r="AA3366" s="381">
        <v>0</v>
      </c>
      <c r="AB3366" s="381">
        <v>0</v>
      </c>
      <c r="AC3366" s="382">
        <v>3.1074380165289259</v>
      </c>
      <c r="AD3366" s="382">
        <v>0</v>
      </c>
      <c r="AE3366" s="381" t="s">
        <v>168</v>
      </c>
    </row>
    <row r="3367" spans="1:31" ht="15" customHeight="1" x14ac:dyDescent="0.25">
      <c r="A3367" s="20" t="s">
        <v>4960</v>
      </c>
      <c r="B3367" s="20" t="s">
        <v>4960</v>
      </c>
      <c r="C3367" s="20" t="s">
        <v>4960</v>
      </c>
      <c r="D3367" s="378" t="s">
        <v>5005</v>
      </c>
      <c r="E3367" s="384">
        <v>45138</v>
      </c>
      <c r="F3367" s="384">
        <v>46965</v>
      </c>
      <c r="G3367" s="378" t="s">
        <v>439</v>
      </c>
      <c r="H3367" s="378" t="s">
        <v>4998</v>
      </c>
      <c r="I3367" s="378" t="s">
        <v>162</v>
      </c>
      <c r="J3367" s="20" t="s">
        <v>163</v>
      </c>
      <c r="K3367" s="378" t="s">
        <v>4999</v>
      </c>
      <c r="L3367" s="378" t="s">
        <v>2789</v>
      </c>
      <c r="M3367" s="381"/>
      <c r="N3367" s="381">
        <v>4.92</v>
      </c>
      <c r="O3367" s="380"/>
      <c r="P3367" s="380"/>
      <c r="Q3367" s="381">
        <v>16.39714</v>
      </c>
      <c r="R3367" s="381">
        <v>16.399999999999999</v>
      </c>
      <c r="S3367" s="381">
        <v>-2.8600000000000001E-3</v>
      </c>
      <c r="T3367" s="381"/>
      <c r="U3367" s="381"/>
      <c r="V3367" s="382">
        <v>16.399999999999999</v>
      </c>
      <c r="W3367" s="382">
        <v>0</v>
      </c>
      <c r="X3367" s="381">
        <v>3.3327520325203253</v>
      </c>
      <c r="Y3367" s="381">
        <v>3.333333333333333</v>
      </c>
      <c r="Z3367" s="381">
        <v>-5.8130081300813009E-4</v>
      </c>
      <c r="AA3367" s="381">
        <v>0</v>
      </c>
      <c r="AB3367" s="381">
        <v>0</v>
      </c>
      <c r="AC3367" s="382">
        <v>3.333333333333333</v>
      </c>
      <c r="AD3367" s="382">
        <v>0</v>
      </c>
      <c r="AE3367" s="381" t="s">
        <v>168</v>
      </c>
    </row>
    <row r="3368" spans="1:31" ht="15" customHeight="1" x14ac:dyDescent="0.25">
      <c r="A3368" s="20" t="s">
        <v>4960</v>
      </c>
      <c r="B3368" s="20" t="s">
        <v>4960</v>
      </c>
      <c r="C3368" s="20" t="s">
        <v>4960</v>
      </c>
      <c r="D3368" s="378" t="s">
        <v>5006</v>
      </c>
      <c r="E3368" s="384">
        <v>45138</v>
      </c>
      <c r="F3368" s="384">
        <v>46965</v>
      </c>
      <c r="G3368" s="378" t="s">
        <v>439</v>
      </c>
      <c r="H3368" s="378" t="s">
        <v>4998</v>
      </c>
      <c r="I3368" s="378" t="s">
        <v>162</v>
      </c>
      <c r="J3368" s="20" t="s">
        <v>163</v>
      </c>
      <c r="K3368" s="378" t="s">
        <v>4999</v>
      </c>
      <c r="L3368" s="378" t="s">
        <v>2789</v>
      </c>
      <c r="M3368" s="381"/>
      <c r="N3368" s="381">
        <v>5.7</v>
      </c>
      <c r="O3368" s="380"/>
      <c r="P3368" s="380"/>
      <c r="Q3368" s="381">
        <v>18.397759999999998</v>
      </c>
      <c r="R3368" s="381">
        <v>18.399999999999999</v>
      </c>
      <c r="S3368" s="381">
        <v>-2.2399999999999998E-3</v>
      </c>
      <c r="T3368" s="381"/>
      <c r="U3368" s="381"/>
      <c r="V3368" s="382">
        <v>18.399999999999999</v>
      </c>
      <c r="W3368" s="382">
        <v>0</v>
      </c>
      <c r="X3368" s="381">
        <v>3.2276771929824557</v>
      </c>
      <c r="Y3368" s="381">
        <v>3.2280701754385963</v>
      </c>
      <c r="Z3368" s="381">
        <v>-3.929824561403508E-4</v>
      </c>
      <c r="AA3368" s="381">
        <v>0</v>
      </c>
      <c r="AB3368" s="381">
        <v>0</v>
      </c>
      <c r="AC3368" s="382">
        <v>3.2280701754385963</v>
      </c>
      <c r="AD3368" s="382">
        <v>0</v>
      </c>
      <c r="AE3368" s="381" t="s">
        <v>168</v>
      </c>
    </row>
    <row r="3369" spans="1:31" ht="15" customHeight="1" x14ac:dyDescent="0.25">
      <c r="A3369" s="20" t="s">
        <v>4960</v>
      </c>
      <c r="B3369" s="20" t="s">
        <v>4960</v>
      </c>
      <c r="C3369" s="20" t="s">
        <v>4960</v>
      </c>
      <c r="D3369" s="378" t="s">
        <v>5007</v>
      </c>
      <c r="E3369" s="384">
        <v>45138</v>
      </c>
      <c r="F3369" s="384">
        <v>46965</v>
      </c>
      <c r="G3369" s="378" t="s">
        <v>439</v>
      </c>
      <c r="H3369" s="378" t="s">
        <v>4998</v>
      </c>
      <c r="I3369" s="378" t="s">
        <v>162</v>
      </c>
      <c r="J3369" s="20" t="s">
        <v>163</v>
      </c>
      <c r="K3369" s="378" t="s">
        <v>4999</v>
      </c>
      <c r="L3369" s="378" t="s">
        <v>2789</v>
      </c>
      <c r="M3369" s="381"/>
      <c r="N3369" s="381">
        <v>6.1</v>
      </c>
      <c r="O3369" s="380"/>
      <c r="P3369" s="380"/>
      <c r="Q3369" s="381">
        <v>19.498080000000002</v>
      </c>
      <c r="R3369" s="381">
        <v>19.5</v>
      </c>
      <c r="S3369" s="381">
        <v>-1.92E-3</v>
      </c>
      <c r="T3369" s="381"/>
      <c r="U3369" s="381"/>
      <c r="V3369" s="382">
        <v>19.5</v>
      </c>
      <c r="W3369" s="382">
        <v>0</v>
      </c>
      <c r="X3369" s="381">
        <v>3.1964065573770495</v>
      </c>
      <c r="Y3369" s="381">
        <v>3.1967213114754101</v>
      </c>
      <c r="Z3369" s="381">
        <v>-3.1475409836065576E-4</v>
      </c>
      <c r="AA3369" s="381">
        <v>0</v>
      </c>
      <c r="AB3369" s="381">
        <v>0</v>
      </c>
      <c r="AC3369" s="382">
        <v>3.1967213114754101</v>
      </c>
      <c r="AD3369" s="382">
        <v>0</v>
      </c>
      <c r="AE3369" s="381" t="s">
        <v>168</v>
      </c>
    </row>
    <row r="3370" spans="1:31" ht="15" customHeight="1" x14ac:dyDescent="0.25">
      <c r="A3370" s="20" t="s">
        <v>4960</v>
      </c>
      <c r="B3370" s="20" t="s">
        <v>4960</v>
      </c>
      <c r="C3370" s="20" t="s">
        <v>4960</v>
      </c>
      <c r="D3370" s="378" t="s">
        <v>5008</v>
      </c>
      <c r="E3370" s="384">
        <v>45005</v>
      </c>
      <c r="F3370" s="384">
        <v>46832</v>
      </c>
      <c r="G3370" s="378" t="s">
        <v>439</v>
      </c>
      <c r="H3370" s="378" t="s">
        <v>4962</v>
      </c>
      <c r="I3370" s="378" t="s">
        <v>4772</v>
      </c>
      <c r="J3370" s="20" t="s">
        <v>163</v>
      </c>
      <c r="K3370" s="378" t="s">
        <v>4963</v>
      </c>
      <c r="L3370" s="378" t="s">
        <v>2789</v>
      </c>
      <c r="M3370" s="381"/>
      <c r="N3370" s="381">
        <v>8.01</v>
      </c>
      <c r="O3370" s="380"/>
      <c r="P3370" s="380"/>
      <c r="Q3370" s="381">
        <v>23.897859999999998</v>
      </c>
      <c r="R3370" s="381">
        <v>23.9</v>
      </c>
      <c r="S3370" s="381">
        <v>-2.14E-3</v>
      </c>
      <c r="T3370" s="381"/>
      <c r="U3370" s="381"/>
      <c r="V3370" s="382">
        <v>23.9</v>
      </c>
      <c r="W3370" s="382">
        <v>0</v>
      </c>
      <c r="X3370" s="381">
        <v>2.9835031210986265</v>
      </c>
      <c r="Y3370" s="381">
        <v>2.9837702871410734</v>
      </c>
      <c r="Z3370" s="381">
        <v>-2.671660424469413E-4</v>
      </c>
      <c r="AA3370" s="381">
        <v>0</v>
      </c>
      <c r="AB3370" s="381">
        <v>0</v>
      </c>
      <c r="AC3370" s="382">
        <v>2.9837702871410734</v>
      </c>
      <c r="AD3370" s="382">
        <v>0</v>
      </c>
      <c r="AE3370" s="381" t="s">
        <v>168</v>
      </c>
    </row>
    <row r="3371" spans="1:31" ht="15" customHeight="1" x14ac:dyDescent="0.25">
      <c r="A3371" s="20" t="s">
        <v>4960</v>
      </c>
      <c r="B3371" s="20" t="s">
        <v>5009</v>
      </c>
      <c r="C3371" s="20" t="s">
        <v>4960</v>
      </c>
      <c r="D3371" s="378" t="s">
        <v>5010</v>
      </c>
      <c r="E3371" s="384">
        <v>45145</v>
      </c>
      <c r="F3371" s="384">
        <v>46971</v>
      </c>
      <c r="G3371" s="378" t="s">
        <v>2837</v>
      </c>
      <c r="H3371" s="20" t="s">
        <v>5011</v>
      </c>
      <c r="I3371" s="378">
        <v>0</v>
      </c>
      <c r="J3371" s="20" t="s">
        <v>2831</v>
      </c>
      <c r="K3371" s="378" t="s">
        <v>5012</v>
      </c>
      <c r="L3371" s="378" t="s">
        <v>2789</v>
      </c>
      <c r="M3371" s="380" t="s">
        <v>443</v>
      </c>
      <c r="N3371" s="380">
        <v>2.5099999999999998</v>
      </c>
      <c r="O3371" s="380" t="s">
        <v>443</v>
      </c>
      <c r="P3371" s="380" t="s">
        <v>443</v>
      </c>
      <c r="Q3371" s="381">
        <v>13.503799999999998</v>
      </c>
      <c r="R3371" s="381">
        <v>13.4536</v>
      </c>
      <c r="S3371" s="381">
        <v>3.4638000000000002E-2</v>
      </c>
      <c r="T3371" s="381">
        <v>1.0968699999999998E-2</v>
      </c>
      <c r="U3371" s="381">
        <v>0</v>
      </c>
      <c r="V3371" s="382">
        <v>13.499206699999998</v>
      </c>
      <c r="W3371" s="382">
        <v>0</v>
      </c>
      <c r="X3371" s="381">
        <v>5.38</v>
      </c>
      <c r="Y3371" s="381">
        <v>5.36</v>
      </c>
      <c r="Z3371" s="381">
        <v>1.3800000000000002E-2</v>
      </c>
      <c r="AA3371" s="381">
        <v>4.3699999999999998E-3</v>
      </c>
      <c r="AB3371" s="381">
        <v>0</v>
      </c>
      <c r="AC3371" s="382">
        <v>5.3781699999999999</v>
      </c>
      <c r="AD3371" s="382">
        <v>0</v>
      </c>
      <c r="AE3371" s="381" t="s">
        <v>168</v>
      </c>
    </row>
    <row r="3372" spans="1:31" ht="15" customHeight="1" x14ac:dyDescent="0.25">
      <c r="A3372" s="20" t="s">
        <v>4960</v>
      </c>
      <c r="B3372" s="20" t="s">
        <v>5009</v>
      </c>
      <c r="C3372" s="20" t="s">
        <v>4960</v>
      </c>
      <c r="D3372" s="378" t="s">
        <v>5013</v>
      </c>
      <c r="E3372" s="384">
        <v>45145</v>
      </c>
      <c r="F3372" s="384">
        <v>46971</v>
      </c>
      <c r="G3372" s="378" t="s">
        <v>2837</v>
      </c>
      <c r="H3372" s="20" t="s">
        <v>5014</v>
      </c>
      <c r="I3372" s="378">
        <v>0</v>
      </c>
      <c r="J3372" s="20" t="s">
        <v>2831</v>
      </c>
      <c r="K3372" s="378" t="s">
        <v>5015</v>
      </c>
      <c r="L3372" s="378" t="s">
        <v>2789</v>
      </c>
      <c r="M3372" s="380" t="s">
        <v>443</v>
      </c>
      <c r="N3372" s="380">
        <v>2.5099999999999998</v>
      </c>
      <c r="O3372" s="380" t="s">
        <v>443</v>
      </c>
      <c r="P3372" s="380" t="s">
        <v>443</v>
      </c>
      <c r="Q3372" s="381">
        <v>10.8432</v>
      </c>
      <c r="R3372" s="381">
        <v>10.792999999999999</v>
      </c>
      <c r="S3372" s="381">
        <v>3.2880999999999994E-2</v>
      </c>
      <c r="T3372" s="381">
        <v>7.0279999999999995E-3</v>
      </c>
      <c r="U3372" s="381">
        <v>0</v>
      </c>
      <c r="V3372" s="382">
        <v>10.832908999999999</v>
      </c>
      <c r="W3372" s="382">
        <v>0</v>
      </c>
      <c r="X3372" s="381">
        <v>4.32</v>
      </c>
      <c r="Y3372" s="381">
        <v>4.3</v>
      </c>
      <c r="Z3372" s="381">
        <v>1.3099999999999999E-2</v>
      </c>
      <c r="AA3372" s="381">
        <v>2.8E-3</v>
      </c>
      <c r="AB3372" s="381">
        <v>0</v>
      </c>
      <c r="AC3372" s="382">
        <v>4.3158999999999992</v>
      </c>
      <c r="AD3372" s="382">
        <v>0</v>
      </c>
      <c r="AE3372" s="381" t="s">
        <v>168</v>
      </c>
    </row>
    <row r="3373" spans="1:31" ht="15" customHeight="1" x14ac:dyDescent="0.25">
      <c r="A3373" s="20" t="s">
        <v>5016</v>
      </c>
      <c r="B3373" s="20" t="s">
        <v>5017</v>
      </c>
      <c r="C3373" s="20" t="s">
        <v>5017</v>
      </c>
      <c r="D3373" s="378" t="s">
        <v>5018</v>
      </c>
      <c r="E3373" s="384">
        <v>44701</v>
      </c>
      <c r="F3373" s="384">
        <v>45921</v>
      </c>
      <c r="G3373" s="378" t="s">
        <v>439</v>
      </c>
      <c r="H3373" s="20" t="s">
        <v>5019</v>
      </c>
      <c r="I3373" s="20" t="s">
        <v>353</v>
      </c>
      <c r="J3373" s="20" t="s">
        <v>163</v>
      </c>
      <c r="K3373" s="378" t="s">
        <v>5020</v>
      </c>
      <c r="L3373" s="378" t="s">
        <v>2848</v>
      </c>
      <c r="M3373" s="380">
        <v>7850</v>
      </c>
      <c r="N3373" s="380"/>
      <c r="O3373" s="380"/>
      <c r="P3373" s="380" t="s">
        <v>2848</v>
      </c>
      <c r="Q3373" s="381">
        <v>1670</v>
      </c>
      <c r="R3373" s="381"/>
      <c r="S3373" s="381"/>
      <c r="T3373" s="381"/>
      <c r="U3373" s="381"/>
      <c r="V3373" s="382">
        <v>1670</v>
      </c>
      <c r="W3373" s="382">
        <v>0</v>
      </c>
      <c r="X3373" s="381">
        <v>1.67</v>
      </c>
      <c r="Y3373" s="381">
        <v>0</v>
      </c>
      <c r="Z3373" s="381">
        <v>0</v>
      </c>
      <c r="AA3373" s="381">
        <v>0</v>
      </c>
      <c r="AB3373" s="381">
        <v>0</v>
      </c>
      <c r="AC3373" s="382">
        <v>1.67</v>
      </c>
      <c r="AD3373" s="382">
        <v>0</v>
      </c>
      <c r="AE3373" s="381" t="s">
        <v>168</v>
      </c>
    </row>
    <row r="3374" spans="1:31" ht="15" customHeight="1" x14ac:dyDescent="0.25">
      <c r="A3374" s="20" t="s">
        <v>5016</v>
      </c>
      <c r="B3374" s="20" t="s">
        <v>5017</v>
      </c>
      <c r="C3374" s="20" t="s">
        <v>5017</v>
      </c>
      <c r="D3374" s="378" t="s">
        <v>5021</v>
      </c>
      <c r="E3374" s="384">
        <v>44702</v>
      </c>
      <c r="F3374" s="384">
        <v>45921</v>
      </c>
      <c r="G3374" s="378" t="s">
        <v>439</v>
      </c>
      <c r="H3374" s="20" t="s">
        <v>5022</v>
      </c>
      <c r="I3374" s="20" t="s">
        <v>353</v>
      </c>
      <c r="J3374" s="20" t="s">
        <v>163</v>
      </c>
      <c r="K3374" s="378" t="s">
        <v>5020</v>
      </c>
      <c r="L3374" s="378" t="s">
        <v>2848</v>
      </c>
      <c r="M3374" s="380">
        <v>7850</v>
      </c>
      <c r="N3374" s="380"/>
      <c r="O3374" s="380"/>
      <c r="P3374" s="380" t="s">
        <v>2848</v>
      </c>
      <c r="Q3374" s="381">
        <v>2060</v>
      </c>
      <c r="R3374" s="381"/>
      <c r="S3374" s="381"/>
      <c r="T3374" s="381"/>
      <c r="U3374" s="381"/>
      <c r="V3374" s="382">
        <v>2060</v>
      </c>
      <c r="W3374" s="382">
        <v>0</v>
      </c>
      <c r="X3374" s="381">
        <v>2.06</v>
      </c>
      <c r="Y3374" s="381">
        <v>0</v>
      </c>
      <c r="Z3374" s="381">
        <v>0</v>
      </c>
      <c r="AA3374" s="381">
        <v>0</v>
      </c>
      <c r="AB3374" s="381">
        <v>0</v>
      </c>
      <c r="AC3374" s="382">
        <v>2.06</v>
      </c>
      <c r="AD3374" s="382">
        <v>0</v>
      </c>
      <c r="AE3374" s="381" t="s">
        <v>168</v>
      </c>
    </row>
    <row r="3375" spans="1:31" ht="15" customHeight="1" x14ac:dyDescent="0.25">
      <c r="A3375" s="20" t="s">
        <v>5016</v>
      </c>
      <c r="B3375" s="20" t="s">
        <v>5017</v>
      </c>
      <c r="C3375" s="20" t="s">
        <v>5017</v>
      </c>
      <c r="D3375" s="378" t="s">
        <v>5023</v>
      </c>
      <c r="E3375" s="384">
        <v>42682</v>
      </c>
      <c r="F3375" s="384">
        <v>45921</v>
      </c>
      <c r="G3375" s="385" t="s">
        <v>439</v>
      </c>
      <c r="H3375" s="378" t="s">
        <v>5024</v>
      </c>
      <c r="I3375" s="20" t="s">
        <v>353</v>
      </c>
      <c r="J3375" s="20" t="s">
        <v>163</v>
      </c>
      <c r="K3375" s="378" t="s">
        <v>5025</v>
      </c>
      <c r="L3375" s="378" t="s">
        <v>2848</v>
      </c>
      <c r="M3375" s="381">
        <v>7850</v>
      </c>
      <c r="N3375" s="381"/>
      <c r="O3375" s="380"/>
      <c r="P3375" s="380" t="s">
        <v>2848</v>
      </c>
      <c r="Q3375" s="381">
        <v>1670</v>
      </c>
      <c r="R3375" s="381"/>
      <c r="S3375" s="381"/>
      <c r="T3375" s="381"/>
      <c r="U3375" s="381"/>
      <c r="V3375" s="382">
        <v>1670</v>
      </c>
      <c r="W3375" s="382">
        <v>0</v>
      </c>
      <c r="X3375" s="381">
        <v>1.67</v>
      </c>
      <c r="Y3375" s="381">
        <v>0</v>
      </c>
      <c r="Z3375" s="381">
        <v>0</v>
      </c>
      <c r="AA3375" s="381">
        <v>0</v>
      </c>
      <c r="AB3375" s="381">
        <v>0</v>
      </c>
      <c r="AC3375" s="382">
        <v>1.67</v>
      </c>
      <c r="AD3375" s="382">
        <v>0</v>
      </c>
      <c r="AE3375" s="381" t="s">
        <v>168</v>
      </c>
    </row>
    <row r="3376" spans="1:31" ht="15" customHeight="1" x14ac:dyDescent="0.25">
      <c r="A3376" s="20" t="s">
        <v>5016</v>
      </c>
      <c r="B3376" s="20" t="s">
        <v>5017</v>
      </c>
      <c r="C3376" s="20" t="s">
        <v>5017</v>
      </c>
      <c r="D3376" s="378" t="s">
        <v>5026</v>
      </c>
      <c r="E3376" s="384">
        <v>42682</v>
      </c>
      <c r="F3376" s="384">
        <v>45921</v>
      </c>
      <c r="G3376" s="385" t="s">
        <v>439</v>
      </c>
      <c r="H3376" s="378" t="s">
        <v>5019</v>
      </c>
      <c r="I3376" s="20" t="s">
        <v>353</v>
      </c>
      <c r="J3376" s="20" t="s">
        <v>163</v>
      </c>
      <c r="K3376" s="378" t="s">
        <v>5025</v>
      </c>
      <c r="L3376" s="378" t="s">
        <v>2848</v>
      </c>
      <c r="M3376" s="381">
        <v>7850</v>
      </c>
      <c r="N3376" s="381"/>
      <c r="O3376" s="380"/>
      <c r="P3376" s="380" t="s">
        <v>2848</v>
      </c>
      <c r="Q3376" s="381">
        <v>1670</v>
      </c>
      <c r="R3376" s="381"/>
      <c r="S3376" s="381"/>
      <c r="T3376" s="381"/>
      <c r="U3376" s="381"/>
      <c r="V3376" s="382">
        <v>1670</v>
      </c>
      <c r="W3376" s="382">
        <v>0</v>
      </c>
      <c r="X3376" s="381">
        <v>1.67</v>
      </c>
      <c r="Y3376" s="381">
        <v>0</v>
      </c>
      <c r="Z3376" s="381">
        <v>0</v>
      </c>
      <c r="AA3376" s="381">
        <v>0</v>
      </c>
      <c r="AB3376" s="381">
        <v>0</v>
      </c>
      <c r="AC3376" s="382">
        <v>1.67</v>
      </c>
      <c r="AD3376" s="382">
        <v>0</v>
      </c>
      <c r="AE3376" s="381" t="s">
        <v>168</v>
      </c>
    </row>
    <row r="3377" spans="1:31" ht="15" customHeight="1" x14ac:dyDescent="0.25">
      <c r="A3377" s="20" t="s">
        <v>5016</v>
      </c>
      <c r="B3377" s="20" t="s">
        <v>5017</v>
      </c>
      <c r="C3377" s="20" t="s">
        <v>5017</v>
      </c>
      <c r="D3377" s="378" t="s">
        <v>5027</v>
      </c>
      <c r="E3377" s="384">
        <v>42682</v>
      </c>
      <c r="F3377" s="384">
        <v>45921</v>
      </c>
      <c r="G3377" s="385" t="s">
        <v>439</v>
      </c>
      <c r="H3377" s="378" t="s">
        <v>5022</v>
      </c>
      <c r="I3377" s="20" t="s">
        <v>353</v>
      </c>
      <c r="J3377" s="20" t="s">
        <v>163</v>
      </c>
      <c r="K3377" s="378" t="s">
        <v>5025</v>
      </c>
      <c r="L3377" s="378" t="s">
        <v>2848</v>
      </c>
      <c r="M3377" s="381">
        <v>7850</v>
      </c>
      <c r="N3377" s="381"/>
      <c r="O3377" s="380"/>
      <c r="P3377" s="380" t="s">
        <v>2848</v>
      </c>
      <c r="Q3377" s="381">
        <v>1670</v>
      </c>
      <c r="R3377" s="381"/>
      <c r="S3377" s="381"/>
      <c r="T3377" s="381"/>
      <c r="U3377" s="381"/>
      <c r="V3377" s="382">
        <v>1670</v>
      </c>
      <c r="W3377" s="382">
        <v>0</v>
      </c>
      <c r="X3377" s="381">
        <v>1.67</v>
      </c>
      <c r="Y3377" s="381">
        <v>0</v>
      </c>
      <c r="Z3377" s="381">
        <v>0</v>
      </c>
      <c r="AA3377" s="381">
        <v>0</v>
      </c>
      <c r="AB3377" s="381">
        <v>0</v>
      </c>
      <c r="AC3377" s="382">
        <v>1.67</v>
      </c>
      <c r="AD3377" s="382">
        <v>0</v>
      </c>
      <c r="AE3377" s="381" t="s">
        <v>168</v>
      </c>
    </row>
    <row r="3378" spans="1:31" ht="15" customHeight="1" x14ac:dyDescent="0.25">
      <c r="A3378" s="20" t="s">
        <v>5016</v>
      </c>
      <c r="B3378" s="20" t="s">
        <v>5017</v>
      </c>
      <c r="C3378" s="20" t="s">
        <v>5017</v>
      </c>
      <c r="D3378" s="378" t="s">
        <v>5028</v>
      </c>
      <c r="E3378" s="384">
        <v>42682</v>
      </c>
      <c r="F3378" s="384">
        <v>45921</v>
      </c>
      <c r="G3378" s="385" t="s">
        <v>439</v>
      </c>
      <c r="H3378" s="378" t="s">
        <v>5029</v>
      </c>
      <c r="I3378" s="20" t="s">
        <v>353</v>
      </c>
      <c r="J3378" s="20" t="s">
        <v>163</v>
      </c>
      <c r="K3378" s="378" t="s">
        <v>5025</v>
      </c>
      <c r="L3378" s="378" t="s">
        <v>2848</v>
      </c>
      <c r="M3378" s="381">
        <v>7850</v>
      </c>
      <c r="N3378" s="381"/>
      <c r="O3378" s="380"/>
      <c r="P3378" s="380" t="s">
        <v>2848</v>
      </c>
      <c r="Q3378" s="381">
        <v>2060</v>
      </c>
      <c r="R3378" s="381"/>
      <c r="S3378" s="381"/>
      <c r="T3378" s="381"/>
      <c r="U3378" s="381"/>
      <c r="V3378" s="382">
        <v>2060</v>
      </c>
      <c r="W3378" s="382">
        <v>0</v>
      </c>
      <c r="X3378" s="381">
        <v>2.06</v>
      </c>
      <c r="Y3378" s="381">
        <v>0</v>
      </c>
      <c r="Z3378" s="381">
        <v>0</v>
      </c>
      <c r="AA3378" s="381">
        <v>0</v>
      </c>
      <c r="AB3378" s="381">
        <v>0</v>
      </c>
      <c r="AC3378" s="382">
        <v>2.06</v>
      </c>
      <c r="AD3378" s="382">
        <v>0</v>
      </c>
      <c r="AE3378" s="381" t="s">
        <v>168</v>
      </c>
    </row>
    <row r="3379" spans="1:31" ht="15" customHeight="1" x14ac:dyDescent="0.25">
      <c r="A3379" s="20" t="s">
        <v>5016</v>
      </c>
      <c r="B3379" s="20" t="s">
        <v>5017</v>
      </c>
      <c r="C3379" s="20" t="s">
        <v>5017</v>
      </c>
      <c r="D3379" s="378" t="s">
        <v>5030</v>
      </c>
      <c r="E3379" s="384">
        <v>45103</v>
      </c>
      <c r="F3379" s="384">
        <v>46929</v>
      </c>
      <c r="G3379" s="385" t="s">
        <v>439</v>
      </c>
      <c r="H3379" s="378" t="s">
        <v>5031</v>
      </c>
      <c r="I3379" s="20" t="s">
        <v>162</v>
      </c>
      <c r="J3379" s="20" t="s">
        <v>163</v>
      </c>
      <c r="K3379" s="378" t="s">
        <v>5032</v>
      </c>
      <c r="L3379" s="378" t="s">
        <v>2848</v>
      </c>
      <c r="M3379" s="381">
        <v>7850</v>
      </c>
      <c r="N3379" s="381"/>
      <c r="O3379" s="380"/>
      <c r="P3379" s="380" t="s">
        <v>2848</v>
      </c>
      <c r="Q3379" s="381">
        <v>1660</v>
      </c>
      <c r="R3379" s="381"/>
      <c r="S3379" s="381"/>
      <c r="T3379" s="381"/>
      <c r="U3379" s="381"/>
      <c r="V3379" s="382">
        <v>1660</v>
      </c>
      <c r="W3379" s="382">
        <v>0</v>
      </c>
      <c r="X3379" s="381">
        <v>1.66</v>
      </c>
      <c r="Y3379" s="381">
        <v>0</v>
      </c>
      <c r="Z3379" s="381">
        <v>0</v>
      </c>
      <c r="AA3379" s="381">
        <v>0</v>
      </c>
      <c r="AB3379" s="381">
        <v>0</v>
      </c>
      <c r="AC3379" s="382">
        <v>1.66</v>
      </c>
      <c r="AD3379" s="382">
        <v>0</v>
      </c>
      <c r="AE3379" s="381" t="s">
        <v>168</v>
      </c>
    </row>
    <row r="3380" spans="1:31" ht="15" customHeight="1" x14ac:dyDescent="0.25">
      <c r="A3380" s="20" t="s">
        <v>5016</v>
      </c>
      <c r="B3380" s="20" t="s">
        <v>5017</v>
      </c>
      <c r="C3380" s="20" t="s">
        <v>5017</v>
      </c>
      <c r="D3380" s="378" t="s">
        <v>5033</v>
      </c>
      <c r="E3380" s="384">
        <v>45103</v>
      </c>
      <c r="F3380" s="384">
        <v>46929</v>
      </c>
      <c r="G3380" s="385" t="s">
        <v>439</v>
      </c>
      <c r="H3380" s="378" t="s">
        <v>5031</v>
      </c>
      <c r="I3380" s="20" t="s">
        <v>162</v>
      </c>
      <c r="J3380" s="20" t="s">
        <v>163</v>
      </c>
      <c r="K3380" s="378" t="s">
        <v>5032</v>
      </c>
      <c r="L3380" s="378" t="s">
        <v>2848</v>
      </c>
      <c r="M3380" s="381">
        <v>7850</v>
      </c>
      <c r="N3380" s="381"/>
      <c r="O3380" s="380"/>
      <c r="P3380" s="380" t="s">
        <v>2848</v>
      </c>
      <c r="Q3380" s="381">
        <v>1660</v>
      </c>
      <c r="R3380" s="381"/>
      <c r="S3380" s="381"/>
      <c r="T3380" s="381"/>
      <c r="U3380" s="381"/>
      <c r="V3380" s="382">
        <v>1660</v>
      </c>
      <c r="W3380" s="382">
        <v>0</v>
      </c>
      <c r="X3380" s="381">
        <v>1.66</v>
      </c>
      <c r="Y3380" s="381">
        <v>0</v>
      </c>
      <c r="Z3380" s="381">
        <v>0</v>
      </c>
      <c r="AA3380" s="381">
        <v>0</v>
      </c>
      <c r="AB3380" s="381">
        <v>0</v>
      </c>
      <c r="AC3380" s="382">
        <v>1.66</v>
      </c>
      <c r="AD3380" s="382">
        <v>0</v>
      </c>
      <c r="AE3380" s="381" t="s">
        <v>168</v>
      </c>
    </row>
    <row r="3381" spans="1:31" ht="15" customHeight="1" x14ac:dyDescent="0.25">
      <c r="A3381" s="20" t="s">
        <v>5016</v>
      </c>
      <c r="B3381" s="20" t="s">
        <v>5017</v>
      </c>
      <c r="C3381" s="20" t="s">
        <v>5017</v>
      </c>
      <c r="D3381" s="378" t="s">
        <v>5034</v>
      </c>
      <c r="E3381" s="384">
        <v>44474</v>
      </c>
      <c r="F3381" s="384">
        <v>46319</v>
      </c>
      <c r="G3381" s="378" t="s">
        <v>2837</v>
      </c>
      <c r="H3381" s="20" t="s">
        <v>5035</v>
      </c>
      <c r="I3381" s="378">
        <v>0</v>
      </c>
      <c r="J3381" s="20" t="s">
        <v>3786</v>
      </c>
      <c r="K3381" s="378" t="s">
        <v>5036</v>
      </c>
      <c r="L3381" s="378" t="s">
        <v>2848</v>
      </c>
      <c r="M3381" s="380">
        <v>7850</v>
      </c>
      <c r="N3381" s="380" t="s">
        <v>443</v>
      </c>
      <c r="O3381" s="380" t="s">
        <v>443</v>
      </c>
      <c r="P3381" s="380" t="s">
        <v>443</v>
      </c>
      <c r="Q3381" s="381">
        <v>490</v>
      </c>
      <c r="R3381" s="381">
        <v>0</v>
      </c>
      <c r="S3381" s="381">
        <v>0</v>
      </c>
      <c r="T3381" s="381">
        <v>0</v>
      </c>
      <c r="U3381" s="381">
        <v>0</v>
      </c>
      <c r="V3381" s="382">
        <v>490</v>
      </c>
      <c r="W3381" s="382">
        <v>0</v>
      </c>
      <c r="X3381" s="381">
        <v>0.49</v>
      </c>
      <c r="Y3381" s="381">
        <v>0</v>
      </c>
      <c r="Z3381" s="381">
        <v>0</v>
      </c>
      <c r="AA3381" s="381">
        <v>0</v>
      </c>
      <c r="AB3381" s="381">
        <v>0</v>
      </c>
      <c r="AC3381" s="382">
        <v>0.49</v>
      </c>
      <c r="AD3381" s="382">
        <v>0</v>
      </c>
      <c r="AE3381" s="381" t="s">
        <v>168</v>
      </c>
    </row>
    <row r="3382" spans="1:31" ht="15" customHeight="1" x14ac:dyDescent="0.25">
      <c r="A3382" s="20" t="s">
        <v>5016</v>
      </c>
      <c r="B3382" s="20" t="s">
        <v>5017</v>
      </c>
      <c r="C3382" s="20" t="s">
        <v>5017</v>
      </c>
      <c r="D3382" s="378" t="s">
        <v>5037</v>
      </c>
      <c r="E3382" s="384">
        <v>45198</v>
      </c>
      <c r="F3382" s="384">
        <v>46293</v>
      </c>
      <c r="G3382" s="378" t="s">
        <v>2837</v>
      </c>
      <c r="H3382" s="20" t="s">
        <v>5038</v>
      </c>
      <c r="I3382" s="378">
        <v>0</v>
      </c>
      <c r="J3382" s="20" t="s">
        <v>3786</v>
      </c>
      <c r="K3382" s="378" t="s">
        <v>5039</v>
      </c>
      <c r="L3382" s="378" t="s">
        <v>2848</v>
      </c>
      <c r="M3382" s="380">
        <v>7850</v>
      </c>
      <c r="N3382" s="380" t="s">
        <v>443</v>
      </c>
      <c r="O3382" s="380" t="s">
        <v>443</v>
      </c>
      <c r="P3382" s="380" t="s">
        <v>443</v>
      </c>
      <c r="Q3382" s="381">
        <v>951</v>
      </c>
      <c r="R3382" s="381">
        <v>0</v>
      </c>
      <c r="S3382" s="381">
        <v>0</v>
      </c>
      <c r="T3382" s="381">
        <v>0</v>
      </c>
      <c r="U3382" s="381">
        <v>0</v>
      </c>
      <c r="V3382" s="382">
        <v>951</v>
      </c>
      <c r="W3382" s="382">
        <v>0</v>
      </c>
      <c r="X3382" s="381">
        <v>0.95099999999999996</v>
      </c>
      <c r="Y3382" s="381">
        <v>0</v>
      </c>
      <c r="Z3382" s="381">
        <v>0</v>
      </c>
      <c r="AA3382" s="381">
        <v>0</v>
      </c>
      <c r="AB3382" s="381">
        <v>0</v>
      </c>
      <c r="AC3382" s="382">
        <v>0.95099999999999996</v>
      </c>
      <c r="AD3382" s="382">
        <v>0</v>
      </c>
      <c r="AE3382" s="381" t="s">
        <v>168</v>
      </c>
    </row>
    <row r="3383" spans="1:31" ht="15" customHeight="1" x14ac:dyDescent="0.25">
      <c r="A3383" s="20" t="s">
        <v>5016</v>
      </c>
      <c r="B3383" s="20" t="s">
        <v>5017</v>
      </c>
      <c r="C3383" s="20" t="s">
        <v>5017</v>
      </c>
      <c r="D3383" s="378" t="s">
        <v>5040</v>
      </c>
      <c r="E3383" s="384">
        <v>45198</v>
      </c>
      <c r="F3383" s="384">
        <v>46293</v>
      </c>
      <c r="G3383" s="378" t="s">
        <v>2837</v>
      </c>
      <c r="H3383" s="20" t="s">
        <v>5038</v>
      </c>
      <c r="I3383" s="378">
        <v>0</v>
      </c>
      <c r="J3383" s="20" t="s">
        <v>3786</v>
      </c>
      <c r="K3383" s="378" t="s">
        <v>5039</v>
      </c>
      <c r="L3383" s="378" t="s">
        <v>2848</v>
      </c>
      <c r="M3383" s="380">
        <v>7850</v>
      </c>
      <c r="N3383" s="380" t="s">
        <v>443</v>
      </c>
      <c r="O3383" s="380" t="s">
        <v>443</v>
      </c>
      <c r="P3383" s="380" t="s">
        <v>443</v>
      </c>
      <c r="Q3383" s="381">
        <v>309</v>
      </c>
      <c r="R3383" s="381">
        <v>0</v>
      </c>
      <c r="S3383" s="381">
        <v>0</v>
      </c>
      <c r="T3383" s="381">
        <v>0</v>
      </c>
      <c r="U3383" s="381">
        <v>0</v>
      </c>
      <c r="V3383" s="382">
        <v>309</v>
      </c>
      <c r="W3383" s="382">
        <v>0</v>
      </c>
      <c r="X3383" s="381">
        <v>0.309</v>
      </c>
      <c r="Y3383" s="381">
        <v>0</v>
      </c>
      <c r="Z3383" s="381">
        <v>0</v>
      </c>
      <c r="AA3383" s="381">
        <v>0</v>
      </c>
      <c r="AB3383" s="381">
        <v>0</v>
      </c>
      <c r="AC3383" s="382">
        <v>0.309</v>
      </c>
      <c r="AD3383" s="382">
        <v>0</v>
      </c>
      <c r="AE3383" s="381" t="s">
        <v>168</v>
      </c>
    </row>
    <row r="3384" spans="1:31" ht="15" customHeight="1" x14ac:dyDescent="0.25">
      <c r="A3384" s="20" t="s">
        <v>4215</v>
      </c>
      <c r="B3384" s="20" t="s">
        <v>5017</v>
      </c>
      <c r="C3384" s="20" t="s">
        <v>5017</v>
      </c>
      <c r="D3384" s="378" t="s">
        <v>5041</v>
      </c>
      <c r="E3384" s="384">
        <v>44636</v>
      </c>
      <c r="F3384" s="384">
        <v>46462</v>
      </c>
      <c r="G3384" s="378" t="s">
        <v>2837</v>
      </c>
      <c r="H3384" s="20" t="s">
        <v>5042</v>
      </c>
      <c r="I3384" s="378">
        <v>0</v>
      </c>
      <c r="J3384" s="20" t="s">
        <v>2831</v>
      </c>
      <c r="K3384" s="378" t="s">
        <v>5043</v>
      </c>
      <c r="L3384" s="378" t="s">
        <v>2848</v>
      </c>
      <c r="M3384" s="380">
        <v>7850</v>
      </c>
      <c r="N3384" s="380" t="s">
        <v>443</v>
      </c>
      <c r="O3384" s="380" t="s">
        <v>443</v>
      </c>
      <c r="P3384" s="380" t="s">
        <v>443</v>
      </c>
      <c r="Q3384" s="381">
        <v>2190</v>
      </c>
      <c r="R3384" s="381">
        <v>2210</v>
      </c>
      <c r="S3384" s="381">
        <v>-16</v>
      </c>
      <c r="T3384" s="381">
        <v>0.47899999999999998</v>
      </c>
      <c r="U3384" s="381">
        <v>0</v>
      </c>
      <c r="V3384" s="382">
        <v>2210.4789999999998</v>
      </c>
      <c r="W3384" s="382">
        <v>0</v>
      </c>
      <c r="X3384" s="381">
        <v>2.19</v>
      </c>
      <c r="Y3384" s="381">
        <v>2.21</v>
      </c>
      <c r="Z3384" s="381">
        <v>-1.6E-2</v>
      </c>
      <c r="AA3384" s="381">
        <v>4.7899999999999999E-4</v>
      </c>
      <c r="AB3384" s="381">
        <v>0</v>
      </c>
      <c r="AC3384" s="382">
        <v>2.2104789999999999</v>
      </c>
      <c r="AD3384" s="382">
        <v>0</v>
      </c>
      <c r="AE3384" s="381" t="s">
        <v>168</v>
      </c>
    </row>
    <row r="3385" spans="1:31" ht="15" customHeight="1" x14ac:dyDescent="0.25">
      <c r="A3385" s="20" t="s">
        <v>4215</v>
      </c>
      <c r="B3385" s="20" t="s">
        <v>5017</v>
      </c>
      <c r="C3385" s="20" t="s">
        <v>5017</v>
      </c>
      <c r="D3385" s="378" t="s">
        <v>5044</v>
      </c>
      <c r="E3385" s="384">
        <v>45201</v>
      </c>
      <c r="F3385" s="384">
        <v>47027</v>
      </c>
      <c r="G3385" s="378" t="s">
        <v>5045</v>
      </c>
      <c r="H3385" s="20" t="s">
        <v>5046</v>
      </c>
      <c r="I3385" s="378">
        <v>0</v>
      </c>
      <c r="J3385" s="20" t="s">
        <v>2831</v>
      </c>
      <c r="K3385" s="378" t="s">
        <v>2854</v>
      </c>
      <c r="L3385" s="378" t="s">
        <v>2848</v>
      </c>
      <c r="M3385" s="380" t="s">
        <v>443</v>
      </c>
      <c r="N3385" s="380" t="s">
        <v>443</v>
      </c>
      <c r="O3385" s="380" t="s">
        <v>443</v>
      </c>
      <c r="P3385" s="380" t="s">
        <v>443</v>
      </c>
      <c r="Q3385" s="381">
        <v>3450</v>
      </c>
      <c r="R3385" s="381">
        <v>3480</v>
      </c>
      <c r="S3385" s="381">
        <v>-29.4</v>
      </c>
      <c r="T3385" s="381">
        <v>0.38900000000000001</v>
      </c>
      <c r="U3385" s="381">
        <v>0</v>
      </c>
      <c r="V3385" s="382">
        <v>3480.3890000000001</v>
      </c>
      <c r="W3385" s="382">
        <v>0</v>
      </c>
      <c r="X3385" s="381">
        <v>3.45</v>
      </c>
      <c r="Y3385" s="381">
        <v>3.48</v>
      </c>
      <c r="Z3385" s="381">
        <v>-2.9399999999999999E-2</v>
      </c>
      <c r="AA3385" s="381">
        <v>3.8900000000000002E-4</v>
      </c>
      <c r="AB3385" s="381">
        <v>0</v>
      </c>
      <c r="AC3385" s="382">
        <v>3.4803890000000002</v>
      </c>
      <c r="AD3385" s="382">
        <v>0</v>
      </c>
      <c r="AE3385" s="381" t="s">
        <v>168</v>
      </c>
    </row>
    <row r="3386" spans="1:31" ht="15" customHeight="1" x14ac:dyDescent="0.25">
      <c r="A3386" s="20" t="s">
        <v>4215</v>
      </c>
      <c r="B3386" s="20" t="s">
        <v>5017</v>
      </c>
      <c r="C3386" s="20" t="s">
        <v>5017</v>
      </c>
      <c r="D3386" s="378" t="s">
        <v>5047</v>
      </c>
      <c r="E3386" s="384">
        <v>45115</v>
      </c>
      <c r="F3386" s="384">
        <v>46941</v>
      </c>
      <c r="G3386" s="378" t="s">
        <v>5045</v>
      </c>
      <c r="H3386" s="20" t="s">
        <v>5048</v>
      </c>
      <c r="I3386" s="378">
        <v>0</v>
      </c>
      <c r="J3386" s="20" t="s">
        <v>2831</v>
      </c>
      <c r="K3386" s="378" t="s">
        <v>5049</v>
      </c>
      <c r="L3386" s="378" t="s">
        <v>2848</v>
      </c>
      <c r="M3386" s="380" t="s">
        <v>443</v>
      </c>
      <c r="N3386" s="380" t="s">
        <v>443</v>
      </c>
      <c r="O3386" s="380" t="s">
        <v>443</v>
      </c>
      <c r="P3386" s="380" t="s">
        <v>443</v>
      </c>
      <c r="Q3386" s="381">
        <v>2762.88</v>
      </c>
      <c r="R3386" s="381">
        <v>2784.1</v>
      </c>
      <c r="S3386" s="381">
        <v>-24.02</v>
      </c>
      <c r="T3386" s="381">
        <v>2.27</v>
      </c>
      <c r="U3386" s="381">
        <v>0</v>
      </c>
      <c r="V3386" s="382">
        <v>2786.37</v>
      </c>
      <c r="W3386" s="382">
        <v>0</v>
      </c>
      <c r="X3386" s="381">
        <v>2.76288</v>
      </c>
      <c r="Y3386" s="381">
        <v>2.7841</v>
      </c>
      <c r="Z3386" s="381">
        <v>-2.402E-2</v>
      </c>
      <c r="AA3386" s="381">
        <v>2.2699999999999999E-3</v>
      </c>
      <c r="AB3386" s="381">
        <v>0</v>
      </c>
      <c r="AC3386" s="382">
        <v>2.7863700000000002</v>
      </c>
      <c r="AD3386" s="382">
        <v>0</v>
      </c>
      <c r="AE3386" s="381" t="s">
        <v>168</v>
      </c>
    </row>
    <row r="3387" spans="1:31" ht="15" customHeight="1" x14ac:dyDescent="0.25">
      <c r="A3387" s="20" t="s">
        <v>4215</v>
      </c>
      <c r="B3387" s="20" t="s">
        <v>5017</v>
      </c>
      <c r="C3387" s="20" t="s">
        <v>5017</v>
      </c>
      <c r="D3387" s="378" t="s">
        <v>5050</v>
      </c>
      <c r="E3387" s="384">
        <v>45252</v>
      </c>
      <c r="F3387" s="384">
        <v>47079</v>
      </c>
      <c r="G3387" s="378" t="s">
        <v>2837</v>
      </c>
      <c r="H3387" s="20" t="s">
        <v>5051</v>
      </c>
      <c r="I3387" s="378">
        <v>0</v>
      </c>
      <c r="J3387" s="20" t="s">
        <v>2831</v>
      </c>
      <c r="K3387" s="378" t="s">
        <v>5052</v>
      </c>
      <c r="L3387" s="378" t="s">
        <v>2848</v>
      </c>
      <c r="M3387" s="380">
        <v>7850</v>
      </c>
      <c r="N3387" s="380" t="s">
        <v>443</v>
      </c>
      <c r="O3387" s="380" t="s">
        <v>443</v>
      </c>
      <c r="P3387" s="380" t="s">
        <v>443</v>
      </c>
      <c r="Q3387" s="381">
        <v>1840</v>
      </c>
      <c r="R3387" s="381">
        <v>1840</v>
      </c>
      <c r="S3387" s="381">
        <v>4.78</v>
      </c>
      <c r="T3387" s="381">
        <v>2.6</v>
      </c>
      <c r="U3387" s="381">
        <v>0</v>
      </c>
      <c r="V3387" s="382">
        <v>1847.3799999999999</v>
      </c>
      <c r="W3387" s="382">
        <v>0</v>
      </c>
      <c r="X3387" s="381">
        <v>1.84</v>
      </c>
      <c r="Y3387" s="381">
        <v>1.84</v>
      </c>
      <c r="Z3387" s="381">
        <v>4.7800000000000004E-3</v>
      </c>
      <c r="AA3387" s="381">
        <v>2.5999999999999999E-3</v>
      </c>
      <c r="AB3387" s="381">
        <v>0</v>
      </c>
      <c r="AC3387" s="382">
        <v>1.84738</v>
      </c>
      <c r="AD3387" s="382">
        <v>0</v>
      </c>
      <c r="AE3387" s="381" t="s">
        <v>168</v>
      </c>
    </row>
    <row r="3388" spans="1:31" ht="15" customHeight="1" x14ac:dyDescent="0.25">
      <c r="A3388" s="20" t="s">
        <v>4215</v>
      </c>
      <c r="B3388" s="20" t="s">
        <v>5017</v>
      </c>
      <c r="C3388" s="20" t="s">
        <v>5017</v>
      </c>
      <c r="D3388" s="378" t="s">
        <v>5053</v>
      </c>
      <c r="E3388" s="384">
        <v>45260</v>
      </c>
      <c r="F3388" s="384">
        <v>47087</v>
      </c>
      <c r="G3388" s="378" t="s">
        <v>2837</v>
      </c>
      <c r="H3388" s="20" t="s">
        <v>5054</v>
      </c>
      <c r="I3388" s="378">
        <v>0</v>
      </c>
      <c r="J3388" s="20" t="s">
        <v>2831</v>
      </c>
      <c r="K3388" s="378" t="s">
        <v>5055</v>
      </c>
      <c r="L3388" s="378" t="s">
        <v>2848</v>
      </c>
      <c r="M3388" s="380">
        <v>7850</v>
      </c>
      <c r="N3388" s="380" t="s">
        <v>443</v>
      </c>
      <c r="O3388" s="380" t="s">
        <v>443</v>
      </c>
      <c r="P3388" s="380" t="s">
        <v>443</v>
      </c>
      <c r="Q3388" s="381">
        <v>2240</v>
      </c>
      <c r="R3388" s="381">
        <v>2230</v>
      </c>
      <c r="S3388" s="381">
        <v>8.77</v>
      </c>
      <c r="T3388" s="381">
        <v>1.33</v>
      </c>
      <c r="U3388" s="381">
        <v>0</v>
      </c>
      <c r="V3388" s="382">
        <v>2240.1</v>
      </c>
      <c r="W3388" s="382">
        <v>0</v>
      </c>
      <c r="X3388" s="381">
        <v>2.2400000000000002</v>
      </c>
      <c r="Y3388" s="381">
        <v>2.23</v>
      </c>
      <c r="Z3388" s="381">
        <v>8.77E-3</v>
      </c>
      <c r="AA3388" s="381">
        <v>1.33E-3</v>
      </c>
      <c r="AB3388" s="381">
        <v>0</v>
      </c>
      <c r="AC3388" s="382">
        <v>2.2401</v>
      </c>
      <c r="AD3388" s="382">
        <v>0</v>
      </c>
      <c r="AE3388" s="381" t="s">
        <v>168</v>
      </c>
    </row>
    <row r="3389" spans="1:31" ht="15" customHeight="1" x14ac:dyDescent="0.25">
      <c r="A3389" s="20" t="s">
        <v>4215</v>
      </c>
      <c r="B3389" s="20" t="s">
        <v>5017</v>
      </c>
      <c r="C3389" s="20" t="s">
        <v>5017</v>
      </c>
      <c r="D3389" s="378" t="s">
        <v>5056</v>
      </c>
      <c r="E3389" s="384">
        <v>45099</v>
      </c>
      <c r="F3389" s="384">
        <v>46925</v>
      </c>
      <c r="G3389" s="378" t="s">
        <v>5057</v>
      </c>
      <c r="H3389" s="20" t="s">
        <v>5058</v>
      </c>
      <c r="I3389" s="378">
        <v>0</v>
      </c>
      <c r="J3389" s="20" t="s">
        <v>2831</v>
      </c>
      <c r="K3389" s="378" t="s">
        <v>5059</v>
      </c>
      <c r="L3389" s="378" t="s">
        <v>2848</v>
      </c>
      <c r="M3389" s="380" t="s">
        <v>443</v>
      </c>
      <c r="N3389" s="380" t="s">
        <v>443</v>
      </c>
      <c r="O3389" s="380" t="s">
        <v>443</v>
      </c>
      <c r="P3389" s="380" t="s">
        <v>443</v>
      </c>
      <c r="Q3389" s="381">
        <v>659</v>
      </c>
      <c r="R3389" s="381">
        <v>656</v>
      </c>
      <c r="S3389" s="381">
        <v>1.96</v>
      </c>
      <c r="T3389" s="381">
        <v>0.81799999999999995</v>
      </c>
      <c r="U3389" s="381">
        <v>0</v>
      </c>
      <c r="V3389" s="382">
        <v>658.77800000000002</v>
      </c>
      <c r="W3389" s="382">
        <v>0</v>
      </c>
      <c r="X3389" s="381">
        <v>0.65900000000000003</v>
      </c>
      <c r="Y3389" s="381">
        <v>0.65600000000000003</v>
      </c>
      <c r="Z3389" s="381">
        <v>1.9599999999999999E-3</v>
      </c>
      <c r="AA3389" s="381">
        <v>8.1799999999999993E-4</v>
      </c>
      <c r="AB3389" s="381">
        <v>0</v>
      </c>
      <c r="AC3389" s="382">
        <v>0.65877799999999997</v>
      </c>
      <c r="AD3389" s="382">
        <v>0</v>
      </c>
      <c r="AE3389" s="381" t="s">
        <v>168</v>
      </c>
    </row>
    <row r="3390" spans="1:31" ht="15" customHeight="1" x14ac:dyDescent="0.25">
      <c r="A3390" s="20" t="s">
        <v>4215</v>
      </c>
      <c r="B3390" s="20" t="s">
        <v>5017</v>
      </c>
      <c r="C3390" s="20" t="s">
        <v>5017</v>
      </c>
      <c r="D3390" s="378" t="s">
        <v>5060</v>
      </c>
      <c r="E3390" s="384" t="s">
        <v>5061</v>
      </c>
      <c r="F3390" s="384" t="s">
        <v>5062</v>
      </c>
      <c r="G3390" s="378" t="s">
        <v>2837</v>
      </c>
      <c r="H3390" s="20" t="s">
        <v>5063</v>
      </c>
      <c r="I3390" s="378">
        <v>0</v>
      </c>
      <c r="J3390" s="20" t="s">
        <v>776</v>
      </c>
      <c r="K3390" s="378" t="s">
        <v>5064</v>
      </c>
      <c r="L3390" s="378" t="s">
        <v>2848</v>
      </c>
      <c r="M3390" s="380" t="s">
        <v>443</v>
      </c>
      <c r="N3390" s="380" t="s">
        <v>443</v>
      </c>
      <c r="O3390" s="380" t="s">
        <v>443</v>
      </c>
      <c r="P3390" s="380" t="s">
        <v>443</v>
      </c>
      <c r="Q3390" s="381">
        <v>445</v>
      </c>
      <c r="R3390" s="381">
        <v>425</v>
      </c>
      <c r="S3390" s="381">
        <v>19.899999999999999</v>
      </c>
      <c r="T3390" s="381">
        <v>0.16300000000000001</v>
      </c>
      <c r="U3390" s="381">
        <v>0</v>
      </c>
      <c r="V3390" s="382">
        <v>445.06299999999999</v>
      </c>
      <c r="W3390" s="382">
        <v>0</v>
      </c>
      <c r="X3390" s="381">
        <v>0.44500000000000001</v>
      </c>
      <c r="Y3390" s="381">
        <v>0.42499999999999999</v>
      </c>
      <c r="Z3390" s="381">
        <v>1.9899999999999998E-2</v>
      </c>
      <c r="AA3390" s="381">
        <v>1.63E-4</v>
      </c>
      <c r="AB3390" s="381">
        <v>0</v>
      </c>
      <c r="AC3390" s="382">
        <v>0.44506299999999999</v>
      </c>
      <c r="AD3390" s="382">
        <v>0</v>
      </c>
      <c r="AE3390" s="381" t="s">
        <v>444</v>
      </c>
    </row>
    <row r="3391" spans="1:31" ht="15" customHeight="1" x14ac:dyDescent="0.25">
      <c r="A3391" s="20" t="s">
        <v>4215</v>
      </c>
      <c r="B3391" s="20" t="s">
        <v>5017</v>
      </c>
      <c r="C3391" s="20" t="s">
        <v>5017</v>
      </c>
      <c r="D3391" s="378" t="s">
        <v>5065</v>
      </c>
      <c r="E3391" s="384" t="s">
        <v>5066</v>
      </c>
      <c r="F3391" s="384" t="s">
        <v>5067</v>
      </c>
      <c r="G3391" s="378" t="s">
        <v>2837</v>
      </c>
      <c r="H3391" s="20" t="s">
        <v>5068</v>
      </c>
      <c r="I3391" s="378" t="s">
        <v>5069</v>
      </c>
      <c r="J3391" s="20" t="s">
        <v>5070</v>
      </c>
      <c r="K3391" s="378" t="s">
        <v>5071</v>
      </c>
      <c r="L3391" s="378" t="s">
        <v>2848</v>
      </c>
      <c r="M3391" s="380" t="s">
        <v>443</v>
      </c>
      <c r="N3391" s="380" t="s">
        <v>443</v>
      </c>
      <c r="O3391" s="380" t="s">
        <v>443</v>
      </c>
      <c r="P3391" s="380" t="s">
        <v>443</v>
      </c>
      <c r="Q3391" s="381">
        <v>964</v>
      </c>
      <c r="R3391" s="381">
        <v>0</v>
      </c>
      <c r="S3391" s="381">
        <v>0</v>
      </c>
      <c r="T3391" s="381">
        <v>0</v>
      </c>
      <c r="U3391" s="381">
        <v>0</v>
      </c>
      <c r="V3391" s="382">
        <v>964</v>
      </c>
      <c r="W3391" s="382">
        <v>0</v>
      </c>
      <c r="X3391" s="381">
        <v>0.96399999999999997</v>
      </c>
      <c r="Y3391" s="381">
        <v>0</v>
      </c>
      <c r="Z3391" s="381">
        <v>0</v>
      </c>
      <c r="AA3391" s="381">
        <v>0</v>
      </c>
      <c r="AB3391" s="381">
        <v>0</v>
      </c>
      <c r="AC3391" s="382">
        <v>0.96399999999999997</v>
      </c>
      <c r="AD3391" s="382">
        <v>0</v>
      </c>
      <c r="AE3391" s="381" t="s">
        <v>444</v>
      </c>
    </row>
    <row r="3392" spans="1:31" ht="15" customHeight="1" x14ac:dyDescent="0.25">
      <c r="A3392" s="20" t="s">
        <v>4215</v>
      </c>
      <c r="B3392" s="20" t="s">
        <v>5017</v>
      </c>
      <c r="C3392" s="20" t="s">
        <v>5017</v>
      </c>
      <c r="D3392" s="378" t="s">
        <v>5072</v>
      </c>
      <c r="E3392" s="384">
        <v>45175</v>
      </c>
      <c r="F3392" s="384" t="s">
        <v>3064</v>
      </c>
      <c r="G3392" s="378" t="s">
        <v>2837</v>
      </c>
      <c r="H3392" s="20" t="s">
        <v>5073</v>
      </c>
      <c r="I3392" s="378" t="s">
        <v>5074</v>
      </c>
      <c r="J3392" s="20" t="s">
        <v>5070</v>
      </c>
      <c r="K3392" s="378" t="s">
        <v>5075</v>
      </c>
      <c r="L3392" s="378" t="s">
        <v>2848</v>
      </c>
      <c r="M3392" s="380" t="s">
        <v>443</v>
      </c>
      <c r="N3392" s="380" t="s">
        <v>443</v>
      </c>
      <c r="O3392" s="380" t="s">
        <v>443</v>
      </c>
      <c r="P3392" s="380" t="s">
        <v>443</v>
      </c>
      <c r="Q3392" s="381">
        <v>740</v>
      </c>
      <c r="R3392" s="381">
        <v>738</v>
      </c>
      <c r="S3392" s="381">
        <v>0.624</v>
      </c>
      <c r="T3392" s="381">
        <v>0.27500000000000002</v>
      </c>
      <c r="U3392" s="381">
        <v>0</v>
      </c>
      <c r="V3392" s="382">
        <v>738.899</v>
      </c>
      <c r="W3392" s="382">
        <v>0</v>
      </c>
      <c r="X3392" s="381">
        <v>0.74</v>
      </c>
      <c r="Y3392" s="381">
        <v>0.73799999999999999</v>
      </c>
      <c r="Z3392" s="381">
        <v>6.2399999999999999E-4</v>
      </c>
      <c r="AA3392" s="381">
        <v>2.7500000000000002E-4</v>
      </c>
      <c r="AB3392" s="381">
        <v>0</v>
      </c>
      <c r="AC3392" s="382">
        <v>0.73889899999999997</v>
      </c>
      <c r="AD3392" s="382">
        <v>0</v>
      </c>
      <c r="AE3392" s="381" t="s">
        <v>444</v>
      </c>
    </row>
    <row r="3393" spans="1:31" ht="15" customHeight="1" x14ac:dyDescent="0.25">
      <c r="A3393" s="20" t="s">
        <v>4215</v>
      </c>
      <c r="B3393" s="20" t="s">
        <v>5017</v>
      </c>
      <c r="C3393" s="20" t="s">
        <v>5017</v>
      </c>
      <c r="D3393" s="378" t="s">
        <v>5076</v>
      </c>
      <c r="E3393" s="384" t="s">
        <v>5077</v>
      </c>
      <c r="F3393" s="384" t="s">
        <v>5078</v>
      </c>
      <c r="G3393" s="378" t="s">
        <v>2837</v>
      </c>
      <c r="H3393" s="20" t="s">
        <v>5079</v>
      </c>
      <c r="I3393" s="378">
        <v>0</v>
      </c>
      <c r="J3393" s="20" t="s">
        <v>5080</v>
      </c>
      <c r="K3393" s="378" t="s">
        <v>5081</v>
      </c>
      <c r="L3393" s="378" t="s">
        <v>2848</v>
      </c>
      <c r="M3393" s="380" t="s">
        <v>443</v>
      </c>
      <c r="N3393" s="380" t="s">
        <v>443</v>
      </c>
      <c r="O3393" s="380" t="s">
        <v>443</v>
      </c>
      <c r="P3393" s="380" t="s">
        <v>443</v>
      </c>
      <c r="Q3393" s="381">
        <v>689.5</v>
      </c>
      <c r="R3393" s="381">
        <v>680.69999999999993</v>
      </c>
      <c r="S3393" s="381">
        <v>8.5339000000000009</v>
      </c>
      <c r="T3393" s="381">
        <v>0.22819999999999999</v>
      </c>
      <c r="U3393" s="381">
        <v>0</v>
      </c>
      <c r="V3393" s="382">
        <v>689.46209999999996</v>
      </c>
      <c r="W3393" s="382">
        <v>0</v>
      </c>
      <c r="X3393" s="381">
        <v>0.6895</v>
      </c>
      <c r="Y3393" s="381">
        <v>0.68069999999999997</v>
      </c>
      <c r="Z3393" s="381">
        <v>8.5339000000000005E-3</v>
      </c>
      <c r="AA3393" s="381">
        <v>2.2819999999999999E-4</v>
      </c>
      <c r="AB3393" s="381">
        <v>0</v>
      </c>
      <c r="AC3393" s="382">
        <v>0.68946209999999997</v>
      </c>
      <c r="AD3393" s="382">
        <v>0</v>
      </c>
      <c r="AE3393" s="381" t="s">
        <v>444</v>
      </c>
    </row>
    <row r="3394" spans="1:31" ht="15" customHeight="1" x14ac:dyDescent="0.25">
      <c r="A3394" s="20" t="s">
        <v>4215</v>
      </c>
      <c r="B3394" s="20" t="s">
        <v>5017</v>
      </c>
      <c r="C3394" s="20" t="s">
        <v>5017</v>
      </c>
      <c r="D3394" s="378" t="s">
        <v>5082</v>
      </c>
      <c r="E3394" s="384" t="s">
        <v>5083</v>
      </c>
      <c r="F3394" s="384">
        <v>46725</v>
      </c>
      <c r="G3394" s="378" t="s">
        <v>2837</v>
      </c>
      <c r="H3394" s="20" t="s">
        <v>5084</v>
      </c>
      <c r="I3394" s="378">
        <v>0</v>
      </c>
      <c r="J3394" s="20" t="s">
        <v>3307</v>
      </c>
      <c r="K3394" s="378" t="s">
        <v>5085</v>
      </c>
      <c r="L3394" s="378" t="s">
        <v>2848</v>
      </c>
      <c r="M3394" s="380" t="s">
        <v>443</v>
      </c>
      <c r="N3394" s="380" t="s">
        <v>443</v>
      </c>
      <c r="O3394" s="380" t="s">
        <v>443</v>
      </c>
      <c r="P3394" s="380" t="s">
        <v>443</v>
      </c>
      <c r="Q3394" s="381">
        <v>818</v>
      </c>
      <c r="R3394" s="381">
        <v>0</v>
      </c>
      <c r="S3394" s="381">
        <v>0</v>
      </c>
      <c r="T3394" s="381">
        <v>0</v>
      </c>
      <c r="U3394" s="381">
        <v>0</v>
      </c>
      <c r="V3394" s="382">
        <v>818</v>
      </c>
      <c r="W3394" s="382">
        <v>0</v>
      </c>
      <c r="X3394" s="381">
        <v>0.81799999999999995</v>
      </c>
      <c r="Y3394" s="381">
        <v>0</v>
      </c>
      <c r="Z3394" s="381">
        <v>0</v>
      </c>
      <c r="AA3394" s="381">
        <v>0</v>
      </c>
      <c r="AB3394" s="381">
        <v>0</v>
      </c>
      <c r="AC3394" s="382">
        <v>0.81799999999999995</v>
      </c>
      <c r="AD3394" s="382">
        <v>0</v>
      </c>
      <c r="AE3394" s="381" t="s">
        <v>444</v>
      </c>
    </row>
    <row r="3395" spans="1:31" ht="15" customHeight="1" x14ac:dyDescent="0.25">
      <c r="A3395" s="20" t="s">
        <v>4215</v>
      </c>
      <c r="B3395" s="20" t="s">
        <v>5017</v>
      </c>
      <c r="C3395" s="20" t="s">
        <v>5017</v>
      </c>
      <c r="D3395" s="378" t="s">
        <v>5086</v>
      </c>
      <c r="E3395" s="384">
        <v>44202</v>
      </c>
      <c r="F3395" s="384">
        <v>46028</v>
      </c>
      <c r="G3395" s="378" t="s">
        <v>2837</v>
      </c>
      <c r="H3395" s="20" t="s">
        <v>5087</v>
      </c>
      <c r="I3395" s="378">
        <v>0</v>
      </c>
      <c r="J3395" s="20" t="s">
        <v>5088</v>
      </c>
      <c r="K3395" s="378" t="s">
        <v>5089</v>
      </c>
      <c r="L3395" s="378" t="s">
        <v>2848</v>
      </c>
      <c r="M3395" s="380" t="s">
        <v>443</v>
      </c>
      <c r="N3395" s="380" t="s">
        <v>443</v>
      </c>
      <c r="O3395" s="380" t="s">
        <v>443</v>
      </c>
      <c r="P3395" s="380" t="s">
        <v>443</v>
      </c>
      <c r="Q3395" s="381">
        <v>690</v>
      </c>
      <c r="R3395" s="381">
        <v>707</v>
      </c>
      <c r="S3395" s="381">
        <v>-18.3</v>
      </c>
      <c r="T3395" s="381">
        <v>0.91900000000000004</v>
      </c>
      <c r="U3395" s="381">
        <v>0</v>
      </c>
      <c r="V3395" s="382">
        <v>707.91899999999998</v>
      </c>
      <c r="W3395" s="382">
        <v>0</v>
      </c>
      <c r="X3395" s="381">
        <v>0.69</v>
      </c>
      <c r="Y3395" s="381">
        <v>0.70699999999999996</v>
      </c>
      <c r="Z3395" s="381">
        <v>-1.83E-2</v>
      </c>
      <c r="AA3395" s="381">
        <v>9.19E-4</v>
      </c>
      <c r="AB3395" s="381">
        <v>0</v>
      </c>
      <c r="AC3395" s="382">
        <v>0.70791899999999996</v>
      </c>
      <c r="AD3395" s="382">
        <v>0</v>
      </c>
      <c r="AE3395" s="381" t="s">
        <v>444</v>
      </c>
    </row>
    <row r="3396" spans="1:31" ht="15" customHeight="1" x14ac:dyDescent="0.25">
      <c r="A3396" s="20" t="s">
        <v>4215</v>
      </c>
      <c r="B3396" s="20" t="s">
        <v>5017</v>
      </c>
      <c r="C3396" s="20" t="s">
        <v>5017</v>
      </c>
      <c r="D3396" s="378" t="s">
        <v>5090</v>
      </c>
      <c r="E3396" s="384">
        <v>44565</v>
      </c>
      <c r="F3396" s="384">
        <v>46391</v>
      </c>
      <c r="G3396" s="378" t="s">
        <v>2837</v>
      </c>
      <c r="H3396" s="20" t="s">
        <v>5091</v>
      </c>
      <c r="I3396" s="378">
        <v>0</v>
      </c>
      <c r="J3396" s="20" t="s">
        <v>5088</v>
      </c>
      <c r="K3396" s="378" t="s">
        <v>5092</v>
      </c>
      <c r="L3396" s="378" t="s">
        <v>2848</v>
      </c>
      <c r="M3396" s="380" t="s">
        <v>443</v>
      </c>
      <c r="N3396" s="380" t="s">
        <v>443</v>
      </c>
      <c r="O3396" s="380" t="s">
        <v>443</v>
      </c>
      <c r="P3396" s="380" t="s">
        <v>443</v>
      </c>
      <c r="Q3396" s="381">
        <v>1489.3000000000002</v>
      </c>
      <c r="R3396" s="381">
        <v>0</v>
      </c>
      <c r="S3396" s="381">
        <v>0</v>
      </c>
      <c r="T3396" s="381">
        <v>0</v>
      </c>
      <c r="U3396" s="381">
        <v>0</v>
      </c>
      <c r="V3396" s="382">
        <v>1489.3000000000002</v>
      </c>
      <c r="W3396" s="382">
        <v>0</v>
      </c>
      <c r="X3396" s="381">
        <v>1.4893000000000003</v>
      </c>
      <c r="Y3396" s="381">
        <v>0</v>
      </c>
      <c r="Z3396" s="381">
        <v>0</v>
      </c>
      <c r="AA3396" s="381">
        <v>0</v>
      </c>
      <c r="AB3396" s="381">
        <v>0</v>
      </c>
      <c r="AC3396" s="382">
        <v>1.4893000000000003</v>
      </c>
      <c r="AD3396" s="382">
        <v>0</v>
      </c>
      <c r="AE3396" s="381" t="s">
        <v>444</v>
      </c>
    </row>
    <row r="3397" spans="1:31" ht="15" customHeight="1" x14ac:dyDescent="0.25">
      <c r="A3397" s="20" t="s">
        <v>4215</v>
      </c>
      <c r="B3397" s="20" t="s">
        <v>5017</v>
      </c>
      <c r="C3397" s="20" t="s">
        <v>5017</v>
      </c>
      <c r="D3397" s="378" t="s">
        <v>5093</v>
      </c>
      <c r="E3397" s="384">
        <v>44689</v>
      </c>
      <c r="F3397" s="384" t="s">
        <v>5094</v>
      </c>
      <c r="G3397" s="378" t="s">
        <v>2837</v>
      </c>
      <c r="H3397" s="20" t="s">
        <v>5095</v>
      </c>
      <c r="I3397" s="378" t="s">
        <v>5096</v>
      </c>
      <c r="J3397" s="20" t="s">
        <v>5070</v>
      </c>
      <c r="K3397" s="378" t="s">
        <v>5036</v>
      </c>
      <c r="L3397" s="378" t="s">
        <v>2848</v>
      </c>
      <c r="M3397" s="380" t="s">
        <v>443</v>
      </c>
      <c r="N3397" s="380" t="s">
        <v>443</v>
      </c>
      <c r="O3397" s="380" t="s">
        <v>443</v>
      </c>
      <c r="P3397" s="380" t="s">
        <v>443</v>
      </c>
      <c r="Q3397" s="381">
        <v>490</v>
      </c>
      <c r="R3397" s="381">
        <v>0</v>
      </c>
      <c r="S3397" s="381">
        <v>0</v>
      </c>
      <c r="T3397" s="381">
        <v>0</v>
      </c>
      <c r="U3397" s="381">
        <v>0</v>
      </c>
      <c r="V3397" s="382">
        <v>490</v>
      </c>
      <c r="W3397" s="382">
        <v>0</v>
      </c>
      <c r="X3397" s="381">
        <v>0.49</v>
      </c>
      <c r="Y3397" s="381">
        <v>0</v>
      </c>
      <c r="Z3397" s="381">
        <v>0</v>
      </c>
      <c r="AA3397" s="381">
        <v>0</v>
      </c>
      <c r="AB3397" s="381">
        <v>0</v>
      </c>
      <c r="AC3397" s="382">
        <v>0.49</v>
      </c>
      <c r="AD3397" s="382">
        <v>0</v>
      </c>
      <c r="AE3397" s="381" t="s">
        <v>444</v>
      </c>
    </row>
    <row r="3398" spans="1:31" ht="15" customHeight="1" x14ac:dyDescent="0.25">
      <c r="A3398" s="20" t="s">
        <v>4215</v>
      </c>
      <c r="B3398" s="20" t="s">
        <v>5017</v>
      </c>
      <c r="C3398" s="20" t="s">
        <v>5017</v>
      </c>
      <c r="D3398" s="378" t="s">
        <v>5097</v>
      </c>
      <c r="E3398" s="384">
        <v>45478</v>
      </c>
      <c r="F3398" s="384">
        <v>46543</v>
      </c>
      <c r="G3398" s="378" t="s">
        <v>2837</v>
      </c>
      <c r="H3398" s="20" t="s">
        <v>5098</v>
      </c>
      <c r="I3398" s="378">
        <v>1</v>
      </c>
      <c r="J3398" s="20" t="s">
        <v>5070</v>
      </c>
      <c r="K3398" s="378" t="s">
        <v>5099</v>
      </c>
      <c r="L3398" s="378" t="s">
        <v>2848</v>
      </c>
      <c r="M3398" s="380" t="s">
        <v>443</v>
      </c>
      <c r="N3398" s="380" t="s">
        <v>443</v>
      </c>
      <c r="O3398" s="380" t="s">
        <v>443</v>
      </c>
      <c r="P3398" s="380" t="s">
        <v>443</v>
      </c>
      <c r="Q3398" s="381">
        <v>2490</v>
      </c>
      <c r="R3398" s="381">
        <v>2490</v>
      </c>
      <c r="S3398" s="381">
        <v>1.21</v>
      </c>
      <c r="T3398" s="381">
        <v>0.93600000000000005</v>
      </c>
      <c r="U3398" s="381">
        <v>0</v>
      </c>
      <c r="V3398" s="382">
        <v>2492.1460000000002</v>
      </c>
      <c r="W3398" s="382">
        <v>0</v>
      </c>
      <c r="X3398" s="381">
        <v>2.4900000000000002</v>
      </c>
      <c r="Y3398" s="381">
        <v>2.4900000000000002</v>
      </c>
      <c r="Z3398" s="381">
        <v>1.2099999999999999E-3</v>
      </c>
      <c r="AA3398" s="381">
        <v>9.3600000000000009E-4</v>
      </c>
      <c r="AB3398" s="381">
        <v>0</v>
      </c>
      <c r="AC3398" s="382">
        <v>2.492146</v>
      </c>
      <c r="AD3398" s="382">
        <v>0</v>
      </c>
      <c r="AE3398" s="381" t="s">
        <v>444</v>
      </c>
    </row>
    <row r="3399" spans="1:31" ht="15" customHeight="1" x14ac:dyDescent="0.25">
      <c r="A3399" s="20" t="s">
        <v>4215</v>
      </c>
      <c r="B3399" s="20" t="s">
        <v>5017</v>
      </c>
      <c r="C3399" s="20" t="s">
        <v>5017</v>
      </c>
      <c r="D3399" s="378" t="s">
        <v>5100</v>
      </c>
      <c r="E3399" s="384" t="s">
        <v>5101</v>
      </c>
      <c r="F3399" s="384">
        <v>46727</v>
      </c>
      <c r="G3399" s="378" t="s">
        <v>2837</v>
      </c>
      <c r="H3399" s="20" t="s">
        <v>5102</v>
      </c>
      <c r="I3399" s="378">
        <v>1</v>
      </c>
      <c r="J3399" s="20" t="s">
        <v>5070</v>
      </c>
      <c r="K3399" s="378" t="s">
        <v>5103</v>
      </c>
      <c r="L3399" s="378" t="s">
        <v>2848</v>
      </c>
      <c r="M3399" s="380" t="s">
        <v>443</v>
      </c>
      <c r="N3399" s="380" t="s">
        <v>443</v>
      </c>
      <c r="O3399" s="380" t="s">
        <v>443</v>
      </c>
      <c r="P3399" s="380" t="s">
        <v>443</v>
      </c>
      <c r="Q3399" s="381">
        <v>950</v>
      </c>
      <c r="R3399" s="381">
        <v>947</v>
      </c>
      <c r="S3399" s="381">
        <v>1.07</v>
      </c>
      <c r="T3399" s="381">
        <v>2.06</v>
      </c>
      <c r="U3399" s="381">
        <v>0</v>
      </c>
      <c r="V3399" s="382">
        <v>950.13</v>
      </c>
      <c r="W3399" s="382">
        <v>0</v>
      </c>
      <c r="X3399" s="381">
        <v>0.95</v>
      </c>
      <c r="Y3399" s="381">
        <v>0.94699999999999995</v>
      </c>
      <c r="Z3399" s="381">
        <v>1.07E-3</v>
      </c>
      <c r="AA3399" s="381">
        <v>2.0600000000000002E-3</v>
      </c>
      <c r="AB3399" s="381">
        <v>0</v>
      </c>
      <c r="AC3399" s="382">
        <v>0.95012999999999992</v>
      </c>
      <c r="AD3399" s="382">
        <v>0</v>
      </c>
      <c r="AE3399" s="381" t="s">
        <v>444</v>
      </c>
    </row>
    <row r="3400" spans="1:31" ht="15" customHeight="1" x14ac:dyDescent="0.25">
      <c r="A3400" s="20" t="s">
        <v>4215</v>
      </c>
      <c r="B3400" s="20" t="s">
        <v>5017</v>
      </c>
      <c r="C3400" s="20" t="s">
        <v>5017</v>
      </c>
      <c r="D3400" s="378" t="s">
        <v>5104</v>
      </c>
      <c r="E3400" s="384">
        <v>45295</v>
      </c>
      <c r="F3400" s="384">
        <v>47122</v>
      </c>
      <c r="G3400" s="378" t="s">
        <v>5105</v>
      </c>
      <c r="H3400" s="20" t="s">
        <v>5106</v>
      </c>
      <c r="I3400" s="378" t="s">
        <v>441</v>
      </c>
      <c r="J3400" s="20" t="s">
        <v>3311</v>
      </c>
      <c r="K3400" s="378" t="s">
        <v>5107</v>
      </c>
      <c r="L3400" s="378" t="s">
        <v>2848</v>
      </c>
      <c r="M3400" s="380" t="s">
        <v>443</v>
      </c>
      <c r="N3400" s="380" t="s">
        <v>443</v>
      </c>
      <c r="O3400" s="380" t="s">
        <v>443</v>
      </c>
      <c r="P3400" s="380" t="s">
        <v>443</v>
      </c>
      <c r="Q3400" s="381">
        <v>960</v>
      </c>
      <c r="R3400" s="381">
        <v>0</v>
      </c>
      <c r="S3400" s="381">
        <v>0</v>
      </c>
      <c r="T3400" s="381">
        <v>0</v>
      </c>
      <c r="U3400" s="381">
        <v>0</v>
      </c>
      <c r="V3400" s="382">
        <v>960</v>
      </c>
      <c r="W3400" s="382">
        <v>0</v>
      </c>
      <c r="X3400" s="381">
        <v>0.96</v>
      </c>
      <c r="Y3400" s="381">
        <v>0</v>
      </c>
      <c r="Z3400" s="381">
        <v>0</v>
      </c>
      <c r="AA3400" s="381">
        <v>0</v>
      </c>
      <c r="AB3400" s="381">
        <v>0</v>
      </c>
      <c r="AC3400" s="382">
        <v>0.96</v>
      </c>
      <c r="AD3400" s="382">
        <v>0</v>
      </c>
      <c r="AE3400" s="381" t="s">
        <v>444</v>
      </c>
    </row>
    <row r="3401" spans="1:31" ht="15" customHeight="1" x14ac:dyDescent="0.25">
      <c r="A3401" s="20" t="s">
        <v>4215</v>
      </c>
      <c r="B3401" s="20" t="s">
        <v>5017</v>
      </c>
      <c r="C3401" s="20" t="s">
        <v>5017</v>
      </c>
      <c r="D3401" s="378" t="s">
        <v>5108</v>
      </c>
      <c r="E3401" s="384" t="s">
        <v>5109</v>
      </c>
      <c r="F3401" s="384" t="s">
        <v>5110</v>
      </c>
      <c r="G3401" s="378" t="s">
        <v>2837</v>
      </c>
      <c r="H3401" s="20" t="s">
        <v>5111</v>
      </c>
      <c r="I3401" s="378" t="s">
        <v>441</v>
      </c>
      <c r="J3401" s="20" t="s">
        <v>3311</v>
      </c>
      <c r="K3401" s="378" t="s">
        <v>5112</v>
      </c>
      <c r="L3401" s="378" t="s">
        <v>2848</v>
      </c>
      <c r="M3401" s="380" t="s">
        <v>443</v>
      </c>
      <c r="N3401" s="380" t="s">
        <v>443</v>
      </c>
      <c r="O3401" s="380" t="s">
        <v>443</v>
      </c>
      <c r="P3401" s="380" t="s">
        <v>443</v>
      </c>
      <c r="Q3401" s="381">
        <v>1190</v>
      </c>
      <c r="R3401" s="381">
        <v>1180</v>
      </c>
      <c r="S3401" s="381">
        <v>2.65</v>
      </c>
      <c r="T3401" s="381">
        <v>0.81499999999999995</v>
      </c>
      <c r="U3401" s="381">
        <v>0</v>
      </c>
      <c r="V3401" s="382">
        <v>1183.4650000000001</v>
      </c>
      <c r="W3401" s="382">
        <v>0</v>
      </c>
      <c r="X3401" s="381">
        <v>1.19</v>
      </c>
      <c r="Y3401" s="381">
        <v>1.18</v>
      </c>
      <c r="Z3401" s="381">
        <v>2.65E-3</v>
      </c>
      <c r="AA3401" s="381">
        <v>8.1499999999999997E-4</v>
      </c>
      <c r="AB3401" s="381">
        <v>0</v>
      </c>
      <c r="AC3401" s="382">
        <v>1.183465</v>
      </c>
      <c r="AD3401" s="382">
        <v>0</v>
      </c>
      <c r="AE3401" s="381" t="s">
        <v>444</v>
      </c>
    </row>
    <row r="3402" spans="1:31" ht="15" customHeight="1" x14ac:dyDescent="0.25">
      <c r="A3402" s="20" t="s">
        <v>4215</v>
      </c>
      <c r="B3402" s="20" t="s">
        <v>5017</v>
      </c>
      <c r="C3402" s="20" t="s">
        <v>5017</v>
      </c>
      <c r="D3402" s="378" t="s">
        <v>5113</v>
      </c>
      <c r="E3402" s="384">
        <v>45175</v>
      </c>
      <c r="F3402" s="384">
        <v>46239</v>
      </c>
      <c r="G3402" s="378" t="s">
        <v>2837</v>
      </c>
      <c r="H3402" s="20" t="s">
        <v>5114</v>
      </c>
      <c r="I3402" s="378" t="s">
        <v>5115</v>
      </c>
      <c r="J3402" s="20" t="s">
        <v>5070</v>
      </c>
      <c r="K3402" s="378" t="s">
        <v>5116</v>
      </c>
      <c r="L3402" s="378" t="s">
        <v>2848</v>
      </c>
      <c r="M3402" s="380" t="s">
        <v>443</v>
      </c>
      <c r="N3402" s="380" t="s">
        <v>443</v>
      </c>
      <c r="O3402" s="380" t="s">
        <v>443</v>
      </c>
      <c r="P3402" s="380" t="s">
        <v>443</v>
      </c>
      <c r="Q3402" s="381">
        <v>401</v>
      </c>
      <c r="R3402" s="381">
        <v>402</v>
      </c>
      <c r="S3402" s="381">
        <v>-0.42399999999999999</v>
      </c>
      <c r="T3402" s="381">
        <v>0.19600000000000001</v>
      </c>
      <c r="U3402" s="381">
        <v>0</v>
      </c>
      <c r="V3402" s="382">
        <v>402.19600000000003</v>
      </c>
      <c r="W3402" s="382">
        <v>0</v>
      </c>
      <c r="X3402" s="381">
        <v>0.40100000000000002</v>
      </c>
      <c r="Y3402" s="381">
        <v>0.40200000000000002</v>
      </c>
      <c r="Z3402" s="381">
        <v>-4.2400000000000001E-4</v>
      </c>
      <c r="AA3402" s="381">
        <v>1.9600000000000002E-4</v>
      </c>
      <c r="AB3402" s="381">
        <v>0</v>
      </c>
      <c r="AC3402" s="382">
        <v>0.402196</v>
      </c>
      <c r="AD3402" s="382">
        <v>0</v>
      </c>
      <c r="AE3402" s="381" t="s">
        <v>444</v>
      </c>
    </row>
    <row r="3403" spans="1:31" ht="15" customHeight="1" x14ac:dyDescent="0.25">
      <c r="A3403" s="20" t="s">
        <v>4215</v>
      </c>
      <c r="B3403" s="20" t="s">
        <v>5017</v>
      </c>
      <c r="C3403" s="20" t="s">
        <v>5017</v>
      </c>
      <c r="D3403" s="378" t="s">
        <v>5117</v>
      </c>
      <c r="E3403" s="384" t="s">
        <v>5118</v>
      </c>
      <c r="F3403" s="384" t="s">
        <v>5119</v>
      </c>
      <c r="G3403" s="378" t="s">
        <v>2837</v>
      </c>
      <c r="H3403" s="20" t="s">
        <v>5120</v>
      </c>
      <c r="I3403" s="378" t="s">
        <v>5121</v>
      </c>
      <c r="J3403" s="20" t="s">
        <v>5070</v>
      </c>
      <c r="K3403" s="378" t="s">
        <v>5122</v>
      </c>
      <c r="L3403" s="378" t="s">
        <v>2848</v>
      </c>
      <c r="M3403" s="380" t="s">
        <v>443</v>
      </c>
      <c r="N3403" s="380" t="s">
        <v>443</v>
      </c>
      <c r="O3403" s="380" t="s">
        <v>443</v>
      </c>
      <c r="P3403" s="380" t="s">
        <v>443</v>
      </c>
      <c r="Q3403" s="381">
        <v>825</v>
      </c>
      <c r="R3403" s="381">
        <v>825</v>
      </c>
      <c r="S3403" s="381">
        <v>-9.1999999999999998E-2</v>
      </c>
      <c r="T3403" s="381">
        <v>0.33400000000000002</v>
      </c>
      <c r="U3403" s="381">
        <v>0</v>
      </c>
      <c r="V3403" s="382">
        <v>825.33399999999995</v>
      </c>
      <c r="W3403" s="382">
        <v>0</v>
      </c>
      <c r="X3403" s="381">
        <v>0.82499999999999996</v>
      </c>
      <c r="Y3403" s="381">
        <v>0.82499999999999996</v>
      </c>
      <c r="Z3403" s="381">
        <v>-9.2E-5</v>
      </c>
      <c r="AA3403" s="381">
        <v>3.3400000000000004E-4</v>
      </c>
      <c r="AB3403" s="381">
        <v>0</v>
      </c>
      <c r="AC3403" s="382">
        <v>0.8253339999999999</v>
      </c>
      <c r="AD3403" s="382">
        <v>0</v>
      </c>
      <c r="AE3403" s="381" t="s">
        <v>444</v>
      </c>
    </row>
    <row r="3404" spans="1:31" ht="15" customHeight="1" x14ac:dyDescent="0.25">
      <c r="A3404" s="20" t="s">
        <v>4215</v>
      </c>
      <c r="B3404" s="20" t="s">
        <v>5017</v>
      </c>
      <c r="C3404" s="20" t="s">
        <v>5017</v>
      </c>
      <c r="D3404" s="378" t="s">
        <v>5123</v>
      </c>
      <c r="E3404" s="384">
        <v>45175</v>
      </c>
      <c r="F3404" s="384">
        <v>46239</v>
      </c>
      <c r="G3404" s="378" t="s">
        <v>2837</v>
      </c>
      <c r="H3404" s="20" t="s">
        <v>5124</v>
      </c>
      <c r="I3404" s="378" t="s">
        <v>5125</v>
      </c>
      <c r="J3404" s="20" t="s">
        <v>5070</v>
      </c>
      <c r="K3404" s="378" t="s">
        <v>5126</v>
      </c>
      <c r="L3404" s="378" t="s">
        <v>2848</v>
      </c>
      <c r="M3404" s="380" t="s">
        <v>443</v>
      </c>
      <c r="N3404" s="380" t="s">
        <v>443</v>
      </c>
      <c r="O3404" s="380" t="s">
        <v>443</v>
      </c>
      <c r="P3404" s="380" t="s">
        <v>443</v>
      </c>
      <c r="Q3404" s="381">
        <v>951</v>
      </c>
      <c r="R3404" s="381">
        <v>950</v>
      </c>
      <c r="S3404" s="381">
        <v>0.91100000000000003</v>
      </c>
      <c r="T3404" s="381">
        <v>0.32100000000000001</v>
      </c>
      <c r="U3404" s="381">
        <v>0</v>
      </c>
      <c r="V3404" s="382">
        <v>951.23199999999997</v>
      </c>
      <c r="W3404" s="382">
        <v>0</v>
      </c>
      <c r="X3404" s="381">
        <v>0.95099999999999996</v>
      </c>
      <c r="Y3404" s="381">
        <v>0.95</v>
      </c>
      <c r="Z3404" s="381">
        <v>9.1100000000000003E-4</v>
      </c>
      <c r="AA3404" s="381">
        <v>3.21E-4</v>
      </c>
      <c r="AB3404" s="381">
        <v>0</v>
      </c>
      <c r="AC3404" s="382">
        <v>0.95123199999999997</v>
      </c>
      <c r="AD3404" s="382">
        <v>0</v>
      </c>
      <c r="AE3404" s="381" t="s">
        <v>444</v>
      </c>
    </row>
    <row r="3405" spans="1:31" ht="15" customHeight="1" x14ac:dyDescent="0.25">
      <c r="A3405" s="20" t="s">
        <v>4215</v>
      </c>
      <c r="B3405" s="20" t="s">
        <v>5017</v>
      </c>
      <c r="C3405" s="20" t="s">
        <v>5017</v>
      </c>
      <c r="D3405" s="378" t="s">
        <v>5127</v>
      </c>
      <c r="E3405" s="384" t="s">
        <v>5128</v>
      </c>
      <c r="F3405" s="384" t="s">
        <v>5129</v>
      </c>
      <c r="G3405" s="378" t="s">
        <v>2837</v>
      </c>
      <c r="H3405" s="20" t="s">
        <v>5130</v>
      </c>
      <c r="I3405" s="378" t="s">
        <v>5074</v>
      </c>
      <c r="J3405" s="20" t="s">
        <v>5070</v>
      </c>
      <c r="K3405" s="378" t="s">
        <v>5131</v>
      </c>
      <c r="L3405" s="378" t="s">
        <v>2848</v>
      </c>
      <c r="M3405" s="380" t="s">
        <v>443</v>
      </c>
      <c r="N3405" s="380" t="s">
        <v>443</v>
      </c>
      <c r="O3405" s="380" t="s">
        <v>443</v>
      </c>
      <c r="P3405" s="380" t="s">
        <v>443</v>
      </c>
      <c r="Q3405" s="381">
        <v>2540</v>
      </c>
      <c r="R3405" s="381">
        <v>2540</v>
      </c>
      <c r="S3405" s="381">
        <v>-3.12</v>
      </c>
      <c r="T3405" s="381">
        <v>0.33500000000000002</v>
      </c>
      <c r="U3405" s="381">
        <v>0</v>
      </c>
      <c r="V3405" s="382">
        <v>2540.335</v>
      </c>
      <c r="W3405" s="382">
        <v>0</v>
      </c>
      <c r="X3405" s="381">
        <v>2.54</v>
      </c>
      <c r="Y3405" s="381">
        <v>2.54</v>
      </c>
      <c r="Z3405" s="381">
        <v>-3.1199999999999999E-3</v>
      </c>
      <c r="AA3405" s="381">
        <v>3.3500000000000001E-4</v>
      </c>
      <c r="AB3405" s="381">
        <v>0</v>
      </c>
      <c r="AC3405" s="382">
        <v>2.5403350000000002</v>
      </c>
      <c r="AD3405" s="382">
        <v>0</v>
      </c>
      <c r="AE3405" s="381" t="s">
        <v>444</v>
      </c>
    </row>
    <row r="3406" spans="1:31" ht="15" customHeight="1" x14ac:dyDescent="0.25">
      <c r="A3406" s="20" t="s">
        <v>4215</v>
      </c>
      <c r="B3406" s="20" t="s">
        <v>5017</v>
      </c>
      <c r="C3406" s="20" t="s">
        <v>5017</v>
      </c>
      <c r="D3406" s="378" t="s">
        <v>5132</v>
      </c>
      <c r="E3406" s="384" t="s">
        <v>5118</v>
      </c>
      <c r="F3406" s="384" t="s">
        <v>5119</v>
      </c>
      <c r="G3406" s="378" t="s">
        <v>2837</v>
      </c>
      <c r="H3406" s="20" t="s">
        <v>5133</v>
      </c>
      <c r="I3406" s="378" t="s">
        <v>5134</v>
      </c>
      <c r="J3406" s="20" t="s">
        <v>5070</v>
      </c>
      <c r="K3406" s="378" t="s">
        <v>5135</v>
      </c>
      <c r="L3406" s="378" t="s">
        <v>2848</v>
      </c>
      <c r="M3406" s="380" t="s">
        <v>443</v>
      </c>
      <c r="N3406" s="380" t="s">
        <v>443</v>
      </c>
      <c r="O3406" s="380" t="s">
        <v>443</v>
      </c>
      <c r="P3406" s="380" t="s">
        <v>443</v>
      </c>
      <c r="Q3406" s="381">
        <v>2020</v>
      </c>
      <c r="R3406" s="381">
        <v>2020</v>
      </c>
      <c r="S3406" s="381">
        <v>2.1429999999999998</v>
      </c>
      <c r="T3406" s="381">
        <v>0.91200000000000003</v>
      </c>
      <c r="U3406" s="381">
        <v>0</v>
      </c>
      <c r="V3406" s="382">
        <v>2023.0550000000001</v>
      </c>
      <c r="W3406" s="382">
        <v>0</v>
      </c>
      <c r="X3406" s="381">
        <v>2.02</v>
      </c>
      <c r="Y3406" s="381">
        <v>2.02</v>
      </c>
      <c r="Z3406" s="381">
        <v>2.1429999999999999E-3</v>
      </c>
      <c r="AA3406" s="381">
        <v>9.1200000000000005E-4</v>
      </c>
      <c r="AB3406" s="381">
        <v>0</v>
      </c>
      <c r="AC3406" s="382">
        <v>2.0230549999999998</v>
      </c>
      <c r="AD3406" s="382">
        <v>0</v>
      </c>
      <c r="AE3406" s="381" t="s">
        <v>444</v>
      </c>
    </row>
    <row r="3407" spans="1:31" ht="15" customHeight="1" x14ac:dyDescent="0.25">
      <c r="A3407" s="20" t="s">
        <v>4215</v>
      </c>
      <c r="B3407" s="20" t="s">
        <v>5017</v>
      </c>
      <c r="C3407" s="20" t="s">
        <v>5017</v>
      </c>
      <c r="D3407" s="378" t="s">
        <v>5136</v>
      </c>
      <c r="E3407" s="384">
        <v>45175</v>
      </c>
      <c r="F3407" s="384">
        <v>46240</v>
      </c>
      <c r="G3407" s="378" t="s">
        <v>2837</v>
      </c>
      <c r="H3407" s="20" t="s">
        <v>5137</v>
      </c>
      <c r="I3407" s="378" t="s">
        <v>5115</v>
      </c>
      <c r="J3407" s="20" t="s">
        <v>5070</v>
      </c>
      <c r="K3407" s="378" t="s">
        <v>5138</v>
      </c>
      <c r="L3407" s="378" t="s">
        <v>2848</v>
      </c>
      <c r="M3407" s="380" t="s">
        <v>443</v>
      </c>
      <c r="N3407" s="380" t="s">
        <v>443</v>
      </c>
      <c r="O3407" s="380" t="s">
        <v>443</v>
      </c>
      <c r="P3407" s="380" t="s">
        <v>443</v>
      </c>
      <c r="Q3407" s="381">
        <v>800</v>
      </c>
      <c r="R3407" s="381">
        <v>799</v>
      </c>
      <c r="S3407" s="381">
        <v>-0.33500000000000002</v>
      </c>
      <c r="T3407" s="381">
        <v>0.26100000000000001</v>
      </c>
      <c r="U3407" s="381">
        <v>0</v>
      </c>
      <c r="V3407" s="382">
        <v>799.26099999999997</v>
      </c>
      <c r="W3407" s="382">
        <v>0</v>
      </c>
      <c r="X3407" s="381">
        <v>0.8</v>
      </c>
      <c r="Y3407" s="381">
        <v>0.79900000000000004</v>
      </c>
      <c r="Z3407" s="381">
        <v>-3.3500000000000001E-4</v>
      </c>
      <c r="AA3407" s="381">
        <v>2.61E-4</v>
      </c>
      <c r="AB3407" s="381">
        <v>0</v>
      </c>
      <c r="AC3407" s="382">
        <v>0.799261</v>
      </c>
      <c r="AD3407" s="382">
        <v>0</v>
      </c>
      <c r="AE3407" s="381" t="s">
        <v>444</v>
      </c>
    </row>
    <row r="3408" spans="1:31" ht="15" customHeight="1" x14ac:dyDescent="0.25">
      <c r="A3408" s="20" t="s">
        <v>4215</v>
      </c>
      <c r="B3408" s="20" t="s">
        <v>5017</v>
      </c>
      <c r="C3408" s="20" t="s">
        <v>5017</v>
      </c>
      <c r="D3408" s="378" t="s">
        <v>5139</v>
      </c>
      <c r="E3408" s="384">
        <v>45627</v>
      </c>
      <c r="F3408" s="384">
        <v>47453</v>
      </c>
      <c r="G3408" s="378" t="s">
        <v>2837</v>
      </c>
      <c r="H3408" s="20" t="s">
        <v>5140</v>
      </c>
      <c r="I3408" s="378">
        <v>0</v>
      </c>
      <c r="J3408" s="20" t="s">
        <v>5141</v>
      </c>
      <c r="K3408" s="378" t="s">
        <v>5142</v>
      </c>
      <c r="L3408" s="378" t="s">
        <v>2848</v>
      </c>
      <c r="M3408" s="380" t="s">
        <v>443</v>
      </c>
      <c r="N3408" s="380" t="s">
        <v>443</v>
      </c>
      <c r="O3408" s="380" t="s">
        <v>443</v>
      </c>
      <c r="P3408" s="380" t="s">
        <v>443</v>
      </c>
      <c r="Q3408" s="381">
        <v>1340</v>
      </c>
      <c r="R3408" s="381">
        <v>1310</v>
      </c>
      <c r="S3408" s="381">
        <v>28.2</v>
      </c>
      <c r="T3408" s="381">
        <v>0.78500000000000003</v>
      </c>
      <c r="U3408" s="381">
        <v>0</v>
      </c>
      <c r="V3408" s="382">
        <v>1338.9850000000001</v>
      </c>
      <c r="W3408" s="382">
        <v>0</v>
      </c>
      <c r="X3408" s="381">
        <v>1.34</v>
      </c>
      <c r="Y3408" s="381">
        <v>1.31</v>
      </c>
      <c r="Z3408" s="381">
        <v>2.8199999999999999E-2</v>
      </c>
      <c r="AA3408" s="381">
        <v>7.85E-4</v>
      </c>
      <c r="AB3408" s="381">
        <v>0</v>
      </c>
      <c r="AC3408" s="382">
        <v>1.3389850000000001</v>
      </c>
      <c r="AD3408" s="382">
        <v>0</v>
      </c>
      <c r="AE3408" s="381" t="s">
        <v>444</v>
      </c>
    </row>
    <row r="3409" spans="1:31" ht="15" customHeight="1" x14ac:dyDescent="0.25">
      <c r="A3409" s="20" t="s">
        <v>4215</v>
      </c>
      <c r="B3409" s="20" t="s">
        <v>5017</v>
      </c>
      <c r="C3409" s="20" t="s">
        <v>5017</v>
      </c>
      <c r="D3409" s="378" t="s">
        <v>5143</v>
      </c>
      <c r="E3409" s="384">
        <v>45175</v>
      </c>
      <c r="F3409" s="384">
        <v>46239</v>
      </c>
      <c r="G3409" s="378" t="s">
        <v>2837</v>
      </c>
      <c r="H3409" s="20" t="s">
        <v>5144</v>
      </c>
      <c r="I3409" s="378" t="s">
        <v>5121</v>
      </c>
      <c r="J3409" s="20" t="s">
        <v>5070</v>
      </c>
      <c r="K3409" s="378" t="s">
        <v>5145</v>
      </c>
      <c r="L3409" s="378" t="s">
        <v>2848</v>
      </c>
      <c r="M3409" s="380" t="s">
        <v>443</v>
      </c>
      <c r="N3409" s="380" t="s">
        <v>443</v>
      </c>
      <c r="O3409" s="380" t="s">
        <v>443</v>
      </c>
      <c r="P3409" s="380" t="s">
        <v>443</v>
      </c>
      <c r="Q3409" s="381">
        <v>850</v>
      </c>
      <c r="R3409" s="381">
        <v>850</v>
      </c>
      <c r="S3409" s="381">
        <v>-9.7000000000000003E-2</v>
      </c>
      <c r="T3409" s="381">
        <v>0.29799999999999999</v>
      </c>
      <c r="U3409" s="381">
        <v>0</v>
      </c>
      <c r="V3409" s="382">
        <v>850.298</v>
      </c>
      <c r="W3409" s="382">
        <v>0</v>
      </c>
      <c r="X3409" s="381">
        <v>0.85</v>
      </c>
      <c r="Y3409" s="381">
        <v>0.85</v>
      </c>
      <c r="Z3409" s="381">
        <v>-9.7E-5</v>
      </c>
      <c r="AA3409" s="381">
        <v>2.9799999999999998E-4</v>
      </c>
      <c r="AB3409" s="381">
        <v>0</v>
      </c>
      <c r="AC3409" s="382">
        <v>0.850298</v>
      </c>
      <c r="AD3409" s="382">
        <v>0</v>
      </c>
      <c r="AE3409" s="381" t="s">
        <v>444</v>
      </c>
    </row>
    <row r="3410" spans="1:31" ht="15" customHeight="1" x14ac:dyDescent="0.25">
      <c r="A3410" s="20" t="s">
        <v>4215</v>
      </c>
      <c r="B3410" s="20" t="s">
        <v>5017</v>
      </c>
      <c r="C3410" s="20" t="s">
        <v>5017</v>
      </c>
      <c r="D3410" s="378" t="s">
        <v>5146</v>
      </c>
      <c r="E3410" s="384" t="s">
        <v>5147</v>
      </c>
      <c r="F3410" s="384" t="s">
        <v>5148</v>
      </c>
      <c r="G3410" s="378" t="s">
        <v>2837</v>
      </c>
      <c r="H3410" s="20" t="s">
        <v>5149</v>
      </c>
      <c r="I3410" s="378" t="s">
        <v>5134</v>
      </c>
      <c r="J3410" s="20" t="s">
        <v>5070</v>
      </c>
      <c r="K3410" s="378" t="s">
        <v>5150</v>
      </c>
      <c r="L3410" s="378" t="s">
        <v>2848</v>
      </c>
      <c r="M3410" s="380" t="s">
        <v>443</v>
      </c>
      <c r="N3410" s="380" t="s">
        <v>443</v>
      </c>
      <c r="O3410" s="380" t="s">
        <v>443</v>
      </c>
      <c r="P3410" s="380" t="s">
        <v>443</v>
      </c>
      <c r="Q3410" s="381">
        <v>1640</v>
      </c>
      <c r="R3410" s="381">
        <v>0</v>
      </c>
      <c r="S3410" s="381">
        <v>0</v>
      </c>
      <c r="T3410" s="381">
        <v>0</v>
      </c>
      <c r="U3410" s="381">
        <v>0</v>
      </c>
      <c r="V3410" s="382">
        <v>1640</v>
      </c>
      <c r="W3410" s="382">
        <v>0</v>
      </c>
      <c r="X3410" s="381">
        <v>1.64</v>
      </c>
      <c r="Y3410" s="381">
        <v>0</v>
      </c>
      <c r="Z3410" s="381">
        <v>0</v>
      </c>
      <c r="AA3410" s="381">
        <v>0</v>
      </c>
      <c r="AB3410" s="381">
        <v>0</v>
      </c>
      <c r="AC3410" s="382">
        <v>1.64</v>
      </c>
      <c r="AD3410" s="382">
        <v>0</v>
      </c>
      <c r="AE3410" s="381" t="s">
        <v>444</v>
      </c>
    </row>
    <row r="3411" spans="1:31" ht="15" customHeight="1" x14ac:dyDescent="0.25">
      <c r="A3411" s="20" t="s">
        <v>4215</v>
      </c>
      <c r="B3411" s="20" t="s">
        <v>5017</v>
      </c>
      <c r="C3411" s="20" t="s">
        <v>5017</v>
      </c>
      <c r="D3411" s="378" t="s">
        <v>5151</v>
      </c>
      <c r="E3411" s="384">
        <v>45478</v>
      </c>
      <c r="F3411" s="384">
        <v>46543</v>
      </c>
      <c r="G3411" s="378" t="s">
        <v>2837</v>
      </c>
      <c r="H3411" s="20" t="s">
        <v>5152</v>
      </c>
      <c r="I3411" s="378" t="s">
        <v>5153</v>
      </c>
      <c r="J3411" s="20" t="s">
        <v>5070</v>
      </c>
      <c r="K3411" s="378" t="s">
        <v>5154</v>
      </c>
      <c r="L3411" s="378" t="s">
        <v>2848</v>
      </c>
      <c r="M3411" s="380" t="s">
        <v>443</v>
      </c>
      <c r="N3411" s="380" t="s">
        <v>443</v>
      </c>
      <c r="O3411" s="380" t="s">
        <v>443</v>
      </c>
      <c r="P3411" s="380" t="s">
        <v>443</v>
      </c>
      <c r="Q3411" s="381">
        <v>941</v>
      </c>
      <c r="R3411" s="381">
        <v>937</v>
      </c>
      <c r="S3411" s="381">
        <v>3.05</v>
      </c>
      <c r="T3411" s="381">
        <v>0.81200000000000006</v>
      </c>
      <c r="U3411" s="381">
        <v>0</v>
      </c>
      <c r="V3411" s="382">
        <v>940.86199999999997</v>
      </c>
      <c r="W3411" s="382">
        <v>0</v>
      </c>
      <c r="X3411" s="381">
        <v>0.94099999999999995</v>
      </c>
      <c r="Y3411" s="381">
        <v>0.93700000000000006</v>
      </c>
      <c r="Z3411" s="381">
        <v>3.0499999999999998E-3</v>
      </c>
      <c r="AA3411" s="381">
        <v>8.12E-4</v>
      </c>
      <c r="AB3411" s="381">
        <v>0</v>
      </c>
      <c r="AC3411" s="382">
        <v>0.94086200000000009</v>
      </c>
      <c r="AD3411" s="382">
        <v>0</v>
      </c>
      <c r="AE3411" s="381" t="s">
        <v>444</v>
      </c>
    </row>
    <row r="3412" spans="1:31" ht="15" customHeight="1" x14ac:dyDescent="0.25">
      <c r="A3412" s="20" t="s">
        <v>4215</v>
      </c>
      <c r="B3412" s="20" t="s">
        <v>5017</v>
      </c>
      <c r="C3412" s="20" t="s">
        <v>5017</v>
      </c>
      <c r="D3412" s="378" t="s">
        <v>5155</v>
      </c>
      <c r="E3412" s="384">
        <v>45175</v>
      </c>
      <c r="F3412" s="384">
        <v>46239</v>
      </c>
      <c r="G3412" s="378" t="s">
        <v>2837</v>
      </c>
      <c r="H3412" s="20" t="s">
        <v>5156</v>
      </c>
      <c r="I3412" s="378" t="s">
        <v>5121</v>
      </c>
      <c r="J3412" s="20" t="s">
        <v>5070</v>
      </c>
      <c r="K3412" s="378" t="s">
        <v>5157</v>
      </c>
      <c r="L3412" s="378" t="s">
        <v>2848</v>
      </c>
      <c r="M3412" s="380" t="s">
        <v>443</v>
      </c>
      <c r="N3412" s="380" t="s">
        <v>443</v>
      </c>
      <c r="O3412" s="380" t="s">
        <v>443</v>
      </c>
      <c r="P3412" s="380" t="s">
        <v>443</v>
      </c>
      <c r="Q3412" s="381">
        <v>941</v>
      </c>
      <c r="R3412" s="381">
        <v>939</v>
      </c>
      <c r="S3412" s="381">
        <v>0.75800000000000001</v>
      </c>
      <c r="T3412" s="381">
        <v>0.374</v>
      </c>
      <c r="U3412" s="381">
        <v>0</v>
      </c>
      <c r="V3412" s="382">
        <v>940.13200000000006</v>
      </c>
      <c r="W3412" s="382">
        <v>0</v>
      </c>
      <c r="X3412" s="381">
        <v>0.94099999999999995</v>
      </c>
      <c r="Y3412" s="381">
        <v>0.93899999999999995</v>
      </c>
      <c r="Z3412" s="381">
        <v>7.5799999999999999E-4</v>
      </c>
      <c r="AA3412" s="381">
        <v>3.7399999999999998E-4</v>
      </c>
      <c r="AB3412" s="381">
        <v>0</v>
      </c>
      <c r="AC3412" s="382">
        <v>0.94013199999999997</v>
      </c>
      <c r="AD3412" s="382">
        <v>0</v>
      </c>
      <c r="AE3412" s="381" t="s">
        <v>444</v>
      </c>
    </row>
    <row r="3413" spans="1:31" ht="15" customHeight="1" x14ac:dyDescent="0.25">
      <c r="A3413" s="20" t="s">
        <v>4215</v>
      </c>
      <c r="B3413" s="20" t="s">
        <v>5017</v>
      </c>
      <c r="C3413" s="20" t="s">
        <v>5017</v>
      </c>
      <c r="D3413" s="378" t="s">
        <v>5158</v>
      </c>
      <c r="E3413" s="384" t="s">
        <v>5159</v>
      </c>
      <c r="F3413" s="384" t="s">
        <v>5160</v>
      </c>
      <c r="G3413" s="378" t="s">
        <v>2837</v>
      </c>
      <c r="H3413" s="20" t="s">
        <v>5161</v>
      </c>
      <c r="I3413" s="378" t="s">
        <v>441</v>
      </c>
      <c r="J3413" s="20" t="s">
        <v>3537</v>
      </c>
      <c r="K3413" s="378" t="s">
        <v>5162</v>
      </c>
      <c r="L3413" s="378" t="s">
        <v>2848</v>
      </c>
      <c r="M3413" s="380" t="s">
        <v>443</v>
      </c>
      <c r="N3413" s="380" t="s">
        <v>443</v>
      </c>
      <c r="O3413" s="380" t="s">
        <v>443</v>
      </c>
      <c r="P3413" s="380" t="s">
        <v>443</v>
      </c>
      <c r="Q3413" s="381">
        <v>445</v>
      </c>
      <c r="R3413" s="381">
        <v>445</v>
      </c>
      <c r="S3413" s="381">
        <v>0</v>
      </c>
      <c r="T3413" s="381">
        <v>0.378</v>
      </c>
      <c r="U3413" s="381">
        <v>0</v>
      </c>
      <c r="V3413" s="382">
        <v>445</v>
      </c>
      <c r="W3413" s="382">
        <v>0</v>
      </c>
      <c r="X3413" s="381">
        <v>0.44500000000000001</v>
      </c>
      <c r="Y3413" s="381">
        <v>0.44500000000000001</v>
      </c>
      <c r="Z3413" s="381">
        <v>0</v>
      </c>
      <c r="AA3413" s="381">
        <v>3.7800000000000003E-4</v>
      </c>
      <c r="AB3413" s="381">
        <v>0</v>
      </c>
      <c r="AC3413" s="382">
        <v>0.44500000000000001</v>
      </c>
      <c r="AD3413" s="382">
        <v>0</v>
      </c>
      <c r="AE3413" s="381" t="s">
        <v>444</v>
      </c>
    </row>
    <row r="3414" spans="1:31" ht="15" customHeight="1" x14ac:dyDescent="0.25">
      <c r="A3414" s="20" t="s">
        <v>4215</v>
      </c>
      <c r="B3414" s="20" t="s">
        <v>5017</v>
      </c>
      <c r="C3414" s="20" t="s">
        <v>5017</v>
      </c>
      <c r="D3414" s="378" t="s">
        <v>5163</v>
      </c>
      <c r="E3414" s="384">
        <v>45600</v>
      </c>
      <c r="F3414" s="384">
        <v>46694</v>
      </c>
      <c r="G3414" s="378" t="s">
        <v>2837</v>
      </c>
      <c r="H3414" s="20" t="s">
        <v>5164</v>
      </c>
      <c r="I3414" s="378" t="s">
        <v>5153</v>
      </c>
      <c r="J3414" s="20" t="s">
        <v>5070</v>
      </c>
      <c r="K3414" s="378" t="s">
        <v>5165</v>
      </c>
      <c r="L3414" s="378" t="s">
        <v>2848</v>
      </c>
      <c r="M3414" s="380" t="s">
        <v>443</v>
      </c>
      <c r="N3414" s="380" t="s">
        <v>443</v>
      </c>
      <c r="O3414" s="380" t="s">
        <v>443</v>
      </c>
      <c r="P3414" s="380" t="s">
        <v>443</v>
      </c>
      <c r="Q3414" s="381">
        <v>2050</v>
      </c>
      <c r="R3414" s="381">
        <v>2050</v>
      </c>
      <c r="S3414" s="381">
        <v>-0.505</v>
      </c>
      <c r="T3414" s="381">
        <v>0.70799999999999996</v>
      </c>
      <c r="U3414" s="381">
        <v>0</v>
      </c>
      <c r="V3414" s="382">
        <v>2050.7080000000001</v>
      </c>
      <c r="W3414" s="382">
        <v>0</v>
      </c>
      <c r="X3414" s="381">
        <v>2.0499999999999998</v>
      </c>
      <c r="Y3414" s="381">
        <v>2.0499999999999998</v>
      </c>
      <c r="Z3414" s="381">
        <v>-5.0500000000000002E-4</v>
      </c>
      <c r="AA3414" s="381">
        <v>7.0799999999999997E-4</v>
      </c>
      <c r="AB3414" s="381">
        <v>0</v>
      </c>
      <c r="AC3414" s="382">
        <v>2.0507079999999998</v>
      </c>
      <c r="AD3414" s="382">
        <v>0</v>
      </c>
      <c r="AE3414" s="381" t="s">
        <v>444</v>
      </c>
    </row>
    <row r="3415" spans="1:31" ht="15" customHeight="1" x14ac:dyDescent="0.25">
      <c r="A3415" s="20" t="s">
        <v>4215</v>
      </c>
      <c r="B3415" s="20" t="s">
        <v>5017</v>
      </c>
      <c r="C3415" s="20" t="s">
        <v>5017</v>
      </c>
      <c r="D3415" s="378" t="s">
        <v>5166</v>
      </c>
      <c r="E3415" s="384">
        <v>45292</v>
      </c>
      <c r="F3415" s="384">
        <v>47119</v>
      </c>
      <c r="G3415" s="378" t="s">
        <v>439</v>
      </c>
      <c r="H3415" s="20" t="s">
        <v>5167</v>
      </c>
      <c r="I3415" s="378" t="s">
        <v>441</v>
      </c>
      <c r="J3415" s="20" t="s">
        <v>163</v>
      </c>
      <c r="K3415" s="378" t="s">
        <v>5168</v>
      </c>
      <c r="L3415" s="378" t="s">
        <v>2848</v>
      </c>
      <c r="M3415" s="380" t="s">
        <v>443</v>
      </c>
      <c r="N3415" s="380" t="s">
        <v>443</v>
      </c>
      <c r="O3415" s="380" t="s">
        <v>443</v>
      </c>
      <c r="P3415" s="380" t="s">
        <v>443</v>
      </c>
      <c r="Q3415" s="381">
        <v>1530.72482298763</v>
      </c>
      <c r="R3415" s="381">
        <v>1523.37962119859</v>
      </c>
      <c r="S3415" s="381">
        <v>2.3539685185328598</v>
      </c>
      <c r="T3415" s="381">
        <v>1.38646963630241</v>
      </c>
      <c r="U3415" s="381">
        <v>0</v>
      </c>
      <c r="V3415" s="382">
        <v>1527.1200593534252</v>
      </c>
      <c r="W3415" s="382">
        <v>0</v>
      </c>
      <c r="X3415" s="381">
        <v>1.53072482298763</v>
      </c>
      <c r="Y3415" s="381">
        <v>1.5233796211985899</v>
      </c>
      <c r="Z3415" s="381">
        <v>2.35396851853286E-3</v>
      </c>
      <c r="AA3415" s="381">
        <v>1.3864696363024101E-3</v>
      </c>
      <c r="AB3415" s="381">
        <v>0</v>
      </c>
      <c r="AC3415" s="382">
        <v>1.5271200593534251</v>
      </c>
      <c r="AD3415" s="382">
        <v>0</v>
      </c>
      <c r="AE3415" s="381" t="s">
        <v>444</v>
      </c>
    </row>
    <row r="3416" spans="1:31" ht="15" customHeight="1" x14ac:dyDescent="0.25">
      <c r="A3416" s="20" t="s">
        <v>4215</v>
      </c>
      <c r="B3416" s="20" t="s">
        <v>5017</v>
      </c>
      <c r="C3416" s="20" t="s">
        <v>5017</v>
      </c>
      <c r="D3416" s="378" t="s">
        <v>5169</v>
      </c>
      <c r="E3416" s="384">
        <v>45448</v>
      </c>
      <c r="F3416" s="384">
        <v>47274</v>
      </c>
      <c r="G3416" s="378" t="s">
        <v>439</v>
      </c>
      <c r="H3416" s="20" t="s">
        <v>5170</v>
      </c>
      <c r="I3416" s="378" t="s">
        <v>441</v>
      </c>
      <c r="J3416" s="20" t="s">
        <v>163</v>
      </c>
      <c r="K3416" s="378" t="s">
        <v>5171</v>
      </c>
      <c r="L3416" s="378" t="s">
        <v>2848</v>
      </c>
      <c r="M3416" s="380" t="s">
        <v>443</v>
      </c>
      <c r="N3416" s="380" t="s">
        <v>443</v>
      </c>
      <c r="O3416" s="380" t="s">
        <v>443</v>
      </c>
      <c r="P3416" s="380" t="s">
        <v>443</v>
      </c>
      <c r="Q3416" s="381">
        <v>1110</v>
      </c>
      <c r="R3416" s="381">
        <v>0</v>
      </c>
      <c r="S3416" s="381">
        <v>0</v>
      </c>
      <c r="T3416" s="381">
        <v>0</v>
      </c>
      <c r="U3416" s="381">
        <v>0</v>
      </c>
      <c r="V3416" s="382">
        <v>1110</v>
      </c>
      <c r="W3416" s="382">
        <v>0</v>
      </c>
      <c r="X3416" s="381">
        <v>1.1100000000000001</v>
      </c>
      <c r="Y3416" s="381">
        <v>0</v>
      </c>
      <c r="Z3416" s="381">
        <v>0</v>
      </c>
      <c r="AA3416" s="381">
        <v>0</v>
      </c>
      <c r="AB3416" s="381">
        <v>0</v>
      </c>
      <c r="AC3416" s="382">
        <v>1.1100000000000001</v>
      </c>
      <c r="AD3416" s="382">
        <v>0</v>
      </c>
      <c r="AE3416" s="381" t="s">
        <v>444</v>
      </c>
    </row>
    <row r="3417" spans="1:31" ht="15" customHeight="1" x14ac:dyDescent="0.25">
      <c r="A3417" s="20" t="s">
        <v>3395</v>
      </c>
      <c r="B3417" s="20" t="s">
        <v>5172</v>
      </c>
      <c r="C3417" s="20" t="s">
        <v>5173</v>
      </c>
      <c r="D3417" s="378" t="s">
        <v>5174</v>
      </c>
      <c r="E3417" s="384">
        <v>44466</v>
      </c>
      <c r="F3417" s="384">
        <v>46292</v>
      </c>
      <c r="G3417" s="378" t="s">
        <v>2837</v>
      </c>
      <c r="H3417" s="20" t="s">
        <v>5175</v>
      </c>
      <c r="I3417" s="378">
        <v>0</v>
      </c>
      <c r="J3417" s="20" t="s">
        <v>2831</v>
      </c>
      <c r="K3417" s="378" t="s">
        <v>5176</v>
      </c>
      <c r="L3417" s="378" t="s">
        <v>2848</v>
      </c>
      <c r="M3417" s="380">
        <v>2700</v>
      </c>
      <c r="N3417" s="380" t="s">
        <v>443</v>
      </c>
      <c r="O3417" s="380" t="s">
        <v>443</v>
      </c>
      <c r="P3417" s="380" t="s">
        <v>443</v>
      </c>
      <c r="Q3417" s="381">
        <v>92</v>
      </c>
      <c r="R3417" s="381">
        <v>85.8</v>
      </c>
      <c r="S3417" s="381">
        <v>5.4</v>
      </c>
      <c r="T3417" s="381">
        <v>0.82099999999999995</v>
      </c>
      <c r="U3417" s="381">
        <v>0</v>
      </c>
      <c r="V3417" s="382">
        <v>92.021000000000001</v>
      </c>
      <c r="W3417" s="382">
        <v>0</v>
      </c>
      <c r="X3417" s="381">
        <v>9.1999999999999998E-2</v>
      </c>
      <c r="Y3417" s="381">
        <v>8.5800000000000001E-2</v>
      </c>
      <c r="Z3417" s="381">
        <v>5.4000000000000003E-3</v>
      </c>
      <c r="AA3417" s="381">
        <v>8.209999999999999E-4</v>
      </c>
      <c r="AB3417" s="381">
        <v>0</v>
      </c>
      <c r="AC3417" s="382">
        <v>9.2021000000000006E-2</v>
      </c>
      <c r="AD3417" s="382">
        <v>0</v>
      </c>
      <c r="AE3417" s="381" t="s">
        <v>168</v>
      </c>
    </row>
    <row r="3418" spans="1:31" ht="15" customHeight="1" x14ac:dyDescent="0.25">
      <c r="A3418" s="20" t="s">
        <v>3395</v>
      </c>
      <c r="B3418" s="20" t="s">
        <v>5172</v>
      </c>
      <c r="C3418" s="20" t="s">
        <v>5173</v>
      </c>
      <c r="D3418" s="378" t="s">
        <v>5177</v>
      </c>
      <c r="E3418" s="384">
        <v>44466</v>
      </c>
      <c r="F3418" s="384">
        <v>46292</v>
      </c>
      <c r="G3418" s="378" t="s">
        <v>2837</v>
      </c>
      <c r="H3418" s="20" t="s">
        <v>5175</v>
      </c>
      <c r="I3418" s="378">
        <v>0</v>
      </c>
      <c r="J3418" s="20" t="s">
        <v>2831</v>
      </c>
      <c r="K3418" s="378" t="s">
        <v>5176</v>
      </c>
      <c r="L3418" s="378" t="s">
        <v>2848</v>
      </c>
      <c r="M3418" s="380">
        <v>2700</v>
      </c>
      <c r="N3418" s="380" t="s">
        <v>443</v>
      </c>
      <c r="O3418" s="380" t="s">
        <v>443</v>
      </c>
      <c r="P3418" s="380" t="s">
        <v>443</v>
      </c>
      <c r="Q3418" s="381">
        <v>77.2</v>
      </c>
      <c r="R3418" s="381">
        <v>73.3</v>
      </c>
      <c r="S3418" s="381">
        <v>3.59</v>
      </c>
      <c r="T3418" s="381">
        <v>0.31900000000000001</v>
      </c>
      <c r="U3418" s="381">
        <v>0</v>
      </c>
      <c r="V3418" s="382">
        <v>77.209000000000003</v>
      </c>
      <c r="W3418" s="382">
        <v>0</v>
      </c>
      <c r="X3418" s="381">
        <v>7.7200000000000005E-2</v>
      </c>
      <c r="Y3418" s="381">
        <v>7.3300000000000004E-2</v>
      </c>
      <c r="Z3418" s="381">
        <v>3.5899999999999999E-3</v>
      </c>
      <c r="AA3418" s="381">
        <v>3.19E-4</v>
      </c>
      <c r="AB3418" s="381">
        <v>0</v>
      </c>
      <c r="AC3418" s="382">
        <v>7.7209E-2</v>
      </c>
      <c r="AD3418" s="382">
        <v>0</v>
      </c>
      <c r="AE3418" s="381" t="s">
        <v>168</v>
      </c>
    </row>
    <row r="3419" spans="1:31" ht="15" customHeight="1" x14ac:dyDescent="0.25">
      <c r="A3419" s="20" t="s">
        <v>3395</v>
      </c>
      <c r="B3419" s="20" t="s">
        <v>5172</v>
      </c>
      <c r="C3419" s="20" t="s">
        <v>5173</v>
      </c>
      <c r="D3419" s="378" t="s">
        <v>5178</v>
      </c>
      <c r="E3419" s="384">
        <v>44183</v>
      </c>
      <c r="F3419" s="384">
        <v>45978</v>
      </c>
      <c r="G3419" s="378" t="s">
        <v>2837</v>
      </c>
      <c r="H3419" s="20" t="s">
        <v>5179</v>
      </c>
      <c r="I3419" s="378">
        <v>0</v>
      </c>
      <c r="J3419" s="20" t="s">
        <v>2831</v>
      </c>
      <c r="K3419" s="378" t="s">
        <v>5180</v>
      </c>
      <c r="L3419" s="378" t="s">
        <v>2848</v>
      </c>
      <c r="M3419" s="380">
        <v>2700</v>
      </c>
      <c r="N3419" s="380">
        <v>27</v>
      </c>
      <c r="O3419" s="380" t="s">
        <v>443</v>
      </c>
      <c r="P3419" s="380" t="s">
        <v>443</v>
      </c>
      <c r="Q3419" s="381">
        <v>451.85185185185185</v>
      </c>
      <c r="R3419" s="381">
        <v>0</v>
      </c>
      <c r="S3419" s="381">
        <v>0</v>
      </c>
      <c r="T3419" s="381">
        <v>0</v>
      </c>
      <c r="U3419" s="381">
        <v>0</v>
      </c>
      <c r="V3419" s="382">
        <v>451.85185185185185</v>
      </c>
      <c r="W3419" s="382">
        <v>0</v>
      </c>
      <c r="X3419" s="381">
        <v>0.45185185185185184</v>
      </c>
      <c r="Y3419" s="381">
        <v>0</v>
      </c>
      <c r="Z3419" s="381">
        <v>0</v>
      </c>
      <c r="AA3419" s="381">
        <v>0</v>
      </c>
      <c r="AB3419" s="381">
        <v>0</v>
      </c>
      <c r="AC3419" s="382">
        <v>0.45185185185185184</v>
      </c>
      <c r="AD3419" s="382">
        <v>0</v>
      </c>
      <c r="AE3419" s="381" t="s">
        <v>168</v>
      </c>
    </row>
    <row r="3420" spans="1:31" ht="15" customHeight="1" x14ac:dyDescent="0.25">
      <c r="A3420" s="20" t="s">
        <v>3395</v>
      </c>
      <c r="B3420" s="20" t="s">
        <v>5172</v>
      </c>
      <c r="C3420" s="20" t="s">
        <v>5173</v>
      </c>
      <c r="D3420" s="378" t="s">
        <v>5181</v>
      </c>
      <c r="E3420" s="384">
        <v>44183</v>
      </c>
      <c r="F3420" s="384">
        <v>45978</v>
      </c>
      <c r="G3420" s="378" t="s">
        <v>2837</v>
      </c>
      <c r="H3420" s="20" t="s">
        <v>5179</v>
      </c>
      <c r="I3420" s="378">
        <v>0</v>
      </c>
      <c r="J3420" s="20" t="s">
        <v>2831</v>
      </c>
      <c r="K3420" s="378" t="s">
        <v>5180</v>
      </c>
      <c r="L3420" s="378" t="s">
        <v>2848</v>
      </c>
      <c r="M3420" s="380">
        <v>2700</v>
      </c>
      <c r="N3420" s="380">
        <v>54</v>
      </c>
      <c r="O3420" s="380" t="s">
        <v>443</v>
      </c>
      <c r="P3420" s="380" t="s">
        <v>443</v>
      </c>
      <c r="Q3420" s="381">
        <v>416.66666666666669</v>
      </c>
      <c r="R3420" s="381">
        <v>0</v>
      </c>
      <c r="S3420" s="381">
        <v>0</v>
      </c>
      <c r="T3420" s="381">
        <v>0</v>
      </c>
      <c r="U3420" s="381">
        <v>0</v>
      </c>
      <c r="V3420" s="382">
        <v>416.66666666666669</v>
      </c>
      <c r="W3420" s="382">
        <v>0</v>
      </c>
      <c r="X3420" s="381">
        <v>0.41666666666666669</v>
      </c>
      <c r="Y3420" s="381">
        <v>0</v>
      </c>
      <c r="Z3420" s="381">
        <v>0</v>
      </c>
      <c r="AA3420" s="381">
        <v>0</v>
      </c>
      <c r="AB3420" s="381">
        <v>0</v>
      </c>
      <c r="AC3420" s="382">
        <v>0.41666666666666669</v>
      </c>
      <c r="AD3420" s="382">
        <v>0</v>
      </c>
      <c r="AE3420" s="381" t="s">
        <v>168</v>
      </c>
    </row>
    <row r="3421" spans="1:31" ht="15" customHeight="1" x14ac:dyDescent="0.25">
      <c r="A3421" s="20" t="s">
        <v>3395</v>
      </c>
      <c r="B3421" s="20" t="s">
        <v>5172</v>
      </c>
      <c r="C3421" s="20" t="s">
        <v>5173</v>
      </c>
      <c r="D3421" s="378" t="s">
        <v>5182</v>
      </c>
      <c r="E3421" s="384">
        <v>44183</v>
      </c>
      <c r="F3421" s="384">
        <v>45978</v>
      </c>
      <c r="G3421" s="378" t="s">
        <v>2837</v>
      </c>
      <c r="H3421" s="20" t="s">
        <v>5179</v>
      </c>
      <c r="I3421" s="378">
        <v>0</v>
      </c>
      <c r="J3421" s="20" t="s">
        <v>2831</v>
      </c>
      <c r="K3421" s="378" t="s">
        <v>5180</v>
      </c>
      <c r="L3421" s="378" t="s">
        <v>2848</v>
      </c>
      <c r="M3421" s="380">
        <v>2700</v>
      </c>
      <c r="N3421" s="380">
        <v>81</v>
      </c>
      <c r="O3421" s="380" t="s">
        <v>443</v>
      </c>
      <c r="P3421" s="380" t="s">
        <v>443</v>
      </c>
      <c r="Q3421" s="381">
        <v>403.70370370370375</v>
      </c>
      <c r="R3421" s="381">
        <v>0</v>
      </c>
      <c r="S3421" s="381">
        <v>0</v>
      </c>
      <c r="T3421" s="381">
        <v>0</v>
      </c>
      <c r="U3421" s="381">
        <v>0</v>
      </c>
      <c r="V3421" s="382">
        <v>403.70370370370375</v>
      </c>
      <c r="W3421" s="382">
        <v>0</v>
      </c>
      <c r="X3421" s="381">
        <v>0.40370370370370373</v>
      </c>
      <c r="Y3421" s="381">
        <v>0</v>
      </c>
      <c r="Z3421" s="381">
        <v>0</v>
      </c>
      <c r="AA3421" s="381">
        <v>0</v>
      </c>
      <c r="AB3421" s="381">
        <v>0</v>
      </c>
      <c r="AC3421" s="382">
        <v>0.40370370370370373</v>
      </c>
      <c r="AD3421" s="382">
        <v>0</v>
      </c>
      <c r="AE3421" s="381" t="s">
        <v>168</v>
      </c>
    </row>
    <row r="3422" spans="1:31" ht="15" customHeight="1" x14ac:dyDescent="0.25">
      <c r="A3422" s="20" t="s">
        <v>3395</v>
      </c>
      <c r="B3422" s="20" t="s">
        <v>5172</v>
      </c>
      <c r="C3422" s="20" t="s">
        <v>5173</v>
      </c>
      <c r="D3422" s="378" t="s">
        <v>5183</v>
      </c>
      <c r="E3422" s="384">
        <v>44183</v>
      </c>
      <c r="F3422" s="384">
        <v>45978</v>
      </c>
      <c r="G3422" s="378" t="s">
        <v>2837</v>
      </c>
      <c r="H3422" s="20" t="s">
        <v>5179</v>
      </c>
      <c r="I3422" s="378">
        <v>0</v>
      </c>
      <c r="J3422" s="20" t="s">
        <v>2831</v>
      </c>
      <c r="K3422" s="378" t="s">
        <v>5180</v>
      </c>
      <c r="L3422" s="378" t="s">
        <v>2848</v>
      </c>
      <c r="M3422" s="380">
        <v>2700</v>
      </c>
      <c r="N3422" s="380">
        <v>108</v>
      </c>
      <c r="O3422" s="380" t="s">
        <v>443</v>
      </c>
      <c r="P3422" s="380" t="s">
        <v>443</v>
      </c>
      <c r="Q3422" s="381">
        <v>399.07407407407408</v>
      </c>
      <c r="R3422" s="381">
        <v>0</v>
      </c>
      <c r="S3422" s="381">
        <v>0</v>
      </c>
      <c r="T3422" s="381">
        <v>0</v>
      </c>
      <c r="U3422" s="381">
        <v>0</v>
      </c>
      <c r="V3422" s="382">
        <v>399.07407407407408</v>
      </c>
      <c r="W3422" s="382">
        <v>0</v>
      </c>
      <c r="X3422" s="381">
        <v>0.39907407407407408</v>
      </c>
      <c r="Y3422" s="381">
        <v>0</v>
      </c>
      <c r="Z3422" s="381">
        <v>0</v>
      </c>
      <c r="AA3422" s="381">
        <v>0</v>
      </c>
      <c r="AB3422" s="381">
        <v>0</v>
      </c>
      <c r="AC3422" s="382">
        <v>0.39907407407407408</v>
      </c>
      <c r="AD3422" s="382">
        <v>0</v>
      </c>
      <c r="AE3422" s="381" t="s">
        <v>168</v>
      </c>
    </row>
    <row r="3423" spans="1:31" ht="15" customHeight="1" x14ac:dyDescent="0.25">
      <c r="A3423" s="20" t="s">
        <v>3395</v>
      </c>
      <c r="B3423" s="20" t="s">
        <v>5172</v>
      </c>
      <c r="C3423" s="20" t="s">
        <v>5173</v>
      </c>
      <c r="D3423" s="378" t="s">
        <v>5184</v>
      </c>
      <c r="E3423" s="384">
        <v>44183</v>
      </c>
      <c r="F3423" s="384">
        <v>45978</v>
      </c>
      <c r="G3423" s="378" t="s">
        <v>2837</v>
      </c>
      <c r="H3423" s="20" t="s">
        <v>5179</v>
      </c>
      <c r="I3423" s="378">
        <v>0</v>
      </c>
      <c r="J3423" s="20" t="s">
        <v>2831</v>
      </c>
      <c r="K3423" s="378" t="s">
        <v>5180</v>
      </c>
      <c r="L3423" s="378" t="s">
        <v>2848</v>
      </c>
      <c r="M3423" s="380">
        <v>2700</v>
      </c>
      <c r="N3423" s="380">
        <v>135</v>
      </c>
      <c r="O3423" s="380" t="s">
        <v>443</v>
      </c>
      <c r="P3423" s="380" t="s">
        <v>443</v>
      </c>
      <c r="Q3423" s="381">
        <v>396.2962962962963</v>
      </c>
      <c r="R3423" s="381">
        <v>0</v>
      </c>
      <c r="S3423" s="381">
        <v>0</v>
      </c>
      <c r="T3423" s="381">
        <v>0</v>
      </c>
      <c r="U3423" s="381">
        <v>0</v>
      </c>
      <c r="V3423" s="382">
        <v>396.2962962962963</v>
      </c>
      <c r="W3423" s="382">
        <v>0</v>
      </c>
      <c r="X3423" s="381">
        <v>0.39629629629629631</v>
      </c>
      <c r="Y3423" s="381">
        <v>0</v>
      </c>
      <c r="Z3423" s="381">
        <v>0</v>
      </c>
      <c r="AA3423" s="381">
        <v>0</v>
      </c>
      <c r="AB3423" s="381">
        <v>0</v>
      </c>
      <c r="AC3423" s="382">
        <v>0.39629629629629631</v>
      </c>
      <c r="AD3423" s="382">
        <v>0</v>
      </c>
      <c r="AE3423" s="381" t="s">
        <v>168</v>
      </c>
    </row>
    <row r="3424" spans="1:31" ht="15" customHeight="1" x14ac:dyDescent="0.25">
      <c r="A3424" s="20" t="s">
        <v>3395</v>
      </c>
      <c r="B3424" s="20" t="s">
        <v>5172</v>
      </c>
      <c r="C3424" s="20" t="s">
        <v>5173</v>
      </c>
      <c r="D3424" s="378" t="s">
        <v>5185</v>
      </c>
      <c r="E3424" s="384">
        <v>44466</v>
      </c>
      <c r="F3424" s="384">
        <v>46292</v>
      </c>
      <c r="G3424" s="378" t="s">
        <v>2837</v>
      </c>
      <c r="H3424" s="20" t="s">
        <v>5175</v>
      </c>
      <c r="I3424" s="378">
        <v>0</v>
      </c>
      <c r="J3424" s="20" t="s">
        <v>2831</v>
      </c>
      <c r="K3424" s="378" t="s">
        <v>5176</v>
      </c>
      <c r="L3424" s="378" t="s">
        <v>2848</v>
      </c>
      <c r="M3424" s="380">
        <v>2700</v>
      </c>
      <c r="N3424" s="380" t="s">
        <v>443</v>
      </c>
      <c r="O3424" s="380" t="s">
        <v>443</v>
      </c>
      <c r="P3424" s="380" t="s">
        <v>443</v>
      </c>
      <c r="Q3424" s="381">
        <v>75.8</v>
      </c>
      <c r="R3424" s="381">
        <v>70.5</v>
      </c>
      <c r="S3424" s="381">
        <v>4.97</v>
      </c>
      <c r="T3424" s="381">
        <v>0.25700000000000001</v>
      </c>
      <c r="U3424" s="381">
        <v>0</v>
      </c>
      <c r="V3424" s="382">
        <v>75.727000000000004</v>
      </c>
      <c r="W3424" s="382">
        <v>0</v>
      </c>
      <c r="X3424" s="381">
        <v>7.5799999999999992E-2</v>
      </c>
      <c r="Y3424" s="381">
        <v>7.0499999999999993E-2</v>
      </c>
      <c r="Z3424" s="381">
        <v>4.9699999999999996E-3</v>
      </c>
      <c r="AA3424" s="381">
        <v>2.5700000000000001E-4</v>
      </c>
      <c r="AB3424" s="381">
        <v>0</v>
      </c>
      <c r="AC3424" s="382">
        <v>7.5726999999999989E-2</v>
      </c>
      <c r="AD3424" s="382">
        <v>0</v>
      </c>
      <c r="AE3424" s="381" t="s">
        <v>168</v>
      </c>
    </row>
    <row r="3425" spans="1:31" ht="15" customHeight="1" x14ac:dyDescent="0.25">
      <c r="A3425" s="20" t="s">
        <v>3395</v>
      </c>
      <c r="B3425" s="20" t="s">
        <v>5172</v>
      </c>
      <c r="C3425" s="20" t="s">
        <v>5173</v>
      </c>
      <c r="D3425" s="378" t="s">
        <v>5186</v>
      </c>
      <c r="E3425" s="384">
        <v>44466</v>
      </c>
      <c r="F3425" s="384">
        <v>46292</v>
      </c>
      <c r="G3425" s="378" t="s">
        <v>2837</v>
      </c>
      <c r="H3425" s="20" t="s">
        <v>5175</v>
      </c>
      <c r="I3425" s="378">
        <v>0</v>
      </c>
      <c r="J3425" s="20" t="s">
        <v>2831</v>
      </c>
      <c r="K3425" s="378" t="s">
        <v>5176</v>
      </c>
      <c r="L3425" s="378" t="s">
        <v>2848</v>
      </c>
      <c r="M3425" s="380">
        <v>2700</v>
      </c>
      <c r="N3425" s="380" t="s">
        <v>443</v>
      </c>
      <c r="O3425" s="380" t="s">
        <v>443</v>
      </c>
      <c r="P3425" s="380" t="s">
        <v>443</v>
      </c>
      <c r="Q3425" s="381">
        <v>120</v>
      </c>
      <c r="R3425" s="381">
        <v>110</v>
      </c>
      <c r="S3425" s="381">
        <v>8.14</v>
      </c>
      <c r="T3425" s="381">
        <v>1.54</v>
      </c>
      <c r="U3425" s="381">
        <v>0</v>
      </c>
      <c r="V3425" s="382">
        <v>119.68</v>
      </c>
      <c r="W3425" s="382">
        <v>0</v>
      </c>
      <c r="X3425" s="381">
        <v>0.12</v>
      </c>
      <c r="Y3425" s="381">
        <v>0.11</v>
      </c>
      <c r="Z3425" s="381">
        <v>8.1400000000000014E-3</v>
      </c>
      <c r="AA3425" s="381">
        <v>1.5400000000000001E-3</v>
      </c>
      <c r="AB3425" s="381">
        <v>0</v>
      </c>
      <c r="AC3425" s="382">
        <v>0.11967999999999999</v>
      </c>
      <c r="AD3425" s="382">
        <v>0</v>
      </c>
      <c r="AE3425" s="381" t="s">
        <v>168</v>
      </c>
    </row>
    <row r="3426" spans="1:31" ht="15" customHeight="1" x14ac:dyDescent="0.25">
      <c r="A3426" s="20" t="s">
        <v>3395</v>
      </c>
      <c r="B3426" s="20" t="s">
        <v>5172</v>
      </c>
      <c r="C3426" s="20" t="s">
        <v>5173</v>
      </c>
      <c r="D3426" s="378" t="s">
        <v>5187</v>
      </c>
      <c r="E3426" s="384">
        <v>44466</v>
      </c>
      <c r="F3426" s="384">
        <v>46292</v>
      </c>
      <c r="G3426" s="378" t="s">
        <v>2837</v>
      </c>
      <c r="H3426" s="20" t="s">
        <v>5175</v>
      </c>
      <c r="I3426" s="378">
        <v>0</v>
      </c>
      <c r="J3426" s="20" t="s">
        <v>2831</v>
      </c>
      <c r="K3426" s="378" t="s">
        <v>5176</v>
      </c>
      <c r="L3426" s="378" t="s">
        <v>2848</v>
      </c>
      <c r="M3426" s="380">
        <v>2700</v>
      </c>
      <c r="N3426" s="380" t="s">
        <v>443</v>
      </c>
      <c r="O3426" s="380" t="s">
        <v>443</v>
      </c>
      <c r="P3426" s="380" t="s">
        <v>443</v>
      </c>
      <c r="Q3426" s="381">
        <v>130</v>
      </c>
      <c r="R3426" s="381">
        <v>119</v>
      </c>
      <c r="S3426" s="381">
        <v>8.83</v>
      </c>
      <c r="T3426" s="381">
        <v>1.65</v>
      </c>
      <c r="U3426" s="381">
        <v>0</v>
      </c>
      <c r="V3426" s="382">
        <v>129.47999999999999</v>
      </c>
      <c r="W3426" s="382">
        <v>0</v>
      </c>
      <c r="X3426" s="381">
        <v>0.13</v>
      </c>
      <c r="Y3426" s="381">
        <v>0.11899999999999999</v>
      </c>
      <c r="Z3426" s="381">
        <v>8.8299999999999993E-3</v>
      </c>
      <c r="AA3426" s="381">
        <v>1.65E-3</v>
      </c>
      <c r="AB3426" s="381">
        <v>0</v>
      </c>
      <c r="AC3426" s="382">
        <v>0.12948000000000001</v>
      </c>
      <c r="AD3426" s="382">
        <v>0</v>
      </c>
      <c r="AE3426" s="381" t="s">
        <v>168</v>
      </c>
    </row>
    <row r="3427" spans="1:31" ht="15" customHeight="1" x14ac:dyDescent="0.25">
      <c r="A3427" s="20" t="s">
        <v>3395</v>
      </c>
      <c r="B3427" s="20" t="s">
        <v>5173</v>
      </c>
      <c r="C3427" s="20" t="s">
        <v>5173</v>
      </c>
      <c r="D3427" s="378" t="s">
        <v>5188</v>
      </c>
      <c r="E3427" s="384">
        <v>45638</v>
      </c>
      <c r="F3427" s="384">
        <v>47464</v>
      </c>
      <c r="G3427" s="378" t="s">
        <v>439</v>
      </c>
      <c r="H3427" s="20" t="s">
        <v>5189</v>
      </c>
      <c r="I3427" s="378" t="s">
        <v>441</v>
      </c>
      <c r="J3427" s="20" t="s">
        <v>163</v>
      </c>
      <c r="K3427" s="378" t="s">
        <v>5190</v>
      </c>
      <c r="L3427" s="378" t="s">
        <v>2848</v>
      </c>
      <c r="M3427" s="380" t="s">
        <v>443</v>
      </c>
      <c r="N3427" s="380" t="s">
        <v>443</v>
      </c>
      <c r="O3427" s="380" t="s">
        <v>443</v>
      </c>
      <c r="P3427" s="380" t="s">
        <v>443</v>
      </c>
      <c r="Q3427" s="381">
        <v>64.5</v>
      </c>
      <c r="R3427" s="381">
        <v>67.099999999999994</v>
      </c>
      <c r="S3427" s="381">
        <v>-2.6</v>
      </c>
      <c r="T3427" s="381">
        <v>4.4400000000000004E-3</v>
      </c>
      <c r="U3427" s="381">
        <v>0</v>
      </c>
      <c r="V3427" s="382">
        <v>67.104439999999997</v>
      </c>
      <c r="W3427" s="382">
        <v>0</v>
      </c>
      <c r="X3427" s="381">
        <v>6.4500000000000002E-2</v>
      </c>
      <c r="Y3427" s="381">
        <v>6.7099999999999993E-2</v>
      </c>
      <c r="Z3427" s="381">
        <v>-2.5999999999999999E-3</v>
      </c>
      <c r="AA3427" s="381">
        <v>4.4400000000000007E-6</v>
      </c>
      <c r="AB3427" s="381">
        <v>0</v>
      </c>
      <c r="AC3427" s="382">
        <v>6.7104439999999987E-2</v>
      </c>
      <c r="AD3427" s="382">
        <v>0</v>
      </c>
      <c r="AE3427" s="381" t="s">
        <v>444</v>
      </c>
    </row>
    <row r="3428" spans="1:31" ht="15" customHeight="1" x14ac:dyDescent="0.25">
      <c r="A3428" s="20" t="s">
        <v>5016</v>
      </c>
      <c r="B3428" s="20" t="s">
        <v>5191</v>
      </c>
      <c r="C3428" s="20" t="s">
        <v>5192</v>
      </c>
      <c r="D3428" s="378" t="s">
        <v>5193</v>
      </c>
      <c r="E3428" s="384">
        <v>45135</v>
      </c>
      <c r="F3428" s="384">
        <v>46962</v>
      </c>
      <c r="G3428" s="378" t="s">
        <v>439</v>
      </c>
      <c r="H3428" s="378" t="s">
        <v>5194</v>
      </c>
      <c r="I3428" s="378" t="s">
        <v>162</v>
      </c>
      <c r="J3428" s="20" t="s">
        <v>163</v>
      </c>
      <c r="K3428" s="378" t="s">
        <v>5195</v>
      </c>
      <c r="L3428" s="378" t="s">
        <v>2848</v>
      </c>
      <c r="M3428" s="381"/>
      <c r="N3428" s="381">
        <v>23.92</v>
      </c>
      <c r="O3428" s="380"/>
      <c r="P3428" s="380"/>
      <c r="Q3428" s="381">
        <v>2846.3669665551838</v>
      </c>
      <c r="R3428" s="381">
        <v>2846.9899665551839</v>
      </c>
      <c r="S3428" s="381">
        <v>-0.623</v>
      </c>
      <c r="T3428" s="381"/>
      <c r="U3428" s="381"/>
      <c r="V3428" s="382">
        <v>2846.9899665551839</v>
      </c>
      <c r="W3428" s="382">
        <v>0</v>
      </c>
      <c r="X3428" s="381">
        <v>2.8463669665551836</v>
      </c>
      <c r="Y3428" s="381">
        <v>2.8469899665551837</v>
      </c>
      <c r="Z3428" s="381">
        <v>-6.2299999999999996E-4</v>
      </c>
      <c r="AA3428" s="381">
        <v>0</v>
      </c>
      <c r="AB3428" s="381">
        <v>0</v>
      </c>
      <c r="AC3428" s="382">
        <v>2.8469899665551837</v>
      </c>
      <c r="AD3428" s="382">
        <v>0</v>
      </c>
      <c r="AE3428" s="381" t="s">
        <v>168</v>
      </c>
    </row>
    <row r="3429" spans="1:31" ht="15" customHeight="1" x14ac:dyDescent="0.25">
      <c r="A3429" s="20" t="s">
        <v>5016</v>
      </c>
      <c r="B3429" s="20" t="s">
        <v>5191</v>
      </c>
      <c r="C3429" s="20" t="s">
        <v>5192</v>
      </c>
      <c r="D3429" s="378" t="s">
        <v>5196</v>
      </c>
      <c r="E3429" s="384">
        <v>45135</v>
      </c>
      <c r="F3429" s="384">
        <v>46962</v>
      </c>
      <c r="G3429" s="378" t="s">
        <v>439</v>
      </c>
      <c r="H3429" s="378" t="s">
        <v>5194</v>
      </c>
      <c r="I3429" s="378" t="s">
        <v>162</v>
      </c>
      <c r="J3429" s="20" t="s">
        <v>163</v>
      </c>
      <c r="K3429" s="378" t="s">
        <v>5195</v>
      </c>
      <c r="L3429" s="378" t="s">
        <v>2848</v>
      </c>
      <c r="M3429" s="381"/>
      <c r="N3429" s="381">
        <v>19.21</v>
      </c>
      <c r="O3429" s="380"/>
      <c r="P3429" s="380"/>
      <c r="Q3429" s="381">
        <v>2872.998383654347</v>
      </c>
      <c r="R3429" s="381">
        <v>2873.5033836543471</v>
      </c>
      <c r="S3429" s="381">
        <v>-0.505</v>
      </c>
      <c r="T3429" s="381"/>
      <c r="U3429" s="381"/>
      <c r="V3429" s="382">
        <v>2873.5033836543471</v>
      </c>
      <c r="W3429" s="382">
        <v>0</v>
      </c>
      <c r="X3429" s="381">
        <v>2.8729983836543469</v>
      </c>
      <c r="Y3429" s="381">
        <v>2.8735033836543469</v>
      </c>
      <c r="Z3429" s="381">
        <v>-5.0500000000000002E-4</v>
      </c>
      <c r="AA3429" s="381">
        <v>0</v>
      </c>
      <c r="AB3429" s="381">
        <v>0</v>
      </c>
      <c r="AC3429" s="382">
        <v>2.8735033836543469</v>
      </c>
      <c r="AD3429" s="382">
        <v>0</v>
      </c>
      <c r="AE3429" s="381" t="s">
        <v>168</v>
      </c>
    </row>
    <row r="3430" spans="1:31" ht="15" customHeight="1" x14ac:dyDescent="0.25">
      <c r="A3430" s="20" t="s">
        <v>5016</v>
      </c>
      <c r="B3430" s="20" t="s">
        <v>5191</v>
      </c>
      <c r="C3430" s="20" t="s">
        <v>5192</v>
      </c>
      <c r="D3430" s="378" t="s">
        <v>5197</v>
      </c>
      <c r="E3430" s="384">
        <v>45135</v>
      </c>
      <c r="F3430" s="384">
        <v>46962</v>
      </c>
      <c r="G3430" s="378" t="s">
        <v>439</v>
      </c>
      <c r="H3430" s="378" t="s">
        <v>5194</v>
      </c>
      <c r="I3430" s="378" t="s">
        <v>162</v>
      </c>
      <c r="J3430" s="20" t="s">
        <v>163</v>
      </c>
      <c r="K3430" s="378" t="s">
        <v>5195</v>
      </c>
      <c r="L3430" s="378" t="s">
        <v>2848</v>
      </c>
      <c r="M3430" s="381"/>
      <c r="N3430" s="381">
        <v>15.29</v>
      </c>
      <c r="O3430" s="380"/>
      <c r="P3430" s="380"/>
      <c r="Q3430" s="381">
        <v>2909.9919535644212</v>
      </c>
      <c r="R3430" s="381">
        <v>2910.3989535644214</v>
      </c>
      <c r="S3430" s="381">
        <v>-0.40699999999999997</v>
      </c>
      <c r="T3430" s="381"/>
      <c r="U3430" s="381"/>
      <c r="V3430" s="382">
        <v>2910.3989535644214</v>
      </c>
      <c r="W3430" s="382">
        <v>0</v>
      </c>
      <c r="X3430" s="381">
        <v>2.9099919535644214</v>
      </c>
      <c r="Y3430" s="381">
        <v>2.9103989535644215</v>
      </c>
      <c r="Z3430" s="381">
        <v>-4.0699999999999997E-4</v>
      </c>
      <c r="AA3430" s="381">
        <v>0</v>
      </c>
      <c r="AB3430" s="381">
        <v>0</v>
      </c>
      <c r="AC3430" s="382">
        <v>2.9103989535644215</v>
      </c>
      <c r="AD3430" s="382">
        <v>0</v>
      </c>
      <c r="AE3430" s="381" t="s">
        <v>168</v>
      </c>
    </row>
    <row r="3431" spans="1:31" ht="15" customHeight="1" x14ac:dyDescent="0.25">
      <c r="A3431" s="20" t="s">
        <v>5016</v>
      </c>
      <c r="B3431" s="20" t="s">
        <v>5198</v>
      </c>
      <c r="C3431" s="20" t="s">
        <v>5192</v>
      </c>
      <c r="D3431" s="378" t="s">
        <v>5199</v>
      </c>
      <c r="E3431" s="384">
        <v>45071</v>
      </c>
      <c r="F3431" s="384">
        <v>46898</v>
      </c>
      <c r="G3431" s="378" t="s">
        <v>439</v>
      </c>
      <c r="H3431" s="378" t="s">
        <v>5200</v>
      </c>
      <c r="I3431" s="378" t="s">
        <v>162</v>
      </c>
      <c r="J3431" s="20" t="s">
        <v>163</v>
      </c>
      <c r="K3431" s="378" t="s">
        <v>5201</v>
      </c>
      <c r="L3431" s="378" t="s">
        <v>2848</v>
      </c>
      <c r="M3431" s="381"/>
      <c r="N3431" s="381">
        <v>12.72</v>
      </c>
      <c r="O3431" s="380"/>
      <c r="P3431" s="380"/>
      <c r="Q3431" s="381">
        <v>2908.4800314465406</v>
      </c>
      <c r="R3431" s="381">
        <v>2908.8050314465404</v>
      </c>
      <c r="S3431" s="381">
        <v>-0.32500000000000001</v>
      </c>
      <c r="T3431" s="381"/>
      <c r="U3431" s="381"/>
      <c r="V3431" s="382">
        <v>2908.8050314465404</v>
      </c>
      <c r="W3431" s="382">
        <v>0</v>
      </c>
      <c r="X3431" s="381">
        <v>2.9084800314465404</v>
      </c>
      <c r="Y3431" s="381">
        <v>2.9088050314465406</v>
      </c>
      <c r="Z3431" s="381">
        <v>-3.2499999999999999E-4</v>
      </c>
      <c r="AA3431" s="381">
        <v>0</v>
      </c>
      <c r="AB3431" s="381">
        <v>0</v>
      </c>
      <c r="AC3431" s="382">
        <v>2.9088050314465406</v>
      </c>
      <c r="AD3431" s="382">
        <v>0</v>
      </c>
      <c r="AE3431" s="381" t="s">
        <v>168</v>
      </c>
    </row>
    <row r="3432" spans="1:31" ht="15" customHeight="1" x14ac:dyDescent="0.25">
      <c r="A3432" s="20" t="s">
        <v>5016</v>
      </c>
      <c r="B3432" s="20" t="s">
        <v>5191</v>
      </c>
      <c r="C3432" s="20" t="s">
        <v>5192</v>
      </c>
      <c r="D3432" s="378" t="s">
        <v>5202</v>
      </c>
      <c r="E3432" s="384">
        <v>45135</v>
      </c>
      <c r="F3432" s="384">
        <v>46962</v>
      </c>
      <c r="G3432" s="378" t="s">
        <v>439</v>
      </c>
      <c r="H3432" s="378" t="s">
        <v>5194</v>
      </c>
      <c r="I3432" s="378" t="s">
        <v>162</v>
      </c>
      <c r="J3432" s="20" t="s">
        <v>163</v>
      </c>
      <c r="K3432" s="378" t="s">
        <v>5195</v>
      </c>
      <c r="L3432" s="378" t="s">
        <v>2848</v>
      </c>
      <c r="M3432" s="381"/>
      <c r="N3432" s="381">
        <v>12.15</v>
      </c>
      <c r="O3432" s="380"/>
      <c r="P3432" s="380"/>
      <c r="Q3432" s="381">
        <v>2954.4045102880655</v>
      </c>
      <c r="R3432" s="381">
        <v>2954.7325102880654</v>
      </c>
      <c r="S3432" s="381">
        <v>-0.32800000000000001</v>
      </c>
      <c r="T3432" s="381"/>
      <c r="U3432" s="381"/>
      <c r="V3432" s="382">
        <v>2954.7325102880654</v>
      </c>
      <c r="W3432" s="382">
        <v>0</v>
      </c>
      <c r="X3432" s="381">
        <v>2.9544045102880654</v>
      </c>
      <c r="Y3432" s="381">
        <v>2.9547325102880655</v>
      </c>
      <c r="Z3432" s="381">
        <v>-3.28E-4</v>
      </c>
      <c r="AA3432" s="381">
        <v>0</v>
      </c>
      <c r="AB3432" s="381">
        <v>0</v>
      </c>
      <c r="AC3432" s="382">
        <v>2.9547325102880655</v>
      </c>
      <c r="AD3432" s="382">
        <v>0</v>
      </c>
      <c r="AE3432" s="381" t="s">
        <v>168</v>
      </c>
    </row>
    <row r="3433" spans="1:31" ht="15" customHeight="1" x14ac:dyDescent="0.25">
      <c r="A3433" s="20" t="s">
        <v>5016</v>
      </c>
      <c r="B3433" s="20" t="s">
        <v>5198</v>
      </c>
      <c r="C3433" s="20" t="s">
        <v>5192</v>
      </c>
      <c r="D3433" s="378" t="s">
        <v>5203</v>
      </c>
      <c r="E3433" s="384">
        <v>45071</v>
      </c>
      <c r="F3433" s="384">
        <v>46898</v>
      </c>
      <c r="G3433" s="378" t="s">
        <v>439</v>
      </c>
      <c r="H3433" s="378" t="s">
        <v>5200</v>
      </c>
      <c r="I3433" s="378" t="s">
        <v>162</v>
      </c>
      <c r="J3433" s="20" t="s">
        <v>163</v>
      </c>
      <c r="K3433" s="378" t="s">
        <v>5201</v>
      </c>
      <c r="L3433" s="378" t="s">
        <v>2848</v>
      </c>
      <c r="M3433" s="381"/>
      <c r="N3433" s="381">
        <v>11.93</v>
      </c>
      <c r="O3433" s="380"/>
      <c r="P3433" s="380"/>
      <c r="Q3433" s="381">
        <v>2916.7109262363788</v>
      </c>
      <c r="R3433" s="381">
        <v>2917.0159262363786</v>
      </c>
      <c r="S3433" s="381">
        <v>-0.30499999999999999</v>
      </c>
      <c r="T3433" s="381"/>
      <c r="U3433" s="381"/>
      <c r="V3433" s="382">
        <v>2917.0159262363786</v>
      </c>
      <c r="W3433" s="382">
        <v>0</v>
      </c>
      <c r="X3433" s="381">
        <v>2.9167109262363788</v>
      </c>
      <c r="Y3433" s="381">
        <v>2.9170159262363784</v>
      </c>
      <c r="Z3433" s="381">
        <v>-3.0499999999999999E-4</v>
      </c>
      <c r="AA3433" s="381">
        <v>0</v>
      </c>
      <c r="AB3433" s="381">
        <v>0</v>
      </c>
      <c r="AC3433" s="382">
        <v>2.9170159262363784</v>
      </c>
      <c r="AD3433" s="382">
        <v>0</v>
      </c>
      <c r="AE3433" s="381" t="s">
        <v>168</v>
      </c>
    </row>
    <row r="3434" spans="1:31" ht="15" customHeight="1" x14ac:dyDescent="0.25">
      <c r="A3434" s="20" t="s">
        <v>5016</v>
      </c>
      <c r="B3434" s="20" t="s">
        <v>5191</v>
      </c>
      <c r="C3434" s="20" t="s">
        <v>5192</v>
      </c>
      <c r="D3434" s="378" t="s">
        <v>5204</v>
      </c>
      <c r="E3434" s="384">
        <v>45135</v>
      </c>
      <c r="F3434" s="384">
        <v>46962</v>
      </c>
      <c r="G3434" s="378" t="s">
        <v>439</v>
      </c>
      <c r="H3434" s="378" t="s">
        <v>5194</v>
      </c>
      <c r="I3434" s="378" t="s">
        <v>162</v>
      </c>
      <c r="J3434" s="20" t="s">
        <v>163</v>
      </c>
      <c r="K3434" s="378" t="s">
        <v>5195</v>
      </c>
      <c r="L3434" s="378" t="s">
        <v>2848</v>
      </c>
      <c r="M3434" s="381"/>
      <c r="N3434" s="381">
        <v>9.7899999999999991</v>
      </c>
      <c r="O3434" s="380"/>
      <c r="P3434" s="380"/>
      <c r="Q3434" s="381">
        <v>3013.0098559754856</v>
      </c>
      <c r="R3434" s="381">
        <v>3013.2788559754854</v>
      </c>
      <c r="S3434" s="381">
        <v>-0.26900000000000002</v>
      </c>
      <c r="T3434" s="381"/>
      <c r="U3434" s="381"/>
      <c r="V3434" s="382">
        <v>3013.2788559754854</v>
      </c>
      <c r="W3434" s="382">
        <v>0</v>
      </c>
      <c r="X3434" s="381">
        <v>3.0130098559754854</v>
      </c>
      <c r="Y3434" s="381">
        <v>3.0132788559754853</v>
      </c>
      <c r="Z3434" s="381">
        <v>-2.6900000000000003E-4</v>
      </c>
      <c r="AA3434" s="381">
        <v>0</v>
      </c>
      <c r="AB3434" s="381">
        <v>0</v>
      </c>
      <c r="AC3434" s="382">
        <v>3.0132788559754853</v>
      </c>
      <c r="AD3434" s="382">
        <v>0</v>
      </c>
      <c r="AE3434" s="381" t="s">
        <v>168</v>
      </c>
    </row>
    <row r="3435" spans="1:31" ht="15" customHeight="1" x14ac:dyDescent="0.25">
      <c r="A3435" s="20" t="s">
        <v>5016</v>
      </c>
      <c r="B3435" s="20" t="s">
        <v>5198</v>
      </c>
      <c r="C3435" s="20" t="s">
        <v>5192</v>
      </c>
      <c r="D3435" s="378" t="s">
        <v>5205</v>
      </c>
      <c r="E3435" s="384">
        <v>45071</v>
      </c>
      <c r="F3435" s="384">
        <v>46898</v>
      </c>
      <c r="G3435" s="378" t="s">
        <v>439</v>
      </c>
      <c r="H3435" s="378" t="s">
        <v>5200</v>
      </c>
      <c r="I3435" s="378" t="s">
        <v>162</v>
      </c>
      <c r="J3435" s="20" t="s">
        <v>163</v>
      </c>
      <c r="K3435" s="378" t="s">
        <v>5201</v>
      </c>
      <c r="L3435" s="378" t="s">
        <v>2848</v>
      </c>
      <c r="M3435" s="381"/>
      <c r="N3435" s="381">
        <v>9.58</v>
      </c>
      <c r="O3435" s="380"/>
      <c r="P3435" s="380"/>
      <c r="Q3435" s="381">
        <v>2964.2633945720249</v>
      </c>
      <c r="R3435" s="381">
        <v>2964.509394572025</v>
      </c>
      <c r="S3435" s="381">
        <v>-0.246</v>
      </c>
      <c r="T3435" s="381"/>
      <c r="U3435" s="381"/>
      <c r="V3435" s="382">
        <v>2964.509394572025</v>
      </c>
      <c r="W3435" s="382">
        <v>0</v>
      </c>
      <c r="X3435" s="381">
        <v>2.9642633945720251</v>
      </c>
      <c r="Y3435" s="381">
        <v>2.9645093945720249</v>
      </c>
      <c r="Z3435" s="381">
        <v>-2.4600000000000002E-4</v>
      </c>
      <c r="AA3435" s="381">
        <v>0</v>
      </c>
      <c r="AB3435" s="381">
        <v>0</v>
      </c>
      <c r="AC3435" s="382">
        <v>2.9645093945720249</v>
      </c>
      <c r="AD3435" s="382">
        <v>0</v>
      </c>
      <c r="AE3435" s="381" t="s">
        <v>168</v>
      </c>
    </row>
    <row r="3436" spans="1:31" ht="15" customHeight="1" x14ac:dyDescent="0.25">
      <c r="A3436" s="20" t="s">
        <v>5016</v>
      </c>
      <c r="B3436" s="20" t="s">
        <v>5198</v>
      </c>
      <c r="C3436" s="20" t="s">
        <v>5192</v>
      </c>
      <c r="D3436" s="378" t="s">
        <v>5206</v>
      </c>
      <c r="E3436" s="384">
        <v>45071</v>
      </c>
      <c r="F3436" s="384">
        <v>46898</v>
      </c>
      <c r="G3436" s="378" t="s">
        <v>439</v>
      </c>
      <c r="H3436" s="378" t="s">
        <v>5200</v>
      </c>
      <c r="I3436" s="378" t="s">
        <v>162</v>
      </c>
      <c r="J3436" s="20" t="s">
        <v>163</v>
      </c>
      <c r="K3436" s="378" t="s">
        <v>5201</v>
      </c>
      <c r="L3436" s="378" t="s">
        <v>2848</v>
      </c>
      <c r="M3436" s="381"/>
      <c r="N3436" s="381">
        <v>9.18</v>
      </c>
      <c r="O3436" s="380"/>
      <c r="P3436" s="380"/>
      <c r="Q3436" s="381">
        <v>2973.6202091503269</v>
      </c>
      <c r="R3436" s="381">
        <v>2973.8562091503268</v>
      </c>
      <c r="S3436" s="381">
        <v>-0.23599999999999999</v>
      </c>
      <c r="T3436" s="381"/>
      <c r="U3436" s="381"/>
      <c r="V3436" s="382">
        <v>2973.8562091503268</v>
      </c>
      <c r="W3436" s="382">
        <v>0</v>
      </c>
      <c r="X3436" s="381">
        <v>2.9736202091503268</v>
      </c>
      <c r="Y3436" s="381">
        <v>2.9738562091503269</v>
      </c>
      <c r="Z3436" s="381">
        <v>-2.3599999999999999E-4</v>
      </c>
      <c r="AA3436" s="381">
        <v>0</v>
      </c>
      <c r="AB3436" s="381">
        <v>0</v>
      </c>
      <c r="AC3436" s="382">
        <v>2.9738562091503269</v>
      </c>
      <c r="AD3436" s="382">
        <v>0</v>
      </c>
      <c r="AE3436" s="381" t="s">
        <v>168</v>
      </c>
    </row>
    <row r="3437" spans="1:31" ht="15" customHeight="1" x14ac:dyDescent="0.25">
      <c r="A3437" s="20" t="s">
        <v>5016</v>
      </c>
      <c r="B3437" s="20" t="s">
        <v>5191</v>
      </c>
      <c r="C3437" s="20" t="s">
        <v>5192</v>
      </c>
      <c r="D3437" s="378" t="s">
        <v>5207</v>
      </c>
      <c r="E3437" s="384">
        <v>45135</v>
      </c>
      <c r="F3437" s="384">
        <v>46962</v>
      </c>
      <c r="G3437" s="378" t="s">
        <v>439</v>
      </c>
      <c r="H3437" s="378" t="s">
        <v>5194</v>
      </c>
      <c r="I3437" s="378" t="s">
        <v>162</v>
      </c>
      <c r="J3437" s="20" t="s">
        <v>163</v>
      </c>
      <c r="K3437" s="378" t="s">
        <v>5195</v>
      </c>
      <c r="L3437" s="378" t="s">
        <v>2848</v>
      </c>
      <c r="M3437" s="381"/>
      <c r="N3437" s="381">
        <v>8.2200000000000006</v>
      </c>
      <c r="O3437" s="380"/>
      <c r="P3437" s="380"/>
      <c r="Q3437" s="381">
        <v>3065.4634306569342</v>
      </c>
      <c r="R3437" s="381">
        <v>3065.6934306569342</v>
      </c>
      <c r="S3437" s="381">
        <v>-0.23</v>
      </c>
      <c r="T3437" s="381"/>
      <c r="U3437" s="381"/>
      <c r="V3437" s="382">
        <v>3065.6934306569342</v>
      </c>
      <c r="W3437" s="382">
        <v>0</v>
      </c>
      <c r="X3437" s="381">
        <v>3.0654634306569344</v>
      </c>
      <c r="Y3437" s="381">
        <v>3.0656934306569341</v>
      </c>
      <c r="Z3437" s="381">
        <v>-2.3000000000000001E-4</v>
      </c>
      <c r="AA3437" s="381">
        <v>0</v>
      </c>
      <c r="AB3437" s="381">
        <v>0</v>
      </c>
      <c r="AC3437" s="382">
        <v>3.0656934306569341</v>
      </c>
      <c r="AD3437" s="382">
        <v>0</v>
      </c>
      <c r="AE3437" s="381" t="s">
        <v>168</v>
      </c>
    </row>
    <row r="3438" spans="1:31" ht="15" customHeight="1" x14ac:dyDescent="0.25">
      <c r="A3438" s="20" t="s">
        <v>5016</v>
      </c>
      <c r="B3438" s="20" t="s">
        <v>5198</v>
      </c>
      <c r="C3438" s="20" t="s">
        <v>5192</v>
      </c>
      <c r="D3438" s="378" t="s">
        <v>5208</v>
      </c>
      <c r="E3438" s="384">
        <v>45071</v>
      </c>
      <c r="F3438" s="384">
        <v>46898</v>
      </c>
      <c r="G3438" s="378" t="s">
        <v>439</v>
      </c>
      <c r="H3438" s="378" t="s">
        <v>5200</v>
      </c>
      <c r="I3438" s="378" t="s">
        <v>162</v>
      </c>
      <c r="J3438" s="20" t="s">
        <v>163</v>
      </c>
      <c r="K3438" s="378" t="s">
        <v>5201</v>
      </c>
      <c r="L3438" s="378" t="s">
        <v>2848</v>
      </c>
      <c r="M3438" s="381"/>
      <c r="N3438" s="381">
        <v>8.01</v>
      </c>
      <c r="O3438" s="380"/>
      <c r="P3438" s="380"/>
      <c r="Q3438" s="381">
        <v>3008.5320761548069</v>
      </c>
      <c r="R3438" s="381">
        <v>3008.7390761548068</v>
      </c>
      <c r="S3438" s="381">
        <v>-0.20699999999999999</v>
      </c>
      <c r="T3438" s="381"/>
      <c r="U3438" s="381"/>
      <c r="V3438" s="382">
        <v>3008.7390761548068</v>
      </c>
      <c r="W3438" s="382">
        <v>0</v>
      </c>
      <c r="X3438" s="381">
        <v>3.0085320761548067</v>
      </c>
      <c r="Y3438" s="381">
        <v>3.0087390761548067</v>
      </c>
      <c r="Z3438" s="381">
        <v>-2.0699999999999999E-4</v>
      </c>
      <c r="AA3438" s="381">
        <v>0</v>
      </c>
      <c r="AB3438" s="381">
        <v>0</v>
      </c>
      <c r="AC3438" s="382">
        <v>3.0087390761548067</v>
      </c>
      <c r="AD3438" s="382">
        <v>0</v>
      </c>
      <c r="AE3438" s="381" t="s">
        <v>168</v>
      </c>
    </row>
    <row r="3439" spans="1:31" ht="15" customHeight="1" x14ac:dyDescent="0.25">
      <c r="A3439" s="20" t="s">
        <v>5016</v>
      </c>
      <c r="B3439" s="20" t="s">
        <v>5198</v>
      </c>
      <c r="C3439" s="20" t="s">
        <v>5192</v>
      </c>
      <c r="D3439" s="378" t="s">
        <v>5209</v>
      </c>
      <c r="E3439" s="384">
        <v>45071</v>
      </c>
      <c r="F3439" s="384">
        <v>46898</v>
      </c>
      <c r="G3439" s="378" t="s">
        <v>439</v>
      </c>
      <c r="H3439" s="378" t="s">
        <v>5200</v>
      </c>
      <c r="I3439" s="378" t="s">
        <v>162</v>
      </c>
      <c r="J3439" s="20" t="s">
        <v>163</v>
      </c>
      <c r="K3439" s="378" t="s">
        <v>5201</v>
      </c>
      <c r="L3439" s="378" t="s">
        <v>2848</v>
      </c>
      <c r="M3439" s="381"/>
      <c r="N3439" s="381">
        <v>7.61</v>
      </c>
      <c r="O3439" s="380"/>
      <c r="P3439" s="380"/>
      <c r="Q3439" s="381">
        <v>3022.1420275952692</v>
      </c>
      <c r="R3439" s="381">
        <v>3022.3390275952693</v>
      </c>
      <c r="S3439" s="381">
        <v>-0.19700000000000001</v>
      </c>
      <c r="T3439" s="381"/>
      <c r="U3439" s="381"/>
      <c r="V3439" s="382">
        <v>3022.3390275952693</v>
      </c>
      <c r="W3439" s="382">
        <v>0</v>
      </c>
      <c r="X3439" s="381">
        <v>3.0221420275952693</v>
      </c>
      <c r="Y3439" s="381">
        <v>3.0223390275952693</v>
      </c>
      <c r="Z3439" s="381">
        <v>-1.9700000000000002E-4</v>
      </c>
      <c r="AA3439" s="381">
        <v>0</v>
      </c>
      <c r="AB3439" s="381">
        <v>0</v>
      </c>
      <c r="AC3439" s="382">
        <v>3.0223390275952693</v>
      </c>
      <c r="AD3439" s="382">
        <v>0</v>
      </c>
      <c r="AE3439" s="381" t="s">
        <v>168</v>
      </c>
    </row>
    <row r="3440" spans="1:31" ht="15" customHeight="1" x14ac:dyDescent="0.25">
      <c r="A3440" s="20" t="s">
        <v>5016</v>
      </c>
      <c r="B3440" s="20" t="s">
        <v>5198</v>
      </c>
      <c r="C3440" s="20" t="s">
        <v>5192</v>
      </c>
      <c r="D3440" s="378" t="s">
        <v>5210</v>
      </c>
      <c r="E3440" s="384">
        <v>45071</v>
      </c>
      <c r="F3440" s="384">
        <v>46898</v>
      </c>
      <c r="G3440" s="378" t="s">
        <v>439</v>
      </c>
      <c r="H3440" s="378" t="s">
        <v>5200</v>
      </c>
      <c r="I3440" s="378" t="s">
        <v>162</v>
      </c>
      <c r="J3440" s="20" t="s">
        <v>163</v>
      </c>
      <c r="K3440" s="378" t="s">
        <v>5201</v>
      </c>
      <c r="L3440" s="378" t="s">
        <v>2848</v>
      </c>
      <c r="M3440" s="381"/>
      <c r="N3440" s="381">
        <v>6.04</v>
      </c>
      <c r="O3440" s="380"/>
      <c r="P3440" s="380"/>
      <c r="Q3440" s="381">
        <v>3095.8684900662251</v>
      </c>
      <c r="R3440" s="381">
        <v>3096.0264900662251</v>
      </c>
      <c r="S3440" s="381">
        <v>-0.158</v>
      </c>
      <c r="T3440" s="381"/>
      <c r="U3440" s="381"/>
      <c r="V3440" s="382">
        <v>3096.0264900662251</v>
      </c>
      <c r="W3440" s="382">
        <v>0</v>
      </c>
      <c r="X3440" s="381">
        <v>3.0958684900662252</v>
      </c>
      <c r="Y3440" s="381">
        <v>3.0960264900662251</v>
      </c>
      <c r="Z3440" s="381">
        <v>-1.5799999999999999E-4</v>
      </c>
      <c r="AA3440" s="381">
        <v>0</v>
      </c>
      <c r="AB3440" s="381">
        <v>0</v>
      </c>
      <c r="AC3440" s="382">
        <v>3.0960264900662251</v>
      </c>
      <c r="AD3440" s="382">
        <v>0</v>
      </c>
      <c r="AE3440" s="381" t="s">
        <v>168</v>
      </c>
    </row>
    <row r="3441" spans="1:31" ht="15" customHeight="1" x14ac:dyDescent="0.25">
      <c r="A3441" s="20" t="s">
        <v>5016</v>
      </c>
      <c r="B3441" s="20" t="s">
        <v>5198</v>
      </c>
      <c r="C3441" s="20" t="s">
        <v>5192</v>
      </c>
      <c r="D3441" s="378" t="s">
        <v>5211</v>
      </c>
      <c r="E3441" s="384">
        <v>45071</v>
      </c>
      <c r="F3441" s="384">
        <v>46898</v>
      </c>
      <c r="G3441" s="378" t="s">
        <v>439</v>
      </c>
      <c r="H3441" s="378" t="s">
        <v>5200</v>
      </c>
      <c r="I3441" s="378" t="s">
        <v>162</v>
      </c>
      <c r="J3441" s="20" t="s">
        <v>163</v>
      </c>
      <c r="K3441" s="378" t="s">
        <v>5201</v>
      </c>
      <c r="L3441" s="378" t="s">
        <v>2848</v>
      </c>
      <c r="M3441" s="381"/>
      <c r="N3441" s="381">
        <v>4.87</v>
      </c>
      <c r="O3441" s="380"/>
      <c r="P3441" s="380"/>
      <c r="Q3441" s="381">
        <v>3182.6235400410674</v>
      </c>
      <c r="R3441" s="381">
        <v>3182.7515400410675</v>
      </c>
      <c r="S3441" s="381">
        <v>-0.128</v>
      </c>
      <c r="T3441" s="381"/>
      <c r="U3441" s="381"/>
      <c r="V3441" s="382">
        <v>3182.7515400410675</v>
      </c>
      <c r="W3441" s="382">
        <v>0</v>
      </c>
      <c r="X3441" s="381">
        <v>3.1826235400410674</v>
      </c>
      <c r="Y3441" s="381">
        <v>3.1827515400410675</v>
      </c>
      <c r="Z3441" s="381">
        <v>-1.2799999999999999E-4</v>
      </c>
      <c r="AA3441" s="381">
        <v>0</v>
      </c>
      <c r="AB3441" s="381">
        <v>0</v>
      </c>
      <c r="AC3441" s="382">
        <v>3.1827515400410675</v>
      </c>
      <c r="AD3441" s="382">
        <v>0</v>
      </c>
      <c r="AE3441" s="381" t="s">
        <v>168</v>
      </c>
    </row>
    <row r="3442" spans="1:31" ht="15" customHeight="1" x14ac:dyDescent="0.25">
      <c r="A3442" s="20" t="s">
        <v>5016</v>
      </c>
      <c r="B3442" s="20" t="s">
        <v>5198</v>
      </c>
      <c r="C3442" s="20" t="s">
        <v>5192</v>
      </c>
      <c r="D3442" s="378" t="s">
        <v>5212</v>
      </c>
      <c r="E3442" s="384">
        <v>45071</v>
      </c>
      <c r="F3442" s="384">
        <v>46898</v>
      </c>
      <c r="G3442" s="378" t="s">
        <v>439</v>
      </c>
      <c r="H3442" s="378" t="s">
        <v>5200</v>
      </c>
      <c r="I3442" s="378" t="s">
        <v>162</v>
      </c>
      <c r="J3442" s="20" t="s">
        <v>163</v>
      </c>
      <c r="K3442" s="378" t="s">
        <v>5201</v>
      </c>
      <c r="L3442" s="378" t="s">
        <v>2848</v>
      </c>
      <c r="M3442" s="381"/>
      <c r="N3442" s="381">
        <v>4.47</v>
      </c>
      <c r="O3442" s="380"/>
      <c r="P3442" s="380"/>
      <c r="Q3442" s="381">
        <v>3221.3585100671144</v>
      </c>
      <c r="R3442" s="381">
        <v>3221.4765100671143</v>
      </c>
      <c r="S3442" s="381">
        <v>-0.11799999999999999</v>
      </c>
      <c r="T3442" s="381"/>
      <c r="U3442" s="381"/>
      <c r="V3442" s="382">
        <v>3221.4765100671143</v>
      </c>
      <c r="W3442" s="382">
        <v>0</v>
      </c>
      <c r="X3442" s="381">
        <v>3.2213585100671143</v>
      </c>
      <c r="Y3442" s="381">
        <v>3.2214765100671143</v>
      </c>
      <c r="Z3442" s="381">
        <v>-1.18E-4</v>
      </c>
      <c r="AA3442" s="381">
        <v>0</v>
      </c>
      <c r="AB3442" s="381">
        <v>0</v>
      </c>
      <c r="AC3442" s="382">
        <v>3.2214765100671143</v>
      </c>
      <c r="AD3442" s="382">
        <v>0</v>
      </c>
      <c r="AE3442" s="381" t="s">
        <v>168</v>
      </c>
    </row>
    <row r="3443" spans="1:31" ht="15" customHeight="1" x14ac:dyDescent="0.25">
      <c r="A3443" s="20" t="s">
        <v>5016</v>
      </c>
      <c r="B3443" s="20" t="s">
        <v>5198</v>
      </c>
      <c r="C3443" s="20" t="s">
        <v>5192</v>
      </c>
      <c r="D3443" s="378" t="s">
        <v>5213</v>
      </c>
      <c r="E3443" s="384">
        <v>45071</v>
      </c>
      <c r="F3443" s="384">
        <v>46898</v>
      </c>
      <c r="G3443" s="378" t="s">
        <v>439</v>
      </c>
      <c r="H3443" s="378" t="s">
        <v>5200</v>
      </c>
      <c r="I3443" s="378" t="s">
        <v>162</v>
      </c>
      <c r="J3443" s="20" t="s">
        <v>163</v>
      </c>
      <c r="K3443" s="378" t="s">
        <v>5201</v>
      </c>
      <c r="L3443" s="378" t="s">
        <v>2848</v>
      </c>
      <c r="M3443" s="381"/>
      <c r="N3443" s="381">
        <v>3.92</v>
      </c>
      <c r="O3443" s="380"/>
      <c r="P3443" s="380"/>
      <c r="Q3443" s="381">
        <v>3290.7113265306125</v>
      </c>
      <c r="R3443" s="381">
        <v>3290.8163265306125</v>
      </c>
      <c r="S3443" s="381">
        <v>-0.105</v>
      </c>
      <c r="T3443" s="381"/>
      <c r="U3443" s="381"/>
      <c r="V3443" s="382">
        <v>3290.8163265306125</v>
      </c>
      <c r="W3443" s="382">
        <v>0</v>
      </c>
      <c r="X3443" s="381">
        <v>3.2907113265306127</v>
      </c>
      <c r="Y3443" s="381">
        <v>3.2908163265306127</v>
      </c>
      <c r="Z3443" s="381">
        <v>-1.0499999999999999E-4</v>
      </c>
      <c r="AA3443" s="381">
        <v>0</v>
      </c>
      <c r="AB3443" s="381">
        <v>0</v>
      </c>
      <c r="AC3443" s="382">
        <v>3.2908163265306127</v>
      </c>
      <c r="AD3443" s="382">
        <v>0</v>
      </c>
      <c r="AE3443" s="381" t="s">
        <v>168</v>
      </c>
    </row>
    <row r="3444" spans="1:31" ht="15" customHeight="1" x14ac:dyDescent="0.25">
      <c r="A3444" s="20" t="s">
        <v>5016</v>
      </c>
      <c r="B3444" s="20" t="s">
        <v>5198</v>
      </c>
      <c r="C3444" s="20" t="s">
        <v>5192</v>
      </c>
      <c r="D3444" s="378" t="s">
        <v>5214</v>
      </c>
      <c r="E3444" s="384">
        <v>45071</v>
      </c>
      <c r="F3444" s="384">
        <v>46898</v>
      </c>
      <c r="G3444" s="378" t="s">
        <v>439</v>
      </c>
      <c r="H3444" s="378" t="s">
        <v>5200</v>
      </c>
      <c r="I3444" s="378" t="s">
        <v>162</v>
      </c>
      <c r="J3444" s="20" t="s">
        <v>163</v>
      </c>
      <c r="K3444" s="378" t="s">
        <v>5201</v>
      </c>
      <c r="L3444" s="378" t="s">
        <v>2848</v>
      </c>
      <c r="M3444" s="381"/>
      <c r="N3444" s="381">
        <v>3.45</v>
      </c>
      <c r="O3444" s="380"/>
      <c r="P3444" s="380"/>
      <c r="Q3444" s="381">
        <v>3362.2261405797099</v>
      </c>
      <c r="R3444" s="381">
        <v>3362.31884057971</v>
      </c>
      <c r="S3444" s="381">
        <v>-9.2700000000000005E-2</v>
      </c>
      <c r="T3444" s="381"/>
      <c r="U3444" s="381"/>
      <c r="V3444" s="382">
        <v>3362.31884057971</v>
      </c>
      <c r="W3444" s="382">
        <v>0</v>
      </c>
      <c r="X3444" s="381">
        <v>3.3622261405797098</v>
      </c>
      <c r="Y3444" s="381">
        <v>3.36231884057971</v>
      </c>
      <c r="Z3444" s="381">
        <v>-9.2700000000000004E-5</v>
      </c>
      <c r="AA3444" s="381">
        <v>0</v>
      </c>
      <c r="AB3444" s="381">
        <v>0</v>
      </c>
      <c r="AC3444" s="382">
        <v>3.36231884057971</v>
      </c>
      <c r="AD3444" s="382">
        <v>0</v>
      </c>
      <c r="AE3444" s="381" t="s">
        <v>168</v>
      </c>
    </row>
    <row r="3445" spans="1:31" ht="15" customHeight="1" x14ac:dyDescent="0.25">
      <c r="A3445" s="20" t="s">
        <v>5016</v>
      </c>
      <c r="B3445" s="20" t="s">
        <v>5191</v>
      </c>
      <c r="C3445" s="20" t="s">
        <v>5192</v>
      </c>
      <c r="D3445" s="378" t="s">
        <v>5215</v>
      </c>
      <c r="E3445" s="384">
        <v>45135</v>
      </c>
      <c r="F3445" s="384">
        <v>46962</v>
      </c>
      <c r="G3445" s="378" t="s">
        <v>439</v>
      </c>
      <c r="H3445" s="378" t="s">
        <v>5194</v>
      </c>
      <c r="I3445" s="378" t="s">
        <v>162</v>
      </c>
      <c r="J3445" s="20" t="s">
        <v>163</v>
      </c>
      <c r="K3445" s="378" t="s">
        <v>5195</v>
      </c>
      <c r="L3445" s="378" t="s">
        <v>2848</v>
      </c>
      <c r="M3445" s="381"/>
      <c r="N3445" s="381">
        <v>8.2200000000000006</v>
      </c>
      <c r="O3445" s="380"/>
      <c r="P3445" s="380"/>
      <c r="Q3445" s="381">
        <v>2931.8565793187349</v>
      </c>
      <c r="R3445" s="381">
        <v>2931.873479318735</v>
      </c>
      <c r="S3445" s="381">
        <v>-1.6899999999999998E-2</v>
      </c>
      <c r="T3445" s="381"/>
      <c r="U3445" s="381"/>
      <c r="V3445" s="382">
        <v>2931.873479318735</v>
      </c>
      <c r="W3445" s="382">
        <v>0</v>
      </c>
      <c r="X3445" s="381">
        <v>2.931856579318735</v>
      </c>
      <c r="Y3445" s="381">
        <v>2.9318734793187349</v>
      </c>
      <c r="Z3445" s="381">
        <v>-1.6899999999999997E-5</v>
      </c>
      <c r="AA3445" s="381">
        <v>0</v>
      </c>
      <c r="AB3445" s="381">
        <v>0</v>
      </c>
      <c r="AC3445" s="382">
        <v>2.9318734793187349</v>
      </c>
      <c r="AD3445" s="382">
        <v>0</v>
      </c>
      <c r="AE3445" s="381" t="s">
        <v>168</v>
      </c>
    </row>
    <row r="3446" spans="1:31" ht="15" customHeight="1" x14ac:dyDescent="0.25">
      <c r="A3446" s="20" t="s">
        <v>5016</v>
      </c>
      <c r="B3446" s="20" t="s">
        <v>5191</v>
      </c>
      <c r="C3446" s="20" t="s">
        <v>5192</v>
      </c>
      <c r="D3446" s="378" t="s">
        <v>5216</v>
      </c>
      <c r="E3446" s="384">
        <v>45135</v>
      </c>
      <c r="F3446" s="384">
        <v>46962</v>
      </c>
      <c r="G3446" s="378" t="s">
        <v>439</v>
      </c>
      <c r="H3446" s="378" t="s">
        <v>5194</v>
      </c>
      <c r="I3446" s="378" t="s">
        <v>162</v>
      </c>
      <c r="J3446" s="20" t="s">
        <v>163</v>
      </c>
      <c r="K3446" s="378" t="s">
        <v>5195</v>
      </c>
      <c r="L3446" s="378" t="s">
        <v>2848</v>
      </c>
      <c r="M3446" s="381"/>
      <c r="N3446" s="381">
        <v>9.7899999999999991</v>
      </c>
      <c r="O3446" s="380"/>
      <c r="P3446" s="380"/>
      <c r="Q3446" s="381">
        <v>2880.4746962206332</v>
      </c>
      <c r="R3446" s="381">
        <v>2880.4902962206334</v>
      </c>
      <c r="S3446" s="381">
        <v>-1.5599999999999999E-2</v>
      </c>
      <c r="T3446" s="381"/>
      <c r="U3446" s="381"/>
      <c r="V3446" s="382">
        <v>2880.4902962206334</v>
      </c>
      <c r="W3446" s="382">
        <v>0</v>
      </c>
      <c r="X3446" s="381">
        <v>2.8804746962206331</v>
      </c>
      <c r="Y3446" s="381">
        <v>2.8804902962206334</v>
      </c>
      <c r="Z3446" s="381">
        <v>-1.56E-5</v>
      </c>
      <c r="AA3446" s="381">
        <v>0</v>
      </c>
      <c r="AB3446" s="381">
        <v>0</v>
      </c>
      <c r="AC3446" s="382">
        <v>2.8804902962206334</v>
      </c>
      <c r="AD3446" s="382">
        <v>0</v>
      </c>
      <c r="AE3446" s="381" t="s">
        <v>168</v>
      </c>
    </row>
    <row r="3447" spans="1:31" ht="15" customHeight="1" x14ac:dyDescent="0.25">
      <c r="A3447" s="20" t="s">
        <v>5016</v>
      </c>
      <c r="B3447" s="20" t="s">
        <v>5191</v>
      </c>
      <c r="C3447" s="20" t="s">
        <v>5192</v>
      </c>
      <c r="D3447" s="378" t="s">
        <v>5217</v>
      </c>
      <c r="E3447" s="384">
        <v>45135</v>
      </c>
      <c r="F3447" s="384">
        <v>46962</v>
      </c>
      <c r="G3447" s="378" t="s">
        <v>439</v>
      </c>
      <c r="H3447" s="378" t="s">
        <v>5194</v>
      </c>
      <c r="I3447" s="378" t="s">
        <v>162</v>
      </c>
      <c r="J3447" s="20" t="s">
        <v>163</v>
      </c>
      <c r="K3447" s="378" t="s">
        <v>5195</v>
      </c>
      <c r="L3447" s="378" t="s">
        <v>2848</v>
      </c>
      <c r="M3447" s="381"/>
      <c r="N3447" s="381">
        <v>12.15</v>
      </c>
      <c r="O3447" s="380"/>
      <c r="P3447" s="380"/>
      <c r="Q3447" s="381">
        <v>2831.2620201646091</v>
      </c>
      <c r="R3447" s="381">
        <v>2831.2757201646091</v>
      </c>
      <c r="S3447" s="381">
        <v>-1.37E-2</v>
      </c>
      <c r="T3447" s="381"/>
      <c r="U3447" s="381"/>
      <c r="V3447" s="382">
        <v>2831.2757201646091</v>
      </c>
      <c r="W3447" s="382">
        <v>0</v>
      </c>
      <c r="X3447" s="381">
        <v>2.8312620201646093</v>
      </c>
      <c r="Y3447" s="381">
        <v>2.831275720164609</v>
      </c>
      <c r="Z3447" s="381">
        <v>-1.3700000000000001E-5</v>
      </c>
      <c r="AA3447" s="381">
        <v>0</v>
      </c>
      <c r="AB3447" s="381">
        <v>0</v>
      </c>
      <c r="AC3447" s="382">
        <v>2.831275720164609</v>
      </c>
      <c r="AD3447" s="382">
        <v>0</v>
      </c>
      <c r="AE3447" s="381" t="s">
        <v>168</v>
      </c>
    </row>
    <row r="3448" spans="1:31" ht="15" customHeight="1" x14ac:dyDescent="0.25">
      <c r="A3448" s="20" t="s">
        <v>5016</v>
      </c>
      <c r="B3448" s="20" t="s">
        <v>5191</v>
      </c>
      <c r="C3448" s="20" t="s">
        <v>5192</v>
      </c>
      <c r="D3448" s="378" t="s">
        <v>5218</v>
      </c>
      <c r="E3448" s="384">
        <v>45135</v>
      </c>
      <c r="F3448" s="384">
        <v>46962</v>
      </c>
      <c r="G3448" s="378" t="s">
        <v>439</v>
      </c>
      <c r="H3448" s="378" t="s">
        <v>5194</v>
      </c>
      <c r="I3448" s="378" t="s">
        <v>162</v>
      </c>
      <c r="J3448" s="20" t="s">
        <v>163</v>
      </c>
      <c r="K3448" s="378" t="s">
        <v>5195</v>
      </c>
      <c r="L3448" s="378" t="s">
        <v>2848</v>
      </c>
      <c r="M3448" s="381"/>
      <c r="N3448" s="381">
        <v>15.29</v>
      </c>
      <c r="O3448" s="380"/>
      <c r="P3448" s="380"/>
      <c r="Q3448" s="381">
        <v>2786.123528580772</v>
      </c>
      <c r="R3448" s="381">
        <v>2786.1347285807719</v>
      </c>
      <c r="S3448" s="381">
        <v>-1.12E-2</v>
      </c>
      <c r="T3448" s="381"/>
      <c r="U3448" s="381"/>
      <c r="V3448" s="382">
        <v>2786.1347285807719</v>
      </c>
      <c r="W3448" s="382">
        <v>0</v>
      </c>
      <c r="X3448" s="381">
        <v>2.7861235285807719</v>
      </c>
      <c r="Y3448" s="381">
        <v>2.7861347285807718</v>
      </c>
      <c r="Z3448" s="381">
        <v>-1.1199999999999999E-5</v>
      </c>
      <c r="AA3448" s="381">
        <v>0</v>
      </c>
      <c r="AB3448" s="381">
        <v>0</v>
      </c>
      <c r="AC3448" s="382">
        <v>2.7861347285807718</v>
      </c>
      <c r="AD3448" s="382">
        <v>0</v>
      </c>
      <c r="AE3448" s="381" t="s">
        <v>168</v>
      </c>
    </row>
    <row r="3449" spans="1:31" ht="15" customHeight="1" x14ac:dyDescent="0.25">
      <c r="A3449" s="20" t="s">
        <v>5016</v>
      </c>
      <c r="B3449" s="20" t="s">
        <v>5191</v>
      </c>
      <c r="C3449" s="20" t="s">
        <v>5192</v>
      </c>
      <c r="D3449" s="378" t="s">
        <v>5219</v>
      </c>
      <c r="E3449" s="384">
        <v>45135</v>
      </c>
      <c r="F3449" s="384">
        <v>46962</v>
      </c>
      <c r="G3449" s="378" t="s">
        <v>439</v>
      </c>
      <c r="H3449" s="378" t="s">
        <v>5194</v>
      </c>
      <c r="I3449" s="378" t="s">
        <v>162</v>
      </c>
      <c r="J3449" s="20" t="s">
        <v>163</v>
      </c>
      <c r="K3449" s="378" t="s">
        <v>5195</v>
      </c>
      <c r="L3449" s="378" t="s">
        <v>2848</v>
      </c>
      <c r="M3449" s="381"/>
      <c r="N3449" s="381">
        <v>19.21</v>
      </c>
      <c r="O3449" s="380"/>
      <c r="P3449" s="380"/>
      <c r="Q3449" s="381">
        <v>2753.7659660020818</v>
      </c>
      <c r="R3449" s="381">
        <v>2753.774076002082</v>
      </c>
      <c r="S3449" s="381">
        <v>-8.1099999999999992E-3</v>
      </c>
      <c r="T3449" s="381"/>
      <c r="U3449" s="381"/>
      <c r="V3449" s="382">
        <v>2753.774076002082</v>
      </c>
      <c r="W3449" s="382">
        <v>0</v>
      </c>
      <c r="X3449" s="381">
        <v>2.7537659660020819</v>
      </c>
      <c r="Y3449" s="381">
        <v>2.7537740760020819</v>
      </c>
      <c r="Z3449" s="381">
        <v>-8.1099999999999986E-6</v>
      </c>
      <c r="AA3449" s="381">
        <v>0</v>
      </c>
      <c r="AB3449" s="381">
        <v>0</v>
      </c>
      <c r="AC3449" s="382">
        <v>2.7537740760020819</v>
      </c>
      <c r="AD3449" s="382">
        <v>0</v>
      </c>
      <c r="AE3449" s="381" t="s">
        <v>168</v>
      </c>
    </row>
    <row r="3450" spans="1:31" ht="15" customHeight="1" x14ac:dyDescent="0.25">
      <c r="A3450" s="20" t="s">
        <v>5016</v>
      </c>
      <c r="B3450" s="20" t="s">
        <v>5220</v>
      </c>
      <c r="C3450" s="20" t="s">
        <v>5192</v>
      </c>
      <c r="D3450" s="378" t="s">
        <v>5221</v>
      </c>
      <c r="E3450" s="384">
        <v>45071</v>
      </c>
      <c r="F3450" s="384">
        <v>46898</v>
      </c>
      <c r="G3450" s="378" t="s">
        <v>439</v>
      </c>
      <c r="H3450" s="378" t="s">
        <v>5222</v>
      </c>
      <c r="I3450" s="378" t="s">
        <v>162</v>
      </c>
      <c r="J3450" s="20" t="s">
        <v>163</v>
      </c>
      <c r="K3450" s="378" t="s">
        <v>5223</v>
      </c>
      <c r="L3450" s="378" t="s">
        <v>2848</v>
      </c>
      <c r="M3450" s="381"/>
      <c r="N3450" s="381">
        <v>5.08</v>
      </c>
      <c r="O3450" s="380"/>
      <c r="P3450" s="380"/>
      <c r="Q3450" s="381">
        <v>3051.1743723622044</v>
      </c>
      <c r="R3450" s="381">
        <v>3051.1811023622045</v>
      </c>
      <c r="S3450" s="381">
        <v>-6.7299999999999999E-3</v>
      </c>
      <c r="T3450" s="381"/>
      <c r="U3450" s="381"/>
      <c r="V3450" s="382">
        <v>3051.1811023622045</v>
      </c>
      <c r="W3450" s="382">
        <v>0</v>
      </c>
      <c r="X3450" s="381">
        <v>3.0511743723622042</v>
      </c>
      <c r="Y3450" s="381">
        <v>3.0511811023622046</v>
      </c>
      <c r="Z3450" s="381">
        <v>-6.7299999999999999E-6</v>
      </c>
      <c r="AA3450" s="381">
        <v>0</v>
      </c>
      <c r="AB3450" s="381">
        <v>0</v>
      </c>
      <c r="AC3450" s="382">
        <v>3.0511811023622046</v>
      </c>
      <c r="AD3450" s="382">
        <v>0</v>
      </c>
      <c r="AE3450" s="381" t="s">
        <v>168</v>
      </c>
    </row>
    <row r="3451" spans="1:31" ht="15" customHeight="1" x14ac:dyDescent="0.25">
      <c r="A3451" s="20" t="s">
        <v>5016</v>
      </c>
      <c r="B3451" s="20" t="s">
        <v>5220</v>
      </c>
      <c r="C3451" s="20" t="s">
        <v>5192</v>
      </c>
      <c r="D3451" s="378" t="s">
        <v>5224</v>
      </c>
      <c r="E3451" s="384">
        <v>45071</v>
      </c>
      <c r="F3451" s="384">
        <v>46898</v>
      </c>
      <c r="G3451" s="378" t="s">
        <v>439</v>
      </c>
      <c r="H3451" s="378" t="s">
        <v>5222</v>
      </c>
      <c r="I3451" s="378" t="s">
        <v>162</v>
      </c>
      <c r="J3451" s="20" t="s">
        <v>163</v>
      </c>
      <c r="K3451" s="378" t="s">
        <v>5223</v>
      </c>
      <c r="L3451" s="378" t="s">
        <v>2848</v>
      </c>
      <c r="M3451" s="381"/>
      <c r="N3451" s="381">
        <v>6.26</v>
      </c>
      <c r="O3451" s="380"/>
      <c r="P3451" s="380"/>
      <c r="Q3451" s="381">
        <v>2955.2657754952074</v>
      </c>
      <c r="R3451" s="381">
        <v>2955.2715654952076</v>
      </c>
      <c r="S3451" s="381">
        <v>-5.79E-3</v>
      </c>
      <c r="T3451" s="381"/>
      <c r="U3451" s="381"/>
      <c r="V3451" s="382">
        <v>2955.2715654952076</v>
      </c>
      <c r="W3451" s="382">
        <v>0</v>
      </c>
      <c r="X3451" s="381">
        <v>2.9552657754952074</v>
      </c>
      <c r="Y3451" s="381">
        <v>2.9552715654952078</v>
      </c>
      <c r="Z3451" s="381">
        <v>-5.7899999999999996E-6</v>
      </c>
      <c r="AA3451" s="381">
        <v>0</v>
      </c>
      <c r="AB3451" s="381">
        <v>0</v>
      </c>
      <c r="AC3451" s="382">
        <v>2.9552715654952078</v>
      </c>
      <c r="AD3451" s="382">
        <v>0</v>
      </c>
      <c r="AE3451" s="381" t="s">
        <v>168</v>
      </c>
    </row>
    <row r="3452" spans="1:31" ht="15" customHeight="1" x14ac:dyDescent="0.25">
      <c r="A3452" s="20" t="s">
        <v>5016</v>
      </c>
      <c r="B3452" s="20" t="s">
        <v>5220</v>
      </c>
      <c r="C3452" s="20" t="s">
        <v>5192</v>
      </c>
      <c r="D3452" s="378" t="s">
        <v>5225</v>
      </c>
      <c r="E3452" s="384">
        <v>45071</v>
      </c>
      <c r="F3452" s="384">
        <v>46898</v>
      </c>
      <c r="G3452" s="378" t="s">
        <v>439</v>
      </c>
      <c r="H3452" s="378" t="s">
        <v>5222</v>
      </c>
      <c r="I3452" s="378" t="s">
        <v>162</v>
      </c>
      <c r="J3452" s="20" t="s">
        <v>163</v>
      </c>
      <c r="K3452" s="378" t="s">
        <v>5223</v>
      </c>
      <c r="L3452" s="378" t="s">
        <v>2848</v>
      </c>
      <c r="M3452" s="381"/>
      <c r="N3452" s="381">
        <v>7.44</v>
      </c>
      <c r="O3452" s="380"/>
      <c r="P3452" s="380"/>
      <c r="Q3452" s="381">
        <v>2903.2209564516133</v>
      </c>
      <c r="R3452" s="381">
        <v>2903.2258064516132</v>
      </c>
      <c r="S3452" s="381">
        <v>-4.8500000000000001E-3</v>
      </c>
      <c r="T3452" s="381"/>
      <c r="U3452" s="381"/>
      <c r="V3452" s="382">
        <v>2903.2258064516132</v>
      </c>
      <c r="W3452" s="382">
        <v>0</v>
      </c>
      <c r="X3452" s="381">
        <v>2.9032209564516132</v>
      </c>
      <c r="Y3452" s="381">
        <v>2.903225806451613</v>
      </c>
      <c r="Z3452" s="381">
        <v>-4.8500000000000002E-6</v>
      </c>
      <c r="AA3452" s="381">
        <v>0</v>
      </c>
      <c r="AB3452" s="381">
        <v>0</v>
      </c>
      <c r="AC3452" s="382">
        <v>2.903225806451613</v>
      </c>
      <c r="AD3452" s="382">
        <v>0</v>
      </c>
      <c r="AE3452" s="381" t="s">
        <v>168</v>
      </c>
    </row>
    <row r="3453" spans="1:31" ht="15" customHeight="1" x14ac:dyDescent="0.25">
      <c r="A3453" s="20" t="s">
        <v>5016</v>
      </c>
      <c r="B3453" s="20" t="s">
        <v>5220</v>
      </c>
      <c r="C3453" s="20" t="s">
        <v>5192</v>
      </c>
      <c r="D3453" s="378" t="s">
        <v>5226</v>
      </c>
      <c r="E3453" s="384">
        <v>45071</v>
      </c>
      <c r="F3453" s="384">
        <v>46898</v>
      </c>
      <c r="G3453" s="378" t="s">
        <v>439</v>
      </c>
      <c r="H3453" s="378" t="s">
        <v>5222</v>
      </c>
      <c r="I3453" s="378" t="s">
        <v>162</v>
      </c>
      <c r="J3453" s="20" t="s">
        <v>163</v>
      </c>
      <c r="K3453" s="378" t="s">
        <v>5223</v>
      </c>
      <c r="L3453" s="378" t="s">
        <v>2848</v>
      </c>
      <c r="M3453" s="381"/>
      <c r="N3453" s="381">
        <v>5.08</v>
      </c>
      <c r="O3453" s="380"/>
      <c r="P3453" s="380"/>
      <c r="Q3453" s="381">
        <v>3346.4511729133856</v>
      </c>
      <c r="R3453" s="381">
        <v>3346.4566929133857</v>
      </c>
      <c r="S3453" s="381">
        <v>-5.5199999999999997E-3</v>
      </c>
      <c r="T3453" s="381"/>
      <c r="U3453" s="381"/>
      <c r="V3453" s="382">
        <v>3346.4566929133857</v>
      </c>
      <c r="W3453" s="382">
        <v>0</v>
      </c>
      <c r="X3453" s="381">
        <v>3.3464511729133855</v>
      </c>
      <c r="Y3453" s="381">
        <v>3.3464566929133857</v>
      </c>
      <c r="Z3453" s="381">
        <v>-5.5199999999999997E-6</v>
      </c>
      <c r="AA3453" s="381">
        <v>0</v>
      </c>
      <c r="AB3453" s="381">
        <v>0</v>
      </c>
      <c r="AC3453" s="382">
        <v>3.3464566929133857</v>
      </c>
      <c r="AD3453" s="382">
        <v>0</v>
      </c>
      <c r="AE3453" s="381" t="s">
        <v>168</v>
      </c>
    </row>
    <row r="3454" spans="1:31" ht="15" customHeight="1" x14ac:dyDescent="0.25">
      <c r="A3454" s="20" t="s">
        <v>5016</v>
      </c>
      <c r="B3454" s="20" t="s">
        <v>5191</v>
      </c>
      <c r="C3454" s="20" t="s">
        <v>5192</v>
      </c>
      <c r="D3454" s="378" t="s">
        <v>5227</v>
      </c>
      <c r="E3454" s="384">
        <v>45135</v>
      </c>
      <c r="F3454" s="384">
        <v>46962</v>
      </c>
      <c r="G3454" s="378" t="s">
        <v>439</v>
      </c>
      <c r="H3454" s="378" t="s">
        <v>5194</v>
      </c>
      <c r="I3454" s="378" t="s">
        <v>162</v>
      </c>
      <c r="J3454" s="20" t="s">
        <v>163</v>
      </c>
      <c r="K3454" s="378" t="s">
        <v>5195</v>
      </c>
      <c r="L3454" s="378" t="s">
        <v>2848</v>
      </c>
      <c r="M3454" s="381"/>
      <c r="N3454" s="381">
        <v>23.92</v>
      </c>
      <c r="O3454" s="380"/>
      <c r="P3454" s="380"/>
      <c r="Q3454" s="381">
        <v>2725.7481483612037</v>
      </c>
      <c r="R3454" s="381">
        <v>2725.7525083612036</v>
      </c>
      <c r="S3454" s="381">
        <v>-4.3600000000000002E-3</v>
      </c>
      <c r="T3454" s="381"/>
      <c r="U3454" s="381"/>
      <c r="V3454" s="382">
        <v>2725.7525083612036</v>
      </c>
      <c r="W3454" s="382">
        <v>0</v>
      </c>
      <c r="X3454" s="381">
        <v>2.7257481483612036</v>
      </c>
      <c r="Y3454" s="381">
        <v>2.7257525083612038</v>
      </c>
      <c r="Z3454" s="381">
        <v>-4.3599999999999998E-6</v>
      </c>
      <c r="AA3454" s="381">
        <v>0</v>
      </c>
      <c r="AB3454" s="381">
        <v>0</v>
      </c>
      <c r="AC3454" s="382">
        <v>2.7257525083612038</v>
      </c>
      <c r="AD3454" s="382">
        <v>0</v>
      </c>
      <c r="AE3454" s="381" t="s">
        <v>168</v>
      </c>
    </row>
    <row r="3455" spans="1:31" ht="15" customHeight="1" x14ac:dyDescent="0.25">
      <c r="A3455" s="20" t="s">
        <v>5016</v>
      </c>
      <c r="B3455" s="20" t="s">
        <v>5220</v>
      </c>
      <c r="C3455" s="20" t="s">
        <v>5192</v>
      </c>
      <c r="D3455" s="378" t="s">
        <v>5228</v>
      </c>
      <c r="E3455" s="384">
        <v>45071</v>
      </c>
      <c r="F3455" s="384">
        <v>46898</v>
      </c>
      <c r="G3455" s="378" t="s">
        <v>439</v>
      </c>
      <c r="H3455" s="378" t="s">
        <v>5222</v>
      </c>
      <c r="I3455" s="378" t="s">
        <v>162</v>
      </c>
      <c r="J3455" s="20" t="s">
        <v>163</v>
      </c>
      <c r="K3455" s="378" t="s">
        <v>5223</v>
      </c>
      <c r="L3455" s="378" t="s">
        <v>2848</v>
      </c>
      <c r="M3455" s="381"/>
      <c r="N3455" s="381">
        <v>8.2200000000000006</v>
      </c>
      <c r="O3455" s="380"/>
      <c r="P3455" s="380"/>
      <c r="Q3455" s="381">
        <v>2883.2074488321164</v>
      </c>
      <c r="R3455" s="381">
        <v>2883.2116788321164</v>
      </c>
      <c r="S3455" s="381">
        <v>-4.2300000000000003E-3</v>
      </c>
      <c r="T3455" s="381"/>
      <c r="U3455" s="381"/>
      <c r="V3455" s="382">
        <v>2883.2116788321164</v>
      </c>
      <c r="W3455" s="382">
        <v>0</v>
      </c>
      <c r="X3455" s="381">
        <v>2.8832074488321164</v>
      </c>
      <c r="Y3455" s="381">
        <v>2.8832116788321165</v>
      </c>
      <c r="Z3455" s="381">
        <v>-4.2300000000000002E-6</v>
      </c>
      <c r="AA3455" s="381">
        <v>0</v>
      </c>
      <c r="AB3455" s="381">
        <v>0</v>
      </c>
      <c r="AC3455" s="382">
        <v>2.8832116788321165</v>
      </c>
      <c r="AD3455" s="382">
        <v>0</v>
      </c>
      <c r="AE3455" s="381" t="s">
        <v>168</v>
      </c>
    </row>
    <row r="3456" spans="1:31" ht="15" customHeight="1" x14ac:dyDescent="0.25">
      <c r="A3456" s="20" t="s">
        <v>5016</v>
      </c>
      <c r="B3456" s="20" t="s">
        <v>5220</v>
      </c>
      <c r="C3456" s="20" t="s">
        <v>5192</v>
      </c>
      <c r="D3456" s="378" t="s">
        <v>5229</v>
      </c>
      <c r="E3456" s="384">
        <v>45071</v>
      </c>
      <c r="F3456" s="384">
        <v>46898</v>
      </c>
      <c r="G3456" s="378" t="s">
        <v>439</v>
      </c>
      <c r="H3456" s="378" t="s">
        <v>5222</v>
      </c>
      <c r="I3456" s="378" t="s">
        <v>162</v>
      </c>
      <c r="J3456" s="20" t="s">
        <v>163</v>
      </c>
      <c r="K3456" s="378" t="s">
        <v>5223</v>
      </c>
      <c r="L3456" s="378" t="s">
        <v>2848</v>
      </c>
      <c r="M3456" s="381"/>
      <c r="N3456" s="381">
        <v>8.2200000000000006</v>
      </c>
      <c r="O3456" s="380"/>
      <c r="P3456" s="380"/>
      <c r="Q3456" s="381">
        <v>2883.2074488321164</v>
      </c>
      <c r="R3456" s="381">
        <v>2883.2116788321164</v>
      </c>
      <c r="S3456" s="381">
        <v>-4.2300000000000003E-3</v>
      </c>
      <c r="T3456" s="381"/>
      <c r="U3456" s="381"/>
      <c r="V3456" s="382">
        <v>2883.2116788321164</v>
      </c>
      <c r="W3456" s="382">
        <v>0</v>
      </c>
      <c r="X3456" s="381">
        <v>2.8832074488321164</v>
      </c>
      <c r="Y3456" s="381">
        <v>2.8832116788321165</v>
      </c>
      <c r="Z3456" s="381">
        <v>-4.2300000000000002E-6</v>
      </c>
      <c r="AA3456" s="381">
        <v>0</v>
      </c>
      <c r="AB3456" s="381">
        <v>0</v>
      </c>
      <c r="AC3456" s="382">
        <v>2.8832116788321165</v>
      </c>
      <c r="AD3456" s="382">
        <v>0</v>
      </c>
      <c r="AE3456" s="381" t="s">
        <v>168</v>
      </c>
    </row>
    <row r="3457" spans="1:31" ht="15" customHeight="1" x14ac:dyDescent="0.25">
      <c r="A3457" s="20" t="s">
        <v>5016</v>
      </c>
      <c r="B3457" s="20" t="s">
        <v>5220</v>
      </c>
      <c r="C3457" s="20" t="s">
        <v>5192</v>
      </c>
      <c r="D3457" s="378" t="s">
        <v>5230</v>
      </c>
      <c r="E3457" s="384">
        <v>45071</v>
      </c>
      <c r="F3457" s="384">
        <v>46898</v>
      </c>
      <c r="G3457" s="378" t="s">
        <v>439</v>
      </c>
      <c r="H3457" s="378" t="s">
        <v>5222</v>
      </c>
      <c r="I3457" s="378" t="s">
        <v>162</v>
      </c>
      <c r="J3457" s="20" t="s">
        <v>163</v>
      </c>
      <c r="K3457" s="378" t="s">
        <v>5223</v>
      </c>
      <c r="L3457" s="378" t="s">
        <v>2848</v>
      </c>
      <c r="M3457" s="381"/>
      <c r="N3457" s="381">
        <v>6.26</v>
      </c>
      <c r="O3457" s="380"/>
      <c r="P3457" s="380"/>
      <c r="Q3457" s="381">
        <v>3194.8835989137383</v>
      </c>
      <c r="R3457" s="381">
        <v>3194.8881789137381</v>
      </c>
      <c r="S3457" s="381">
        <v>-4.5799999999999999E-3</v>
      </c>
      <c r="T3457" s="381"/>
      <c r="U3457" s="381"/>
      <c r="V3457" s="382">
        <v>3194.8881789137381</v>
      </c>
      <c r="W3457" s="382">
        <v>0</v>
      </c>
      <c r="X3457" s="381">
        <v>3.1948835989137381</v>
      </c>
      <c r="Y3457" s="381">
        <v>3.1948881789137382</v>
      </c>
      <c r="Z3457" s="381">
        <v>-4.5800000000000002E-6</v>
      </c>
      <c r="AA3457" s="381">
        <v>0</v>
      </c>
      <c r="AB3457" s="381">
        <v>0</v>
      </c>
      <c r="AC3457" s="382">
        <v>3.1948881789137382</v>
      </c>
      <c r="AD3457" s="382">
        <v>0</v>
      </c>
      <c r="AE3457" s="381" t="s">
        <v>168</v>
      </c>
    </row>
    <row r="3458" spans="1:31" ht="15" customHeight="1" x14ac:dyDescent="0.25">
      <c r="A3458" s="20" t="s">
        <v>5016</v>
      </c>
      <c r="B3458" s="20" t="s">
        <v>5220</v>
      </c>
      <c r="C3458" s="20" t="s">
        <v>5192</v>
      </c>
      <c r="D3458" s="378" t="s">
        <v>5231</v>
      </c>
      <c r="E3458" s="384">
        <v>45071</v>
      </c>
      <c r="F3458" s="384">
        <v>46898</v>
      </c>
      <c r="G3458" s="378" t="s">
        <v>439</v>
      </c>
      <c r="H3458" s="378" t="s">
        <v>5222</v>
      </c>
      <c r="I3458" s="378" t="s">
        <v>162</v>
      </c>
      <c r="J3458" s="20" t="s">
        <v>163</v>
      </c>
      <c r="K3458" s="378" t="s">
        <v>5223</v>
      </c>
      <c r="L3458" s="378" t="s">
        <v>2848</v>
      </c>
      <c r="M3458" s="381"/>
      <c r="N3458" s="381">
        <v>7.44</v>
      </c>
      <c r="O3458" s="380"/>
      <c r="P3458" s="380"/>
      <c r="Q3458" s="381">
        <v>3104.8350696774196</v>
      </c>
      <c r="R3458" s="381">
        <v>3104.8387096774195</v>
      </c>
      <c r="S3458" s="381">
        <v>-3.64E-3</v>
      </c>
      <c r="T3458" s="381"/>
      <c r="U3458" s="381"/>
      <c r="V3458" s="382">
        <v>3104.8387096774195</v>
      </c>
      <c r="W3458" s="382">
        <v>0</v>
      </c>
      <c r="X3458" s="381">
        <v>3.1048350696774194</v>
      </c>
      <c r="Y3458" s="381">
        <v>3.1048387096774195</v>
      </c>
      <c r="Z3458" s="381">
        <v>-3.6399999999999999E-6</v>
      </c>
      <c r="AA3458" s="381">
        <v>0</v>
      </c>
      <c r="AB3458" s="381">
        <v>0</v>
      </c>
      <c r="AC3458" s="382">
        <v>3.1048387096774195</v>
      </c>
      <c r="AD3458" s="382">
        <v>0</v>
      </c>
      <c r="AE3458" s="381" t="s">
        <v>168</v>
      </c>
    </row>
    <row r="3459" spans="1:31" ht="15" customHeight="1" x14ac:dyDescent="0.25">
      <c r="A3459" s="20" t="s">
        <v>5016</v>
      </c>
      <c r="B3459" s="20" t="s">
        <v>5198</v>
      </c>
      <c r="C3459" s="20" t="s">
        <v>5192</v>
      </c>
      <c r="D3459" s="378" t="s">
        <v>5232</v>
      </c>
      <c r="E3459" s="384">
        <v>45071</v>
      </c>
      <c r="F3459" s="384">
        <v>46898</v>
      </c>
      <c r="G3459" s="378" t="s">
        <v>439</v>
      </c>
      <c r="H3459" s="378" t="s">
        <v>5200</v>
      </c>
      <c r="I3459" s="378" t="s">
        <v>162</v>
      </c>
      <c r="J3459" s="20" t="s">
        <v>163</v>
      </c>
      <c r="K3459" s="378" t="s">
        <v>5201</v>
      </c>
      <c r="L3459" s="378" t="s">
        <v>2848</v>
      </c>
      <c r="M3459" s="381"/>
      <c r="N3459" s="381">
        <v>3.45</v>
      </c>
      <c r="O3459" s="380"/>
      <c r="P3459" s="380"/>
      <c r="Q3459" s="381">
        <v>3246.3734615942026</v>
      </c>
      <c r="R3459" s="381">
        <v>3246.3768115942025</v>
      </c>
      <c r="S3459" s="381">
        <v>-3.3500000000000001E-3</v>
      </c>
      <c r="T3459" s="381"/>
      <c r="U3459" s="381"/>
      <c r="V3459" s="382">
        <v>3246.3768115942025</v>
      </c>
      <c r="W3459" s="382">
        <v>0</v>
      </c>
      <c r="X3459" s="381">
        <v>3.2463734615942026</v>
      </c>
      <c r="Y3459" s="381">
        <v>3.2463768115942027</v>
      </c>
      <c r="Z3459" s="381">
        <v>-3.3500000000000001E-6</v>
      </c>
      <c r="AA3459" s="381">
        <v>0</v>
      </c>
      <c r="AB3459" s="381">
        <v>0</v>
      </c>
      <c r="AC3459" s="382">
        <v>3.2463768115942027</v>
      </c>
      <c r="AD3459" s="382">
        <v>0</v>
      </c>
      <c r="AE3459" s="381" t="s">
        <v>168</v>
      </c>
    </row>
    <row r="3460" spans="1:31" ht="15" customHeight="1" x14ac:dyDescent="0.25">
      <c r="A3460" s="20" t="s">
        <v>5016</v>
      </c>
      <c r="B3460" s="20" t="s">
        <v>5198</v>
      </c>
      <c r="C3460" s="20" t="s">
        <v>5192</v>
      </c>
      <c r="D3460" s="378" t="s">
        <v>5233</v>
      </c>
      <c r="E3460" s="384">
        <v>45071</v>
      </c>
      <c r="F3460" s="384">
        <v>46898</v>
      </c>
      <c r="G3460" s="378" t="s">
        <v>439</v>
      </c>
      <c r="H3460" s="378" t="s">
        <v>5200</v>
      </c>
      <c r="I3460" s="378" t="s">
        <v>162</v>
      </c>
      <c r="J3460" s="20" t="s">
        <v>163</v>
      </c>
      <c r="K3460" s="378" t="s">
        <v>5201</v>
      </c>
      <c r="L3460" s="378" t="s">
        <v>2848</v>
      </c>
      <c r="M3460" s="381"/>
      <c r="N3460" s="381">
        <v>3.92</v>
      </c>
      <c r="O3460" s="380"/>
      <c r="P3460" s="380"/>
      <c r="Q3460" s="381">
        <v>3163.2623261224489</v>
      </c>
      <c r="R3460" s="381">
        <v>3163.2653061224491</v>
      </c>
      <c r="S3460" s="381">
        <v>-2.98E-3</v>
      </c>
      <c r="T3460" s="381"/>
      <c r="U3460" s="381"/>
      <c r="V3460" s="382">
        <v>3163.2653061224491</v>
      </c>
      <c r="W3460" s="382">
        <v>0</v>
      </c>
      <c r="X3460" s="381">
        <v>3.1632623261224491</v>
      </c>
      <c r="Y3460" s="381">
        <v>3.1632653061224492</v>
      </c>
      <c r="Z3460" s="381">
        <v>-2.9799999999999998E-6</v>
      </c>
      <c r="AA3460" s="381">
        <v>0</v>
      </c>
      <c r="AB3460" s="381">
        <v>0</v>
      </c>
      <c r="AC3460" s="382">
        <v>3.1632653061224492</v>
      </c>
      <c r="AD3460" s="382">
        <v>0</v>
      </c>
      <c r="AE3460" s="381" t="s">
        <v>168</v>
      </c>
    </row>
    <row r="3461" spans="1:31" ht="15" customHeight="1" x14ac:dyDescent="0.25">
      <c r="A3461" s="20" t="s">
        <v>5016</v>
      </c>
      <c r="B3461" s="20" t="s">
        <v>5198</v>
      </c>
      <c r="C3461" s="20" t="s">
        <v>5192</v>
      </c>
      <c r="D3461" s="378" t="s">
        <v>5234</v>
      </c>
      <c r="E3461" s="384">
        <v>45071</v>
      </c>
      <c r="F3461" s="384">
        <v>46898</v>
      </c>
      <c r="G3461" s="378" t="s">
        <v>439</v>
      </c>
      <c r="H3461" s="378" t="s">
        <v>5200</v>
      </c>
      <c r="I3461" s="378" t="s">
        <v>162</v>
      </c>
      <c r="J3461" s="20" t="s">
        <v>163</v>
      </c>
      <c r="K3461" s="378" t="s">
        <v>5201</v>
      </c>
      <c r="L3461" s="378" t="s">
        <v>2848</v>
      </c>
      <c r="M3461" s="381"/>
      <c r="N3461" s="381">
        <v>4.47</v>
      </c>
      <c r="O3461" s="380"/>
      <c r="P3461" s="380"/>
      <c r="Q3461" s="381">
        <v>3109.6171468008952</v>
      </c>
      <c r="R3461" s="381">
        <v>3109.6196868008951</v>
      </c>
      <c r="S3461" s="381">
        <v>-2.5400000000000002E-3</v>
      </c>
      <c r="T3461" s="381"/>
      <c r="U3461" s="381"/>
      <c r="V3461" s="382">
        <v>3109.6196868008951</v>
      </c>
      <c r="W3461" s="382">
        <v>0</v>
      </c>
      <c r="X3461" s="381">
        <v>3.1096171468008951</v>
      </c>
      <c r="Y3461" s="381">
        <v>3.1096196868008952</v>
      </c>
      <c r="Z3461" s="381">
        <v>-2.5400000000000002E-6</v>
      </c>
      <c r="AA3461" s="381">
        <v>0</v>
      </c>
      <c r="AB3461" s="381">
        <v>0</v>
      </c>
      <c r="AC3461" s="382">
        <v>3.1096196868008952</v>
      </c>
      <c r="AD3461" s="382">
        <v>0</v>
      </c>
      <c r="AE3461" s="381" t="s">
        <v>168</v>
      </c>
    </row>
    <row r="3462" spans="1:31" ht="15" customHeight="1" x14ac:dyDescent="0.25">
      <c r="A3462" s="20" t="s">
        <v>5016</v>
      </c>
      <c r="B3462" s="20" t="s">
        <v>5198</v>
      </c>
      <c r="C3462" s="20" t="s">
        <v>5192</v>
      </c>
      <c r="D3462" s="378" t="s">
        <v>5235</v>
      </c>
      <c r="E3462" s="384">
        <v>45071</v>
      </c>
      <c r="F3462" s="384">
        <v>46898</v>
      </c>
      <c r="G3462" s="378" t="s">
        <v>439</v>
      </c>
      <c r="H3462" s="378" t="s">
        <v>5200</v>
      </c>
      <c r="I3462" s="378" t="s">
        <v>162</v>
      </c>
      <c r="J3462" s="20" t="s">
        <v>163</v>
      </c>
      <c r="K3462" s="378" t="s">
        <v>5201</v>
      </c>
      <c r="L3462" s="378" t="s">
        <v>2848</v>
      </c>
      <c r="M3462" s="381"/>
      <c r="N3462" s="381">
        <v>4.87</v>
      </c>
      <c r="O3462" s="380"/>
      <c r="P3462" s="380"/>
      <c r="Q3462" s="381">
        <v>3059.5460346201235</v>
      </c>
      <c r="R3462" s="381">
        <v>3059.5482546201233</v>
      </c>
      <c r="S3462" s="381">
        <v>-2.2200000000000002E-3</v>
      </c>
      <c r="T3462" s="381"/>
      <c r="U3462" s="381"/>
      <c r="V3462" s="382">
        <v>3059.5482546201233</v>
      </c>
      <c r="W3462" s="382">
        <v>0</v>
      </c>
      <c r="X3462" s="381">
        <v>3.0595460346201233</v>
      </c>
      <c r="Y3462" s="381">
        <v>3.0595482546201231</v>
      </c>
      <c r="Z3462" s="381">
        <v>-2.2200000000000003E-6</v>
      </c>
      <c r="AA3462" s="381">
        <v>0</v>
      </c>
      <c r="AB3462" s="381">
        <v>0</v>
      </c>
      <c r="AC3462" s="382">
        <v>3.0595482546201231</v>
      </c>
      <c r="AD3462" s="382">
        <v>0</v>
      </c>
      <c r="AE3462" s="381" t="s">
        <v>168</v>
      </c>
    </row>
    <row r="3463" spans="1:31" ht="15" customHeight="1" x14ac:dyDescent="0.25">
      <c r="A3463" s="20" t="s">
        <v>5016</v>
      </c>
      <c r="B3463" s="20" t="s">
        <v>5198</v>
      </c>
      <c r="C3463" s="20" t="s">
        <v>5192</v>
      </c>
      <c r="D3463" s="378" t="s">
        <v>5236</v>
      </c>
      <c r="E3463" s="384">
        <v>45071</v>
      </c>
      <c r="F3463" s="384">
        <v>46898</v>
      </c>
      <c r="G3463" s="378" t="s">
        <v>439</v>
      </c>
      <c r="H3463" s="378" t="s">
        <v>5200</v>
      </c>
      <c r="I3463" s="378" t="s">
        <v>162</v>
      </c>
      <c r="J3463" s="20" t="s">
        <v>163</v>
      </c>
      <c r="K3463" s="378" t="s">
        <v>5201</v>
      </c>
      <c r="L3463" s="378" t="s">
        <v>2848</v>
      </c>
      <c r="M3463" s="381"/>
      <c r="N3463" s="381">
        <v>6.04</v>
      </c>
      <c r="O3463" s="380"/>
      <c r="P3463" s="380"/>
      <c r="Q3463" s="381">
        <v>2980.131160331126</v>
      </c>
      <c r="R3463" s="381">
        <v>2980.1324503311262</v>
      </c>
      <c r="S3463" s="381">
        <v>-1.2899999999999999E-3</v>
      </c>
      <c r="T3463" s="381"/>
      <c r="U3463" s="381"/>
      <c r="V3463" s="382">
        <v>2980.1324503311262</v>
      </c>
      <c r="W3463" s="382">
        <v>0</v>
      </c>
      <c r="X3463" s="381">
        <v>2.9801311603311258</v>
      </c>
      <c r="Y3463" s="381">
        <v>2.9801324503311259</v>
      </c>
      <c r="Z3463" s="381">
        <v>-1.2899999999999999E-6</v>
      </c>
      <c r="AA3463" s="381">
        <v>0</v>
      </c>
      <c r="AB3463" s="381">
        <v>0</v>
      </c>
      <c r="AC3463" s="382">
        <v>2.9801324503311259</v>
      </c>
      <c r="AD3463" s="382">
        <v>0</v>
      </c>
      <c r="AE3463" s="381" t="s">
        <v>168</v>
      </c>
    </row>
    <row r="3464" spans="1:31" ht="15" customHeight="1" x14ac:dyDescent="0.25">
      <c r="A3464" s="20" t="s">
        <v>5016</v>
      </c>
      <c r="B3464" s="20" t="s">
        <v>5220</v>
      </c>
      <c r="C3464" s="20" t="s">
        <v>5192</v>
      </c>
      <c r="D3464" s="378" t="s">
        <v>5237</v>
      </c>
      <c r="E3464" s="384">
        <v>45071</v>
      </c>
      <c r="F3464" s="384">
        <v>46898</v>
      </c>
      <c r="G3464" s="378" t="s">
        <v>439</v>
      </c>
      <c r="H3464" s="378" t="s">
        <v>5222</v>
      </c>
      <c r="I3464" s="378" t="s">
        <v>162</v>
      </c>
      <c r="J3464" s="20" t="s">
        <v>163</v>
      </c>
      <c r="K3464" s="378" t="s">
        <v>5223</v>
      </c>
      <c r="L3464" s="378" t="s">
        <v>2848</v>
      </c>
      <c r="M3464" s="381"/>
      <c r="N3464" s="381">
        <v>12.14</v>
      </c>
      <c r="O3464" s="380"/>
      <c r="P3464" s="380"/>
      <c r="Q3464" s="381">
        <v>2792.4206462932452</v>
      </c>
      <c r="R3464" s="381">
        <v>2792.4217462932452</v>
      </c>
      <c r="S3464" s="381">
        <v>-1.1000000000000001E-3</v>
      </c>
      <c r="T3464" s="381"/>
      <c r="U3464" s="381"/>
      <c r="V3464" s="382">
        <v>2792.4217462932452</v>
      </c>
      <c r="W3464" s="382">
        <v>0</v>
      </c>
      <c r="X3464" s="381">
        <v>2.792420646293245</v>
      </c>
      <c r="Y3464" s="381">
        <v>2.792421746293245</v>
      </c>
      <c r="Z3464" s="381">
        <v>-1.1000000000000001E-6</v>
      </c>
      <c r="AA3464" s="381">
        <v>0</v>
      </c>
      <c r="AB3464" s="381">
        <v>0</v>
      </c>
      <c r="AC3464" s="382">
        <v>2.792421746293245</v>
      </c>
      <c r="AD3464" s="382">
        <v>0</v>
      </c>
      <c r="AE3464" s="381" t="s">
        <v>168</v>
      </c>
    </row>
    <row r="3465" spans="1:31" ht="15" customHeight="1" x14ac:dyDescent="0.25">
      <c r="A3465" s="20" t="s">
        <v>5016</v>
      </c>
      <c r="B3465" s="20" t="s">
        <v>5198</v>
      </c>
      <c r="C3465" s="20" t="s">
        <v>5192</v>
      </c>
      <c r="D3465" s="378" t="s">
        <v>5238</v>
      </c>
      <c r="E3465" s="384">
        <v>45071</v>
      </c>
      <c r="F3465" s="384">
        <v>46898</v>
      </c>
      <c r="G3465" s="378" t="s">
        <v>439</v>
      </c>
      <c r="H3465" s="378" t="s">
        <v>5200</v>
      </c>
      <c r="I3465" s="378" t="s">
        <v>162</v>
      </c>
      <c r="J3465" s="20" t="s">
        <v>163</v>
      </c>
      <c r="K3465" s="378" t="s">
        <v>5201</v>
      </c>
      <c r="L3465" s="378" t="s">
        <v>2848</v>
      </c>
      <c r="M3465" s="381"/>
      <c r="N3465" s="381">
        <v>7.61</v>
      </c>
      <c r="O3465" s="380"/>
      <c r="P3465" s="380"/>
      <c r="Q3465" s="381">
        <v>2904.0735502850193</v>
      </c>
      <c r="R3465" s="381">
        <v>2904.0735873850194</v>
      </c>
      <c r="S3465" s="381">
        <v>-3.7100000000000001E-5</v>
      </c>
      <c r="T3465" s="381"/>
      <c r="U3465" s="381"/>
      <c r="V3465" s="382">
        <v>2904.0735873850194</v>
      </c>
      <c r="W3465" s="382">
        <v>0</v>
      </c>
      <c r="X3465" s="381">
        <v>2.9040735502850192</v>
      </c>
      <c r="Y3465" s="381">
        <v>2.9040735873850196</v>
      </c>
      <c r="Z3465" s="381">
        <v>-3.7100000000000001E-8</v>
      </c>
      <c r="AA3465" s="381">
        <v>0</v>
      </c>
      <c r="AB3465" s="381">
        <v>0</v>
      </c>
      <c r="AC3465" s="382">
        <v>2.9040735873850196</v>
      </c>
      <c r="AD3465" s="382">
        <v>0</v>
      </c>
      <c r="AE3465" s="381" t="s">
        <v>168</v>
      </c>
    </row>
    <row r="3466" spans="1:31" ht="15" customHeight="1" x14ac:dyDescent="0.25">
      <c r="A3466" s="20" t="s">
        <v>5016</v>
      </c>
      <c r="B3466" s="20" t="s">
        <v>5220</v>
      </c>
      <c r="C3466" s="20" t="s">
        <v>5192</v>
      </c>
      <c r="D3466" s="378" t="s">
        <v>5239</v>
      </c>
      <c r="E3466" s="384">
        <v>45071</v>
      </c>
      <c r="F3466" s="384">
        <v>46898</v>
      </c>
      <c r="G3466" s="378" t="s">
        <v>439</v>
      </c>
      <c r="H3466" s="378" t="s">
        <v>5222</v>
      </c>
      <c r="I3466" s="378" t="s">
        <v>162</v>
      </c>
      <c r="J3466" s="20" t="s">
        <v>163</v>
      </c>
      <c r="K3466" s="378" t="s">
        <v>5223</v>
      </c>
      <c r="L3466" s="378" t="s">
        <v>2848</v>
      </c>
      <c r="M3466" s="381"/>
      <c r="N3466" s="381">
        <v>12.14</v>
      </c>
      <c r="O3466" s="380"/>
      <c r="P3466" s="380"/>
      <c r="Q3466" s="381">
        <v>2915.9803396425041</v>
      </c>
      <c r="R3466" s="381">
        <v>2915.980230642504</v>
      </c>
      <c r="S3466" s="381">
        <v>1.0900000000000001E-4</v>
      </c>
      <c r="T3466" s="381"/>
      <c r="U3466" s="381"/>
      <c r="V3466" s="382">
        <v>2915.9803396425041</v>
      </c>
      <c r="W3466" s="382">
        <v>0</v>
      </c>
      <c r="X3466" s="381">
        <v>2.9159803396425041</v>
      </c>
      <c r="Y3466" s="381">
        <v>2.915980230642504</v>
      </c>
      <c r="Z3466" s="381">
        <v>1.0900000000000001E-7</v>
      </c>
      <c r="AA3466" s="381">
        <v>0</v>
      </c>
      <c r="AB3466" s="381">
        <v>0</v>
      </c>
      <c r="AC3466" s="382">
        <v>2.9159803396425041</v>
      </c>
      <c r="AD3466" s="382">
        <v>0</v>
      </c>
      <c r="AE3466" s="381" t="s">
        <v>168</v>
      </c>
    </row>
    <row r="3467" spans="1:31" ht="15" customHeight="1" x14ac:dyDescent="0.25">
      <c r="A3467" s="20" t="s">
        <v>5016</v>
      </c>
      <c r="B3467" s="20" t="s">
        <v>5198</v>
      </c>
      <c r="C3467" s="20" t="s">
        <v>5192</v>
      </c>
      <c r="D3467" s="378" t="s">
        <v>5240</v>
      </c>
      <c r="E3467" s="384">
        <v>45071</v>
      </c>
      <c r="F3467" s="384">
        <v>46898</v>
      </c>
      <c r="G3467" s="378" t="s">
        <v>439</v>
      </c>
      <c r="H3467" s="378" t="s">
        <v>5200</v>
      </c>
      <c r="I3467" s="378" t="s">
        <v>162</v>
      </c>
      <c r="J3467" s="20" t="s">
        <v>163</v>
      </c>
      <c r="K3467" s="378" t="s">
        <v>5201</v>
      </c>
      <c r="L3467" s="378" t="s">
        <v>2848</v>
      </c>
      <c r="M3467" s="381"/>
      <c r="N3467" s="381">
        <v>8.01</v>
      </c>
      <c r="O3467" s="380"/>
      <c r="P3467" s="380"/>
      <c r="Q3467" s="381">
        <v>2883.8954060861424</v>
      </c>
      <c r="R3467" s="381">
        <v>2883.8951310861426</v>
      </c>
      <c r="S3467" s="381">
        <v>2.7500000000000002E-4</v>
      </c>
      <c r="T3467" s="381"/>
      <c r="U3467" s="381"/>
      <c r="V3467" s="382">
        <v>2883.8954060861424</v>
      </c>
      <c r="W3467" s="382">
        <v>0</v>
      </c>
      <c r="X3467" s="381">
        <v>2.8838954060861424</v>
      </c>
      <c r="Y3467" s="381">
        <v>2.8838951310861427</v>
      </c>
      <c r="Z3467" s="381">
        <v>2.7500000000000001E-7</v>
      </c>
      <c r="AA3467" s="381">
        <v>0</v>
      </c>
      <c r="AB3467" s="381">
        <v>0</v>
      </c>
      <c r="AC3467" s="382">
        <v>2.8838954060861428</v>
      </c>
      <c r="AD3467" s="382">
        <v>0</v>
      </c>
      <c r="AE3467" s="381" t="s">
        <v>168</v>
      </c>
    </row>
    <row r="3468" spans="1:31" ht="15" customHeight="1" x14ac:dyDescent="0.25">
      <c r="A3468" s="20" t="s">
        <v>5016</v>
      </c>
      <c r="B3468" s="20" t="s">
        <v>5198</v>
      </c>
      <c r="C3468" s="20" t="s">
        <v>5192</v>
      </c>
      <c r="D3468" s="378" t="s">
        <v>5241</v>
      </c>
      <c r="E3468" s="384">
        <v>45071</v>
      </c>
      <c r="F3468" s="384">
        <v>46898</v>
      </c>
      <c r="G3468" s="378" t="s">
        <v>439</v>
      </c>
      <c r="H3468" s="378" t="s">
        <v>5200</v>
      </c>
      <c r="I3468" s="378" t="s">
        <v>162</v>
      </c>
      <c r="J3468" s="20" t="s">
        <v>163</v>
      </c>
      <c r="K3468" s="378" t="s">
        <v>5201</v>
      </c>
      <c r="L3468" s="378" t="s">
        <v>2848</v>
      </c>
      <c r="M3468" s="381"/>
      <c r="N3468" s="381">
        <v>9.18</v>
      </c>
      <c r="O3468" s="380"/>
      <c r="P3468" s="380"/>
      <c r="Q3468" s="381">
        <v>2854.0317110893243</v>
      </c>
      <c r="R3468" s="381">
        <v>2854.0305010893244</v>
      </c>
      <c r="S3468" s="381">
        <v>1.2099999999999999E-3</v>
      </c>
      <c r="T3468" s="381"/>
      <c r="U3468" s="381"/>
      <c r="V3468" s="382">
        <v>2854.0317110893243</v>
      </c>
      <c r="W3468" s="382">
        <v>0</v>
      </c>
      <c r="X3468" s="381">
        <v>2.8540317110893243</v>
      </c>
      <c r="Y3468" s="381">
        <v>2.8540305010893245</v>
      </c>
      <c r="Z3468" s="381">
        <v>1.2099999999999998E-6</v>
      </c>
      <c r="AA3468" s="381">
        <v>0</v>
      </c>
      <c r="AB3468" s="381">
        <v>0</v>
      </c>
      <c r="AC3468" s="382">
        <v>2.8540317110893247</v>
      </c>
      <c r="AD3468" s="382">
        <v>0</v>
      </c>
      <c r="AE3468" s="381" t="s">
        <v>168</v>
      </c>
    </row>
    <row r="3469" spans="1:31" ht="15" customHeight="1" x14ac:dyDescent="0.25">
      <c r="A3469" s="20" t="s">
        <v>5016</v>
      </c>
      <c r="B3469" s="20" t="s">
        <v>5198</v>
      </c>
      <c r="C3469" s="20" t="s">
        <v>5192</v>
      </c>
      <c r="D3469" s="378" t="s">
        <v>5242</v>
      </c>
      <c r="E3469" s="384">
        <v>45071</v>
      </c>
      <c r="F3469" s="384">
        <v>46898</v>
      </c>
      <c r="G3469" s="378" t="s">
        <v>439</v>
      </c>
      <c r="H3469" s="378" t="s">
        <v>5200</v>
      </c>
      <c r="I3469" s="378" t="s">
        <v>162</v>
      </c>
      <c r="J3469" s="20" t="s">
        <v>163</v>
      </c>
      <c r="K3469" s="378" t="s">
        <v>5201</v>
      </c>
      <c r="L3469" s="378" t="s">
        <v>2848</v>
      </c>
      <c r="M3469" s="381"/>
      <c r="N3469" s="381">
        <v>9.58</v>
      </c>
      <c r="O3469" s="380"/>
      <c r="P3469" s="380"/>
      <c r="Q3469" s="381">
        <v>2839.2499642379958</v>
      </c>
      <c r="R3469" s="381">
        <v>2839.2484342379958</v>
      </c>
      <c r="S3469" s="381">
        <v>1.5299999999999999E-3</v>
      </c>
      <c r="T3469" s="381"/>
      <c r="U3469" s="381"/>
      <c r="V3469" s="382">
        <v>2839.2499642379958</v>
      </c>
      <c r="W3469" s="382">
        <v>0</v>
      </c>
      <c r="X3469" s="381">
        <v>2.8392499642379958</v>
      </c>
      <c r="Y3469" s="381">
        <v>2.8392484342379958</v>
      </c>
      <c r="Z3469" s="381">
        <v>1.53E-6</v>
      </c>
      <c r="AA3469" s="381">
        <v>0</v>
      </c>
      <c r="AB3469" s="381">
        <v>0</v>
      </c>
      <c r="AC3469" s="382">
        <v>2.8392499642379958</v>
      </c>
      <c r="AD3469" s="382">
        <v>0</v>
      </c>
      <c r="AE3469" s="381" t="s">
        <v>168</v>
      </c>
    </row>
    <row r="3470" spans="1:31" ht="15" customHeight="1" x14ac:dyDescent="0.25">
      <c r="A3470" s="20" t="s">
        <v>5016</v>
      </c>
      <c r="B3470" s="20" t="s">
        <v>5198</v>
      </c>
      <c r="C3470" s="20" t="s">
        <v>5192</v>
      </c>
      <c r="D3470" s="378" t="s">
        <v>5243</v>
      </c>
      <c r="E3470" s="384">
        <v>45071</v>
      </c>
      <c r="F3470" s="384">
        <v>46898</v>
      </c>
      <c r="G3470" s="378" t="s">
        <v>439</v>
      </c>
      <c r="H3470" s="378" t="s">
        <v>5200</v>
      </c>
      <c r="I3470" s="378" t="s">
        <v>162</v>
      </c>
      <c r="J3470" s="20" t="s">
        <v>163</v>
      </c>
      <c r="K3470" s="378" t="s">
        <v>5201</v>
      </c>
      <c r="L3470" s="378" t="s">
        <v>2848</v>
      </c>
      <c r="M3470" s="381"/>
      <c r="N3470" s="381">
        <v>11.93</v>
      </c>
      <c r="O3470" s="380"/>
      <c r="P3470" s="380"/>
      <c r="Q3470" s="381">
        <v>2799.6681108130765</v>
      </c>
      <c r="R3470" s="381">
        <v>2799.6647108130765</v>
      </c>
      <c r="S3470" s="381">
        <v>3.3999999999999998E-3</v>
      </c>
      <c r="T3470" s="381"/>
      <c r="U3470" s="381"/>
      <c r="V3470" s="382">
        <v>2799.6681108130765</v>
      </c>
      <c r="W3470" s="382">
        <v>0</v>
      </c>
      <c r="X3470" s="381">
        <v>2.7996681108130765</v>
      </c>
      <c r="Y3470" s="381">
        <v>2.7996647108130763</v>
      </c>
      <c r="Z3470" s="381">
        <v>3.3999999999999996E-6</v>
      </c>
      <c r="AA3470" s="381">
        <v>0</v>
      </c>
      <c r="AB3470" s="381">
        <v>0</v>
      </c>
      <c r="AC3470" s="382">
        <v>2.7996681108130765</v>
      </c>
      <c r="AD3470" s="382">
        <v>0</v>
      </c>
      <c r="AE3470" s="381" t="s">
        <v>168</v>
      </c>
    </row>
    <row r="3471" spans="1:31" ht="15" customHeight="1" x14ac:dyDescent="0.25">
      <c r="A3471" s="20" t="s">
        <v>5016</v>
      </c>
      <c r="B3471" s="20" t="s">
        <v>5198</v>
      </c>
      <c r="C3471" s="20" t="s">
        <v>5192</v>
      </c>
      <c r="D3471" s="378" t="s">
        <v>5244</v>
      </c>
      <c r="E3471" s="384">
        <v>45071</v>
      </c>
      <c r="F3471" s="384">
        <v>46898</v>
      </c>
      <c r="G3471" s="378" t="s">
        <v>439</v>
      </c>
      <c r="H3471" s="378" t="s">
        <v>5200</v>
      </c>
      <c r="I3471" s="378" t="s">
        <v>162</v>
      </c>
      <c r="J3471" s="20" t="s">
        <v>163</v>
      </c>
      <c r="K3471" s="378" t="s">
        <v>5201</v>
      </c>
      <c r="L3471" s="378" t="s">
        <v>2848</v>
      </c>
      <c r="M3471" s="381"/>
      <c r="N3471" s="381">
        <v>12.72</v>
      </c>
      <c r="O3471" s="380"/>
      <c r="P3471" s="380"/>
      <c r="Q3471" s="381">
        <v>2783.022897924528</v>
      </c>
      <c r="R3471" s="381">
        <v>2783.018867924528</v>
      </c>
      <c r="S3471" s="381">
        <v>4.0299999999999997E-3</v>
      </c>
      <c r="T3471" s="381"/>
      <c r="U3471" s="381"/>
      <c r="V3471" s="382">
        <v>2783.022897924528</v>
      </c>
      <c r="W3471" s="382">
        <v>0</v>
      </c>
      <c r="X3471" s="381">
        <v>2.7830228979245279</v>
      </c>
      <c r="Y3471" s="381">
        <v>2.783018867924528</v>
      </c>
      <c r="Z3471" s="381">
        <v>4.0299999999999995E-6</v>
      </c>
      <c r="AA3471" s="381">
        <v>0</v>
      </c>
      <c r="AB3471" s="381">
        <v>0</v>
      </c>
      <c r="AC3471" s="382">
        <v>2.7830228979245279</v>
      </c>
      <c r="AD3471" s="382">
        <v>0</v>
      </c>
      <c r="AE3471" s="381" t="s">
        <v>168</v>
      </c>
    </row>
    <row r="3472" spans="1:31" ht="15" customHeight="1" x14ac:dyDescent="0.25">
      <c r="A3472" s="20" t="s">
        <v>5016</v>
      </c>
      <c r="B3472" s="20" t="s">
        <v>5245</v>
      </c>
      <c r="C3472" s="20" t="s">
        <v>5192</v>
      </c>
      <c r="D3472" s="378" t="s">
        <v>5246</v>
      </c>
      <c r="E3472" s="384">
        <v>44137</v>
      </c>
      <c r="F3472" s="384">
        <v>45963</v>
      </c>
      <c r="G3472" s="378" t="s">
        <v>439</v>
      </c>
      <c r="H3472" s="20" t="s">
        <v>5247</v>
      </c>
      <c r="I3472" s="378">
        <v>0</v>
      </c>
      <c r="J3472" s="20" t="s">
        <v>2831</v>
      </c>
      <c r="K3472" s="378" t="s">
        <v>5248</v>
      </c>
      <c r="L3472" s="378" t="s">
        <v>2848</v>
      </c>
      <c r="M3472" s="380" t="s">
        <v>443</v>
      </c>
      <c r="N3472" s="380" t="s">
        <v>443</v>
      </c>
      <c r="O3472" s="380" t="s">
        <v>443</v>
      </c>
      <c r="P3472" s="380" t="s">
        <v>443</v>
      </c>
      <c r="Q3472" s="381">
        <v>2940</v>
      </c>
      <c r="R3472" s="381">
        <v>0</v>
      </c>
      <c r="S3472" s="381">
        <v>0</v>
      </c>
      <c r="T3472" s="381">
        <v>0</v>
      </c>
      <c r="U3472" s="381">
        <v>0</v>
      </c>
      <c r="V3472" s="382">
        <v>2940</v>
      </c>
      <c r="W3472" s="382">
        <v>0</v>
      </c>
      <c r="X3472" s="381">
        <v>2.94</v>
      </c>
      <c r="Y3472" s="381">
        <v>0</v>
      </c>
      <c r="Z3472" s="381">
        <v>0</v>
      </c>
      <c r="AA3472" s="381">
        <v>0</v>
      </c>
      <c r="AB3472" s="381">
        <v>0</v>
      </c>
      <c r="AC3472" s="382">
        <v>2.94</v>
      </c>
      <c r="AD3472" s="382">
        <v>0</v>
      </c>
      <c r="AE3472" s="381" t="s">
        <v>168</v>
      </c>
    </row>
    <row r="3473" spans="1:31" ht="15" customHeight="1" x14ac:dyDescent="0.25">
      <c r="A3473" s="20" t="s">
        <v>5016</v>
      </c>
      <c r="B3473" s="20" t="s">
        <v>5245</v>
      </c>
      <c r="C3473" s="20" t="s">
        <v>5192</v>
      </c>
      <c r="D3473" s="378" t="s">
        <v>5249</v>
      </c>
      <c r="E3473" s="384">
        <v>44137</v>
      </c>
      <c r="F3473" s="384">
        <v>45963</v>
      </c>
      <c r="G3473" s="378" t="s">
        <v>439</v>
      </c>
      <c r="H3473" s="20" t="s">
        <v>5247</v>
      </c>
      <c r="I3473" s="378">
        <v>0</v>
      </c>
      <c r="J3473" s="20" t="s">
        <v>2831</v>
      </c>
      <c r="K3473" s="378" t="s">
        <v>5248</v>
      </c>
      <c r="L3473" s="378" t="s">
        <v>2848</v>
      </c>
      <c r="M3473" s="380" t="s">
        <v>443</v>
      </c>
      <c r="N3473" s="380" t="s">
        <v>443</v>
      </c>
      <c r="O3473" s="380" t="s">
        <v>443</v>
      </c>
      <c r="P3473" s="380" t="s">
        <v>443</v>
      </c>
      <c r="Q3473" s="381">
        <v>3140</v>
      </c>
      <c r="R3473" s="381">
        <v>0</v>
      </c>
      <c r="S3473" s="381">
        <v>0</v>
      </c>
      <c r="T3473" s="381">
        <v>0</v>
      </c>
      <c r="U3473" s="381">
        <v>0</v>
      </c>
      <c r="V3473" s="382">
        <v>3140</v>
      </c>
      <c r="W3473" s="382">
        <v>0</v>
      </c>
      <c r="X3473" s="381">
        <v>3.14</v>
      </c>
      <c r="Y3473" s="381">
        <v>0</v>
      </c>
      <c r="Z3473" s="381">
        <v>0</v>
      </c>
      <c r="AA3473" s="381">
        <v>0</v>
      </c>
      <c r="AB3473" s="381">
        <v>0</v>
      </c>
      <c r="AC3473" s="382">
        <v>3.14</v>
      </c>
      <c r="AD3473" s="382">
        <v>0</v>
      </c>
      <c r="AE3473" s="381" t="s">
        <v>168</v>
      </c>
    </row>
    <row r="3474" spans="1:31" ht="15" customHeight="1" x14ac:dyDescent="0.25">
      <c r="A3474" s="20" t="s">
        <v>5016</v>
      </c>
      <c r="B3474" s="20" t="s">
        <v>5245</v>
      </c>
      <c r="C3474" s="20" t="s">
        <v>5192</v>
      </c>
      <c r="D3474" s="378" t="s">
        <v>5250</v>
      </c>
      <c r="E3474" s="384">
        <v>44137</v>
      </c>
      <c r="F3474" s="384">
        <v>45963</v>
      </c>
      <c r="G3474" s="378" t="s">
        <v>439</v>
      </c>
      <c r="H3474" s="20" t="s">
        <v>5247</v>
      </c>
      <c r="I3474" s="378">
        <v>0</v>
      </c>
      <c r="J3474" s="20" t="s">
        <v>2831</v>
      </c>
      <c r="K3474" s="378" t="s">
        <v>5248</v>
      </c>
      <c r="L3474" s="378" t="s">
        <v>2848</v>
      </c>
      <c r="M3474" s="380" t="s">
        <v>443</v>
      </c>
      <c r="N3474" s="380" t="s">
        <v>443</v>
      </c>
      <c r="O3474" s="380" t="s">
        <v>443</v>
      </c>
      <c r="P3474" s="380" t="s">
        <v>443</v>
      </c>
      <c r="Q3474" s="381">
        <v>3090</v>
      </c>
      <c r="R3474" s="381">
        <v>0</v>
      </c>
      <c r="S3474" s="381">
        <v>0</v>
      </c>
      <c r="T3474" s="381">
        <v>0</v>
      </c>
      <c r="U3474" s="381">
        <v>0</v>
      </c>
      <c r="V3474" s="382">
        <v>3090</v>
      </c>
      <c r="W3474" s="382">
        <v>0</v>
      </c>
      <c r="X3474" s="381">
        <v>3.09</v>
      </c>
      <c r="Y3474" s="381">
        <v>0</v>
      </c>
      <c r="Z3474" s="381">
        <v>0</v>
      </c>
      <c r="AA3474" s="381">
        <v>0</v>
      </c>
      <c r="AB3474" s="381">
        <v>0</v>
      </c>
      <c r="AC3474" s="382">
        <v>3.09</v>
      </c>
      <c r="AD3474" s="382">
        <v>0</v>
      </c>
      <c r="AE3474" s="381" t="s">
        <v>168</v>
      </c>
    </row>
    <row r="3475" spans="1:31" ht="15" customHeight="1" x14ac:dyDescent="0.25">
      <c r="A3475" s="20" t="s">
        <v>5016</v>
      </c>
      <c r="B3475" s="20" t="s">
        <v>5245</v>
      </c>
      <c r="C3475" s="20" t="s">
        <v>5192</v>
      </c>
      <c r="D3475" s="378" t="s">
        <v>5251</v>
      </c>
      <c r="E3475" s="384">
        <v>44137</v>
      </c>
      <c r="F3475" s="384">
        <v>45963</v>
      </c>
      <c r="G3475" s="378" t="s">
        <v>439</v>
      </c>
      <c r="H3475" s="20" t="s">
        <v>5247</v>
      </c>
      <c r="I3475" s="378">
        <v>0</v>
      </c>
      <c r="J3475" s="20" t="s">
        <v>2831</v>
      </c>
      <c r="K3475" s="378" t="s">
        <v>5248</v>
      </c>
      <c r="L3475" s="378" t="s">
        <v>2848</v>
      </c>
      <c r="M3475" s="380" t="s">
        <v>443</v>
      </c>
      <c r="N3475" s="380" t="s">
        <v>443</v>
      </c>
      <c r="O3475" s="380" t="s">
        <v>443</v>
      </c>
      <c r="P3475" s="380" t="s">
        <v>443</v>
      </c>
      <c r="Q3475" s="381">
        <v>3860</v>
      </c>
      <c r="R3475" s="381">
        <v>0</v>
      </c>
      <c r="S3475" s="381">
        <v>0</v>
      </c>
      <c r="T3475" s="381">
        <v>0</v>
      </c>
      <c r="U3475" s="381">
        <v>0</v>
      </c>
      <c r="V3475" s="382">
        <v>3860</v>
      </c>
      <c r="W3475" s="382">
        <v>0</v>
      </c>
      <c r="X3475" s="381">
        <v>3.86</v>
      </c>
      <c r="Y3475" s="381">
        <v>0</v>
      </c>
      <c r="Z3475" s="381">
        <v>0</v>
      </c>
      <c r="AA3475" s="381">
        <v>0</v>
      </c>
      <c r="AB3475" s="381">
        <v>0</v>
      </c>
      <c r="AC3475" s="382">
        <v>3.86</v>
      </c>
      <c r="AD3475" s="382">
        <v>0</v>
      </c>
      <c r="AE3475" s="381" t="s">
        <v>168</v>
      </c>
    </row>
    <row r="3476" spans="1:31" ht="15" customHeight="1" x14ac:dyDescent="0.25">
      <c r="A3476" s="20" t="s">
        <v>5016</v>
      </c>
      <c r="B3476" s="20" t="s">
        <v>5245</v>
      </c>
      <c r="C3476" s="20" t="s">
        <v>5192</v>
      </c>
      <c r="D3476" s="378" t="s">
        <v>5252</v>
      </c>
      <c r="E3476" s="384">
        <v>44137</v>
      </c>
      <c r="F3476" s="384">
        <v>45963</v>
      </c>
      <c r="G3476" s="378" t="s">
        <v>439</v>
      </c>
      <c r="H3476" s="20" t="s">
        <v>5247</v>
      </c>
      <c r="I3476" s="378">
        <v>0</v>
      </c>
      <c r="J3476" s="20" t="s">
        <v>2831</v>
      </c>
      <c r="K3476" s="378" t="s">
        <v>5248</v>
      </c>
      <c r="L3476" s="378" t="s">
        <v>2848</v>
      </c>
      <c r="M3476" s="380" t="s">
        <v>443</v>
      </c>
      <c r="N3476" s="380" t="s">
        <v>443</v>
      </c>
      <c r="O3476" s="380" t="s">
        <v>443</v>
      </c>
      <c r="P3476" s="380" t="s">
        <v>443</v>
      </c>
      <c r="Q3476" s="381">
        <v>3430</v>
      </c>
      <c r="R3476" s="381">
        <v>0</v>
      </c>
      <c r="S3476" s="381">
        <v>0</v>
      </c>
      <c r="T3476" s="381">
        <v>0</v>
      </c>
      <c r="U3476" s="381">
        <v>0</v>
      </c>
      <c r="V3476" s="382">
        <v>3430</v>
      </c>
      <c r="W3476" s="382">
        <v>0</v>
      </c>
      <c r="X3476" s="381">
        <v>3.43</v>
      </c>
      <c r="Y3476" s="381">
        <v>0</v>
      </c>
      <c r="Z3476" s="381">
        <v>0</v>
      </c>
      <c r="AA3476" s="381">
        <v>0</v>
      </c>
      <c r="AB3476" s="381">
        <v>0</v>
      </c>
      <c r="AC3476" s="382">
        <v>3.43</v>
      </c>
      <c r="AD3476" s="382">
        <v>0</v>
      </c>
      <c r="AE3476" s="381" t="s">
        <v>168</v>
      </c>
    </row>
    <row r="3477" spans="1:31" ht="15" customHeight="1" x14ac:dyDescent="0.25">
      <c r="A3477" s="20" t="s">
        <v>5016</v>
      </c>
      <c r="B3477" s="20" t="s">
        <v>5253</v>
      </c>
      <c r="C3477" s="20" t="s">
        <v>5254</v>
      </c>
      <c r="D3477" s="378" t="s">
        <v>5255</v>
      </c>
      <c r="E3477" s="384">
        <v>44162</v>
      </c>
      <c r="F3477" s="384">
        <v>45988</v>
      </c>
      <c r="G3477" s="378" t="s">
        <v>439</v>
      </c>
      <c r="H3477" s="378" t="s">
        <v>5256</v>
      </c>
      <c r="I3477" s="378" t="s">
        <v>162</v>
      </c>
      <c r="J3477" s="20" t="s">
        <v>163</v>
      </c>
      <c r="K3477" s="378" t="s">
        <v>5257</v>
      </c>
      <c r="L3477" s="378" t="s">
        <v>2848</v>
      </c>
      <c r="M3477" s="381"/>
      <c r="N3477" s="381"/>
      <c r="O3477" s="380"/>
      <c r="P3477" s="380"/>
      <c r="Q3477" s="381">
        <v>2567.4</v>
      </c>
      <c r="R3477" s="381">
        <v>2590</v>
      </c>
      <c r="S3477" s="381">
        <v>-22.599999999999998</v>
      </c>
      <c r="T3477" s="381"/>
      <c r="U3477" s="381"/>
      <c r="V3477" s="382">
        <v>2590</v>
      </c>
      <c r="W3477" s="382">
        <v>0</v>
      </c>
      <c r="X3477" s="381">
        <v>2.5674000000000001</v>
      </c>
      <c r="Y3477" s="381">
        <v>2.59</v>
      </c>
      <c r="Z3477" s="381">
        <v>-2.2599999999999999E-2</v>
      </c>
      <c r="AA3477" s="381">
        <v>0</v>
      </c>
      <c r="AB3477" s="381">
        <v>0</v>
      </c>
      <c r="AC3477" s="382">
        <v>2.59</v>
      </c>
      <c r="AD3477" s="382">
        <v>0</v>
      </c>
      <c r="AE3477" s="381" t="s">
        <v>168</v>
      </c>
    </row>
    <row r="3478" spans="1:31" ht="15" customHeight="1" x14ac:dyDescent="0.25">
      <c r="A3478" s="20" t="s">
        <v>5016</v>
      </c>
      <c r="B3478" s="20" t="s">
        <v>5253</v>
      </c>
      <c r="C3478" s="20" t="s">
        <v>5254</v>
      </c>
      <c r="D3478" s="378" t="s">
        <v>5258</v>
      </c>
      <c r="E3478" s="384">
        <v>44162</v>
      </c>
      <c r="F3478" s="384">
        <v>45988</v>
      </c>
      <c r="G3478" s="378" t="s">
        <v>439</v>
      </c>
      <c r="H3478" s="378" t="s">
        <v>5259</v>
      </c>
      <c r="I3478" s="378" t="s">
        <v>162</v>
      </c>
      <c r="J3478" s="20" t="s">
        <v>163</v>
      </c>
      <c r="K3478" s="378" t="s">
        <v>5257</v>
      </c>
      <c r="L3478" s="378" t="s">
        <v>2848</v>
      </c>
      <c r="M3478" s="381"/>
      <c r="N3478" s="381"/>
      <c r="O3478" s="380"/>
      <c r="P3478" s="380"/>
      <c r="Q3478" s="381">
        <v>2617.4</v>
      </c>
      <c r="R3478" s="381">
        <v>2640</v>
      </c>
      <c r="S3478" s="381">
        <v>-22.599999999999998</v>
      </c>
      <c r="T3478" s="381"/>
      <c r="U3478" s="381"/>
      <c r="V3478" s="382">
        <v>2640</v>
      </c>
      <c r="W3478" s="382">
        <v>0</v>
      </c>
      <c r="X3478" s="381">
        <v>2.6173999999999999</v>
      </c>
      <c r="Y3478" s="381">
        <v>2.64</v>
      </c>
      <c r="Z3478" s="381">
        <v>-2.2599999999999999E-2</v>
      </c>
      <c r="AA3478" s="381">
        <v>0</v>
      </c>
      <c r="AB3478" s="381">
        <v>0</v>
      </c>
      <c r="AC3478" s="382">
        <v>2.64</v>
      </c>
      <c r="AD3478" s="382">
        <v>0</v>
      </c>
      <c r="AE3478" s="381" t="s">
        <v>168</v>
      </c>
    </row>
    <row r="3479" spans="1:31" ht="15" customHeight="1" x14ac:dyDescent="0.25">
      <c r="A3479" s="20" t="s">
        <v>5016</v>
      </c>
      <c r="B3479" s="20" t="s">
        <v>5253</v>
      </c>
      <c r="C3479" s="20" t="s">
        <v>5254</v>
      </c>
      <c r="D3479" s="378" t="s">
        <v>5260</v>
      </c>
      <c r="E3479" s="384">
        <v>44162</v>
      </c>
      <c r="F3479" s="384">
        <v>45988</v>
      </c>
      <c r="G3479" s="378" t="s">
        <v>439</v>
      </c>
      <c r="H3479" s="378" t="s">
        <v>4771</v>
      </c>
      <c r="I3479" s="378" t="s">
        <v>162</v>
      </c>
      <c r="J3479" s="20" t="s">
        <v>163</v>
      </c>
      <c r="K3479" s="378" t="s">
        <v>5257</v>
      </c>
      <c r="L3479" s="378" t="s">
        <v>2848</v>
      </c>
      <c r="M3479" s="381"/>
      <c r="N3479" s="381"/>
      <c r="O3479" s="380"/>
      <c r="P3479" s="380"/>
      <c r="Q3479" s="381">
        <v>2737.3</v>
      </c>
      <c r="R3479" s="381">
        <v>2760</v>
      </c>
      <c r="S3479" s="381">
        <v>-22.700000000000003</v>
      </c>
      <c r="T3479" s="381"/>
      <c r="U3479" s="381"/>
      <c r="V3479" s="382">
        <v>2760</v>
      </c>
      <c r="W3479" s="382">
        <v>0</v>
      </c>
      <c r="X3479" s="381">
        <v>2.7373000000000003</v>
      </c>
      <c r="Y3479" s="381">
        <v>2.76</v>
      </c>
      <c r="Z3479" s="381">
        <v>-2.2700000000000001E-2</v>
      </c>
      <c r="AA3479" s="381">
        <v>0</v>
      </c>
      <c r="AB3479" s="381">
        <v>0</v>
      </c>
      <c r="AC3479" s="382">
        <v>2.76</v>
      </c>
      <c r="AD3479" s="382">
        <v>0</v>
      </c>
      <c r="AE3479" s="381" t="s">
        <v>168</v>
      </c>
    </row>
    <row r="3480" spans="1:31" ht="15" customHeight="1" x14ac:dyDescent="0.25">
      <c r="A3480" s="20" t="s">
        <v>5016</v>
      </c>
      <c r="B3480" s="20" t="s">
        <v>5253</v>
      </c>
      <c r="C3480" s="20" t="s">
        <v>5254</v>
      </c>
      <c r="D3480" s="378" t="s">
        <v>5261</v>
      </c>
      <c r="E3480" s="384">
        <v>44162</v>
      </c>
      <c r="F3480" s="384">
        <v>45988</v>
      </c>
      <c r="G3480" s="378" t="s">
        <v>439</v>
      </c>
      <c r="H3480" s="378" t="s">
        <v>5259</v>
      </c>
      <c r="I3480" s="378" t="s">
        <v>162</v>
      </c>
      <c r="J3480" s="20" t="s">
        <v>163</v>
      </c>
      <c r="K3480" s="378" t="s">
        <v>5262</v>
      </c>
      <c r="L3480" s="378" t="s">
        <v>2848</v>
      </c>
      <c r="M3480" s="381"/>
      <c r="N3480" s="381"/>
      <c r="O3480" s="380"/>
      <c r="P3480" s="380"/>
      <c r="Q3480" s="381">
        <v>2837.6</v>
      </c>
      <c r="R3480" s="381">
        <v>2860</v>
      </c>
      <c r="S3480" s="381">
        <v>-22.4</v>
      </c>
      <c r="T3480" s="381"/>
      <c r="U3480" s="381"/>
      <c r="V3480" s="382">
        <v>2860</v>
      </c>
      <c r="W3480" s="382">
        <v>0</v>
      </c>
      <c r="X3480" s="381">
        <v>2.8376000000000001</v>
      </c>
      <c r="Y3480" s="381">
        <v>2.86</v>
      </c>
      <c r="Z3480" s="381">
        <v>-2.24E-2</v>
      </c>
      <c r="AA3480" s="381">
        <v>0</v>
      </c>
      <c r="AB3480" s="381">
        <v>0</v>
      </c>
      <c r="AC3480" s="382">
        <v>2.86</v>
      </c>
      <c r="AD3480" s="382">
        <v>0</v>
      </c>
      <c r="AE3480" s="381" t="s">
        <v>168</v>
      </c>
    </row>
    <row r="3481" spans="1:31" ht="15" customHeight="1" x14ac:dyDescent="0.25">
      <c r="A3481" s="20" t="s">
        <v>5016</v>
      </c>
      <c r="B3481" s="20" t="s">
        <v>5253</v>
      </c>
      <c r="C3481" s="20" t="s">
        <v>5254</v>
      </c>
      <c r="D3481" s="378" t="s">
        <v>5263</v>
      </c>
      <c r="E3481" s="384">
        <v>44162</v>
      </c>
      <c r="F3481" s="384">
        <v>45988</v>
      </c>
      <c r="G3481" s="378" t="s">
        <v>439</v>
      </c>
      <c r="H3481" s="378" t="s">
        <v>5264</v>
      </c>
      <c r="I3481" s="378" t="s">
        <v>162</v>
      </c>
      <c r="J3481" s="20" t="s">
        <v>163</v>
      </c>
      <c r="K3481" s="378" t="s">
        <v>5265</v>
      </c>
      <c r="L3481" s="378" t="s">
        <v>2848</v>
      </c>
      <c r="M3481" s="381"/>
      <c r="N3481" s="381"/>
      <c r="O3481" s="380"/>
      <c r="P3481" s="380"/>
      <c r="Q3481" s="381">
        <v>2407.88</v>
      </c>
      <c r="R3481" s="381">
        <v>2410</v>
      </c>
      <c r="S3481" s="381">
        <v>-2.12</v>
      </c>
      <c r="T3481" s="381"/>
      <c r="U3481" s="381"/>
      <c r="V3481" s="382">
        <v>2410</v>
      </c>
      <c r="W3481" s="382">
        <v>0</v>
      </c>
      <c r="X3481" s="381">
        <v>2.40788</v>
      </c>
      <c r="Y3481" s="381">
        <v>2.41</v>
      </c>
      <c r="Z3481" s="381">
        <v>-2.1199999999999999E-3</v>
      </c>
      <c r="AA3481" s="381">
        <v>0</v>
      </c>
      <c r="AB3481" s="381">
        <v>0</v>
      </c>
      <c r="AC3481" s="382">
        <v>2.41</v>
      </c>
      <c r="AD3481" s="382">
        <v>0</v>
      </c>
      <c r="AE3481" s="381" t="s">
        <v>168</v>
      </c>
    </row>
    <row r="3482" spans="1:31" ht="15" customHeight="1" x14ac:dyDescent="0.25">
      <c r="A3482" s="20" t="s">
        <v>5016</v>
      </c>
      <c r="B3482" s="20" t="s">
        <v>5253</v>
      </c>
      <c r="C3482" s="20" t="s">
        <v>5254</v>
      </c>
      <c r="D3482" s="378" t="s">
        <v>5266</v>
      </c>
      <c r="E3482" s="384">
        <v>44162</v>
      </c>
      <c r="F3482" s="384">
        <v>45988</v>
      </c>
      <c r="G3482" s="378" t="s">
        <v>439</v>
      </c>
      <c r="H3482" s="378" t="s">
        <v>5264</v>
      </c>
      <c r="I3482" s="378" t="s">
        <v>162</v>
      </c>
      <c r="J3482" s="20" t="s">
        <v>163</v>
      </c>
      <c r="K3482" s="378" t="s">
        <v>5265</v>
      </c>
      <c r="L3482" s="378" t="s">
        <v>2848</v>
      </c>
      <c r="M3482" s="381"/>
      <c r="N3482" s="381"/>
      <c r="O3482" s="380"/>
      <c r="P3482" s="380"/>
      <c r="Q3482" s="381">
        <v>2457.86</v>
      </c>
      <c r="R3482" s="381">
        <v>2460</v>
      </c>
      <c r="S3482" s="381">
        <v>-2.14</v>
      </c>
      <c r="T3482" s="381"/>
      <c r="U3482" s="381"/>
      <c r="V3482" s="382">
        <v>2460</v>
      </c>
      <c r="W3482" s="382">
        <v>0</v>
      </c>
      <c r="X3482" s="381">
        <v>2.4578600000000002</v>
      </c>
      <c r="Y3482" s="381">
        <v>2.46</v>
      </c>
      <c r="Z3482" s="381">
        <v>-2.14E-3</v>
      </c>
      <c r="AA3482" s="381">
        <v>0</v>
      </c>
      <c r="AB3482" s="381">
        <v>0</v>
      </c>
      <c r="AC3482" s="382">
        <v>2.46</v>
      </c>
      <c r="AD3482" s="382">
        <v>0</v>
      </c>
      <c r="AE3482" s="381" t="s">
        <v>168</v>
      </c>
    </row>
    <row r="3483" spans="1:31" ht="15" customHeight="1" x14ac:dyDescent="0.25">
      <c r="A3483" s="20" t="s">
        <v>5016</v>
      </c>
      <c r="B3483" s="20" t="s">
        <v>5253</v>
      </c>
      <c r="C3483" s="20" t="s">
        <v>5254</v>
      </c>
      <c r="D3483" s="378" t="s">
        <v>5267</v>
      </c>
      <c r="E3483" s="384">
        <v>44162</v>
      </c>
      <c r="F3483" s="384">
        <v>45988</v>
      </c>
      <c r="G3483" s="378" t="s">
        <v>439</v>
      </c>
      <c r="H3483" s="378" t="s">
        <v>5264</v>
      </c>
      <c r="I3483" s="378" t="s">
        <v>162</v>
      </c>
      <c r="J3483" s="20" t="s">
        <v>163</v>
      </c>
      <c r="K3483" s="378" t="s">
        <v>5265</v>
      </c>
      <c r="L3483" s="378" t="s">
        <v>2848</v>
      </c>
      <c r="M3483" s="381"/>
      <c r="N3483" s="381"/>
      <c r="O3483" s="380"/>
      <c r="P3483" s="380"/>
      <c r="Q3483" s="381">
        <v>2567.84</v>
      </c>
      <c r="R3483" s="381">
        <v>2570</v>
      </c>
      <c r="S3483" s="381">
        <v>-2.16</v>
      </c>
      <c r="T3483" s="381"/>
      <c r="U3483" s="381"/>
      <c r="V3483" s="382">
        <v>2570</v>
      </c>
      <c r="W3483" s="382">
        <v>0</v>
      </c>
      <c r="X3483" s="381">
        <v>2.5678400000000003</v>
      </c>
      <c r="Y3483" s="381">
        <v>2.57</v>
      </c>
      <c r="Z3483" s="381">
        <v>-2.16E-3</v>
      </c>
      <c r="AA3483" s="381">
        <v>0</v>
      </c>
      <c r="AB3483" s="381">
        <v>0</v>
      </c>
      <c r="AC3483" s="382">
        <v>2.57</v>
      </c>
      <c r="AD3483" s="382">
        <v>0</v>
      </c>
      <c r="AE3483" s="381" t="s">
        <v>168</v>
      </c>
    </row>
    <row r="3484" spans="1:31" ht="15" customHeight="1" x14ac:dyDescent="0.25">
      <c r="A3484" s="20" t="s">
        <v>5016</v>
      </c>
      <c r="B3484" s="20" t="s">
        <v>5253</v>
      </c>
      <c r="C3484" s="20" t="s">
        <v>5254</v>
      </c>
      <c r="D3484" s="378" t="s">
        <v>5268</v>
      </c>
      <c r="E3484" s="384">
        <v>44701</v>
      </c>
      <c r="F3484" s="384">
        <v>45921</v>
      </c>
      <c r="G3484" s="378" t="s">
        <v>439</v>
      </c>
      <c r="H3484" s="20" t="s">
        <v>5269</v>
      </c>
      <c r="I3484" s="20" t="s">
        <v>353</v>
      </c>
      <c r="J3484" s="20" t="s">
        <v>163</v>
      </c>
      <c r="K3484" s="378" t="s">
        <v>5270</v>
      </c>
      <c r="L3484" s="378" t="s">
        <v>2848</v>
      </c>
      <c r="M3484" s="380"/>
      <c r="N3484" s="380"/>
      <c r="O3484" s="380"/>
      <c r="P3484" s="380"/>
      <c r="Q3484" s="381">
        <v>3720</v>
      </c>
      <c r="R3484" s="381"/>
      <c r="S3484" s="381"/>
      <c r="T3484" s="381"/>
      <c r="U3484" s="381"/>
      <c r="V3484" s="382">
        <v>3720</v>
      </c>
      <c r="W3484" s="382">
        <v>0</v>
      </c>
      <c r="X3484" s="381">
        <v>3.72</v>
      </c>
      <c r="Y3484" s="381">
        <v>0</v>
      </c>
      <c r="Z3484" s="381">
        <v>0</v>
      </c>
      <c r="AA3484" s="381">
        <v>0</v>
      </c>
      <c r="AB3484" s="381">
        <v>0</v>
      </c>
      <c r="AC3484" s="382">
        <v>3.72</v>
      </c>
      <c r="AD3484" s="382">
        <v>0</v>
      </c>
      <c r="AE3484" s="381" t="s">
        <v>168</v>
      </c>
    </row>
    <row r="3485" spans="1:31" ht="15" customHeight="1" x14ac:dyDescent="0.25">
      <c r="A3485" s="20" t="s">
        <v>5016</v>
      </c>
      <c r="B3485" s="20" t="s">
        <v>5253</v>
      </c>
      <c r="C3485" s="20" t="s">
        <v>5254</v>
      </c>
      <c r="D3485" s="378" t="s">
        <v>5271</v>
      </c>
      <c r="E3485" s="384">
        <v>44701</v>
      </c>
      <c r="F3485" s="384">
        <v>45921</v>
      </c>
      <c r="G3485" s="378" t="s">
        <v>439</v>
      </c>
      <c r="H3485" s="20" t="s">
        <v>5024</v>
      </c>
      <c r="I3485" s="20" t="s">
        <v>353</v>
      </c>
      <c r="J3485" s="20" t="s">
        <v>163</v>
      </c>
      <c r="K3485" s="378" t="s">
        <v>5270</v>
      </c>
      <c r="L3485" s="378" t="s">
        <v>2848</v>
      </c>
      <c r="M3485" s="380"/>
      <c r="N3485" s="380"/>
      <c r="O3485" s="380"/>
      <c r="P3485" s="380"/>
      <c r="Q3485" s="381">
        <v>3720</v>
      </c>
      <c r="R3485" s="381"/>
      <c r="S3485" s="381"/>
      <c r="T3485" s="381"/>
      <c r="U3485" s="381"/>
      <c r="V3485" s="382">
        <v>3720</v>
      </c>
      <c r="W3485" s="382">
        <v>0</v>
      </c>
      <c r="X3485" s="381">
        <v>3.72</v>
      </c>
      <c r="Y3485" s="381">
        <v>0</v>
      </c>
      <c r="Z3485" s="381">
        <v>0</v>
      </c>
      <c r="AA3485" s="381">
        <v>0</v>
      </c>
      <c r="AB3485" s="381">
        <v>0</v>
      </c>
      <c r="AC3485" s="382">
        <v>3.72</v>
      </c>
      <c r="AD3485" s="382">
        <v>0</v>
      </c>
      <c r="AE3485" s="381" t="s">
        <v>168</v>
      </c>
    </row>
    <row r="3486" spans="1:31" ht="15" customHeight="1" x14ac:dyDescent="0.25">
      <c r="A3486" s="20" t="s">
        <v>5016</v>
      </c>
      <c r="B3486" s="20" t="s">
        <v>5253</v>
      </c>
      <c r="C3486" s="20" t="s">
        <v>5254</v>
      </c>
      <c r="D3486" s="378" t="s">
        <v>5272</v>
      </c>
      <c r="E3486" s="384">
        <v>44701</v>
      </c>
      <c r="F3486" s="384">
        <v>45921</v>
      </c>
      <c r="G3486" s="385" t="s">
        <v>439</v>
      </c>
      <c r="H3486" s="378" t="s">
        <v>5019</v>
      </c>
      <c r="I3486" s="20" t="s">
        <v>353</v>
      </c>
      <c r="J3486" s="20" t="s">
        <v>163</v>
      </c>
      <c r="K3486" s="378" t="s">
        <v>5270</v>
      </c>
      <c r="L3486" s="378" t="s">
        <v>2848</v>
      </c>
      <c r="M3486" s="381"/>
      <c r="N3486" s="381"/>
      <c r="O3486" s="380"/>
      <c r="P3486" s="380"/>
      <c r="Q3486" s="381">
        <v>3720</v>
      </c>
      <c r="R3486" s="381"/>
      <c r="S3486" s="381"/>
      <c r="T3486" s="381"/>
      <c r="U3486" s="381"/>
      <c r="V3486" s="382">
        <v>3720</v>
      </c>
      <c r="W3486" s="382">
        <v>0</v>
      </c>
      <c r="X3486" s="381">
        <v>3.72</v>
      </c>
      <c r="Y3486" s="381">
        <v>0</v>
      </c>
      <c r="Z3486" s="381">
        <v>0</v>
      </c>
      <c r="AA3486" s="381">
        <v>0</v>
      </c>
      <c r="AB3486" s="381">
        <v>0</v>
      </c>
      <c r="AC3486" s="382">
        <v>3.72</v>
      </c>
      <c r="AD3486" s="382">
        <v>0</v>
      </c>
      <c r="AE3486" s="381" t="s">
        <v>168</v>
      </c>
    </row>
    <row r="3487" spans="1:31" ht="15" customHeight="1" x14ac:dyDescent="0.25">
      <c r="A3487" s="20" t="s">
        <v>5016</v>
      </c>
      <c r="B3487" s="20" t="s">
        <v>5253</v>
      </c>
      <c r="C3487" s="20" t="s">
        <v>5254</v>
      </c>
      <c r="D3487" s="378" t="s">
        <v>5273</v>
      </c>
      <c r="E3487" s="384">
        <v>44701</v>
      </c>
      <c r="F3487" s="384">
        <v>45921</v>
      </c>
      <c r="G3487" s="385" t="s">
        <v>439</v>
      </c>
      <c r="H3487" s="378" t="s">
        <v>5022</v>
      </c>
      <c r="I3487" s="20" t="s">
        <v>353</v>
      </c>
      <c r="J3487" s="20" t="s">
        <v>163</v>
      </c>
      <c r="K3487" s="378" t="s">
        <v>5270</v>
      </c>
      <c r="L3487" s="378" t="s">
        <v>2848</v>
      </c>
      <c r="M3487" s="381"/>
      <c r="N3487" s="381"/>
      <c r="O3487" s="380"/>
      <c r="P3487" s="380"/>
      <c r="Q3487" s="381">
        <v>3720</v>
      </c>
      <c r="R3487" s="381"/>
      <c r="S3487" s="381"/>
      <c r="T3487" s="381"/>
      <c r="U3487" s="381"/>
      <c r="V3487" s="382">
        <v>3720</v>
      </c>
      <c r="W3487" s="382">
        <v>0</v>
      </c>
      <c r="X3487" s="381">
        <v>3.72</v>
      </c>
      <c r="Y3487" s="381">
        <v>0</v>
      </c>
      <c r="Z3487" s="381">
        <v>0</v>
      </c>
      <c r="AA3487" s="381">
        <v>0</v>
      </c>
      <c r="AB3487" s="381">
        <v>0</v>
      </c>
      <c r="AC3487" s="382">
        <v>3.72</v>
      </c>
      <c r="AD3487" s="382">
        <v>0</v>
      </c>
      <c r="AE3487" s="381" t="s">
        <v>168</v>
      </c>
    </row>
    <row r="3488" spans="1:31" ht="15" customHeight="1" x14ac:dyDescent="0.25">
      <c r="A3488" s="20" t="s">
        <v>5016</v>
      </c>
      <c r="B3488" s="20" t="s">
        <v>5253</v>
      </c>
      <c r="C3488" s="20" t="s">
        <v>5254</v>
      </c>
      <c r="D3488" s="378" t="s">
        <v>5274</v>
      </c>
      <c r="E3488" s="384">
        <v>44701</v>
      </c>
      <c r="F3488" s="384">
        <v>45921</v>
      </c>
      <c r="G3488" s="385" t="s">
        <v>439</v>
      </c>
      <c r="H3488" s="378" t="s">
        <v>5029</v>
      </c>
      <c r="I3488" s="20" t="s">
        <v>353</v>
      </c>
      <c r="J3488" s="20" t="s">
        <v>163</v>
      </c>
      <c r="K3488" s="378" t="s">
        <v>5270</v>
      </c>
      <c r="L3488" s="378" t="s">
        <v>2848</v>
      </c>
      <c r="M3488" s="381"/>
      <c r="N3488" s="381"/>
      <c r="O3488" s="380"/>
      <c r="P3488" s="380"/>
      <c r="Q3488" s="381">
        <v>1520</v>
      </c>
      <c r="R3488" s="381"/>
      <c r="S3488" s="381"/>
      <c r="T3488" s="381"/>
      <c r="U3488" s="381"/>
      <c r="V3488" s="382">
        <v>1520</v>
      </c>
      <c r="W3488" s="382">
        <v>0</v>
      </c>
      <c r="X3488" s="381">
        <v>1.52</v>
      </c>
      <c r="Y3488" s="381">
        <v>0</v>
      </c>
      <c r="Z3488" s="381">
        <v>0</v>
      </c>
      <c r="AA3488" s="381">
        <v>0</v>
      </c>
      <c r="AB3488" s="381">
        <v>0</v>
      </c>
      <c r="AC3488" s="382">
        <v>1.52</v>
      </c>
      <c r="AD3488" s="382">
        <v>0</v>
      </c>
      <c r="AE3488" s="381" t="s">
        <v>168</v>
      </c>
    </row>
    <row r="3489" spans="1:31" ht="15" customHeight="1" x14ac:dyDescent="0.25">
      <c r="A3489" s="20" t="s">
        <v>5016</v>
      </c>
      <c r="B3489" s="20" t="s">
        <v>5253</v>
      </c>
      <c r="C3489" s="20" t="s">
        <v>5254</v>
      </c>
      <c r="D3489" s="378" t="s">
        <v>5275</v>
      </c>
      <c r="E3489" s="384">
        <v>44701</v>
      </c>
      <c r="F3489" s="384">
        <v>45921</v>
      </c>
      <c r="G3489" s="385" t="s">
        <v>439</v>
      </c>
      <c r="H3489" s="378" t="s">
        <v>5276</v>
      </c>
      <c r="I3489" s="20" t="s">
        <v>353</v>
      </c>
      <c r="J3489" s="20" t="s">
        <v>163</v>
      </c>
      <c r="K3489" s="378" t="s">
        <v>5270</v>
      </c>
      <c r="L3489" s="378" t="s">
        <v>2848</v>
      </c>
      <c r="M3489" s="381"/>
      <c r="N3489" s="381"/>
      <c r="O3489" s="380"/>
      <c r="P3489" s="380"/>
      <c r="Q3489" s="381">
        <v>1520</v>
      </c>
      <c r="R3489" s="381"/>
      <c r="S3489" s="381"/>
      <c r="T3489" s="381"/>
      <c r="U3489" s="381"/>
      <c r="V3489" s="382">
        <v>1520</v>
      </c>
      <c r="W3489" s="382">
        <v>0</v>
      </c>
      <c r="X3489" s="381">
        <v>1.52</v>
      </c>
      <c r="Y3489" s="381">
        <v>0</v>
      </c>
      <c r="Z3489" s="381">
        <v>0</v>
      </c>
      <c r="AA3489" s="381">
        <v>0</v>
      </c>
      <c r="AB3489" s="381">
        <v>0</v>
      </c>
      <c r="AC3489" s="382">
        <v>1.52</v>
      </c>
      <c r="AD3489" s="382">
        <v>0</v>
      </c>
      <c r="AE3489" s="381" t="s">
        <v>168</v>
      </c>
    </row>
    <row r="3490" spans="1:31" ht="15" customHeight="1" x14ac:dyDescent="0.25">
      <c r="A3490" s="20" t="s">
        <v>5016</v>
      </c>
      <c r="B3490" s="20" t="s">
        <v>5253</v>
      </c>
      <c r="C3490" s="20" t="s">
        <v>5254</v>
      </c>
      <c r="D3490" s="378" t="s">
        <v>5277</v>
      </c>
      <c r="E3490" s="384">
        <v>44701</v>
      </c>
      <c r="F3490" s="384">
        <v>45921</v>
      </c>
      <c r="G3490" s="385" t="s">
        <v>439</v>
      </c>
      <c r="H3490" s="378" t="s">
        <v>5278</v>
      </c>
      <c r="I3490" s="20" t="s">
        <v>353</v>
      </c>
      <c r="J3490" s="20" t="s">
        <v>163</v>
      </c>
      <c r="K3490" s="378" t="s">
        <v>5270</v>
      </c>
      <c r="L3490" s="378" t="s">
        <v>2848</v>
      </c>
      <c r="M3490" s="381"/>
      <c r="N3490" s="381"/>
      <c r="O3490" s="380"/>
      <c r="P3490" s="380"/>
      <c r="Q3490" s="381">
        <v>1520</v>
      </c>
      <c r="R3490" s="381"/>
      <c r="S3490" s="381"/>
      <c r="T3490" s="381"/>
      <c r="U3490" s="381"/>
      <c r="V3490" s="382">
        <v>1520</v>
      </c>
      <c r="W3490" s="382">
        <v>0</v>
      </c>
      <c r="X3490" s="381">
        <v>1.52</v>
      </c>
      <c r="Y3490" s="381">
        <v>0</v>
      </c>
      <c r="Z3490" s="381">
        <v>0</v>
      </c>
      <c r="AA3490" s="381">
        <v>0</v>
      </c>
      <c r="AB3490" s="381">
        <v>0</v>
      </c>
      <c r="AC3490" s="382">
        <v>1.52</v>
      </c>
      <c r="AD3490" s="382">
        <v>0</v>
      </c>
      <c r="AE3490" s="381" t="s">
        <v>168</v>
      </c>
    </row>
    <row r="3491" spans="1:31" ht="15" customHeight="1" x14ac:dyDescent="0.25">
      <c r="A3491" s="20" t="s">
        <v>5016</v>
      </c>
      <c r="B3491" s="20" t="s">
        <v>5253</v>
      </c>
      <c r="C3491" s="20" t="s">
        <v>5254</v>
      </c>
      <c r="D3491" s="378" t="s">
        <v>5279</v>
      </c>
      <c r="E3491" s="384">
        <v>44701</v>
      </c>
      <c r="F3491" s="384">
        <v>45921</v>
      </c>
      <c r="G3491" s="385" t="s">
        <v>439</v>
      </c>
      <c r="H3491" s="378" t="s">
        <v>5280</v>
      </c>
      <c r="I3491" s="20" t="s">
        <v>353</v>
      </c>
      <c r="J3491" s="20" t="s">
        <v>163</v>
      </c>
      <c r="K3491" s="378" t="s">
        <v>5270</v>
      </c>
      <c r="L3491" s="378" t="s">
        <v>2848</v>
      </c>
      <c r="M3491" s="381"/>
      <c r="N3491" s="381"/>
      <c r="O3491" s="380"/>
      <c r="P3491" s="380"/>
      <c r="Q3491" s="381">
        <v>1520</v>
      </c>
      <c r="R3491" s="381"/>
      <c r="S3491" s="381"/>
      <c r="T3491" s="381"/>
      <c r="U3491" s="381"/>
      <c r="V3491" s="382">
        <v>1520</v>
      </c>
      <c r="W3491" s="382">
        <v>0</v>
      </c>
      <c r="X3491" s="381">
        <v>1.52</v>
      </c>
      <c r="Y3491" s="381">
        <v>0</v>
      </c>
      <c r="Z3491" s="381">
        <v>0</v>
      </c>
      <c r="AA3491" s="381">
        <v>0</v>
      </c>
      <c r="AB3491" s="381">
        <v>0</v>
      </c>
      <c r="AC3491" s="382">
        <v>1.52</v>
      </c>
      <c r="AD3491" s="382">
        <v>0</v>
      </c>
      <c r="AE3491" s="381" t="s">
        <v>168</v>
      </c>
    </row>
    <row r="3492" spans="1:31" ht="15" customHeight="1" x14ac:dyDescent="0.25">
      <c r="A3492" s="20" t="s">
        <v>5016</v>
      </c>
      <c r="B3492" s="20" t="s">
        <v>5253</v>
      </c>
      <c r="C3492" s="20" t="s">
        <v>5254</v>
      </c>
      <c r="D3492" s="378" t="s">
        <v>5281</v>
      </c>
      <c r="E3492" s="384">
        <v>44701</v>
      </c>
      <c r="F3492" s="384">
        <v>45921</v>
      </c>
      <c r="G3492" s="385" t="s">
        <v>439</v>
      </c>
      <c r="H3492" s="378" t="s">
        <v>5282</v>
      </c>
      <c r="I3492" s="20" t="s">
        <v>353</v>
      </c>
      <c r="J3492" s="20" t="s">
        <v>163</v>
      </c>
      <c r="K3492" s="378" t="s">
        <v>5270</v>
      </c>
      <c r="L3492" s="378" t="s">
        <v>2848</v>
      </c>
      <c r="M3492" s="381"/>
      <c r="N3492" s="381"/>
      <c r="O3492" s="380"/>
      <c r="P3492" s="380"/>
      <c r="Q3492" s="381">
        <v>1520</v>
      </c>
      <c r="R3492" s="381"/>
      <c r="S3492" s="381"/>
      <c r="T3492" s="381"/>
      <c r="U3492" s="381"/>
      <c r="V3492" s="382">
        <v>1520</v>
      </c>
      <c r="W3492" s="382">
        <v>0</v>
      </c>
      <c r="X3492" s="381">
        <v>1.52</v>
      </c>
      <c r="Y3492" s="381">
        <v>0</v>
      </c>
      <c r="Z3492" s="381">
        <v>0</v>
      </c>
      <c r="AA3492" s="381">
        <v>0</v>
      </c>
      <c r="AB3492" s="381">
        <v>0</v>
      </c>
      <c r="AC3492" s="382">
        <v>1.52</v>
      </c>
      <c r="AD3492" s="382">
        <v>0</v>
      </c>
      <c r="AE3492" s="381" t="s">
        <v>168</v>
      </c>
    </row>
    <row r="3493" spans="1:31" ht="15" customHeight="1" x14ac:dyDescent="0.25">
      <c r="A3493" s="20" t="s">
        <v>5016</v>
      </c>
      <c r="B3493" s="20" t="s">
        <v>5253</v>
      </c>
      <c r="C3493" s="20" t="s">
        <v>5254</v>
      </c>
      <c r="D3493" s="378" t="s">
        <v>5283</v>
      </c>
      <c r="E3493" s="384">
        <v>44701</v>
      </c>
      <c r="F3493" s="384">
        <v>45921</v>
      </c>
      <c r="G3493" s="385" t="s">
        <v>439</v>
      </c>
      <c r="H3493" s="378" t="s">
        <v>5284</v>
      </c>
      <c r="I3493" s="20" t="s">
        <v>353</v>
      </c>
      <c r="J3493" s="20" t="s">
        <v>163</v>
      </c>
      <c r="K3493" s="378" t="s">
        <v>5270</v>
      </c>
      <c r="L3493" s="378" t="s">
        <v>2848</v>
      </c>
      <c r="M3493" s="381"/>
      <c r="N3493" s="381"/>
      <c r="O3493" s="380"/>
      <c r="P3493" s="380"/>
      <c r="Q3493" s="381">
        <v>1520</v>
      </c>
      <c r="R3493" s="381"/>
      <c r="S3493" s="381"/>
      <c r="T3493" s="381"/>
      <c r="U3493" s="381"/>
      <c r="V3493" s="382">
        <v>1520</v>
      </c>
      <c r="W3493" s="382">
        <v>0</v>
      </c>
      <c r="X3493" s="381">
        <v>1.52</v>
      </c>
      <c r="Y3493" s="381">
        <v>0</v>
      </c>
      <c r="Z3493" s="381">
        <v>0</v>
      </c>
      <c r="AA3493" s="381">
        <v>0</v>
      </c>
      <c r="AB3493" s="381">
        <v>0</v>
      </c>
      <c r="AC3493" s="382">
        <v>1.52</v>
      </c>
      <c r="AD3493" s="382">
        <v>0</v>
      </c>
      <c r="AE3493" s="381" t="s">
        <v>168</v>
      </c>
    </row>
    <row r="3494" spans="1:31" ht="15" customHeight="1" x14ac:dyDescent="0.25">
      <c r="A3494" s="20" t="s">
        <v>5016</v>
      </c>
      <c r="B3494" s="20" t="s">
        <v>5254</v>
      </c>
      <c r="C3494" s="20" t="s">
        <v>5254</v>
      </c>
      <c r="D3494" s="378" t="s">
        <v>5285</v>
      </c>
      <c r="E3494" s="384">
        <v>44701</v>
      </c>
      <c r="F3494" s="384">
        <v>45921</v>
      </c>
      <c r="G3494" s="385" t="s">
        <v>439</v>
      </c>
      <c r="H3494" s="378" t="s">
        <v>5286</v>
      </c>
      <c r="I3494" s="20" t="s">
        <v>353</v>
      </c>
      <c r="J3494" s="20" t="s">
        <v>163</v>
      </c>
      <c r="K3494" s="378" t="s">
        <v>5287</v>
      </c>
      <c r="L3494" s="378" t="s">
        <v>2848</v>
      </c>
      <c r="M3494" s="381"/>
      <c r="N3494" s="381"/>
      <c r="O3494" s="380"/>
      <c r="P3494" s="380"/>
      <c r="Q3494" s="381">
        <v>1240</v>
      </c>
      <c r="R3494" s="381"/>
      <c r="S3494" s="381"/>
      <c r="T3494" s="381"/>
      <c r="U3494" s="381"/>
      <c r="V3494" s="382">
        <v>1240</v>
      </c>
      <c r="W3494" s="382">
        <v>0</v>
      </c>
      <c r="X3494" s="381">
        <v>1.24</v>
      </c>
      <c r="Y3494" s="381">
        <v>0</v>
      </c>
      <c r="Z3494" s="381">
        <v>0</v>
      </c>
      <c r="AA3494" s="381">
        <v>0</v>
      </c>
      <c r="AB3494" s="381">
        <v>0</v>
      </c>
      <c r="AC3494" s="382">
        <v>1.24</v>
      </c>
      <c r="AD3494" s="382">
        <v>0</v>
      </c>
      <c r="AE3494" s="381" t="s">
        <v>168</v>
      </c>
    </row>
    <row r="3495" spans="1:31" ht="15" customHeight="1" x14ac:dyDescent="0.25">
      <c r="A3495" s="20" t="s">
        <v>5016</v>
      </c>
      <c r="B3495" s="20" t="s">
        <v>5254</v>
      </c>
      <c r="C3495" s="20" t="s">
        <v>5254</v>
      </c>
      <c r="D3495" s="378" t="s">
        <v>5285</v>
      </c>
      <c r="E3495" s="384">
        <v>44701</v>
      </c>
      <c r="F3495" s="384">
        <v>45921</v>
      </c>
      <c r="G3495" s="385" t="s">
        <v>439</v>
      </c>
      <c r="H3495" s="378" t="s">
        <v>5288</v>
      </c>
      <c r="I3495" s="20" t="s">
        <v>353</v>
      </c>
      <c r="J3495" s="20" t="s">
        <v>163</v>
      </c>
      <c r="K3495" s="378" t="s">
        <v>5287</v>
      </c>
      <c r="L3495" s="378" t="s">
        <v>2848</v>
      </c>
      <c r="M3495" s="381"/>
      <c r="N3495" s="381"/>
      <c r="O3495" s="380"/>
      <c r="P3495" s="380"/>
      <c r="Q3495" s="381">
        <v>1240</v>
      </c>
      <c r="R3495" s="381"/>
      <c r="S3495" s="381"/>
      <c r="T3495" s="381"/>
      <c r="U3495" s="381"/>
      <c r="V3495" s="382">
        <v>1240</v>
      </c>
      <c r="W3495" s="382">
        <v>0</v>
      </c>
      <c r="X3495" s="381">
        <v>1.24</v>
      </c>
      <c r="Y3495" s="381">
        <v>0</v>
      </c>
      <c r="Z3495" s="381">
        <v>0</v>
      </c>
      <c r="AA3495" s="381">
        <v>0</v>
      </c>
      <c r="AB3495" s="381">
        <v>0</v>
      </c>
      <c r="AC3495" s="382">
        <v>1.24</v>
      </c>
      <c r="AD3495" s="382">
        <v>0</v>
      </c>
      <c r="AE3495" s="381" t="s">
        <v>168</v>
      </c>
    </row>
    <row r="3496" spans="1:31" ht="15" customHeight="1" x14ac:dyDescent="0.25">
      <c r="A3496" s="20" t="s">
        <v>5016</v>
      </c>
      <c r="B3496" s="20" t="s">
        <v>5254</v>
      </c>
      <c r="C3496" s="20" t="s">
        <v>5254</v>
      </c>
      <c r="D3496" s="378" t="s">
        <v>5289</v>
      </c>
      <c r="E3496" s="384">
        <v>44701</v>
      </c>
      <c r="F3496" s="384">
        <v>45921</v>
      </c>
      <c r="G3496" s="385" t="s">
        <v>439</v>
      </c>
      <c r="H3496" s="378" t="s">
        <v>5290</v>
      </c>
      <c r="I3496" s="20" t="s">
        <v>353</v>
      </c>
      <c r="J3496" s="20" t="s">
        <v>163</v>
      </c>
      <c r="K3496" s="378" t="s">
        <v>5287</v>
      </c>
      <c r="L3496" s="378" t="s">
        <v>2848</v>
      </c>
      <c r="M3496" s="381"/>
      <c r="N3496" s="381"/>
      <c r="O3496" s="380"/>
      <c r="P3496" s="380"/>
      <c r="Q3496" s="381">
        <v>1240</v>
      </c>
      <c r="R3496" s="381"/>
      <c r="S3496" s="381"/>
      <c r="T3496" s="381"/>
      <c r="U3496" s="381"/>
      <c r="V3496" s="382">
        <v>1240</v>
      </c>
      <c r="W3496" s="382">
        <v>0</v>
      </c>
      <c r="X3496" s="381">
        <v>1.24</v>
      </c>
      <c r="Y3496" s="381">
        <v>0</v>
      </c>
      <c r="Z3496" s="381">
        <v>0</v>
      </c>
      <c r="AA3496" s="381">
        <v>0</v>
      </c>
      <c r="AB3496" s="381">
        <v>0</v>
      </c>
      <c r="AC3496" s="382">
        <v>1.24</v>
      </c>
      <c r="AD3496" s="382">
        <v>0</v>
      </c>
      <c r="AE3496" s="381" t="s">
        <v>168</v>
      </c>
    </row>
    <row r="3497" spans="1:31" ht="15" customHeight="1" x14ac:dyDescent="0.25">
      <c r="A3497" s="20" t="s">
        <v>5016</v>
      </c>
      <c r="B3497" s="20" t="s">
        <v>5254</v>
      </c>
      <c r="C3497" s="20" t="s">
        <v>5254</v>
      </c>
      <c r="D3497" s="378" t="s">
        <v>5291</v>
      </c>
      <c r="E3497" s="384">
        <v>44701</v>
      </c>
      <c r="F3497" s="384">
        <v>45921</v>
      </c>
      <c r="G3497" s="385" t="s">
        <v>439</v>
      </c>
      <c r="H3497" s="378" t="s">
        <v>5292</v>
      </c>
      <c r="I3497" s="20" t="s">
        <v>353</v>
      </c>
      <c r="J3497" s="20" t="s">
        <v>163</v>
      </c>
      <c r="K3497" s="378" t="s">
        <v>5287</v>
      </c>
      <c r="L3497" s="378" t="s">
        <v>2848</v>
      </c>
      <c r="M3497" s="381"/>
      <c r="N3497" s="381"/>
      <c r="O3497" s="380"/>
      <c r="P3497" s="380"/>
      <c r="Q3497" s="381">
        <v>1240</v>
      </c>
      <c r="R3497" s="381"/>
      <c r="S3497" s="381"/>
      <c r="T3497" s="381"/>
      <c r="U3497" s="381"/>
      <c r="V3497" s="382">
        <v>1240</v>
      </c>
      <c r="W3497" s="382">
        <v>0</v>
      </c>
      <c r="X3497" s="381">
        <v>1.24</v>
      </c>
      <c r="Y3497" s="381">
        <v>0</v>
      </c>
      <c r="Z3497" s="381">
        <v>0</v>
      </c>
      <c r="AA3497" s="381">
        <v>0</v>
      </c>
      <c r="AB3497" s="381">
        <v>0</v>
      </c>
      <c r="AC3497" s="382">
        <v>1.24</v>
      </c>
      <c r="AD3497" s="382">
        <v>0</v>
      </c>
      <c r="AE3497" s="381" t="s">
        <v>168</v>
      </c>
    </row>
    <row r="3498" spans="1:31" ht="15" customHeight="1" x14ac:dyDescent="0.25">
      <c r="A3498" s="20" t="s">
        <v>5016</v>
      </c>
      <c r="B3498" s="20" t="s">
        <v>5254</v>
      </c>
      <c r="C3498" s="20" t="s">
        <v>5254</v>
      </c>
      <c r="D3498" s="378" t="s">
        <v>5293</v>
      </c>
      <c r="E3498" s="384">
        <v>44701</v>
      </c>
      <c r="F3498" s="384">
        <v>45921</v>
      </c>
      <c r="G3498" s="385" t="s">
        <v>439</v>
      </c>
      <c r="H3498" s="378" t="s">
        <v>5294</v>
      </c>
      <c r="I3498" s="20" t="s">
        <v>353</v>
      </c>
      <c r="J3498" s="20" t="s">
        <v>163</v>
      </c>
      <c r="K3498" s="378" t="s">
        <v>5287</v>
      </c>
      <c r="L3498" s="378" t="s">
        <v>2848</v>
      </c>
      <c r="M3498" s="381"/>
      <c r="N3498" s="381"/>
      <c r="O3498" s="380"/>
      <c r="P3498" s="380"/>
      <c r="Q3498" s="381">
        <v>1240</v>
      </c>
      <c r="R3498" s="381"/>
      <c r="S3498" s="381"/>
      <c r="T3498" s="381"/>
      <c r="U3498" s="381"/>
      <c r="V3498" s="382">
        <v>1240</v>
      </c>
      <c r="W3498" s="382">
        <v>0</v>
      </c>
      <c r="X3498" s="381">
        <v>1.24</v>
      </c>
      <c r="Y3498" s="381">
        <v>0</v>
      </c>
      <c r="Z3498" s="381">
        <v>0</v>
      </c>
      <c r="AA3498" s="381">
        <v>0</v>
      </c>
      <c r="AB3498" s="381">
        <v>0</v>
      </c>
      <c r="AC3498" s="382">
        <v>1.24</v>
      </c>
      <c r="AD3498" s="382">
        <v>0</v>
      </c>
      <c r="AE3498" s="381" t="s">
        <v>168</v>
      </c>
    </row>
    <row r="3499" spans="1:31" ht="15" customHeight="1" x14ac:dyDescent="0.25">
      <c r="A3499" s="20" t="s">
        <v>5016</v>
      </c>
      <c r="B3499" s="20" t="s">
        <v>5254</v>
      </c>
      <c r="C3499" s="20" t="s">
        <v>5254</v>
      </c>
      <c r="D3499" s="378" t="s">
        <v>5295</v>
      </c>
      <c r="E3499" s="384">
        <v>44701</v>
      </c>
      <c r="F3499" s="384">
        <v>45921</v>
      </c>
      <c r="G3499" s="385" t="s">
        <v>439</v>
      </c>
      <c r="H3499" s="378" t="s">
        <v>5296</v>
      </c>
      <c r="I3499" s="20" t="s">
        <v>353</v>
      </c>
      <c r="J3499" s="20" t="s">
        <v>163</v>
      </c>
      <c r="K3499" s="378" t="s">
        <v>5287</v>
      </c>
      <c r="L3499" s="378" t="s">
        <v>2848</v>
      </c>
      <c r="M3499" s="381"/>
      <c r="N3499" s="381"/>
      <c r="O3499" s="380"/>
      <c r="P3499" s="380"/>
      <c r="Q3499" s="381">
        <v>1240</v>
      </c>
      <c r="R3499" s="381"/>
      <c r="S3499" s="381"/>
      <c r="T3499" s="381"/>
      <c r="U3499" s="381"/>
      <c r="V3499" s="382">
        <v>1240</v>
      </c>
      <c r="W3499" s="382">
        <v>0</v>
      </c>
      <c r="X3499" s="381">
        <v>1.24</v>
      </c>
      <c r="Y3499" s="381">
        <v>0</v>
      </c>
      <c r="Z3499" s="381">
        <v>0</v>
      </c>
      <c r="AA3499" s="381">
        <v>0</v>
      </c>
      <c r="AB3499" s="381">
        <v>0</v>
      </c>
      <c r="AC3499" s="382">
        <v>1.24</v>
      </c>
      <c r="AD3499" s="382">
        <v>0</v>
      </c>
      <c r="AE3499" s="381" t="s">
        <v>168</v>
      </c>
    </row>
    <row r="3500" spans="1:31" ht="15" customHeight="1" x14ac:dyDescent="0.25">
      <c r="A3500" s="20" t="s">
        <v>5016</v>
      </c>
      <c r="B3500" s="20" t="s">
        <v>5253</v>
      </c>
      <c r="C3500" s="20" t="s">
        <v>5254</v>
      </c>
      <c r="D3500" s="378" t="s">
        <v>5297</v>
      </c>
      <c r="E3500" s="384">
        <v>44741</v>
      </c>
      <c r="F3500" s="384">
        <v>45921</v>
      </c>
      <c r="G3500" s="385" t="s">
        <v>439</v>
      </c>
      <c r="H3500" s="378" t="s">
        <v>5298</v>
      </c>
      <c r="I3500" s="20" t="s">
        <v>353</v>
      </c>
      <c r="J3500" s="20" t="s">
        <v>163</v>
      </c>
      <c r="K3500" s="378" t="s">
        <v>5299</v>
      </c>
      <c r="L3500" s="378" t="s">
        <v>2848</v>
      </c>
      <c r="M3500" s="381"/>
      <c r="N3500" s="381"/>
      <c r="O3500" s="380"/>
      <c r="P3500" s="380"/>
      <c r="Q3500" s="381">
        <v>3320</v>
      </c>
      <c r="R3500" s="381"/>
      <c r="S3500" s="381"/>
      <c r="T3500" s="381"/>
      <c r="U3500" s="381"/>
      <c r="V3500" s="382">
        <v>3320</v>
      </c>
      <c r="W3500" s="382">
        <v>0</v>
      </c>
      <c r="X3500" s="381">
        <v>3.32</v>
      </c>
      <c r="Y3500" s="381">
        <v>0</v>
      </c>
      <c r="Z3500" s="381">
        <v>0</v>
      </c>
      <c r="AA3500" s="381">
        <v>0</v>
      </c>
      <c r="AB3500" s="381">
        <v>0</v>
      </c>
      <c r="AC3500" s="382">
        <v>3.32</v>
      </c>
      <c r="AD3500" s="382">
        <v>0</v>
      </c>
      <c r="AE3500" s="381" t="s">
        <v>168</v>
      </c>
    </row>
    <row r="3501" spans="1:31" ht="15" customHeight="1" x14ac:dyDescent="0.25">
      <c r="A3501" s="20" t="s">
        <v>5016</v>
      </c>
      <c r="B3501" s="20" t="s">
        <v>5253</v>
      </c>
      <c r="C3501" s="20" t="s">
        <v>5254</v>
      </c>
      <c r="D3501" s="378" t="s">
        <v>5300</v>
      </c>
      <c r="E3501" s="384">
        <v>44741</v>
      </c>
      <c r="F3501" s="384">
        <v>45921</v>
      </c>
      <c r="G3501" s="385" t="s">
        <v>439</v>
      </c>
      <c r="H3501" s="378" t="s">
        <v>5298</v>
      </c>
      <c r="I3501" s="20" t="s">
        <v>353</v>
      </c>
      <c r="J3501" s="20" t="s">
        <v>163</v>
      </c>
      <c r="K3501" s="378" t="s">
        <v>5299</v>
      </c>
      <c r="L3501" s="378" t="s">
        <v>2848</v>
      </c>
      <c r="M3501" s="381"/>
      <c r="N3501" s="381"/>
      <c r="O3501" s="380"/>
      <c r="P3501" s="380"/>
      <c r="Q3501" s="381">
        <v>3320</v>
      </c>
      <c r="R3501" s="381"/>
      <c r="S3501" s="381"/>
      <c r="T3501" s="381"/>
      <c r="U3501" s="381"/>
      <c r="V3501" s="382">
        <v>3320</v>
      </c>
      <c r="W3501" s="382">
        <v>0</v>
      </c>
      <c r="X3501" s="381">
        <v>3.32</v>
      </c>
      <c r="Y3501" s="381">
        <v>0</v>
      </c>
      <c r="Z3501" s="381">
        <v>0</v>
      </c>
      <c r="AA3501" s="381">
        <v>0</v>
      </c>
      <c r="AB3501" s="381">
        <v>0</v>
      </c>
      <c r="AC3501" s="382">
        <v>3.32</v>
      </c>
      <c r="AD3501" s="382">
        <v>0</v>
      </c>
      <c r="AE3501" s="381" t="s">
        <v>168</v>
      </c>
    </row>
    <row r="3502" spans="1:31" ht="15" customHeight="1" x14ac:dyDescent="0.25">
      <c r="A3502" s="20" t="s">
        <v>5016</v>
      </c>
      <c r="B3502" s="20" t="s">
        <v>5253</v>
      </c>
      <c r="C3502" s="20" t="s">
        <v>5254</v>
      </c>
      <c r="D3502" s="378" t="s">
        <v>5301</v>
      </c>
      <c r="E3502" s="384">
        <v>44741</v>
      </c>
      <c r="F3502" s="384">
        <v>45921</v>
      </c>
      <c r="G3502" s="385" t="s">
        <v>439</v>
      </c>
      <c r="H3502" s="378" t="s">
        <v>5298</v>
      </c>
      <c r="I3502" s="20" t="s">
        <v>353</v>
      </c>
      <c r="J3502" s="20" t="s">
        <v>163</v>
      </c>
      <c r="K3502" s="378" t="s">
        <v>5299</v>
      </c>
      <c r="L3502" s="378" t="s">
        <v>2848</v>
      </c>
      <c r="M3502" s="381"/>
      <c r="N3502" s="381"/>
      <c r="O3502" s="380"/>
      <c r="P3502" s="380"/>
      <c r="Q3502" s="381">
        <v>3320</v>
      </c>
      <c r="R3502" s="381"/>
      <c r="S3502" s="381"/>
      <c r="T3502" s="381"/>
      <c r="U3502" s="381"/>
      <c r="V3502" s="382">
        <v>3320</v>
      </c>
      <c r="W3502" s="382">
        <v>0</v>
      </c>
      <c r="X3502" s="381">
        <v>3.32</v>
      </c>
      <c r="Y3502" s="381">
        <v>0</v>
      </c>
      <c r="Z3502" s="381">
        <v>0</v>
      </c>
      <c r="AA3502" s="381">
        <v>0</v>
      </c>
      <c r="AB3502" s="381">
        <v>0</v>
      </c>
      <c r="AC3502" s="382">
        <v>3.32</v>
      </c>
      <c r="AD3502" s="382">
        <v>0</v>
      </c>
      <c r="AE3502" s="381" t="s">
        <v>168</v>
      </c>
    </row>
    <row r="3503" spans="1:31" ht="15" customHeight="1" x14ac:dyDescent="0.25">
      <c r="A3503" s="20" t="s">
        <v>5016</v>
      </c>
      <c r="B3503" s="20" t="s">
        <v>5253</v>
      </c>
      <c r="C3503" s="20" t="s">
        <v>5254</v>
      </c>
      <c r="D3503" s="378" t="s">
        <v>5302</v>
      </c>
      <c r="E3503" s="384">
        <v>44741</v>
      </c>
      <c r="F3503" s="384">
        <v>45921</v>
      </c>
      <c r="G3503" s="385" t="s">
        <v>439</v>
      </c>
      <c r="H3503" s="378" t="s">
        <v>5298</v>
      </c>
      <c r="I3503" s="20" t="s">
        <v>353</v>
      </c>
      <c r="J3503" s="20" t="s">
        <v>163</v>
      </c>
      <c r="K3503" s="378" t="s">
        <v>5299</v>
      </c>
      <c r="L3503" s="378" t="s">
        <v>2848</v>
      </c>
      <c r="M3503" s="381"/>
      <c r="N3503" s="381"/>
      <c r="O3503" s="380"/>
      <c r="P3503" s="380"/>
      <c r="Q3503" s="381">
        <v>3320</v>
      </c>
      <c r="R3503" s="381"/>
      <c r="S3503" s="381"/>
      <c r="T3503" s="381"/>
      <c r="U3503" s="381"/>
      <c r="V3503" s="382">
        <v>3320</v>
      </c>
      <c r="W3503" s="382">
        <v>0</v>
      </c>
      <c r="X3503" s="381">
        <v>3.32</v>
      </c>
      <c r="Y3503" s="381">
        <v>0</v>
      </c>
      <c r="Z3503" s="381">
        <v>0</v>
      </c>
      <c r="AA3503" s="381">
        <v>0</v>
      </c>
      <c r="AB3503" s="381">
        <v>0</v>
      </c>
      <c r="AC3503" s="382">
        <v>3.32</v>
      </c>
      <c r="AD3503" s="382">
        <v>0</v>
      </c>
      <c r="AE3503" s="381" t="s">
        <v>168</v>
      </c>
    </row>
    <row r="3504" spans="1:31" ht="15" customHeight="1" x14ac:dyDescent="0.25">
      <c r="A3504" s="20" t="s">
        <v>4215</v>
      </c>
      <c r="B3504" s="20" t="s">
        <v>5303</v>
      </c>
      <c r="C3504" s="20" t="s">
        <v>5254</v>
      </c>
      <c r="D3504" s="378" t="s">
        <v>5304</v>
      </c>
      <c r="E3504" s="384">
        <v>44818</v>
      </c>
      <c r="F3504" s="384">
        <v>46643</v>
      </c>
      <c r="G3504" s="378" t="s">
        <v>5045</v>
      </c>
      <c r="H3504" s="20" t="s">
        <v>5305</v>
      </c>
      <c r="I3504" s="378">
        <v>0</v>
      </c>
      <c r="J3504" s="20" t="s">
        <v>2831</v>
      </c>
      <c r="K3504" s="378" t="s">
        <v>5306</v>
      </c>
      <c r="L3504" s="378" t="s">
        <v>2848</v>
      </c>
      <c r="M3504" s="380" t="s">
        <v>443</v>
      </c>
      <c r="N3504" s="380" t="s">
        <v>443</v>
      </c>
      <c r="O3504" s="380" t="s">
        <v>443</v>
      </c>
      <c r="P3504" s="380" t="s">
        <v>443</v>
      </c>
      <c r="Q3504" s="381">
        <v>3000</v>
      </c>
      <c r="R3504" s="381">
        <v>3000</v>
      </c>
      <c r="S3504" s="381">
        <v>-0.40600000000000003</v>
      </c>
      <c r="T3504" s="381">
        <v>0.55200000000000005</v>
      </c>
      <c r="U3504" s="381">
        <v>0</v>
      </c>
      <c r="V3504" s="382">
        <v>3000.5520000000001</v>
      </c>
      <c r="W3504" s="382">
        <v>0</v>
      </c>
      <c r="X3504" s="381">
        <v>3</v>
      </c>
      <c r="Y3504" s="381">
        <v>3</v>
      </c>
      <c r="Z3504" s="381">
        <v>-4.06E-4</v>
      </c>
      <c r="AA3504" s="381">
        <v>5.5200000000000008E-4</v>
      </c>
      <c r="AB3504" s="381">
        <v>0</v>
      </c>
      <c r="AC3504" s="382">
        <v>3.0005519999999999</v>
      </c>
      <c r="AD3504" s="382">
        <v>0</v>
      </c>
      <c r="AE3504" s="381" t="s">
        <v>168</v>
      </c>
    </row>
    <row r="3505" spans="1:31" ht="15" customHeight="1" x14ac:dyDescent="0.25">
      <c r="A3505" s="20" t="s">
        <v>4215</v>
      </c>
      <c r="B3505" s="20" t="s">
        <v>5303</v>
      </c>
      <c r="C3505" s="20" t="s">
        <v>5254</v>
      </c>
      <c r="D3505" s="378" t="s">
        <v>5307</v>
      </c>
      <c r="E3505" s="384">
        <v>45201</v>
      </c>
      <c r="F3505" s="384">
        <v>47027</v>
      </c>
      <c r="G3505" s="378" t="s">
        <v>5045</v>
      </c>
      <c r="H3505" s="20" t="s">
        <v>5308</v>
      </c>
      <c r="I3505" s="378">
        <v>0</v>
      </c>
      <c r="J3505" s="20" t="s">
        <v>2831</v>
      </c>
      <c r="K3505" s="378" t="s">
        <v>5309</v>
      </c>
      <c r="L3505" s="378" t="s">
        <v>2848</v>
      </c>
      <c r="M3505" s="380" t="s">
        <v>443</v>
      </c>
      <c r="N3505" s="380" t="s">
        <v>443</v>
      </c>
      <c r="O3505" s="380" t="s">
        <v>443</v>
      </c>
      <c r="P3505" s="380" t="s">
        <v>443</v>
      </c>
      <c r="Q3505" s="381">
        <v>3670</v>
      </c>
      <c r="R3505" s="381">
        <v>3670</v>
      </c>
      <c r="S3505" s="381">
        <v>-5.41</v>
      </c>
      <c r="T3505" s="381">
        <v>0.50800000000000001</v>
      </c>
      <c r="U3505" s="381">
        <v>0</v>
      </c>
      <c r="V3505" s="382">
        <v>3670.5079999999998</v>
      </c>
      <c r="W3505" s="382">
        <v>0</v>
      </c>
      <c r="X3505" s="381">
        <v>3.67</v>
      </c>
      <c r="Y3505" s="381">
        <v>3.67</v>
      </c>
      <c r="Z3505" s="381">
        <v>-5.4099999999999999E-3</v>
      </c>
      <c r="AA3505" s="381">
        <v>5.0799999999999999E-4</v>
      </c>
      <c r="AB3505" s="381">
        <v>0</v>
      </c>
      <c r="AC3505" s="382">
        <v>3.6705079999999999</v>
      </c>
      <c r="AD3505" s="382">
        <v>0</v>
      </c>
      <c r="AE3505" s="381" t="s">
        <v>168</v>
      </c>
    </row>
    <row r="3506" spans="1:31" ht="15" customHeight="1" x14ac:dyDescent="0.25">
      <c r="A3506" s="20" t="s">
        <v>5016</v>
      </c>
      <c r="B3506" s="20" t="s">
        <v>5303</v>
      </c>
      <c r="C3506" s="20" t="s">
        <v>5254</v>
      </c>
      <c r="D3506" s="378" t="s">
        <v>5310</v>
      </c>
      <c r="E3506" s="384" t="s">
        <v>5311</v>
      </c>
      <c r="F3506" s="384" t="s">
        <v>5312</v>
      </c>
      <c r="G3506" s="378" t="s">
        <v>5313</v>
      </c>
      <c r="H3506" s="20" t="s">
        <v>5314</v>
      </c>
      <c r="I3506" s="378">
        <v>0</v>
      </c>
      <c r="J3506" s="20" t="s">
        <v>776</v>
      </c>
      <c r="K3506" s="378" t="s">
        <v>5315</v>
      </c>
      <c r="L3506" s="378" t="s">
        <v>2848</v>
      </c>
      <c r="M3506" s="380" t="s">
        <v>443</v>
      </c>
      <c r="N3506" s="380" t="s">
        <v>443</v>
      </c>
      <c r="O3506" s="380" t="s">
        <v>443</v>
      </c>
      <c r="P3506" s="380" t="s">
        <v>443</v>
      </c>
      <c r="Q3506" s="381">
        <v>2020</v>
      </c>
      <c r="R3506" s="381">
        <v>2020</v>
      </c>
      <c r="S3506" s="381">
        <v>5.09</v>
      </c>
      <c r="T3506" s="381">
        <v>1.79</v>
      </c>
      <c r="U3506" s="381">
        <v>0</v>
      </c>
      <c r="V3506" s="382">
        <v>2026.8799999999999</v>
      </c>
      <c r="W3506" s="382">
        <v>0</v>
      </c>
      <c r="X3506" s="381">
        <v>2.02</v>
      </c>
      <c r="Y3506" s="381">
        <v>2.02</v>
      </c>
      <c r="Z3506" s="381">
        <v>5.0899999999999999E-3</v>
      </c>
      <c r="AA3506" s="381">
        <v>1.7900000000000001E-3</v>
      </c>
      <c r="AB3506" s="381">
        <v>0</v>
      </c>
      <c r="AC3506" s="382">
        <v>2.0268800000000002</v>
      </c>
      <c r="AD3506" s="382">
        <v>0</v>
      </c>
      <c r="AE3506" s="381" t="s">
        <v>444</v>
      </c>
    </row>
    <row r="3507" spans="1:31" ht="15" customHeight="1" x14ac:dyDescent="0.25">
      <c r="A3507" s="20" t="s">
        <v>5016</v>
      </c>
      <c r="B3507" s="20" t="s">
        <v>5303</v>
      </c>
      <c r="C3507" s="20" t="s">
        <v>5254</v>
      </c>
      <c r="D3507" s="378" t="s">
        <v>5316</v>
      </c>
      <c r="E3507" s="384" t="s">
        <v>5311</v>
      </c>
      <c r="F3507" s="384" t="s">
        <v>5312</v>
      </c>
      <c r="G3507" s="378" t="s">
        <v>5313</v>
      </c>
      <c r="H3507" s="20" t="s">
        <v>5317</v>
      </c>
      <c r="I3507" s="378">
        <v>0</v>
      </c>
      <c r="J3507" s="20" t="s">
        <v>776</v>
      </c>
      <c r="K3507" s="378" t="s">
        <v>5318</v>
      </c>
      <c r="L3507" s="378" t="s">
        <v>2848</v>
      </c>
      <c r="M3507" s="380" t="s">
        <v>443</v>
      </c>
      <c r="N3507" s="380" t="s">
        <v>443</v>
      </c>
      <c r="O3507" s="380" t="s">
        <v>443</v>
      </c>
      <c r="P3507" s="380" t="s">
        <v>443</v>
      </c>
      <c r="Q3507" s="381">
        <v>1730</v>
      </c>
      <c r="R3507" s="381">
        <v>1730</v>
      </c>
      <c r="S3507" s="381">
        <v>4.5199999999999996</v>
      </c>
      <c r="T3507" s="381">
        <v>1.49</v>
      </c>
      <c r="U3507" s="381">
        <v>0</v>
      </c>
      <c r="V3507" s="382">
        <v>1736.01</v>
      </c>
      <c r="W3507" s="382">
        <v>0</v>
      </c>
      <c r="X3507" s="381">
        <v>1.73</v>
      </c>
      <c r="Y3507" s="381">
        <v>1.73</v>
      </c>
      <c r="Z3507" s="381">
        <v>4.5199999999999997E-3</v>
      </c>
      <c r="AA3507" s="381">
        <v>1.49E-3</v>
      </c>
      <c r="AB3507" s="381">
        <v>0</v>
      </c>
      <c r="AC3507" s="382">
        <v>1.7360100000000001</v>
      </c>
      <c r="AD3507" s="382">
        <v>0</v>
      </c>
      <c r="AE3507" s="381" t="s">
        <v>444</v>
      </c>
    </row>
    <row r="3508" spans="1:31" ht="15" customHeight="1" x14ac:dyDescent="0.25">
      <c r="A3508" s="20" t="s">
        <v>5016</v>
      </c>
      <c r="B3508" s="20" t="s">
        <v>5303</v>
      </c>
      <c r="C3508" s="20" t="s">
        <v>5254</v>
      </c>
      <c r="D3508" s="378" t="s">
        <v>5319</v>
      </c>
      <c r="E3508" s="384" t="s">
        <v>5311</v>
      </c>
      <c r="F3508" s="384" t="s">
        <v>5312</v>
      </c>
      <c r="G3508" s="378" t="s">
        <v>5313</v>
      </c>
      <c r="H3508" s="20" t="s">
        <v>5320</v>
      </c>
      <c r="I3508" s="378">
        <v>0</v>
      </c>
      <c r="J3508" s="20" t="s">
        <v>776</v>
      </c>
      <c r="K3508" s="378" t="s">
        <v>5321</v>
      </c>
      <c r="L3508" s="378" t="s">
        <v>2848</v>
      </c>
      <c r="M3508" s="380" t="s">
        <v>443</v>
      </c>
      <c r="N3508" s="380" t="s">
        <v>443</v>
      </c>
      <c r="O3508" s="380" t="s">
        <v>443</v>
      </c>
      <c r="P3508" s="380" t="s">
        <v>443</v>
      </c>
      <c r="Q3508" s="381">
        <v>2300</v>
      </c>
      <c r="R3508" s="381">
        <v>2290</v>
      </c>
      <c r="S3508" s="381">
        <v>5.93</v>
      </c>
      <c r="T3508" s="381">
        <v>2.08</v>
      </c>
      <c r="U3508" s="381">
        <v>0</v>
      </c>
      <c r="V3508" s="382">
        <v>2298.0099999999998</v>
      </c>
      <c r="W3508" s="382">
        <v>0</v>
      </c>
      <c r="X3508" s="381">
        <v>2.2999999999999998</v>
      </c>
      <c r="Y3508" s="381">
        <v>2.29</v>
      </c>
      <c r="Z3508" s="381">
        <v>5.9299999999999995E-3</v>
      </c>
      <c r="AA3508" s="381">
        <v>2.0800000000000003E-3</v>
      </c>
      <c r="AB3508" s="381">
        <v>0</v>
      </c>
      <c r="AC3508" s="382">
        <v>2.2980100000000001</v>
      </c>
      <c r="AD3508" s="382">
        <v>0</v>
      </c>
      <c r="AE3508" s="381" t="s">
        <v>444</v>
      </c>
    </row>
    <row r="3509" spans="1:31" ht="15" customHeight="1" x14ac:dyDescent="0.25">
      <c r="A3509" s="20" t="s">
        <v>5016</v>
      </c>
      <c r="B3509" s="20" t="s">
        <v>5303</v>
      </c>
      <c r="C3509" s="20" t="s">
        <v>5254</v>
      </c>
      <c r="D3509" s="378" t="s">
        <v>5322</v>
      </c>
      <c r="E3509" s="384">
        <v>44348</v>
      </c>
      <c r="F3509" s="384">
        <v>45756</v>
      </c>
      <c r="G3509" s="378" t="s">
        <v>5323</v>
      </c>
      <c r="H3509" s="20" t="s">
        <v>5324</v>
      </c>
      <c r="I3509" s="378" t="s">
        <v>814</v>
      </c>
      <c r="J3509" s="20" t="s">
        <v>776</v>
      </c>
      <c r="K3509" s="378" t="s">
        <v>5325</v>
      </c>
      <c r="L3509" s="378" t="s">
        <v>2848</v>
      </c>
      <c r="M3509" s="380" t="s">
        <v>443</v>
      </c>
      <c r="N3509" s="380" t="s">
        <v>443</v>
      </c>
      <c r="O3509" s="380" t="s">
        <v>443</v>
      </c>
      <c r="P3509" s="380" t="s">
        <v>443</v>
      </c>
      <c r="Q3509" s="381">
        <v>1770</v>
      </c>
      <c r="R3509" s="381">
        <v>0</v>
      </c>
      <c r="S3509" s="381">
        <v>0</v>
      </c>
      <c r="T3509" s="381">
        <v>0</v>
      </c>
      <c r="U3509" s="381">
        <v>0</v>
      </c>
      <c r="V3509" s="382">
        <v>1770</v>
      </c>
      <c r="W3509" s="382">
        <v>0</v>
      </c>
      <c r="X3509" s="381">
        <v>1.77</v>
      </c>
      <c r="Y3509" s="381">
        <v>0</v>
      </c>
      <c r="Z3509" s="381">
        <v>0</v>
      </c>
      <c r="AA3509" s="381">
        <v>0</v>
      </c>
      <c r="AB3509" s="381">
        <v>0</v>
      </c>
      <c r="AC3509" s="382">
        <v>1.77</v>
      </c>
      <c r="AD3509" s="382">
        <v>0</v>
      </c>
      <c r="AE3509" s="381" t="s">
        <v>444</v>
      </c>
    </row>
    <row r="3510" spans="1:31" ht="15" customHeight="1" x14ac:dyDescent="0.25">
      <c r="A3510" s="20" t="s">
        <v>5016</v>
      </c>
      <c r="B3510" s="20" t="s">
        <v>5303</v>
      </c>
      <c r="C3510" s="20" t="s">
        <v>5254</v>
      </c>
      <c r="D3510" s="378" t="s">
        <v>5326</v>
      </c>
      <c r="E3510" s="384">
        <v>44348</v>
      </c>
      <c r="F3510" s="384">
        <v>45756</v>
      </c>
      <c r="G3510" s="378" t="s">
        <v>5323</v>
      </c>
      <c r="H3510" s="20" t="s">
        <v>5327</v>
      </c>
      <c r="I3510" s="378" t="s">
        <v>814</v>
      </c>
      <c r="J3510" s="20" t="s">
        <v>776</v>
      </c>
      <c r="K3510" s="378" t="s">
        <v>5328</v>
      </c>
      <c r="L3510" s="378" t="s">
        <v>2848</v>
      </c>
      <c r="M3510" s="380" t="s">
        <v>443</v>
      </c>
      <c r="N3510" s="380" t="s">
        <v>443</v>
      </c>
      <c r="O3510" s="380" t="s">
        <v>443</v>
      </c>
      <c r="P3510" s="380" t="s">
        <v>443</v>
      </c>
      <c r="Q3510" s="381">
        <v>1940</v>
      </c>
      <c r="R3510" s="381">
        <v>0</v>
      </c>
      <c r="S3510" s="381">
        <v>0</v>
      </c>
      <c r="T3510" s="381">
        <v>0</v>
      </c>
      <c r="U3510" s="381">
        <v>0</v>
      </c>
      <c r="V3510" s="382">
        <v>1940</v>
      </c>
      <c r="W3510" s="382">
        <v>0</v>
      </c>
      <c r="X3510" s="381">
        <v>1.94</v>
      </c>
      <c r="Y3510" s="381">
        <v>0</v>
      </c>
      <c r="Z3510" s="381">
        <v>0</v>
      </c>
      <c r="AA3510" s="381">
        <v>0</v>
      </c>
      <c r="AB3510" s="381">
        <v>0</v>
      </c>
      <c r="AC3510" s="382">
        <v>1.94</v>
      </c>
      <c r="AD3510" s="382">
        <v>0</v>
      </c>
      <c r="AE3510" s="381" t="s">
        <v>444</v>
      </c>
    </row>
    <row r="3511" spans="1:31" ht="15" customHeight="1" x14ac:dyDescent="0.25">
      <c r="A3511" s="20" t="s">
        <v>5016</v>
      </c>
      <c r="B3511" s="20" t="s">
        <v>5303</v>
      </c>
      <c r="C3511" s="20" t="s">
        <v>5254</v>
      </c>
      <c r="D3511" s="378" t="s">
        <v>5329</v>
      </c>
      <c r="E3511" s="384">
        <v>44197</v>
      </c>
      <c r="F3511" s="384">
        <v>46023</v>
      </c>
      <c r="G3511" s="378" t="s">
        <v>5330</v>
      </c>
      <c r="H3511" s="20" t="s">
        <v>5331</v>
      </c>
      <c r="I3511" s="378" t="s">
        <v>441</v>
      </c>
      <c r="J3511" s="20" t="s">
        <v>3311</v>
      </c>
      <c r="K3511" s="378" t="s">
        <v>5332</v>
      </c>
      <c r="L3511" s="378" t="s">
        <v>2848</v>
      </c>
      <c r="M3511" s="380" t="s">
        <v>443</v>
      </c>
      <c r="N3511" s="380" t="s">
        <v>443</v>
      </c>
      <c r="O3511" s="380" t="s">
        <v>443</v>
      </c>
      <c r="P3511" s="380" t="s">
        <v>443</v>
      </c>
      <c r="Q3511" s="381">
        <v>933</v>
      </c>
      <c r="R3511" s="381">
        <v>0</v>
      </c>
      <c r="S3511" s="381">
        <v>0</v>
      </c>
      <c r="T3511" s="381">
        <v>0</v>
      </c>
      <c r="U3511" s="381">
        <v>0</v>
      </c>
      <c r="V3511" s="382">
        <v>933</v>
      </c>
      <c r="W3511" s="382">
        <v>0</v>
      </c>
      <c r="X3511" s="381">
        <v>0.93300000000000005</v>
      </c>
      <c r="Y3511" s="381">
        <v>0</v>
      </c>
      <c r="Z3511" s="381">
        <v>0</v>
      </c>
      <c r="AA3511" s="381">
        <v>0</v>
      </c>
      <c r="AB3511" s="381">
        <v>0</v>
      </c>
      <c r="AC3511" s="382">
        <v>0.93300000000000005</v>
      </c>
      <c r="AD3511" s="382">
        <v>0</v>
      </c>
      <c r="AE3511" s="381" t="s">
        <v>444</v>
      </c>
    </row>
    <row r="3512" spans="1:31" ht="15" customHeight="1" x14ac:dyDescent="0.25">
      <c r="A3512" s="20" t="s">
        <v>5016</v>
      </c>
      <c r="B3512" s="20" t="s">
        <v>5303</v>
      </c>
      <c r="C3512" s="20" t="s">
        <v>5254</v>
      </c>
      <c r="D3512" s="378" t="s">
        <v>5333</v>
      </c>
      <c r="E3512" s="384" t="s">
        <v>5109</v>
      </c>
      <c r="F3512" s="384" t="s">
        <v>5110</v>
      </c>
      <c r="G3512" s="378" t="s">
        <v>2837</v>
      </c>
      <c r="H3512" s="20" t="s">
        <v>5334</v>
      </c>
      <c r="I3512" s="378" t="s">
        <v>441</v>
      </c>
      <c r="J3512" s="20" t="s">
        <v>3311</v>
      </c>
      <c r="K3512" s="378" t="s">
        <v>5332</v>
      </c>
      <c r="L3512" s="378" t="s">
        <v>2848</v>
      </c>
      <c r="M3512" s="380" t="s">
        <v>443</v>
      </c>
      <c r="N3512" s="380" t="s">
        <v>443</v>
      </c>
      <c r="O3512" s="380" t="s">
        <v>443</v>
      </c>
      <c r="P3512" s="380" t="s">
        <v>443</v>
      </c>
      <c r="Q3512" s="381">
        <v>619</v>
      </c>
      <c r="R3512" s="381">
        <v>577</v>
      </c>
      <c r="S3512" s="381">
        <v>42</v>
      </c>
      <c r="T3512" s="381">
        <v>0.51</v>
      </c>
      <c r="U3512" s="381">
        <v>0</v>
      </c>
      <c r="V3512" s="382">
        <v>619.51</v>
      </c>
      <c r="W3512" s="382">
        <v>0</v>
      </c>
      <c r="X3512" s="381">
        <v>0.61899999999999999</v>
      </c>
      <c r="Y3512" s="381">
        <v>0.57699999999999996</v>
      </c>
      <c r="Z3512" s="381">
        <v>4.2000000000000003E-2</v>
      </c>
      <c r="AA3512" s="381">
        <v>5.1000000000000004E-4</v>
      </c>
      <c r="AB3512" s="381">
        <v>0</v>
      </c>
      <c r="AC3512" s="382">
        <v>0.61951000000000001</v>
      </c>
      <c r="AD3512" s="382">
        <v>0</v>
      </c>
      <c r="AE3512" s="381" t="s">
        <v>444</v>
      </c>
    </row>
    <row r="3513" spans="1:31" ht="15" customHeight="1" x14ac:dyDescent="0.25">
      <c r="A3513" s="20" t="s">
        <v>5016</v>
      </c>
      <c r="B3513" s="20" t="s">
        <v>5303</v>
      </c>
      <c r="C3513" s="20" t="s">
        <v>5254</v>
      </c>
      <c r="D3513" s="378" t="s">
        <v>5335</v>
      </c>
      <c r="E3513" s="384">
        <v>44197</v>
      </c>
      <c r="F3513" s="384">
        <v>46023</v>
      </c>
      <c r="G3513" s="378" t="s">
        <v>5330</v>
      </c>
      <c r="H3513" s="20" t="s">
        <v>5336</v>
      </c>
      <c r="I3513" s="378" t="s">
        <v>441</v>
      </c>
      <c r="J3513" s="20" t="s">
        <v>3311</v>
      </c>
      <c r="K3513" s="378" t="s">
        <v>5332</v>
      </c>
      <c r="L3513" s="378" t="s">
        <v>2848</v>
      </c>
      <c r="M3513" s="380" t="s">
        <v>443</v>
      </c>
      <c r="N3513" s="380" t="s">
        <v>443</v>
      </c>
      <c r="O3513" s="380" t="s">
        <v>443</v>
      </c>
      <c r="P3513" s="380" t="s">
        <v>443</v>
      </c>
      <c r="Q3513" s="381">
        <v>934</v>
      </c>
      <c r="R3513" s="381">
        <v>0</v>
      </c>
      <c r="S3513" s="381">
        <v>0</v>
      </c>
      <c r="T3513" s="381">
        <v>0</v>
      </c>
      <c r="U3513" s="381">
        <v>0</v>
      </c>
      <c r="V3513" s="382">
        <v>934</v>
      </c>
      <c r="W3513" s="382">
        <v>0</v>
      </c>
      <c r="X3513" s="381">
        <v>0.93400000000000005</v>
      </c>
      <c r="Y3513" s="381">
        <v>0</v>
      </c>
      <c r="Z3513" s="381">
        <v>0</v>
      </c>
      <c r="AA3513" s="381">
        <v>0</v>
      </c>
      <c r="AB3513" s="381">
        <v>0</v>
      </c>
      <c r="AC3513" s="382">
        <v>0.93400000000000005</v>
      </c>
      <c r="AD3513" s="382">
        <v>0</v>
      </c>
      <c r="AE3513" s="381" t="s">
        <v>444</v>
      </c>
    </row>
    <row r="3514" spans="1:31" ht="15" customHeight="1" x14ac:dyDescent="0.25">
      <c r="A3514" s="20" t="s">
        <v>5016</v>
      </c>
      <c r="B3514" s="20" t="s">
        <v>5303</v>
      </c>
      <c r="C3514" s="20" t="s">
        <v>5254</v>
      </c>
      <c r="D3514" s="378" t="s">
        <v>5337</v>
      </c>
      <c r="E3514" s="384">
        <v>43508</v>
      </c>
      <c r="F3514" s="384">
        <v>44573</v>
      </c>
      <c r="G3514" s="378" t="s">
        <v>2837</v>
      </c>
      <c r="H3514" s="20" t="s">
        <v>5338</v>
      </c>
      <c r="I3514" s="378" t="s">
        <v>5096</v>
      </c>
      <c r="J3514" s="20" t="s">
        <v>5070</v>
      </c>
      <c r="K3514" s="378" t="s">
        <v>5339</v>
      </c>
      <c r="L3514" s="378" t="s">
        <v>2848</v>
      </c>
      <c r="M3514" s="380" t="s">
        <v>443</v>
      </c>
      <c r="N3514" s="380" t="s">
        <v>443</v>
      </c>
      <c r="O3514" s="380" t="s">
        <v>443</v>
      </c>
      <c r="P3514" s="380" t="s">
        <v>443</v>
      </c>
      <c r="Q3514" s="381">
        <v>2490</v>
      </c>
      <c r="R3514" s="381">
        <v>0</v>
      </c>
      <c r="S3514" s="381">
        <v>0</v>
      </c>
      <c r="T3514" s="381">
        <v>0</v>
      </c>
      <c r="U3514" s="381">
        <v>0</v>
      </c>
      <c r="V3514" s="382">
        <v>2490</v>
      </c>
      <c r="W3514" s="382">
        <v>0</v>
      </c>
      <c r="X3514" s="381">
        <v>2.4900000000000002</v>
      </c>
      <c r="Y3514" s="381">
        <v>0</v>
      </c>
      <c r="Z3514" s="381">
        <v>0</v>
      </c>
      <c r="AA3514" s="381">
        <v>0</v>
      </c>
      <c r="AB3514" s="381">
        <v>0</v>
      </c>
      <c r="AC3514" s="382">
        <v>2.4900000000000002</v>
      </c>
      <c r="AD3514" s="382">
        <v>0</v>
      </c>
      <c r="AE3514" s="381" t="s">
        <v>444</v>
      </c>
    </row>
    <row r="3515" spans="1:31" ht="15" customHeight="1" x14ac:dyDescent="0.25">
      <c r="A3515" s="20" t="s">
        <v>5016</v>
      </c>
      <c r="B3515" s="20" t="s">
        <v>5303</v>
      </c>
      <c r="C3515" s="20" t="s">
        <v>5254</v>
      </c>
      <c r="D3515" s="378" t="s">
        <v>5340</v>
      </c>
      <c r="E3515" s="384">
        <v>44932</v>
      </c>
      <c r="F3515" s="384">
        <v>46758</v>
      </c>
      <c r="G3515" s="378" t="s">
        <v>2837</v>
      </c>
      <c r="H3515" s="20" t="s">
        <v>5341</v>
      </c>
      <c r="I3515" s="378" t="s">
        <v>441</v>
      </c>
      <c r="J3515" s="20" t="s">
        <v>3311</v>
      </c>
      <c r="K3515" s="378" t="s">
        <v>5342</v>
      </c>
      <c r="L3515" s="378" t="s">
        <v>2848</v>
      </c>
      <c r="M3515" s="380" t="s">
        <v>443</v>
      </c>
      <c r="N3515" s="380" t="s">
        <v>443</v>
      </c>
      <c r="O3515" s="380" t="s">
        <v>443</v>
      </c>
      <c r="P3515" s="380" t="s">
        <v>443</v>
      </c>
      <c r="Q3515" s="381">
        <v>1010</v>
      </c>
      <c r="R3515" s="381">
        <v>0</v>
      </c>
      <c r="S3515" s="381">
        <v>0</v>
      </c>
      <c r="T3515" s="381">
        <v>0</v>
      </c>
      <c r="U3515" s="381">
        <v>0</v>
      </c>
      <c r="V3515" s="382">
        <v>1010</v>
      </c>
      <c r="W3515" s="382">
        <v>0</v>
      </c>
      <c r="X3515" s="381">
        <v>1.01</v>
      </c>
      <c r="Y3515" s="381">
        <v>0</v>
      </c>
      <c r="Z3515" s="381">
        <v>0</v>
      </c>
      <c r="AA3515" s="381">
        <v>0</v>
      </c>
      <c r="AB3515" s="381">
        <v>0</v>
      </c>
      <c r="AC3515" s="382">
        <v>1.01</v>
      </c>
      <c r="AD3515" s="382">
        <v>0</v>
      </c>
      <c r="AE3515" s="381" t="s">
        <v>444</v>
      </c>
    </row>
    <row r="3516" spans="1:31" ht="15" customHeight="1" x14ac:dyDescent="0.25">
      <c r="A3516" s="20" t="s">
        <v>5016</v>
      </c>
      <c r="B3516" s="20" t="s">
        <v>5303</v>
      </c>
      <c r="C3516" s="20" t="s">
        <v>5254</v>
      </c>
      <c r="D3516" s="378" t="s">
        <v>5343</v>
      </c>
      <c r="E3516" s="384">
        <v>44323</v>
      </c>
      <c r="F3516" s="384">
        <v>46119</v>
      </c>
      <c r="G3516" s="378" t="s">
        <v>2837</v>
      </c>
      <c r="H3516" s="20" t="s">
        <v>5344</v>
      </c>
      <c r="I3516" s="378">
        <v>0</v>
      </c>
      <c r="J3516" s="20" t="s">
        <v>3307</v>
      </c>
      <c r="K3516" s="378" t="s">
        <v>5345</v>
      </c>
      <c r="L3516" s="378" t="s">
        <v>2848</v>
      </c>
      <c r="M3516" s="380" t="s">
        <v>443</v>
      </c>
      <c r="N3516" s="380">
        <v>7850</v>
      </c>
      <c r="O3516" s="380" t="s">
        <v>443</v>
      </c>
      <c r="P3516" s="380" t="s">
        <v>443</v>
      </c>
      <c r="Q3516" s="381">
        <v>558</v>
      </c>
      <c r="R3516" s="381">
        <v>0</v>
      </c>
      <c r="S3516" s="381">
        <v>0</v>
      </c>
      <c r="T3516" s="381">
        <v>0</v>
      </c>
      <c r="U3516" s="381">
        <v>0</v>
      </c>
      <c r="V3516" s="382">
        <v>558</v>
      </c>
      <c r="W3516" s="382">
        <v>0</v>
      </c>
      <c r="X3516" s="381">
        <v>0.55800000000000005</v>
      </c>
      <c r="Y3516" s="381">
        <v>0</v>
      </c>
      <c r="Z3516" s="381">
        <v>0</v>
      </c>
      <c r="AA3516" s="381">
        <v>0</v>
      </c>
      <c r="AB3516" s="381">
        <v>0</v>
      </c>
      <c r="AC3516" s="382">
        <v>0.55800000000000005</v>
      </c>
      <c r="AD3516" s="382">
        <v>0</v>
      </c>
      <c r="AE3516" s="381" t="s">
        <v>444</v>
      </c>
    </row>
    <row r="3517" spans="1:31" ht="15" customHeight="1" x14ac:dyDescent="0.25">
      <c r="A3517" s="20" t="s">
        <v>5016</v>
      </c>
      <c r="B3517" s="20" t="s">
        <v>5303</v>
      </c>
      <c r="C3517" s="20" t="s">
        <v>5254</v>
      </c>
      <c r="D3517" s="378" t="s">
        <v>5346</v>
      </c>
      <c r="E3517" s="384">
        <v>45511</v>
      </c>
      <c r="F3517" s="384">
        <v>47337</v>
      </c>
      <c r="G3517" s="378" t="s">
        <v>5323</v>
      </c>
      <c r="H3517" s="20" t="s">
        <v>5347</v>
      </c>
      <c r="I3517" s="378" t="s">
        <v>441</v>
      </c>
      <c r="J3517" s="20" t="s">
        <v>776</v>
      </c>
      <c r="K3517" s="378" t="s">
        <v>5348</v>
      </c>
      <c r="L3517" s="378" t="s">
        <v>2848</v>
      </c>
      <c r="M3517" s="380" t="s">
        <v>443</v>
      </c>
      <c r="N3517" s="380" t="s">
        <v>443</v>
      </c>
      <c r="O3517" s="380" t="s">
        <v>443</v>
      </c>
      <c r="P3517" s="380" t="s">
        <v>443</v>
      </c>
      <c r="Q3517" s="381">
        <v>2330</v>
      </c>
      <c r="R3517" s="381">
        <v>2320</v>
      </c>
      <c r="S3517" s="381">
        <v>3.41</v>
      </c>
      <c r="T3517" s="381">
        <v>0.73299999999999998</v>
      </c>
      <c r="U3517" s="381">
        <v>0</v>
      </c>
      <c r="V3517" s="382">
        <v>2324.143</v>
      </c>
      <c r="W3517" s="382">
        <v>0</v>
      </c>
      <c r="X3517" s="381">
        <v>2.33</v>
      </c>
      <c r="Y3517" s="381">
        <v>2.3199999999999998</v>
      </c>
      <c r="Z3517" s="381">
        <v>3.4100000000000003E-3</v>
      </c>
      <c r="AA3517" s="381">
        <v>7.3300000000000004E-4</v>
      </c>
      <c r="AB3517" s="381">
        <v>0</v>
      </c>
      <c r="AC3517" s="382">
        <v>2.3241429999999998</v>
      </c>
      <c r="AD3517" s="382">
        <v>0</v>
      </c>
      <c r="AE3517" s="381" t="s">
        <v>444</v>
      </c>
    </row>
    <row r="3518" spans="1:31" ht="15" customHeight="1" x14ac:dyDescent="0.25">
      <c r="A3518" s="20" t="s">
        <v>5016</v>
      </c>
      <c r="B3518" s="20" t="s">
        <v>5303</v>
      </c>
      <c r="C3518" s="20" t="s">
        <v>5254</v>
      </c>
      <c r="D3518" s="378" t="s">
        <v>5349</v>
      </c>
      <c r="E3518" s="384" t="s">
        <v>5350</v>
      </c>
      <c r="F3518" s="384" t="s">
        <v>5351</v>
      </c>
      <c r="G3518" s="378" t="s">
        <v>5352</v>
      </c>
      <c r="H3518" s="20" t="s">
        <v>5353</v>
      </c>
      <c r="I3518" s="378">
        <v>0</v>
      </c>
      <c r="J3518" s="20" t="s">
        <v>5354</v>
      </c>
      <c r="K3518" s="378" t="s">
        <v>5355</v>
      </c>
      <c r="L3518" s="378" t="s">
        <v>2848</v>
      </c>
      <c r="M3518" s="380" t="s">
        <v>443</v>
      </c>
      <c r="N3518" s="380" t="s">
        <v>443</v>
      </c>
      <c r="O3518" s="380" t="s">
        <v>443</v>
      </c>
      <c r="P3518" s="380" t="s">
        <v>443</v>
      </c>
      <c r="Q3518" s="381">
        <v>760</v>
      </c>
      <c r="R3518" s="381">
        <v>0</v>
      </c>
      <c r="S3518" s="381">
        <v>0</v>
      </c>
      <c r="T3518" s="381">
        <v>0</v>
      </c>
      <c r="U3518" s="381">
        <v>0</v>
      </c>
      <c r="V3518" s="382">
        <v>760</v>
      </c>
      <c r="W3518" s="382">
        <v>0</v>
      </c>
      <c r="X3518" s="381">
        <v>0.76</v>
      </c>
      <c r="Y3518" s="381">
        <v>0</v>
      </c>
      <c r="Z3518" s="381">
        <v>0</v>
      </c>
      <c r="AA3518" s="381">
        <v>0</v>
      </c>
      <c r="AB3518" s="381">
        <v>0</v>
      </c>
      <c r="AC3518" s="382">
        <v>0.76</v>
      </c>
      <c r="AD3518" s="382">
        <v>0</v>
      </c>
      <c r="AE3518" s="381" t="s">
        <v>444</v>
      </c>
    </row>
    <row r="3519" spans="1:31" ht="15" customHeight="1" x14ac:dyDescent="0.25">
      <c r="A3519" s="20" t="s">
        <v>5016</v>
      </c>
      <c r="B3519" s="20" t="s">
        <v>5303</v>
      </c>
      <c r="C3519" s="20" t="s">
        <v>5254</v>
      </c>
      <c r="D3519" s="378" t="s">
        <v>5356</v>
      </c>
      <c r="E3519" s="384" t="s">
        <v>5357</v>
      </c>
      <c r="F3519" s="384">
        <v>46914</v>
      </c>
      <c r="G3519" s="378" t="s">
        <v>2837</v>
      </c>
      <c r="H3519" s="20" t="s">
        <v>5358</v>
      </c>
      <c r="I3519" s="378">
        <v>0</v>
      </c>
      <c r="J3519" s="20" t="s">
        <v>5359</v>
      </c>
      <c r="K3519" s="378" t="s">
        <v>5360</v>
      </c>
      <c r="L3519" s="378" t="s">
        <v>2848</v>
      </c>
      <c r="M3519" s="380">
        <v>7850</v>
      </c>
      <c r="N3519" s="380" t="s">
        <v>443</v>
      </c>
      <c r="O3519" s="380" t="s">
        <v>443</v>
      </c>
      <c r="P3519" s="380" t="s">
        <v>443</v>
      </c>
      <c r="Q3519" s="381">
        <v>1010</v>
      </c>
      <c r="R3519" s="381">
        <v>1010</v>
      </c>
      <c r="S3519" s="381">
        <v>-1140</v>
      </c>
      <c r="T3519" s="381">
        <v>0.48399999999999999</v>
      </c>
      <c r="U3519" s="381">
        <v>0</v>
      </c>
      <c r="V3519" s="382">
        <v>1010.484</v>
      </c>
      <c r="W3519" s="382">
        <v>0</v>
      </c>
      <c r="X3519" s="381">
        <v>1.01</v>
      </c>
      <c r="Y3519" s="381">
        <v>1.01</v>
      </c>
      <c r="Z3519" s="381">
        <v>-1.1399999999999999</v>
      </c>
      <c r="AA3519" s="381">
        <v>4.84E-4</v>
      </c>
      <c r="AB3519" s="381">
        <v>0</v>
      </c>
      <c r="AC3519" s="382">
        <v>1.0104839999999999</v>
      </c>
      <c r="AD3519" s="382">
        <v>0</v>
      </c>
      <c r="AE3519" s="381" t="s">
        <v>444</v>
      </c>
    </row>
    <row r="3520" spans="1:31" ht="15" customHeight="1" x14ac:dyDescent="0.25">
      <c r="A3520" s="20" t="s">
        <v>5016</v>
      </c>
      <c r="B3520" s="20" t="s">
        <v>5303</v>
      </c>
      <c r="C3520" s="20" t="s">
        <v>5254</v>
      </c>
      <c r="D3520" s="378" t="s">
        <v>5361</v>
      </c>
      <c r="E3520" s="384">
        <v>45416</v>
      </c>
      <c r="F3520" s="384">
        <v>47242</v>
      </c>
      <c r="G3520" s="378" t="s">
        <v>2837</v>
      </c>
      <c r="H3520" s="20" t="s">
        <v>5362</v>
      </c>
      <c r="I3520" s="378">
        <v>0</v>
      </c>
      <c r="J3520" s="20" t="s">
        <v>5080</v>
      </c>
      <c r="K3520" s="378" t="s">
        <v>5363</v>
      </c>
      <c r="L3520" s="378" t="s">
        <v>2848</v>
      </c>
      <c r="M3520" s="380" t="s">
        <v>443</v>
      </c>
      <c r="N3520" s="380" t="s">
        <v>443</v>
      </c>
      <c r="O3520" s="380" t="s">
        <v>443</v>
      </c>
      <c r="P3520" s="380" t="s">
        <v>443</v>
      </c>
      <c r="Q3520" s="381">
        <v>775</v>
      </c>
      <c r="R3520" s="381">
        <v>759</v>
      </c>
      <c r="S3520" s="381">
        <v>15.5</v>
      </c>
      <c r="T3520" s="381">
        <v>0.46100000000000002</v>
      </c>
      <c r="U3520" s="381">
        <v>0</v>
      </c>
      <c r="V3520" s="382">
        <v>774.96100000000001</v>
      </c>
      <c r="W3520" s="382">
        <v>0</v>
      </c>
      <c r="X3520" s="381">
        <v>0.77500000000000002</v>
      </c>
      <c r="Y3520" s="381">
        <v>0.75900000000000001</v>
      </c>
      <c r="Z3520" s="381">
        <v>1.55E-2</v>
      </c>
      <c r="AA3520" s="381">
        <v>4.6100000000000004E-4</v>
      </c>
      <c r="AB3520" s="381">
        <v>0</v>
      </c>
      <c r="AC3520" s="382">
        <v>0.77496100000000001</v>
      </c>
      <c r="AD3520" s="382">
        <v>0</v>
      </c>
      <c r="AE3520" s="381" t="s">
        <v>444</v>
      </c>
    </row>
    <row r="3521" spans="1:31" ht="15" customHeight="1" x14ac:dyDescent="0.25">
      <c r="A3521" s="20" t="s">
        <v>5016</v>
      </c>
      <c r="B3521" s="20" t="s">
        <v>5303</v>
      </c>
      <c r="C3521" s="20" t="s">
        <v>5254</v>
      </c>
      <c r="D3521" s="378" t="s">
        <v>5364</v>
      </c>
      <c r="E3521" s="384">
        <v>45638</v>
      </c>
      <c r="F3521" s="384">
        <v>47464</v>
      </c>
      <c r="G3521" s="378" t="s">
        <v>2837</v>
      </c>
      <c r="H3521" s="20" t="s">
        <v>5365</v>
      </c>
      <c r="I3521" s="378" t="s">
        <v>441</v>
      </c>
      <c r="J3521" s="20" t="s">
        <v>3311</v>
      </c>
      <c r="K3521" s="378" t="s">
        <v>5366</v>
      </c>
      <c r="L3521" s="378" t="s">
        <v>2848</v>
      </c>
      <c r="M3521" s="380">
        <v>7850</v>
      </c>
      <c r="N3521" s="380" t="s">
        <v>443</v>
      </c>
      <c r="O3521" s="380" t="s">
        <v>443</v>
      </c>
      <c r="P3521" s="380" t="s">
        <v>443</v>
      </c>
      <c r="Q3521" s="381">
        <v>2660</v>
      </c>
      <c r="R3521" s="381">
        <v>2620</v>
      </c>
      <c r="S3521" s="381">
        <v>1.41</v>
      </c>
      <c r="T3521" s="381">
        <v>1.3</v>
      </c>
      <c r="U3521" s="381">
        <v>0</v>
      </c>
      <c r="V3521" s="382">
        <v>2622.71</v>
      </c>
      <c r="W3521" s="382">
        <v>0</v>
      </c>
      <c r="X3521" s="381">
        <v>2.66</v>
      </c>
      <c r="Y3521" s="381">
        <v>2.62</v>
      </c>
      <c r="Z3521" s="381">
        <v>1.41E-3</v>
      </c>
      <c r="AA3521" s="381">
        <v>1.2999999999999999E-3</v>
      </c>
      <c r="AB3521" s="381">
        <v>0</v>
      </c>
      <c r="AC3521" s="382">
        <v>2.6227100000000001</v>
      </c>
      <c r="AD3521" s="382">
        <v>0</v>
      </c>
      <c r="AE3521" s="381" t="s">
        <v>444</v>
      </c>
    </row>
    <row r="3522" spans="1:31" ht="15" customHeight="1" x14ac:dyDescent="0.25">
      <c r="A3522" s="20" t="s">
        <v>5367</v>
      </c>
      <c r="B3522" s="20" t="s">
        <v>5367</v>
      </c>
      <c r="C3522" s="20" t="s">
        <v>5367</v>
      </c>
      <c r="D3522" s="378" t="s">
        <v>5368</v>
      </c>
      <c r="E3522" s="384">
        <v>43898</v>
      </c>
      <c r="F3522" s="384">
        <v>46328</v>
      </c>
      <c r="G3522" s="378" t="s">
        <v>5369</v>
      </c>
      <c r="H3522" s="20" t="s">
        <v>5370</v>
      </c>
      <c r="I3522" s="378">
        <v>0</v>
      </c>
      <c r="J3522" s="20" t="s">
        <v>776</v>
      </c>
      <c r="K3522" s="378" t="s">
        <v>5371</v>
      </c>
      <c r="L3522" s="378" t="s">
        <v>165</v>
      </c>
      <c r="M3522" s="380">
        <v>450</v>
      </c>
      <c r="N3522" s="380" t="s">
        <v>443</v>
      </c>
      <c r="O3522" s="380" t="s">
        <v>443</v>
      </c>
      <c r="P3522" s="380" t="s">
        <v>443</v>
      </c>
      <c r="Q3522" s="381">
        <v>-685</v>
      </c>
      <c r="R3522" s="381">
        <v>30.6</v>
      </c>
      <c r="S3522" s="381">
        <v>-716</v>
      </c>
      <c r="T3522" s="381">
        <v>0.97299999999999998</v>
      </c>
      <c r="U3522" s="381">
        <v>-717</v>
      </c>
      <c r="V3522" s="382">
        <v>31.572999999999979</v>
      </c>
      <c r="W3522" s="382">
        <v>-717</v>
      </c>
      <c r="X3522" s="381">
        <v>-1.5222222222222221</v>
      </c>
      <c r="Y3522" s="381">
        <v>6.8000000000000005E-2</v>
      </c>
      <c r="Z3522" s="381">
        <v>-1.5911111111111111</v>
      </c>
      <c r="AA3522" s="381">
        <v>2.1622222222222221E-3</v>
      </c>
      <c r="AB3522" s="381">
        <v>-1.5933333333333333</v>
      </c>
      <c r="AC3522" s="382">
        <v>7.0162222222222237E-2</v>
      </c>
      <c r="AD3522" s="382">
        <v>-1.5933333333333333</v>
      </c>
      <c r="AE3522" s="381" t="s">
        <v>444</v>
      </c>
    </row>
    <row r="3523" spans="1:31" ht="15" customHeight="1" x14ac:dyDescent="0.25">
      <c r="A3523" s="20" t="s">
        <v>5372</v>
      </c>
      <c r="B3523" s="20" t="s">
        <v>5372</v>
      </c>
      <c r="C3523" s="20" t="s">
        <v>5372</v>
      </c>
      <c r="D3523" s="378" t="s">
        <v>5373</v>
      </c>
      <c r="E3523" s="384">
        <v>45271</v>
      </c>
      <c r="F3523" s="384">
        <v>47098</v>
      </c>
      <c r="G3523" s="378" t="s">
        <v>2837</v>
      </c>
      <c r="H3523" s="20" t="s">
        <v>5374</v>
      </c>
      <c r="I3523" s="378">
        <v>0</v>
      </c>
      <c r="J3523" s="20" t="s">
        <v>2831</v>
      </c>
      <c r="K3523" s="378" t="s">
        <v>5375</v>
      </c>
      <c r="L3523" s="378" t="s">
        <v>2774</v>
      </c>
      <c r="M3523" s="380" t="s">
        <v>443</v>
      </c>
      <c r="N3523" s="380" t="s">
        <v>443</v>
      </c>
      <c r="O3523" s="380" t="s">
        <v>443</v>
      </c>
      <c r="P3523" s="380">
        <v>4.3099999999999999E-2</v>
      </c>
      <c r="Q3523" s="381">
        <v>9.5250999999999999E-3</v>
      </c>
      <c r="R3523" s="381">
        <v>9.4819999999999991E-3</v>
      </c>
      <c r="S3523" s="381">
        <v>1.3792000000000001E-5</v>
      </c>
      <c r="T3523" s="381">
        <v>8.3613999999999993E-6</v>
      </c>
      <c r="U3523" s="381">
        <v>0</v>
      </c>
      <c r="V3523" s="382">
        <v>9.5041533999999997E-3</v>
      </c>
      <c r="W3523" s="382">
        <v>0</v>
      </c>
      <c r="X3523" s="381">
        <v>9.5250999999999999E-3</v>
      </c>
      <c r="Y3523" s="381">
        <v>9.4819999999999991E-3</v>
      </c>
      <c r="Z3523" s="381">
        <v>1.3792000000000001E-5</v>
      </c>
      <c r="AA3523" s="381">
        <v>8.3613999999999993E-6</v>
      </c>
      <c r="AB3523" s="381">
        <v>0</v>
      </c>
      <c r="AC3523" s="382">
        <v>9.5041533999999997E-3</v>
      </c>
      <c r="AD3523" s="382">
        <v>0</v>
      </c>
      <c r="AE3523" s="381" t="s">
        <v>168</v>
      </c>
    </row>
    <row r="3524" spans="1:31" ht="15" customHeight="1" x14ac:dyDescent="0.25">
      <c r="A3524" s="20" t="s">
        <v>2783</v>
      </c>
      <c r="B3524" s="20" t="s">
        <v>5376</v>
      </c>
      <c r="C3524" s="20" t="s">
        <v>5377</v>
      </c>
      <c r="D3524" s="378" t="s">
        <v>5378</v>
      </c>
      <c r="E3524" s="384">
        <v>45322</v>
      </c>
      <c r="F3524" s="384">
        <v>47149</v>
      </c>
      <c r="G3524" s="378" t="s">
        <v>2845</v>
      </c>
      <c r="H3524" s="20" t="s">
        <v>5379</v>
      </c>
      <c r="I3524" s="378">
        <v>0</v>
      </c>
      <c r="J3524" s="20" t="s">
        <v>776</v>
      </c>
      <c r="K3524" s="378" t="s">
        <v>5380</v>
      </c>
      <c r="L3524" s="378" t="s">
        <v>2789</v>
      </c>
      <c r="M3524" s="380" t="s">
        <v>443</v>
      </c>
      <c r="N3524" s="380">
        <v>10.5</v>
      </c>
      <c r="O3524" s="380" t="s">
        <v>443</v>
      </c>
      <c r="P3524" s="380" t="s">
        <v>443</v>
      </c>
      <c r="Q3524" s="381">
        <v>19</v>
      </c>
      <c r="R3524" s="381">
        <v>21</v>
      </c>
      <c r="S3524" s="381">
        <v>-1.03</v>
      </c>
      <c r="T3524" s="381">
        <v>8.8800000000000004E-2</v>
      </c>
      <c r="U3524" s="381">
        <v>0</v>
      </c>
      <c r="V3524" s="382">
        <v>21.088799999999999</v>
      </c>
      <c r="W3524" s="382">
        <v>0</v>
      </c>
      <c r="X3524" s="381">
        <v>1.8095238095238095</v>
      </c>
      <c r="Y3524" s="381">
        <v>2</v>
      </c>
      <c r="Z3524" s="381">
        <v>-9.8095238095238096E-2</v>
      </c>
      <c r="AA3524" s="381">
        <v>8.4571428571428575E-3</v>
      </c>
      <c r="AB3524" s="381">
        <v>0</v>
      </c>
      <c r="AC3524" s="382">
        <v>2.0084571428571429</v>
      </c>
      <c r="AD3524" s="382">
        <v>0</v>
      </c>
      <c r="AE3524" s="381" t="s">
        <v>168</v>
      </c>
    </row>
    <row r="3525" spans="1:31" ht="15" customHeight="1" x14ac:dyDescent="0.25">
      <c r="A3525" s="20" t="s">
        <v>2783</v>
      </c>
      <c r="B3525" s="20" t="s">
        <v>5376</v>
      </c>
      <c r="C3525" s="20" t="s">
        <v>5377</v>
      </c>
      <c r="D3525" s="378" t="s">
        <v>5378</v>
      </c>
      <c r="E3525" s="384">
        <v>45322</v>
      </c>
      <c r="F3525" s="384">
        <v>47149</v>
      </c>
      <c r="G3525" s="378" t="s">
        <v>2845</v>
      </c>
      <c r="H3525" s="20" t="s">
        <v>5379</v>
      </c>
      <c r="I3525" s="378">
        <v>0</v>
      </c>
      <c r="J3525" s="20" t="s">
        <v>776</v>
      </c>
      <c r="K3525" s="378" t="s">
        <v>5380</v>
      </c>
      <c r="L3525" s="378" t="s">
        <v>2789</v>
      </c>
      <c r="M3525" s="380" t="s">
        <v>443</v>
      </c>
      <c r="N3525" s="380">
        <v>10.5</v>
      </c>
      <c r="O3525" s="380" t="s">
        <v>443</v>
      </c>
      <c r="P3525" s="380" t="s">
        <v>443</v>
      </c>
      <c r="Q3525" s="381">
        <v>19</v>
      </c>
      <c r="R3525" s="381">
        <v>21</v>
      </c>
      <c r="S3525" s="381">
        <v>-1.03</v>
      </c>
      <c r="T3525" s="381">
        <v>8.8800000000000004E-2</v>
      </c>
      <c r="U3525" s="381">
        <v>0</v>
      </c>
      <c r="V3525" s="382">
        <v>21.088799999999999</v>
      </c>
      <c r="W3525" s="382">
        <v>0</v>
      </c>
      <c r="X3525" s="381">
        <v>1.8095238095238095</v>
      </c>
      <c r="Y3525" s="381">
        <v>2</v>
      </c>
      <c r="Z3525" s="381">
        <v>-9.8095238095238096E-2</v>
      </c>
      <c r="AA3525" s="381">
        <v>8.4571428571428575E-3</v>
      </c>
      <c r="AB3525" s="381">
        <v>0</v>
      </c>
      <c r="AC3525" s="382">
        <v>2.0084571428571429</v>
      </c>
      <c r="AD3525" s="382">
        <v>0</v>
      </c>
      <c r="AE3525" s="381" t="s">
        <v>168</v>
      </c>
    </row>
    <row r="3526" spans="1:31" ht="15" customHeight="1" x14ac:dyDescent="0.25">
      <c r="A3526" s="20" t="s">
        <v>2783</v>
      </c>
      <c r="B3526" s="20" t="s">
        <v>5376</v>
      </c>
      <c r="C3526" s="20" t="s">
        <v>5377</v>
      </c>
      <c r="D3526" s="378" t="s">
        <v>5381</v>
      </c>
      <c r="E3526" s="384">
        <v>45348</v>
      </c>
      <c r="F3526" s="384">
        <v>47175</v>
      </c>
      <c r="G3526" s="378" t="s">
        <v>5382</v>
      </c>
      <c r="H3526" s="20" t="s">
        <v>5383</v>
      </c>
      <c r="I3526" s="378">
        <v>0</v>
      </c>
      <c r="J3526" s="20" t="s">
        <v>776</v>
      </c>
      <c r="K3526" s="378" t="s">
        <v>5384</v>
      </c>
      <c r="L3526" s="378" t="s">
        <v>2789</v>
      </c>
      <c r="M3526" s="380" t="s">
        <v>443</v>
      </c>
      <c r="N3526" s="380">
        <v>10.5</v>
      </c>
      <c r="O3526" s="380" t="s">
        <v>443</v>
      </c>
      <c r="P3526" s="380" t="s">
        <v>443</v>
      </c>
      <c r="Q3526" s="381">
        <v>19</v>
      </c>
      <c r="R3526" s="381">
        <v>21</v>
      </c>
      <c r="S3526" s="381">
        <v>-1.03</v>
      </c>
      <c r="T3526" s="381">
        <v>8.8800000000000004E-2</v>
      </c>
      <c r="U3526" s="381">
        <v>0</v>
      </c>
      <c r="V3526" s="382">
        <v>21.088799999999999</v>
      </c>
      <c r="W3526" s="382">
        <v>0</v>
      </c>
      <c r="X3526" s="381">
        <v>1.8095238095238095</v>
      </c>
      <c r="Y3526" s="381">
        <v>2</v>
      </c>
      <c r="Z3526" s="381">
        <v>-9.8095238095238096E-2</v>
      </c>
      <c r="AA3526" s="381">
        <v>8.4571428571428575E-3</v>
      </c>
      <c r="AB3526" s="381">
        <v>0</v>
      </c>
      <c r="AC3526" s="382">
        <v>2.0084571428571429</v>
      </c>
      <c r="AD3526" s="382">
        <v>0</v>
      </c>
      <c r="AE3526" s="381" t="s">
        <v>168</v>
      </c>
    </row>
    <row r="3527" spans="1:31" ht="15" customHeight="1" x14ac:dyDescent="0.25">
      <c r="A3527" s="20" t="s">
        <v>2783</v>
      </c>
      <c r="B3527" s="20" t="s">
        <v>5376</v>
      </c>
      <c r="C3527" s="20" t="s">
        <v>5377</v>
      </c>
      <c r="D3527" s="378" t="s">
        <v>5385</v>
      </c>
      <c r="E3527" s="384">
        <v>45345</v>
      </c>
      <c r="F3527" s="384">
        <v>47172</v>
      </c>
      <c r="G3527" s="378" t="s">
        <v>5386</v>
      </c>
      <c r="H3527" s="20" t="s">
        <v>5387</v>
      </c>
      <c r="I3527" s="378">
        <v>0</v>
      </c>
      <c r="J3527" s="20" t="s">
        <v>776</v>
      </c>
      <c r="K3527" s="378" t="s">
        <v>5388</v>
      </c>
      <c r="L3527" s="378" t="s">
        <v>2789</v>
      </c>
      <c r="M3527" s="380" t="s">
        <v>443</v>
      </c>
      <c r="N3527" s="380">
        <v>10.5</v>
      </c>
      <c r="O3527" s="380" t="s">
        <v>443</v>
      </c>
      <c r="P3527" s="380" t="s">
        <v>443</v>
      </c>
      <c r="Q3527" s="381">
        <v>19</v>
      </c>
      <c r="R3527" s="381">
        <v>21</v>
      </c>
      <c r="S3527" s="381">
        <v>-1.03</v>
      </c>
      <c r="T3527" s="381">
        <v>8.8800000000000004E-2</v>
      </c>
      <c r="U3527" s="381">
        <v>0</v>
      </c>
      <c r="V3527" s="382">
        <v>21.088799999999999</v>
      </c>
      <c r="W3527" s="382">
        <v>0</v>
      </c>
      <c r="X3527" s="381">
        <v>1.8095238095238095</v>
      </c>
      <c r="Y3527" s="381">
        <v>2</v>
      </c>
      <c r="Z3527" s="381">
        <v>-9.8095238095238096E-2</v>
      </c>
      <c r="AA3527" s="381">
        <v>8.4571428571428575E-3</v>
      </c>
      <c r="AB3527" s="381">
        <v>0</v>
      </c>
      <c r="AC3527" s="382">
        <v>2.0084571428571429</v>
      </c>
      <c r="AD3527" s="382">
        <v>0</v>
      </c>
      <c r="AE3527" s="381" t="s">
        <v>168</v>
      </c>
    </row>
    <row r="3528" spans="1:31" ht="15" customHeight="1" x14ac:dyDescent="0.25">
      <c r="A3528" s="20" t="s">
        <v>2783</v>
      </c>
      <c r="B3528" s="20" t="s">
        <v>5376</v>
      </c>
      <c r="C3528" s="20" t="s">
        <v>5377</v>
      </c>
      <c r="D3528" s="378" t="s">
        <v>5389</v>
      </c>
      <c r="E3528" s="384">
        <v>45131</v>
      </c>
      <c r="F3528" s="384">
        <v>46958</v>
      </c>
      <c r="G3528" s="378" t="s">
        <v>2837</v>
      </c>
      <c r="H3528" s="20" t="s">
        <v>5390</v>
      </c>
      <c r="I3528" s="378">
        <v>0</v>
      </c>
      <c r="J3528" s="20" t="s">
        <v>776</v>
      </c>
      <c r="K3528" s="378" t="s">
        <v>5391</v>
      </c>
      <c r="L3528" s="378" t="s">
        <v>2789</v>
      </c>
      <c r="M3528" s="380" t="s">
        <v>443</v>
      </c>
      <c r="N3528" s="380">
        <v>14.97</v>
      </c>
      <c r="O3528" s="380" t="s">
        <v>443</v>
      </c>
      <c r="P3528" s="380" t="s">
        <v>443</v>
      </c>
      <c r="Q3528" s="381">
        <v>34.1</v>
      </c>
      <c r="R3528" s="381">
        <v>34.200000000000003</v>
      </c>
      <c r="S3528" s="381">
        <v>-0.29399999999999998</v>
      </c>
      <c r="T3528" s="381">
        <v>0.186</v>
      </c>
      <c r="U3528" s="381">
        <v>0</v>
      </c>
      <c r="V3528" s="382">
        <v>34.386000000000003</v>
      </c>
      <c r="W3528" s="382">
        <v>0</v>
      </c>
      <c r="X3528" s="381">
        <v>2.2778891115564464</v>
      </c>
      <c r="Y3528" s="381">
        <v>2.2845691382765532</v>
      </c>
      <c r="Z3528" s="381">
        <v>-1.9639278557114226E-2</v>
      </c>
      <c r="AA3528" s="381">
        <v>1.2424849699398798E-2</v>
      </c>
      <c r="AB3528" s="381">
        <v>0</v>
      </c>
      <c r="AC3528" s="382">
        <v>2.2969939879759522</v>
      </c>
      <c r="AD3528" s="382">
        <v>0</v>
      </c>
      <c r="AE3528" s="381" t="s">
        <v>168</v>
      </c>
    </row>
    <row r="3529" spans="1:31" ht="15" customHeight="1" x14ac:dyDescent="0.25">
      <c r="A3529" s="20" t="s">
        <v>2783</v>
      </c>
      <c r="B3529" s="20" t="s">
        <v>5376</v>
      </c>
      <c r="C3529" s="20" t="s">
        <v>5377</v>
      </c>
      <c r="D3529" s="378" t="s">
        <v>5392</v>
      </c>
      <c r="E3529" s="384">
        <v>45500</v>
      </c>
      <c r="F3529" s="384" t="s">
        <v>5393</v>
      </c>
      <c r="G3529" s="378" t="s">
        <v>2845</v>
      </c>
      <c r="H3529" s="20" t="s">
        <v>5394</v>
      </c>
      <c r="I3529" s="378">
        <v>0</v>
      </c>
      <c r="J3529" s="20" t="s">
        <v>776</v>
      </c>
      <c r="K3529" s="378" t="s">
        <v>5395</v>
      </c>
      <c r="L3529" s="378" t="s">
        <v>2789</v>
      </c>
      <c r="M3529" s="380" t="s">
        <v>443</v>
      </c>
      <c r="N3529" s="380">
        <v>10.5</v>
      </c>
      <c r="O3529" s="380" t="s">
        <v>443</v>
      </c>
      <c r="P3529" s="380" t="s">
        <v>443</v>
      </c>
      <c r="Q3529" s="381">
        <v>9.11</v>
      </c>
      <c r="R3529" s="381">
        <v>8.9600000000000009</v>
      </c>
      <c r="S3529" s="381">
        <v>7.6999999999999999E-2</v>
      </c>
      <c r="T3529" s="381">
        <v>7.6799999999999993E-2</v>
      </c>
      <c r="U3529" s="381">
        <v>0</v>
      </c>
      <c r="V3529" s="382">
        <v>9.1138000000000012</v>
      </c>
      <c r="W3529" s="382">
        <v>0</v>
      </c>
      <c r="X3529" s="381">
        <v>0.86761904761904751</v>
      </c>
      <c r="Y3529" s="381">
        <v>0.85333333333333339</v>
      </c>
      <c r="Z3529" s="381">
        <v>7.3333333333333332E-3</v>
      </c>
      <c r="AA3529" s="381">
        <v>7.3142857142857133E-3</v>
      </c>
      <c r="AB3529" s="381">
        <v>0</v>
      </c>
      <c r="AC3529" s="382">
        <v>0.86798095238095241</v>
      </c>
      <c r="AD3529" s="382">
        <v>0</v>
      </c>
      <c r="AE3529" s="381" t="s">
        <v>168</v>
      </c>
    </row>
    <row r="3530" spans="1:31" ht="15" customHeight="1" x14ac:dyDescent="0.25">
      <c r="A3530" s="20" t="s">
        <v>2783</v>
      </c>
      <c r="B3530" s="20" t="s">
        <v>5376</v>
      </c>
      <c r="C3530" s="20" t="s">
        <v>5377</v>
      </c>
      <c r="D3530" s="378" t="s">
        <v>5392</v>
      </c>
      <c r="E3530" s="384">
        <v>45500</v>
      </c>
      <c r="F3530" s="384" t="s">
        <v>5393</v>
      </c>
      <c r="G3530" s="378" t="s">
        <v>2845</v>
      </c>
      <c r="H3530" s="20" t="s">
        <v>5394</v>
      </c>
      <c r="I3530" s="378">
        <v>0</v>
      </c>
      <c r="J3530" s="20" t="s">
        <v>776</v>
      </c>
      <c r="K3530" s="378" t="s">
        <v>5395</v>
      </c>
      <c r="L3530" s="378" t="s">
        <v>2789</v>
      </c>
      <c r="M3530" s="380" t="s">
        <v>443</v>
      </c>
      <c r="N3530" s="380">
        <v>10.5</v>
      </c>
      <c r="O3530" s="380" t="s">
        <v>443</v>
      </c>
      <c r="P3530" s="380" t="s">
        <v>443</v>
      </c>
      <c r="Q3530" s="381">
        <v>9.11</v>
      </c>
      <c r="R3530" s="381">
        <v>8.9600000000000009</v>
      </c>
      <c r="S3530" s="381">
        <v>7.6999999999999999E-2</v>
      </c>
      <c r="T3530" s="381">
        <v>7.6799999999999993E-2</v>
      </c>
      <c r="U3530" s="381">
        <v>0</v>
      </c>
      <c r="V3530" s="382">
        <v>9.1138000000000012</v>
      </c>
      <c r="W3530" s="382">
        <v>0</v>
      </c>
      <c r="X3530" s="381">
        <v>0.86761904761904751</v>
      </c>
      <c r="Y3530" s="381">
        <v>0.85333333333333339</v>
      </c>
      <c r="Z3530" s="381">
        <v>7.3333333333333332E-3</v>
      </c>
      <c r="AA3530" s="381">
        <v>7.3142857142857133E-3</v>
      </c>
      <c r="AB3530" s="381">
        <v>0</v>
      </c>
      <c r="AC3530" s="382">
        <v>0.86798095238095241</v>
      </c>
      <c r="AD3530" s="382">
        <v>0</v>
      </c>
      <c r="AE3530" s="381" t="s">
        <v>168</v>
      </c>
    </row>
    <row r="3531" spans="1:31" ht="15" customHeight="1" x14ac:dyDescent="0.25">
      <c r="A3531" s="20" t="s">
        <v>2783</v>
      </c>
      <c r="B3531" s="20" t="s">
        <v>5376</v>
      </c>
      <c r="C3531" s="20" t="s">
        <v>5377</v>
      </c>
      <c r="D3531" s="378" t="s">
        <v>5396</v>
      </c>
      <c r="E3531" s="384" t="s">
        <v>5397</v>
      </c>
      <c r="F3531" s="384" t="s">
        <v>5398</v>
      </c>
      <c r="G3531" s="378" t="s">
        <v>2837</v>
      </c>
      <c r="H3531" s="20" t="s">
        <v>5399</v>
      </c>
      <c r="I3531" s="378" t="s">
        <v>441</v>
      </c>
      <c r="J3531" s="20" t="s">
        <v>3311</v>
      </c>
      <c r="K3531" s="378" t="s">
        <v>5400</v>
      </c>
      <c r="L3531" s="378" t="s">
        <v>2789</v>
      </c>
      <c r="M3531" s="380" t="s">
        <v>443</v>
      </c>
      <c r="N3531" s="380">
        <v>2.9</v>
      </c>
      <c r="O3531" s="380" t="s">
        <v>443</v>
      </c>
      <c r="P3531" s="380" t="s">
        <v>443</v>
      </c>
      <c r="Q3531" s="381">
        <v>5.75</v>
      </c>
      <c r="R3531" s="381">
        <v>6.09</v>
      </c>
      <c r="S3531" s="381">
        <v>-0.34100000000000003</v>
      </c>
      <c r="T3531" s="381">
        <v>2.5300000000000001E-3</v>
      </c>
      <c r="U3531" s="381">
        <v>0</v>
      </c>
      <c r="V3531" s="382">
        <v>6.09253</v>
      </c>
      <c r="W3531" s="382">
        <v>0</v>
      </c>
      <c r="X3531" s="381">
        <v>1.9827586206896552</v>
      </c>
      <c r="Y3531" s="381">
        <v>2.1</v>
      </c>
      <c r="Z3531" s="381">
        <v>-0.11758620689655173</v>
      </c>
      <c r="AA3531" s="381">
        <v>8.7241379310344831E-4</v>
      </c>
      <c r="AB3531" s="381">
        <v>0</v>
      </c>
      <c r="AC3531" s="382">
        <v>2.1008724137931036</v>
      </c>
      <c r="AD3531" s="382">
        <v>0</v>
      </c>
      <c r="AE3531" s="381" t="s">
        <v>444</v>
      </c>
    </row>
    <row r="3532" spans="1:31" ht="15" customHeight="1" x14ac:dyDescent="0.25">
      <c r="A3532" s="20" t="s">
        <v>2783</v>
      </c>
      <c r="B3532" s="20" t="s">
        <v>5376</v>
      </c>
      <c r="C3532" s="20" t="s">
        <v>5377</v>
      </c>
      <c r="D3532" s="378" t="s">
        <v>5401</v>
      </c>
      <c r="E3532" s="384">
        <v>44935</v>
      </c>
      <c r="F3532" s="384">
        <v>46761</v>
      </c>
      <c r="G3532" s="378" t="s">
        <v>2837</v>
      </c>
      <c r="H3532" s="20" t="s">
        <v>5402</v>
      </c>
      <c r="I3532" s="378" t="s">
        <v>441</v>
      </c>
      <c r="J3532" s="20" t="s">
        <v>3311</v>
      </c>
      <c r="K3532" s="378" t="s">
        <v>5403</v>
      </c>
      <c r="L3532" s="378" t="s">
        <v>2789</v>
      </c>
      <c r="M3532" s="380" t="s">
        <v>443</v>
      </c>
      <c r="N3532" s="380">
        <v>2.75</v>
      </c>
      <c r="O3532" s="380" t="s">
        <v>443</v>
      </c>
      <c r="P3532" s="380" t="s">
        <v>443</v>
      </c>
      <c r="Q3532" s="381">
        <v>4.83</v>
      </c>
      <c r="R3532" s="381">
        <v>5.62</v>
      </c>
      <c r="S3532" s="381">
        <v>-0.8</v>
      </c>
      <c r="T3532" s="381">
        <v>6.6499999999999997E-3</v>
      </c>
      <c r="U3532" s="381">
        <v>0</v>
      </c>
      <c r="V3532" s="382">
        <v>5.6266499999999997</v>
      </c>
      <c r="W3532" s="382">
        <v>0</v>
      </c>
      <c r="X3532" s="381">
        <v>1.7563636363636363</v>
      </c>
      <c r="Y3532" s="381">
        <v>2.0436363636363635</v>
      </c>
      <c r="Z3532" s="381">
        <v>-0.29090909090909095</v>
      </c>
      <c r="AA3532" s="381">
        <v>2.418181818181818E-3</v>
      </c>
      <c r="AB3532" s="381">
        <v>0</v>
      </c>
      <c r="AC3532" s="382">
        <v>2.0460545454545453</v>
      </c>
      <c r="AD3532" s="382">
        <v>0</v>
      </c>
      <c r="AE3532" s="381" t="s">
        <v>444</v>
      </c>
    </row>
    <row r="3533" spans="1:31" ht="15" customHeight="1" x14ac:dyDescent="0.25">
      <c r="A3533" s="20" t="s">
        <v>2783</v>
      </c>
      <c r="B3533" s="20" t="s">
        <v>5376</v>
      </c>
      <c r="C3533" s="20" t="s">
        <v>5377</v>
      </c>
      <c r="D3533" s="378" t="s">
        <v>5404</v>
      </c>
      <c r="E3533" s="384">
        <v>44197</v>
      </c>
      <c r="F3533" s="384">
        <v>46023</v>
      </c>
      <c r="G3533" s="378" t="s">
        <v>3289</v>
      </c>
      <c r="H3533" s="20" t="s">
        <v>5405</v>
      </c>
      <c r="I3533" s="378" t="s">
        <v>441</v>
      </c>
      <c r="J3533" s="20" t="s">
        <v>3311</v>
      </c>
      <c r="K3533" s="378" t="s">
        <v>5406</v>
      </c>
      <c r="L3533" s="378" t="s">
        <v>2789</v>
      </c>
      <c r="M3533" s="380" t="s">
        <v>443</v>
      </c>
      <c r="N3533" s="380">
        <v>2.7</v>
      </c>
      <c r="O3533" s="380" t="s">
        <v>443</v>
      </c>
      <c r="P3533" s="380" t="s">
        <v>443</v>
      </c>
      <c r="Q3533" s="381">
        <v>21.2</v>
      </c>
      <c r="R3533" s="381">
        <v>0</v>
      </c>
      <c r="S3533" s="381">
        <v>0</v>
      </c>
      <c r="T3533" s="381">
        <v>0</v>
      </c>
      <c r="U3533" s="381">
        <v>0</v>
      </c>
      <c r="V3533" s="382">
        <v>21.2</v>
      </c>
      <c r="W3533" s="382">
        <v>0</v>
      </c>
      <c r="X3533" s="381">
        <v>7.8518518518518512</v>
      </c>
      <c r="Y3533" s="381">
        <v>0</v>
      </c>
      <c r="Z3533" s="381">
        <v>0</v>
      </c>
      <c r="AA3533" s="381">
        <v>0</v>
      </c>
      <c r="AB3533" s="381">
        <v>0</v>
      </c>
      <c r="AC3533" s="382">
        <v>7.8518518518518512</v>
      </c>
      <c r="AD3533" s="382">
        <v>0</v>
      </c>
      <c r="AE3533" s="381" t="s">
        <v>444</v>
      </c>
    </row>
    <row r="3534" spans="1:31" ht="15" customHeight="1" x14ac:dyDescent="0.25">
      <c r="A3534" s="20" t="s">
        <v>2783</v>
      </c>
      <c r="B3534" s="20" t="s">
        <v>5376</v>
      </c>
      <c r="C3534" s="20" t="s">
        <v>5377</v>
      </c>
      <c r="D3534" s="378" t="s">
        <v>5407</v>
      </c>
      <c r="E3534" s="384">
        <v>44197</v>
      </c>
      <c r="F3534" s="384">
        <v>46023</v>
      </c>
      <c r="G3534" s="378" t="s">
        <v>2856</v>
      </c>
      <c r="H3534" s="20" t="s">
        <v>5405</v>
      </c>
      <c r="I3534" s="378" t="s">
        <v>441</v>
      </c>
      <c r="J3534" s="20" t="s">
        <v>3311</v>
      </c>
      <c r="K3534" s="378" t="s">
        <v>5406</v>
      </c>
      <c r="L3534" s="378" t="s">
        <v>2789</v>
      </c>
      <c r="M3534" s="380" t="s">
        <v>443</v>
      </c>
      <c r="N3534" s="380">
        <v>2.7</v>
      </c>
      <c r="O3534" s="380" t="s">
        <v>443</v>
      </c>
      <c r="P3534" s="380" t="s">
        <v>443</v>
      </c>
      <c r="Q3534" s="381">
        <v>21.1</v>
      </c>
      <c r="R3534" s="381">
        <v>0</v>
      </c>
      <c r="S3534" s="381">
        <v>0</v>
      </c>
      <c r="T3534" s="381">
        <v>0</v>
      </c>
      <c r="U3534" s="381">
        <v>0</v>
      </c>
      <c r="V3534" s="382">
        <v>21.1</v>
      </c>
      <c r="W3534" s="382">
        <v>0</v>
      </c>
      <c r="X3534" s="381">
        <v>7.8148148148148149</v>
      </c>
      <c r="Y3534" s="381">
        <v>0</v>
      </c>
      <c r="Z3534" s="381">
        <v>0</v>
      </c>
      <c r="AA3534" s="381">
        <v>0</v>
      </c>
      <c r="AB3534" s="381">
        <v>0</v>
      </c>
      <c r="AC3534" s="382">
        <v>7.8148148148148149</v>
      </c>
      <c r="AD3534" s="382">
        <v>0</v>
      </c>
      <c r="AE3534" s="381" t="s">
        <v>444</v>
      </c>
    </row>
    <row r="3535" spans="1:31" ht="15" customHeight="1" x14ac:dyDescent="0.25">
      <c r="A3535" s="20" t="s">
        <v>2783</v>
      </c>
      <c r="B3535" s="20" t="s">
        <v>5376</v>
      </c>
      <c r="C3535" s="20" t="s">
        <v>5377</v>
      </c>
      <c r="D3535" s="378" t="s">
        <v>5408</v>
      </c>
      <c r="E3535" s="384" t="s">
        <v>5409</v>
      </c>
      <c r="F3535" s="384">
        <v>47176</v>
      </c>
      <c r="G3535" s="378" t="s">
        <v>2837</v>
      </c>
      <c r="H3535" s="20" t="s">
        <v>5410</v>
      </c>
      <c r="I3535" s="378" t="s">
        <v>5069</v>
      </c>
      <c r="J3535" s="20" t="s">
        <v>5070</v>
      </c>
      <c r="K3535" s="378" t="s">
        <v>5411</v>
      </c>
      <c r="L3535" s="378" t="s">
        <v>2789</v>
      </c>
      <c r="M3535" s="380" t="s">
        <v>443</v>
      </c>
      <c r="N3535" s="380">
        <v>3.9</v>
      </c>
      <c r="O3535" s="380" t="s">
        <v>443</v>
      </c>
      <c r="P3535" s="380" t="s">
        <v>443</v>
      </c>
      <c r="Q3535" s="381">
        <v>8.58</v>
      </c>
      <c r="R3535" s="381">
        <v>0</v>
      </c>
      <c r="S3535" s="381">
        <v>0</v>
      </c>
      <c r="T3535" s="381">
        <v>0</v>
      </c>
      <c r="U3535" s="381">
        <v>0</v>
      </c>
      <c r="V3535" s="382">
        <v>8.58</v>
      </c>
      <c r="W3535" s="382">
        <v>0</v>
      </c>
      <c r="X3535" s="381">
        <v>2.2000000000000002</v>
      </c>
      <c r="Y3535" s="381">
        <v>0</v>
      </c>
      <c r="Z3535" s="381">
        <v>0</v>
      </c>
      <c r="AA3535" s="381">
        <v>0</v>
      </c>
      <c r="AB3535" s="381">
        <v>0</v>
      </c>
      <c r="AC3535" s="382">
        <v>2.2000000000000002</v>
      </c>
      <c r="AD3535" s="382">
        <v>0</v>
      </c>
      <c r="AE3535" s="381" t="s">
        <v>444</v>
      </c>
    </row>
    <row r="3536" spans="1:31" ht="15" customHeight="1" x14ac:dyDescent="0.25">
      <c r="A3536" s="20" t="s">
        <v>2783</v>
      </c>
      <c r="B3536" s="20" t="s">
        <v>5376</v>
      </c>
      <c r="C3536" s="20" t="s">
        <v>5377</v>
      </c>
      <c r="D3536" s="378" t="s">
        <v>5412</v>
      </c>
      <c r="E3536" s="384" t="s">
        <v>5413</v>
      </c>
      <c r="F3536" s="384" t="s">
        <v>5414</v>
      </c>
      <c r="G3536" s="378" t="s">
        <v>2837</v>
      </c>
      <c r="H3536" s="20" t="s">
        <v>5415</v>
      </c>
      <c r="I3536" s="378">
        <v>0</v>
      </c>
      <c r="J3536" s="20" t="s">
        <v>5416</v>
      </c>
      <c r="K3536" s="378" t="s">
        <v>5417</v>
      </c>
      <c r="L3536" s="378" t="s">
        <v>2789</v>
      </c>
      <c r="M3536" s="380" t="s">
        <v>443</v>
      </c>
      <c r="N3536" s="380">
        <v>4.2</v>
      </c>
      <c r="O3536" s="380" t="s">
        <v>443</v>
      </c>
      <c r="P3536" s="380" t="s">
        <v>443</v>
      </c>
      <c r="Q3536" s="381">
        <v>11.2</v>
      </c>
      <c r="R3536" s="381">
        <v>0</v>
      </c>
      <c r="S3536" s="381">
        <v>0</v>
      </c>
      <c r="T3536" s="381">
        <v>0</v>
      </c>
      <c r="U3536" s="381">
        <v>0</v>
      </c>
      <c r="V3536" s="382">
        <v>11.2</v>
      </c>
      <c r="W3536" s="382">
        <v>0</v>
      </c>
      <c r="X3536" s="381">
        <v>2.6666666666666665</v>
      </c>
      <c r="Y3536" s="381">
        <v>0</v>
      </c>
      <c r="Z3536" s="381">
        <v>0</v>
      </c>
      <c r="AA3536" s="381">
        <v>0</v>
      </c>
      <c r="AB3536" s="381">
        <v>0</v>
      </c>
      <c r="AC3536" s="382">
        <v>2.6666666666666665</v>
      </c>
      <c r="AD3536" s="382">
        <v>0</v>
      </c>
      <c r="AE3536" s="381" t="s">
        <v>444</v>
      </c>
    </row>
    <row r="3537" spans="1:31" ht="15" customHeight="1" x14ac:dyDescent="0.25">
      <c r="A3537" s="20" t="s">
        <v>2783</v>
      </c>
      <c r="B3537" s="20" t="s">
        <v>5376</v>
      </c>
      <c r="C3537" s="20" t="s">
        <v>5377</v>
      </c>
      <c r="D3537" s="378" t="s">
        <v>5418</v>
      </c>
      <c r="E3537" s="384" t="s">
        <v>5419</v>
      </c>
      <c r="F3537" s="384" t="s">
        <v>5420</v>
      </c>
      <c r="G3537" s="378" t="s">
        <v>2837</v>
      </c>
      <c r="H3537" s="20" t="s">
        <v>5421</v>
      </c>
      <c r="I3537" s="378">
        <v>0</v>
      </c>
      <c r="J3537" s="20" t="s">
        <v>3323</v>
      </c>
      <c r="K3537" s="378" t="s">
        <v>5422</v>
      </c>
      <c r="L3537" s="378" t="s">
        <v>2789</v>
      </c>
      <c r="M3537" s="380" t="s">
        <v>443</v>
      </c>
      <c r="N3537" s="380">
        <v>2.8999797001420986</v>
      </c>
      <c r="O3537" s="380" t="s">
        <v>443</v>
      </c>
      <c r="P3537" s="380" t="s">
        <v>443</v>
      </c>
      <c r="Q3537" s="381">
        <v>10.29492793550445</v>
      </c>
      <c r="R3537" s="381">
        <v>10.410927123510133</v>
      </c>
      <c r="S3537" s="381">
        <v>-0.13049908650639444</v>
      </c>
      <c r="T3537" s="381">
        <v>1.3629904590667864E-5</v>
      </c>
      <c r="U3537" s="381">
        <v>0</v>
      </c>
      <c r="V3537" s="382">
        <v>10.410940753414723</v>
      </c>
      <c r="W3537" s="382">
        <v>0</v>
      </c>
      <c r="X3537" s="381">
        <v>3.5500000000000003</v>
      </c>
      <c r="Y3537" s="381">
        <v>3.5899999999999994</v>
      </c>
      <c r="Z3537" s="381">
        <v>-4.4999999999999998E-2</v>
      </c>
      <c r="AA3537" s="381">
        <v>4.6999999999999999E-6</v>
      </c>
      <c r="AB3537" s="381">
        <v>0</v>
      </c>
      <c r="AC3537" s="382">
        <v>3.5900046999999993</v>
      </c>
      <c r="AD3537" s="382">
        <v>0</v>
      </c>
      <c r="AE3537" s="381" t="s">
        <v>444</v>
      </c>
    </row>
    <row r="3538" spans="1:31" x14ac:dyDescent="0.25">
      <c r="A3538"/>
      <c r="B3538"/>
      <c r="C3538"/>
      <c r="D3538"/>
      <c r="E3538" s="3"/>
      <c r="F3538" s="3"/>
      <c r="G3538"/>
      <c r="H3538"/>
      <c r="I3538"/>
      <c r="J3538"/>
      <c r="K3538"/>
      <c r="L3538"/>
      <c r="M3538"/>
      <c r="N3538"/>
      <c r="O3538"/>
      <c r="P3538"/>
      <c r="Q3538"/>
      <c r="R3538"/>
      <c r="S3538"/>
      <c r="T3538"/>
      <c r="U3538"/>
      <c r="V3538"/>
      <c r="W3538"/>
      <c r="X3538"/>
      <c r="Y3538"/>
      <c r="Z3538"/>
      <c r="AA3538"/>
      <c r="AB3538"/>
      <c r="AC3538"/>
      <c r="AD3538"/>
    </row>
    <row r="3539" spans="1:31" x14ac:dyDescent="0.25">
      <c r="A3539"/>
      <c r="B3539"/>
      <c r="C3539"/>
      <c r="D3539"/>
      <c r="E3539" s="3"/>
      <c r="F3539" s="3"/>
      <c r="G3539"/>
      <c r="H3539"/>
      <c r="I3539"/>
      <c r="J3539"/>
      <c r="K3539"/>
      <c r="L3539"/>
      <c r="M3539"/>
      <c r="N3539"/>
      <c r="O3539"/>
      <c r="P3539"/>
      <c r="Q3539"/>
      <c r="R3539"/>
      <c r="S3539"/>
      <c r="T3539"/>
      <c r="U3539"/>
      <c r="V3539"/>
      <c r="W3539"/>
      <c r="X3539"/>
      <c r="Y3539"/>
      <c r="Z3539"/>
      <c r="AA3539"/>
      <c r="AB3539"/>
      <c r="AC3539"/>
      <c r="AD3539"/>
    </row>
    <row r="3540" spans="1:31" x14ac:dyDescent="0.25">
      <c r="A3540"/>
      <c r="B3540"/>
      <c r="C3540"/>
      <c r="D3540"/>
      <c r="E3540" s="3"/>
      <c r="F3540" s="3"/>
      <c r="G3540"/>
      <c r="H3540"/>
      <c r="I3540"/>
      <c r="J3540"/>
      <c r="K3540"/>
      <c r="L3540"/>
      <c r="M3540"/>
      <c r="N3540"/>
      <c r="O3540"/>
      <c r="P3540"/>
      <c r="Q3540"/>
      <c r="R3540"/>
      <c r="S3540"/>
      <c r="T3540"/>
      <c r="U3540"/>
      <c r="V3540"/>
      <c r="W3540"/>
      <c r="X3540"/>
      <c r="Y3540"/>
      <c r="Z3540"/>
      <c r="AA3540"/>
      <c r="AB3540"/>
      <c r="AC3540"/>
      <c r="AD3540"/>
    </row>
    <row r="3541" spans="1:31" x14ac:dyDescent="0.25">
      <c r="A3541"/>
      <c r="B3541"/>
      <c r="C3541"/>
      <c r="D3541"/>
      <c r="E3541" s="3"/>
      <c r="F3541" s="3"/>
      <c r="G3541"/>
      <c r="H3541"/>
      <c r="I3541"/>
      <c r="J3541"/>
      <c r="K3541"/>
      <c r="L3541"/>
      <c r="M3541"/>
      <c r="N3541"/>
      <c r="O3541"/>
      <c r="P3541"/>
      <c r="Q3541"/>
      <c r="R3541"/>
      <c r="S3541"/>
      <c r="T3541"/>
      <c r="U3541"/>
      <c r="V3541"/>
      <c r="W3541"/>
      <c r="X3541"/>
      <c r="Y3541"/>
      <c r="Z3541"/>
      <c r="AA3541"/>
      <c r="AB3541"/>
      <c r="AC3541"/>
      <c r="AD3541"/>
    </row>
    <row r="3542" spans="1:31" x14ac:dyDescent="0.25">
      <c r="A3542"/>
      <c r="B3542"/>
      <c r="C3542"/>
      <c r="D3542"/>
      <c r="E3542" s="3"/>
      <c r="F3542" s="3"/>
      <c r="G3542"/>
      <c r="H3542"/>
      <c r="I3542"/>
      <c r="J3542"/>
      <c r="K3542"/>
      <c r="L3542"/>
      <c r="M3542"/>
      <c r="N3542"/>
      <c r="O3542"/>
      <c r="P3542"/>
      <c r="Q3542"/>
      <c r="R3542"/>
      <c r="S3542"/>
      <c r="T3542"/>
      <c r="U3542"/>
      <c r="V3542"/>
      <c r="W3542"/>
      <c r="X3542"/>
      <c r="Y3542"/>
      <c r="Z3542"/>
      <c r="AA3542"/>
      <c r="AB3542"/>
      <c r="AC3542"/>
      <c r="AD3542"/>
    </row>
    <row r="3543" spans="1:31" x14ac:dyDescent="0.25">
      <c r="A3543"/>
      <c r="B3543"/>
      <c r="C3543"/>
      <c r="D3543"/>
      <c r="E3543" s="3"/>
      <c r="F3543" s="3"/>
      <c r="G3543"/>
      <c r="H3543"/>
      <c r="I3543"/>
      <c r="J3543"/>
      <c r="K3543"/>
      <c r="L3543"/>
      <c r="M3543"/>
      <c r="N3543"/>
      <c r="O3543"/>
      <c r="P3543"/>
      <c r="Q3543"/>
      <c r="R3543"/>
      <c r="S3543"/>
      <c r="T3543"/>
      <c r="U3543"/>
      <c r="V3543"/>
      <c r="W3543"/>
      <c r="X3543"/>
      <c r="Y3543"/>
      <c r="Z3543"/>
      <c r="AA3543"/>
      <c r="AB3543"/>
      <c r="AC3543"/>
      <c r="AD3543"/>
    </row>
    <row r="3544" spans="1:31" x14ac:dyDescent="0.25">
      <c r="A3544"/>
      <c r="B3544"/>
      <c r="C3544"/>
      <c r="D3544"/>
      <c r="E3544" s="3"/>
      <c r="F3544" s="3"/>
      <c r="G3544"/>
      <c r="H3544"/>
      <c r="I3544"/>
      <c r="J3544"/>
      <c r="K3544"/>
      <c r="L3544"/>
      <c r="M3544"/>
      <c r="N3544"/>
      <c r="O3544"/>
      <c r="P3544"/>
      <c r="Q3544"/>
      <c r="R3544"/>
      <c r="S3544"/>
      <c r="T3544"/>
      <c r="U3544"/>
      <c r="V3544"/>
      <c r="W3544"/>
      <c r="X3544"/>
      <c r="Y3544"/>
      <c r="Z3544"/>
      <c r="AA3544"/>
      <c r="AB3544"/>
      <c r="AC3544"/>
      <c r="AD3544"/>
    </row>
    <row r="3545" spans="1:31" x14ac:dyDescent="0.25">
      <c r="A3545"/>
      <c r="B3545"/>
      <c r="C3545"/>
      <c r="D3545"/>
      <c r="E3545" s="3"/>
      <c r="F3545" s="3"/>
      <c r="G3545"/>
      <c r="H3545"/>
      <c r="I3545"/>
      <c r="J3545"/>
      <c r="K3545"/>
      <c r="L3545"/>
      <c r="M3545"/>
      <c r="N3545"/>
      <c r="O3545"/>
      <c r="P3545"/>
      <c r="Q3545"/>
      <c r="R3545"/>
      <c r="S3545"/>
      <c r="T3545"/>
      <c r="U3545"/>
      <c r="V3545"/>
      <c r="W3545"/>
      <c r="X3545"/>
      <c r="Y3545"/>
      <c r="Z3545"/>
      <c r="AA3545"/>
      <c r="AB3545"/>
      <c r="AC3545"/>
      <c r="AD3545"/>
    </row>
    <row r="3546" spans="1:31" x14ac:dyDescent="0.25">
      <c r="A3546"/>
      <c r="B3546"/>
      <c r="C3546"/>
      <c r="D3546"/>
      <c r="E3546" s="3"/>
      <c r="F3546" s="3"/>
      <c r="G3546"/>
      <c r="H3546"/>
      <c r="I3546"/>
      <c r="J3546"/>
      <c r="K3546"/>
      <c r="L3546"/>
      <c r="M3546"/>
      <c r="N3546"/>
      <c r="O3546"/>
      <c r="P3546"/>
      <c r="Q3546"/>
      <c r="R3546"/>
      <c r="S3546"/>
      <c r="T3546"/>
      <c r="U3546"/>
      <c r="V3546"/>
      <c r="W3546"/>
      <c r="X3546"/>
      <c r="Y3546"/>
      <c r="Z3546"/>
      <c r="AA3546"/>
      <c r="AB3546"/>
      <c r="AC3546"/>
      <c r="AD3546"/>
    </row>
    <row r="3547" spans="1:31" x14ac:dyDescent="0.25">
      <c r="A3547"/>
      <c r="B3547"/>
      <c r="C3547"/>
      <c r="D3547"/>
      <c r="E3547" s="3"/>
      <c r="F3547" s="3"/>
      <c r="G3547"/>
      <c r="H3547"/>
      <c r="I3547"/>
      <c r="J3547"/>
      <c r="K3547"/>
      <c r="L3547"/>
      <c r="M3547"/>
      <c r="N3547"/>
      <c r="O3547"/>
      <c r="P3547"/>
      <c r="Q3547"/>
      <c r="R3547"/>
      <c r="S3547"/>
      <c r="T3547"/>
      <c r="U3547"/>
      <c r="V3547"/>
      <c r="W3547"/>
      <c r="X3547"/>
      <c r="Y3547"/>
      <c r="Z3547"/>
      <c r="AA3547"/>
      <c r="AB3547"/>
      <c r="AC3547"/>
      <c r="AD3547"/>
    </row>
    <row r="3548" spans="1:31" x14ac:dyDescent="0.25">
      <c r="A3548"/>
      <c r="B3548"/>
      <c r="C3548"/>
      <c r="D3548"/>
      <c r="E3548" s="3"/>
      <c r="F3548" s="3"/>
      <c r="G3548"/>
      <c r="H3548"/>
      <c r="I3548"/>
      <c r="J3548"/>
      <c r="K3548"/>
      <c r="L3548"/>
      <c r="M3548"/>
      <c r="N3548"/>
      <c r="O3548"/>
      <c r="P3548"/>
      <c r="Q3548"/>
      <c r="R3548"/>
      <c r="S3548"/>
      <c r="T3548"/>
      <c r="U3548"/>
      <c r="V3548"/>
      <c r="W3548"/>
      <c r="X3548"/>
      <c r="Y3548"/>
      <c r="Z3548"/>
      <c r="AA3548"/>
      <c r="AB3548"/>
      <c r="AC3548"/>
      <c r="AD3548"/>
    </row>
    <row r="3549" spans="1:31" x14ac:dyDescent="0.25">
      <c r="A3549"/>
      <c r="B3549"/>
      <c r="C3549"/>
      <c r="D3549"/>
      <c r="E3549" s="3"/>
      <c r="F3549" s="3"/>
      <c r="G3549"/>
      <c r="H3549"/>
      <c r="I3549"/>
      <c r="J3549"/>
      <c r="K3549"/>
      <c r="L3549"/>
      <c r="M3549"/>
      <c r="N3549"/>
      <c r="O3549"/>
      <c r="P3549"/>
      <c r="Q3549"/>
      <c r="R3549"/>
      <c r="S3549"/>
      <c r="T3549"/>
      <c r="U3549"/>
      <c r="V3549"/>
      <c r="W3549"/>
      <c r="X3549"/>
      <c r="Y3549"/>
      <c r="Z3549"/>
      <c r="AA3549"/>
      <c r="AB3549"/>
      <c r="AC3549"/>
      <c r="AD3549"/>
    </row>
    <row r="3550" spans="1:31" x14ac:dyDescent="0.25">
      <c r="A3550"/>
      <c r="B3550"/>
      <c r="C3550"/>
      <c r="D3550"/>
      <c r="E3550" s="3"/>
      <c r="F3550" s="3"/>
      <c r="G3550"/>
      <c r="H3550"/>
      <c r="I3550"/>
      <c r="J3550"/>
      <c r="K3550"/>
      <c r="L3550"/>
      <c r="M3550"/>
      <c r="N3550"/>
      <c r="O3550"/>
      <c r="P3550"/>
      <c r="Q3550"/>
      <c r="R3550"/>
      <c r="S3550"/>
      <c r="T3550"/>
      <c r="U3550"/>
      <c r="V3550"/>
      <c r="W3550"/>
      <c r="X3550"/>
      <c r="Y3550"/>
      <c r="Z3550"/>
      <c r="AA3550"/>
      <c r="AB3550"/>
      <c r="AC3550"/>
      <c r="AD3550"/>
    </row>
    <row r="3551" spans="1:31" x14ac:dyDescent="0.25">
      <c r="A3551"/>
      <c r="B3551"/>
      <c r="C3551"/>
      <c r="D3551"/>
      <c r="E3551" s="3"/>
      <c r="F3551" s="3"/>
      <c r="G3551"/>
      <c r="H3551"/>
      <c r="I3551"/>
      <c r="J3551"/>
      <c r="K3551"/>
      <c r="L3551"/>
      <c r="M3551"/>
      <c r="N3551"/>
      <c r="O3551"/>
      <c r="P3551"/>
      <c r="Q3551"/>
      <c r="R3551"/>
      <c r="S3551"/>
      <c r="T3551"/>
      <c r="U3551"/>
      <c r="V3551"/>
      <c r="W3551"/>
      <c r="X3551"/>
      <c r="Y3551"/>
      <c r="Z3551"/>
      <c r="AA3551"/>
      <c r="AB3551"/>
      <c r="AC3551"/>
      <c r="AD3551"/>
    </row>
    <row r="3552" spans="1:31" x14ac:dyDescent="0.25">
      <c r="A3552"/>
      <c r="B3552"/>
      <c r="C3552"/>
      <c r="D3552"/>
      <c r="E3552" s="3"/>
      <c r="F3552" s="3"/>
      <c r="G3552"/>
      <c r="H3552"/>
      <c r="I3552"/>
      <c r="J3552"/>
      <c r="K3552"/>
      <c r="L3552"/>
      <c r="M3552"/>
      <c r="N3552"/>
      <c r="O3552"/>
      <c r="P3552"/>
      <c r="Q3552"/>
      <c r="R3552"/>
      <c r="S3552"/>
      <c r="T3552"/>
      <c r="U3552"/>
      <c r="V3552"/>
      <c r="W3552"/>
      <c r="X3552"/>
      <c r="Y3552"/>
      <c r="Z3552"/>
      <c r="AA3552"/>
      <c r="AB3552"/>
      <c r="AC3552"/>
      <c r="AD3552"/>
    </row>
    <row r="3553" spans="5:6" customFormat="1" x14ac:dyDescent="0.25">
      <c r="E3553" s="3"/>
      <c r="F3553" s="3"/>
    </row>
    <row r="3554" spans="5:6" customFormat="1" x14ac:dyDescent="0.25">
      <c r="E3554" s="3"/>
      <c r="F3554" s="3"/>
    </row>
    <row r="3555" spans="5:6" customFormat="1" x14ac:dyDescent="0.25">
      <c r="E3555" s="3"/>
      <c r="F3555" s="3"/>
    </row>
    <row r="3556" spans="5:6" customFormat="1" x14ac:dyDescent="0.25">
      <c r="E3556" s="3"/>
      <c r="F3556" s="3"/>
    </row>
    <row r="3557" spans="5:6" customFormat="1" x14ac:dyDescent="0.25">
      <c r="E3557" s="3"/>
      <c r="F3557" s="3"/>
    </row>
    <row r="3558" spans="5:6" customFormat="1" x14ac:dyDescent="0.25">
      <c r="E3558" s="3"/>
      <c r="F3558" s="3"/>
    </row>
    <row r="3559" spans="5:6" customFormat="1" x14ac:dyDescent="0.25">
      <c r="E3559" s="3"/>
      <c r="F3559" s="3"/>
    </row>
    <row r="3560" spans="5:6" customFormat="1" x14ac:dyDescent="0.25">
      <c r="E3560" s="3"/>
      <c r="F3560" s="3"/>
    </row>
    <row r="3561" spans="5:6" customFormat="1" x14ac:dyDescent="0.25">
      <c r="E3561" s="3"/>
      <c r="F3561" s="3"/>
    </row>
    <row r="3562" spans="5:6" customFormat="1" x14ac:dyDescent="0.25">
      <c r="E3562" s="3"/>
      <c r="F3562" s="3"/>
    </row>
    <row r="3563" spans="5:6" customFormat="1" x14ac:dyDescent="0.25">
      <c r="E3563" s="3"/>
      <c r="F3563" s="3"/>
    </row>
    <row r="3564" spans="5:6" customFormat="1" x14ac:dyDescent="0.25">
      <c r="E3564" s="3"/>
      <c r="F3564" s="3"/>
    </row>
    <row r="3565" spans="5:6" customFormat="1" x14ac:dyDescent="0.25">
      <c r="E3565" s="3"/>
      <c r="F3565" s="3"/>
    </row>
    <row r="3566" spans="5:6" customFormat="1" x14ac:dyDescent="0.25">
      <c r="E3566" s="3"/>
      <c r="F3566" s="3"/>
    </row>
    <row r="3567" spans="5:6" customFormat="1" x14ac:dyDescent="0.25">
      <c r="E3567" s="3"/>
      <c r="F3567" s="3"/>
    </row>
    <row r="3568" spans="5:6" customFormat="1" x14ac:dyDescent="0.25">
      <c r="E3568" s="3"/>
      <c r="F3568" s="3"/>
    </row>
    <row r="3569" spans="2:30" x14ac:dyDescent="0.25">
      <c r="B3569"/>
      <c r="C3569"/>
      <c r="D3569"/>
      <c r="E3569" s="3"/>
      <c r="F3569" s="3"/>
      <c r="G3569"/>
      <c r="H3569"/>
      <c r="I3569"/>
      <c r="J3569"/>
      <c r="K3569"/>
      <c r="L3569"/>
      <c r="M3569"/>
      <c r="N3569"/>
      <c r="O3569"/>
      <c r="P3569"/>
      <c r="Q3569"/>
      <c r="R3569"/>
      <c r="S3569"/>
      <c r="T3569"/>
      <c r="U3569"/>
      <c r="V3569"/>
      <c r="W3569"/>
      <c r="X3569"/>
      <c r="Y3569"/>
      <c r="Z3569"/>
      <c r="AA3569"/>
      <c r="AB3569"/>
      <c r="AC3569"/>
      <c r="AD3569"/>
    </row>
    <row r="3570" spans="2:30" x14ac:dyDescent="0.25">
      <c r="B3570"/>
      <c r="C3570"/>
      <c r="D3570"/>
      <c r="E3570" s="3"/>
      <c r="F3570" s="3"/>
      <c r="G3570"/>
      <c r="H3570"/>
      <c r="I3570"/>
      <c r="J3570"/>
      <c r="K3570"/>
      <c r="L3570"/>
      <c r="M3570"/>
      <c r="N3570"/>
      <c r="O3570"/>
      <c r="P3570"/>
      <c r="Q3570"/>
      <c r="R3570"/>
      <c r="S3570"/>
      <c r="T3570"/>
      <c r="U3570"/>
      <c r="V3570"/>
      <c r="W3570"/>
      <c r="X3570"/>
      <c r="Y3570"/>
      <c r="Z3570"/>
      <c r="AA3570"/>
      <c r="AB3570"/>
      <c r="AC3570"/>
      <c r="AD3570"/>
    </row>
    <row r="3571" spans="2:30" x14ac:dyDescent="0.25">
      <c r="B3571"/>
      <c r="C3571"/>
      <c r="D3571"/>
      <c r="E3571" s="3"/>
      <c r="F3571" s="3"/>
      <c r="G3571"/>
      <c r="H3571"/>
      <c r="I3571"/>
      <c r="J3571"/>
      <c r="K3571"/>
      <c r="L3571"/>
      <c r="M3571"/>
      <c r="N3571"/>
      <c r="O3571"/>
      <c r="P3571"/>
      <c r="Q3571"/>
      <c r="R3571"/>
      <c r="S3571"/>
      <c r="T3571"/>
      <c r="U3571"/>
      <c r="V3571"/>
      <c r="W3571"/>
      <c r="X3571"/>
      <c r="Y3571"/>
      <c r="Z3571"/>
      <c r="AA3571"/>
      <c r="AB3571"/>
      <c r="AC3571"/>
      <c r="AD3571"/>
    </row>
    <row r="3572" spans="2:30" x14ac:dyDescent="0.25">
      <c r="B3572"/>
      <c r="C3572"/>
      <c r="D3572"/>
      <c r="E3572" s="3"/>
      <c r="F3572" s="3"/>
      <c r="G3572"/>
      <c r="H3572"/>
      <c r="I3572"/>
      <c r="J3572"/>
      <c r="K3572"/>
      <c r="L3572"/>
      <c r="M3572"/>
      <c r="N3572"/>
      <c r="O3572"/>
      <c r="P3572"/>
      <c r="Q3572"/>
      <c r="R3572"/>
      <c r="S3572"/>
      <c r="T3572"/>
      <c r="U3572"/>
      <c r="V3572"/>
      <c r="W3572"/>
      <c r="X3572"/>
      <c r="Y3572"/>
      <c r="Z3572"/>
      <c r="AA3572"/>
      <c r="AB3572"/>
      <c r="AC3572"/>
      <c r="AD3572"/>
    </row>
    <row r="3573" spans="2:30" x14ac:dyDescent="0.25">
      <c r="B3573"/>
      <c r="C3573"/>
      <c r="D3573"/>
      <c r="E3573" s="3"/>
      <c r="F3573" s="3"/>
      <c r="G3573"/>
      <c r="H3573"/>
      <c r="I3573"/>
      <c r="J3573"/>
      <c r="K3573"/>
      <c r="L3573"/>
      <c r="M3573"/>
      <c r="N3573"/>
      <c r="O3573"/>
      <c r="P3573"/>
      <c r="Q3573"/>
      <c r="R3573"/>
      <c r="S3573"/>
      <c r="T3573"/>
      <c r="U3573"/>
      <c r="V3573"/>
      <c r="W3573"/>
      <c r="X3573"/>
      <c r="Y3573"/>
      <c r="Z3573"/>
      <c r="AA3573"/>
      <c r="AB3573"/>
      <c r="AC3573"/>
      <c r="AD3573"/>
    </row>
    <row r="3574" spans="2:30" x14ac:dyDescent="0.25">
      <c r="B3574"/>
      <c r="C3574"/>
      <c r="D3574"/>
      <c r="E3574" s="3"/>
      <c r="F3574" s="3"/>
      <c r="G3574"/>
      <c r="H3574"/>
      <c r="I3574"/>
      <c r="J3574"/>
      <c r="K3574"/>
      <c r="L3574"/>
      <c r="M3574"/>
      <c r="N3574"/>
      <c r="O3574"/>
      <c r="P3574"/>
      <c r="Q3574"/>
      <c r="R3574"/>
      <c r="S3574"/>
      <c r="T3574"/>
      <c r="U3574"/>
      <c r="V3574"/>
      <c r="W3574"/>
      <c r="X3574"/>
      <c r="Y3574"/>
      <c r="Z3574"/>
      <c r="AA3574"/>
      <c r="AB3574"/>
      <c r="AC3574"/>
      <c r="AD3574"/>
    </row>
    <row r="3575" spans="2:30" x14ac:dyDescent="0.25">
      <c r="B3575"/>
      <c r="C3575"/>
      <c r="D3575"/>
      <c r="E3575" s="3"/>
      <c r="F3575" s="3"/>
      <c r="G3575"/>
      <c r="H3575"/>
      <c r="I3575"/>
      <c r="J3575"/>
      <c r="K3575"/>
      <c r="L3575"/>
      <c r="M3575"/>
      <c r="N3575"/>
      <c r="O3575"/>
      <c r="P3575"/>
      <c r="Q3575"/>
      <c r="R3575"/>
      <c r="S3575"/>
      <c r="T3575"/>
      <c r="U3575"/>
      <c r="V3575"/>
      <c r="W3575"/>
      <c r="X3575"/>
      <c r="Y3575"/>
      <c r="Z3575"/>
      <c r="AA3575"/>
      <c r="AB3575"/>
      <c r="AC3575"/>
      <c r="AD3575"/>
    </row>
    <row r="3576" spans="2:30" x14ac:dyDescent="0.25">
      <c r="B3576"/>
      <c r="C3576"/>
      <c r="D3576"/>
      <c r="E3576" s="3"/>
      <c r="F3576" s="3"/>
      <c r="G3576"/>
      <c r="H3576"/>
      <c r="I3576"/>
      <c r="J3576"/>
      <c r="K3576"/>
      <c r="L3576"/>
      <c r="M3576"/>
      <c r="N3576"/>
      <c r="O3576"/>
      <c r="P3576"/>
      <c r="Q3576"/>
      <c r="R3576"/>
      <c r="S3576"/>
      <c r="T3576"/>
      <c r="U3576"/>
      <c r="V3576"/>
      <c r="W3576"/>
      <c r="X3576"/>
      <c r="Y3576"/>
      <c r="Z3576"/>
      <c r="AA3576"/>
      <c r="AB3576"/>
      <c r="AC3576"/>
      <c r="AD3576"/>
    </row>
    <row r="3577" spans="2:30" x14ac:dyDescent="0.25">
      <c r="B3577"/>
      <c r="C3577"/>
      <c r="D3577"/>
      <c r="E3577" s="3"/>
      <c r="F3577" s="3"/>
      <c r="G3577"/>
      <c r="H3577"/>
      <c r="I3577"/>
      <c r="J3577"/>
      <c r="K3577"/>
      <c r="L3577"/>
      <c r="M3577"/>
      <c r="N3577"/>
      <c r="O3577"/>
      <c r="P3577"/>
      <c r="Q3577"/>
      <c r="R3577"/>
      <c r="S3577"/>
      <c r="T3577"/>
      <c r="U3577"/>
      <c r="V3577"/>
      <c r="W3577"/>
      <c r="X3577"/>
      <c r="Y3577"/>
      <c r="Z3577"/>
      <c r="AA3577"/>
      <c r="AB3577"/>
      <c r="AC3577"/>
      <c r="AD3577"/>
    </row>
    <row r="3578" spans="2:30" x14ac:dyDescent="0.25">
      <c r="B3578"/>
      <c r="C3578"/>
      <c r="D3578"/>
      <c r="E3578" s="3"/>
      <c r="F3578" s="3"/>
      <c r="G3578"/>
      <c r="H3578"/>
      <c r="I3578"/>
      <c r="J3578"/>
      <c r="K3578"/>
      <c r="L3578"/>
      <c r="M3578"/>
      <c r="N3578"/>
      <c r="O3578"/>
      <c r="P3578"/>
      <c r="Q3578"/>
      <c r="R3578"/>
      <c r="S3578"/>
      <c r="T3578"/>
      <c r="U3578"/>
      <c r="V3578"/>
      <c r="W3578"/>
      <c r="X3578"/>
      <c r="Y3578"/>
      <c r="Z3578"/>
      <c r="AA3578"/>
      <c r="AB3578"/>
      <c r="AC3578"/>
      <c r="AD3578"/>
    </row>
    <row r="3579" spans="2:30" x14ac:dyDescent="0.25">
      <c r="B3579"/>
      <c r="C3579"/>
      <c r="D3579"/>
      <c r="E3579" s="3"/>
      <c r="F3579" s="3"/>
      <c r="G3579"/>
      <c r="H3579"/>
      <c r="I3579"/>
      <c r="J3579"/>
      <c r="K3579"/>
      <c r="L3579"/>
      <c r="M3579"/>
      <c r="N3579"/>
      <c r="O3579"/>
      <c r="P3579"/>
      <c r="Q3579"/>
      <c r="R3579"/>
      <c r="S3579"/>
      <c r="T3579"/>
      <c r="U3579"/>
      <c r="V3579"/>
      <c r="W3579"/>
      <c r="X3579"/>
      <c r="Y3579"/>
      <c r="Z3579"/>
      <c r="AA3579"/>
      <c r="AB3579"/>
      <c r="AC3579"/>
      <c r="AD3579"/>
    </row>
    <row r="3580" spans="2:30" x14ac:dyDescent="0.25">
      <c r="B3580"/>
      <c r="C3580"/>
      <c r="D3580"/>
      <c r="E3580" s="3"/>
      <c r="F3580" s="3"/>
      <c r="G3580"/>
      <c r="H3580"/>
      <c r="I3580"/>
      <c r="J3580"/>
      <c r="K3580"/>
      <c r="L3580"/>
      <c r="M3580"/>
      <c r="N3580"/>
      <c r="O3580"/>
      <c r="P3580"/>
      <c r="Q3580"/>
      <c r="R3580"/>
      <c r="S3580"/>
      <c r="T3580"/>
      <c r="U3580"/>
      <c r="V3580"/>
      <c r="W3580"/>
      <c r="X3580"/>
      <c r="Y3580"/>
      <c r="Z3580"/>
      <c r="AA3580"/>
      <c r="AB3580"/>
      <c r="AC3580"/>
      <c r="AD3580"/>
    </row>
    <row r="3581" spans="2:30" x14ac:dyDescent="0.25">
      <c r="B3581"/>
      <c r="C3581"/>
      <c r="D3581"/>
      <c r="E3581" s="3"/>
      <c r="F3581" s="3"/>
      <c r="G3581"/>
      <c r="H3581"/>
      <c r="I3581"/>
      <c r="J3581"/>
      <c r="K3581"/>
      <c r="L3581"/>
      <c r="M3581"/>
      <c r="N3581"/>
      <c r="O3581"/>
      <c r="P3581"/>
      <c r="Q3581"/>
      <c r="R3581"/>
      <c r="S3581"/>
      <c r="T3581"/>
      <c r="U3581"/>
      <c r="V3581"/>
      <c r="W3581"/>
      <c r="X3581"/>
      <c r="Y3581"/>
      <c r="Z3581"/>
      <c r="AA3581"/>
      <c r="AB3581"/>
      <c r="AC3581"/>
      <c r="AD3581"/>
    </row>
    <row r="3582" spans="2:30" x14ac:dyDescent="0.25">
      <c r="B3582"/>
      <c r="C3582"/>
      <c r="D3582"/>
      <c r="E3582" s="3"/>
      <c r="F3582" s="3"/>
      <c r="G3582"/>
      <c r="H3582"/>
      <c r="I3582"/>
      <c r="J3582"/>
      <c r="K3582"/>
      <c r="L3582"/>
      <c r="M3582"/>
      <c r="N3582"/>
      <c r="O3582"/>
      <c r="P3582"/>
      <c r="Q3582"/>
      <c r="R3582"/>
      <c r="S3582"/>
      <c r="T3582"/>
      <c r="U3582"/>
      <c r="V3582"/>
      <c r="W3582"/>
      <c r="X3582"/>
      <c r="Y3582"/>
      <c r="Z3582"/>
      <c r="AA3582"/>
      <c r="AB3582"/>
      <c r="AC3582"/>
      <c r="AD3582"/>
    </row>
    <row r="3583" spans="2:30" x14ac:dyDescent="0.25">
      <c r="B3583"/>
      <c r="C3583"/>
      <c r="D3583"/>
      <c r="E3583" s="3"/>
      <c r="F3583" s="3"/>
      <c r="G3583"/>
      <c r="H3583"/>
      <c r="I3583"/>
      <c r="J3583"/>
      <c r="K3583"/>
      <c r="L3583"/>
      <c r="M3583"/>
      <c r="N3583"/>
      <c r="O3583"/>
      <c r="P3583"/>
      <c r="Q3583"/>
      <c r="R3583"/>
      <c r="S3583"/>
      <c r="T3583"/>
      <c r="U3583"/>
      <c r="V3583"/>
      <c r="W3583"/>
      <c r="X3583"/>
      <c r="Y3583"/>
      <c r="Z3583"/>
      <c r="AA3583"/>
      <c r="AB3583"/>
      <c r="AC3583"/>
      <c r="AD3583"/>
    </row>
    <row r="3584" spans="2:30" x14ac:dyDescent="0.25">
      <c r="B3584"/>
      <c r="C3584"/>
      <c r="D3584"/>
      <c r="E3584" s="3"/>
      <c r="F3584" s="3"/>
      <c r="G3584"/>
      <c r="H3584"/>
      <c r="I3584"/>
      <c r="J3584"/>
      <c r="K3584"/>
      <c r="L3584"/>
      <c r="M3584"/>
      <c r="N3584"/>
      <c r="O3584"/>
      <c r="P3584"/>
      <c r="Q3584"/>
      <c r="R3584"/>
      <c r="S3584"/>
      <c r="T3584"/>
      <c r="U3584"/>
      <c r="V3584"/>
      <c r="W3584"/>
      <c r="X3584"/>
      <c r="Y3584"/>
      <c r="Z3584"/>
      <c r="AA3584"/>
      <c r="AB3584"/>
      <c r="AC3584"/>
      <c r="AD3584"/>
    </row>
    <row r="3585" spans="2:30" x14ac:dyDescent="0.25">
      <c r="B3585"/>
      <c r="C3585"/>
      <c r="D3585"/>
      <c r="E3585" s="3"/>
      <c r="F3585" s="3"/>
      <c r="G3585"/>
      <c r="H3585"/>
      <c r="I3585"/>
      <c r="J3585"/>
      <c r="K3585"/>
      <c r="L3585"/>
      <c r="M3585"/>
      <c r="N3585"/>
      <c r="O3585"/>
      <c r="P3585"/>
      <c r="Q3585"/>
      <c r="R3585"/>
      <c r="S3585"/>
      <c r="T3585"/>
      <c r="U3585"/>
      <c r="V3585"/>
      <c r="W3585"/>
      <c r="X3585"/>
      <c r="Y3585"/>
      <c r="Z3585"/>
      <c r="AA3585"/>
      <c r="AB3585"/>
      <c r="AC3585"/>
      <c r="AD3585"/>
    </row>
    <row r="3586" spans="2:30" x14ac:dyDescent="0.25">
      <c r="B3586"/>
      <c r="C3586"/>
      <c r="D3586"/>
      <c r="E3586" s="3"/>
      <c r="F3586" s="3"/>
      <c r="G3586"/>
      <c r="H3586"/>
      <c r="I3586"/>
      <c r="J3586"/>
      <c r="K3586"/>
      <c r="L3586"/>
      <c r="M3586"/>
      <c r="N3586"/>
      <c r="O3586"/>
      <c r="P3586"/>
      <c r="Q3586"/>
      <c r="R3586"/>
      <c r="S3586"/>
      <c r="T3586"/>
      <c r="U3586"/>
      <c r="V3586"/>
      <c r="W3586"/>
      <c r="X3586"/>
      <c r="Y3586"/>
      <c r="Z3586"/>
      <c r="AA3586"/>
      <c r="AB3586"/>
      <c r="AC3586"/>
      <c r="AD3586"/>
    </row>
    <row r="3587" spans="2:30" x14ac:dyDescent="0.25">
      <c r="B3587"/>
      <c r="C3587"/>
      <c r="D3587"/>
      <c r="E3587" s="3"/>
      <c r="F3587" s="3"/>
      <c r="G3587"/>
      <c r="H3587"/>
      <c r="I3587"/>
      <c r="J3587"/>
      <c r="K3587"/>
      <c r="L3587"/>
      <c r="M3587"/>
      <c r="N3587"/>
      <c r="O3587"/>
      <c r="P3587"/>
      <c r="Q3587"/>
      <c r="R3587"/>
      <c r="S3587"/>
      <c r="T3587"/>
      <c r="U3587"/>
      <c r="V3587"/>
      <c r="W3587"/>
      <c r="X3587"/>
      <c r="Y3587"/>
      <c r="Z3587"/>
      <c r="AA3587"/>
      <c r="AB3587"/>
      <c r="AC3587"/>
      <c r="AD3587"/>
    </row>
    <row r="3588" spans="2:30" x14ac:dyDescent="0.25">
      <c r="B3588"/>
      <c r="C3588"/>
      <c r="D3588"/>
      <c r="E3588" s="3"/>
      <c r="F3588" s="3"/>
      <c r="G3588"/>
      <c r="H3588"/>
      <c r="I3588"/>
      <c r="J3588"/>
      <c r="K3588"/>
      <c r="L3588"/>
      <c r="M3588"/>
      <c r="N3588"/>
      <c r="O3588"/>
      <c r="P3588"/>
      <c r="Q3588"/>
      <c r="R3588"/>
      <c r="S3588"/>
      <c r="T3588"/>
      <c r="U3588"/>
      <c r="V3588"/>
      <c r="W3588"/>
      <c r="X3588"/>
      <c r="Y3588"/>
      <c r="Z3588"/>
      <c r="AA3588"/>
      <c r="AB3588"/>
      <c r="AC3588"/>
      <c r="AD3588"/>
    </row>
    <row r="3589" spans="2:30" x14ac:dyDescent="0.25">
      <c r="B3589"/>
      <c r="C3589"/>
      <c r="D3589"/>
      <c r="E3589" s="3"/>
      <c r="F3589" s="3"/>
      <c r="G3589"/>
      <c r="H3589"/>
      <c r="I3589"/>
      <c r="J3589"/>
      <c r="K3589"/>
      <c r="L3589"/>
      <c r="M3589"/>
      <c r="N3589"/>
      <c r="O3589"/>
      <c r="P3589"/>
      <c r="Q3589"/>
      <c r="R3589"/>
      <c r="S3589"/>
      <c r="T3589"/>
      <c r="U3589"/>
      <c r="V3589"/>
      <c r="W3589"/>
      <c r="X3589"/>
      <c r="Y3589"/>
      <c r="Z3589"/>
      <c r="AA3589"/>
      <c r="AB3589"/>
      <c r="AC3589"/>
      <c r="AD3589"/>
    </row>
    <row r="3590" spans="2:30" x14ac:dyDescent="0.25">
      <c r="B3590"/>
      <c r="C3590"/>
      <c r="D3590"/>
      <c r="E3590" s="3"/>
      <c r="F3590" s="3"/>
      <c r="G3590"/>
      <c r="H3590"/>
      <c r="I3590"/>
      <c r="J3590"/>
      <c r="K3590"/>
      <c r="L3590"/>
      <c r="M3590"/>
      <c r="N3590"/>
      <c r="O3590"/>
      <c r="P3590"/>
      <c r="Q3590"/>
      <c r="R3590"/>
      <c r="S3590"/>
      <c r="T3590"/>
      <c r="U3590"/>
      <c r="V3590"/>
      <c r="W3590"/>
      <c r="X3590"/>
      <c r="Y3590"/>
      <c r="Z3590"/>
      <c r="AA3590"/>
      <c r="AB3590"/>
      <c r="AC3590"/>
      <c r="AD3590"/>
    </row>
    <row r="3591" spans="2:30" x14ac:dyDescent="0.25">
      <c r="B3591"/>
      <c r="C3591"/>
      <c r="D3591"/>
      <c r="E3591" s="3"/>
      <c r="F3591" s="3"/>
      <c r="G3591"/>
      <c r="H3591"/>
      <c r="I3591"/>
      <c r="J3591"/>
      <c r="K3591"/>
      <c r="L3591"/>
      <c r="M3591"/>
      <c r="N3591"/>
      <c r="O3591"/>
      <c r="P3591"/>
      <c r="Q3591"/>
      <c r="R3591"/>
      <c r="S3591"/>
      <c r="T3591"/>
      <c r="U3591"/>
      <c r="V3591"/>
      <c r="W3591"/>
      <c r="X3591"/>
      <c r="Y3591"/>
      <c r="Z3591"/>
      <c r="AA3591"/>
      <c r="AB3591"/>
      <c r="AC3591"/>
      <c r="AD3591"/>
    </row>
    <row r="3592" spans="2:30" x14ac:dyDescent="0.25">
      <c r="B3592"/>
      <c r="C3592"/>
      <c r="D3592"/>
      <c r="E3592" s="3"/>
      <c r="F3592" s="3"/>
      <c r="G3592"/>
      <c r="H3592"/>
      <c r="I3592"/>
      <c r="J3592"/>
      <c r="K3592"/>
      <c r="L3592"/>
      <c r="M3592"/>
      <c r="N3592"/>
      <c r="O3592"/>
      <c r="P3592"/>
      <c r="Q3592"/>
      <c r="R3592"/>
      <c r="S3592"/>
      <c r="T3592"/>
      <c r="U3592"/>
      <c r="V3592"/>
      <c r="W3592"/>
      <c r="X3592"/>
      <c r="Y3592"/>
      <c r="Z3592"/>
      <c r="AA3592"/>
      <c r="AB3592"/>
      <c r="AC3592"/>
      <c r="AD3592"/>
    </row>
    <row r="3593" spans="2:30" x14ac:dyDescent="0.25">
      <c r="B3593"/>
      <c r="C3593"/>
      <c r="D3593"/>
      <c r="E3593" s="3"/>
      <c r="F3593" s="3"/>
      <c r="G3593"/>
      <c r="H3593"/>
      <c r="I3593"/>
      <c r="J3593"/>
      <c r="K3593"/>
      <c r="L3593"/>
      <c r="M3593"/>
      <c r="N3593"/>
      <c r="O3593"/>
      <c r="P3593"/>
      <c r="Q3593"/>
      <c r="R3593"/>
      <c r="S3593"/>
      <c r="T3593"/>
      <c r="U3593"/>
      <c r="V3593"/>
      <c r="W3593"/>
      <c r="X3593"/>
      <c r="Y3593"/>
      <c r="Z3593"/>
      <c r="AA3593"/>
      <c r="AB3593"/>
      <c r="AC3593"/>
      <c r="AD3593"/>
    </row>
    <row r="3594" spans="2:30" x14ac:dyDescent="0.25">
      <c r="B3594"/>
      <c r="C3594"/>
      <c r="D3594"/>
      <c r="E3594" s="3"/>
      <c r="F3594" s="3"/>
      <c r="G3594"/>
      <c r="H3594"/>
      <c r="I3594"/>
      <c r="J3594"/>
      <c r="K3594"/>
      <c r="L3594"/>
      <c r="M3594"/>
      <c r="N3594"/>
      <c r="O3594"/>
      <c r="P3594"/>
      <c r="Q3594"/>
      <c r="R3594"/>
      <c r="S3594"/>
      <c r="T3594"/>
      <c r="U3594"/>
      <c r="V3594"/>
      <c r="W3594"/>
      <c r="X3594"/>
      <c r="Y3594"/>
      <c r="Z3594"/>
      <c r="AA3594"/>
      <c r="AB3594"/>
      <c r="AC3594"/>
      <c r="AD3594"/>
    </row>
    <row r="3595" spans="2:30" x14ac:dyDescent="0.25">
      <c r="B3595"/>
      <c r="C3595"/>
      <c r="D3595"/>
      <c r="E3595" s="3"/>
      <c r="F3595" s="3"/>
      <c r="G3595"/>
      <c r="H3595"/>
      <c r="I3595"/>
      <c r="J3595"/>
      <c r="K3595"/>
      <c r="L3595"/>
      <c r="M3595"/>
      <c r="N3595"/>
      <c r="O3595"/>
      <c r="P3595"/>
      <c r="Q3595"/>
      <c r="R3595"/>
      <c r="S3595"/>
      <c r="T3595"/>
      <c r="U3595"/>
      <c r="V3595"/>
      <c r="W3595"/>
      <c r="X3595"/>
      <c r="Y3595"/>
      <c r="Z3595"/>
      <c r="AA3595"/>
      <c r="AB3595"/>
      <c r="AC3595"/>
      <c r="AD3595"/>
    </row>
    <row r="3596" spans="2:30" x14ac:dyDescent="0.25">
      <c r="B3596"/>
      <c r="C3596"/>
      <c r="D3596"/>
      <c r="E3596" s="3"/>
      <c r="F3596" s="3"/>
      <c r="G3596"/>
      <c r="H3596"/>
      <c r="I3596"/>
      <c r="J3596"/>
      <c r="K3596"/>
      <c r="L3596"/>
      <c r="M3596"/>
      <c r="N3596"/>
      <c r="O3596"/>
      <c r="P3596"/>
      <c r="Q3596"/>
      <c r="R3596"/>
      <c r="S3596"/>
      <c r="T3596"/>
      <c r="U3596"/>
      <c r="V3596"/>
      <c r="W3596"/>
      <c r="X3596"/>
      <c r="Y3596"/>
      <c r="Z3596"/>
      <c r="AA3596"/>
      <c r="AB3596"/>
      <c r="AC3596"/>
      <c r="AD3596"/>
    </row>
    <row r="3597" spans="2:30" x14ac:dyDescent="0.25">
      <c r="B3597"/>
      <c r="C3597"/>
      <c r="D3597"/>
      <c r="E3597" s="3"/>
      <c r="F3597" s="3"/>
      <c r="G3597"/>
      <c r="H3597"/>
      <c r="I3597"/>
      <c r="J3597"/>
      <c r="K3597"/>
      <c r="L3597"/>
      <c r="M3597"/>
      <c r="N3597"/>
      <c r="O3597"/>
      <c r="P3597"/>
      <c r="Q3597"/>
      <c r="R3597"/>
      <c r="S3597"/>
      <c r="T3597"/>
      <c r="U3597"/>
      <c r="V3597"/>
      <c r="W3597"/>
      <c r="X3597"/>
      <c r="Y3597"/>
      <c r="Z3597"/>
      <c r="AA3597"/>
      <c r="AB3597"/>
      <c r="AC3597"/>
      <c r="AD3597"/>
    </row>
    <row r="3598" spans="2:30" x14ac:dyDescent="0.25">
      <c r="B3598"/>
      <c r="C3598"/>
      <c r="D3598"/>
      <c r="E3598" s="3"/>
      <c r="F3598" s="3"/>
      <c r="G3598"/>
      <c r="H3598"/>
      <c r="I3598"/>
      <c r="J3598"/>
      <c r="K3598"/>
      <c r="L3598"/>
      <c r="M3598"/>
      <c r="N3598"/>
      <c r="O3598"/>
      <c r="P3598"/>
      <c r="Q3598"/>
      <c r="R3598"/>
      <c r="S3598"/>
      <c r="T3598"/>
      <c r="U3598"/>
      <c r="V3598"/>
      <c r="W3598"/>
      <c r="X3598"/>
      <c r="Y3598"/>
      <c r="Z3598"/>
      <c r="AA3598"/>
      <c r="AB3598"/>
      <c r="AC3598"/>
      <c r="AD3598"/>
    </row>
    <row r="3599" spans="2:30" x14ac:dyDescent="0.25">
      <c r="B3599"/>
      <c r="C3599"/>
      <c r="D3599"/>
      <c r="E3599" s="3"/>
      <c r="F3599" s="3"/>
      <c r="G3599"/>
      <c r="H3599"/>
      <c r="I3599"/>
      <c r="J3599"/>
      <c r="K3599"/>
      <c r="L3599"/>
      <c r="M3599"/>
      <c r="N3599"/>
      <c r="O3599"/>
      <c r="P3599"/>
      <c r="Q3599"/>
      <c r="R3599"/>
      <c r="S3599"/>
      <c r="T3599"/>
      <c r="U3599"/>
      <c r="V3599"/>
      <c r="W3599"/>
      <c r="X3599"/>
      <c r="Y3599"/>
      <c r="Z3599"/>
      <c r="AA3599"/>
      <c r="AB3599"/>
      <c r="AC3599"/>
      <c r="AD3599"/>
    </row>
    <row r="3600" spans="2:30" x14ac:dyDescent="0.25">
      <c r="B3600"/>
      <c r="C3600"/>
      <c r="D3600"/>
      <c r="E3600" s="3"/>
      <c r="F3600" s="3"/>
      <c r="G3600"/>
      <c r="H3600"/>
      <c r="I3600"/>
      <c r="J3600"/>
      <c r="K3600"/>
      <c r="L3600"/>
      <c r="M3600"/>
      <c r="N3600"/>
      <c r="O3600"/>
      <c r="P3600"/>
      <c r="Q3600"/>
      <c r="R3600"/>
      <c r="S3600"/>
      <c r="T3600"/>
      <c r="U3600"/>
      <c r="V3600"/>
      <c r="W3600"/>
      <c r="X3600"/>
      <c r="Y3600"/>
      <c r="Z3600"/>
      <c r="AA3600"/>
      <c r="AB3600"/>
      <c r="AC3600"/>
      <c r="AD3600"/>
    </row>
    <row r="3601" spans="2:30" x14ac:dyDescent="0.25">
      <c r="B3601"/>
      <c r="C3601"/>
      <c r="D3601"/>
      <c r="E3601" s="3"/>
      <c r="F3601" s="3"/>
      <c r="G3601"/>
      <c r="H3601"/>
      <c r="I3601"/>
      <c r="J3601"/>
      <c r="K3601"/>
      <c r="L3601"/>
      <c r="M3601"/>
      <c r="N3601"/>
      <c r="O3601"/>
      <c r="P3601"/>
      <c r="Q3601"/>
      <c r="R3601"/>
      <c r="S3601"/>
      <c r="T3601"/>
      <c r="U3601"/>
      <c r="V3601"/>
      <c r="W3601"/>
      <c r="X3601"/>
      <c r="Y3601"/>
      <c r="Z3601"/>
      <c r="AA3601"/>
      <c r="AB3601"/>
      <c r="AC3601"/>
      <c r="AD3601"/>
    </row>
    <row r="3602" spans="2:30" x14ac:dyDescent="0.25">
      <c r="B3602"/>
      <c r="C3602"/>
      <c r="D3602"/>
      <c r="E3602" s="3"/>
      <c r="F3602" s="3"/>
      <c r="G3602"/>
      <c r="H3602"/>
      <c r="I3602"/>
      <c r="J3602"/>
      <c r="K3602"/>
      <c r="L3602"/>
      <c r="M3602"/>
      <c r="N3602"/>
      <c r="O3602"/>
      <c r="P3602"/>
      <c r="Q3602"/>
      <c r="R3602"/>
      <c r="S3602"/>
      <c r="T3602"/>
      <c r="U3602"/>
      <c r="V3602"/>
      <c r="W3602"/>
      <c r="X3602"/>
      <c r="Y3602"/>
      <c r="Z3602"/>
      <c r="AA3602"/>
      <c r="AB3602"/>
      <c r="AC3602"/>
      <c r="AD3602"/>
    </row>
    <row r="3603" spans="2:30" x14ac:dyDescent="0.25">
      <c r="B3603"/>
      <c r="C3603"/>
      <c r="D3603"/>
      <c r="E3603" s="3"/>
      <c r="F3603" s="3"/>
      <c r="G3603"/>
      <c r="H3603"/>
      <c r="I3603"/>
      <c r="J3603"/>
      <c r="K3603"/>
      <c r="L3603"/>
      <c r="M3603"/>
      <c r="N3603"/>
      <c r="O3603"/>
      <c r="P3603"/>
      <c r="Q3603"/>
      <c r="R3603"/>
      <c r="S3603"/>
      <c r="T3603"/>
      <c r="U3603"/>
      <c r="V3603"/>
      <c r="W3603"/>
      <c r="X3603"/>
      <c r="Y3603"/>
      <c r="Z3603"/>
      <c r="AA3603"/>
      <c r="AB3603"/>
      <c r="AC3603"/>
      <c r="AD3603"/>
    </row>
    <row r="3604" spans="2:30" x14ac:dyDescent="0.25">
      <c r="B3604"/>
      <c r="C3604"/>
      <c r="D3604"/>
      <c r="E3604" s="3"/>
      <c r="F3604" s="3"/>
      <c r="G3604"/>
      <c r="H3604"/>
      <c r="I3604"/>
      <c r="J3604"/>
      <c r="K3604"/>
      <c r="L3604"/>
      <c r="M3604"/>
      <c r="N3604"/>
      <c r="O3604"/>
      <c r="P3604"/>
      <c r="Q3604"/>
      <c r="R3604"/>
      <c r="S3604"/>
      <c r="T3604"/>
      <c r="U3604"/>
      <c r="V3604"/>
      <c r="W3604"/>
      <c r="X3604"/>
      <c r="Y3604"/>
      <c r="Z3604"/>
      <c r="AA3604"/>
      <c r="AB3604"/>
      <c r="AC3604"/>
      <c r="AD3604"/>
    </row>
    <row r="3605" spans="2:30" x14ac:dyDescent="0.25">
      <c r="B3605"/>
      <c r="C3605"/>
      <c r="D3605"/>
      <c r="E3605" s="3"/>
      <c r="F3605" s="3"/>
      <c r="G3605"/>
      <c r="H3605"/>
      <c r="I3605"/>
      <c r="J3605"/>
      <c r="K3605"/>
      <c r="L3605"/>
      <c r="M3605"/>
      <c r="N3605"/>
      <c r="O3605"/>
      <c r="P3605"/>
      <c r="Q3605"/>
      <c r="R3605"/>
      <c r="S3605"/>
      <c r="T3605"/>
      <c r="U3605"/>
      <c r="V3605"/>
      <c r="W3605"/>
      <c r="X3605"/>
      <c r="Y3605"/>
      <c r="Z3605"/>
      <c r="AA3605"/>
      <c r="AB3605"/>
      <c r="AC3605"/>
      <c r="AD3605"/>
    </row>
    <row r="3606" spans="2:30" x14ac:dyDescent="0.25">
      <c r="B3606"/>
      <c r="C3606"/>
      <c r="D3606"/>
      <c r="E3606" s="3"/>
      <c r="F3606" s="3"/>
      <c r="G3606"/>
      <c r="H3606"/>
      <c r="I3606"/>
      <c r="J3606"/>
      <c r="K3606"/>
      <c r="L3606"/>
      <c r="M3606"/>
      <c r="N3606"/>
      <c r="O3606"/>
      <c r="P3606"/>
      <c r="Q3606"/>
      <c r="R3606"/>
      <c r="S3606"/>
      <c r="T3606"/>
      <c r="U3606"/>
      <c r="V3606"/>
      <c r="W3606"/>
      <c r="X3606"/>
      <c r="Y3606"/>
      <c r="Z3606"/>
      <c r="AA3606"/>
      <c r="AB3606"/>
      <c r="AC3606"/>
      <c r="AD3606"/>
    </row>
    <row r="3607" spans="2:30" x14ac:dyDescent="0.25">
      <c r="B3607"/>
      <c r="C3607"/>
      <c r="D3607"/>
      <c r="E3607" s="3"/>
      <c r="F3607" s="3"/>
      <c r="G3607"/>
      <c r="H3607"/>
      <c r="I3607"/>
      <c r="J3607"/>
      <c r="K3607"/>
      <c r="L3607"/>
      <c r="M3607"/>
      <c r="N3607"/>
      <c r="O3607"/>
      <c r="P3607"/>
      <c r="Q3607"/>
      <c r="R3607"/>
      <c r="S3607"/>
      <c r="T3607"/>
      <c r="U3607"/>
      <c r="V3607"/>
      <c r="W3607"/>
      <c r="X3607"/>
      <c r="Y3607"/>
      <c r="Z3607"/>
      <c r="AA3607"/>
      <c r="AB3607"/>
      <c r="AC3607"/>
      <c r="AD3607"/>
    </row>
    <row r="3608" spans="2:30" x14ac:dyDescent="0.25">
      <c r="B3608"/>
      <c r="C3608"/>
      <c r="D3608"/>
      <c r="E3608" s="3"/>
      <c r="F3608" s="3"/>
      <c r="G3608"/>
      <c r="H3608"/>
      <c r="I3608"/>
      <c r="J3608"/>
      <c r="K3608"/>
      <c r="L3608"/>
      <c r="M3608"/>
      <c r="N3608"/>
      <c r="O3608"/>
      <c r="P3608"/>
      <c r="Q3608"/>
      <c r="R3608"/>
      <c r="S3608"/>
      <c r="T3608"/>
      <c r="U3608"/>
      <c r="V3608"/>
      <c r="W3608"/>
      <c r="X3608"/>
      <c r="Y3608"/>
      <c r="Z3608"/>
      <c r="AA3608"/>
      <c r="AB3608"/>
      <c r="AC3608"/>
      <c r="AD3608"/>
    </row>
    <row r="3609" spans="2:30" x14ac:dyDescent="0.25">
      <c r="B3609"/>
      <c r="C3609"/>
      <c r="D3609"/>
      <c r="E3609" s="3"/>
      <c r="F3609" s="3"/>
      <c r="G3609"/>
      <c r="H3609"/>
      <c r="I3609"/>
      <c r="J3609"/>
      <c r="K3609"/>
      <c r="L3609"/>
      <c r="M3609"/>
      <c r="N3609"/>
      <c r="O3609"/>
      <c r="P3609"/>
      <c r="Q3609"/>
      <c r="R3609"/>
      <c r="S3609"/>
      <c r="T3609"/>
      <c r="U3609"/>
      <c r="V3609"/>
      <c r="W3609"/>
      <c r="X3609"/>
      <c r="Y3609"/>
      <c r="Z3609"/>
      <c r="AA3609"/>
      <c r="AB3609"/>
      <c r="AC3609"/>
      <c r="AD3609"/>
    </row>
    <row r="3610" spans="2:30" x14ac:dyDescent="0.25">
      <c r="B3610"/>
      <c r="C3610"/>
      <c r="D3610"/>
      <c r="E3610" s="3"/>
      <c r="F3610" s="3"/>
      <c r="G3610"/>
      <c r="H3610"/>
      <c r="I3610"/>
      <c r="J3610"/>
      <c r="K3610"/>
      <c r="L3610"/>
      <c r="M3610"/>
      <c r="N3610"/>
      <c r="O3610"/>
      <c r="P3610"/>
      <c r="Q3610"/>
      <c r="R3610"/>
      <c r="S3610"/>
      <c r="T3610"/>
      <c r="U3610"/>
      <c r="V3610"/>
      <c r="W3610"/>
      <c r="X3610"/>
      <c r="Y3610"/>
      <c r="Z3610"/>
      <c r="AA3610"/>
      <c r="AB3610"/>
      <c r="AC3610"/>
      <c r="AD3610"/>
    </row>
    <row r="3611" spans="2:30" x14ac:dyDescent="0.25">
      <c r="B3611"/>
      <c r="C3611"/>
      <c r="D3611"/>
      <c r="E3611" s="3"/>
      <c r="F3611" s="3"/>
      <c r="G3611"/>
      <c r="H3611"/>
      <c r="I3611"/>
      <c r="J3611"/>
      <c r="K3611"/>
      <c r="L3611"/>
      <c r="M3611"/>
      <c r="N3611"/>
      <c r="O3611"/>
      <c r="P3611"/>
      <c r="Q3611"/>
      <c r="R3611"/>
      <c r="S3611"/>
      <c r="T3611"/>
      <c r="U3611"/>
      <c r="V3611"/>
      <c r="W3611"/>
      <c r="X3611"/>
      <c r="Y3611"/>
      <c r="Z3611"/>
      <c r="AA3611"/>
      <c r="AB3611"/>
      <c r="AC3611"/>
      <c r="AD3611"/>
    </row>
    <row r="3612" spans="2:30" x14ac:dyDescent="0.25">
      <c r="B3612"/>
      <c r="C3612"/>
      <c r="D3612"/>
      <c r="E3612" s="3"/>
      <c r="F3612" s="3"/>
      <c r="G3612"/>
      <c r="H3612"/>
      <c r="I3612"/>
      <c r="J3612"/>
      <c r="K3612"/>
      <c r="L3612"/>
      <c r="M3612"/>
      <c r="N3612"/>
      <c r="O3612"/>
      <c r="P3612"/>
      <c r="Q3612"/>
      <c r="R3612"/>
      <c r="S3612"/>
      <c r="T3612"/>
      <c r="U3612"/>
      <c r="V3612"/>
      <c r="W3612"/>
      <c r="X3612"/>
      <c r="Y3612"/>
      <c r="Z3612"/>
      <c r="AA3612"/>
      <c r="AB3612"/>
      <c r="AC3612"/>
      <c r="AD3612"/>
    </row>
    <row r="3613" spans="2:30" x14ac:dyDescent="0.25">
      <c r="B3613"/>
      <c r="C3613"/>
      <c r="D3613"/>
      <c r="E3613" s="3"/>
      <c r="F3613" s="3"/>
      <c r="G3613"/>
      <c r="H3613"/>
      <c r="I3613"/>
      <c r="J3613"/>
      <c r="K3613"/>
      <c r="L3613"/>
      <c r="M3613"/>
      <c r="N3613"/>
      <c r="O3613"/>
      <c r="P3613"/>
      <c r="Q3613"/>
      <c r="R3613"/>
      <c r="S3613"/>
      <c r="T3613"/>
      <c r="U3613"/>
      <c r="V3613"/>
      <c r="W3613"/>
      <c r="X3613"/>
      <c r="Y3613"/>
      <c r="Z3613"/>
      <c r="AA3613"/>
      <c r="AB3613"/>
      <c r="AC3613"/>
      <c r="AD3613"/>
    </row>
    <row r="3614" spans="2:30" x14ac:dyDescent="0.25">
      <c r="B3614"/>
      <c r="C3614"/>
      <c r="D3614"/>
      <c r="E3614" s="3"/>
      <c r="F3614" s="3"/>
      <c r="G3614"/>
      <c r="H3614"/>
      <c r="I3614"/>
      <c r="J3614"/>
      <c r="K3614"/>
      <c r="L3614"/>
      <c r="M3614"/>
      <c r="N3614"/>
      <c r="O3614"/>
      <c r="P3614"/>
      <c r="Q3614"/>
      <c r="R3614"/>
      <c r="S3614"/>
      <c r="T3614"/>
      <c r="U3614"/>
      <c r="V3614"/>
      <c r="W3614"/>
      <c r="X3614"/>
      <c r="Y3614"/>
      <c r="Z3614"/>
      <c r="AA3614"/>
      <c r="AB3614"/>
      <c r="AC3614"/>
      <c r="AD3614"/>
    </row>
    <row r="3615" spans="2:30" x14ac:dyDescent="0.25">
      <c r="B3615"/>
      <c r="C3615"/>
      <c r="D3615"/>
      <c r="E3615" s="3"/>
      <c r="F3615" s="3"/>
      <c r="G3615"/>
      <c r="H3615"/>
      <c r="I3615"/>
      <c r="J3615"/>
      <c r="K3615"/>
      <c r="L3615"/>
      <c r="M3615"/>
      <c r="N3615"/>
      <c r="O3615"/>
      <c r="P3615"/>
      <c r="Q3615"/>
      <c r="R3615"/>
      <c r="S3615"/>
      <c r="T3615"/>
      <c r="U3615"/>
      <c r="V3615"/>
      <c r="W3615"/>
      <c r="X3615"/>
      <c r="Y3615"/>
      <c r="Z3615"/>
      <c r="AA3615"/>
      <c r="AB3615"/>
      <c r="AC3615"/>
      <c r="AD3615"/>
    </row>
    <row r="3616" spans="2:30" x14ac:dyDescent="0.25">
      <c r="B3616"/>
      <c r="C3616"/>
      <c r="D3616"/>
      <c r="E3616" s="3"/>
      <c r="F3616" s="3"/>
      <c r="G3616"/>
      <c r="H3616"/>
      <c r="I3616"/>
      <c r="J3616"/>
      <c r="K3616"/>
      <c r="L3616"/>
      <c r="M3616"/>
      <c r="N3616"/>
      <c r="O3616"/>
      <c r="P3616"/>
      <c r="Q3616"/>
      <c r="R3616"/>
      <c r="S3616"/>
      <c r="T3616"/>
      <c r="U3616"/>
      <c r="V3616"/>
      <c r="W3616"/>
      <c r="X3616"/>
      <c r="Y3616"/>
      <c r="Z3616"/>
      <c r="AA3616"/>
      <c r="AB3616"/>
      <c r="AC3616"/>
      <c r="AD3616"/>
    </row>
    <row r="3617" spans="2:30" x14ac:dyDescent="0.25">
      <c r="B3617"/>
      <c r="C3617"/>
      <c r="D3617"/>
      <c r="E3617" s="3"/>
      <c r="F3617" s="3"/>
      <c r="G3617"/>
      <c r="H3617"/>
      <c r="I3617"/>
      <c r="J3617"/>
      <c r="K3617"/>
      <c r="L3617"/>
      <c r="M3617"/>
      <c r="N3617"/>
      <c r="O3617"/>
      <c r="P3617"/>
      <c r="Q3617"/>
      <c r="R3617"/>
      <c r="S3617"/>
      <c r="T3617"/>
      <c r="U3617"/>
      <c r="V3617"/>
      <c r="W3617"/>
      <c r="X3617"/>
      <c r="Y3617"/>
      <c r="Z3617"/>
      <c r="AA3617"/>
      <c r="AB3617"/>
      <c r="AC3617"/>
      <c r="AD3617"/>
    </row>
    <row r="3618" spans="2:30" x14ac:dyDescent="0.25">
      <c r="B3618"/>
      <c r="C3618"/>
      <c r="D3618"/>
      <c r="E3618" s="3"/>
      <c r="F3618" s="3"/>
      <c r="G3618"/>
      <c r="H3618"/>
      <c r="I3618"/>
      <c r="J3618"/>
      <c r="K3618"/>
      <c r="L3618"/>
      <c r="M3618"/>
      <c r="N3618"/>
      <c r="O3618"/>
      <c r="P3618"/>
      <c r="Q3618"/>
      <c r="R3618"/>
      <c r="S3618"/>
      <c r="T3618"/>
      <c r="U3618"/>
      <c r="V3618"/>
      <c r="W3618"/>
      <c r="X3618"/>
      <c r="Y3618"/>
      <c r="Z3618"/>
      <c r="AA3618"/>
      <c r="AB3618"/>
      <c r="AC3618"/>
      <c r="AD3618"/>
    </row>
    <row r="3619" spans="2:30" x14ac:dyDescent="0.25">
      <c r="B3619"/>
      <c r="C3619"/>
      <c r="D3619"/>
      <c r="E3619" s="3"/>
      <c r="F3619" s="3"/>
      <c r="G3619"/>
      <c r="H3619"/>
      <c r="I3619"/>
      <c r="J3619"/>
      <c r="K3619"/>
      <c r="L3619"/>
      <c r="M3619"/>
      <c r="N3619"/>
      <c r="O3619"/>
      <c r="P3619"/>
      <c r="Q3619"/>
      <c r="R3619"/>
      <c r="S3619"/>
      <c r="T3619"/>
      <c r="U3619"/>
      <c r="V3619"/>
      <c r="W3619"/>
      <c r="X3619"/>
      <c r="Y3619"/>
      <c r="Z3619"/>
      <c r="AA3619"/>
      <c r="AB3619"/>
      <c r="AC3619"/>
      <c r="AD3619"/>
    </row>
    <row r="3620" spans="2:30" x14ac:dyDescent="0.25">
      <c r="B3620"/>
      <c r="C3620"/>
      <c r="D3620"/>
      <c r="E3620" s="3"/>
      <c r="F3620" s="3"/>
      <c r="G3620"/>
      <c r="H3620"/>
      <c r="I3620"/>
      <c r="J3620"/>
      <c r="K3620"/>
      <c r="L3620"/>
      <c r="M3620"/>
      <c r="N3620"/>
      <c r="O3620"/>
      <c r="P3620"/>
      <c r="Q3620"/>
      <c r="R3620"/>
      <c r="S3620"/>
      <c r="T3620"/>
      <c r="U3620"/>
      <c r="V3620"/>
      <c r="W3620"/>
      <c r="X3620"/>
      <c r="Y3620"/>
      <c r="Z3620"/>
      <c r="AA3620"/>
      <c r="AB3620"/>
      <c r="AC3620"/>
      <c r="AD3620"/>
    </row>
    <row r="3621" spans="2:30" x14ac:dyDescent="0.25">
      <c r="B3621"/>
      <c r="C3621"/>
      <c r="D3621"/>
      <c r="E3621" s="3"/>
      <c r="F3621" s="3"/>
      <c r="G3621"/>
      <c r="H3621"/>
      <c r="I3621"/>
      <c r="J3621"/>
      <c r="K3621"/>
      <c r="L3621"/>
      <c r="M3621"/>
      <c r="N3621"/>
      <c r="O3621"/>
      <c r="P3621"/>
      <c r="Q3621"/>
      <c r="R3621"/>
      <c r="S3621"/>
      <c r="T3621"/>
      <c r="U3621"/>
      <c r="V3621"/>
      <c r="W3621"/>
      <c r="X3621"/>
      <c r="Y3621"/>
      <c r="Z3621"/>
      <c r="AA3621"/>
      <c r="AB3621"/>
      <c r="AC3621"/>
      <c r="AD3621"/>
    </row>
    <row r="3622" spans="2:30" x14ac:dyDescent="0.25">
      <c r="B3622"/>
      <c r="C3622"/>
      <c r="D3622"/>
      <c r="E3622" s="3"/>
      <c r="F3622" s="3"/>
      <c r="G3622"/>
      <c r="H3622"/>
      <c r="I3622"/>
      <c r="J3622"/>
      <c r="K3622"/>
      <c r="L3622"/>
      <c r="M3622"/>
      <c r="N3622"/>
      <c r="O3622"/>
      <c r="P3622"/>
      <c r="Q3622"/>
      <c r="R3622"/>
      <c r="S3622"/>
      <c r="T3622"/>
      <c r="U3622"/>
      <c r="V3622"/>
      <c r="W3622"/>
      <c r="X3622"/>
      <c r="Y3622"/>
      <c r="Z3622"/>
      <c r="AA3622"/>
      <c r="AB3622"/>
      <c r="AC3622"/>
      <c r="AD3622"/>
    </row>
    <row r="3623" spans="2:30" x14ac:dyDescent="0.25">
      <c r="B3623"/>
      <c r="C3623"/>
      <c r="D3623"/>
      <c r="E3623" s="3"/>
      <c r="F3623" s="3"/>
      <c r="G3623"/>
      <c r="H3623"/>
      <c r="I3623"/>
      <c r="J3623"/>
      <c r="K3623"/>
      <c r="L3623"/>
      <c r="M3623"/>
      <c r="N3623"/>
      <c r="O3623"/>
      <c r="P3623"/>
      <c r="Q3623"/>
      <c r="R3623"/>
      <c r="S3623"/>
      <c r="T3623"/>
      <c r="U3623"/>
      <c r="V3623"/>
      <c r="W3623"/>
      <c r="X3623"/>
      <c r="Y3623"/>
      <c r="Z3623"/>
      <c r="AA3623"/>
      <c r="AB3623"/>
      <c r="AC3623"/>
      <c r="AD3623"/>
    </row>
    <row r="3624" spans="2:30" x14ac:dyDescent="0.25">
      <c r="B3624"/>
      <c r="C3624"/>
      <c r="D3624"/>
      <c r="E3624" s="3"/>
      <c r="F3624" s="3"/>
      <c r="G3624"/>
      <c r="H3624"/>
      <c r="I3624"/>
      <c r="J3624"/>
      <c r="K3624"/>
      <c r="L3624"/>
      <c r="M3624"/>
      <c r="N3624"/>
      <c r="O3624"/>
      <c r="P3624"/>
      <c r="Q3624"/>
      <c r="R3624"/>
      <c r="S3624"/>
      <c r="T3624"/>
      <c r="U3624"/>
      <c r="V3624"/>
      <c r="W3624"/>
      <c r="X3624"/>
      <c r="Y3624"/>
      <c r="Z3624"/>
      <c r="AA3624"/>
      <c r="AB3624"/>
      <c r="AC3624"/>
      <c r="AD3624"/>
    </row>
    <row r="3625" spans="2:30" x14ac:dyDescent="0.25">
      <c r="B3625"/>
      <c r="C3625"/>
      <c r="D3625"/>
      <c r="E3625" s="3"/>
      <c r="F3625" s="3"/>
      <c r="G3625"/>
      <c r="H3625"/>
      <c r="I3625"/>
      <c r="J3625"/>
      <c r="K3625"/>
      <c r="L3625"/>
      <c r="M3625"/>
      <c r="N3625"/>
      <c r="O3625"/>
      <c r="P3625"/>
      <c r="Q3625"/>
      <c r="R3625"/>
      <c r="S3625"/>
      <c r="T3625"/>
      <c r="U3625"/>
      <c r="V3625"/>
      <c r="W3625"/>
      <c r="X3625"/>
      <c r="Y3625"/>
      <c r="Z3625"/>
      <c r="AA3625"/>
      <c r="AB3625"/>
      <c r="AC3625"/>
      <c r="AD3625"/>
    </row>
    <row r="3626" spans="2:30" x14ac:dyDescent="0.25">
      <c r="B3626"/>
      <c r="C3626"/>
      <c r="D3626"/>
      <c r="E3626" s="3"/>
      <c r="F3626" s="3"/>
      <c r="G3626"/>
      <c r="H3626"/>
      <c r="I3626"/>
      <c r="J3626"/>
      <c r="K3626"/>
      <c r="L3626"/>
      <c r="M3626"/>
      <c r="N3626"/>
      <c r="O3626"/>
      <c r="P3626"/>
      <c r="Q3626"/>
      <c r="R3626"/>
      <c r="S3626"/>
      <c r="T3626"/>
      <c r="U3626"/>
      <c r="V3626"/>
      <c r="W3626"/>
      <c r="X3626"/>
      <c r="Y3626"/>
      <c r="Z3626"/>
      <c r="AA3626"/>
      <c r="AB3626"/>
      <c r="AC3626"/>
      <c r="AD3626"/>
    </row>
    <row r="3627" spans="2:30" x14ac:dyDescent="0.25">
      <c r="B3627"/>
      <c r="C3627"/>
      <c r="D3627"/>
      <c r="E3627" s="3"/>
      <c r="F3627" s="3"/>
      <c r="G3627"/>
      <c r="H3627"/>
      <c r="I3627"/>
      <c r="J3627"/>
      <c r="K3627"/>
      <c r="L3627"/>
      <c r="M3627"/>
      <c r="N3627"/>
      <c r="O3627"/>
      <c r="P3627"/>
      <c r="Q3627"/>
      <c r="R3627"/>
      <c r="S3627"/>
      <c r="T3627"/>
      <c r="U3627"/>
      <c r="V3627"/>
      <c r="W3627"/>
      <c r="X3627"/>
      <c r="Y3627"/>
      <c r="Z3627"/>
      <c r="AA3627"/>
      <c r="AB3627"/>
      <c r="AC3627"/>
      <c r="AD3627"/>
    </row>
    <row r="3628" spans="2:30" x14ac:dyDescent="0.25">
      <c r="B3628"/>
      <c r="C3628"/>
      <c r="D3628"/>
      <c r="E3628" s="3"/>
      <c r="F3628" s="3"/>
      <c r="G3628"/>
      <c r="H3628"/>
      <c r="I3628"/>
      <c r="J3628"/>
      <c r="K3628"/>
      <c r="L3628"/>
      <c r="M3628"/>
      <c r="N3628"/>
      <c r="O3628"/>
      <c r="P3628"/>
      <c r="Q3628"/>
      <c r="R3628"/>
      <c r="S3628"/>
      <c r="T3628"/>
      <c r="U3628"/>
      <c r="V3628"/>
      <c r="W3628"/>
      <c r="X3628"/>
      <c r="Y3628"/>
      <c r="Z3628"/>
      <c r="AA3628"/>
      <c r="AB3628"/>
      <c r="AC3628"/>
      <c r="AD3628"/>
    </row>
    <row r="3629" spans="2:30" x14ac:dyDescent="0.25">
      <c r="B3629"/>
      <c r="C3629"/>
      <c r="D3629"/>
      <c r="E3629" s="3"/>
      <c r="F3629" s="3"/>
      <c r="G3629"/>
      <c r="H3629"/>
      <c r="I3629"/>
      <c r="J3629"/>
      <c r="K3629"/>
      <c r="L3629"/>
      <c r="M3629"/>
      <c r="N3629"/>
      <c r="O3629"/>
      <c r="P3629"/>
      <c r="Q3629"/>
      <c r="R3629"/>
      <c r="S3629"/>
      <c r="T3629"/>
      <c r="U3629"/>
      <c r="V3629"/>
      <c r="W3629"/>
      <c r="X3629"/>
      <c r="Y3629"/>
      <c r="Z3629"/>
      <c r="AA3629"/>
      <c r="AB3629"/>
      <c r="AC3629"/>
      <c r="AD3629"/>
    </row>
    <row r="3630" spans="2:30" x14ac:dyDescent="0.25">
      <c r="B3630"/>
      <c r="C3630"/>
      <c r="D3630"/>
      <c r="E3630" s="3"/>
      <c r="F3630" s="3"/>
      <c r="G3630"/>
      <c r="H3630"/>
      <c r="I3630"/>
      <c r="J3630"/>
      <c r="K3630"/>
      <c r="L3630"/>
      <c r="M3630"/>
      <c r="N3630"/>
      <c r="O3630"/>
      <c r="P3630"/>
      <c r="Q3630"/>
      <c r="R3630"/>
      <c r="S3630"/>
      <c r="T3630"/>
      <c r="U3630"/>
      <c r="V3630"/>
      <c r="W3630"/>
      <c r="X3630"/>
      <c r="Y3630"/>
      <c r="Z3630"/>
      <c r="AA3630"/>
      <c r="AB3630"/>
      <c r="AC3630"/>
      <c r="AD3630"/>
    </row>
    <row r="3631" spans="2:30" x14ac:dyDescent="0.25">
      <c r="B3631"/>
      <c r="C3631"/>
      <c r="D3631"/>
      <c r="E3631" s="3"/>
      <c r="F3631" s="3"/>
      <c r="G3631"/>
      <c r="H3631"/>
      <c r="I3631"/>
      <c r="J3631"/>
      <c r="K3631"/>
      <c r="L3631"/>
      <c r="M3631"/>
      <c r="N3631"/>
      <c r="O3631"/>
      <c r="P3631"/>
      <c r="Q3631"/>
      <c r="R3631"/>
      <c r="S3631"/>
      <c r="T3631"/>
      <c r="U3631"/>
      <c r="V3631"/>
      <c r="W3631"/>
      <c r="X3631"/>
      <c r="Y3631"/>
      <c r="Z3631"/>
      <c r="AA3631"/>
      <c r="AB3631"/>
      <c r="AC3631"/>
      <c r="AD3631"/>
    </row>
    <row r="3632" spans="2:30" x14ac:dyDescent="0.25">
      <c r="B3632"/>
      <c r="C3632"/>
      <c r="D3632"/>
      <c r="E3632" s="3"/>
      <c r="F3632" s="3"/>
      <c r="G3632"/>
      <c r="H3632"/>
      <c r="I3632"/>
      <c r="J3632"/>
      <c r="K3632"/>
      <c r="L3632"/>
      <c r="M3632"/>
      <c r="N3632"/>
      <c r="O3632"/>
      <c r="P3632"/>
      <c r="Q3632"/>
      <c r="R3632"/>
      <c r="S3632"/>
      <c r="T3632"/>
      <c r="U3632"/>
      <c r="V3632"/>
      <c r="W3632"/>
      <c r="X3632"/>
      <c r="Y3632"/>
      <c r="Z3632"/>
      <c r="AA3632"/>
      <c r="AB3632"/>
      <c r="AC3632"/>
      <c r="AD3632"/>
    </row>
    <row r="3633" spans="2:30" x14ac:dyDescent="0.25">
      <c r="B3633"/>
      <c r="C3633"/>
      <c r="D3633"/>
      <c r="E3633" s="3"/>
      <c r="F3633" s="3"/>
      <c r="G3633"/>
      <c r="H3633"/>
      <c r="I3633"/>
      <c r="J3633"/>
      <c r="K3633"/>
      <c r="L3633"/>
      <c r="M3633"/>
      <c r="N3633"/>
      <c r="O3633"/>
      <c r="P3633"/>
      <c r="Q3633"/>
      <c r="R3633"/>
      <c r="S3633"/>
      <c r="T3633"/>
      <c r="U3633"/>
      <c r="V3633"/>
      <c r="W3633"/>
      <c r="X3633"/>
      <c r="Y3633"/>
      <c r="Z3633"/>
      <c r="AA3633"/>
      <c r="AB3633"/>
      <c r="AC3633"/>
      <c r="AD3633"/>
    </row>
    <row r="3634" spans="2:30" x14ac:dyDescent="0.25">
      <c r="B3634"/>
      <c r="C3634"/>
      <c r="D3634"/>
      <c r="E3634" s="3"/>
      <c r="F3634" s="3"/>
      <c r="G3634"/>
      <c r="H3634"/>
      <c r="I3634"/>
      <c r="J3634"/>
      <c r="K3634"/>
      <c r="L3634"/>
      <c r="M3634"/>
      <c r="N3634"/>
      <c r="O3634"/>
      <c r="P3634"/>
      <c r="Q3634"/>
      <c r="R3634"/>
      <c r="S3634"/>
      <c r="T3634"/>
      <c r="U3634"/>
      <c r="V3634"/>
      <c r="W3634"/>
      <c r="X3634"/>
      <c r="Y3634"/>
      <c r="Z3634"/>
      <c r="AA3634"/>
      <c r="AB3634"/>
      <c r="AC3634"/>
      <c r="AD3634"/>
    </row>
    <row r="3635" spans="2:30" x14ac:dyDescent="0.25">
      <c r="B3635"/>
      <c r="C3635"/>
      <c r="D3635"/>
      <c r="E3635" s="3"/>
      <c r="F3635" s="3"/>
      <c r="G3635"/>
      <c r="H3635"/>
      <c r="I3635"/>
      <c r="J3635"/>
      <c r="K3635"/>
      <c r="L3635"/>
      <c r="M3635"/>
      <c r="N3635"/>
      <c r="O3635"/>
      <c r="P3635"/>
      <c r="Q3635"/>
      <c r="R3635"/>
      <c r="S3635"/>
      <c r="T3635"/>
      <c r="U3635"/>
      <c r="V3635"/>
      <c r="W3635"/>
      <c r="X3635"/>
      <c r="Y3635"/>
      <c r="Z3635"/>
      <c r="AA3635"/>
      <c r="AB3635"/>
      <c r="AC3635"/>
      <c r="AD3635"/>
    </row>
    <row r="3636" spans="2:30" x14ac:dyDescent="0.25">
      <c r="B3636"/>
      <c r="C3636"/>
      <c r="D3636"/>
      <c r="E3636" s="3"/>
      <c r="F3636" s="3"/>
      <c r="G3636"/>
      <c r="H3636"/>
      <c r="I3636"/>
      <c r="J3636"/>
      <c r="K3636"/>
      <c r="L3636"/>
      <c r="M3636"/>
      <c r="N3636"/>
      <c r="O3636"/>
      <c r="P3636"/>
      <c r="Q3636"/>
      <c r="R3636"/>
      <c r="S3636"/>
      <c r="T3636"/>
      <c r="U3636"/>
      <c r="V3636"/>
      <c r="W3636"/>
      <c r="X3636"/>
      <c r="Y3636"/>
      <c r="Z3636"/>
      <c r="AA3636"/>
      <c r="AB3636"/>
      <c r="AC3636"/>
      <c r="AD3636"/>
    </row>
    <row r="3637" spans="2:30" x14ac:dyDescent="0.25">
      <c r="B3637"/>
      <c r="C3637"/>
      <c r="D3637"/>
      <c r="E3637" s="3"/>
      <c r="F3637" s="3"/>
      <c r="G3637"/>
      <c r="H3637"/>
      <c r="I3637"/>
      <c r="J3637"/>
      <c r="K3637"/>
      <c r="L3637"/>
      <c r="M3637"/>
      <c r="N3637"/>
      <c r="O3637"/>
      <c r="P3637"/>
      <c r="Q3637"/>
      <c r="R3637"/>
      <c r="S3637"/>
      <c r="T3637"/>
      <c r="U3637"/>
      <c r="V3637"/>
      <c r="W3637"/>
      <c r="X3637"/>
      <c r="Y3637"/>
      <c r="Z3637"/>
      <c r="AA3637"/>
      <c r="AB3637"/>
      <c r="AC3637"/>
      <c r="AD3637"/>
    </row>
    <row r="3638" spans="2:30" x14ac:dyDescent="0.25">
      <c r="B3638"/>
      <c r="C3638"/>
      <c r="D3638"/>
      <c r="E3638" s="3"/>
      <c r="F3638" s="3"/>
      <c r="G3638"/>
      <c r="H3638"/>
      <c r="I3638"/>
      <c r="J3638"/>
      <c r="K3638"/>
      <c r="L3638"/>
      <c r="M3638"/>
      <c r="N3638"/>
      <c r="O3638"/>
      <c r="P3638"/>
      <c r="Q3638"/>
      <c r="R3638"/>
      <c r="S3638"/>
      <c r="T3638"/>
      <c r="U3638"/>
      <c r="V3638"/>
      <c r="W3638"/>
      <c r="X3638"/>
      <c r="Y3638"/>
      <c r="Z3638"/>
      <c r="AA3638"/>
      <c r="AB3638"/>
      <c r="AC3638"/>
      <c r="AD3638"/>
    </row>
    <row r="3639" spans="2:30" x14ac:dyDescent="0.25">
      <c r="B3639"/>
      <c r="C3639"/>
      <c r="D3639"/>
      <c r="E3639" s="3"/>
      <c r="F3639" s="3"/>
      <c r="G3639"/>
      <c r="H3639"/>
      <c r="I3639"/>
      <c r="J3639"/>
      <c r="K3639"/>
      <c r="L3639"/>
      <c r="M3639"/>
      <c r="N3639"/>
      <c r="O3639"/>
      <c r="P3639"/>
      <c r="Q3639"/>
      <c r="R3639"/>
      <c r="S3639"/>
      <c r="T3639"/>
      <c r="U3639"/>
      <c r="V3639"/>
      <c r="W3639"/>
      <c r="X3639"/>
      <c r="Y3639"/>
      <c r="Z3639"/>
      <c r="AA3639"/>
      <c r="AB3639"/>
      <c r="AC3639"/>
      <c r="AD3639"/>
    </row>
    <row r="3640" spans="2:30" x14ac:dyDescent="0.25">
      <c r="B3640"/>
      <c r="C3640"/>
      <c r="D3640"/>
      <c r="E3640" s="3"/>
      <c r="F3640" s="3"/>
      <c r="G3640"/>
      <c r="H3640"/>
      <c r="I3640"/>
      <c r="J3640"/>
      <c r="K3640"/>
      <c r="L3640"/>
      <c r="M3640"/>
      <c r="N3640"/>
      <c r="O3640"/>
      <c r="P3640"/>
      <c r="Q3640"/>
      <c r="R3640"/>
      <c r="S3640"/>
      <c r="T3640"/>
      <c r="U3640"/>
      <c r="V3640"/>
      <c r="W3640"/>
      <c r="X3640"/>
      <c r="Y3640"/>
      <c r="Z3640"/>
      <c r="AA3640"/>
      <c r="AB3640"/>
      <c r="AC3640"/>
      <c r="AD3640"/>
    </row>
    <row r="3641" spans="2:30" x14ac:dyDescent="0.25">
      <c r="B3641"/>
      <c r="C3641"/>
      <c r="D3641"/>
      <c r="E3641" s="3"/>
      <c r="F3641" s="3"/>
      <c r="G3641"/>
      <c r="H3641"/>
      <c r="I3641"/>
      <c r="J3641"/>
      <c r="K3641"/>
      <c r="L3641"/>
      <c r="M3641"/>
      <c r="N3641"/>
      <c r="O3641"/>
      <c r="P3641"/>
      <c r="Q3641"/>
      <c r="R3641"/>
      <c r="S3641"/>
      <c r="T3641"/>
      <c r="U3641"/>
      <c r="V3641"/>
      <c r="W3641"/>
      <c r="X3641"/>
      <c r="Y3641"/>
      <c r="Z3641"/>
      <c r="AA3641"/>
      <c r="AB3641"/>
      <c r="AC3641"/>
      <c r="AD3641"/>
    </row>
    <row r="3642" spans="2:30" x14ac:dyDescent="0.25">
      <c r="B3642"/>
      <c r="C3642"/>
      <c r="D3642"/>
      <c r="E3642" s="3"/>
      <c r="F3642" s="3"/>
      <c r="G3642"/>
      <c r="H3642"/>
      <c r="I3642"/>
      <c r="J3642"/>
      <c r="K3642"/>
      <c r="L3642"/>
      <c r="M3642"/>
      <c r="N3642"/>
      <c r="O3642"/>
      <c r="P3642"/>
      <c r="Q3642"/>
      <c r="R3642"/>
      <c r="S3642"/>
      <c r="T3642"/>
      <c r="U3642"/>
      <c r="V3642"/>
      <c r="W3642"/>
      <c r="X3642"/>
      <c r="Y3642"/>
      <c r="Z3642"/>
      <c r="AA3642"/>
      <c r="AB3642"/>
      <c r="AC3642"/>
      <c r="AD3642"/>
    </row>
    <row r="3643" spans="2:30" x14ac:dyDescent="0.25">
      <c r="B3643"/>
      <c r="C3643"/>
      <c r="D3643"/>
      <c r="E3643" s="3"/>
      <c r="F3643" s="3"/>
      <c r="G3643"/>
      <c r="H3643"/>
      <c r="I3643"/>
      <c r="J3643"/>
      <c r="K3643"/>
      <c r="L3643"/>
      <c r="M3643"/>
      <c r="N3643"/>
      <c r="O3643"/>
      <c r="P3643"/>
      <c r="Q3643"/>
      <c r="R3643"/>
      <c r="S3643"/>
      <c r="T3643"/>
      <c r="U3643"/>
      <c r="V3643"/>
      <c r="W3643"/>
      <c r="X3643"/>
      <c r="Y3643"/>
      <c r="Z3643"/>
      <c r="AA3643"/>
      <c r="AB3643"/>
      <c r="AC3643"/>
      <c r="AD3643"/>
    </row>
    <row r="3644" spans="2:30" x14ac:dyDescent="0.25">
      <c r="B3644"/>
      <c r="C3644"/>
      <c r="D3644"/>
      <c r="E3644" s="3"/>
      <c r="F3644" s="3"/>
      <c r="G3644"/>
      <c r="H3644"/>
      <c r="I3644"/>
      <c r="J3644"/>
      <c r="K3644"/>
      <c r="L3644"/>
      <c r="M3644"/>
      <c r="N3644"/>
      <c r="O3644"/>
      <c r="P3644"/>
      <c r="Q3644"/>
      <c r="R3644"/>
      <c r="S3644"/>
      <c r="T3644"/>
      <c r="U3644"/>
      <c r="V3644"/>
      <c r="W3644"/>
      <c r="X3644"/>
      <c r="Y3644"/>
      <c r="Z3644"/>
      <c r="AA3644"/>
      <c r="AB3644"/>
      <c r="AC3644"/>
      <c r="AD3644"/>
    </row>
    <row r="3645" spans="2:30" x14ac:dyDescent="0.25">
      <c r="B3645"/>
      <c r="C3645"/>
      <c r="D3645"/>
      <c r="E3645" s="3"/>
      <c r="F3645" s="3"/>
      <c r="G3645"/>
      <c r="H3645"/>
      <c r="I3645"/>
      <c r="J3645"/>
      <c r="K3645"/>
      <c r="L3645"/>
      <c r="M3645"/>
      <c r="N3645"/>
      <c r="O3645"/>
      <c r="P3645"/>
      <c r="Q3645"/>
      <c r="R3645"/>
      <c r="S3645"/>
      <c r="T3645"/>
      <c r="U3645"/>
      <c r="V3645"/>
      <c r="W3645"/>
      <c r="X3645"/>
      <c r="Y3645"/>
      <c r="Z3645"/>
      <c r="AA3645"/>
      <c r="AB3645"/>
      <c r="AC3645"/>
      <c r="AD3645"/>
    </row>
    <row r="3646" spans="2:30" x14ac:dyDescent="0.25">
      <c r="B3646"/>
      <c r="C3646"/>
      <c r="D3646"/>
      <c r="E3646" s="3"/>
      <c r="F3646" s="3"/>
      <c r="G3646"/>
      <c r="H3646"/>
      <c r="I3646"/>
      <c r="J3646"/>
      <c r="K3646"/>
      <c r="L3646"/>
      <c r="M3646"/>
      <c r="N3646"/>
      <c r="O3646"/>
      <c r="P3646"/>
      <c r="Q3646"/>
      <c r="R3646"/>
      <c r="S3646"/>
      <c r="T3646"/>
      <c r="U3646"/>
      <c r="V3646"/>
      <c r="W3646"/>
      <c r="X3646"/>
      <c r="Y3646"/>
      <c r="Z3646"/>
      <c r="AA3646"/>
      <c r="AB3646"/>
      <c r="AC3646"/>
      <c r="AD3646"/>
    </row>
    <row r="3647" spans="2:30" x14ac:dyDescent="0.25">
      <c r="B3647"/>
      <c r="C3647"/>
      <c r="D3647"/>
      <c r="E3647" s="3"/>
      <c r="F3647" s="3"/>
      <c r="G3647"/>
      <c r="H3647"/>
      <c r="I3647"/>
      <c r="J3647"/>
      <c r="K3647"/>
      <c r="L3647"/>
      <c r="M3647"/>
      <c r="N3647"/>
      <c r="O3647"/>
      <c r="P3647"/>
      <c r="Q3647"/>
      <c r="R3647"/>
      <c r="S3647"/>
      <c r="T3647"/>
      <c r="U3647"/>
      <c r="V3647"/>
      <c r="W3647"/>
      <c r="X3647"/>
      <c r="Y3647"/>
      <c r="Z3647"/>
      <c r="AA3647"/>
      <c r="AB3647"/>
      <c r="AC3647"/>
      <c r="AD3647"/>
    </row>
    <row r="3648" spans="2:30" x14ac:dyDescent="0.25">
      <c r="B3648"/>
      <c r="C3648"/>
      <c r="D3648"/>
      <c r="E3648" s="3"/>
      <c r="F3648" s="3"/>
      <c r="G3648"/>
      <c r="H3648"/>
      <c r="I3648"/>
      <c r="J3648"/>
      <c r="K3648"/>
      <c r="L3648"/>
      <c r="M3648"/>
      <c r="N3648"/>
      <c r="O3648"/>
      <c r="P3648"/>
      <c r="Q3648"/>
      <c r="R3648"/>
      <c r="S3648"/>
      <c r="T3648"/>
      <c r="U3648"/>
      <c r="V3648"/>
      <c r="W3648"/>
      <c r="X3648"/>
      <c r="Y3648"/>
      <c r="Z3648"/>
      <c r="AA3648"/>
      <c r="AB3648"/>
      <c r="AC3648"/>
      <c r="AD3648"/>
    </row>
    <row r="3649" spans="2:30" x14ac:dyDescent="0.25">
      <c r="B3649"/>
      <c r="C3649"/>
      <c r="D3649"/>
      <c r="E3649" s="3"/>
      <c r="F3649" s="3"/>
      <c r="G3649"/>
      <c r="H3649"/>
      <c r="I3649"/>
      <c r="J3649"/>
      <c r="K3649"/>
      <c r="L3649"/>
      <c r="M3649"/>
      <c r="N3649"/>
      <c r="O3649"/>
      <c r="P3649"/>
      <c r="Q3649"/>
      <c r="R3649"/>
      <c r="S3649"/>
      <c r="T3649"/>
      <c r="U3649"/>
      <c r="V3649"/>
      <c r="W3649"/>
      <c r="X3649"/>
      <c r="Y3649"/>
      <c r="Z3649"/>
      <c r="AA3649"/>
      <c r="AB3649"/>
      <c r="AC3649"/>
      <c r="AD3649"/>
    </row>
    <row r="3650" spans="2:30" x14ac:dyDescent="0.25">
      <c r="B3650"/>
      <c r="C3650"/>
      <c r="D3650"/>
      <c r="E3650" s="3"/>
      <c r="F3650" s="3"/>
      <c r="G3650"/>
      <c r="H3650"/>
      <c r="I3650"/>
      <c r="J3650"/>
      <c r="K3650"/>
      <c r="L3650"/>
      <c r="M3650"/>
      <c r="N3650"/>
      <c r="O3650"/>
      <c r="P3650"/>
      <c r="Q3650"/>
      <c r="R3650"/>
      <c r="S3650"/>
      <c r="T3650"/>
      <c r="U3650"/>
      <c r="V3650"/>
      <c r="W3650"/>
      <c r="X3650"/>
      <c r="Y3650"/>
      <c r="Z3650"/>
      <c r="AA3650"/>
      <c r="AB3650"/>
      <c r="AC3650"/>
      <c r="AD3650"/>
    </row>
    <row r="3651" spans="2:30" x14ac:dyDescent="0.25">
      <c r="B3651"/>
      <c r="C3651"/>
      <c r="D3651"/>
      <c r="E3651" s="3"/>
      <c r="F3651" s="3"/>
      <c r="G3651"/>
      <c r="H3651"/>
      <c r="I3651"/>
      <c r="J3651"/>
      <c r="K3651"/>
      <c r="L3651"/>
      <c r="M3651"/>
      <c r="N3651"/>
      <c r="O3651"/>
      <c r="P3651"/>
      <c r="Q3651"/>
      <c r="R3651"/>
      <c r="S3651"/>
      <c r="T3651"/>
      <c r="U3651"/>
      <c r="V3651"/>
      <c r="W3651"/>
      <c r="X3651"/>
      <c r="Y3651"/>
      <c r="Z3651"/>
      <c r="AA3651"/>
      <c r="AB3651"/>
      <c r="AC3651"/>
      <c r="AD3651"/>
    </row>
    <row r="3652" spans="2:30" x14ac:dyDescent="0.25">
      <c r="B3652"/>
      <c r="C3652"/>
      <c r="D3652"/>
      <c r="E3652" s="3"/>
      <c r="F3652" s="3"/>
      <c r="G3652"/>
      <c r="H3652"/>
      <c r="I3652"/>
      <c r="J3652"/>
      <c r="K3652"/>
      <c r="L3652"/>
      <c r="M3652"/>
      <c r="N3652"/>
      <c r="O3652"/>
      <c r="P3652"/>
      <c r="Q3652"/>
      <c r="R3652"/>
      <c r="S3652"/>
      <c r="T3652"/>
      <c r="U3652"/>
      <c r="V3652"/>
      <c r="W3652"/>
      <c r="X3652"/>
      <c r="Y3652"/>
      <c r="Z3652"/>
      <c r="AA3652"/>
      <c r="AB3652"/>
      <c r="AC3652"/>
      <c r="AD3652"/>
    </row>
    <row r="3653" spans="2:30" x14ac:dyDescent="0.25">
      <c r="B3653"/>
      <c r="C3653"/>
      <c r="D3653"/>
      <c r="E3653" s="3"/>
      <c r="F3653" s="3"/>
      <c r="G3653"/>
      <c r="H3653"/>
      <c r="I3653"/>
      <c r="J3653"/>
      <c r="K3653"/>
      <c r="L3653"/>
      <c r="M3653"/>
      <c r="N3653"/>
      <c r="O3653"/>
      <c r="P3653"/>
      <c r="Q3653"/>
      <c r="R3653"/>
      <c r="S3653"/>
      <c r="T3653"/>
      <c r="U3653"/>
      <c r="V3653"/>
      <c r="W3653"/>
      <c r="X3653"/>
      <c r="Y3653"/>
      <c r="Z3653"/>
      <c r="AA3653"/>
      <c r="AB3653"/>
      <c r="AC3653"/>
      <c r="AD3653"/>
    </row>
    <row r="3654" spans="2:30" x14ac:dyDescent="0.25">
      <c r="B3654"/>
      <c r="C3654"/>
      <c r="D3654"/>
      <c r="E3654" s="3"/>
      <c r="F3654" s="3"/>
      <c r="G3654"/>
      <c r="H3654"/>
      <c r="I3654"/>
      <c r="J3654"/>
      <c r="K3654"/>
      <c r="L3654"/>
      <c r="M3654"/>
      <c r="N3654"/>
      <c r="O3654"/>
      <c r="P3654"/>
      <c r="Q3654"/>
      <c r="R3654"/>
      <c r="S3654"/>
      <c r="T3654"/>
      <c r="U3654"/>
      <c r="V3654"/>
      <c r="W3654"/>
      <c r="X3654"/>
      <c r="Y3654"/>
      <c r="Z3654"/>
      <c r="AA3654"/>
      <c r="AB3654"/>
      <c r="AC3654"/>
      <c r="AD3654"/>
    </row>
    <row r="3655" spans="2:30" x14ac:dyDescent="0.25">
      <c r="B3655"/>
      <c r="C3655"/>
      <c r="D3655"/>
      <c r="E3655" s="3"/>
      <c r="F3655" s="3"/>
      <c r="G3655"/>
      <c r="H3655"/>
      <c r="I3655"/>
      <c r="J3655"/>
      <c r="K3655"/>
      <c r="L3655"/>
      <c r="M3655"/>
      <c r="N3655"/>
      <c r="O3655"/>
      <c r="P3655"/>
      <c r="Q3655"/>
      <c r="R3655"/>
      <c r="S3655"/>
      <c r="T3655"/>
      <c r="U3655"/>
      <c r="V3655"/>
      <c r="W3655"/>
      <c r="X3655"/>
      <c r="Y3655"/>
      <c r="Z3655"/>
      <c r="AA3655"/>
      <c r="AB3655"/>
      <c r="AC3655"/>
      <c r="AD3655"/>
    </row>
    <row r="3656" spans="2:30" x14ac:dyDescent="0.25">
      <c r="B3656"/>
      <c r="C3656"/>
      <c r="D3656"/>
      <c r="E3656" s="3"/>
      <c r="F3656" s="3"/>
      <c r="G3656"/>
      <c r="H3656"/>
      <c r="I3656"/>
      <c r="J3656"/>
      <c r="K3656"/>
      <c r="L3656"/>
      <c r="M3656"/>
      <c r="N3656"/>
      <c r="O3656"/>
      <c r="P3656"/>
      <c r="Q3656"/>
      <c r="R3656"/>
      <c r="S3656"/>
      <c r="T3656"/>
      <c r="U3656"/>
      <c r="V3656"/>
      <c r="W3656"/>
      <c r="X3656"/>
      <c r="Y3656"/>
      <c r="Z3656"/>
      <c r="AA3656"/>
      <c r="AB3656"/>
      <c r="AC3656"/>
      <c r="AD3656"/>
    </row>
    <row r="3657" spans="2:30" x14ac:dyDescent="0.25">
      <c r="B3657"/>
      <c r="C3657"/>
      <c r="D3657"/>
      <c r="E3657" s="3"/>
      <c r="F3657" s="3"/>
      <c r="G3657"/>
      <c r="H3657"/>
      <c r="I3657"/>
      <c r="J3657"/>
      <c r="K3657"/>
      <c r="L3657"/>
      <c r="M3657"/>
      <c r="N3657"/>
      <c r="O3657"/>
      <c r="P3657"/>
      <c r="Q3657"/>
      <c r="R3657"/>
      <c r="S3657"/>
      <c r="T3657"/>
      <c r="U3657"/>
      <c r="V3657"/>
      <c r="W3657"/>
      <c r="X3657"/>
      <c r="Y3657"/>
      <c r="Z3657"/>
      <c r="AA3657"/>
      <c r="AB3657"/>
      <c r="AC3657"/>
      <c r="AD3657"/>
    </row>
    <row r="3658" spans="2:30" x14ac:dyDescent="0.25">
      <c r="B3658"/>
      <c r="C3658"/>
      <c r="D3658"/>
      <c r="E3658" s="3"/>
      <c r="F3658" s="3"/>
      <c r="G3658"/>
      <c r="H3658"/>
      <c r="I3658"/>
      <c r="J3658"/>
      <c r="K3658"/>
      <c r="L3658"/>
      <c r="M3658"/>
      <c r="N3658"/>
      <c r="O3658"/>
      <c r="P3658"/>
      <c r="Q3658"/>
      <c r="R3658"/>
      <c r="S3658"/>
      <c r="T3658"/>
      <c r="U3658"/>
      <c r="V3658"/>
      <c r="W3658"/>
      <c r="X3658"/>
      <c r="Y3658"/>
      <c r="Z3658"/>
      <c r="AA3658"/>
      <c r="AB3658"/>
      <c r="AC3658"/>
      <c r="AD3658"/>
    </row>
    <row r="3659" spans="2:30" x14ac:dyDescent="0.25">
      <c r="B3659"/>
      <c r="C3659"/>
      <c r="D3659"/>
      <c r="E3659" s="3"/>
      <c r="F3659" s="3"/>
      <c r="G3659"/>
      <c r="H3659"/>
      <c r="I3659"/>
      <c r="J3659"/>
      <c r="K3659"/>
      <c r="L3659"/>
      <c r="M3659"/>
      <c r="N3659"/>
      <c r="O3659"/>
      <c r="P3659"/>
      <c r="Q3659"/>
      <c r="R3659"/>
      <c r="S3659"/>
      <c r="T3659"/>
      <c r="U3659"/>
      <c r="V3659"/>
      <c r="W3659"/>
      <c r="X3659"/>
      <c r="Y3659"/>
      <c r="Z3659"/>
      <c r="AA3659"/>
      <c r="AB3659"/>
      <c r="AC3659"/>
      <c r="AD3659"/>
    </row>
    <row r="3660" spans="2:30" x14ac:dyDescent="0.25">
      <c r="B3660"/>
      <c r="C3660"/>
      <c r="D3660"/>
      <c r="E3660" s="3"/>
      <c r="F3660" s="3"/>
      <c r="G3660"/>
      <c r="H3660"/>
      <c r="I3660"/>
      <c r="J3660"/>
      <c r="K3660"/>
      <c r="L3660"/>
      <c r="M3660"/>
      <c r="N3660"/>
      <c r="O3660"/>
      <c r="P3660"/>
      <c r="Q3660"/>
      <c r="R3660"/>
      <c r="S3660"/>
      <c r="T3660"/>
      <c r="U3660"/>
      <c r="V3660"/>
      <c r="W3660"/>
      <c r="X3660"/>
      <c r="Y3660"/>
      <c r="Z3660"/>
      <c r="AA3660"/>
      <c r="AB3660"/>
      <c r="AC3660"/>
      <c r="AD3660"/>
    </row>
    <row r="3661" spans="2:30" x14ac:dyDescent="0.25">
      <c r="B3661"/>
      <c r="C3661"/>
      <c r="D3661"/>
      <c r="E3661" s="3"/>
      <c r="F3661" s="3"/>
      <c r="G3661"/>
      <c r="H3661"/>
      <c r="I3661"/>
      <c r="J3661"/>
      <c r="K3661"/>
      <c r="L3661"/>
      <c r="M3661"/>
      <c r="N3661"/>
      <c r="O3661"/>
      <c r="P3661"/>
      <c r="Q3661"/>
      <c r="R3661"/>
      <c r="S3661"/>
      <c r="T3661"/>
      <c r="U3661"/>
      <c r="V3661"/>
      <c r="W3661"/>
      <c r="X3661"/>
      <c r="Y3661"/>
      <c r="Z3661"/>
      <c r="AA3661"/>
      <c r="AB3661"/>
      <c r="AC3661"/>
      <c r="AD3661"/>
    </row>
    <row r="3662" spans="2:30" x14ac:dyDescent="0.25">
      <c r="B3662"/>
      <c r="C3662"/>
      <c r="D3662"/>
      <c r="E3662" s="3"/>
      <c r="F3662" s="3"/>
      <c r="G3662"/>
      <c r="H3662"/>
      <c r="I3662"/>
      <c r="J3662"/>
      <c r="K3662"/>
      <c r="L3662"/>
      <c r="M3662"/>
      <c r="N3662"/>
      <c r="O3662"/>
      <c r="P3662"/>
      <c r="Q3662"/>
      <c r="R3662"/>
      <c r="S3662"/>
      <c r="T3662"/>
      <c r="U3662"/>
      <c r="V3662"/>
      <c r="W3662"/>
      <c r="X3662"/>
      <c r="Y3662"/>
      <c r="Z3662"/>
      <c r="AA3662"/>
      <c r="AB3662"/>
      <c r="AC3662"/>
      <c r="AD3662"/>
    </row>
    <row r="3663" spans="2:30" x14ac:dyDescent="0.25">
      <c r="B3663"/>
      <c r="C3663"/>
      <c r="D3663"/>
      <c r="E3663" s="3"/>
      <c r="F3663" s="3"/>
      <c r="G3663"/>
      <c r="H3663"/>
      <c r="I3663"/>
      <c r="J3663"/>
      <c r="K3663"/>
      <c r="L3663"/>
      <c r="M3663"/>
      <c r="N3663"/>
      <c r="O3663"/>
      <c r="P3663"/>
      <c r="Q3663"/>
      <c r="R3663"/>
      <c r="S3663"/>
      <c r="T3663"/>
      <c r="U3663"/>
      <c r="V3663"/>
      <c r="W3663"/>
      <c r="X3663"/>
      <c r="Y3663"/>
      <c r="Z3663"/>
      <c r="AA3663"/>
      <c r="AB3663"/>
      <c r="AC3663"/>
      <c r="AD3663"/>
    </row>
    <row r="3664" spans="2:30" x14ac:dyDescent="0.25">
      <c r="B3664"/>
      <c r="C3664"/>
      <c r="D3664"/>
      <c r="E3664" s="3"/>
      <c r="F3664" s="3"/>
      <c r="G3664"/>
      <c r="H3664"/>
      <c r="I3664"/>
      <c r="J3664"/>
      <c r="K3664"/>
      <c r="L3664"/>
      <c r="M3664"/>
      <c r="N3664"/>
      <c r="O3664"/>
      <c r="P3664"/>
      <c r="Q3664"/>
      <c r="R3664"/>
      <c r="S3664"/>
      <c r="T3664"/>
      <c r="U3664"/>
      <c r="V3664"/>
      <c r="W3664"/>
      <c r="X3664"/>
      <c r="Y3664"/>
      <c r="Z3664"/>
      <c r="AA3664"/>
      <c r="AB3664"/>
      <c r="AC3664"/>
      <c r="AD3664"/>
    </row>
    <row r="3665" spans="2:30" x14ac:dyDescent="0.25">
      <c r="B3665"/>
      <c r="C3665"/>
      <c r="D3665"/>
      <c r="E3665" s="3"/>
      <c r="F3665" s="3"/>
      <c r="G3665"/>
      <c r="H3665"/>
      <c r="I3665"/>
      <c r="J3665"/>
      <c r="K3665"/>
      <c r="L3665"/>
      <c r="M3665"/>
      <c r="N3665"/>
      <c r="O3665"/>
      <c r="P3665"/>
      <c r="Q3665"/>
      <c r="R3665"/>
      <c r="S3665"/>
      <c r="T3665"/>
      <c r="U3665"/>
      <c r="V3665"/>
      <c r="W3665"/>
      <c r="X3665"/>
      <c r="Y3665"/>
      <c r="Z3665"/>
      <c r="AA3665"/>
      <c r="AB3665"/>
      <c r="AC3665"/>
      <c r="AD3665"/>
    </row>
    <row r="3666" spans="2:30" x14ac:dyDescent="0.25">
      <c r="B3666"/>
      <c r="C3666"/>
      <c r="D3666"/>
      <c r="E3666" s="3"/>
      <c r="F3666" s="3"/>
      <c r="G3666"/>
      <c r="H3666"/>
      <c r="I3666"/>
      <c r="J3666"/>
      <c r="K3666"/>
      <c r="L3666"/>
      <c r="M3666"/>
      <c r="N3666"/>
      <c r="O3666"/>
      <c r="P3666"/>
      <c r="Q3666"/>
      <c r="R3666"/>
      <c r="S3666"/>
      <c r="T3666"/>
      <c r="U3666"/>
      <c r="V3666"/>
      <c r="W3666"/>
      <c r="X3666"/>
      <c r="Y3666"/>
      <c r="Z3666"/>
      <c r="AA3666"/>
      <c r="AB3666"/>
      <c r="AC3666"/>
      <c r="AD3666"/>
    </row>
    <row r="3667" spans="2:30" x14ac:dyDescent="0.25">
      <c r="B3667"/>
      <c r="C3667"/>
      <c r="D3667"/>
      <c r="E3667" s="3"/>
      <c r="F3667" s="3"/>
      <c r="G3667"/>
      <c r="H3667"/>
      <c r="I3667"/>
      <c r="J3667"/>
      <c r="K3667"/>
      <c r="L3667"/>
      <c r="M3667"/>
      <c r="N3667"/>
      <c r="O3667"/>
      <c r="P3667"/>
      <c r="Q3667"/>
      <c r="R3667"/>
      <c r="S3667"/>
      <c r="T3667"/>
      <c r="U3667"/>
      <c r="V3667"/>
      <c r="W3667"/>
      <c r="X3667"/>
      <c r="Y3667"/>
      <c r="Z3667"/>
      <c r="AA3667"/>
      <c r="AB3667"/>
      <c r="AC3667"/>
      <c r="AD3667"/>
    </row>
    <row r="3668" spans="2:30" x14ac:dyDescent="0.25">
      <c r="B3668"/>
      <c r="C3668"/>
      <c r="D3668"/>
      <c r="E3668" s="3"/>
      <c r="F3668" s="3"/>
      <c r="G3668"/>
      <c r="H3668"/>
      <c r="I3668"/>
      <c r="J3668"/>
      <c r="K3668"/>
      <c r="L3668"/>
      <c r="M3668"/>
      <c r="N3668"/>
      <c r="O3668"/>
      <c r="P3668"/>
      <c r="Q3668"/>
      <c r="R3668"/>
      <c r="S3668"/>
      <c r="T3668"/>
      <c r="U3668"/>
      <c r="V3668"/>
      <c r="W3668"/>
      <c r="X3668"/>
      <c r="Y3668"/>
      <c r="Z3668"/>
      <c r="AA3668"/>
      <c r="AB3668"/>
      <c r="AC3668"/>
      <c r="AD3668"/>
    </row>
    <row r="3669" spans="2:30" x14ac:dyDescent="0.25">
      <c r="B3669"/>
      <c r="C3669"/>
      <c r="D3669"/>
      <c r="E3669" s="3"/>
      <c r="F3669" s="3"/>
      <c r="G3669"/>
      <c r="H3669"/>
      <c r="I3669"/>
      <c r="J3669"/>
      <c r="K3669"/>
      <c r="L3669"/>
      <c r="M3669"/>
      <c r="N3669"/>
      <c r="O3669"/>
      <c r="P3669"/>
      <c r="Q3669"/>
      <c r="R3669"/>
      <c r="S3669"/>
      <c r="T3669"/>
      <c r="U3669"/>
      <c r="V3669"/>
      <c r="W3669"/>
      <c r="X3669"/>
      <c r="Y3669"/>
      <c r="Z3669"/>
      <c r="AA3669"/>
      <c r="AB3669"/>
      <c r="AC3669"/>
      <c r="AD3669"/>
    </row>
    <row r="3670" spans="2:30" x14ac:dyDescent="0.25">
      <c r="B3670"/>
      <c r="C3670"/>
      <c r="D3670"/>
      <c r="E3670" s="3"/>
      <c r="F3670" s="3"/>
      <c r="G3670"/>
      <c r="H3670"/>
      <c r="I3670"/>
      <c r="J3670"/>
      <c r="K3670"/>
      <c r="L3670"/>
      <c r="M3670"/>
      <c r="N3670"/>
      <c r="O3670"/>
      <c r="P3670"/>
      <c r="Q3670"/>
      <c r="R3670"/>
      <c r="S3670"/>
      <c r="T3670"/>
      <c r="U3670"/>
      <c r="V3670"/>
      <c r="W3670"/>
      <c r="X3670"/>
      <c r="Y3670"/>
      <c r="Z3670"/>
      <c r="AA3670"/>
      <c r="AB3670"/>
      <c r="AC3670"/>
      <c r="AD3670"/>
    </row>
    <row r="3671" spans="2:30" x14ac:dyDescent="0.25">
      <c r="B3671"/>
      <c r="C3671"/>
      <c r="D3671"/>
      <c r="E3671" s="3"/>
      <c r="F3671" s="3"/>
      <c r="G3671"/>
      <c r="H3671"/>
      <c r="I3671"/>
      <c r="J3671"/>
      <c r="K3671"/>
      <c r="L3671"/>
      <c r="M3671"/>
      <c r="N3671"/>
      <c r="O3671"/>
      <c r="P3671"/>
      <c r="Q3671"/>
      <c r="R3671"/>
      <c r="S3671"/>
      <c r="T3671"/>
      <c r="U3671"/>
      <c r="V3671"/>
      <c r="W3671"/>
      <c r="X3671"/>
      <c r="Y3671"/>
      <c r="Z3671"/>
      <c r="AA3671"/>
      <c r="AB3671"/>
      <c r="AC3671"/>
      <c r="AD3671"/>
    </row>
    <row r="3672" spans="2:30" x14ac:dyDescent="0.25">
      <c r="B3672"/>
      <c r="C3672"/>
      <c r="D3672"/>
      <c r="E3672" s="3"/>
      <c r="F3672" s="3"/>
      <c r="G3672"/>
      <c r="H3672"/>
      <c r="I3672"/>
      <c r="J3672"/>
      <c r="K3672"/>
      <c r="L3672"/>
      <c r="M3672"/>
      <c r="N3672"/>
      <c r="O3672"/>
      <c r="P3672"/>
      <c r="Q3672"/>
      <c r="R3672"/>
      <c r="S3672"/>
      <c r="T3672"/>
      <c r="U3672"/>
      <c r="V3672"/>
      <c r="W3672"/>
      <c r="X3672"/>
      <c r="Y3672"/>
      <c r="Z3672"/>
      <c r="AA3672"/>
      <c r="AB3672"/>
      <c r="AC3672"/>
      <c r="AD3672"/>
    </row>
    <row r="3673" spans="2:30" x14ac:dyDescent="0.25">
      <c r="B3673"/>
      <c r="C3673"/>
      <c r="D3673"/>
      <c r="E3673" s="3"/>
      <c r="F3673" s="3"/>
      <c r="G3673"/>
      <c r="H3673"/>
      <c r="I3673"/>
      <c r="J3673"/>
      <c r="K3673"/>
      <c r="L3673"/>
      <c r="M3673"/>
      <c r="N3673"/>
      <c r="O3673"/>
      <c r="P3673"/>
      <c r="Q3673"/>
      <c r="R3673"/>
      <c r="S3673"/>
      <c r="T3673"/>
      <c r="U3673"/>
      <c r="V3673"/>
      <c r="W3673"/>
      <c r="X3673"/>
      <c r="Y3673"/>
      <c r="Z3673"/>
      <c r="AA3673"/>
      <c r="AB3673"/>
      <c r="AC3673"/>
      <c r="AD3673"/>
    </row>
    <row r="3674" spans="2:30" x14ac:dyDescent="0.25">
      <c r="B3674"/>
      <c r="C3674"/>
      <c r="D3674"/>
      <c r="E3674" s="3"/>
      <c r="F3674" s="3"/>
      <c r="G3674"/>
      <c r="H3674"/>
      <c r="I3674"/>
      <c r="J3674"/>
      <c r="K3674"/>
      <c r="L3674"/>
      <c r="M3674"/>
      <c r="N3674"/>
      <c r="O3674"/>
      <c r="P3674"/>
      <c r="Q3674"/>
      <c r="R3674"/>
      <c r="S3674"/>
      <c r="T3674"/>
      <c r="U3674"/>
      <c r="V3674"/>
      <c r="W3674"/>
      <c r="X3674"/>
      <c r="Y3674"/>
      <c r="Z3674"/>
      <c r="AA3674"/>
      <c r="AB3674"/>
      <c r="AC3674"/>
      <c r="AD3674"/>
    </row>
    <row r="3675" spans="2:30" x14ac:dyDescent="0.25">
      <c r="B3675"/>
      <c r="C3675"/>
      <c r="D3675"/>
      <c r="E3675" s="3"/>
      <c r="F3675" s="3"/>
      <c r="G3675"/>
      <c r="H3675"/>
      <c r="I3675"/>
      <c r="J3675"/>
      <c r="K3675"/>
      <c r="L3675"/>
      <c r="M3675"/>
      <c r="N3675"/>
      <c r="O3675"/>
      <c r="P3675"/>
      <c r="Q3675"/>
      <c r="R3675"/>
      <c r="S3675"/>
      <c r="T3675"/>
      <c r="U3675"/>
      <c r="V3675"/>
      <c r="W3675"/>
      <c r="X3675"/>
      <c r="Y3675"/>
      <c r="Z3675"/>
      <c r="AA3675"/>
      <c r="AB3675"/>
      <c r="AC3675"/>
      <c r="AD3675"/>
    </row>
    <row r="3676" spans="2:30" x14ac:dyDescent="0.25">
      <c r="B3676"/>
      <c r="C3676"/>
      <c r="D3676"/>
      <c r="E3676" s="3"/>
      <c r="F3676" s="3"/>
      <c r="G3676"/>
      <c r="H3676"/>
      <c r="I3676"/>
      <c r="J3676"/>
      <c r="K3676"/>
      <c r="L3676"/>
      <c r="M3676"/>
      <c r="N3676"/>
      <c r="O3676"/>
      <c r="P3676"/>
      <c r="Q3676"/>
      <c r="R3676"/>
      <c r="S3676"/>
      <c r="T3676"/>
      <c r="U3676"/>
      <c r="V3676"/>
      <c r="W3676"/>
      <c r="X3676"/>
      <c r="Y3676"/>
      <c r="Z3676"/>
      <c r="AA3676"/>
      <c r="AB3676"/>
      <c r="AC3676"/>
      <c r="AD3676"/>
    </row>
    <row r="3677" spans="2:30" x14ac:dyDescent="0.25">
      <c r="B3677"/>
      <c r="C3677"/>
      <c r="D3677"/>
      <c r="E3677" s="3"/>
      <c r="F3677" s="3"/>
      <c r="G3677"/>
      <c r="H3677"/>
      <c r="I3677"/>
      <c r="J3677"/>
      <c r="K3677"/>
      <c r="L3677"/>
      <c r="M3677"/>
      <c r="N3677"/>
      <c r="O3677"/>
      <c r="P3677"/>
      <c r="Q3677"/>
      <c r="R3677"/>
      <c r="S3677"/>
      <c r="T3677"/>
      <c r="U3677"/>
      <c r="V3677"/>
      <c r="W3677"/>
      <c r="X3677"/>
      <c r="Y3677"/>
      <c r="Z3677"/>
      <c r="AA3677"/>
      <c r="AB3677"/>
      <c r="AC3677"/>
      <c r="AD3677"/>
    </row>
    <row r="3678" spans="2:30" x14ac:dyDescent="0.25">
      <c r="B3678"/>
      <c r="C3678"/>
      <c r="D3678"/>
      <c r="E3678" s="3"/>
      <c r="F3678" s="3"/>
      <c r="G3678"/>
      <c r="H3678"/>
      <c r="I3678"/>
      <c r="J3678"/>
      <c r="K3678"/>
      <c r="L3678"/>
      <c r="M3678"/>
      <c r="N3678"/>
      <c r="O3678"/>
      <c r="P3678"/>
      <c r="Q3678"/>
      <c r="R3678"/>
      <c r="S3678"/>
      <c r="T3678"/>
      <c r="U3678"/>
      <c r="V3678"/>
      <c r="W3678"/>
      <c r="X3678"/>
      <c r="Y3678"/>
      <c r="Z3678"/>
      <c r="AA3678"/>
      <c r="AB3678"/>
      <c r="AC3678"/>
      <c r="AD3678"/>
    </row>
    <row r="3679" spans="2:30" x14ac:dyDescent="0.25">
      <c r="B3679"/>
      <c r="C3679"/>
      <c r="D3679"/>
      <c r="E3679" s="3"/>
      <c r="F3679" s="3"/>
      <c r="G3679"/>
      <c r="H3679"/>
      <c r="I3679"/>
      <c r="J3679"/>
      <c r="K3679"/>
      <c r="L3679"/>
      <c r="M3679"/>
      <c r="N3679"/>
      <c r="O3679"/>
      <c r="P3679"/>
      <c r="Q3679"/>
      <c r="R3679"/>
      <c r="S3679"/>
      <c r="T3679"/>
      <c r="U3679"/>
      <c r="V3679"/>
      <c r="W3679"/>
      <c r="X3679"/>
      <c r="Y3679"/>
      <c r="Z3679"/>
      <c r="AA3679"/>
      <c r="AB3679"/>
      <c r="AC3679"/>
      <c r="AD3679"/>
    </row>
    <row r="3680" spans="2:30" x14ac:dyDescent="0.25">
      <c r="B3680"/>
      <c r="C3680"/>
      <c r="D3680"/>
      <c r="E3680" s="3"/>
      <c r="F3680" s="3"/>
      <c r="G3680"/>
      <c r="H3680"/>
      <c r="I3680"/>
      <c r="J3680"/>
      <c r="K3680"/>
      <c r="L3680"/>
      <c r="M3680"/>
      <c r="N3680"/>
      <c r="O3680"/>
      <c r="P3680"/>
      <c r="Q3680"/>
      <c r="R3680"/>
      <c r="S3680"/>
      <c r="T3680"/>
      <c r="U3680"/>
      <c r="V3680"/>
      <c r="W3680"/>
      <c r="X3680"/>
      <c r="Y3680"/>
      <c r="Z3680"/>
      <c r="AA3680"/>
      <c r="AB3680"/>
      <c r="AC3680"/>
      <c r="AD3680"/>
    </row>
    <row r="3681" spans="2:30" x14ac:dyDescent="0.25">
      <c r="B3681"/>
      <c r="C3681"/>
      <c r="D3681"/>
      <c r="E3681" s="3"/>
      <c r="F3681" s="3"/>
      <c r="G3681"/>
      <c r="H3681"/>
      <c r="I3681"/>
      <c r="J3681"/>
      <c r="K3681"/>
      <c r="L3681"/>
      <c r="M3681"/>
      <c r="N3681"/>
      <c r="O3681"/>
      <c r="P3681"/>
      <c r="Q3681"/>
      <c r="R3681"/>
      <c r="S3681"/>
      <c r="T3681"/>
      <c r="U3681"/>
      <c r="V3681"/>
      <c r="W3681"/>
      <c r="X3681"/>
      <c r="Y3681"/>
      <c r="Z3681"/>
      <c r="AA3681"/>
      <c r="AB3681"/>
      <c r="AC3681"/>
      <c r="AD3681"/>
    </row>
    <row r="3682" spans="2:30" x14ac:dyDescent="0.25">
      <c r="B3682"/>
      <c r="C3682"/>
      <c r="D3682"/>
      <c r="E3682" s="3"/>
      <c r="F3682" s="3"/>
      <c r="G3682"/>
      <c r="H3682"/>
      <c r="I3682"/>
      <c r="J3682"/>
      <c r="K3682"/>
      <c r="L3682"/>
      <c r="M3682"/>
      <c r="N3682"/>
      <c r="O3682"/>
      <c r="P3682"/>
      <c r="Q3682"/>
      <c r="R3682"/>
      <c r="S3682"/>
      <c r="T3682"/>
      <c r="U3682"/>
      <c r="V3682"/>
      <c r="W3682"/>
      <c r="X3682"/>
      <c r="Y3682"/>
      <c r="Z3682"/>
      <c r="AA3682"/>
      <c r="AB3682"/>
      <c r="AC3682"/>
      <c r="AD3682"/>
    </row>
    <row r="3683" spans="2:30" x14ac:dyDescent="0.25">
      <c r="B3683"/>
      <c r="C3683"/>
      <c r="D3683"/>
      <c r="E3683" s="3"/>
      <c r="F3683" s="3"/>
      <c r="G3683"/>
      <c r="H3683"/>
      <c r="I3683"/>
      <c r="J3683"/>
      <c r="K3683"/>
      <c r="L3683"/>
      <c r="M3683"/>
      <c r="N3683"/>
      <c r="O3683"/>
      <c r="P3683"/>
      <c r="Q3683"/>
      <c r="R3683"/>
      <c r="S3683"/>
      <c r="T3683"/>
      <c r="U3683"/>
      <c r="V3683"/>
      <c r="W3683"/>
      <c r="X3683"/>
      <c r="Y3683"/>
      <c r="Z3683"/>
      <c r="AA3683"/>
      <c r="AB3683"/>
      <c r="AC3683"/>
      <c r="AD3683"/>
    </row>
    <row r="3684" spans="2:30" x14ac:dyDescent="0.25">
      <c r="B3684"/>
      <c r="C3684"/>
      <c r="D3684"/>
      <c r="E3684" s="3"/>
      <c r="F3684" s="3"/>
      <c r="G3684"/>
      <c r="H3684"/>
      <c r="I3684"/>
      <c r="J3684"/>
      <c r="K3684"/>
      <c r="L3684"/>
      <c r="M3684"/>
      <c r="N3684"/>
      <c r="O3684"/>
      <c r="P3684"/>
      <c r="Q3684"/>
      <c r="R3684"/>
      <c r="S3684"/>
      <c r="T3684"/>
      <c r="U3684"/>
      <c r="V3684"/>
      <c r="W3684"/>
      <c r="X3684"/>
      <c r="Y3684"/>
      <c r="Z3684"/>
      <c r="AA3684"/>
      <c r="AB3684"/>
      <c r="AC3684"/>
      <c r="AD3684"/>
    </row>
    <row r="3685" spans="2:30" x14ac:dyDescent="0.25">
      <c r="B3685"/>
      <c r="C3685"/>
      <c r="D3685"/>
      <c r="E3685" s="3"/>
      <c r="F3685" s="3"/>
      <c r="G3685"/>
      <c r="H3685"/>
      <c r="I3685"/>
      <c r="J3685"/>
      <c r="K3685"/>
      <c r="L3685"/>
      <c r="M3685"/>
      <c r="N3685"/>
      <c r="O3685"/>
      <c r="P3685"/>
      <c r="Q3685"/>
      <c r="R3685"/>
      <c r="S3685"/>
      <c r="T3685"/>
      <c r="U3685"/>
      <c r="V3685"/>
      <c r="W3685"/>
      <c r="X3685"/>
      <c r="Y3685"/>
      <c r="Z3685"/>
      <c r="AA3685"/>
      <c r="AB3685"/>
      <c r="AC3685"/>
      <c r="AD3685"/>
    </row>
    <row r="3686" spans="2:30" x14ac:dyDescent="0.25">
      <c r="B3686"/>
      <c r="C3686"/>
      <c r="D3686"/>
      <c r="E3686" s="3"/>
      <c r="F3686" s="3"/>
      <c r="G3686"/>
      <c r="H3686"/>
      <c r="I3686"/>
      <c r="J3686"/>
      <c r="K3686"/>
      <c r="L3686"/>
      <c r="M3686"/>
      <c r="N3686"/>
      <c r="O3686"/>
      <c r="P3686"/>
      <c r="Q3686"/>
      <c r="R3686"/>
      <c r="S3686"/>
      <c r="T3686"/>
      <c r="U3686"/>
      <c r="V3686"/>
      <c r="W3686"/>
      <c r="X3686"/>
      <c r="Y3686"/>
      <c r="Z3686"/>
      <c r="AA3686"/>
      <c r="AB3686"/>
      <c r="AC3686"/>
      <c r="AD3686"/>
    </row>
    <row r="3687" spans="2:30" x14ac:dyDescent="0.25">
      <c r="B3687"/>
      <c r="C3687"/>
      <c r="D3687"/>
      <c r="E3687" s="3"/>
      <c r="F3687" s="3"/>
      <c r="G3687"/>
      <c r="H3687"/>
      <c r="I3687"/>
      <c r="J3687"/>
      <c r="K3687"/>
      <c r="L3687"/>
      <c r="M3687"/>
      <c r="N3687"/>
      <c r="O3687"/>
      <c r="P3687"/>
      <c r="Q3687"/>
      <c r="R3687"/>
      <c r="S3687"/>
      <c r="T3687"/>
      <c r="U3687"/>
      <c r="V3687"/>
      <c r="W3687"/>
      <c r="X3687"/>
      <c r="Y3687"/>
      <c r="Z3687"/>
      <c r="AA3687"/>
      <c r="AB3687"/>
      <c r="AC3687"/>
      <c r="AD3687"/>
    </row>
    <row r="3688" spans="2:30" x14ac:dyDescent="0.25">
      <c r="B3688"/>
      <c r="C3688"/>
      <c r="D3688"/>
      <c r="E3688" s="3"/>
      <c r="F3688" s="3"/>
      <c r="G3688"/>
      <c r="H3688"/>
      <c r="I3688"/>
      <c r="J3688"/>
      <c r="K3688"/>
      <c r="L3688"/>
      <c r="M3688"/>
      <c r="N3688"/>
      <c r="O3688"/>
      <c r="P3688"/>
      <c r="Q3688"/>
      <c r="R3688"/>
      <c r="S3688"/>
      <c r="T3688"/>
      <c r="U3688"/>
      <c r="V3688"/>
      <c r="W3688"/>
      <c r="X3688"/>
      <c r="Y3688"/>
      <c r="Z3688"/>
      <c r="AA3688"/>
      <c r="AB3688"/>
      <c r="AC3688"/>
      <c r="AD3688"/>
    </row>
    <row r="3689" spans="2:30" x14ac:dyDescent="0.25">
      <c r="B3689"/>
      <c r="C3689"/>
      <c r="D3689"/>
      <c r="E3689" s="3"/>
      <c r="F3689" s="3"/>
      <c r="G3689"/>
      <c r="H3689"/>
      <c r="I3689"/>
      <c r="J3689"/>
      <c r="K3689"/>
      <c r="L3689"/>
      <c r="M3689"/>
      <c r="N3689"/>
      <c r="O3689"/>
      <c r="P3689"/>
      <c r="Q3689"/>
      <c r="R3689"/>
      <c r="S3689"/>
      <c r="T3689"/>
      <c r="U3689"/>
      <c r="V3689"/>
      <c r="W3689"/>
      <c r="X3689"/>
      <c r="Y3689"/>
      <c r="Z3689"/>
      <c r="AA3689"/>
      <c r="AB3689"/>
      <c r="AC3689"/>
      <c r="AD3689"/>
    </row>
    <row r="3690" spans="2:30" x14ac:dyDescent="0.25">
      <c r="B3690"/>
      <c r="C3690"/>
      <c r="D3690"/>
      <c r="E3690" s="3"/>
      <c r="F3690" s="3"/>
      <c r="G3690"/>
      <c r="H3690"/>
      <c r="I3690"/>
      <c r="J3690"/>
      <c r="K3690"/>
      <c r="L3690"/>
      <c r="M3690"/>
      <c r="N3690"/>
      <c r="O3690"/>
      <c r="P3690"/>
      <c r="Q3690"/>
      <c r="R3690"/>
      <c r="S3690"/>
      <c r="T3690"/>
      <c r="U3690"/>
      <c r="V3690"/>
      <c r="W3690"/>
      <c r="X3690"/>
      <c r="Y3690"/>
      <c r="Z3690"/>
      <c r="AA3690"/>
      <c r="AB3690"/>
      <c r="AC3690"/>
      <c r="AD3690"/>
    </row>
    <row r="3691" spans="2:30" x14ac:dyDescent="0.25">
      <c r="B3691"/>
      <c r="C3691"/>
      <c r="D3691"/>
      <c r="E3691" s="3"/>
      <c r="F3691" s="3"/>
      <c r="G3691"/>
      <c r="H3691"/>
      <c r="I3691"/>
      <c r="J3691"/>
      <c r="K3691"/>
      <c r="L3691"/>
      <c r="M3691"/>
      <c r="N3691"/>
      <c r="O3691"/>
      <c r="P3691"/>
      <c r="Q3691"/>
      <c r="R3691"/>
      <c r="S3691"/>
      <c r="T3691"/>
      <c r="U3691"/>
      <c r="V3691"/>
      <c r="W3691"/>
      <c r="X3691"/>
      <c r="Y3691"/>
      <c r="Z3691"/>
      <c r="AA3691"/>
      <c r="AB3691"/>
      <c r="AC3691"/>
      <c r="AD3691"/>
    </row>
    <row r="3692" spans="2:30" x14ac:dyDescent="0.25">
      <c r="B3692"/>
      <c r="C3692"/>
      <c r="D3692"/>
      <c r="E3692" s="3"/>
      <c r="F3692" s="3"/>
      <c r="G3692"/>
      <c r="H3692"/>
      <c r="I3692"/>
      <c r="J3692"/>
      <c r="K3692"/>
      <c r="L3692"/>
      <c r="M3692"/>
      <c r="N3692"/>
      <c r="O3692"/>
      <c r="P3692"/>
      <c r="Q3692"/>
      <c r="R3692"/>
      <c r="S3692"/>
      <c r="T3692"/>
      <c r="U3692"/>
      <c r="V3692"/>
      <c r="W3692"/>
      <c r="X3692"/>
      <c r="Y3692"/>
      <c r="Z3692"/>
      <c r="AA3692"/>
      <c r="AB3692"/>
      <c r="AC3692"/>
      <c r="AD3692"/>
    </row>
    <row r="3693" spans="2:30" x14ac:dyDescent="0.25">
      <c r="B3693"/>
      <c r="C3693"/>
      <c r="D3693"/>
      <c r="E3693" s="3"/>
      <c r="F3693" s="3"/>
      <c r="G3693"/>
      <c r="H3693"/>
      <c r="I3693"/>
      <c r="J3693"/>
      <c r="K3693"/>
      <c r="L3693"/>
      <c r="M3693"/>
      <c r="N3693"/>
      <c r="O3693"/>
      <c r="P3693"/>
      <c r="Q3693"/>
      <c r="R3693"/>
      <c r="S3693"/>
      <c r="T3693"/>
      <c r="U3693"/>
      <c r="V3693"/>
      <c r="W3693"/>
      <c r="X3693"/>
      <c r="Y3693"/>
      <c r="Z3693"/>
      <c r="AA3693"/>
      <c r="AB3693"/>
      <c r="AC3693"/>
      <c r="AD3693"/>
    </row>
    <row r="3694" spans="2:30" x14ac:dyDescent="0.25">
      <c r="B3694"/>
      <c r="C3694"/>
      <c r="D3694"/>
      <c r="E3694" s="3"/>
      <c r="F3694" s="3"/>
      <c r="G3694"/>
      <c r="H3694"/>
      <c r="I3694"/>
      <c r="J3694"/>
      <c r="K3694"/>
      <c r="L3694"/>
      <c r="M3694"/>
      <c r="N3694"/>
      <c r="O3694"/>
      <c r="P3694"/>
      <c r="Q3694"/>
      <c r="R3694"/>
      <c r="S3694"/>
      <c r="T3694"/>
      <c r="U3694"/>
      <c r="V3694"/>
      <c r="W3694"/>
      <c r="X3694"/>
      <c r="Y3694"/>
      <c r="Z3694"/>
      <c r="AA3694"/>
      <c r="AB3694"/>
      <c r="AC3694"/>
      <c r="AD3694"/>
    </row>
    <row r="3695" spans="2:30" x14ac:dyDescent="0.25">
      <c r="B3695"/>
      <c r="C3695"/>
      <c r="D3695"/>
      <c r="E3695" s="3"/>
      <c r="F3695" s="3"/>
      <c r="G3695"/>
      <c r="H3695"/>
      <c r="I3695"/>
      <c r="J3695"/>
      <c r="K3695"/>
      <c r="L3695"/>
      <c r="M3695"/>
      <c r="N3695"/>
      <c r="O3695"/>
      <c r="P3695"/>
      <c r="Q3695"/>
      <c r="R3695"/>
      <c r="S3695"/>
      <c r="T3695"/>
      <c r="U3695"/>
      <c r="V3695"/>
      <c r="W3695"/>
      <c r="X3695"/>
      <c r="Y3695"/>
      <c r="Z3695"/>
      <c r="AA3695"/>
      <c r="AB3695"/>
      <c r="AC3695"/>
      <c r="AD3695"/>
    </row>
    <row r="3696" spans="2:30" x14ac:dyDescent="0.25">
      <c r="B3696"/>
      <c r="C3696"/>
      <c r="D3696"/>
      <c r="E3696" s="3"/>
      <c r="F3696" s="3"/>
      <c r="G3696"/>
      <c r="H3696"/>
      <c r="I3696"/>
      <c r="J3696"/>
      <c r="K3696"/>
      <c r="L3696"/>
      <c r="M3696"/>
      <c r="N3696"/>
      <c r="O3696"/>
      <c r="P3696"/>
      <c r="Q3696"/>
      <c r="R3696"/>
      <c r="S3696"/>
      <c r="T3696"/>
      <c r="U3696"/>
      <c r="V3696"/>
      <c r="W3696"/>
      <c r="X3696"/>
      <c r="Y3696"/>
      <c r="Z3696"/>
      <c r="AA3696"/>
      <c r="AB3696"/>
      <c r="AC3696"/>
      <c r="AD3696"/>
    </row>
    <row r="3697" spans="2:30" x14ac:dyDescent="0.25">
      <c r="B3697"/>
      <c r="C3697"/>
      <c r="D3697"/>
      <c r="E3697" s="3"/>
      <c r="F3697" s="3"/>
      <c r="G3697"/>
      <c r="H3697"/>
      <c r="I3697"/>
      <c r="J3697"/>
      <c r="K3697"/>
      <c r="L3697"/>
      <c r="M3697"/>
      <c r="N3697"/>
      <c r="O3697"/>
      <c r="P3697"/>
      <c r="Q3697"/>
      <c r="R3697"/>
      <c r="S3697"/>
      <c r="T3697"/>
      <c r="U3697"/>
      <c r="V3697"/>
      <c r="W3697"/>
      <c r="X3697"/>
      <c r="Y3697"/>
      <c r="Z3697"/>
      <c r="AA3697"/>
      <c r="AB3697"/>
      <c r="AC3697"/>
      <c r="AD3697"/>
    </row>
    <row r="3698" spans="2:30" x14ac:dyDescent="0.25">
      <c r="B3698"/>
      <c r="C3698"/>
      <c r="D3698"/>
      <c r="E3698" s="3"/>
      <c r="F3698" s="3"/>
      <c r="G3698"/>
      <c r="H3698"/>
      <c r="I3698"/>
      <c r="J3698"/>
      <c r="K3698"/>
      <c r="L3698"/>
      <c r="M3698"/>
      <c r="N3698"/>
      <c r="O3698"/>
      <c r="P3698"/>
      <c r="Q3698"/>
      <c r="R3698"/>
      <c r="S3698"/>
      <c r="T3698"/>
      <c r="U3698"/>
      <c r="V3698"/>
      <c r="W3698"/>
      <c r="X3698"/>
      <c r="Y3698"/>
      <c r="Z3698"/>
      <c r="AA3698"/>
      <c r="AB3698"/>
      <c r="AC3698"/>
      <c r="AD3698"/>
    </row>
    <row r="3699" spans="2:30" x14ac:dyDescent="0.25">
      <c r="B3699"/>
      <c r="C3699"/>
      <c r="D3699"/>
      <c r="E3699" s="3"/>
      <c r="F3699" s="3"/>
      <c r="G3699"/>
      <c r="H3699"/>
      <c r="I3699"/>
      <c r="J3699"/>
      <c r="K3699"/>
      <c r="L3699"/>
      <c r="M3699"/>
      <c r="N3699"/>
      <c r="O3699"/>
      <c r="P3699"/>
      <c r="Q3699"/>
      <c r="R3699"/>
      <c r="S3699"/>
      <c r="T3699"/>
      <c r="U3699"/>
      <c r="V3699"/>
      <c r="W3699"/>
      <c r="X3699"/>
      <c r="Y3699"/>
      <c r="Z3699"/>
      <c r="AA3699"/>
      <c r="AB3699"/>
      <c r="AC3699"/>
      <c r="AD3699"/>
    </row>
    <row r="3700" spans="2:30" x14ac:dyDescent="0.25">
      <c r="B3700"/>
      <c r="C3700"/>
      <c r="D3700"/>
      <c r="E3700" s="3"/>
      <c r="F3700" s="3"/>
      <c r="G3700"/>
      <c r="H3700"/>
      <c r="I3700"/>
      <c r="J3700"/>
      <c r="K3700"/>
      <c r="L3700"/>
      <c r="M3700"/>
      <c r="N3700"/>
      <c r="O3700"/>
      <c r="P3700"/>
      <c r="Q3700"/>
      <c r="R3700"/>
      <c r="S3700"/>
      <c r="T3700"/>
      <c r="U3700"/>
      <c r="V3700"/>
      <c r="W3700"/>
      <c r="X3700"/>
      <c r="Y3700"/>
      <c r="Z3700"/>
      <c r="AA3700"/>
      <c r="AB3700"/>
      <c r="AC3700"/>
      <c r="AD3700"/>
    </row>
    <row r="3701" spans="2:30" x14ac:dyDescent="0.25">
      <c r="B3701"/>
      <c r="C3701"/>
      <c r="D3701"/>
      <c r="E3701" s="3"/>
      <c r="F3701" s="3"/>
      <c r="G3701"/>
      <c r="H3701"/>
      <c r="I3701"/>
      <c r="J3701"/>
      <c r="K3701"/>
      <c r="L3701"/>
      <c r="M3701"/>
      <c r="N3701"/>
      <c r="O3701"/>
      <c r="P3701"/>
      <c r="Q3701"/>
      <c r="R3701"/>
      <c r="S3701"/>
      <c r="T3701"/>
      <c r="U3701"/>
      <c r="V3701"/>
      <c r="W3701"/>
      <c r="X3701"/>
      <c r="Y3701"/>
      <c r="Z3701"/>
      <c r="AA3701"/>
      <c r="AB3701"/>
      <c r="AC3701"/>
      <c r="AD3701"/>
    </row>
    <row r="3702" spans="2:30" x14ac:dyDescent="0.25">
      <c r="B3702"/>
      <c r="C3702"/>
      <c r="D3702"/>
      <c r="E3702" s="3"/>
      <c r="F3702" s="3"/>
      <c r="G3702"/>
      <c r="H3702"/>
      <c r="I3702"/>
      <c r="J3702"/>
      <c r="K3702"/>
      <c r="L3702"/>
      <c r="M3702"/>
      <c r="N3702"/>
      <c r="O3702"/>
      <c r="P3702"/>
      <c r="Q3702"/>
      <c r="R3702"/>
      <c r="S3702"/>
      <c r="T3702"/>
      <c r="U3702"/>
      <c r="V3702"/>
      <c r="W3702"/>
      <c r="X3702"/>
      <c r="Y3702"/>
      <c r="Z3702"/>
      <c r="AA3702"/>
      <c r="AB3702"/>
      <c r="AC3702"/>
      <c r="AD3702"/>
    </row>
    <row r="3703" spans="2:30" x14ac:dyDescent="0.25">
      <c r="B3703"/>
      <c r="C3703"/>
      <c r="D3703"/>
      <c r="E3703" s="3"/>
      <c r="F3703" s="3"/>
      <c r="G3703"/>
      <c r="H3703"/>
      <c r="I3703"/>
      <c r="J3703"/>
      <c r="K3703"/>
      <c r="L3703"/>
      <c r="M3703"/>
      <c r="N3703"/>
      <c r="O3703"/>
      <c r="P3703"/>
      <c r="Q3703"/>
      <c r="R3703"/>
      <c r="S3703"/>
      <c r="T3703"/>
      <c r="U3703"/>
      <c r="V3703"/>
      <c r="W3703"/>
      <c r="X3703"/>
      <c r="Y3703"/>
      <c r="Z3703"/>
      <c r="AA3703"/>
      <c r="AB3703"/>
      <c r="AC3703"/>
      <c r="AD3703"/>
    </row>
    <row r="3704" spans="2:30" x14ac:dyDescent="0.25">
      <c r="B3704"/>
      <c r="C3704"/>
      <c r="D3704"/>
      <c r="E3704" s="3"/>
      <c r="F3704" s="3"/>
      <c r="G3704"/>
      <c r="H3704"/>
      <c r="I3704"/>
      <c r="J3704"/>
      <c r="K3704"/>
      <c r="L3704"/>
      <c r="M3704"/>
      <c r="N3704"/>
      <c r="O3704"/>
      <c r="P3704"/>
      <c r="Q3704"/>
      <c r="R3704"/>
      <c r="S3704"/>
      <c r="T3704"/>
      <c r="U3704"/>
      <c r="V3704"/>
      <c r="W3704"/>
      <c r="X3704"/>
      <c r="Y3704"/>
      <c r="Z3704"/>
      <c r="AA3704"/>
      <c r="AB3704"/>
      <c r="AC3704"/>
      <c r="AD3704"/>
    </row>
    <row r="3705" spans="2:30" x14ac:dyDescent="0.25">
      <c r="B3705"/>
      <c r="C3705"/>
      <c r="D3705"/>
      <c r="E3705" s="3"/>
      <c r="F3705" s="3"/>
      <c r="G3705"/>
      <c r="H3705"/>
      <c r="I3705"/>
      <c r="J3705"/>
      <c r="K3705"/>
      <c r="L3705"/>
      <c r="M3705"/>
      <c r="N3705"/>
      <c r="O3705"/>
      <c r="P3705"/>
      <c r="Q3705"/>
      <c r="R3705"/>
      <c r="S3705"/>
      <c r="T3705"/>
      <c r="U3705"/>
      <c r="V3705"/>
      <c r="W3705"/>
      <c r="X3705"/>
      <c r="Y3705"/>
      <c r="Z3705"/>
      <c r="AA3705"/>
      <c r="AB3705"/>
      <c r="AC3705"/>
      <c r="AD3705"/>
    </row>
    <row r="3706" spans="2:30" x14ac:dyDescent="0.25">
      <c r="B3706"/>
      <c r="C3706"/>
      <c r="D3706"/>
      <c r="E3706" s="3"/>
      <c r="F3706" s="3"/>
      <c r="G3706"/>
      <c r="H3706"/>
      <c r="I3706"/>
      <c r="J3706"/>
      <c r="K3706"/>
      <c r="L3706"/>
      <c r="M3706"/>
      <c r="N3706"/>
      <c r="O3706"/>
      <c r="P3706"/>
      <c r="Q3706"/>
      <c r="R3706"/>
      <c r="S3706"/>
      <c r="T3706"/>
      <c r="U3706"/>
      <c r="V3706"/>
      <c r="W3706"/>
      <c r="X3706"/>
      <c r="Y3706"/>
      <c r="Z3706"/>
      <c r="AA3706"/>
      <c r="AB3706"/>
      <c r="AC3706"/>
      <c r="AD3706"/>
    </row>
    <row r="3707" spans="2:30" x14ac:dyDescent="0.25">
      <c r="B3707"/>
      <c r="C3707"/>
      <c r="D3707"/>
      <c r="E3707" s="3"/>
      <c r="F3707" s="3"/>
      <c r="G3707"/>
      <c r="H3707"/>
      <c r="I3707"/>
      <c r="J3707"/>
      <c r="K3707"/>
      <c r="L3707"/>
      <c r="M3707"/>
      <c r="N3707"/>
      <c r="O3707"/>
      <c r="P3707"/>
      <c r="Q3707"/>
      <c r="R3707"/>
      <c r="S3707"/>
      <c r="T3707"/>
      <c r="U3707"/>
      <c r="V3707"/>
      <c r="W3707"/>
      <c r="X3707"/>
      <c r="Y3707"/>
      <c r="Z3707"/>
      <c r="AA3707"/>
      <c r="AB3707"/>
      <c r="AC3707"/>
      <c r="AD3707"/>
    </row>
    <row r="3708" spans="2:30" x14ac:dyDescent="0.25">
      <c r="B3708"/>
      <c r="C3708"/>
      <c r="D3708"/>
      <c r="E3708" s="3"/>
      <c r="F3708" s="3"/>
      <c r="G3708"/>
      <c r="H3708"/>
      <c r="I3708"/>
      <c r="J3708"/>
      <c r="K3708"/>
      <c r="L3708"/>
      <c r="M3708"/>
      <c r="N3708"/>
      <c r="O3708"/>
      <c r="P3708"/>
      <c r="Q3708"/>
      <c r="R3708"/>
      <c r="S3708"/>
      <c r="T3708"/>
      <c r="U3708"/>
      <c r="V3708"/>
      <c r="W3708"/>
      <c r="X3708"/>
      <c r="Y3708"/>
      <c r="Z3708"/>
      <c r="AA3708"/>
      <c r="AB3708"/>
      <c r="AC3708"/>
      <c r="AD3708"/>
    </row>
    <row r="3709" spans="2:30" x14ac:dyDescent="0.25">
      <c r="B3709"/>
      <c r="C3709"/>
      <c r="D3709"/>
      <c r="E3709" s="3"/>
      <c r="F3709" s="3"/>
      <c r="G3709"/>
      <c r="H3709"/>
      <c r="I3709"/>
      <c r="J3709"/>
      <c r="K3709"/>
      <c r="L3709"/>
      <c r="M3709"/>
      <c r="N3709"/>
      <c r="O3709"/>
      <c r="P3709"/>
      <c r="Q3709"/>
      <c r="R3709"/>
      <c r="S3709"/>
      <c r="T3709"/>
      <c r="U3709"/>
      <c r="V3709"/>
      <c r="W3709"/>
      <c r="X3709"/>
      <c r="Y3709"/>
      <c r="Z3709"/>
      <c r="AA3709"/>
      <c r="AB3709"/>
      <c r="AC3709"/>
      <c r="AD3709"/>
    </row>
    <row r="3710" spans="2:30" x14ac:dyDescent="0.25">
      <c r="B3710"/>
      <c r="C3710"/>
      <c r="D3710"/>
      <c r="E3710" s="3"/>
      <c r="F3710" s="3"/>
      <c r="G3710"/>
      <c r="H3710"/>
      <c r="I3710"/>
      <c r="J3710"/>
      <c r="K3710"/>
      <c r="L3710"/>
      <c r="M3710"/>
      <c r="N3710"/>
      <c r="O3710"/>
      <c r="P3710"/>
      <c r="Q3710"/>
      <c r="R3710"/>
      <c r="S3710"/>
      <c r="T3710"/>
      <c r="U3710"/>
      <c r="V3710"/>
      <c r="W3710"/>
      <c r="X3710"/>
      <c r="Y3710"/>
      <c r="Z3710"/>
      <c r="AA3710"/>
      <c r="AB3710"/>
      <c r="AC3710"/>
      <c r="AD3710"/>
    </row>
    <row r="3711" spans="2:30" x14ac:dyDescent="0.25">
      <c r="B3711"/>
      <c r="C3711"/>
      <c r="D3711"/>
      <c r="E3711" s="3"/>
      <c r="F3711" s="3"/>
      <c r="G3711"/>
      <c r="H3711"/>
      <c r="I3711"/>
      <c r="J3711"/>
      <c r="K3711"/>
      <c r="L3711"/>
      <c r="M3711"/>
      <c r="N3711"/>
      <c r="O3711"/>
      <c r="P3711"/>
      <c r="Q3711"/>
      <c r="R3711"/>
      <c r="S3711"/>
      <c r="T3711"/>
      <c r="U3711"/>
      <c r="V3711"/>
      <c r="W3711"/>
      <c r="X3711"/>
      <c r="Y3711"/>
      <c r="Z3711"/>
      <c r="AA3711"/>
      <c r="AB3711"/>
      <c r="AC3711"/>
      <c r="AD3711"/>
    </row>
    <row r="3712" spans="2:30" x14ac:dyDescent="0.25">
      <c r="B3712"/>
      <c r="C3712"/>
      <c r="D3712"/>
      <c r="E3712" s="3"/>
      <c r="F3712" s="3"/>
      <c r="G3712"/>
      <c r="H3712"/>
      <c r="I3712"/>
      <c r="J3712"/>
      <c r="K3712"/>
      <c r="L3712"/>
      <c r="M3712"/>
      <c r="N3712"/>
      <c r="O3712"/>
      <c r="P3712"/>
      <c r="Q3712"/>
      <c r="R3712"/>
      <c r="S3712"/>
      <c r="T3712"/>
      <c r="U3712"/>
      <c r="V3712"/>
      <c r="W3712"/>
      <c r="X3712"/>
      <c r="Y3712"/>
      <c r="Z3712"/>
      <c r="AA3712"/>
      <c r="AB3712"/>
      <c r="AC3712"/>
      <c r="AD3712"/>
    </row>
    <row r="3713" spans="2:30" x14ac:dyDescent="0.25">
      <c r="B3713"/>
      <c r="C3713"/>
      <c r="D3713"/>
      <c r="E3713" s="3"/>
      <c r="F3713" s="3"/>
      <c r="G3713"/>
      <c r="H3713"/>
      <c r="I3713"/>
      <c r="J3713"/>
      <c r="K3713"/>
      <c r="L3713"/>
      <c r="M3713"/>
      <c r="N3713"/>
      <c r="O3713"/>
      <c r="P3713"/>
      <c r="Q3713"/>
      <c r="R3713"/>
      <c r="S3713"/>
      <c r="T3713"/>
      <c r="U3713"/>
      <c r="V3713"/>
      <c r="W3713"/>
      <c r="X3713"/>
      <c r="Y3713"/>
      <c r="Z3713"/>
      <c r="AA3713"/>
      <c r="AB3713"/>
      <c r="AC3713"/>
      <c r="AD3713"/>
    </row>
    <row r="3714" spans="2:30" x14ac:dyDescent="0.25">
      <c r="B3714"/>
      <c r="C3714"/>
      <c r="D3714"/>
      <c r="E3714" s="3"/>
      <c r="F3714" s="3"/>
      <c r="G3714"/>
      <c r="H3714"/>
      <c r="I3714"/>
      <c r="J3714"/>
      <c r="K3714"/>
      <c r="L3714"/>
      <c r="M3714"/>
      <c r="N3714"/>
      <c r="O3714"/>
      <c r="P3714"/>
      <c r="Q3714"/>
      <c r="R3714"/>
      <c r="S3714"/>
      <c r="T3714"/>
      <c r="U3714"/>
      <c r="V3714"/>
      <c r="W3714"/>
      <c r="X3714"/>
      <c r="Y3714"/>
      <c r="Z3714"/>
      <c r="AA3714"/>
      <c r="AB3714"/>
      <c r="AC3714"/>
      <c r="AD3714"/>
    </row>
    <row r="3715" spans="2:30" x14ac:dyDescent="0.25">
      <c r="B3715"/>
      <c r="C3715"/>
      <c r="D3715"/>
      <c r="E3715" s="3"/>
      <c r="F3715" s="3"/>
      <c r="G3715"/>
      <c r="H3715"/>
      <c r="I3715"/>
      <c r="J3715"/>
      <c r="K3715"/>
      <c r="L3715"/>
      <c r="M3715"/>
      <c r="N3715"/>
      <c r="O3715"/>
      <c r="P3715"/>
      <c r="Q3715"/>
      <c r="R3715"/>
      <c r="S3715"/>
      <c r="T3715"/>
      <c r="U3715"/>
      <c r="V3715"/>
      <c r="W3715"/>
      <c r="X3715"/>
      <c r="Y3715"/>
      <c r="Z3715"/>
      <c r="AA3715"/>
      <c r="AB3715"/>
      <c r="AC3715"/>
      <c r="AD3715"/>
    </row>
    <row r="3716" spans="2:30" x14ac:dyDescent="0.25">
      <c r="B3716"/>
      <c r="C3716"/>
      <c r="D3716"/>
      <c r="E3716" s="3"/>
      <c r="F3716" s="3"/>
      <c r="G3716"/>
      <c r="H3716"/>
      <c r="I3716"/>
      <c r="J3716"/>
      <c r="K3716"/>
      <c r="L3716"/>
      <c r="M3716"/>
      <c r="N3716"/>
      <c r="O3716"/>
      <c r="P3716"/>
      <c r="Q3716"/>
      <c r="R3716"/>
      <c r="S3716"/>
      <c r="T3716"/>
      <c r="U3716"/>
      <c r="V3716"/>
      <c r="W3716"/>
      <c r="X3716"/>
      <c r="Y3716"/>
      <c r="Z3716"/>
      <c r="AA3716"/>
      <c r="AB3716"/>
      <c r="AC3716"/>
      <c r="AD3716"/>
    </row>
    <row r="3717" spans="2:30" x14ac:dyDescent="0.25">
      <c r="B3717"/>
      <c r="C3717"/>
      <c r="D3717"/>
      <c r="E3717" s="3"/>
      <c r="F3717" s="3"/>
      <c r="G3717"/>
      <c r="H3717"/>
      <c r="I3717"/>
      <c r="J3717"/>
      <c r="K3717"/>
      <c r="L3717"/>
      <c r="M3717"/>
      <c r="N3717"/>
      <c r="O3717"/>
      <c r="P3717"/>
      <c r="Q3717"/>
      <c r="R3717"/>
      <c r="S3717"/>
      <c r="T3717"/>
      <c r="U3717"/>
      <c r="V3717"/>
      <c r="W3717"/>
      <c r="X3717"/>
      <c r="Y3717"/>
      <c r="Z3717"/>
      <c r="AA3717"/>
      <c r="AB3717"/>
      <c r="AC3717"/>
      <c r="AD3717"/>
    </row>
    <row r="3718" spans="2:30" x14ac:dyDescent="0.25">
      <c r="B3718"/>
      <c r="C3718"/>
      <c r="D3718"/>
      <c r="E3718" s="3"/>
      <c r="F3718" s="3"/>
      <c r="G3718"/>
      <c r="H3718"/>
      <c r="I3718"/>
      <c r="J3718"/>
      <c r="K3718"/>
      <c r="L3718"/>
      <c r="M3718"/>
      <c r="N3718"/>
      <c r="O3718"/>
      <c r="P3718"/>
      <c r="Q3718"/>
      <c r="R3718"/>
      <c r="S3718"/>
      <c r="T3718"/>
      <c r="U3718"/>
      <c r="V3718"/>
      <c r="W3718"/>
      <c r="X3718"/>
      <c r="Y3718"/>
      <c r="Z3718"/>
      <c r="AA3718"/>
      <c r="AB3718"/>
      <c r="AC3718"/>
      <c r="AD3718"/>
    </row>
    <row r="3719" spans="2:30" x14ac:dyDescent="0.25">
      <c r="B3719"/>
      <c r="C3719"/>
      <c r="D3719"/>
      <c r="E3719" s="3"/>
      <c r="F3719" s="3"/>
      <c r="G3719"/>
      <c r="H3719"/>
      <c r="I3719"/>
      <c r="J3719"/>
      <c r="K3719"/>
      <c r="L3719"/>
      <c r="M3719"/>
      <c r="N3719"/>
      <c r="O3719"/>
      <c r="P3719"/>
      <c r="Q3719"/>
      <c r="R3719"/>
      <c r="S3719"/>
      <c r="T3719"/>
      <c r="U3719"/>
      <c r="V3719"/>
      <c r="W3719"/>
      <c r="X3719"/>
      <c r="Y3719"/>
      <c r="Z3719"/>
      <c r="AA3719"/>
      <c r="AB3719"/>
      <c r="AC3719"/>
      <c r="AD3719"/>
    </row>
    <row r="3720" spans="2:30" x14ac:dyDescent="0.25">
      <c r="B3720"/>
      <c r="C3720"/>
      <c r="D3720"/>
      <c r="E3720" s="3"/>
      <c r="F3720" s="3"/>
      <c r="G3720"/>
      <c r="H3720"/>
      <c r="I3720"/>
      <c r="J3720"/>
      <c r="K3720"/>
      <c r="L3720"/>
      <c r="M3720"/>
      <c r="N3720"/>
      <c r="O3720"/>
      <c r="P3720"/>
      <c r="Q3720"/>
      <c r="R3720"/>
      <c r="S3720"/>
      <c r="T3720"/>
      <c r="U3720"/>
      <c r="V3720"/>
      <c r="W3720"/>
      <c r="X3720"/>
      <c r="Y3720"/>
      <c r="Z3720"/>
      <c r="AA3720"/>
      <c r="AB3720"/>
      <c r="AC3720"/>
      <c r="AD3720"/>
    </row>
    <row r="3721" spans="2:30" x14ac:dyDescent="0.25">
      <c r="B3721"/>
      <c r="C3721"/>
      <c r="D3721"/>
      <c r="E3721" s="3"/>
      <c r="F3721" s="3"/>
      <c r="G3721"/>
      <c r="H3721"/>
      <c r="I3721"/>
      <c r="J3721"/>
      <c r="K3721"/>
      <c r="L3721"/>
      <c r="M3721"/>
      <c r="N3721"/>
      <c r="O3721"/>
      <c r="P3721"/>
      <c r="Q3721"/>
      <c r="R3721"/>
      <c r="S3721"/>
      <c r="T3721"/>
      <c r="U3721"/>
      <c r="V3721"/>
      <c r="W3721"/>
      <c r="X3721"/>
      <c r="Y3721"/>
      <c r="Z3721"/>
      <c r="AA3721"/>
      <c r="AB3721"/>
      <c r="AC3721"/>
      <c r="AD3721"/>
    </row>
    <row r="3722" spans="2:30" x14ac:dyDescent="0.25">
      <c r="B3722"/>
      <c r="C3722"/>
      <c r="D3722"/>
      <c r="E3722" s="3"/>
      <c r="F3722" s="3"/>
      <c r="G3722"/>
      <c r="H3722"/>
      <c r="I3722"/>
      <c r="J3722"/>
      <c r="K3722"/>
      <c r="L3722"/>
      <c r="M3722"/>
      <c r="N3722"/>
      <c r="O3722"/>
      <c r="P3722"/>
      <c r="Q3722"/>
      <c r="R3722"/>
      <c r="S3722"/>
      <c r="T3722"/>
      <c r="U3722"/>
      <c r="V3722"/>
      <c r="W3722"/>
      <c r="X3722"/>
      <c r="Y3722"/>
      <c r="Z3722"/>
      <c r="AA3722"/>
      <c r="AB3722"/>
      <c r="AC3722"/>
      <c r="AD3722"/>
    </row>
    <row r="3723" spans="2:30" x14ac:dyDescent="0.25">
      <c r="B3723"/>
      <c r="C3723"/>
      <c r="D3723"/>
      <c r="E3723" s="3"/>
      <c r="F3723" s="3"/>
      <c r="G3723"/>
      <c r="H3723"/>
      <c r="I3723"/>
      <c r="J3723"/>
      <c r="K3723"/>
      <c r="L3723"/>
      <c r="M3723"/>
      <c r="N3723"/>
      <c r="O3723"/>
      <c r="P3723"/>
      <c r="Q3723"/>
      <c r="R3723"/>
      <c r="S3723"/>
      <c r="T3723"/>
      <c r="U3723"/>
      <c r="V3723"/>
      <c r="W3723"/>
      <c r="X3723"/>
      <c r="Y3723"/>
      <c r="Z3723"/>
      <c r="AA3723"/>
      <c r="AB3723"/>
      <c r="AC3723"/>
      <c r="AD3723"/>
    </row>
    <row r="3724" spans="2:30" x14ac:dyDescent="0.25">
      <c r="B3724"/>
      <c r="C3724"/>
      <c r="D3724"/>
      <c r="E3724" s="3"/>
      <c r="F3724" s="3"/>
      <c r="G3724"/>
      <c r="H3724"/>
      <c r="I3724"/>
      <c r="J3724"/>
      <c r="K3724"/>
      <c r="L3724"/>
      <c r="M3724"/>
      <c r="N3724"/>
      <c r="O3724"/>
      <c r="P3724"/>
      <c r="Q3724"/>
      <c r="R3724"/>
      <c r="S3724"/>
      <c r="T3724"/>
      <c r="U3724"/>
      <c r="V3724"/>
      <c r="W3724"/>
      <c r="X3724"/>
      <c r="Y3724"/>
      <c r="Z3724"/>
      <c r="AA3724"/>
      <c r="AB3724"/>
      <c r="AC3724"/>
      <c r="AD3724"/>
    </row>
    <row r="3725" spans="2:30" x14ac:dyDescent="0.25">
      <c r="B3725"/>
      <c r="C3725"/>
      <c r="D3725"/>
      <c r="E3725" s="3"/>
      <c r="F3725" s="3"/>
      <c r="G3725"/>
      <c r="H3725"/>
      <c r="I3725"/>
      <c r="J3725"/>
      <c r="K3725"/>
      <c r="L3725"/>
      <c r="M3725"/>
      <c r="N3725"/>
      <c r="O3725"/>
      <c r="P3725"/>
      <c r="Q3725"/>
      <c r="R3725"/>
      <c r="S3725"/>
      <c r="T3725"/>
      <c r="U3725"/>
      <c r="V3725"/>
      <c r="W3725"/>
      <c r="X3725"/>
      <c r="Y3725"/>
      <c r="Z3725"/>
      <c r="AA3725"/>
      <c r="AB3725"/>
      <c r="AC3725"/>
      <c r="AD3725"/>
    </row>
    <row r="3726" spans="2:30" x14ac:dyDescent="0.25">
      <c r="B3726"/>
      <c r="C3726"/>
      <c r="D3726"/>
      <c r="E3726" s="3"/>
      <c r="F3726" s="3"/>
      <c r="G3726"/>
      <c r="H3726"/>
      <c r="I3726"/>
      <c r="J3726"/>
      <c r="K3726"/>
      <c r="L3726"/>
      <c r="M3726"/>
      <c r="N3726"/>
      <c r="O3726"/>
      <c r="P3726"/>
      <c r="Q3726"/>
      <c r="R3726"/>
      <c r="S3726"/>
      <c r="T3726"/>
      <c r="U3726"/>
      <c r="V3726"/>
      <c r="W3726"/>
      <c r="X3726"/>
      <c r="Y3726"/>
      <c r="Z3726"/>
      <c r="AA3726"/>
      <c r="AB3726"/>
      <c r="AC3726"/>
      <c r="AD3726"/>
    </row>
    <row r="3727" spans="2:30" x14ac:dyDescent="0.25">
      <c r="B3727"/>
      <c r="C3727"/>
      <c r="D3727"/>
      <c r="E3727" s="3"/>
      <c r="F3727" s="3"/>
      <c r="G3727"/>
      <c r="H3727"/>
      <c r="I3727"/>
      <c r="J3727"/>
      <c r="K3727"/>
      <c r="L3727"/>
      <c r="M3727"/>
      <c r="N3727"/>
      <c r="O3727"/>
      <c r="P3727"/>
      <c r="Q3727"/>
      <c r="R3727"/>
      <c r="S3727"/>
      <c r="T3727"/>
      <c r="U3727"/>
      <c r="V3727"/>
      <c r="W3727"/>
      <c r="X3727"/>
      <c r="Y3727"/>
      <c r="Z3727"/>
      <c r="AA3727"/>
      <c r="AB3727"/>
      <c r="AC3727"/>
      <c r="AD3727"/>
    </row>
    <row r="3728" spans="2:30" x14ac:dyDescent="0.25">
      <c r="B3728"/>
      <c r="C3728"/>
      <c r="D3728"/>
      <c r="E3728" s="3"/>
      <c r="F3728" s="3"/>
      <c r="G3728"/>
      <c r="H3728"/>
      <c r="I3728"/>
      <c r="J3728"/>
      <c r="K3728"/>
      <c r="L3728"/>
      <c r="M3728"/>
      <c r="N3728"/>
      <c r="O3728"/>
      <c r="P3728"/>
      <c r="Q3728"/>
      <c r="R3728"/>
      <c r="S3728"/>
      <c r="T3728"/>
      <c r="U3728"/>
      <c r="V3728"/>
      <c r="W3728"/>
      <c r="X3728"/>
      <c r="Y3728"/>
      <c r="Z3728"/>
      <c r="AA3728"/>
      <c r="AB3728"/>
      <c r="AC3728"/>
      <c r="AD3728"/>
    </row>
    <row r="3729" spans="2:30" x14ac:dyDescent="0.25">
      <c r="B3729"/>
      <c r="C3729"/>
      <c r="D3729"/>
      <c r="E3729" s="3"/>
      <c r="F3729" s="3"/>
      <c r="G3729"/>
      <c r="H3729"/>
      <c r="I3729"/>
      <c r="J3729"/>
      <c r="K3729"/>
      <c r="L3729"/>
      <c r="M3729"/>
      <c r="N3729"/>
      <c r="O3729"/>
      <c r="P3729"/>
      <c r="Q3729"/>
      <c r="R3729"/>
      <c r="S3729"/>
      <c r="T3729"/>
      <c r="U3729"/>
      <c r="V3729"/>
      <c r="W3729"/>
      <c r="X3729"/>
      <c r="Y3729"/>
      <c r="Z3729"/>
      <c r="AA3729"/>
      <c r="AB3729"/>
      <c r="AC3729"/>
      <c r="AD3729"/>
    </row>
    <row r="3730" spans="2:30" x14ac:dyDescent="0.25">
      <c r="B3730"/>
      <c r="C3730"/>
      <c r="D3730"/>
      <c r="E3730" s="3"/>
      <c r="F3730" s="3"/>
      <c r="G3730"/>
      <c r="H3730"/>
      <c r="I3730"/>
      <c r="J3730"/>
      <c r="K3730"/>
      <c r="L3730"/>
      <c r="M3730"/>
      <c r="N3730"/>
      <c r="O3730"/>
      <c r="P3730"/>
      <c r="Q3730"/>
      <c r="R3730"/>
      <c r="S3730"/>
      <c r="T3730"/>
      <c r="U3730"/>
      <c r="V3730"/>
      <c r="W3730"/>
      <c r="X3730"/>
      <c r="Y3730"/>
      <c r="Z3730"/>
      <c r="AA3730"/>
      <c r="AB3730"/>
      <c r="AC3730"/>
      <c r="AD3730"/>
    </row>
    <row r="3731" spans="2:30" x14ac:dyDescent="0.25">
      <c r="B3731"/>
      <c r="C3731"/>
      <c r="D3731"/>
      <c r="E3731" s="3"/>
      <c r="F3731" s="3"/>
      <c r="G3731"/>
      <c r="H3731"/>
      <c r="I3731"/>
      <c r="J3731"/>
      <c r="K3731"/>
      <c r="L3731"/>
      <c r="M3731"/>
      <c r="N3731"/>
      <c r="O3731"/>
      <c r="P3731"/>
      <c r="Q3731"/>
      <c r="R3731"/>
      <c r="S3731"/>
      <c r="T3731"/>
      <c r="U3731"/>
      <c r="V3731"/>
      <c r="W3731"/>
      <c r="X3731"/>
      <c r="Y3731"/>
      <c r="Z3731"/>
      <c r="AA3731"/>
      <c r="AB3731"/>
      <c r="AC3731"/>
      <c r="AD3731"/>
    </row>
    <row r="3732" spans="2:30" x14ac:dyDescent="0.25">
      <c r="B3732"/>
      <c r="C3732"/>
      <c r="D3732"/>
      <c r="E3732" s="3"/>
      <c r="F3732" s="3"/>
      <c r="G3732"/>
      <c r="H3732"/>
      <c r="I3732"/>
      <c r="J3732"/>
      <c r="K3732"/>
      <c r="L3732"/>
      <c r="M3732"/>
      <c r="N3732"/>
      <c r="O3732"/>
      <c r="P3732"/>
      <c r="Q3732"/>
      <c r="R3732"/>
      <c r="S3732"/>
      <c r="T3732"/>
      <c r="U3732"/>
      <c r="V3732"/>
      <c r="W3732"/>
      <c r="X3732"/>
      <c r="Y3732"/>
      <c r="Z3732"/>
      <c r="AA3732"/>
      <c r="AB3732"/>
      <c r="AC3732"/>
      <c r="AD3732"/>
    </row>
    <row r="3733" spans="2:30" x14ac:dyDescent="0.25">
      <c r="B3733"/>
      <c r="C3733"/>
      <c r="D3733"/>
      <c r="E3733" s="3"/>
      <c r="F3733" s="3"/>
      <c r="G3733"/>
      <c r="H3733"/>
      <c r="I3733"/>
      <c r="J3733"/>
      <c r="K3733"/>
      <c r="L3733"/>
      <c r="M3733"/>
      <c r="N3733"/>
      <c r="O3733"/>
      <c r="P3733"/>
      <c r="Q3733"/>
      <c r="R3733"/>
      <c r="S3733"/>
      <c r="T3733"/>
      <c r="U3733"/>
      <c r="V3733"/>
      <c r="W3733"/>
      <c r="X3733"/>
      <c r="Y3733"/>
      <c r="Z3733"/>
      <c r="AA3733"/>
      <c r="AB3733"/>
      <c r="AC3733"/>
      <c r="AD3733"/>
    </row>
    <row r="3734" spans="2:30" x14ac:dyDescent="0.25">
      <c r="B3734"/>
      <c r="C3734"/>
      <c r="D3734"/>
      <c r="E3734" s="3"/>
      <c r="F3734" s="3"/>
      <c r="G3734"/>
      <c r="H3734"/>
      <c r="I3734"/>
      <c r="J3734"/>
      <c r="K3734"/>
      <c r="L3734"/>
      <c r="M3734"/>
      <c r="N3734"/>
      <c r="O3734"/>
      <c r="P3734"/>
      <c r="Q3734"/>
      <c r="R3734"/>
      <c r="S3734"/>
      <c r="T3734"/>
      <c r="U3734"/>
      <c r="V3734"/>
      <c r="W3734"/>
      <c r="X3734"/>
      <c r="Y3734"/>
      <c r="Z3734"/>
      <c r="AA3734"/>
      <c r="AB3734"/>
      <c r="AC3734"/>
      <c r="AD3734"/>
    </row>
    <row r="3735" spans="2:30" x14ac:dyDescent="0.25">
      <c r="B3735"/>
      <c r="C3735"/>
      <c r="D3735"/>
      <c r="E3735" s="3"/>
      <c r="F3735" s="3"/>
      <c r="G3735"/>
      <c r="H3735"/>
      <c r="I3735"/>
      <c r="J3735"/>
      <c r="K3735"/>
      <c r="L3735"/>
      <c r="M3735"/>
      <c r="N3735"/>
      <c r="O3735"/>
      <c r="P3735"/>
      <c r="Q3735"/>
      <c r="R3735"/>
      <c r="S3735"/>
      <c r="T3735"/>
      <c r="U3735"/>
      <c r="V3735"/>
      <c r="W3735"/>
      <c r="X3735"/>
      <c r="Y3735"/>
      <c r="Z3735"/>
      <c r="AA3735"/>
      <c r="AB3735"/>
      <c r="AC3735"/>
      <c r="AD3735"/>
    </row>
    <row r="3736" spans="2:30" x14ac:dyDescent="0.25">
      <c r="B3736"/>
      <c r="C3736"/>
      <c r="D3736"/>
      <c r="E3736" s="3"/>
      <c r="F3736" s="3"/>
      <c r="G3736"/>
      <c r="H3736"/>
      <c r="I3736"/>
      <c r="J3736"/>
      <c r="K3736"/>
      <c r="L3736"/>
      <c r="M3736"/>
      <c r="N3736"/>
      <c r="O3736"/>
      <c r="P3736"/>
      <c r="Q3736"/>
      <c r="R3736"/>
      <c r="S3736"/>
      <c r="T3736"/>
      <c r="U3736"/>
      <c r="V3736"/>
      <c r="W3736"/>
      <c r="X3736"/>
      <c r="Y3736"/>
      <c r="Z3736"/>
      <c r="AA3736"/>
      <c r="AB3736"/>
      <c r="AC3736"/>
      <c r="AD3736"/>
    </row>
    <row r="3737" spans="2:30" x14ac:dyDescent="0.25">
      <c r="B3737"/>
      <c r="C3737"/>
      <c r="D3737"/>
      <c r="E3737" s="3"/>
      <c r="F3737" s="3"/>
      <c r="G3737"/>
      <c r="H3737"/>
      <c r="I3737"/>
      <c r="J3737"/>
      <c r="K3737"/>
      <c r="L3737"/>
      <c r="M3737"/>
      <c r="N3737"/>
      <c r="O3737"/>
      <c r="P3737"/>
      <c r="Q3737"/>
      <c r="R3737"/>
      <c r="S3737"/>
      <c r="T3737"/>
      <c r="U3737"/>
      <c r="V3737"/>
      <c r="W3737"/>
      <c r="X3737"/>
      <c r="Y3737"/>
      <c r="Z3737"/>
      <c r="AA3737"/>
      <c r="AB3737"/>
      <c r="AC3737"/>
      <c r="AD3737"/>
    </row>
    <row r="3738" spans="2:30" x14ac:dyDescent="0.25">
      <c r="B3738"/>
      <c r="C3738"/>
      <c r="D3738"/>
      <c r="E3738" s="3"/>
      <c r="F3738" s="3"/>
      <c r="G3738"/>
      <c r="H3738"/>
      <c r="I3738"/>
      <c r="J3738"/>
      <c r="K3738"/>
      <c r="L3738"/>
      <c r="M3738"/>
      <c r="N3738"/>
      <c r="O3738"/>
      <c r="P3738"/>
      <c r="Q3738"/>
      <c r="R3738"/>
      <c r="S3738"/>
      <c r="T3738"/>
      <c r="U3738"/>
      <c r="V3738"/>
      <c r="W3738"/>
      <c r="X3738"/>
      <c r="Y3738"/>
      <c r="Z3738"/>
      <c r="AA3738"/>
      <c r="AB3738"/>
      <c r="AC3738"/>
      <c r="AD3738"/>
    </row>
    <row r="3739" spans="2:30" x14ac:dyDescent="0.25">
      <c r="B3739"/>
      <c r="C3739"/>
      <c r="D3739"/>
      <c r="E3739" s="3"/>
      <c r="F3739" s="3"/>
      <c r="G3739"/>
      <c r="H3739"/>
      <c r="I3739"/>
      <c r="J3739"/>
      <c r="K3739"/>
      <c r="L3739"/>
      <c r="M3739"/>
      <c r="N3739"/>
      <c r="O3739"/>
      <c r="P3739"/>
      <c r="Q3739"/>
      <c r="R3739"/>
      <c r="S3739"/>
      <c r="T3739"/>
      <c r="U3739"/>
      <c r="V3739"/>
      <c r="W3739"/>
      <c r="X3739"/>
      <c r="Y3739"/>
      <c r="Z3739"/>
      <c r="AA3739"/>
      <c r="AB3739"/>
      <c r="AC3739"/>
      <c r="AD3739"/>
    </row>
    <row r="3740" spans="2:30" x14ac:dyDescent="0.25">
      <c r="B3740"/>
      <c r="C3740"/>
      <c r="D3740"/>
      <c r="E3740" s="3"/>
      <c r="F3740" s="3"/>
      <c r="G3740"/>
      <c r="H3740"/>
      <c r="I3740"/>
      <c r="J3740"/>
      <c r="K3740"/>
      <c r="L3740"/>
      <c r="M3740"/>
      <c r="N3740"/>
      <c r="O3740"/>
      <c r="P3740"/>
      <c r="Q3740"/>
      <c r="R3740"/>
      <c r="S3740"/>
      <c r="T3740"/>
      <c r="U3740"/>
      <c r="V3740"/>
      <c r="W3740"/>
      <c r="X3740"/>
      <c r="Y3740"/>
      <c r="Z3740"/>
      <c r="AA3740"/>
      <c r="AB3740"/>
      <c r="AC3740"/>
      <c r="AD3740"/>
    </row>
    <row r="3741" spans="2:30" x14ac:dyDescent="0.25">
      <c r="B3741"/>
      <c r="C3741"/>
      <c r="D3741"/>
      <c r="E3741" s="3"/>
      <c r="F3741" s="3"/>
      <c r="G3741"/>
      <c r="H3741"/>
      <c r="I3741"/>
      <c r="J3741"/>
      <c r="K3741"/>
      <c r="L3741"/>
      <c r="M3741"/>
      <c r="N3741"/>
      <c r="O3741"/>
      <c r="P3741"/>
      <c r="Q3741"/>
      <c r="R3741"/>
      <c r="S3741"/>
      <c r="T3741"/>
      <c r="U3741"/>
      <c r="V3741"/>
      <c r="W3741"/>
      <c r="X3741"/>
      <c r="Y3741"/>
      <c r="Z3741"/>
      <c r="AA3741"/>
      <c r="AB3741"/>
      <c r="AC3741"/>
      <c r="AD3741"/>
    </row>
    <row r="3742" spans="2:30" x14ac:dyDescent="0.25">
      <c r="B3742"/>
      <c r="C3742"/>
      <c r="D3742"/>
      <c r="E3742" s="3"/>
      <c r="F3742" s="3"/>
      <c r="G3742"/>
      <c r="H3742"/>
      <c r="I3742"/>
      <c r="J3742"/>
      <c r="K3742"/>
      <c r="L3742"/>
      <c r="M3742"/>
      <c r="N3742"/>
      <c r="O3742"/>
      <c r="P3742"/>
      <c r="Q3742"/>
      <c r="R3742"/>
      <c r="S3742"/>
      <c r="T3742"/>
      <c r="U3742"/>
      <c r="V3742"/>
      <c r="W3742"/>
      <c r="X3742"/>
      <c r="Y3742"/>
      <c r="Z3742"/>
      <c r="AA3742"/>
      <c r="AB3742"/>
      <c r="AC3742"/>
      <c r="AD3742"/>
    </row>
    <row r="3743" spans="2:30" x14ac:dyDescent="0.25">
      <c r="B3743"/>
      <c r="C3743"/>
      <c r="D3743"/>
      <c r="E3743" s="3"/>
      <c r="F3743" s="3"/>
      <c r="G3743"/>
      <c r="H3743"/>
      <c r="I3743"/>
      <c r="J3743"/>
      <c r="K3743"/>
      <c r="L3743"/>
      <c r="M3743"/>
      <c r="N3743"/>
      <c r="O3743"/>
      <c r="P3743"/>
      <c r="Q3743"/>
      <c r="R3743"/>
      <c r="S3743"/>
      <c r="T3743"/>
      <c r="U3743"/>
      <c r="V3743"/>
      <c r="W3743"/>
      <c r="X3743"/>
      <c r="Y3743"/>
      <c r="Z3743"/>
      <c r="AA3743"/>
      <c r="AB3743"/>
      <c r="AC3743"/>
      <c r="AD3743"/>
    </row>
    <row r="3744" spans="2:30" x14ac:dyDescent="0.25">
      <c r="B3744"/>
      <c r="C3744"/>
      <c r="D3744"/>
      <c r="E3744" s="3"/>
      <c r="F3744" s="3"/>
      <c r="G3744"/>
      <c r="H3744"/>
      <c r="I3744"/>
      <c r="J3744"/>
      <c r="K3744"/>
      <c r="L3744"/>
      <c r="M3744"/>
      <c r="N3744"/>
      <c r="O3744"/>
      <c r="P3744"/>
      <c r="Q3744"/>
      <c r="R3744"/>
      <c r="S3744"/>
      <c r="T3744"/>
      <c r="U3744"/>
      <c r="V3744"/>
      <c r="W3744"/>
      <c r="X3744"/>
      <c r="Y3744"/>
      <c r="Z3744"/>
      <c r="AA3744"/>
      <c r="AB3744"/>
      <c r="AC3744"/>
      <c r="AD3744"/>
    </row>
    <row r="3745" spans="2:30" x14ac:dyDescent="0.25">
      <c r="B3745"/>
      <c r="C3745"/>
      <c r="D3745"/>
      <c r="E3745" s="3"/>
      <c r="F3745" s="3"/>
      <c r="G3745"/>
      <c r="H3745"/>
      <c r="I3745"/>
      <c r="J3745"/>
      <c r="K3745"/>
      <c r="L3745"/>
      <c r="M3745"/>
      <c r="N3745"/>
      <c r="O3745"/>
      <c r="P3745"/>
      <c r="Q3745"/>
      <c r="R3745"/>
      <c r="S3745"/>
      <c r="T3745"/>
      <c r="U3745"/>
      <c r="V3745"/>
      <c r="W3745"/>
      <c r="X3745"/>
      <c r="Y3745"/>
      <c r="Z3745"/>
      <c r="AA3745"/>
      <c r="AB3745"/>
      <c r="AC3745"/>
      <c r="AD3745"/>
    </row>
    <row r="3746" spans="2:30" x14ac:dyDescent="0.25">
      <c r="B3746"/>
      <c r="C3746"/>
      <c r="D3746"/>
      <c r="E3746" s="3"/>
      <c r="F3746" s="3"/>
      <c r="G3746"/>
      <c r="H3746"/>
      <c r="I3746"/>
      <c r="J3746"/>
      <c r="K3746"/>
      <c r="L3746"/>
      <c r="M3746"/>
      <c r="N3746"/>
      <c r="O3746"/>
      <c r="P3746"/>
      <c r="Q3746"/>
      <c r="R3746"/>
      <c r="S3746"/>
      <c r="T3746"/>
      <c r="U3746"/>
      <c r="V3746"/>
      <c r="W3746"/>
      <c r="X3746"/>
      <c r="Y3746"/>
      <c r="Z3746"/>
      <c r="AA3746"/>
      <c r="AB3746"/>
      <c r="AC3746"/>
      <c r="AD3746"/>
    </row>
    <row r="3747" spans="2:30" x14ac:dyDescent="0.25">
      <c r="B3747"/>
      <c r="C3747"/>
      <c r="D3747"/>
      <c r="E3747" s="3"/>
      <c r="F3747" s="3"/>
      <c r="G3747"/>
      <c r="H3747"/>
      <c r="I3747"/>
      <c r="J3747"/>
      <c r="K3747"/>
      <c r="L3747"/>
      <c r="M3747"/>
      <c r="N3747"/>
      <c r="O3747"/>
      <c r="P3747"/>
      <c r="Q3747"/>
      <c r="R3747"/>
      <c r="S3747"/>
      <c r="T3747"/>
      <c r="U3747"/>
      <c r="V3747"/>
      <c r="W3747"/>
      <c r="X3747"/>
      <c r="Y3747"/>
      <c r="Z3747"/>
      <c r="AA3747"/>
      <c r="AB3747"/>
      <c r="AC3747"/>
      <c r="AD3747"/>
    </row>
    <row r="3748" spans="2:30" x14ac:dyDescent="0.25">
      <c r="B3748"/>
      <c r="C3748"/>
      <c r="D3748"/>
      <c r="E3748" s="3"/>
      <c r="F3748" s="3"/>
      <c r="G3748"/>
      <c r="H3748"/>
      <c r="I3748"/>
      <c r="J3748"/>
      <c r="K3748"/>
      <c r="L3748"/>
      <c r="M3748"/>
      <c r="N3748"/>
      <c r="O3748"/>
      <c r="P3748"/>
      <c r="Q3748"/>
      <c r="R3748"/>
      <c r="S3748"/>
      <c r="T3748"/>
      <c r="U3748"/>
      <c r="V3748"/>
      <c r="W3748"/>
      <c r="X3748"/>
      <c r="Y3748"/>
      <c r="Z3748"/>
      <c r="AA3748"/>
      <c r="AB3748"/>
      <c r="AC3748"/>
      <c r="AD3748"/>
    </row>
    <row r="3749" spans="2:30" x14ac:dyDescent="0.25">
      <c r="B3749"/>
      <c r="C3749"/>
      <c r="D3749"/>
      <c r="E3749" s="3"/>
      <c r="F3749" s="3"/>
      <c r="G3749"/>
      <c r="H3749"/>
      <c r="I3749"/>
      <c r="J3749"/>
      <c r="K3749"/>
      <c r="L3749"/>
      <c r="M3749"/>
      <c r="N3749"/>
      <c r="O3749"/>
      <c r="P3749"/>
      <c r="Q3749"/>
      <c r="R3749"/>
      <c r="S3749"/>
      <c r="T3749"/>
      <c r="U3749"/>
      <c r="V3749"/>
      <c r="W3749"/>
      <c r="X3749"/>
      <c r="Y3749"/>
      <c r="Z3749"/>
      <c r="AA3749"/>
      <c r="AB3749"/>
      <c r="AC3749"/>
      <c r="AD3749"/>
    </row>
    <row r="3750" spans="2:30" x14ac:dyDescent="0.25">
      <c r="B3750"/>
      <c r="C3750"/>
      <c r="D3750"/>
      <c r="E3750" s="3"/>
      <c r="F3750" s="3"/>
      <c r="G3750"/>
      <c r="H3750"/>
      <c r="I3750"/>
      <c r="J3750"/>
      <c r="K3750"/>
      <c r="L3750"/>
      <c r="M3750"/>
      <c r="N3750"/>
      <c r="O3750"/>
      <c r="P3750"/>
      <c r="Q3750"/>
      <c r="R3750"/>
      <c r="S3750"/>
      <c r="T3750"/>
      <c r="U3750"/>
      <c r="V3750"/>
      <c r="W3750"/>
      <c r="X3750"/>
      <c r="Y3750"/>
      <c r="Z3750"/>
      <c r="AA3750"/>
      <c r="AB3750"/>
      <c r="AC3750"/>
      <c r="AD3750"/>
    </row>
    <row r="3751" spans="2:30" x14ac:dyDescent="0.25">
      <c r="B3751"/>
      <c r="C3751"/>
      <c r="D3751"/>
      <c r="E3751" s="3"/>
      <c r="F3751" s="3"/>
      <c r="G3751"/>
      <c r="H3751"/>
      <c r="I3751"/>
      <c r="J3751"/>
      <c r="K3751"/>
      <c r="L3751"/>
      <c r="M3751"/>
      <c r="N3751"/>
      <c r="O3751"/>
      <c r="P3751"/>
      <c r="Q3751"/>
      <c r="R3751"/>
      <c r="S3751"/>
      <c r="T3751"/>
      <c r="U3751"/>
      <c r="V3751"/>
      <c r="W3751"/>
      <c r="X3751"/>
      <c r="Y3751"/>
      <c r="Z3751"/>
      <c r="AA3751"/>
      <c r="AB3751"/>
      <c r="AC3751"/>
      <c r="AD3751"/>
    </row>
    <row r="3752" spans="2:30" x14ac:dyDescent="0.25">
      <c r="B3752"/>
      <c r="C3752"/>
      <c r="D3752"/>
      <c r="E3752" s="3"/>
      <c r="F3752" s="3"/>
      <c r="G3752"/>
      <c r="H3752"/>
      <c r="I3752"/>
      <c r="J3752"/>
      <c r="K3752"/>
      <c r="L3752"/>
      <c r="M3752"/>
      <c r="N3752"/>
      <c r="O3752"/>
      <c r="P3752"/>
      <c r="Q3752"/>
      <c r="R3752"/>
      <c r="S3752"/>
      <c r="T3752"/>
      <c r="U3752"/>
      <c r="V3752"/>
      <c r="W3752"/>
      <c r="X3752"/>
      <c r="Y3752"/>
      <c r="Z3752"/>
      <c r="AA3752"/>
      <c r="AB3752"/>
      <c r="AC3752"/>
      <c r="AD3752"/>
    </row>
    <row r="3753" spans="2:30" x14ac:dyDescent="0.25">
      <c r="B3753"/>
      <c r="C3753"/>
      <c r="D3753"/>
      <c r="E3753" s="3"/>
      <c r="F3753" s="3"/>
      <c r="G3753"/>
      <c r="H3753"/>
      <c r="I3753"/>
      <c r="J3753"/>
      <c r="K3753"/>
      <c r="L3753"/>
      <c r="M3753"/>
      <c r="N3753"/>
      <c r="O3753"/>
      <c r="P3753"/>
      <c r="Q3753"/>
      <c r="R3753"/>
      <c r="S3753"/>
      <c r="T3753"/>
      <c r="U3753"/>
      <c r="V3753"/>
      <c r="W3753"/>
      <c r="X3753"/>
      <c r="Y3753"/>
      <c r="Z3753"/>
      <c r="AA3753"/>
      <c r="AB3753"/>
      <c r="AC3753"/>
      <c r="AD3753"/>
    </row>
    <row r="3754" spans="2:30" x14ac:dyDescent="0.25">
      <c r="B3754"/>
      <c r="C3754"/>
      <c r="D3754"/>
      <c r="E3754" s="3"/>
      <c r="F3754" s="3"/>
      <c r="G3754"/>
      <c r="H3754"/>
      <c r="I3754"/>
      <c r="J3754"/>
      <c r="K3754"/>
      <c r="L3754"/>
      <c r="M3754"/>
      <c r="N3754"/>
      <c r="O3754"/>
      <c r="P3754"/>
      <c r="Q3754"/>
      <c r="R3754"/>
      <c r="S3754"/>
      <c r="T3754"/>
      <c r="U3754"/>
      <c r="V3754"/>
      <c r="W3754"/>
      <c r="X3754"/>
      <c r="Y3754"/>
      <c r="Z3754"/>
      <c r="AA3754"/>
      <c r="AB3754"/>
      <c r="AC3754"/>
      <c r="AD3754"/>
    </row>
    <row r="3755" spans="2:30" x14ac:dyDescent="0.25">
      <c r="B3755"/>
      <c r="C3755"/>
      <c r="D3755"/>
      <c r="E3755" s="3"/>
      <c r="F3755" s="3"/>
      <c r="G3755"/>
      <c r="H3755"/>
      <c r="I3755"/>
      <c r="J3755"/>
      <c r="K3755"/>
      <c r="L3755"/>
      <c r="M3755"/>
      <c r="N3755"/>
      <c r="O3755"/>
      <c r="P3755"/>
      <c r="Q3755"/>
      <c r="R3755"/>
      <c r="S3755"/>
      <c r="T3755"/>
      <c r="U3755"/>
      <c r="V3755"/>
      <c r="W3755"/>
      <c r="X3755"/>
      <c r="Y3755"/>
      <c r="Z3755"/>
      <c r="AA3755"/>
      <c r="AB3755"/>
      <c r="AC3755"/>
      <c r="AD3755"/>
    </row>
    <row r="3756" spans="2:30" x14ac:dyDescent="0.25">
      <c r="B3756"/>
      <c r="C3756"/>
      <c r="D3756"/>
      <c r="E3756" s="3"/>
      <c r="F3756" s="3"/>
      <c r="G3756"/>
      <c r="H3756"/>
      <c r="I3756"/>
      <c r="J3756"/>
      <c r="K3756"/>
      <c r="L3756"/>
      <c r="M3756"/>
      <c r="N3756"/>
      <c r="O3756"/>
      <c r="P3756"/>
      <c r="Q3756"/>
      <c r="R3756"/>
      <c r="S3756"/>
      <c r="T3756"/>
      <c r="U3756"/>
      <c r="V3756"/>
      <c r="W3756"/>
      <c r="X3756"/>
      <c r="Y3756"/>
      <c r="Z3756"/>
      <c r="AA3756"/>
      <c r="AB3756"/>
      <c r="AC3756"/>
      <c r="AD3756"/>
    </row>
    <row r="3757" spans="2:30" x14ac:dyDescent="0.25">
      <c r="B3757"/>
      <c r="C3757"/>
      <c r="D3757"/>
      <c r="E3757" s="3"/>
      <c r="F3757" s="3"/>
      <c r="G3757"/>
      <c r="H3757"/>
      <c r="I3757"/>
      <c r="J3757"/>
      <c r="K3757"/>
      <c r="L3757"/>
      <c r="M3757"/>
      <c r="N3757"/>
      <c r="O3757"/>
      <c r="P3757"/>
      <c r="Q3757"/>
      <c r="R3757"/>
      <c r="S3757"/>
      <c r="T3757"/>
      <c r="U3757"/>
      <c r="V3757"/>
      <c r="W3757"/>
      <c r="X3757"/>
      <c r="Y3757"/>
      <c r="Z3757"/>
      <c r="AA3757"/>
      <c r="AB3757"/>
      <c r="AC3757"/>
      <c r="AD3757"/>
    </row>
    <row r="3758" spans="2:30" x14ac:dyDescent="0.25">
      <c r="B3758"/>
      <c r="C3758"/>
      <c r="D3758"/>
      <c r="E3758" s="3"/>
      <c r="F3758" s="3"/>
      <c r="G3758"/>
      <c r="H3758"/>
      <c r="I3758"/>
      <c r="J3758"/>
      <c r="K3758"/>
      <c r="L3758"/>
      <c r="M3758"/>
      <c r="N3758"/>
      <c r="O3758"/>
      <c r="P3758"/>
      <c r="Q3758"/>
      <c r="R3758"/>
      <c r="S3758"/>
      <c r="T3758"/>
      <c r="U3758"/>
      <c r="V3758"/>
      <c r="W3758"/>
      <c r="X3758"/>
      <c r="Y3758"/>
      <c r="Z3758"/>
      <c r="AA3758"/>
      <c r="AB3758"/>
      <c r="AC3758"/>
      <c r="AD3758"/>
    </row>
    <row r="3759" spans="2:30" x14ac:dyDescent="0.25">
      <c r="B3759"/>
      <c r="C3759"/>
      <c r="D3759"/>
      <c r="E3759" s="3"/>
      <c r="F3759" s="3"/>
      <c r="G3759"/>
      <c r="H3759"/>
      <c r="I3759"/>
      <c r="J3759"/>
      <c r="K3759"/>
      <c r="L3759"/>
      <c r="M3759"/>
      <c r="N3759"/>
      <c r="O3759"/>
      <c r="P3759"/>
      <c r="Q3759"/>
      <c r="R3759"/>
      <c r="S3759"/>
      <c r="T3759"/>
      <c r="U3759"/>
      <c r="V3759"/>
      <c r="W3759"/>
      <c r="X3759"/>
      <c r="Y3759"/>
      <c r="Z3759"/>
      <c r="AA3759"/>
      <c r="AB3759"/>
      <c r="AC3759"/>
      <c r="AD3759"/>
    </row>
    <row r="3760" spans="2:30" x14ac:dyDescent="0.25">
      <c r="B3760"/>
      <c r="C3760"/>
      <c r="D3760"/>
      <c r="E3760" s="3"/>
      <c r="F3760" s="3"/>
      <c r="G3760"/>
      <c r="H3760"/>
      <c r="I3760"/>
      <c r="J3760"/>
      <c r="K3760"/>
      <c r="L3760"/>
      <c r="M3760"/>
      <c r="N3760"/>
      <c r="O3760"/>
      <c r="P3760"/>
      <c r="Q3760"/>
      <c r="R3760"/>
      <c r="S3760"/>
      <c r="T3760"/>
      <c r="U3760"/>
      <c r="V3760"/>
      <c r="W3760"/>
      <c r="X3760"/>
      <c r="Y3760"/>
      <c r="Z3760"/>
      <c r="AA3760"/>
      <c r="AB3760"/>
      <c r="AC3760"/>
      <c r="AD3760"/>
    </row>
    <row r="3761" spans="2:30" x14ac:dyDescent="0.25">
      <c r="B3761"/>
      <c r="C3761"/>
      <c r="D3761"/>
      <c r="E3761" s="3"/>
      <c r="F3761" s="3"/>
      <c r="G3761"/>
      <c r="H3761"/>
      <c r="I3761"/>
      <c r="J3761"/>
      <c r="K3761"/>
      <c r="L3761"/>
      <c r="M3761"/>
      <c r="N3761"/>
      <c r="O3761"/>
      <c r="P3761"/>
      <c r="Q3761"/>
      <c r="R3761"/>
      <c r="S3761"/>
      <c r="T3761"/>
      <c r="U3761"/>
      <c r="V3761"/>
      <c r="W3761"/>
      <c r="X3761"/>
      <c r="Y3761"/>
      <c r="Z3761"/>
      <c r="AA3761"/>
      <c r="AB3761"/>
      <c r="AC3761"/>
      <c r="AD3761"/>
    </row>
    <row r="3762" spans="2:30" x14ac:dyDescent="0.25">
      <c r="B3762"/>
      <c r="C3762"/>
      <c r="D3762"/>
      <c r="E3762" s="3"/>
      <c r="F3762" s="3"/>
      <c r="G3762"/>
      <c r="H3762"/>
      <c r="I3762"/>
      <c r="J3762"/>
      <c r="K3762"/>
      <c r="L3762"/>
      <c r="M3762"/>
      <c r="N3762"/>
      <c r="O3762"/>
      <c r="P3762"/>
      <c r="Q3762"/>
      <c r="R3762"/>
      <c r="S3762"/>
      <c r="T3762"/>
      <c r="U3762"/>
      <c r="V3762"/>
      <c r="W3762"/>
      <c r="X3762"/>
      <c r="Y3762"/>
      <c r="Z3762"/>
      <c r="AA3762"/>
      <c r="AB3762"/>
      <c r="AC3762"/>
      <c r="AD3762"/>
    </row>
    <row r="3763" spans="2:30" x14ac:dyDescent="0.25">
      <c r="B3763"/>
      <c r="C3763"/>
      <c r="D3763"/>
      <c r="E3763" s="3"/>
      <c r="F3763" s="3"/>
      <c r="G3763"/>
      <c r="H3763"/>
      <c r="I3763"/>
      <c r="J3763"/>
      <c r="K3763"/>
      <c r="L3763"/>
      <c r="M3763"/>
      <c r="N3763"/>
      <c r="O3763"/>
      <c r="P3763"/>
      <c r="Q3763"/>
      <c r="R3763"/>
      <c r="S3763"/>
      <c r="T3763"/>
      <c r="U3763"/>
      <c r="V3763"/>
      <c r="W3763"/>
      <c r="X3763"/>
      <c r="Y3763"/>
      <c r="Z3763"/>
      <c r="AA3763"/>
      <c r="AB3763"/>
      <c r="AC3763"/>
      <c r="AD3763"/>
    </row>
    <row r="3764" spans="2:30" x14ac:dyDescent="0.25">
      <c r="B3764"/>
      <c r="C3764"/>
      <c r="D3764"/>
      <c r="E3764" s="3"/>
      <c r="F3764" s="3"/>
      <c r="G3764"/>
      <c r="H3764"/>
      <c r="I3764"/>
      <c r="J3764"/>
      <c r="K3764"/>
      <c r="L3764"/>
      <c r="M3764"/>
      <c r="N3764"/>
      <c r="O3764"/>
      <c r="P3764"/>
      <c r="Q3764"/>
      <c r="R3764"/>
      <c r="S3764"/>
      <c r="T3764"/>
      <c r="U3764"/>
      <c r="V3764"/>
      <c r="W3764"/>
      <c r="X3764"/>
      <c r="Y3764"/>
      <c r="Z3764"/>
      <c r="AA3764"/>
      <c r="AB3764"/>
      <c r="AC3764"/>
      <c r="AD3764"/>
    </row>
    <row r="3765" spans="2:30" x14ac:dyDescent="0.25">
      <c r="B3765"/>
      <c r="C3765"/>
      <c r="D3765"/>
      <c r="E3765" s="3"/>
      <c r="F3765" s="3"/>
      <c r="G3765"/>
      <c r="H3765"/>
      <c r="I3765"/>
      <c r="J3765"/>
      <c r="K3765"/>
      <c r="L3765"/>
      <c r="M3765"/>
      <c r="N3765"/>
      <c r="O3765"/>
      <c r="P3765"/>
      <c r="Q3765"/>
      <c r="R3765"/>
      <c r="S3765"/>
      <c r="T3765"/>
      <c r="U3765"/>
      <c r="V3765"/>
      <c r="W3765"/>
      <c r="X3765"/>
      <c r="Y3765"/>
      <c r="Z3765"/>
      <c r="AA3765"/>
      <c r="AB3765"/>
      <c r="AC3765"/>
      <c r="AD3765"/>
    </row>
    <row r="3766" spans="2:30" x14ac:dyDescent="0.25">
      <c r="B3766"/>
      <c r="C3766"/>
      <c r="D3766"/>
      <c r="E3766" s="3"/>
      <c r="F3766" s="3"/>
      <c r="G3766"/>
      <c r="H3766"/>
      <c r="I3766"/>
      <c r="J3766"/>
      <c r="K3766"/>
      <c r="L3766"/>
      <c r="M3766"/>
      <c r="N3766"/>
      <c r="O3766"/>
      <c r="P3766"/>
      <c r="Q3766"/>
      <c r="R3766"/>
      <c r="S3766"/>
      <c r="T3766"/>
      <c r="U3766"/>
      <c r="V3766"/>
      <c r="W3766"/>
      <c r="X3766"/>
      <c r="Y3766"/>
      <c r="Z3766"/>
      <c r="AA3766"/>
      <c r="AB3766"/>
      <c r="AC3766"/>
      <c r="AD3766"/>
    </row>
    <row r="3767" spans="2:30" x14ac:dyDescent="0.25">
      <c r="B3767"/>
      <c r="C3767"/>
      <c r="D3767"/>
      <c r="E3767" s="3"/>
      <c r="F3767" s="3"/>
      <c r="G3767"/>
      <c r="H3767"/>
      <c r="I3767"/>
      <c r="J3767"/>
      <c r="K3767"/>
      <c r="L3767"/>
      <c r="M3767"/>
      <c r="N3767"/>
      <c r="O3767"/>
      <c r="P3767"/>
      <c r="Q3767"/>
      <c r="R3767"/>
      <c r="S3767"/>
      <c r="T3767"/>
      <c r="U3767"/>
      <c r="V3767"/>
      <c r="W3767"/>
      <c r="X3767"/>
      <c r="Y3767"/>
      <c r="Z3767"/>
      <c r="AA3767"/>
      <c r="AB3767"/>
      <c r="AC3767"/>
      <c r="AD3767"/>
    </row>
    <row r="3768" spans="2:30" x14ac:dyDescent="0.25">
      <c r="B3768"/>
      <c r="C3768"/>
      <c r="D3768"/>
      <c r="E3768" s="3"/>
      <c r="F3768" s="3"/>
      <c r="G3768"/>
      <c r="H3768"/>
      <c r="I3768"/>
      <c r="J3768"/>
      <c r="K3768"/>
      <c r="L3768"/>
      <c r="M3768"/>
      <c r="N3768"/>
      <c r="O3768"/>
      <c r="P3768"/>
      <c r="Q3768"/>
      <c r="R3768"/>
      <c r="S3768"/>
      <c r="T3768"/>
      <c r="U3768"/>
      <c r="V3768"/>
      <c r="W3768"/>
      <c r="X3768"/>
      <c r="Y3768"/>
      <c r="Z3768"/>
      <c r="AA3768"/>
      <c r="AB3768"/>
      <c r="AC3768"/>
      <c r="AD3768"/>
    </row>
    <row r="3769" spans="2:30" x14ac:dyDescent="0.25">
      <c r="B3769"/>
      <c r="C3769"/>
      <c r="D3769"/>
      <c r="E3769" s="3"/>
      <c r="F3769" s="3"/>
      <c r="G3769"/>
      <c r="H3769"/>
      <c r="I3769"/>
      <c r="J3769"/>
      <c r="K3769"/>
      <c r="L3769"/>
      <c r="M3769"/>
      <c r="N3769"/>
      <c r="O3769"/>
      <c r="P3769"/>
      <c r="Q3769"/>
      <c r="R3769"/>
      <c r="S3769"/>
      <c r="T3769"/>
      <c r="U3769"/>
      <c r="V3769"/>
      <c r="W3769"/>
      <c r="X3769"/>
      <c r="Y3769"/>
      <c r="Z3769"/>
      <c r="AA3769"/>
      <c r="AB3769"/>
      <c r="AC3769"/>
      <c r="AD3769"/>
    </row>
    <row r="3770" spans="2:30" x14ac:dyDescent="0.25">
      <c r="B3770"/>
      <c r="C3770"/>
      <c r="D3770"/>
      <c r="E3770" s="3"/>
      <c r="F3770" s="3"/>
      <c r="G3770"/>
      <c r="H3770"/>
      <c r="I3770"/>
      <c r="J3770"/>
      <c r="K3770"/>
      <c r="L3770"/>
      <c r="M3770"/>
      <c r="N3770"/>
      <c r="O3770"/>
      <c r="P3770"/>
      <c r="Q3770"/>
      <c r="R3770"/>
      <c r="S3770"/>
      <c r="T3770"/>
      <c r="U3770"/>
      <c r="V3770"/>
      <c r="W3770"/>
      <c r="X3770"/>
      <c r="Y3770"/>
      <c r="Z3770"/>
      <c r="AA3770"/>
      <c r="AB3770"/>
      <c r="AC3770"/>
      <c r="AD3770"/>
    </row>
    <row r="3771" spans="2:30" x14ac:dyDescent="0.25">
      <c r="B3771"/>
      <c r="C3771"/>
      <c r="D3771"/>
      <c r="E3771" s="3"/>
      <c r="F3771" s="3"/>
      <c r="G3771"/>
      <c r="H3771"/>
      <c r="I3771"/>
      <c r="J3771"/>
      <c r="K3771"/>
      <c r="L3771"/>
      <c r="M3771"/>
      <c r="N3771"/>
      <c r="O3771"/>
      <c r="P3771"/>
      <c r="Q3771"/>
      <c r="R3771"/>
      <c r="S3771"/>
      <c r="T3771"/>
      <c r="U3771"/>
      <c r="V3771"/>
      <c r="W3771"/>
      <c r="X3771"/>
      <c r="Y3771"/>
      <c r="Z3771"/>
      <c r="AA3771"/>
      <c r="AB3771"/>
      <c r="AC3771"/>
      <c r="AD3771"/>
    </row>
    <row r="3772" spans="2:30" x14ac:dyDescent="0.25">
      <c r="B3772"/>
      <c r="C3772"/>
      <c r="D3772"/>
      <c r="E3772" s="3"/>
      <c r="F3772" s="3"/>
      <c r="G3772"/>
      <c r="H3772"/>
      <c r="I3772"/>
      <c r="J3772"/>
      <c r="K3772"/>
      <c r="L3772"/>
      <c r="M3772"/>
      <c r="N3772"/>
      <c r="O3772"/>
      <c r="P3772"/>
      <c r="Q3772"/>
      <c r="R3772"/>
      <c r="S3772"/>
      <c r="T3772"/>
      <c r="U3772"/>
      <c r="V3772"/>
      <c r="W3772"/>
      <c r="X3772"/>
      <c r="Y3772"/>
      <c r="Z3772"/>
      <c r="AA3772"/>
      <c r="AB3772"/>
      <c r="AC3772"/>
      <c r="AD3772"/>
    </row>
    <row r="3773" spans="2:30" x14ac:dyDescent="0.25">
      <c r="B3773"/>
      <c r="C3773"/>
      <c r="D3773"/>
      <c r="E3773" s="3"/>
      <c r="F3773" s="3"/>
      <c r="G3773"/>
      <c r="H3773"/>
      <c r="I3773"/>
      <c r="J3773"/>
      <c r="K3773"/>
      <c r="L3773"/>
      <c r="M3773"/>
      <c r="N3773"/>
      <c r="O3773"/>
      <c r="P3773"/>
      <c r="Q3773"/>
      <c r="R3773"/>
      <c r="S3773"/>
      <c r="T3773"/>
      <c r="U3773"/>
      <c r="V3773"/>
      <c r="W3773"/>
      <c r="X3773"/>
      <c r="Y3773"/>
      <c r="Z3773"/>
      <c r="AA3773"/>
      <c r="AB3773"/>
      <c r="AC3773"/>
      <c r="AD3773"/>
    </row>
    <row r="3774" spans="2:30" x14ac:dyDescent="0.25">
      <c r="B3774"/>
      <c r="C3774"/>
      <c r="D3774"/>
      <c r="E3774" s="3"/>
      <c r="F3774" s="3"/>
      <c r="G3774"/>
      <c r="H3774"/>
      <c r="I3774"/>
      <c r="J3774"/>
      <c r="K3774"/>
      <c r="L3774"/>
      <c r="M3774"/>
      <c r="N3774"/>
      <c r="O3774"/>
      <c r="P3774"/>
      <c r="Q3774"/>
      <c r="R3774"/>
      <c r="S3774"/>
      <c r="T3774"/>
      <c r="U3774"/>
      <c r="V3774"/>
      <c r="W3774"/>
      <c r="X3774"/>
      <c r="Y3774"/>
      <c r="Z3774"/>
      <c r="AA3774"/>
      <c r="AB3774"/>
      <c r="AC3774"/>
      <c r="AD3774"/>
    </row>
    <row r="3775" spans="2:30" x14ac:dyDescent="0.25">
      <c r="B3775"/>
      <c r="C3775"/>
      <c r="D3775"/>
      <c r="E3775" s="3"/>
      <c r="F3775" s="3"/>
      <c r="G3775"/>
      <c r="H3775"/>
      <c r="I3775"/>
      <c r="J3775"/>
      <c r="K3775"/>
      <c r="L3775"/>
      <c r="M3775"/>
      <c r="N3775"/>
      <c r="O3775"/>
      <c r="P3775"/>
      <c r="Q3775"/>
      <c r="R3775"/>
      <c r="S3775"/>
      <c r="T3775"/>
      <c r="U3775"/>
      <c r="V3775"/>
      <c r="W3775"/>
      <c r="X3775"/>
      <c r="Y3775"/>
      <c r="Z3775"/>
      <c r="AA3775"/>
      <c r="AB3775"/>
      <c r="AC3775"/>
      <c r="AD3775"/>
    </row>
    <row r="3776" spans="2:30" x14ac:dyDescent="0.25">
      <c r="B3776"/>
      <c r="C3776"/>
      <c r="D3776"/>
      <c r="E3776" s="3"/>
      <c r="F3776" s="3"/>
      <c r="G3776"/>
      <c r="H3776"/>
      <c r="I3776"/>
      <c r="J3776"/>
      <c r="K3776"/>
      <c r="L3776"/>
      <c r="M3776"/>
      <c r="N3776"/>
      <c r="O3776"/>
      <c r="P3776"/>
      <c r="Q3776"/>
      <c r="R3776"/>
      <c r="S3776"/>
      <c r="T3776"/>
      <c r="U3776"/>
      <c r="V3776"/>
      <c r="W3776"/>
      <c r="X3776"/>
      <c r="Y3776"/>
      <c r="Z3776"/>
      <c r="AA3776"/>
      <c r="AB3776"/>
      <c r="AC3776"/>
      <c r="AD3776"/>
    </row>
    <row r="3777" spans="2:30" x14ac:dyDescent="0.25">
      <c r="B3777"/>
      <c r="C3777"/>
      <c r="D3777"/>
      <c r="E3777" s="3"/>
      <c r="F3777" s="3"/>
      <c r="G3777"/>
      <c r="H3777"/>
      <c r="I3777"/>
      <c r="J3777"/>
      <c r="K3777"/>
      <c r="L3777"/>
      <c r="M3777"/>
      <c r="N3777"/>
      <c r="O3777"/>
      <c r="P3777"/>
      <c r="Q3777"/>
      <c r="R3777"/>
      <c r="S3777"/>
      <c r="T3777"/>
      <c r="U3777"/>
      <c r="V3777"/>
      <c r="W3777"/>
      <c r="X3777"/>
      <c r="Y3777"/>
      <c r="Z3777"/>
      <c r="AA3777"/>
      <c r="AB3777"/>
      <c r="AC3777"/>
      <c r="AD3777"/>
    </row>
    <row r="3778" spans="2:30" x14ac:dyDescent="0.25">
      <c r="B3778"/>
      <c r="C3778"/>
      <c r="D3778"/>
      <c r="E3778" s="3"/>
      <c r="F3778" s="3"/>
      <c r="G3778"/>
      <c r="H3778"/>
      <c r="I3778"/>
      <c r="J3778"/>
      <c r="K3778"/>
      <c r="L3778"/>
      <c r="M3778"/>
      <c r="N3778"/>
      <c r="O3778"/>
      <c r="P3778"/>
      <c r="Q3778"/>
      <c r="R3778"/>
      <c r="S3778"/>
      <c r="T3778"/>
      <c r="U3778"/>
      <c r="V3778"/>
      <c r="W3778"/>
      <c r="X3778"/>
      <c r="Y3778"/>
      <c r="Z3778"/>
      <c r="AA3778"/>
      <c r="AB3778"/>
      <c r="AC3778"/>
      <c r="AD3778"/>
    </row>
    <row r="3779" spans="2:30" x14ac:dyDescent="0.25">
      <c r="B3779"/>
      <c r="C3779"/>
      <c r="D3779"/>
      <c r="E3779" s="3"/>
      <c r="F3779" s="3"/>
      <c r="G3779"/>
      <c r="H3779"/>
      <c r="I3779"/>
      <c r="J3779"/>
      <c r="K3779"/>
      <c r="L3779"/>
      <c r="M3779"/>
      <c r="N3779"/>
      <c r="O3779"/>
      <c r="P3779"/>
      <c r="Q3779"/>
      <c r="R3779"/>
      <c r="S3779"/>
      <c r="T3779"/>
      <c r="U3779"/>
      <c r="V3779"/>
      <c r="W3779"/>
      <c r="X3779"/>
      <c r="Y3779"/>
      <c r="Z3779"/>
      <c r="AA3779"/>
      <c r="AB3779"/>
      <c r="AC3779"/>
      <c r="AD3779"/>
    </row>
    <row r="3780" spans="2:30" x14ac:dyDescent="0.25">
      <c r="B3780"/>
      <c r="C3780"/>
      <c r="D3780"/>
      <c r="E3780" s="3"/>
      <c r="F3780" s="3"/>
      <c r="G3780"/>
      <c r="H3780"/>
      <c r="I3780"/>
      <c r="J3780"/>
      <c r="K3780"/>
      <c r="L3780"/>
      <c r="M3780"/>
      <c r="N3780"/>
      <c r="O3780"/>
      <c r="P3780"/>
      <c r="Q3780"/>
      <c r="R3780"/>
      <c r="S3780"/>
      <c r="T3780"/>
      <c r="U3780"/>
      <c r="V3780"/>
      <c r="W3780"/>
      <c r="X3780"/>
      <c r="Y3780"/>
      <c r="Z3780"/>
      <c r="AA3780"/>
      <c r="AB3780"/>
      <c r="AC3780"/>
      <c r="AD3780"/>
    </row>
    <row r="3781" spans="2:30" x14ac:dyDescent="0.25">
      <c r="B3781"/>
      <c r="C3781"/>
      <c r="D3781"/>
      <c r="E3781" s="3"/>
      <c r="F3781" s="3"/>
      <c r="G3781"/>
      <c r="H3781"/>
      <c r="I3781"/>
      <c r="J3781"/>
      <c r="K3781"/>
      <c r="L3781"/>
      <c r="M3781"/>
      <c r="N3781"/>
      <c r="O3781"/>
      <c r="P3781"/>
      <c r="Q3781"/>
      <c r="R3781"/>
      <c r="S3781"/>
      <c r="T3781"/>
      <c r="U3781"/>
      <c r="V3781"/>
      <c r="W3781"/>
      <c r="X3781"/>
      <c r="Y3781"/>
      <c r="Z3781"/>
      <c r="AA3781"/>
      <c r="AB3781"/>
      <c r="AC3781"/>
      <c r="AD3781"/>
    </row>
    <row r="3782" spans="2:30" x14ac:dyDescent="0.25">
      <c r="B3782"/>
      <c r="C3782"/>
      <c r="D3782"/>
      <c r="E3782" s="3"/>
      <c r="F3782" s="3"/>
      <c r="G3782"/>
      <c r="H3782"/>
      <c r="I3782"/>
      <c r="J3782"/>
      <c r="K3782"/>
      <c r="L3782"/>
      <c r="M3782"/>
      <c r="N3782"/>
      <c r="O3782"/>
      <c r="P3782"/>
      <c r="Q3782"/>
      <c r="R3782"/>
      <c r="S3782"/>
      <c r="T3782"/>
      <c r="U3782"/>
      <c r="V3782"/>
      <c r="W3782"/>
      <c r="X3782"/>
      <c r="Y3782"/>
      <c r="Z3782"/>
      <c r="AA3782"/>
      <c r="AB3782"/>
      <c r="AC3782"/>
      <c r="AD3782"/>
    </row>
    <row r="3783" spans="2:30" x14ac:dyDescent="0.25">
      <c r="B3783"/>
      <c r="C3783"/>
      <c r="D3783"/>
      <c r="E3783" s="3"/>
      <c r="F3783" s="3"/>
      <c r="G3783"/>
      <c r="H3783"/>
      <c r="I3783"/>
      <c r="J3783"/>
      <c r="K3783"/>
      <c r="L3783"/>
      <c r="M3783"/>
      <c r="N3783"/>
      <c r="O3783"/>
      <c r="P3783"/>
      <c r="Q3783"/>
      <c r="R3783"/>
      <c r="S3783"/>
      <c r="T3783"/>
      <c r="U3783"/>
      <c r="V3783"/>
      <c r="W3783"/>
      <c r="X3783"/>
      <c r="Y3783"/>
      <c r="Z3783"/>
      <c r="AA3783"/>
      <c r="AB3783"/>
      <c r="AC3783"/>
      <c r="AD3783"/>
    </row>
    <row r="3784" spans="2:30" x14ac:dyDescent="0.25">
      <c r="B3784"/>
      <c r="C3784"/>
      <c r="D3784"/>
      <c r="E3784" s="3"/>
      <c r="F3784" s="3"/>
      <c r="G3784"/>
      <c r="H3784"/>
      <c r="I3784"/>
      <c r="J3784"/>
      <c r="K3784"/>
      <c r="L3784"/>
      <c r="M3784"/>
      <c r="N3784"/>
      <c r="O3784"/>
      <c r="P3784"/>
      <c r="Q3784"/>
      <c r="R3784"/>
      <c r="S3784"/>
      <c r="T3784"/>
      <c r="U3784"/>
      <c r="V3784"/>
      <c r="W3784"/>
      <c r="X3784"/>
      <c r="Y3784"/>
      <c r="Z3784"/>
      <c r="AA3784"/>
      <c r="AB3784"/>
      <c r="AC3784"/>
      <c r="AD3784"/>
    </row>
    <row r="3785" spans="2:30" x14ac:dyDescent="0.25">
      <c r="B3785"/>
      <c r="C3785"/>
      <c r="D3785"/>
      <c r="E3785" s="3"/>
      <c r="F3785" s="3"/>
      <c r="G3785"/>
      <c r="H3785"/>
      <c r="I3785"/>
      <c r="J3785"/>
      <c r="K3785"/>
      <c r="L3785"/>
      <c r="M3785"/>
      <c r="N3785"/>
      <c r="O3785"/>
      <c r="P3785"/>
      <c r="Q3785"/>
      <c r="R3785"/>
      <c r="S3785"/>
      <c r="T3785"/>
      <c r="U3785"/>
      <c r="V3785"/>
      <c r="W3785"/>
      <c r="X3785"/>
      <c r="Y3785"/>
      <c r="Z3785"/>
      <c r="AA3785"/>
      <c r="AB3785"/>
      <c r="AC3785"/>
      <c r="AD3785"/>
    </row>
    <row r="3786" spans="2:30" x14ac:dyDescent="0.25">
      <c r="B3786"/>
      <c r="C3786"/>
      <c r="D3786"/>
      <c r="E3786" s="3"/>
      <c r="F3786" s="3"/>
      <c r="G3786"/>
      <c r="H3786"/>
      <c r="I3786"/>
      <c r="J3786"/>
      <c r="K3786"/>
      <c r="L3786"/>
      <c r="M3786"/>
      <c r="N3786"/>
      <c r="O3786"/>
      <c r="P3786"/>
      <c r="Q3786"/>
      <c r="R3786"/>
      <c r="S3786"/>
      <c r="T3786"/>
      <c r="U3786"/>
      <c r="V3786"/>
      <c r="W3786"/>
      <c r="X3786"/>
      <c r="Y3786"/>
      <c r="Z3786"/>
      <c r="AA3786"/>
      <c r="AB3786"/>
      <c r="AC3786"/>
      <c r="AD3786"/>
    </row>
    <row r="3787" spans="2:30" x14ac:dyDescent="0.25">
      <c r="B3787"/>
      <c r="C3787"/>
      <c r="D3787"/>
      <c r="E3787" s="3"/>
      <c r="F3787" s="3"/>
      <c r="G3787"/>
      <c r="H3787"/>
      <c r="I3787"/>
      <c r="J3787"/>
      <c r="K3787"/>
      <c r="L3787"/>
      <c r="M3787"/>
      <c r="N3787"/>
      <c r="O3787"/>
      <c r="P3787"/>
      <c r="Q3787"/>
      <c r="R3787"/>
      <c r="S3787"/>
      <c r="T3787"/>
      <c r="U3787"/>
      <c r="V3787"/>
      <c r="W3787"/>
      <c r="X3787"/>
      <c r="Y3787"/>
      <c r="Z3787"/>
      <c r="AA3787"/>
      <c r="AB3787"/>
      <c r="AC3787"/>
      <c r="AD3787"/>
    </row>
    <row r="3788" spans="2:30" x14ac:dyDescent="0.25">
      <c r="B3788"/>
      <c r="C3788"/>
      <c r="D3788"/>
      <c r="E3788" s="3"/>
      <c r="F3788" s="3"/>
      <c r="G3788"/>
      <c r="H3788"/>
      <c r="I3788"/>
      <c r="J3788"/>
      <c r="K3788"/>
      <c r="L3788"/>
      <c r="M3788"/>
      <c r="N3788"/>
      <c r="O3788"/>
      <c r="P3788"/>
      <c r="Q3788"/>
      <c r="R3788"/>
      <c r="S3788"/>
      <c r="T3788"/>
      <c r="U3788"/>
      <c r="V3788"/>
      <c r="W3788"/>
      <c r="X3788"/>
      <c r="Y3788"/>
      <c r="Z3788"/>
      <c r="AA3788"/>
      <c r="AB3788"/>
      <c r="AC3788"/>
      <c r="AD3788"/>
    </row>
    <row r="3789" spans="2:30" x14ac:dyDescent="0.25">
      <c r="B3789"/>
      <c r="C3789"/>
      <c r="D3789"/>
      <c r="E3789" s="3"/>
      <c r="F3789" s="3"/>
      <c r="G3789"/>
      <c r="H3789"/>
      <c r="I3789"/>
      <c r="J3789"/>
      <c r="K3789"/>
      <c r="L3789"/>
      <c r="M3789"/>
      <c r="N3789"/>
      <c r="O3789"/>
      <c r="P3789"/>
      <c r="Q3789"/>
      <c r="R3789"/>
      <c r="S3789"/>
      <c r="T3789"/>
      <c r="U3789"/>
      <c r="V3789"/>
      <c r="W3789"/>
      <c r="X3789"/>
      <c r="Y3789"/>
      <c r="Z3789"/>
      <c r="AA3789"/>
      <c r="AB3789"/>
      <c r="AC3789"/>
      <c r="AD3789"/>
    </row>
    <row r="3790" spans="2:30" x14ac:dyDescent="0.25">
      <c r="B3790"/>
      <c r="C3790"/>
      <c r="D3790"/>
      <c r="E3790" s="3"/>
      <c r="F3790" s="3"/>
      <c r="G3790"/>
      <c r="H3790"/>
      <c r="I3790"/>
      <c r="J3790"/>
      <c r="K3790"/>
      <c r="L3790"/>
      <c r="M3790"/>
      <c r="N3790"/>
      <c r="O3790"/>
      <c r="P3790"/>
      <c r="Q3790"/>
      <c r="R3790"/>
      <c r="S3790"/>
      <c r="T3790"/>
      <c r="U3790"/>
      <c r="V3790"/>
      <c r="W3790"/>
      <c r="X3790"/>
      <c r="Y3790"/>
      <c r="Z3790"/>
      <c r="AA3790"/>
      <c r="AB3790"/>
      <c r="AC3790"/>
      <c r="AD3790"/>
    </row>
    <row r="3791" spans="2:30" x14ac:dyDescent="0.25">
      <c r="B3791"/>
      <c r="C3791"/>
      <c r="D3791"/>
      <c r="E3791" s="3"/>
      <c r="F3791" s="3"/>
      <c r="G3791"/>
      <c r="H3791"/>
      <c r="I3791"/>
      <c r="J3791"/>
      <c r="K3791"/>
      <c r="L3791"/>
      <c r="M3791"/>
      <c r="N3791"/>
      <c r="O3791"/>
      <c r="P3791"/>
      <c r="Q3791"/>
      <c r="R3791"/>
      <c r="S3791"/>
      <c r="T3791"/>
      <c r="U3791"/>
      <c r="V3791"/>
      <c r="W3791"/>
      <c r="X3791"/>
      <c r="Y3791"/>
      <c r="Z3791"/>
      <c r="AA3791"/>
      <c r="AB3791"/>
      <c r="AC3791"/>
      <c r="AD3791"/>
    </row>
    <row r="3792" spans="2:30" x14ac:dyDescent="0.25">
      <c r="B3792"/>
      <c r="C3792"/>
      <c r="D3792"/>
      <c r="E3792" s="3"/>
      <c r="F3792" s="3"/>
      <c r="G3792"/>
      <c r="H3792"/>
      <c r="I3792"/>
      <c r="J3792"/>
      <c r="K3792"/>
      <c r="L3792"/>
      <c r="M3792"/>
      <c r="N3792"/>
      <c r="O3792"/>
      <c r="P3792"/>
      <c r="Q3792"/>
      <c r="R3792"/>
      <c r="S3792"/>
      <c r="T3792"/>
      <c r="U3792"/>
      <c r="V3792"/>
      <c r="W3792"/>
      <c r="X3792"/>
      <c r="Y3792"/>
      <c r="Z3792"/>
      <c r="AA3792"/>
      <c r="AB3792"/>
      <c r="AC3792"/>
      <c r="AD3792"/>
    </row>
    <row r="3793" spans="2:30" x14ac:dyDescent="0.25">
      <c r="B3793"/>
      <c r="C3793"/>
      <c r="D3793"/>
      <c r="E3793" s="3"/>
      <c r="F3793" s="3"/>
      <c r="G3793"/>
      <c r="H3793"/>
      <c r="I3793"/>
      <c r="J3793"/>
      <c r="K3793"/>
      <c r="L3793"/>
      <c r="M3793"/>
      <c r="N3793"/>
      <c r="O3793"/>
      <c r="P3793"/>
      <c r="Q3793"/>
      <c r="R3793"/>
      <c r="S3793"/>
      <c r="T3793"/>
      <c r="U3793"/>
      <c r="V3793"/>
      <c r="W3793"/>
      <c r="X3793"/>
      <c r="Y3793"/>
      <c r="Z3793"/>
      <c r="AA3793"/>
      <c r="AB3793"/>
      <c r="AC3793"/>
      <c r="AD3793"/>
    </row>
    <row r="3794" spans="2:30" x14ac:dyDescent="0.25">
      <c r="B3794"/>
      <c r="C3794"/>
      <c r="D3794"/>
      <c r="E3794" s="3"/>
      <c r="F3794" s="3"/>
      <c r="G3794"/>
      <c r="H3794"/>
      <c r="I3794"/>
      <c r="J3794"/>
      <c r="K3794"/>
      <c r="L3794"/>
      <c r="M3794"/>
      <c r="N3794"/>
      <c r="O3794"/>
      <c r="P3794"/>
      <c r="Q3794"/>
      <c r="R3794"/>
      <c r="S3794"/>
      <c r="T3794"/>
      <c r="U3794"/>
      <c r="V3794"/>
      <c r="W3794"/>
      <c r="X3794"/>
      <c r="Y3794"/>
      <c r="Z3794"/>
      <c r="AA3794"/>
      <c r="AB3794"/>
      <c r="AC3794"/>
      <c r="AD3794"/>
    </row>
    <row r="3795" spans="2:30" x14ac:dyDescent="0.25">
      <c r="B3795"/>
      <c r="C3795"/>
      <c r="D3795"/>
      <c r="E3795" s="3"/>
      <c r="F3795" s="3"/>
      <c r="G3795"/>
      <c r="H3795"/>
      <c r="I3795"/>
      <c r="J3795"/>
      <c r="K3795"/>
      <c r="L3795"/>
      <c r="M3795"/>
      <c r="N3795"/>
      <c r="O3795"/>
      <c r="P3795"/>
      <c r="Q3795"/>
      <c r="R3795"/>
      <c r="S3795"/>
      <c r="T3795"/>
      <c r="U3795"/>
      <c r="V3795"/>
      <c r="W3795"/>
      <c r="X3795"/>
      <c r="Y3795"/>
      <c r="Z3795"/>
      <c r="AA3795"/>
      <c r="AB3795"/>
      <c r="AC3795"/>
      <c r="AD3795"/>
    </row>
    <row r="3796" spans="2:30" x14ac:dyDescent="0.25">
      <c r="B3796"/>
      <c r="C3796"/>
      <c r="D3796"/>
      <c r="E3796" s="3"/>
      <c r="F3796" s="3"/>
      <c r="G3796"/>
      <c r="H3796"/>
      <c r="I3796"/>
      <c r="J3796"/>
      <c r="K3796"/>
      <c r="L3796"/>
      <c r="M3796"/>
      <c r="N3796"/>
      <c r="O3796"/>
      <c r="P3796"/>
      <c r="Q3796"/>
      <c r="R3796"/>
      <c r="S3796"/>
      <c r="T3796"/>
      <c r="U3796"/>
      <c r="V3796"/>
      <c r="W3796"/>
      <c r="X3796"/>
      <c r="Y3796"/>
      <c r="Z3796"/>
      <c r="AA3796"/>
      <c r="AB3796"/>
      <c r="AC3796"/>
      <c r="AD3796"/>
    </row>
    <row r="3797" spans="2:30" x14ac:dyDescent="0.25">
      <c r="B3797"/>
      <c r="C3797"/>
      <c r="D3797"/>
      <c r="E3797" s="3"/>
      <c r="F3797" s="3"/>
      <c r="G3797"/>
      <c r="H3797"/>
      <c r="I3797"/>
      <c r="J3797"/>
      <c r="K3797"/>
      <c r="L3797"/>
      <c r="M3797"/>
      <c r="N3797"/>
      <c r="O3797"/>
      <c r="P3797"/>
      <c r="Q3797"/>
      <c r="R3797"/>
      <c r="S3797"/>
      <c r="T3797"/>
      <c r="U3797"/>
      <c r="V3797"/>
      <c r="W3797"/>
      <c r="X3797"/>
      <c r="Y3797"/>
      <c r="Z3797"/>
      <c r="AA3797"/>
      <c r="AB3797"/>
      <c r="AC3797"/>
      <c r="AD3797"/>
    </row>
    <row r="3798" spans="2:30" x14ac:dyDescent="0.25">
      <c r="B3798"/>
      <c r="C3798"/>
      <c r="D3798"/>
      <c r="E3798" s="3"/>
      <c r="F3798" s="3"/>
      <c r="G3798"/>
      <c r="H3798"/>
      <c r="I3798"/>
      <c r="J3798"/>
      <c r="K3798"/>
      <c r="L3798"/>
      <c r="M3798"/>
      <c r="N3798"/>
      <c r="O3798"/>
      <c r="P3798"/>
      <c r="Q3798"/>
      <c r="R3798"/>
      <c r="S3798"/>
      <c r="T3798"/>
      <c r="U3798"/>
      <c r="V3798"/>
      <c r="W3798"/>
      <c r="X3798"/>
      <c r="Y3798"/>
      <c r="Z3798"/>
      <c r="AA3798"/>
      <c r="AB3798"/>
      <c r="AC3798"/>
      <c r="AD3798"/>
    </row>
    <row r="3799" spans="2:30" x14ac:dyDescent="0.25">
      <c r="B3799"/>
      <c r="C3799"/>
      <c r="D3799"/>
      <c r="E3799" s="3"/>
      <c r="F3799" s="3"/>
      <c r="G3799"/>
      <c r="H3799"/>
      <c r="I3799"/>
      <c r="J3799"/>
      <c r="K3799"/>
      <c r="L3799"/>
      <c r="M3799"/>
      <c r="N3799"/>
      <c r="O3799"/>
      <c r="P3799"/>
      <c r="Q3799"/>
      <c r="R3799"/>
      <c r="S3799"/>
      <c r="T3799"/>
      <c r="U3799"/>
      <c r="V3799"/>
      <c r="W3799"/>
      <c r="X3799"/>
      <c r="Y3799"/>
      <c r="Z3799"/>
      <c r="AA3799"/>
      <c r="AB3799"/>
      <c r="AC3799"/>
      <c r="AD3799"/>
    </row>
    <row r="3800" spans="2:30" x14ac:dyDescent="0.25">
      <c r="B3800"/>
      <c r="C3800"/>
      <c r="D3800"/>
      <c r="E3800" s="3"/>
      <c r="F3800" s="3"/>
      <c r="G3800"/>
      <c r="H3800"/>
      <c r="I3800"/>
      <c r="J3800"/>
      <c r="K3800"/>
      <c r="L3800"/>
      <c r="M3800"/>
      <c r="N3800"/>
      <c r="O3800"/>
      <c r="P3800"/>
      <c r="Q3800"/>
      <c r="R3800"/>
      <c r="S3800"/>
      <c r="T3800"/>
      <c r="U3800"/>
      <c r="V3800"/>
      <c r="W3800"/>
      <c r="X3800"/>
      <c r="Y3800"/>
      <c r="Z3800"/>
      <c r="AA3800"/>
      <c r="AB3800"/>
      <c r="AC3800"/>
      <c r="AD3800"/>
    </row>
    <row r="3801" spans="2:30" x14ac:dyDescent="0.25">
      <c r="B3801"/>
      <c r="C3801"/>
      <c r="D3801"/>
      <c r="E3801" s="3"/>
      <c r="F3801" s="3"/>
      <c r="G3801"/>
      <c r="H3801"/>
      <c r="I3801"/>
      <c r="J3801"/>
      <c r="K3801"/>
      <c r="L3801"/>
      <c r="M3801"/>
      <c r="N3801"/>
      <c r="O3801"/>
      <c r="P3801"/>
      <c r="Q3801"/>
      <c r="R3801"/>
      <c r="S3801"/>
      <c r="T3801"/>
      <c r="U3801"/>
      <c r="V3801"/>
      <c r="W3801"/>
      <c r="X3801"/>
      <c r="Y3801"/>
      <c r="Z3801"/>
      <c r="AA3801"/>
      <c r="AB3801"/>
      <c r="AC3801"/>
      <c r="AD3801"/>
    </row>
    <row r="3802" spans="2:30" x14ac:dyDescent="0.25">
      <c r="B3802"/>
      <c r="C3802"/>
      <c r="D3802"/>
      <c r="E3802" s="3"/>
      <c r="F3802" s="3"/>
      <c r="G3802"/>
      <c r="H3802"/>
      <c r="I3802"/>
      <c r="J3802"/>
      <c r="K3802"/>
      <c r="L3802"/>
      <c r="M3802"/>
      <c r="N3802"/>
      <c r="O3802"/>
      <c r="P3802"/>
      <c r="Q3802"/>
      <c r="R3802"/>
      <c r="S3802"/>
      <c r="T3802"/>
      <c r="U3802"/>
      <c r="V3802"/>
      <c r="W3802"/>
      <c r="X3802"/>
      <c r="Y3802"/>
      <c r="Z3802"/>
      <c r="AA3802"/>
      <c r="AB3802"/>
      <c r="AC3802"/>
      <c r="AD3802"/>
    </row>
    <row r="3803" spans="2:30" x14ac:dyDescent="0.25">
      <c r="B3803"/>
      <c r="C3803"/>
      <c r="D3803"/>
      <c r="E3803" s="3"/>
      <c r="F3803" s="3"/>
      <c r="G3803"/>
      <c r="H3803"/>
      <c r="I3803"/>
      <c r="J3803"/>
      <c r="K3803"/>
      <c r="L3803"/>
      <c r="M3803"/>
      <c r="N3803"/>
      <c r="O3803"/>
      <c r="P3803"/>
      <c r="Q3803"/>
      <c r="R3803"/>
      <c r="S3803"/>
      <c r="T3803"/>
      <c r="U3803"/>
      <c r="V3803"/>
      <c r="W3803"/>
      <c r="X3803"/>
      <c r="Y3803"/>
      <c r="Z3803"/>
      <c r="AA3803"/>
      <c r="AB3803"/>
      <c r="AC3803"/>
      <c r="AD3803"/>
    </row>
    <row r="3804" spans="2:30" x14ac:dyDescent="0.25">
      <c r="B3804"/>
      <c r="C3804"/>
      <c r="D3804"/>
      <c r="E3804" s="3"/>
      <c r="F3804" s="3"/>
      <c r="G3804"/>
      <c r="H3804"/>
      <c r="I3804"/>
      <c r="J3804"/>
      <c r="K3804"/>
      <c r="L3804"/>
      <c r="M3804"/>
      <c r="N3804"/>
      <c r="O3804"/>
      <c r="P3804"/>
      <c r="Q3804"/>
      <c r="R3804"/>
      <c r="S3804"/>
      <c r="T3804"/>
      <c r="U3804"/>
      <c r="V3804"/>
      <c r="W3804"/>
      <c r="X3804"/>
      <c r="Y3804"/>
      <c r="Z3804"/>
      <c r="AA3804"/>
      <c r="AB3804"/>
      <c r="AC3804"/>
      <c r="AD3804"/>
    </row>
    <row r="3805" spans="2:30" x14ac:dyDescent="0.25">
      <c r="B3805"/>
      <c r="C3805"/>
      <c r="D3805"/>
      <c r="E3805" s="3"/>
      <c r="F3805" s="3"/>
      <c r="G3805"/>
      <c r="H3805"/>
      <c r="I3805"/>
      <c r="J3805"/>
      <c r="K3805"/>
      <c r="L3805"/>
      <c r="M3805"/>
      <c r="N3805"/>
      <c r="O3805"/>
      <c r="P3805"/>
      <c r="Q3805"/>
      <c r="R3805"/>
      <c r="S3805"/>
      <c r="T3805"/>
      <c r="U3805"/>
      <c r="V3805"/>
      <c r="W3805"/>
      <c r="X3805"/>
      <c r="Y3805"/>
      <c r="Z3805"/>
      <c r="AA3805"/>
      <c r="AB3805"/>
      <c r="AC3805"/>
      <c r="AD3805"/>
    </row>
    <row r="3806" spans="2:30" x14ac:dyDescent="0.25">
      <c r="B3806"/>
      <c r="C3806"/>
      <c r="D3806"/>
      <c r="E3806" s="3"/>
      <c r="F3806" s="3"/>
      <c r="G3806"/>
      <c r="H3806"/>
      <c r="I3806"/>
      <c r="J3806"/>
      <c r="K3806"/>
      <c r="L3806"/>
      <c r="M3806"/>
      <c r="N3806"/>
      <c r="O3806"/>
      <c r="P3806"/>
      <c r="Q3806"/>
      <c r="R3806"/>
      <c r="S3806"/>
      <c r="T3806"/>
      <c r="U3806"/>
      <c r="V3806"/>
      <c r="W3806"/>
      <c r="X3806"/>
      <c r="Y3806"/>
      <c r="Z3806"/>
      <c r="AA3806"/>
      <c r="AB3806"/>
      <c r="AC3806"/>
      <c r="AD3806"/>
    </row>
    <row r="3807" spans="2:30" x14ac:dyDescent="0.25">
      <c r="B3807"/>
      <c r="C3807"/>
      <c r="D3807"/>
      <c r="E3807" s="3"/>
      <c r="F3807" s="3"/>
      <c r="G3807"/>
      <c r="H3807"/>
      <c r="I3807"/>
      <c r="J3807"/>
      <c r="K3807"/>
      <c r="L3807"/>
      <c r="M3807"/>
      <c r="N3807"/>
      <c r="O3807"/>
      <c r="P3807"/>
      <c r="Q3807"/>
      <c r="R3807"/>
      <c r="S3807"/>
      <c r="T3807"/>
      <c r="U3807"/>
      <c r="V3807"/>
      <c r="W3807"/>
      <c r="X3807"/>
      <c r="Y3807"/>
      <c r="Z3807"/>
      <c r="AA3807"/>
      <c r="AB3807"/>
      <c r="AC3807"/>
      <c r="AD3807"/>
    </row>
    <row r="3808" spans="2:30" x14ac:dyDescent="0.25">
      <c r="B3808"/>
      <c r="C3808"/>
      <c r="D3808"/>
      <c r="E3808" s="3"/>
      <c r="F3808" s="3"/>
      <c r="G3808"/>
      <c r="H3808"/>
      <c r="I3808"/>
      <c r="J3808"/>
      <c r="K3808"/>
      <c r="L3808"/>
      <c r="M3808"/>
      <c r="N3808"/>
      <c r="O3808"/>
      <c r="P3808"/>
      <c r="Q3808"/>
      <c r="R3808"/>
      <c r="S3808"/>
      <c r="T3808"/>
      <c r="U3808"/>
      <c r="V3808"/>
      <c r="W3808"/>
      <c r="X3808"/>
      <c r="Y3808"/>
      <c r="Z3808"/>
      <c r="AA3808"/>
      <c r="AB3808"/>
      <c r="AC3808"/>
      <c r="AD3808"/>
    </row>
    <row r="3809" spans="2:30" x14ac:dyDescent="0.25">
      <c r="B3809"/>
      <c r="C3809"/>
      <c r="D3809"/>
      <c r="E3809" s="3"/>
      <c r="F3809" s="3"/>
      <c r="G3809"/>
      <c r="H3809"/>
      <c r="I3809"/>
      <c r="J3809"/>
      <c r="K3809"/>
      <c r="L3809"/>
      <c r="M3809"/>
      <c r="N3809"/>
      <c r="O3809"/>
      <c r="P3809"/>
      <c r="Q3809"/>
      <c r="R3809"/>
      <c r="S3809"/>
      <c r="T3809"/>
      <c r="U3809"/>
      <c r="V3809"/>
      <c r="W3809"/>
      <c r="X3809"/>
      <c r="Y3809"/>
      <c r="Z3809"/>
      <c r="AA3809"/>
      <c r="AB3809"/>
      <c r="AC3809"/>
      <c r="AD3809"/>
    </row>
    <row r="3810" spans="2:30" x14ac:dyDescent="0.25">
      <c r="B3810"/>
      <c r="C3810"/>
      <c r="D3810"/>
      <c r="E3810" s="3"/>
      <c r="F3810" s="3"/>
      <c r="G3810"/>
      <c r="H3810"/>
      <c r="I3810"/>
      <c r="J3810"/>
      <c r="K3810"/>
      <c r="L3810"/>
      <c r="M3810"/>
      <c r="N3810"/>
      <c r="O3810"/>
      <c r="P3810"/>
      <c r="Q3810"/>
      <c r="R3810"/>
      <c r="S3810"/>
      <c r="T3810"/>
      <c r="U3810"/>
      <c r="V3810"/>
      <c r="W3810"/>
      <c r="X3810"/>
      <c r="Y3810"/>
      <c r="Z3810"/>
      <c r="AA3810"/>
      <c r="AB3810"/>
      <c r="AC3810"/>
      <c r="AD3810"/>
    </row>
    <row r="3811" spans="2:30" x14ac:dyDescent="0.25">
      <c r="B3811"/>
      <c r="C3811"/>
      <c r="D3811"/>
      <c r="E3811" s="3"/>
      <c r="F3811" s="3"/>
      <c r="G3811"/>
      <c r="H3811"/>
      <c r="I3811"/>
      <c r="J3811"/>
      <c r="K3811"/>
      <c r="L3811"/>
      <c r="M3811"/>
      <c r="N3811"/>
      <c r="O3811"/>
      <c r="P3811"/>
      <c r="Q3811"/>
      <c r="R3811"/>
      <c r="S3811"/>
      <c r="T3811"/>
      <c r="U3811"/>
      <c r="V3811"/>
      <c r="W3811"/>
      <c r="X3811"/>
      <c r="Y3811"/>
      <c r="Z3811"/>
      <c r="AA3811"/>
      <c r="AB3811"/>
      <c r="AC3811"/>
      <c r="AD3811"/>
    </row>
    <row r="3812" spans="2:30" x14ac:dyDescent="0.25">
      <c r="B3812"/>
      <c r="C3812"/>
      <c r="D3812"/>
      <c r="E3812" s="3"/>
      <c r="F3812" s="3"/>
      <c r="G3812"/>
      <c r="H3812"/>
      <c r="I3812"/>
      <c r="J3812"/>
      <c r="K3812"/>
      <c r="L3812"/>
      <c r="M3812"/>
      <c r="N3812"/>
      <c r="O3812"/>
      <c r="P3812"/>
      <c r="Q3812"/>
      <c r="R3812"/>
      <c r="S3812"/>
      <c r="T3812"/>
      <c r="U3812"/>
      <c r="V3812"/>
      <c r="W3812"/>
      <c r="X3812"/>
      <c r="Y3812"/>
      <c r="Z3812"/>
      <c r="AA3812"/>
      <c r="AB3812"/>
      <c r="AC3812"/>
      <c r="AD3812"/>
    </row>
    <row r="3813" spans="2:30" x14ac:dyDescent="0.25">
      <c r="B3813"/>
      <c r="C3813"/>
      <c r="D3813"/>
      <c r="E3813" s="3"/>
      <c r="F3813" s="3"/>
      <c r="G3813"/>
      <c r="H3813"/>
      <c r="I3813"/>
      <c r="J3813"/>
      <c r="K3813"/>
      <c r="L3813"/>
      <c r="M3813"/>
      <c r="N3813"/>
      <c r="O3813"/>
      <c r="P3813"/>
      <c r="Q3813"/>
      <c r="R3813"/>
      <c r="S3813"/>
      <c r="T3813"/>
      <c r="U3813"/>
      <c r="V3813"/>
      <c r="W3813"/>
      <c r="X3813"/>
      <c r="Y3813"/>
      <c r="Z3813"/>
      <c r="AA3813"/>
      <c r="AB3813"/>
      <c r="AC3813"/>
      <c r="AD3813"/>
    </row>
    <row r="3814" spans="2:30" x14ac:dyDescent="0.25">
      <c r="B3814"/>
      <c r="C3814"/>
      <c r="D3814"/>
      <c r="E3814" s="3"/>
      <c r="F3814" s="3"/>
      <c r="G3814"/>
      <c r="H3814"/>
      <c r="I3814"/>
      <c r="J3814"/>
      <c r="K3814"/>
      <c r="L3814"/>
      <c r="M3814"/>
      <c r="N3814"/>
      <c r="O3814"/>
      <c r="P3814"/>
      <c r="Q3814"/>
      <c r="R3814"/>
      <c r="S3814"/>
      <c r="T3814"/>
      <c r="U3814"/>
      <c r="V3814"/>
      <c r="W3814"/>
      <c r="X3814"/>
      <c r="Y3814"/>
      <c r="Z3814"/>
      <c r="AA3814"/>
      <c r="AB3814"/>
      <c r="AC3814"/>
      <c r="AD3814"/>
    </row>
    <row r="3815" spans="2:30" x14ac:dyDescent="0.25">
      <c r="B3815"/>
      <c r="C3815"/>
      <c r="D3815"/>
      <c r="E3815" s="3"/>
      <c r="F3815" s="3"/>
      <c r="G3815"/>
      <c r="H3815"/>
      <c r="I3815"/>
      <c r="J3815"/>
      <c r="K3815"/>
      <c r="L3815"/>
      <c r="M3815"/>
      <c r="N3815"/>
      <c r="O3815"/>
      <c r="P3815"/>
      <c r="Q3815"/>
      <c r="R3815"/>
      <c r="S3815"/>
      <c r="T3815"/>
      <c r="U3815"/>
      <c r="V3815"/>
      <c r="W3815"/>
      <c r="X3815"/>
      <c r="Y3815"/>
      <c r="Z3815"/>
      <c r="AA3815"/>
      <c r="AB3815"/>
      <c r="AC3815"/>
      <c r="AD3815"/>
    </row>
    <row r="3816" spans="2:30" x14ac:dyDescent="0.25">
      <c r="B3816"/>
      <c r="C3816"/>
      <c r="D3816"/>
      <c r="E3816" s="3"/>
      <c r="F3816" s="3"/>
      <c r="G3816"/>
      <c r="H3816"/>
      <c r="I3816"/>
      <c r="J3816"/>
      <c r="K3816"/>
      <c r="L3816"/>
      <c r="M3816"/>
      <c r="N3816"/>
      <c r="O3816"/>
      <c r="P3816"/>
      <c r="Q3816"/>
      <c r="R3816"/>
      <c r="S3816"/>
      <c r="T3816"/>
      <c r="U3816"/>
      <c r="V3816"/>
      <c r="W3816"/>
      <c r="X3816"/>
      <c r="Y3816"/>
      <c r="Z3816"/>
      <c r="AA3816"/>
      <c r="AB3816"/>
      <c r="AC3816"/>
      <c r="AD3816"/>
    </row>
    <row r="3817" spans="2:30" x14ac:dyDescent="0.25">
      <c r="B3817"/>
      <c r="C3817"/>
      <c r="D3817"/>
      <c r="E3817" s="3"/>
      <c r="F3817" s="3"/>
      <c r="G3817"/>
      <c r="H3817"/>
      <c r="I3817"/>
      <c r="J3817"/>
      <c r="K3817"/>
      <c r="L3817"/>
      <c r="M3817"/>
      <c r="N3817"/>
      <c r="O3817"/>
      <c r="P3817"/>
      <c r="Q3817"/>
      <c r="R3817"/>
      <c r="S3817"/>
      <c r="T3817"/>
      <c r="U3817"/>
      <c r="V3817"/>
      <c r="W3817"/>
      <c r="X3817"/>
      <c r="Y3817"/>
      <c r="Z3817"/>
      <c r="AA3817"/>
      <c r="AB3817"/>
      <c r="AC3817"/>
      <c r="AD3817"/>
    </row>
    <row r="3818" spans="2:30" x14ac:dyDescent="0.25">
      <c r="B3818"/>
      <c r="C3818"/>
      <c r="D3818"/>
      <c r="E3818" s="3"/>
      <c r="F3818" s="3"/>
      <c r="G3818"/>
      <c r="H3818"/>
      <c r="I3818"/>
      <c r="J3818"/>
      <c r="K3818"/>
      <c r="L3818"/>
      <c r="M3818"/>
      <c r="N3818"/>
      <c r="O3818"/>
      <c r="P3818"/>
      <c r="Q3818"/>
      <c r="R3818"/>
      <c r="S3818"/>
      <c r="T3818"/>
      <c r="U3818"/>
      <c r="V3818"/>
      <c r="W3818"/>
      <c r="X3818"/>
      <c r="Y3818"/>
      <c r="Z3818"/>
      <c r="AA3818"/>
      <c r="AB3818"/>
      <c r="AC3818"/>
      <c r="AD3818"/>
    </row>
    <row r="3819" spans="2:30" x14ac:dyDescent="0.25">
      <c r="B3819"/>
      <c r="C3819"/>
      <c r="D3819"/>
      <c r="E3819" s="3"/>
      <c r="F3819" s="3"/>
      <c r="G3819"/>
      <c r="H3819"/>
      <c r="I3819"/>
      <c r="J3819"/>
      <c r="K3819"/>
      <c r="L3819"/>
      <c r="M3819"/>
      <c r="N3819"/>
      <c r="O3819"/>
      <c r="P3819"/>
      <c r="Q3819"/>
      <c r="R3819"/>
      <c r="S3819"/>
      <c r="T3819"/>
      <c r="U3819"/>
      <c r="V3819"/>
      <c r="W3819"/>
      <c r="X3819"/>
      <c r="Y3819"/>
      <c r="Z3819"/>
      <c r="AA3819"/>
      <c r="AB3819"/>
      <c r="AC3819"/>
      <c r="AD3819"/>
    </row>
    <row r="3820" spans="2:30" x14ac:dyDescent="0.25">
      <c r="B3820"/>
      <c r="C3820"/>
      <c r="D3820"/>
      <c r="E3820" s="3"/>
      <c r="F3820" s="3"/>
      <c r="G3820"/>
      <c r="H3820"/>
      <c r="I3820"/>
      <c r="J3820"/>
      <c r="K3820"/>
      <c r="L3820"/>
      <c r="M3820"/>
      <c r="N3820"/>
      <c r="O3820"/>
      <c r="P3820"/>
      <c r="Q3820"/>
      <c r="R3820"/>
      <c r="S3820"/>
      <c r="T3820"/>
      <c r="U3820"/>
      <c r="V3820"/>
      <c r="W3820"/>
      <c r="X3820"/>
      <c r="Y3820"/>
      <c r="Z3820"/>
      <c r="AA3820"/>
      <c r="AB3820"/>
      <c r="AC3820"/>
      <c r="AD3820"/>
    </row>
    <row r="3821" spans="2:30" x14ac:dyDescent="0.25">
      <c r="B3821"/>
      <c r="C3821"/>
      <c r="D3821"/>
      <c r="E3821" s="3"/>
      <c r="F3821" s="3"/>
      <c r="G3821"/>
      <c r="H3821"/>
      <c r="I3821"/>
      <c r="J3821"/>
      <c r="K3821"/>
      <c r="L3821"/>
      <c r="M3821"/>
      <c r="N3821"/>
      <c r="O3821"/>
      <c r="P3821"/>
      <c r="Q3821"/>
      <c r="R3821"/>
      <c r="S3821"/>
      <c r="T3821"/>
      <c r="U3821"/>
      <c r="V3821"/>
      <c r="W3821"/>
      <c r="X3821"/>
      <c r="Y3821"/>
      <c r="Z3821"/>
      <c r="AA3821"/>
      <c r="AB3821"/>
      <c r="AC3821"/>
      <c r="AD3821"/>
    </row>
    <row r="3822" spans="2:30" x14ac:dyDescent="0.25">
      <c r="B3822"/>
      <c r="C3822"/>
      <c r="D3822"/>
      <c r="E3822" s="3"/>
      <c r="F3822" s="3"/>
      <c r="G3822"/>
      <c r="H3822"/>
      <c r="I3822"/>
      <c r="J3822"/>
      <c r="K3822"/>
      <c r="L3822"/>
      <c r="M3822"/>
      <c r="N3822"/>
      <c r="O3822"/>
      <c r="P3822"/>
      <c r="Q3822"/>
      <c r="R3822"/>
      <c r="S3822"/>
      <c r="T3822"/>
      <c r="U3822"/>
      <c r="V3822"/>
      <c r="W3822"/>
      <c r="X3822"/>
      <c r="Y3822"/>
      <c r="Z3822"/>
      <c r="AA3822"/>
      <c r="AB3822"/>
      <c r="AC3822"/>
      <c r="AD3822"/>
    </row>
    <row r="3823" spans="2:30" x14ac:dyDescent="0.25">
      <c r="B3823"/>
      <c r="C3823"/>
      <c r="D3823"/>
      <c r="E3823" s="3"/>
      <c r="F3823" s="3"/>
      <c r="G3823"/>
      <c r="H3823"/>
      <c r="I3823"/>
      <c r="J3823"/>
      <c r="K3823"/>
      <c r="L3823"/>
      <c r="M3823"/>
      <c r="N3823"/>
      <c r="O3823"/>
      <c r="P3823"/>
      <c r="Q3823"/>
      <c r="R3823"/>
      <c r="S3823"/>
      <c r="T3823"/>
      <c r="U3823"/>
      <c r="V3823"/>
      <c r="W3823"/>
      <c r="X3823"/>
      <c r="Y3823"/>
      <c r="Z3823"/>
      <c r="AA3823"/>
      <c r="AB3823"/>
      <c r="AC3823"/>
      <c r="AD3823"/>
    </row>
    <row r="3824" spans="2:30" x14ac:dyDescent="0.25">
      <c r="B3824"/>
      <c r="C3824"/>
      <c r="D3824"/>
      <c r="E3824" s="3"/>
      <c r="F3824" s="3"/>
      <c r="G3824"/>
      <c r="H3824"/>
      <c r="I3824"/>
      <c r="J3824"/>
      <c r="K3824"/>
      <c r="L3824"/>
      <c r="M3824"/>
      <c r="N3824"/>
      <c r="O3824"/>
      <c r="P3824"/>
      <c r="Q3824"/>
      <c r="R3824"/>
      <c r="S3824"/>
      <c r="T3824"/>
      <c r="U3824"/>
      <c r="V3824"/>
      <c r="W3824"/>
      <c r="X3824"/>
      <c r="Y3824"/>
      <c r="Z3824"/>
      <c r="AA3824"/>
      <c r="AB3824"/>
      <c r="AC3824"/>
      <c r="AD3824"/>
    </row>
    <row r="3825" spans="2:30" x14ac:dyDescent="0.25">
      <c r="B3825"/>
      <c r="C3825"/>
      <c r="D3825"/>
      <c r="E3825" s="3"/>
      <c r="F3825" s="3"/>
      <c r="G3825"/>
      <c r="H3825"/>
      <c r="I3825"/>
      <c r="J3825"/>
      <c r="K3825"/>
      <c r="L3825"/>
      <c r="M3825"/>
      <c r="N3825"/>
      <c r="O3825"/>
      <c r="P3825"/>
      <c r="Q3825"/>
      <c r="R3825"/>
      <c r="S3825"/>
      <c r="T3825"/>
      <c r="U3825"/>
      <c r="V3825"/>
      <c r="W3825"/>
      <c r="X3825"/>
      <c r="Y3825"/>
      <c r="Z3825"/>
      <c r="AA3825"/>
      <c r="AB3825"/>
      <c r="AC3825"/>
      <c r="AD3825"/>
    </row>
    <row r="3826" spans="2:30" x14ac:dyDescent="0.25">
      <c r="B3826"/>
      <c r="C3826"/>
      <c r="D3826"/>
      <c r="E3826" s="3"/>
      <c r="F3826" s="3"/>
      <c r="G3826"/>
      <c r="H3826"/>
      <c r="I3826"/>
      <c r="J3826"/>
      <c r="K3826"/>
      <c r="L3826"/>
      <c r="M3826"/>
      <c r="N3826"/>
      <c r="O3826"/>
      <c r="P3826"/>
      <c r="Q3826"/>
      <c r="R3826"/>
      <c r="S3826"/>
      <c r="T3826"/>
      <c r="U3826"/>
      <c r="V3826"/>
      <c r="W3826"/>
      <c r="X3826"/>
      <c r="Y3826"/>
      <c r="Z3826"/>
      <c r="AA3826"/>
      <c r="AB3826"/>
      <c r="AC3826"/>
      <c r="AD3826"/>
    </row>
    <row r="3827" spans="2:30" x14ac:dyDescent="0.25">
      <c r="B3827"/>
      <c r="C3827"/>
      <c r="D3827"/>
      <c r="E3827" s="3"/>
      <c r="F3827" s="3"/>
      <c r="G3827"/>
      <c r="H3827"/>
      <c r="I3827"/>
      <c r="J3827"/>
      <c r="K3827"/>
      <c r="L3827"/>
      <c r="M3827"/>
      <c r="N3827"/>
      <c r="O3827"/>
      <c r="P3827"/>
      <c r="Q3827"/>
      <c r="R3827"/>
      <c r="S3827"/>
      <c r="T3827"/>
      <c r="U3827"/>
      <c r="V3827"/>
      <c r="W3827"/>
      <c r="X3827"/>
      <c r="Y3827"/>
      <c r="Z3827"/>
      <c r="AA3827"/>
      <c r="AB3827"/>
      <c r="AC3827"/>
      <c r="AD3827"/>
    </row>
    <row r="3828" spans="2:30" x14ac:dyDescent="0.25">
      <c r="B3828"/>
      <c r="C3828"/>
      <c r="D3828"/>
      <c r="E3828" s="3"/>
      <c r="F3828" s="3"/>
      <c r="G3828"/>
      <c r="H3828"/>
      <c r="I3828"/>
      <c r="J3828"/>
      <c r="K3828"/>
      <c r="L3828"/>
      <c r="M3828"/>
      <c r="N3828"/>
      <c r="O3828"/>
      <c r="P3828"/>
      <c r="Q3828"/>
      <c r="R3828"/>
      <c r="S3828"/>
      <c r="T3828"/>
      <c r="U3828"/>
      <c r="V3828"/>
      <c r="W3828"/>
      <c r="X3828"/>
      <c r="Y3828"/>
      <c r="Z3828"/>
      <c r="AA3828"/>
      <c r="AB3828"/>
      <c r="AC3828"/>
      <c r="AD3828"/>
    </row>
    <row r="3829" spans="2:30" x14ac:dyDescent="0.25">
      <c r="B3829"/>
      <c r="C3829"/>
      <c r="D3829"/>
      <c r="E3829" s="3"/>
      <c r="F3829" s="3"/>
      <c r="G3829"/>
      <c r="H3829"/>
      <c r="I3829"/>
      <c r="J3829"/>
      <c r="K3829"/>
      <c r="L3829"/>
      <c r="M3829"/>
      <c r="N3829"/>
      <c r="O3829"/>
      <c r="P3829"/>
      <c r="Q3829"/>
      <c r="R3829"/>
      <c r="S3829"/>
      <c r="T3829"/>
      <c r="U3829"/>
      <c r="V3829"/>
      <c r="W3829"/>
      <c r="X3829"/>
      <c r="Y3829"/>
      <c r="Z3829"/>
      <c r="AA3829"/>
      <c r="AB3829"/>
      <c r="AC3829"/>
      <c r="AD3829"/>
    </row>
    <row r="3830" spans="2:30" x14ac:dyDescent="0.25">
      <c r="B3830"/>
      <c r="C3830"/>
      <c r="D3830"/>
      <c r="E3830" s="3"/>
      <c r="F3830" s="3"/>
      <c r="G3830"/>
      <c r="H3830"/>
      <c r="I3830"/>
      <c r="J3830"/>
      <c r="K3830"/>
      <c r="L3830"/>
      <c r="M3830"/>
      <c r="N3830"/>
      <c r="O3830"/>
      <c r="P3830"/>
      <c r="Q3830"/>
      <c r="R3830"/>
      <c r="S3830"/>
      <c r="T3830"/>
      <c r="U3830"/>
      <c r="V3830"/>
      <c r="W3830"/>
      <c r="X3830"/>
      <c r="Y3830"/>
      <c r="Z3830"/>
      <c r="AA3830"/>
      <c r="AB3830"/>
      <c r="AC3830"/>
      <c r="AD3830"/>
    </row>
    <row r="3831" spans="2:30" x14ac:dyDescent="0.25">
      <c r="B3831"/>
      <c r="C3831"/>
      <c r="D3831"/>
      <c r="E3831" s="3"/>
      <c r="F3831" s="3"/>
      <c r="G3831"/>
      <c r="H3831"/>
      <c r="I3831"/>
      <c r="J3831"/>
      <c r="K3831"/>
      <c r="L3831"/>
      <c r="M3831"/>
      <c r="N3831"/>
      <c r="O3831"/>
      <c r="P3831"/>
      <c r="Q3831"/>
      <c r="R3831"/>
      <c r="S3831"/>
      <c r="T3831"/>
      <c r="U3831"/>
      <c r="V3831"/>
      <c r="W3831"/>
      <c r="X3831"/>
      <c r="Y3831"/>
      <c r="Z3831"/>
      <c r="AA3831"/>
      <c r="AB3831"/>
      <c r="AC3831"/>
      <c r="AD3831"/>
    </row>
    <row r="3832" spans="2:30" x14ac:dyDescent="0.25">
      <c r="B3832"/>
      <c r="C3832"/>
      <c r="D3832"/>
      <c r="E3832" s="3"/>
      <c r="F3832" s="3"/>
      <c r="G3832"/>
      <c r="H3832"/>
      <c r="I3832"/>
      <c r="J3832"/>
      <c r="K3832"/>
      <c r="L3832"/>
      <c r="M3832"/>
      <c r="N3832"/>
      <c r="O3832"/>
      <c r="P3832"/>
      <c r="Q3832"/>
      <c r="R3832"/>
      <c r="S3832"/>
      <c r="T3832"/>
      <c r="U3832"/>
      <c r="V3832"/>
      <c r="W3832"/>
      <c r="X3832"/>
      <c r="Y3832"/>
      <c r="Z3832"/>
      <c r="AA3832"/>
      <c r="AB3832"/>
      <c r="AC3832"/>
      <c r="AD3832"/>
    </row>
    <row r="3833" spans="2:30" x14ac:dyDescent="0.25">
      <c r="B3833"/>
      <c r="C3833"/>
      <c r="D3833"/>
      <c r="E3833" s="3"/>
      <c r="F3833" s="3"/>
      <c r="G3833"/>
      <c r="H3833"/>
      <c r="I3833"/>
      <c r="J3833"/>
      <c r="K3833"/>
      <c r="L3833"/>
      <c r="M3833"/>
      <c r="N3833"/>
      <c r="O3833"/>
      <c r="P3833"/>
      <c r="Q3833"/>
      <c r="R3833"/>
      <c r="S3833"/>
      <c r="T3833"/>
      <c r="U3833"/>
      <c r="V3833"/>
      <c r="W3833"/>
      <c r="X3833"/>
      <c r="Y3833"/>
      <c r="Z3833"/>
      <c r="AA3833"/>
      <c r="AB3833"/>
      <c r="AC3833"/>
      <c r="AD3833"/>
    </row>
    <row r="3834" spans="2:30" x14ac:dyDescent="0.25">
      <c r="B3834"/>
      <c r="C3834"/>
      <c r="D3834"/>
      <c r="E3834" s="3"/>
      <c r="F3834" s="3"/>
      <c r="G3834"/>
      <c r="H3834"/>
      <c r="I3834"/>
      <c r="J3834"/>
      <c r="K3834"/>
      <c r="L3834"/>
      <c r="M3834"/>
      <c r="N3834"/>
      <c r="O3834"/>
      <c r="P3834"/>
      <c r="Q3834"/>
      <c r="R3834"/>
      <c r="S3834"/>
      <c r="T3834"/>
      <c r="U3834"/>
      <c r="V3834"/>
      <c r="W3834"/>
      <c r="X3834"/>
      <c r="Y3834"/>
      <c r="Z3834"/>
      <c r="AA3834"/>
      <c r="AB3834"/>
      <c r="AC3834"/>
      <c r="AD3834"/>
    </row>
    <row r="3835" spans="2:30" x14ac:dyDescent="0.25">
      <c r="B3835"/>
      <c r="C3835"/>
      <c r="D3835"/>
      <c r="E3835" s="3"/>
      <c r="F3835" s="3"/>
      <c r="G3835"/>
      <c r="H3835"/>
      <c r="I3835"/>
      <c r="J3835"/>
      <c r="K3835"/>
      <c r="L3835"/>
      <c r="M3835"/>
      <c r="N3835"/>
      <c r="O3835"/>
      <c r="P3835"/>
      <c r="Q3835"/>
      <c r="R3835"/>
      <c r="S3835"/>
      <c r="T3835"/>
      <c r="U3835"/>
      <c r="V3835"/>
      <c r="W3835"/>
      <c r="X3835"/>
      <c r="Y3835"/>
      <c r="Z3835"/>
      <c r="AA3835"/>
      <c r="AB3835"/>
      <c r="AC3835"/>
      <c r="AD3835"/>
    </row>
    <row r="3836" spans="2:30" x14ac:dyDescent="0.25">
      <c r="B3836"/>
      <c r="C3836"/>
      <c r="D3836"/>
      <c r="E3836" s="3"/>
      <c r="F3836" s="3"/>
      <c r="G3836"/>
      <c r="H3836"/>
      <c r="I3836"/>
      <c r="J3836"/>
      <c r="K3836"/>
      <c r="L3836"/>
      <c r="M3836"/>
      <c r="N3836"/>
      <c r="O3836"/>
      <c r="P3836"/>
      <c r="Q3836"/>
      <c r="R3836"/>
      <c r="S3836"/>
      <c r="T3836"/>
      <c r="U3836"/>
      <c r="V3836"/>
      <c r="W3836"/>
      <c r="X3836"/>
      <c r="Y3836"/>
      <c r="Z3836"/>
      <c r="AA3836"/>
      <c r="AB3836"/>
      <c r="AC3836"/>
      <c r="AD3836"/>
    </row>
    <row r="3837" spans="2:30" x14ac:dyDescent="0.25">
      <c r="B3837"/>
      <c r="C3837"/>
      <c r="D3837"/>
      <c r="E3837" s="3"/>
      <c r="F3837" s="3"/>
      <c r="G3837"/>
      <c r="H3837"/>
      <c r="I3837"/>
      <c r="J3837"/>
      <c r="K3837"/>
      <c r="L3837"/>
      <c r="M3837"/>
      <c r="N3837"/>
      <c r="O3837"/>
      <c r="P3837"/>
      <c r="Q3837"/>
      <c r="R3837"/>
      <c r="S3837"/>
      <c r="T3837"/>
      <c r="U3837"/>
      <c r="V3837"/>
      <c r="W3837"/>
      <c r="X3837"/>
      <c r="Y3837"/>
      <c r="Z3837"/>
      <c r="AA3837"/>
      <c r="AB3837"/>
      <c r="AC3837"/>
      <c r="AD3837"/>
    </row>
    <row r="3838" spans="2:30" x14ac:dyDescent="0.25">
      <c r="B3838"/>
      <c r="C3838"/>
      <c r="D3838"/>
      <c r="E3838" s="3"/>
      <c r="F3838" s="3"/>
      <c r="G3838"/>
      <c r="H3838"/>
      <c r="I3838"/>
      <c r="J3838"/>
      <c r="K3838"/>
      <c r="L3838"/>
      <c r="M3838"/>
      <c r="N3838"/>
      <c r="O3838"/>
      <c r="P3838"/>
      <c r="Q3838"/>
      <c r="R3838"/>
      <c r="S3838"/>
      <c r="T3838"/>
      <c r="U3838"/>
      <c r="V3838"/>
      <c r="W3838"/>
      <c r="X3838"/>
      <c r="Y3838"/>
      <c r="Z3838"/>
      <c r="AA3838"/>
      <c r="AB3838"/>
      <c r="AC3838"/>
      <c r="AD3838"/>
    </row>
    <row r="3839" spans="2:30" x14ac:dyDescent="0.25">
      <c r="B3839"/>
      <c r="C3839"/>
      <c r="D3839"/>
      <c r="E3839" s="3"/>
      <c r="F3839" s="3"/>
      <c r="G3839"/>
      <c r="H3839"/>
      <c r="I3839"/>
      <c r="J3839"/>
      <c r="K3839"/>
      <c r="L3839"/>
      <c r="M3839"/>
      <c r="N3839"/>
      <c r="O3839"/>
      <c r="P3839"/>
      <c r="Q3839"/>
      <c r="R3839"/>
      <c r="S3839"/>
      <c r="T3839"/>
      <c r="U3839"/>
      <c r="V3839"/>
      <c r="W3839"/>
      <c r="X3839"/>
      <c r="Y3839"/>
      <c r="Z3839"/>
      <c r="AA3839"/>
      <c r="AB3839"/>
      <c r="AC3839"/>
      <c r="AD3839"/>
    </row>
    <row r="3840" spans="2:30" x14ac:dyDescent="0.25">
      <c r="B3840"/>
      <c r="C3840"/>
      <c r="D3840"/>
      <c r="E3840" s="3"/>
      <c r="F3840" s="3"/>
      <c r="G3840"/>
      <c r="H3840"/>
      <c r="I3840"/>
      <c r="J3840"/>
      <c r="K3840"/>
      <c r="L3840"/>
      <c r="M3840"/>
      <c r="N3840"/>
      <c r="O3840"/>
      <c r="P3840"/>
      <c r="Q3840"/>
      <c r="R3840"/>
      <c r="S3840"/>
      <c r="T3840"/>
      <c r="U3840"/>
      <c r="V3840"/>
      <c r="W3840"/>
      <c r="X3840"/>
      <c r="Y3840"/>
      <c r="Z3840"/>
      <c r="AA3840"/>
      <c r="AB3840"/>
      <c r="AC3840"/>
      <c r="AD3840"/>
    </row>
    <row r="3841" spans="2:30" x14ac:dyDescent="0.25">
      <c r="B3841"/>
      <c r="C3841"/>
      <c r="D3841"/>
      <c r="E3841" s="3"/>
      <c r="F3841" s="3"/>
      <c r="G3841"/>
      <c r="H3841"/>
      <c r="I3841"/>
      <c r="J3841"/>
      <c r="K3841"/>
      <c r="L3841"/>
      <c r="M3841"/>
      <c r="N3841"/>
      <c r="O3841"/>
      <c r="P3841"/>
      <c r="Q3841"/>
      <c r="R3841"/>
      <c r="S3841"/>
      <c r="T3841"/>
      <c r="U3841"/>
      <c r="V3841"/>
      <c r="W3841"/>
      <c r="X3841"/>
      <c r="Y3841"/>
      <c r="Z3841"/>
      <c r="AA3841"/>
      <c r="AB3841"/>
      <c r="AC3841"/>
      <c r="AD3841"/>
    </row>
    <row r="3842" spans="2:30" x14ac:dyDescent="0.25">
      <c r="B3842"/>
      <c r="C3842"/>
      <c r="D3842"/>
      <c r="E3842" s="3"/>
      <c r="F3842" s="3"/>
      <c r="G3842"/>
      <c r="H3842"/>
      <c r="I3842"/>
      <c r="J3842"/>
      <c r="K3842"/>
      <c r="L3842"/>
      <c r="M3842"/>
      <c r="N3842"/>
      <c r="O3842"/>
      <c r="P3842"/>
      <c r="Q3842"/>
      <c r="R3842"/>
      <c r="S3842"/>
      <c r="T3842"/>
      <c r="U3842"/>
      <c r="V3842"/>
      <c r="W3842"/>
      <c r="X3842"/>
      <c r="Y3842"/>
      <c r="Z3842"/>
      <c r="AA3842"/>
      <c r="AB3842"/>
      <c r="AC3842"/>
      <c r="AD3842"/>
    </row>
    <row r="3843" spans="2:30" x14ac:dyDescent="0.25">
      <c r="B3843"/>
      <c r="C3843"/>
      <c r="D3843"/>
      <c r="E3843" s="3"/>
      <c r="F3843" s="3"/>
      <c r="G3843"/>
      <c r="H3843"/>
      <c r="I3843"/>
      <c r="J3843"/>
      <c r="K3843"/>
      <c r="L3843"/>
      <c r="M3843"/>
      <c r="N3843"/>
      <c r="O3843"/>
      <c r="P3843"/>
      <c r="Q3843"/>
      <c r="R3843"/>
      <c r="S3843"/>
      <c r="T3843"/>
      <c r="U3843"/>
      <c r="V3843"/>
      <c r="W3843"/>
      <c r="X3843"/>
      <c r="Y3843"/>
      <c r="Z3843"/>
      <c r="AA3843"/>
      <c r="AB3843"/>
      <c r="AC3843"/>
      <c r="AD3843"/>
    </row>
    <row r="3844" spans="2:30" x14ac:dyDescent="0.25">
      <c r="B3844"/>
      <c r="C3844"/>
      <c r="D3844"/>
      <c r="E3844" s="3"/>
      <c r="F3844" s="3"/>
      <c r="G3844"/>
      <c r="H3844"/>
      <c r="I3844"/>
      <c r="J3844"/>
      <c r="K3844"/>
      <c r="L3844"/>
      <c r="M3844"/>
      <c r="N3844"/>
      <c r="O3844"/>
      <c r="P3844"/>
      <c r="Q3844"/>
      <c r="R3844"/>
      <c r="S3844"/>
      <c r="T3844"/>
      <c r="U3844"/>
      <c r="V3844"/>
      <c r="W3844"/>
      <c r="X3844"/>
      <c r="Y3844"/>
      <c r="Z3844"/>
      <c r="AA3844"/>
      <c r="AB3844"/>
      <c r="AC3844"/>
      <c r="AD3844"/>
    </row>
    <row r="3845" spans="2:30" x14ac:dyDescent="0.25">
      <c r="B3845"/>
      <c r="C3845"/>
      <c r="D3845"/>
      <c r="E3845" s="3"/>
      <c r="F3845" s="3"/>
      <c r="G3845"/>
      <c r="H3845"/>
      <c r="I3845"/>
      <c r="J3845"/>
      <c r="K3845"/>
      <c r="L3845"/>
      <c r="M3845"/>
      <c r="N3845"/>
      <c r="O3845"/>
      <c r="P3845"/>
      <c r="Q3845"/>
      <c r="R3845"/>
      <c r="S3845"/>
      <c r="T3845"/>
      <c r="U3845"/>
      <c r="V3845"/>
      <c r="W3845"/>
      <c r="X3845"/>
      <c r="Y3845"/>
      <c r="Z3845"/>
      <c r="AA3845"/>
      <c r="AB3845"/>
      <c r="AC3845"/>
      <c r="AD3845"/>
    </row>
    <row r="3846" spans="2:30" x14ac:dyDescent="0.25">
      <c r="B3846"/>
      <c r="C3846"/>
      <c r="D3846"/>
      <c r="E3846" s="3"/>
      <c r="F3846" s="3"/>
      <c r="G3846"/>
      <c r="H3846"/>
      <c r="I3846"/>
      <c r="J3846"/>
      <c r="K3846"/>
      <c r="L3846"/>
      <c r="M3846"/>
      <c r="N3846"/>
      <c r="O3846"/>
      <c r="P3846"/>
      <c r="Q3846"/>
      <c r="R3846"/>
      <c r="S3846"/>
      <c r="T3846"/>
      <c r="U3846"/>
      <c r="V3846"/>
      <c r="W3846"/>
      <c r="X3846"/>
      <c r="Y3846"/>
      <c r="Z3846"/>
      <c r="AA3846"/>
      <c r="AB3846"/>
      <c r="AC3846"/>
      <c r="AD3846"/>
    </row>
    <row r="3847" spans="2:30" x14ac:dyDescent="0.25">
      <c r="B3847"/>
      <c r="C3847"/>
      <c r="D3847"/>
      <c r="E3847" s="3"/>
      <c r="F3847" s="3"/>
      <c r="G3847"/>
      <c r="H3847"/>
      <c r="I3847"/>
      <c r="J3847"/>
      <c r="K3847"/>
      <c r="L3847"/>
      <c r="M3847"/>
      <c r="N3847"/>
      <c r="O3847"/>
      <c r="P3847"/>
      <c r="Q3847"/>
      <c r="R3847"/>
      <c r="S3847"/>
      <c r="T3847"/>
      <c r="U3847"/>
      <c r="V3847"/>
      <c r="W3847"/>
      <c r="X3847"/>
      <c r="Y3847"/>
      <c r="Z3847"/>
      <c r="AA3847"/>
      <c r="AB3847"/>
      <c r="AC3847"/>
      <c r="AD3847"/>
    </row>
    <row r="3848" spans="2:30" x14ac:dyDescent="0.25">
      <c r="B3848"/>
      <c r="C3848"/>
      <c r="D3848"/>
      <c r="E3848" s="3"/>
      <c r="F3848" s="3"/>
      <c r="G3848"/>
      <c r="H3848"/>
      <c r="I3848"/>
      <c r="J3848"/>
      <c r="K3848"/>
      <c r="L3848"/>
      <c r="M3848"/>
      <c r="N3848"/>
      <c r="O3848"/>
      <c r="P3848"/>
      <c r="Q3848"/>
      <c r="R3848"/>
      <c r="S3848"/>
      <c r="T3848"/>
      <c r="U3848"/>
      <c r="V3848"/>
      <c r="W3848"/>
      <c r="X3848"/>
      <c r="Y3848"/>
      <c r="Z3848"/>
      <c r="AA3848"/>
      <c r="AB3848"/>
      <c r="AC3848"/>
      <c r="AD3848"/>
    </row>
    <row r="3849" spans="2:30" x14ac:dyDescent="0.25">
      <c r="B3849"/>
      <c r="C3849"/>
      <c r="D3849"/>
      <c r="E3849" s="3"/>
      <c r="F3849" s="3"/>
      <c r="G3849"/>
      <c r="H3849"/>
      <c r="I3849"/>
      <c r="J3849"/>
      <c r="K3849"/>
      <c r="L3849"/>
      <c r="M3849"/>
      <c r="N3849"/>
      <c r="O3849"/>
      <c r="P3849"/>
      <c r="Q3849"/>
      <c r="R3849"/>
      <c r="S3849"/>
      <c r="T3849"/>
      <c r="U3849"/>
      <c r="V3849"/>
      <c r="W3849"/>
      <c r="X3849"/>
      <c r="Y3849"/>
      <c r="Z3849"/>
      <c r="AA3849"/>
      <c r="AB3849"/>
      <c r="AC3849"/>
      <c r="AD3849"/>
    </row>
    <row r="3850" spans="2:30" x14ac:dyDescent="0.25">
      <c r="B3850"/>
      <c r="C3850"/>
      <c r="D3850"/>
      <c r="E3850" s="3"/>
      <c r="F3850" s="3"/>
      <c r="G3850"/>
      <c r="H3850"/>
      <c r="I3850"/>
      <c r="J3850"/>
      <c r="K3850"/>
      <c r="L3850"/>
      <c r="M3850"/>
      <c r="N3850"/>
      <c r="O3850"/>
      <c r="P3850"/>
      <c r="Q3850"/>
      <c r="R3850"/>
      <c r="S3850"/>
      <c r="T3850"/>
      <c r="U3850"/>
      <c r="V3850"/>
      <c r="W3850"/>
      <c r="X3850"/>
      <c r="Y3850"/>
      <c r="Z3850"/>
      <c r="AA3850"/>
      <c r="AB3850"/>
      <c r="AC3850"/>
      <c r="AD3850"/>
    </row>
    <row r="3851" spans="2:30" x14ac:dyDescent="0.25">
      <c r="B3851"/>
      <c r="C3851"/>
      <c r="D3851"/>
      <c r="E3851" s="3"/>
      <c r="F3851" s="3"/>
      <c r="G3851"/>
      <c r="H3851"/>
      <c r="I3851"/>
      <c r="J3851"/>
      <c r="K3851"/>
      <c r="L3851"/>
      <c r="M3851"/>
      <c r="N3851"/>
      <c r="O3851"/>
      <c r="P3851"/>
      <c r="Q3851"/>
      <c r="R3851"/>
      <c r="S3851"/>
      <c r="T3851"/>
      <c r="U3851"/>
      <c r="V3851"/>
      <c r="W3851"/>
      <c r="X3851"/>
      <c r="Y3851"/>
      <c r="Z3851"/>
      <c r="AA3851"/>
      <c r="AB3851"/>
      <c r="AC3851"/>
      <c r="AD3851"/>
    </row>
    <row r="3852" spans="2:30" x14ac:dyDescent="0.25">
      <c r="B3852"/>
      <c r="C3852"/>
      <c r="D3852"/>
      <c r="E3852" s="3"/>
      <c r="F3852" s="3"/>
      <c r="G3852"/>
      <c r="H3852"/>
      <c r="I3852"/>
      <c r="J3852"/>
      <c r="K3852"/>
      <c r="L3852"/>
      <c r="M3852"/>
      <c r="N3852"/>
      <c r="O3852"/>
      <c r="P3852"/>
      <c r="Q3852"/>
      <c r="R3852"/>
      <c r="S3852"/>
      <c r="T3852"/>
      <c r="U3852"/>
      <c r="V3852"/>
      <c r="W3852"/>
      <c r="X3852"/>
      <c r="Y3852"/>
      <c r="Z3852"/>
      <c r="AA3852"/>
      <c r="AB3852"/>
      <c r="AC3852"/>
      <c r="AD3852"/>
    </row>
    <row r="3853" spans="2:30" x14ac:dyDescent="0.25">
      <c r="B3853"/>
      <c r="C3853"/>
      <c r="D3853"/>
      <c r="E3853" s="3"/>
      <c r="F3853" s="3"/>
      <c r="G3853"/>
      <c r="H3853"/>
      <c r="I3853"/>
      <c r="J3853"/>
      <c r="K3853"/>
      <c r="L3853"/>
      <c r="M3853"/>
      <c r="N3853"/>
      <c r="O3853"/>
      <c r="P3853"/>
      <c r="Q3853"/>
      <c r="R3853"/>
      <c r="S3853"/>
      <c r="T3853"/>
      <c r="U3853"/>
      <c r="V3853"/>
      <c r="W3853"/>
      <c r="X3853"/>
      <c r="Y3853"/>
      <c r="Z3853"/>
      <c r="AA3853"/>
      <c r="AB3853"/>
      <c r="AC3853"/>
      <c r="AD3853"/>
    </row>
    <row r="3854" spans="2:30" x14ac:dyDescent="0.25">
      <c r="B3854"/>
      <c r="C3854"/>
      <c r="D3854"/>
      <c r="E3854" s="3"/>
      <c r="F3854" s="3"/>
      <c r="G3854"/>
      <c r="H3854"/>
      <c r="I3854"/>
      <c r="J3854"/>
      <c r="K3854"/>
      <c r="L3854"/>
      <c r="M3854"/>
      <c r="N3854"/>
      <c r="O3854"/>
      <c r="P3854"/>
      <c r="Q3854"/>
      <c r="R3854"/>
      <c r="S3854"/>
      <c r="T3854"/>
      <c r="U3854"/>
      <c r="V3854"/>
      <c r="W3854"/>
      <c r="X3854"/>
      <c r="Y3854"/>
      <c r="Z3854"/>
      <c r="AA3854"/>
      <c r="AB3854"/>
      <c r="AC3854"/>
      <c r="AD3854"/>
    </row>
    <row r="3855" spans="2:30" x14ac:dyDescent="0.25">
      <c r="B3855"/>
      <c r="C3855"/>
      <c r="D3855"/>
      <c r="E3855" s="3"/>
      <c r="F3855" s="3"/>
      <c r="G3855"/>
      <c r="H3855"/>
      <c r="I3855"/>
      <c r="J3855"/>
      <c r="K3855"/>
      <c r="L3855"/>
      <c r="M3855"/>
      <c r="N3855"/>
      <c r="O3855"/>
      <c r="P3855"/>
      <c r="Q3855"/>
      <c r="R3855"/>
      <c r="S3855"/>
      <c r="T3855"/>
      <c r="U3855"/>
      <c r="V3855"/>
      <c r="W3855"/>
      <c r="X3855"/>
      <c r="Y3855"/>
      <c r="Z3855"/>
      <c r="AA3855"/>
      <c r="AB3855"/>
      <c r="AC3855"/>
      <c r="AD3855"/>
    </row>
    <row r="3856" spans="2:30" x14ac:dyDescent="0.25">
      <c r="B3856"/>
      <c r="C3856"/>
      <c r="D3856"/>
      <c r="E3856" s="3"/>
      <c r="F3856" s="3"/>
      <c r="G3856"/>
      <c r="H3856"/>
      <c r="I3856"/>
      <c r="J3856"/>
      <c r="K3856"/>
      <c r="L3856"/>
      <c r="M3856"/>
      <c r="N3856"/>
      <c r="O3856"/>
      <c r="P3856"/>
      <c r="Q3856"/>
      <c r="R3856"/>
      <c r="S3856"/>
      <c r="T3856"/>
      <c r="U3856"/>
      <c r="V3856"/>
      <c r="W3856"/>
      <c r="X3856"/>
      <c r="Y3856"/>
      <c r="Z3856"/>
      <c r="AA3856"/>
      <c r="AB3856"/>
      <c r="AC3856"/>
      <c r="AD3856"/>
    </row>
    <row r="3857" spans="2:30" x14ac:dyDescent="0.25">
      <c r="B3857"/>
      <c r="C3857"/>
      <c r="D3857"/>
      <c r="E3857" s="3"/>
      <c r="F3857" s="3"/>
      <c r="G3857"/>
      <c r="H3857"/>
      <c r="I3857"/>
      <c r="J3857"/>
      <c r="K3857"/>
      <c r="L3857"/>
      <c r="M3857"/>
      <c r="N3857"/>
      <c r="O3857"/>
      <c r="P3857"/>
      <c r="Q3857"/>
      <c r="R3857"/>
      <c r="S3857"/>
      <c r="T3857"/>
      <c r="U3857"/>
      <c r="V3857"/>
      <c r="W3857"/>
      <c r="X3857"/>
      <c r="Y3857"/>
      <c r="Z3857"/>
      <c r="AA3857"/>
      <c r="AB3857"/>
      <c r="AC3857"/>
      <c r="AD3857"/>
    </row>
    <row r="3858" spans="2:30" x14ac:dyDescent="0.25">
      <c r="B3858"/>
      <c r="C3858"/>
      <c r="D3858"/>
      <c r="E3858" s="3"/>
      <c r="F3858" s="3"/>
      <c r="G3858"/>
      <c r="H3858"/>
      <c r="I3858"/>
      <c r="J3858"/>
      <c r="K3858"/>
      <c r="L3858"/>
      <c r="M3858"/>
      <c r="N3858"/>
      <c r="O3858"/>
      <c r="P3858"/>
      <c r="Q3858"/>
      <c r="R3858"/>
      <c r="S3858"/>
      <c r="T3858"/>
      <c r="U3858"/>
      <c r="V3858"/>
      <c r="W3858"/>
      <c r="X3858"/>
      <c r="Y3858"/>
      <c r="Z3858"/>
      <c r="AA3858"/>
      <c r="AB3858"/>
      <c r="AC3858"/>
      <c r="AD3858"/>
    </row>
    <row r="3859" spans="2:30" x14ac:dyDescent="0.25">
      <c r="B3859"/>
      <c r="C3859"/>
      <c r="D3859"/>
      <c r="E3859" s="3"/>
      <c r="F3859" s="3"/>
      <c r="G3859"/>
      <c r="H3859"/>
      <c r="I3859"/>
      <c r="J3859"/>
      <c r="K3859"/>
      <c r="L3859"/>
      <c r="M3859"/>
      <c r="N3859"/>
      <c r="O3859"/>
      <c r="P3859"/>
      <c r="Q3859"/>
      <c r="R3859"/>
      <c r="S3859"/>
      <c r="T3859"/>
      <c r="U3859"/>
      <c r="V3859"/>
      <c r="W3859"/>
      <c r="X3859"/>
      <c r="Y3859"/>
      <c r="Z3859"/>
      <c r="AA3859"/>
      <c r="AB3859"/>
      <c r="AC3859"/>
      <c r="AD3859"/>
    </row>
    <row r="3860" spans="2:30" x14ac:dyDescent="0.25">
      <c r="B3860"/>
      <c r="C3860"/>
      <c r="D3860"/>
      <c r="E3860" s="3"/>
      <c r="F3860" s="3"/>
      <c r="G3860"/>
      <c r="H3860"/>
      <c r="I3860"/>
      <c r="J3860"/>
      <c r="K3860"/>
      <c r="L3860"/>
      <c r="M3860"/>
      <c r="N3860"/>
      <c r="O3860"/>
      <c r="P3860"/>
      <c r="Q3860"/>
      <c r="R3860"/>
      <c r="S3860"/>
      <c r="T3860"/>
      <c r="U3860"/>
      <c r="V3860"/>
      <c r="W3860"/>
      <c r="X3860"/>
      <c r="Y3860"/>
      <c r="Z3860"/>
      <c r="AA3860"/>
      <c r="AB3860"/>
      <c r="AC3860"/>
      <c r="AD3860"/>
    </row>
    <row r="3861" spans="2:30" x14ac:dyDescent="0.25">
      <c r="B3861"/>
      <c r="C3861"/>
      <c r="D3861"/>
      <c r="E3861" s="3"/>
      <c r="F3861" s="3"/>
      <c r="G3861"/>
      <c r="H3861"/>
      <c r="I3861"/>
      <c r="J3861"/>
      <c r="K3861"/>
      <c r="L3861"/>
      <c r="M3861"/>
      <c r="N3861"/>
      <c r="O3861"/>
      <c r="P3861"/>
      <c r="Q3861"/>
      <c r="R3861"/>
      <c r="S3861"/>
      <c r="T3861"/>
      <c r="U3861"/>
      <c r="V3861"/>
      <c r="W3861"/>
      <c r="X3861"/>
      <c r="Y3861"/>
      <c r="Z3861"/>
      <c r="AA3861"/>
      <c r="AB3861"/>
      <c r="AC3861"/>
      <c r="AD3861"/>
    </row>
    <row r="3862" spans="2:30" x14ac:dyDescent="0.25">
      <c r="B3862"/>
      <c r="C3862"/>
      <c r="D3862"/>
      <c r="E3862" s="3"/>
      <c r="F3862" s="3"/>
      <c r="G3862"/>
      <c r="H3862"/>
      <c r="I3862"/>
      <c r="J3862"/>
      <c r="K3862"/>
      <c r="L3862"/>
      <c r="M3862"/>
      <c r="N3862"/>
      <c r="O3862"/>
      <c r="P3862"/>
      <c r="Q3862"/>
      <c r="R3862"/>
      <c r="S3862"/>
      <c r="T3862"/>
      <c r="U3862"/>
      <c r="V3862"/>
      <c r="W3862"/>
      <c r="X3862"/>
      <c r="Y3862"/>
      <c r="Z3862"/>
      <c r="AA3862"/>
      <c r="AB3862"/>
      <c r="AC3862"/>
      <c r="AD3862"/>
    </row>
    <row r="3863" spans="2:30" x14ac:dyDescent="0.25">
      <c r="B3863"/>
      <c r="C3863"/>
      <c r="D3863"/>
      <c r="E3863" s="3"/>
      <c r="F3863" s="3"/>
      <c r="G3863"/>
      <c r="H3863"/>
      <c r="I3863"/>
      <c r="J3863"/>
      <c r="K3863"/>
      <c r="L3863"/>
      <c r="M3863"/>
      <c r="N3863"/>
      <c r="O3863"/>
      <c r="P3863"/>
      <c r="Q3863"/>
      <c r="R3863"/>
      <c r="S3863"/>
      <c r="T3863"/>
      <c r="U3863"/>
      <c r="V3863"/>
      <c r="W3863"/>
      <c r="X3863"/>
      <c r="Y3863"/>
      <c r="Z3863"/>
      <c r="AA3863"/>
      <c r="AB3863"/>
      <c r="AC3863"/>
      <c r="AD3863"/>
    </row>
    <row r="3864" spans="2:30" x14ac:dyDescent="0.25">
      <c r="B3864"/>
      <c r="C3864"/>
      <c r="D3864"/>
      <c r="E3864" s="3"/>
      <c r="F3864" s="3"/>
      <c r="G3864"/>
      <c r="H3864"/>
      <c r="I3864"/>
      <c r="J3864"/>
      <c r="K3864"/>
      <c r="L3864"/>
      <c r="M3864"/>
      <c r="N3864"/>
      <c r="O3864"/>
      <c r="P3864"/>
      <c r="Q3864"/>
      <c r="R3864"/>
      <c r="S3864"/>
      <c r="T3864"/>
      <c r="U3864"/>
      <c r="V3864"/>
      <c r="W3864"/>
      <c r="X3864"/>
      <c r="Y3864"/>
      <c r="Z3864"/>
      <c r="AA3864"/>
      <c r="AB3864"/>
      <c r="AC3864"/>
      <c r="AD3864"/>
    </row>
    <row r="3865" spans="2:30" x14ac:dyDescent="0.25">
      <c r="B3865"/>
      <c r="C3865"/>
      <c r="D3865"/>
      <c r="E3865" s="3"/>
      <c r="F3865" s="3"/>
      <c r="G3865"/>
      <c r="H3865"/>
      <c r="I3865"/>
      <c r="J3865"/>
      <c r="K3865"/>
      <c r="L3865"/>
      <c r="M3865"/>
      <c r="N3865"/>
      <c r="O3865"/>
      <c r="P3865"/>
      <c r="Q3865"/>
      <c r="R3865"/>
      <c r="S3865"/>
      <c r="T3865"/>
      <c r="U3865"/>
      <c r="V3865"/>
      <c r="W3865"/>
      <c r="X3865"/>
      <c r="Y3865"/>
      <c r="Z3865"/>
      <c r="AA3865"/>
      <c r="AB3865"/>
      <c r="AC3865"/>
      <c r="AD3865"/>
    </row>
    <row r="3866" spans="2:30" x14ac:dyDescent="0.25">
      <c r="B3866"/>
      <c r="C3866"/>
      <c r="D3866"/>
      <c r="E3866" s="3"/>
      <c r="F3866" s="3"/>
      <c r="G3866"/>
      <c r="H3866"/>
      <c r="I3866"/>
      <c r="J3866"/>
      <c r="K3866"/>
      <c r="L3866"/>
      <c r="M3866"/>
      <c r="N3866"/>
      <c r="O3866"/>
      <c r="P3866"/>
      <c r="Q3866"/>
      <c r="R3866"/>
      <c r="S3866"/>
      <c r="T3866"/>
      <c r="U3866"/>
      <c r="V3866"/>
      <c r="W3866"/>
      <c r="X3866"/>
      <c r="Y3866"/>
      <c r="Z3866"/>
      <c r="AA3866"/>
      <c r="AB3866"/>
      <c r="AC3866"/>
      <c r="AD3866"/>
    </row>
    <row r="3867" spans="2:30" x14ac:dyDescent="0.25">
      <c r="B3867"/>
      <c r="C3867"/>
      <c r="D3867"/>
      <c r="E3867" s="3"/>
      <c r="F3867" s="3"/>
      <c r="G3867"/>
      <c r="H3867"/>
      <c r="I3867"/>
      <c r="J3867"/>
      <c r="K3867"/>
      <c r="L3867"/>
      <c r="M3867"/>
      <c r="N3867"/>
      <c r="O3867"/>
      <c r="P3867"/>
      <c r="Q3867"/>
      <c r="R3867"/>
      <c r="S3867"/>
      <c r="T3867"/>
      <c r="U3867"/>
      <c r="V3867"/>
      <c r="W3867"/>
      <c r="X3867"/>
      <c r="Y3867"/>
      <c r="Z3867"/>
      <c r="AA3867"/>
      <c r="AB3867"/>
      <c r="AC3867"/>
      <c r="AD3867"/>
    </row>
    <row r="3868" spans="2:30" x14ac:dyDescent="0.25">
      <c r="B3868"/>
      <c r="C3868"/>
      <c r="D3868"/>
      <c r="E3868" s="3"/>
      <c r="F3868" s="3"/>
      <c r="G3868"/>
      <c r="H3868"/>
      <c r="I3868"/>
      <c r="J3868"/>
      <c r="K3868"/>
      <c r="L3868"/>
      <c r="M3868"/>
      <c r="N3868"/>
      <c r="O3868"/>
      <c r="P3868"/>
      <c r="Q3868"/>
      <c r="R3868"/>
      <c r="S3868"/>
      <c r="T3868"/>
      <c r="U3868"/>
      <c r="V3868"/>
      <c r="W3868"/>
      <c r="X3868"/>
      <c r="Y3868"/>
      <c r="Z3868"/>
      <c r="AA3868"/>
      <c r="AB3868"/>
      <c r="AC3868"/>
      <c r="AD3868"/>
    </row>
    <row r="3869" spans="2:30" x14ac:dyDescent="0.25">
      <c r="B3869"/>
      <c r="C3869"/>
      <c r="D3869"/>
      <c r="E3869" s="3"/>
      <c r="F3869" s="3"/>
      <c r="G3869"/>
      <c r="H3869"/>
      <c r="I3869"/>
      <c r="J3869"/>
      <c r="K3869"/>
      <c r="L3869"/>
      <c r="M3869"/>
      <c r="N3869"/>
      <c r="O3869"/>
      <c r="P3869"/>
      <c r="Q3869"/>
      <c r="R3869"/>
      <c r="S3869"/>
      <c r="T3869"/>
      <c r="U3869"/>
      <c r="V3869"/>
      <c r="W3869"/>
      <c r="X3869"/>
      <c r="Y3869"/>
      <c r="Z3869"/>
      <c r="AA3869"/>
      <c r="AB3869"/>
      <c r="AC3869"/>
      <c r="AD3869"/>
    </row>
    <row r="3870" spans="2:30" x14ac:dyDescent="0.25">
      <c r="B3870"/>
      <c r="C3870"/>
      <c r="D3870"/>
      <c r="E3870" s="3"/>
      <c r="F3870" s="3"/>
      <c r="G3870"/>
      <c r="H3870"/>
      <c r="I3870"/>
      <c r="J3870"/>
      <c r="K3870"/>
      <c r="L3870"/>
      <c r="M3870"/>
      <c r="N3870"/>
      <c r="O3870"/>
      <c r="P3870"/>
      <c r="Q3870"/>
      <c r="R3870"/>
      <c r="S3870"/>
      <c r="T3870"/>
      <c r="U3870"/>
      <c r="V3870"/>
      <c r="W3870"/>
      <c r="X3870"/>
      <c r="Y3870"/>
      <c r="Z3870"/>
      <c r="AA3870"/>
      <c r="AB3870"/>
      <c r="AC3870"/>
      <c r="AD3870"/>
    </row>
    <row r="3871" spans="2:30" x14ac:dyDescent="0.25">
      <c r="B3871"/>
      <c r="C3871"/>
      <c r="D3871"/>
      <c r="E3871" s="3"/>
      <c r="F3871" s="3"/>
      <c r="G3871"/>
      <c r="H3871"/>
      <c r="I3871"/>
      <c r="J3871"/>
      <c r="K3871"/>
      <c r="L3871"/>
      <c r="M3871"/>
      <c r="N3871"/>
      <c r="O3871"/>
      <c r="P3871"/>
      <c r="Q3871"/>
      <c r="R3871"/>
      <c r="S3871"/>
      <c r="T3871"/>
      <c r="U3871"/>
      <c r="V3871"/>
      <c r="W3871"/>
      <c r="X3871"/>
      <c r="Y3871"/>
      <c r="Z3871"/>
      <c r="AA3871"/>
      <c r="AB3871"/>
      <c r="AC3871"/>
      <c r="AD3871"/>
    </row>
    <row r="3872" spans="2:30" x14ac:dyDescent="0.25">
      <c r="B3872"/>
      <c r="C3872"/>
      <c r="D3872"/>
      <c r="E3872" s="3"/>
      <c r="F3872" s="3"/>
      <c r="G3872"/>
      <c r="H3872"/>
      <c r="I3872"/>
      <c r="J3872"/>
      <c r="K3872"/>
      <c r="L3872"/>
      <c r="M3872"/>
      <c r="N3872"/>
      <c r="O3872"/>
      <c r="P3872"/>
      <c r="Q3872"/>
      <c r="R3872"/>
      <c r="S3872"/>
      <c r="T3872"/>
      <c r="U3872"/>
      <c r="V3872"/>
      <c r="W3872"/>
      <c r="X3872"/>
      <c r="Y3872"/>
      <c r="Z3872"/>
      <c r="AA3872"/>
      <c r="AB3872"/>
      <c r="AC3872"/>
      <c r="AD3872"/>
    </row>
    <row r="3873" spans="2:30" x14ac:dyDescent="0.25">
      <c r="B3873"/>
      <c r="C3873"/>
      <c r="D3873"/>
      <c r="E3873" s="3"/>
      <c r="F3873" s="3"/>
      <c r="G3873"/>
      <c r="H3873"/>
      <c r="I3873"/>
      <c r="J3873"/>
      <c r="K3873"/>
      <c r="L3873"/>
      <c r="M3873"/>
      <c r="N3873"/>
      <c r="O3873"/>
      <c r="P3873"/>
      <c r="Q3873"/>
      <c r="R3873"/>
      <c r="S3873"/>
      <c r="T3873"/>
      <c r="U3873"/>
      <c r="V3873"/>
      <c r="W3873"/>
      <c r="X3873"/>
      <c r="Y3873"/>
      <c r="Z3873"/>
      <c r="AA3873"/>
      <c r="AB3873"/>
      <c r="AC3873"/>
      <c r="AD3873"/>
    </row>
    <row r="3874" spans="2:30" x14ac:dyDescent="0.25">
      <c r="B3874"/>
      <c r="C3874"/>
      <c r="D3874"/>
      <c r="E3874" s="3"/>
      <c r="F3874" s="3"/>
      <c r="G3874"/>
      <c r="H3874"/>
      <c r="I3874"/>
      <c r="J3874"/>
      <c r="K3874"/>
      <c r="L3874"/>
      <c r="M3874"/>
      <c r="N3874"/>
      <c r="O3874"/>
      <c r="P3874"/>
      <c r="Q3874"/>
      <c r="R3874"/>
      <c r="S3874"/>
      <c r="T3874"/>
      <c r="U3874"/>
      <c r="V3874"/>
      <c r="W3874"/>
      <c r="X3874"/>
      <c r="Y3874"/>
      <c r="Z3874"/>
      <c r="AA3874"/>
      <c r="AB3874"/>
      <c r="AC3874"/>
      <c r="AD3874"/>
    </row>
    <row r="3875" spans="2:30" x14ac:dyDescent="0.25">
      <c r="B3875"/>
      <c r="C3875"/>
      <c r="D3875"/>
      <c r="E3875" s="3"/>
      <c r="F3875" s="3"/>
      <c r="G3875"/>
      <c r="H3875"/>
      <c r="I3875"/>
      <c r="J3875"/>
      <c r="K3875"/>
      <c r="L3875"/>
      <c r="M3875"/>
      <c r="N3875"/>
      <c r="O3875"/>
      <c r="P3875"/>
      <c r="Q3875"/>
      <c r="R3875"/>
      <c r="S3875"/>
      <c r="T3875"/>
      <c r="U3875"/>
      <c r="V3875"/>
      <c r="W3875"/>
      <c r="X3875"/>
      <c r="Y3875"/>
      <c r="Z3875"/>
      <c r="AA3875"/>
      <c r="AB3875"/>
      <c r="AC3875"/>
      <c r="AD3875"/>
    </row>
    <row r="3876" spans="2:30" x14ac:dyDescent="0.25">
      <c r="B3876"/>
      <c r="C3876"/>
      <c r="D3876"/>
      <c r="E3876" s="3"/>
      <c r="F3876" s="3"/>
      <c r="G3876"/>
      <c r="H3876"/>
      <c r="I3876"/>
      <c r="J3876"/>
      <c r="K3876"/>
      <c r="L3876"/>
      <c r="M3876"/>
      <c r="N3876"/>
      <c r="O3876"/>
      <c r="P3876"/>
      <c r="Q3876"/>
      <c r="R3876"/>
      <c r="S3876"/>
      <c r="T3876"/>
      <c r="U3876"/>
      <c r="V3876"/>
      <c r="W3876"/>
      <c r="X3876"/>
      <c r="Y3876"/>
      <c r="Z3876"/>
      <c r="AA3876"/>
      <c r="AB3876"/>
      <c r="AC3876"/>
      <c r="AD3876"/>
    </row>
    <row r="3877" spans="2:30" x14ac:dyDescent="0.25">
      <c r="B3877"/>
      <c r="C3877"/>
      <c r="D3877"/>
      <c r="E3877" s="3"/>
      <c r="F3877" s="3"/>
      <c r="G3877"/>
      <c r="H3877"/>
      <c r="I3877"/>
      <c r="J3877"/>
      <c r="K3877"/>
      <c r="L3877"/>
      <c r="M3877"/>
      <c r="N3877"/>
      <c r="O3877"/>
      <c r="P3877"/>
      <c r="Q3877"/>
      <c r="R3877"/>
      <c r="S3877"/>
      <c r="T3877"/>
      <c r="U3877"/>
      <c r="V3877"/>
      <c r="W3877"/>
      <c r="X3877"/>
      <c r="Y3877"/>
      <c r="Z3877"/>
      <c r="AA3877"/>
      <c r="AB3877"/>
      <c r="AC3877"/>
      <c r="AD3877"/>
    </row>
    <row r="3878" spans="2:30" x14ac:dyDescent="0.25">
      <c r="B3878"/>
      <c r="C3878"/>
      <c r="D3878"/>
      <c r="E3878" s="3"/>
      <c r="F3878" s="3"/>
      <c r="G3878"/>
      <c r="H3878"/>
      <c r="I3878"/>
      <c r="J3878"/>
      <c r="K3878"/>
      <c r="L3878"/>
      <c r="M3878"/>
      <c r="N3878"/>
      <c r="O3878"/>
      <c r="P3878"/>
      <c r="Q3878"/>
      <c r="R3878"/>
      <c r="S3878"/>
      <c r="T3878"/>
      <c r="U3878"/>
      <c r="V3878"/>
      <c r="W3878"/>
      <c r="X3878"/>
      <c r="Y3878"/>
      <c r="Z3878"/>
      <c r="AA3878"/>
      <c r="AB3878"/>
      <c r="AC3878"/>
      <c r="AD3878"/>
    </row>
    <row r="3879" spans="2:30" x14ac:dyDescent="0.25">
      <c r="B3879"/>
      <c r="C3879"/>
      <c r="D3879"/>
      <c r="E3879" s="3"/>
      <c r="F3879" s="3"/>
      <c r="G3879"/>
      <c r="H3879"/>
      <c r="I3879"/>
      <c r="J3879"/>
      <c r="K3879"/>
      <c r="L3879"/>
      <c r="M3879"/>
      <c r="N3879"/>
      <c r="O3879"/>
      <c r="P3879"/>
      <c r="Q3879"/>
      <c r="R3879"/>
      <c r="S3879"/>
      <c r="T3879"/>
      <c r="U3879"/>
      <c r="V3879"/>
      <c r="W3879"/>
      <c r="X3879"/>
      <c r="Y3879"/>
      <c r="Z3879"/>
      <c r="AA3879"/>
      <c r="AB3879"/>
      <c r="AC3879"/>
      <c r="AD3879"/>
    </row>
    <row r="3880" spans="2:30" x14ac:dyDescent="0.25">
      <c r="B3880"/>
      <c r="C3880"/>
      <c r="D3880"/>
      <c r="E3880" s="3"/>
      <c r="F3880" s="3"/>
      <c r="G3880"/>
      <c r="H3880"/>
      <c r="I3880"/>
      <c r="J3880"/>
      <c r="K3880"/>
      <c r="L3880"/>
      <c r="M3880"/>
      <c r="N3880"/>
      <c r="O3880"/>
      <c r="P3880"/>
      <c r="Q3880"/>
      <c r="R3880"/>
      <c r="S3880"/>
      <c r="T3880"/>
      <c r="U3880"/>
      <c r="V3880"/>
      <c r="W3880"/>
      <c r="X3880"/>
      <c r="Y3880"/>
      <c r="Z3880"/>
      <c r="AA3880"/>
      <c r="AB3880"/>
      <c r="AC3880"/>
      <c r="AD3880"/>
    </row>
    <row r="3881" spans="2:30" x14ac:dyDescent="0.25">
      <c r="B3881"/>
      <c r="C3881"/>
      <c r="D3881"/>
      <c r="E3881" s="3"/>
      <c r="F3881" s="3"/>
      <c r="G3881"/>
      <c r="H3881"/>
      <c r="I3881"/>
      <c r="J3881"/>
      <c r="K3881"/>
      <c r="L3881"/>
      <c r="M3881"/>
      <c r="N3881"/>
      <c r="O3881"/>
      <c r="P3881"/>
      <c r="Q3881"/>
      <c r="R3881"/>
      <c r="S3881"/>
      <c r="T3881"/>
      <c r="U3881"/>
      <c r="V3881"/>
      <c r="W3881"/>
      <c r="X3881"/>
      <c r="Y3881"/>
      <c r="Z3881"/>
      <c r="AA3881"/>
      <c r="AB3881"/>
      <c r="AC3881"/>
      <c r="AD3881"/>
    </row>
    <row r="3882" spans="2:30" x14ac:dyDescent="0.25">
      <c r="B3882"/>
      <c r="C3882"/>
      <c r="D3882"/>
      <c r="E3882" s="3"/>
      <c r="F3882" s="3"/>
      <c r="G3882"/>
      <c r="H3882"/>
      <c r="I3882"/>
      <c r="J3882"/>
      <c r="K3882"/>
      <c r="L3882"/>
      <c r="M3882"/>
      <c r="N3882"/>
      <c r="O3882"/>
      <c r="P3882"/>
      <c r="Q3882"/>
      <c r="R3882"/>
      <c r="S3882"/>
      <c r="T3882"/>
      <c r="U3882"/>
      <c r="V3882"/>
      <c r="W3882"/>
      <c r="X3882"/>
      <c r="Y3882"/>
      <c r="Z3882"/>
      <c r="AA3882"/>
      <c r="AB3882"/>
      <c r="AC3882"/>
      <c r="AD3882"/>
    </row>
    <row r="3883" spans="2:30" x14ac:dyDescent="0.25">
      <c r="B3883"/>
      <c r="C3883"/>
      <c r="D3883"/>
      <c r="E3883" s="3"/>
      <c r="F3883" s="3"/>
      <c r="G3883"/>
      <c r="H3883"/>
      <c r="I3883"/>
      <c r="J3883"/>
      <c r="K3883"/>
      <c r="L3883"/>
      <c r="M3883"/>
      <c r="N3883"/>
      <c r="O3883"/>
      <c r="P3883"/>
      <c r="Q3883"/>
      <c r="R3883"/>
      <c r="S3883"/>
      <c r="T3883"/>
      <c r="U3883"/>
      <c r="V3883"/>
      <c r="W3883"/>
      <c r="X3883"/>
      <c r="Y3883"/>
      <c r="Z3883"/>
      <c r="AA3883"/>
      <c r="AB3883"/>
      <c r="AC3883"/>
      <c r="AD3883"/>
    </row>
    <row r="3884" spans="2:30" x14ac:dyDescent="0.25">
      <c r="B3884"/>
      <c r="C3884"/>
      <c r="D3884"/>
      <c r="E3884" s="3"/>
      <c r="F3884" s="3"/>
      <c r="G3884"/>
      <c r="H3884"/>
      <c r="I3884"/>
      <c r="J3884"/>
      <c r="K3884"/>
      <c r="L3884"/>
      <c r="M3884"/>
      <c r="N3884"/>
      <c r="O3884"/>
      <c r="P3884"/>
      <c r="Q3884"/>
      <c r="R3884"/>
      <c r="S3884"/>
      <c r="T3884"/>
      <c r="U3884"/>
      <c r="V3884"/>
      <c r="W3884"/>
      <c r="X3884"/>
      <c r="Y3884"/>
      <c r="Z3884"/>
      <c r="AA3884"/>
      <c r="AB3884"/>
      <c r="AC3884"/>
      <c r="AD3884"/>
    </row>
    <row r="3885" spans="2:30" x14ac:dyDescent="0.25">
      <c r="B3885"/>
      <c r="C3885"/>
      <c r="D3885"/>
      <c r="E3885" s="3"/>
      <c r="F3885" s="3"/>
      <c r="G3885"/>
      <c r="H3885"/>
      <c r="I3885"/>
      <c r="J3885"/>
      <c r="K3885"/>
      <c r="L3885"/>
      <c r="M3885"/>
      <c r="N3885"/>
      <c r="O3885"/>
      <c r="P3885"/>
      <c r="Q3885"/>
      <c r="R3885"/>
      <c r="S3885"/>
      <c r="T3885"/>
      <c r="U3885"/>
      <c r="V3885"/>
      <c r="W3885"/>
      <c r="X3885"/>
      <c r="Y3885"/>
      <c r="Z3885"/>
      <c r="AA3885"/>
      <c r="AB3885"/>
      <c r="AC3885"/>
      <c r="AD3885"/>
    </row>
    <row r="3886" spans="2:30" x14ac:dyDescent="0.25">
      <c r="B3886"/>
      <c r="C3886"/>
      <c r="D3886"/>
      <c r="E3886" s="3"/>
      <c r="F3886" s="3"/>
      <c r="G3886"/>
      <c r="H3886"/>
      <c r="I3886"/>
      <c r="J3886"/>
      <c r="K3886"/>
      <c r="L3886"/>
      <c r="M3886"/>
      <c r="N3886"/>
      <c r="O3886"/>
      <c r="P3886"/>
      <c r="Q3886"/>
      <c r="R3886"/>
      <c r="S3886"/>
      <c r="T3886"/>
      <c r="U3886"/>
      <c r="V3886"/>
      <c r="W3886"/>
      <c r="X3886"/>
      <c r="Y3886"/>
      <c r="Z3886"/>
      <c r="AA3886"/>
      <c r="AB3886"/>
      <c r="AC3886"/>
      <c r="AD3886"/>
    </row>
    <row r="3887" spans="2:30" x14ac:dyDescent="0.25">
      <c r="B3887"/>
      <c r="C3887"/>
      <c r="D3887"/>
      <c r="E3887" s="3"/>
      <c r="F3887" s="3"/>
      <c r="G3887"/>
      <c r="H3887"/>
      <c r="I3887"/>
      <c r="J3887"/>
      <c r="K3887"/>
      <c r="L3887"/>
      <c r="M3887"/>
      <c r="N3887"/>
      <c r="O3887"/>
      <c r="P3887"/>
      <c r="Q3887"/>
      <c r="R3887"/>
      <c r="S3887"/>
      <c r="T3887"/>
      <c r="U3887"/>
      <c r="V3887"/>
      <c r="W3887"/>
      <c r="X3887"/>
      <c r="Y3887"/>
      <c r="Z3887"/>
      <c r="AA3887"/>
      <c r="AB3887"/>
      <c r="AC3887"/>
      <c r="AD3887"/>
    </row>
    <row r="3888" spans="2:30" x14ac:dyDescent="0.25">
      <c r="B3888"/>
      <c r="C3888"/>
      <c r="D3888"/>
      <c r="E3888" s="3"/>
      <c r="F3888" s="3"/>
      <c r="G3888"/>
      <c r="H3888"/>
      <c r="I3888"/>
      <c r="J3888"/>
      <c r="K3888"/>
      <c r="L3888"/>
      <c r="M3888"/>
      <c r="N3888"/>
      <c r="O3888"/>
      <c r="P3888"/>
      <c r="Q3888"/>
      <c r="R3888"/>
      <c r="S3888"/>
      <c r="T3888"/>
      <c r="U3888"/>
      <c r="V3888"/>
      <c r="W3888"/>
      <c r="X3888"/>
      <c r="Y3888"/>
      <c r="Z3888"/>
      <c r="AA3888"/>
      <c r="AB3888"/>
      <c r="AC3888"/>
      <c r="AD3888"/>
    </row>
    <row r="3889" spans="2:30" x14ac:dyDescent="0.25">
      <c r="B3889"/>
      <c r="C3889"/>
      <c r="D3889"/>
      <c r="E3889" s="3"/>
      <c r="F3889" s="3"/>
      <c r="G3889"/>
      <c r="H3889"/>
      <c r="I3889"/>
      <c r="J3889"/>
      <c r="K3889"/>
      <c r="L3889"/>
      <c r="M3889"/>
      <c r="N3889"/>
      <c r="O3889"/>
      <c r="P3889"/>
      <c r="Q3889"/>
      <c r="R3889"/>
      <c r="S3889"/>
      <c r="T3889"/>
      <c r="U3889"/>
      <c r="V3889"/>
      <c r="W3889"/>
      <c r="X3889"/>
      <c r="Y3889"/>
      <c r="Z3889"/>
      <c r="AA3889"/>
      <c r="AB3889"/>
      <c r="AC3889"/>
      <c r="AD3889"/>
    </row>
    <row r="3890" spans="2:30" x14ac:dyDescent="0.25">
      <c r="B3890"/>
      <c r="C3890"/>
      <c r="D3890"/>
      <c r="E3890" s="3"/>
      <c r="F3890" s="3"/>
      <c r="G3890"/>
      <c r="H3890"/>
      <c r="I3890"/>
      <c r="J3890"/>
      <c r="K3890"/>
      <c r="L3890"/>
      <c r="M3890"/>
      <c r="N3890"/>
      <c r="O3890"/>
      <c r="P3890"/>
      <c r="Q3890"/>
      <c r="R3890"/>
      <c r="S3890"/>
      <c r="T3890"/>
      <c r="U3890"/>
      <c r="V3890"/>
      <c r="W3890"/>
      <c r="X3890"/>
      <c r="Y3890"/>
      <c r="Z3890"/>
      <c r="AA3890"/>
      <c r="AB3890"/>
      <c r="AC3890"/>
      <c r="AD3890"/>
    </row>
    <row r="3891" spans="2:30" x14ac:dyDescent="0.25">
      <c r="B3891"/>
      <c r="C3891"/>
      <c r="D3891"/>
      <c r="E3891" s="3"/>
      <c r="F3891" s="3"/>
      <c r="G3891"/>
      <c r="H3891"/>
      <c r="I3891"/>
      <c r="J3891"/>
      <c r="K3891"/>
      <c r="L3891"/>
      <c r="M3891"/>
      <c r="N3891"/>
      <c r="O3891"/>
      <c r="P3891"/>
      <c r="Q3891"/>
      <c r="R3891"/>
      <c r="S3891"/>
      <c r="T3891"/>
      <c r="U3891"/>
      <c r="V3891"/>
      <c r="W3891"/>
      <c r="X3891"/>
      <c r="Y3891"/>
      <c r="Z3891"/>
      <c r="AA3891"/>
      <c r="AB3891"/>
      <c r="AC3891"/>
      <c r="AD3891"/>
    </row>
    <row r="3892" spans="2:30" x14ac:dyDescent="0.25">
      <c r="B3892"/>
      <c r="C3892"/>
      <c r="D3892"/>
      <c r="E3892" s="3"/>
      <c r="F3892" s="3"/>
      <c r="G3892"/>
      <c r="H3892"/>
      <c r="I3892"/>
      <c r="J3892"/>
      <c r="K3892"/>
      <c r="L3892"/>
      <c r="M3892"/>
      <c r="N3892"/>
      <c r="O3892"/>
      <c r="P3892"/>
      <c r="Q3892"/>
      <c r="R3892"/>
      <c r="S3892"/>
      <c r="T3892"/>
      <c r="U3892"/>
      <c r="V3892"/>
      <c r="W3892"/>
      <c r="X3892"/>
      <c r="Y3892"/>
      <c r="Z3892"/>
      <c r="AA3892"/>
      <c r="AB3892"/>
      <c r="AC3892"/>
      <c r="AD3892"/>
    </row>
    <row r="3893" spans="2:30" x14ac:dyDescent="0.25">
      <c r="B3893"/>
      <c r="C3893"/>
      <c r="D3893"/>
      <c r="E3893" s="3"/>
      <c r="F3893" s="3"/>
      <c r="G3893"/>
      <c r="H3893"/>
      <c r="I3893"/>
      <c r="J3893"/>
      <c r="K3893"/>
      <c r="L3893"/>
      <c r="M3893"/>
      <c r="N3893"/>
      <c r="O3893"/>
      <c r="P3893"/>
      <c r="Q3893"/>
      <c r="R3893"/>
      <c r="S3893"/>
      <c r="T3893"/>
      <c r="U3893"/>
      <c r="V3893"/>
      <c r="W3893"/>
      <c r="X3893"/>
      <c r="Y3893"/>
      <c r="Z3893"/>
      <c r="AA3893"/>
      <c r="AB3893"/>
      <c r="AC3893"/>
      <c r="AD3893"/>
    </row>
    <row r="3894" spans="2:30" x14ac:dyDescent="0.25">
      <c r="B3894"/>
      <c r="C3894"/>
      <c r="D3894"/>
      <c r="E3894" s="3"/>
      <c r="F3894" s="3"/>
      <c r="G3894"/>
      <c r="H3894"/>
      <c r="I3894"/>
      <c r="J3894"/>
      <c r="K3894"/>
      <c r="L3894"/>
      <c r="M3894"/>
      <c r="N3894"/>
      <c r="O3894"/>
      <c r="P3894"/>
      <c r="Q3894"/>
      <c r="R3894"/>
      <c r="S3894"/>
      <c r="T3894"/>
      <c r="U3894"/>
      <c r="V3894"/>
      <c r="W3894"/>
      <c r="X3894"/>
      <c r="Y3894"/>
      <c r="Z3894"/>
      <c r="AA3894"/>
      <c r="AB3894"/>
      <c r="AC3894"/>
      <c r="AD3894"/>
    </row>
    <row r="3895" spans="2:30" x14ac:dyDescent="0.25">
      <c r="B3895"/>
      <c r="C3895"/>
      <c r="D3895"/>
      <c r="E3895" s="3"/>
      <c r="F3895" s="3"/>
      <c r="G3895"/>
      <c r="H3895"/>
      <c r="I3895"/>
      <c r="J3895"/>
      <c r="K3895"/>
      <c r="L3895"/>
      <c r="M3895"/>
      <c r="N3895"/>
      <c r="O3895"/>
      <c r="P3895"/>
      <c r="Q3895"/>
      <c r="R3895"/>
      <c r="S3895"/>
      <c r="T3895"/>
      <c r="U3895"/>
      <c r="V3895"/>
      <c r="W3895"/>
      <c r="X3895"/>
      <c r="Y3895"/>
      <c r="Z3895"/>
      <c r="AA3895"/>
      <c r="AB3895"/>
      <c r="AC3895"/>
      <c r="AD3895"/>
    </row>
    <row r="3896" spans="2:30" x14ac:dyDescent="0.25">
      <c r="B3896"/>
      <c r="C3896"/>
      <c r="D3896"/>
      <c r="E3896" s="3"/>
      <c r="F3896" s="3"/>
      <c r="G3896"/>
      <c r="H3896"/>
      <c r="I3896"/>
      <c r="J3896"/>
      <c r="K3896"/>
      <c r="L3896"/>
      <c r="M3896"/>
      <c r="N3896"/>
      <c r="O3896"/>
      <c r="P3896"/>
      <c r="Q3896"/>
      <c r="R3896"/>
      <c r="S3896"/>
      <c r="T3896"/>
      <c r="U3896"/>
      <c r="V3896"/>
      <c r="W3896"/>
      <c r="X3896"/>
      <c r="Y3896"/>
      <c r="Z3896"/>
      <c r="AA3896"/>
      <c r="AB3896"/>
      <c r="AC3896"/>
      <c r="AD3896"/>
    </row>
    <row r="3897" spans="2:30" x14ac:dyDescent="0.25">
      <c r="B3897"/>
      <c r="C3897"/>
      <c r="D3897"/>
      <c r="E3897" s="3"/>
      <c r="F3897" s="3"/>
      <c r="G3897"/>
      <c r="H3897"/>
      <c r="I3897"/>
      <c r="J3897"/>
      <c r="K3897"/>
      <c r="L3897"/>
      <c r="M3897"/>
      <c r="N3897"/>
      <c r="O3897"/>
      <c r="P3897"/>
      <c r="Q3897"/>
      <c r="R3897"/>
      <c r="S3897"/>
      <c r="T3897"/>
      <c r="U3897"/>
      <c r="V3897"/>
      <c r="W3897"/>
      <c r="X3897"/>
      <c r="Y3897"/>
      <c r="Z3897"/>
      <c r="AA3897"/>
      <c r="AB3897"/>
      <c r="AC3897"/>
      <c r="AD3897"/>
    </row>
    <row r="3898" spans="2:30" x14ac:dyDescent="0.25">
      <c r="B3898"/>
      <c r="C3898"/>
      <c r="D3898"/>
      <c r="E3898" s="3"/>
      <c r="F3898" s="3"/>
      <c r="G3898"/>
      <c r="H3898"/>
      <c r="I3898"/>
      <c r="J3898"/>
      <c r="K3898"/>
      <c r="L3898"/>
      <c r="M3898"/>
      <c r="N3898"/>
      <c r="O3898"/>
      <c r="P3898"/>
      <c r="Q3898"/>
      <c r="R3898"/>
      <c r="S3898"/>
      <c r="T3898"/>
      <c r="U3898"/>
      <c r="V3898"/>
      <c r="W3898"/>
      <c r="X3898"/>
      <c r="Y3898"/>
      <c r="Z3898"/>
      <c r="AA3898"/>
      <c r="AB3898"/>
      <c r="AC3898"/>
      <c r="AD3898"/>
    </row>
    <row r="3899" spans="2:30" x14ac:dyDescent="0.25">
      <c r="B3899"/>
      <c r="C3899"/>
      <c r="D3899"/>
      <c r="E3899" s="3"/>
      <c r="F3899" s="3"/>
      <c r="G3899"/>
      <c r="H3899"/>
      <c r="I3899"/>
      <c r="J3899"/>
      <c r="K3899"/>
      <c r="L3899"/>
      <c r="M3899"/>
      <c r="N3899"/>
      <c r="O3899"/>
      <c r="P3899"/>
      <c r="Q3899"/>
      <c r="R3899"/>
      <c r="S3899"/>
      <c r="T3899"/>
      <c r="U3899"/>
      <c r="V3899"/>
      <c r="W3899"/>
      <c r="X3899"/>
      <c r="Y3899"/>
      <c r="Z3899"/>
      <c r="AA3899"/>
      <c r="AB3899"/>
      <c r="AC3899"/>
      <c r="AD3899"/>
    </row>
    <row r="3900" spans="2:30" x14ac:dyDescent="0.25">
      <c r="B3900"/>
      <c r="C3900"/>
      <c r="D3900"/>
      <c r="E3900" s="3"/>
      <c r="F3900" s="3"/>
      <c r="G3900"/>
      <c r="H3900"/>
      <c r="I3900"/>
      <c r="J3900"/>
      <c r="K3900"/>
      <c r="L3900"/>
      <c r="M3900"/>
      <c r="N3900"/>
      <c r="O3900"/>
      <c r="P3900"/>
      <c r="Q3900"/>
      <c r="R3900"/>
      <c r="S3900"/>
      <c r="T3900"/>
      <c r="U3900"/>
      <c r="V3900"/>
      <c r="W3900"/>
      <c r="X3900"/>
      <c r="Y3900"/>
      <c r="Z3900"/>
      <c r="AA3900"/>
      <c r="AB3900"/>
      <c r="AC3900"/>
      <c r="AD3900"/>
    </row>
    <row r="3901" spans="2:30" x14ac:dyDescent="0.25">
      <c r="B3901"/>
      <c r="C3901"/>
      <c r="D3901"/>
      <c r="E3901" s="3"/>
      <c r="F3901" s="3"/>
      <c r="G3901"/>
      <c r="H3901"/>
      <c r="I3901"/>
      <c r="J3901"/>
      <c r="K3901"/>
      <c r="L3901"/>
      <c r="M3901"/>
      <c r="N3901"/>
      <c r="O3901"/>
      <c r="P3901"/>
      <c r="Q3901"/>
      <c r="R3901"/>
      <c r="S3901"/>
      <c r="T3901"/>
      <c r="U3901"/>
      <c r="V3901"/>
      <c r="W3901"/>
      <c r="X3901"/>
      <c r="Y3901"/>
      <c r="Z3901"/>
      <c r="AA3901"/>
      <c r="AB3901"/>
      <c r="AC3901"/>
      <c r="AD3901"/>
    </row>
    <row r="3902" spans="2:30" x14ac:dyDescent="0.25">
      <c r="B3902"/>
      <c r="C3902"/>
      <c r="D3902"/>
      <c r="E3902" s="3"/>
      <c r="F3902" s="3"/>
      <c r="G3902"/>
      <c r="H3902"/>
      <c r="I3902"/>
      <c r="J3902"/>
      <c r="K3902"/>
      <c r="L3902"/>
      <c r="M3902"/>
      <c r="N3902"/>
      <c r="O3902"/>
      <c r="P3902"/>
      <c r="Q3902"/>
      <c r="R3902"/>
      <c r="S3902"/>
      <c r="T3902"/>
      <c r="U3902"/>
      <c r="V3902"/>
      <c r="W3902"/>
      <c r="X3902"/>
      <c r="Y3902"/>
      <c r="Z3902"/>
      <c r="AA3902"/>
      <c r="AB3902"/>
      <c r="AC3902"/>
      <c r="AD3902"/>
    </row>
    <row r="3903" spans="2:30" x14ac:dyDescent="0.25">
      <c r="B3903"/>
      <c r="C3903"/>
      <c r="D3903"/>
      <c r="E3903" s="3"/>
      <c r="F3903" s="3"/>
      <c r="G3903"/>
      <c r="H3903"/>
      <c r="I3903"/>
      <c r="J3903"/>
      <c r="K3903"/>
      <c r="L3903"/>
      <c r="M3903"/>
      <c r="N3903"/>
      <c r="O3903"/>
      <c r="P3903"/>
      <c r="Q3903"/>
      <c r="R3903"/>
      <c r="S3903"/>
      <c r="T3903"/>
      <c r="U3903"/>
      <c r="V3903"/>
      <c r="W3903"/>
      <c r="X3903"/>
      <c r="Y3903"/>
      <c r="Z3903"/>
      <c r="AA3903"/>
      <c r="AB3903"/>
      <c r="AC3903"/>
      <c r="AD3903"/>
    </row>
    <row r="3904" spans="2:30" x14ac:dyDescent="0.25">
      <c r="B3904"/>
      <c r="C3904"/>
      <c r="D3904"/>
      <c r="E3904" s="3"/>
      <c r="F3904" s="3"/>
      <c r="G3904"/>
      <c r="H3904"/>
      <c r="I3904"/>
      <c r="J3904"/>
      <c r="K3904"/>
      <c r="L3904"/>
      <c r="M3904"/>
      <c r="N3904"/>
      <c r="O3904"/>
      <c r="P3904"/>
      <c r="Q3904"/>
      <c r="R3904"/>
      <c r="S3904"/>
      <c r="T3904"/>
      <c r="U3904"/>
      <c r="V3904"/>
      <c r="W3904"/>
      <c r="X3904"/>
      <c r="Y3904"/>
      <c r="Z3904"/>
      <c r="AA3904"/>
      <c r="AB3904"/>
      <c r="AC3904"/>
      <c r="AD3904"/>
    </row>
    <row r="3905" spans="2:30" x14ac:dyDescent="0.25">
      <c r="B3905"/>
      <c r="C3905"/>
      <c r="D3905"/>
      <c r="E3905" s="3"/>
      <c r="F3905" s="3"/>
      <c r="G3905"/>
      <c r="H3905"/>
      <c r="I3905"/>
      <c r="J3905"/>
      <c r="K3905"/>
      <c r="L3905"/>
      <c r="M3905"/>
      <c r="N3905"/>
      <c r="O3905"/>
      <c r="P3905"/>
      <c r="Q3905"/>
      <c r="R3905"/>
      <c r="S3905"/>
      <c r="T3905"/>
      <c r="U3905"/>
      <c r="V3905"/>
      <c r="W3905"/>
      <c r="X3905"/>
      <c r="Y3905"/>
      <c r="Z3905"/>
      <c r="AA3905"/>
      <c r="AB3905"/>
      <c r="AC3905"/>
      <c r="AD3905"/>
    </row>
    <row r="3906" spans="2:30" x14ac:dyDescent="0.25">
      <c r="B3906"/>
      <c r="C3906"/>
      <c r="D3906"/>
      <c r="E3906" s="3"/>
      <c r="F3906" s="3"/>
      <c r="G3906"/>
      <c r="H3906"/>
      <c r="I3906"/>
      <c r="J3906"/>
      <c r="K3906"/>
      <c r="L3906"/>
      <c r="M3906"/>
      <c r="N3906"/>
      <c r="O3906"/>
      <c r="P3906"/>
      <c r="Q3906"/>
      <c r="R3906"/>
      <c r="S3906"/>
      <c r="T3906"/>
      <c r="U3906"/>
      <c r="V3906"/>
      <c r="W3906"/>
      <c r="X3906"/>
      <c r="Y3906"/>
      <c r="Z3906"/>
      <c r="AA3906"/>
      <c r="AB3906"/>
      <c r="AC3906"/>
      <c r="AD3906"/>
    </row>
    <row r="3907" spans="2:30" x14ac:dyDescent="0.25">
      <c r="B3907"/>
      <c r="C3907"/>
      <c r="D3907"/>
      <c r="E3907" s="3"/>
      <c r="F3907" s="3"/>
      <c r="G3907"/>
      <c r="H3907"/>
      <c r="I3907"/>
      <c r="J3907"/>
      <c r="K3907"/>
      <c r="L3907"/>
      <c r="M3907"/>
      <c r="N3907"/>
      <c r="O3907"/>
      <c r="P3907"/>
      <c r="Q3907"/>
      <c r="R3907"/>
      <c r="S3907"/>
      <c r="T3907"/>
      <c r="U3907"/>
      <c r="V3907"/>
      <c r="W3907"/>
      <c r="X3907"/>
      <c r="Y3907"/>
      <c r="Z3907"/>
      <c r="AA3907"/>
      <c r="AB3907"/>
      <c r="AC3907"/>
      <c r="AD3907"/>
    </row>
    <row r="3908" spans="2:30" x14ac:dyDescent="0.25">
      <c r="B3908"/>
      <c r="C3908"/>
      <c r="D3908"/>
      <c r="E3908" s="3"/>
      <c r="F3908" s="3"/>
      <c r="G3908"/>
      <c r="H3908"/>
      <c r="I3908"/>
      <c r="J3908"/>
      <c r="K3908"/>
      <c r="L3908"/>
      <c r="M3908"/>
      <c r="N3908"/>
      <c r="O3908"/>
      <c r="P3908"/>
      <c r="Q3908"/>
      <c r="R3908"/>
      <c r="S3908"/>
      <c r="T3908"/>
      <c r="U3908"/>
      <c r="V3908"/>
      <c r="W3908"/>
      <c r="X3908"/>
      <c r="Y3908"/>
      <c r="Z3908"/>
      <c r="AA3908"/>
      <c r="AB3908"/>
      <c r="AC3908"/>
      <c r="AD3908"/>
    </row>
    <row r="3909" spans="2:30" x14ac:dyDescent="0.25">
      <c r="B3909"/>
      <c r="C3909"/>
      <c r="D3909"/>
      <c r="E3909" s="3"/>
      <c r="F3909" s="3"/>
      <c r="G3909"/>
      <c r="H3909"/>
      <c r="I3909"/>
      <c r="J3909"/>
      <c r="K3909"/>
      <c r="L3909"/>
      <c r="M3909"/>
      <c r="N3909"/>
      <c r="O3909"/>
      <c r="P3909"/>
      <c r="Q3909"/>
      <c r="R3909"/>
      <c r="S3909"/>
      <c r="T3909"/>
      <c r="U3909"/>
      <c r="V3909"/>
      <c r="W3909"/>
      <c r="X3909"/>
      <c r="Y3909"/>
      <c r="Z3909"/>
      <c r="AA3909"/>
      <c r="AB3909"/>
      <c r="AC3909"/>
      <c r="AD3909"/>
    </row>
    <row r="3910" spans="2:30" x14ac:dyDescent="0.25">
      <c r="B3910"/>
      <c r="C3910"/>
      <c r="D3910"/>
      <c r="E3910" s="3"/>
      <c r="F3910" s="3"/>
      <c r="G3910"/>
      <c r="H3910"/>
      <c r="I3910"/>
      <c r="J3910"/>
      <c r="K3910"/>
      <c r="L3910"/>
      <c r="M3910"/>
      <c r="N3910"/>
      <c r="O3910"/>
      <c r="P3910"/>
      <c r="Q3910"/>
      <c r="R3910"/>
      <c r="S3910"/>
      <c r="T3910"/>
      <c r="U3910"/>
      <c r="V3910"/>
      <c r="W3910"/>
      <c r="X3910"/>
      <c r="Y3910"/>
      <c r="Z3910"/>
      <c r="AA3910"/>
      <c r="AB3910"/>
      <c r="AC3910"/>
      <c r="AD3910"/>
    </row>
    <row r="3911" spans="2:30" x14ac:dyDescent="0.25">
      <c r="B3911"/>
      <c r="C3911"/>
      <c r="D3911"/>
      <c r="E3911" s="3"/>
      <c r="F3911" s="3"/>
      <c r="G3911"/>
      <c r="H3911"/>
      <c r="I3911"/>
      <c r="J3911"/>
      <c r="K3911"/>
      <c r="L3911"/>
      <c r="M3911"/>
      <c r="N3911"/>
      <c r="O3911"/>
      <c r="P3911"/>
      <c r="Q3911"/>
      <c r="R3911"/>
      <c r="S3911"/>
      <c r="T3911"/>
      <c r="U3911"/>
      <c r="V3911"/>
      <c r="W3911"/>
      <c r="X3911"/>
      <c r="Y3911"/>
      <c r="Z3911"/>
      <c r="AA3911"/>
      <c r="AB3911"/>
      <c r="AC3911"/>
      <c r="AD3911"/>
    </row>
    <row r="3912" spans="2:30" x14ac:dyDescent="0.25">
      <c r="B3912"/>
      <c r="C3912"/>
      <c r="D3912"/>
      <c r="E3912" s="3"/>
      <c r="F3912" s="3"/>
      <c r="G3912"/>
      <c r="H3912"/>
      <c r="I3912"/>
      <c r="J3912"/>
      <c r="K3912"/>
      <c r="L3912"/>
      <c r="M3912"/>
      <c r="N3912"/>
      <c r="O3912"/>
      <c r="P3912"/>
      <c r="Q3912"/>
      <c r="R3912"/>
      <c r="S3912"/>
      <c r="T3912"/>
      <c r="U3912"/>
      <c r="V3912"/>
      <c r="W3912"/>
      <c r="X3912"/>
      <c r="Y3912"/>
      <c r="Z3912"/>
      <c r="AA3912"/>
      <c r="AB3912"/>
      <c r="AC3912"/>
      <c r="AD3912"/>
    </row>
    <row r="3913" spans="2:30" x14ac:dyDescent="0.25">
      <c r="B3913"/>
      <c r="C3913"/>
      <c r="D3913"/>
      <c r="E3913" s="3"/>
      <c r="F3913" s="3"/>
      <c r="G3913"/>
      <c r="H3913"/>
      <c r="I3913"/>
      <c r="J3913"/>
      <c r="K3913"/>
      <c r="L3913"/>
      <c r="M3913"/>
      <c r="N3913"/>
      <c r="O3913"/>
      <c r="P3913"/>
      <c r="Q3913"/>
      <c r="R3913"/>
      <c r="S3913"/>
      <c r="T3913"/>
      <c r="U3913"/>
      <c r="V3913"/>
      <c r="W3913"/>
      <c r="X3913"/>
      <c r="Y3913"/>
      <c r="Z3913"/>
      <c r="AA3913"/>
      <c r="AB3913"/>
      <c r="AC3913"/>
      <c r="AD3913"/>
    </row>
    <row r="3914" spans="2:30" x14ac:dyDescent="0.25">
      <c r="B3914"/>
      <c r="C3914"/>
      <c r="D3914"/>
      <c r="E3914" s="3"/>
      <c r="F3914" s="3"/>
      <c r="G3914"/>
      <c r="H3914"/>
      <c r="I3914"/>
      <c r="J3914"/>
      <c r="K3914"/>
      <c r="L3914"/>
      <c r="M3914"/>
      <c r="N3914"/>
      <c r="O3914"/>
      <c r="P3914"/>
      <c r="Q3914"/>
      <c r="R3914"/>
      <c r="S3914"/>
      <c r="T3914"/>
      <c r="U3914"/>
      <c r="V3914"/>
      <c r="W3914"/>
      <c r="X3914"/>
      <c r="Y3914"/>
      <c r="Z3914"/>
      <c r="AA3914"/>
      <c r="AB3914"/>
      <c r="AC3914"/>
      <c r="AD3914"/>
    </row>
    <row r="3915" spans="2:30" x14ac:dyDescent="0.25">
      <c r="B3915"/>
      <c r="C3915"/>
      <c r="D3915"/>
      <c r="E3915" s="3"/>
      <c r="F3915" s="3"/>
      <c r="G3915"/>
      <c r="H3915"/>
      <c r="I3915"/>
      <c r="J3915"/>
      <c r="K3915"/>
      <c r="L3915"/>
      <c r="M3915"/>
      <c r="N3915"/>
      <c r="O3915"/>
      <c r="P3915"/>
      <c r="Q3915"/>
      <c r="R3915"/>
      <c r="S3915"/>
      <c r="T3915"/>
      <c r="U3915"/>
      <c r="V3915"/>
      <c r="W3915"/>
      <c r="X3915"/>
      <c r="Y3915"/>
      <c r="Z3915"/>
      <c r="AA3915"/>
      <c r="AB3915"/>
      <c r="AC3915"/>
      <c r="AD3915"/>
    </row>
    <row r="3916" spans="2:30" x14ac:dyDescent="0.25">
      <c r="B3916"/>
      <c r="C3916"/>
      <c r="D3916"/>
      <c r="E3916" s="3"/>
      <c r="F3916" s="3"/>
      <c r="G3916"/>
      <c r="H3916"/>
      <c r="I3916"/>
      <c r="J3916"/>
      <c r="K3916"/>
      <c r="L3916"/>
      <c r="M3916"/>
      <c r="N3916"/>
      <c r="O3916"/>
      <c r="P3916"/>
      <c r="Q3916"/>
      <c r="R3916"/>
      <c r="S3916"/>
      <c r="T3916"/>
      <c r="U3916"/>
      <c r="V3916"/>
      <c r="W3916"/>
      <c r="X3916"/>
      <c r="Y3916"/>
      <c r="Z3916"/>
      <c r="AA3916"/>
      <c r="AB3916"/>
      <c r="AC3916"/>
      <c r="AD3916"/>
    </row>
    <row r="3917" spans="2:30" x14ac:dyDescent="0.25">
      <c r="B3917"/>
      <c r="C3917"/>
      <c r="D3917"/>
      <c r="E3917" s="3"/>
      <c r="F3917" s="3"/>
      <c r="G3917"/>
      <c r="H3917"/>
      <c r="I3917"/>
      <c r="J3917"/>
      <c r="K3917"/>
      <c r="L3917"/>
      <c r="M3917"/>
      <c r="N3917"/>
      <c r="O3917"/>
      <c r="P3917"/>
      <c r="Q3917"/>
      <c r="R3917"/>
      <c r="S3917"/>
      <c r="T3917"/>
      <c r="U3917"/>
      <c r="V3917"/>
      <c r="W3917"/>
      <c r="X3917"/>
      <c r="Y3917"/>
      <c r="Z3917"/>
      <c r="AA3917"/>
      <c r="AB3917"/>
      <c r="AC3917"/>
      <c r="AD3917"/>
    </row>
    <row r="3918" spans="2:30" x14ac:dyDescent="0.25">
      <c r="B3918"/>
      <c r="C3918"/>
      <c r="D3918"/>
      <c r="E3918" s="3"/>
      <c r="F3918" s="3"/>
      <c r="G3918"/>
      <c r="H3918"/>
      <c r="I3918"/>
      <c r="J3918"/>
      <c r="K3918"/>
      <c r="L3918"/>
      <c r="M3918"/>
      <c r="N3918"/>
      <c r="O3918"/>
      <c r="P3918"/>
      <c r="Q3918"/>
      <c r="R3918"/>
      <c r="S3918"/>
      <c r="T3918"/>
      <c r="U3918"/>
      <c r="V3918"/>
      <c r="W3918"/>
      <c r="X3918"/>
      <c r="Y3918"/>
      <c r="Z3918"/>
      <c r="AA3918"/>
      <c r="AB3918"/>
      <c r="AC3918"/>
      <c r="AD3918"/>
    </row>
    <row r="3919" spans="2:30" x14ac:dyDescent="0.25">
      <c r="B3919"/>
      <c r="C3919"/>
      <c r="D3919"/>
      <c r="E3919" s="3"/>
      <c r="F3919" s="3"/>
      <c r="G3919"/>
      <c r="H3919"/>
      <c r="I3919"/>
      <c r="J3919"/>
      <c r="K3919"/>
      <c r="L3919"/>
      <c r="M3919"/>
      <c r="N3919"/>
      <c r="O3919"/>
      <c r="P3919"/>
      <c r="Q3919"/>
      <c r="R3919"/>
      <c r="S3919"/>
      <c r="T3919"/>
      <c r="U3919"/>
      <c r="V3919"/>
      <c r="W3919"/>
      <c r="X3919"/>
      <c r="Y3919"/>
      <c r="Z3919"/>
      <c r="AA3919"/>
      <c r="AB3919"/>
      <c r="AC3919"/>
      <c r="AD3919"/>
    </row>
    <row r="3920" spans="2:30" x14ac:dyDescent="0.25">
      <c r="B3920"/>
      <c r="C3920"/>
      <c r="D3920"/>
      <c r="E3920" s="3"/>
      <c r="F3920" s="3"/>
      <c r="G3920"/>
      <c r="H3920"/>
      <c r="I3920"/>
      <c r="J3920"/>
      <c r="K3920"/>
      <c r="L3920"/>
      <c r="M3920"/>
      <c r="N3920"/>
      <c r="O3920"/>
      <c r="P3920"/>
      <c r="Q3920"/>
      <c r="R3920"/>
      <c r="S3920"/>
      <c r="T3920"/>
      <c r="U3920"/>
      <c r="V3920"/>
      <c r="W3920"/>
      <c r="X3920"/>
      <c r="Y3920"/>
      <c r="Z3920"/>
      <c r="AA3920"/>
      <c r="AB3920"/>
      <c r="AC3920"/>
      <c r="AD3920"/>
    </row>
    <row r="3921" spans="2:30" x14ac:dyDescent="0.25">
      <c r="B3921"/>
      <c r="C3921"/>
      <c r="D3921"/>
      <c r="E3921" s="3"/>
      <c r="F3921" s="3"/>
      <c r="G3921"/>
      <c r="H3921"/>
      <c r="I3921"/>
      <c r="J3921"/>
      <c r="K3921"/>
      <c r="L3921"/>
      <c r="M3921"/>
      <c r="N3921"/>
      <c r="O3921"/>
      <c r="P3921"/>
      <c r="Q3921"/>
      <c r="R3921"/>
      <c r="S3921"/>
      <c r="T3921"/>
      <c r="U3921"/>
      <c r="V3921"/>
      <c r="W3921"/>
      <c r="X3921"/>
      <c r="Y3921"/>
      <c r="Z3921"/>
      <c r="AA3921"/>
      <c r="AB3921"/>
      <c r="AC3921"/>
      <c r="AD3921"/>
    </row>
    <row r="3922" spans="2:30" x14ac:dyDescent="0.25">
      <c r="B3922"/>
      <c r="C3922"/>
      <c r="D3922"/>
      <c r="E3922" s="3"/>
      <c r="F3922" s="3"/>
      <c r="G3922"/>
      <c r="H3922"/>
      <c r="I3922"/>
      <c r="J3922"/>
      <c r="K3922"/>
      <c r="L3922"/>
      <c r="M3922"/>
      <c r="N3922"/>
      <c r="O3922"/>
      <c r="P3922"/>
      <c r="Q3922"/>
      <c r="R3922"/>
      <c r="S3922"/>
      <c r="T3922"/>
      <c r="U3922"/>
      <c r="V3922"/>
      <c r="W3922"/>
      <c r="X3922"/>
      <c r="Y3922"/>
      <c r="Z3922"/>
      <c r="AA3922"/>
      <c r="AB3922"/>
      <c r="AC3922"/>
      <c r="AD3922"/>
    </row>
    <row r="3923" spans="2:30" x14ac:dyDescent="0.25">
      <c r="B3923"/>
      <c r="C3923"/>
      <c r="D3923"/>
      <c r="E3923" s="3"/>
      <c r="F3923" s="3"/>
      <c r="G3923"/>
      <c r="H3923"/>
      <c r="I3923"/>
      <c r="J3923"/>
      <c r="K3923"/>
      <c r="L3923"/>
      <c r="M3923"/>
      <c r="N3923"/>
      <c r="O3923"/>
      <c r="P3923"/>
      <c r="Q3923"/>
      <c r="R3923"/>
      <c r="S3923"/>
      <c r="T3923"/>
      <c r="U3923"/>
      <c r="V3923"/>
      <c r="W3923"/>
      <c r="X3923"/>
      <c r="Y3923"/>
      <c r="Z3923"/>
      <c r="AA3923"/>
      <c r="AB3923"/>
      <c r="AC3923"/>
      <c r="AD3923"/>
    </row>
    <row r="3924" spans="2:30" x14ac:dyDescent="0.25">
      <c r="B3924"/>
      <c r="C3924"/>
      <c r="D3924"/>
      <c r="E3924" s="3"/>
      <c r="F3924" s="3"/>
      <c r="G3924"/>
      <c r="H3924"/>
      <c r="I3924"/>
      <c r="J3924"/>
      <c r="K3924"/>
      <c r="L3924"/>
      <c r="M3924"/>
      <c r="N3924"/>
      <c r="O3924"/>
      <c r="P3924"/>
      <c r="Q3924"/>
      <c r="R3924"/>
      <c r="S3924"/>
      <c r="T3924"/>
      <c r="U3924"/>
      <c r="V3924"/>
      <c r="W3924"/>
      <c r="X3924"/>
      <c r="Y3924"/>
      <c r="Z3924"/>
      <c r="AA3924"/>
      <c r="AB3924"/>
      <c r="AC3924"/>
      <c r="AD3924"/>
    </row>
    <row r="3925" spans="2:30" x14ac:dyDescent="0.25">
      <c r="B3925"/>
      <c r="C3925"/>
      <c r="D3925"/>
      <c r="E3925" s="3"/>
      <c r="F3925" s="3"/>
      <c r="G3925"/>
      <c r="H3925"/>
      <c r="I3925"/>
      <c r="J3925"/>
      <c r="K3925"/>
      <c r="L3925"/>
      <c r="M3925"/>
      <c r="N3925"/>
      <c r="O3925"/>
      <c r="P3925"/>
      <c r="Q3925"/>
      <c r="R3925"/>
      <c r="S3925"/>
      <c r="T3925"/>
      <c r="U3925"/>
      <c r="V3925"/>
      <c r="W3925"/>
      <c r="X3925"/>
      <c r="Y3925"/>
      <c r="Z3925"/>
      <c r="AA3925"/>
      <c r="AB3925"/>
      <c r="AC3925"/>
      <c r="AD3925"/>
    </row>
    <row r="3926" spans="2:30" x14ac:dyDescent="0.25">
      <c r="B3926"/>
      <c r="C3926"/>
      <c r="D3926"/>
      <c r="E3926" s="3"/>
      <c r="F3926" s="3"/>
      <c r="G3926"/>
      <c r="H3926"/>
      <c r="I3926"/>
      <c r="J3926"/>
      <c r="K3926"/>
      <c r="L3926"/>
      <c r="M3926"/>
      <c r="N3926"/>
      <c r="O3926"/>
      <c r="P3926"/>
      <c r="Q3926"/>
      <c r="R3926"/>
      <c r="S3926"/>
      <c r="T3926"/>
      <c r="U3926"/>
      <c r="V3926"/>
      <c r="W3926"/>
      <c r="X3926"/>
      <c r="Y3926"/>
      <c r="Z3926"/>
      <c r="AA3926"/>
      <c r="AB3926"/>
      <c r="AC3926"/>
      <c r="AD3926"/>
    </row>
    <row r="3927" spans="2:30" x14ac:dyDescent="0.25">
      <c r="B3927"/>
      <c r="C3927"/>
      <c r="D3927"/>
      <c r="E3927" s="3"/>
      <c r="F3927" s="3"/>
      <c r="G3927"/>
      <c r="H3927"/>
      <c r="I3927"/>
      <c r="J3927"/>
      <c r="K3927"/>
      <c r="L3927"/>
      <c r="M3927"/>
      <c r="N3927"/>
      <c r="O3927"/>
      <c r="P3927"/>
      <c r="Q3927"/>
      <c r="R3927"/>
      <c r="S3927"/>
      <c r="T3927"/>
      <c r="U3927"/>
      <c r="V3927"/>
      <c r="W3927"/>
      <c r="X3927"/>
      <c r="Y3927"/>
      <c r="Z3927"/>
      <c r="AA3927"/>
      <c r="AB3927"/>
      <c r="AC3927"/>
      <c r="AD3927"/>
    </row>
    <row r="3928" spans="2:30" x14ac:dyDescent="0.25">
      <c r="B3928"/>
      <c r="C3928"/>
      <c r="D3928"/>
      <c r="E3928" s="3"/>
      <c r="F3928" s="3"/>
      <c r="G3928"/>
      <c r="H3928"/>
      <c r="I3928"/>
      <c r="J3928"/>
      <c r="K3928"/>
      <c r="L3928"/>
      <c r="M3928"/>
      <c r="N3928"/>
      <c r="O3928"/>
      <c r="P3928"/>
      <c r="Q3928"/>
      <c r="R3928"/>
      <c r="S3928"/>
      <c r="T3928"/>
      <c r="U3928"/>
      <c r="V3928"/>
      <c r="W3928"/>
      <c r="X3928"/>
      <c r="Y3928"/>
      <c r="Z3928"/>
      <c r="AA3928"/>
      <c r="AB3928"/>
      <c r="AC3928"/>
      <c r="AD3928"/>
    </row>
    <row r="3929" spans="2:30" x14ac:dyDescent="0.25">
      <c r="B3929"/>
      <c r="C3929"/>
      <c r="D3929"/>
      <c r="E3929" s="3"/>
      <c r="F3929" s="3"/>
      <c r="G3929"/>
      <c r="H3929"/>
      <c r="I3929"/>
      <c r="J3929"/>
      <c r="K3929"/>
      <c r="L3929"/>
      <c r="M3929"/>
      <c r="N3929"/>
      <c r="O3929"/>
      <c r="P3929"/>
      <c r="Q3929"/>
      <c r="R3929"/>
      <c r="S3929"/>
      <c r="T3929"/>
      <c r="U3929"/>
      <c r="V3929"/>
      <c r="W3929"/>
      <c r="X3929"/>
      <c r="Y3929"/>
      <c r="Z3929"/>
      <c r="AA3929"/>
      <c r="AB3929"/>
      <c r="AC3929"/>
      <c r="AD3929"/>
    </row>
    <row r="3930" spans="2:30" x14ac:dyDescent="0.25">
      <c r="B3930"/>
      <c r="C3930"/>
      <c r="D3930"/>
      <c r="E3930" s="3"/>
      <c r="F3930" s="3"/>
      <c r="G3930"/>
      <c r="H3930"/>
      <c r="I3930"/>
      <c r="J3930"/>
      <c r="K3930"/>
      <c r="L3930"/>
      <c r="M3930"/>
      <c r="N3930"/>
      <c r="O3930"/>
      <c r="P3930"/>
      <c r="Q3930"/>
      <c r="R3930"/>
      <c r="S3930"/>
      <c r="T3930"/>
      <c r="U3930"/>
      <c r="V3930"/>
      <c r="W3930"/>
      <c r="X3930"/>
      <c r="Y3930"/>
      <c r="Z3930"/>
      <c r="AA3930"/>
      <c r="AB3930"/>
      <c r="AC3930"/>
      <c r="AD3930"/>
    </row>
    <row r="3931" spans="2:30" x14ac:dyDescent="0.25">
      <c r="B3931"/>
      <c r="C3931"/>
      <c r="D3931"/>
      <c r="E3931" s="3"/>
      <c r="F3931" s="3"/>
      <c r="G3931"/>
      <c r="H3931"/>
      <c r="I3931"/>
      <c r="J3931"/>
      <c r="K3931"/>
      <c r="L3931"/>
      <c r="M3931"/>
      <c r="N3931"/>
      <c r="O3931"/>
      <c r="P3931"/>
      <c r="Q3931"/>
      <c r="R3931"/>
      <c r="S3931"/>
      <c r="T3931"/>
      <c r="U3931"/>
      <c r="V3931"/>
      <c r="W3931"/>
      <c r="X3931"/>
      <c r="Y3931"/>
      <c r="Z3931"/>
      <c r="AA3931"/>
      <c r="AB3931"/>
      <c r="AC3931"/>
      <c r="AD3931"/>
    </row>
    <row r="3932" spans="2:30" x14ac:dyDescent="0.25">
      <c r="B3932"/>
      <c r="C3932"/>
      <c r="D3932"/>
      <c r="E3932" s="3"/>
      <c r="F3932" s="3"/>
      <c r="G3932"/>
      <c r="H3932"/>
      <c r="I3932"/>
      <c r="J3932"/>
      <c r="K3932"/>
      <c r="L3932"/>
      <c r="M3932"/>
      <c r="N3932"/>
      <c r="O3932"/>
      <c r="P3932"/>
      <c r="Q3932"/>
      <c r="R3932"/>
      <c r="S3932"/>
      <c r="T3932"/>
      <c r="U3932"/>
      <c r="V3932"/>
      <c r="W3932"/>
      <c r="X3932"/>
      <c r="Y3932"/>
      <c r="Z3932"/>
      <c r="AA3932"/>
      <c r="AB3932"/>
      <c r="AC3932"/>
      <c r="AD3932"/>
    </row>
    <row r="3933" spans="2:30" x14ac:dyDescent="0.25">
      <c r="B3933"/>
      <c r="C3933"/>
      <c r="D3933"/>
      <c r="E3933" s="3"/>
      <c r="F3933" s="3"/>
      <c r="G3933"/>
      <c r="H3933"/>
      <c r="I3933"/>
      <c r="J3933"/>
      <c r="K3933"/>
      <c r="L3933"/>
      <c r="M3933"/>
      <c r="N3933"/>
      <c r="O3933"/>
      <c r="P3933"/>
      <c r="Q3933"/>
      <c r="R3933"/>
      <c r="S3933"/>
      <c r="T3933"/>
      <c r="U3933"/>
      <c r="V3933"/>
      <c r="W3933"/>
      <c r="X3933"/>
      <c r="Y3933"/>
      <c r="Z3933"/>
      <c r="AA3933"/>
      <c r="AB3933"/>
      <c r="AC3933"/>
      <c r="AD3933"/>
    </row>
    <row r="3934" spans="2:30" x14ac:dyDescent="0.25">
      <c r="B3934"/>
      <c r="C3934"/>
      <c r="D3934"/>
      <c r="E3934" s="3"/>
      <c r="F3934" s="3"/>
      <c r="G3934"/>
      <c r="H3934"/>
      <c r="I3934"/>
      <c r="J3934"/>
      <c r="K3934"/>
      <c r="L3934"/>
      <c r="M3934"/>
      <c r="N3934"/>
      <c r="O3934"/>
      <c r="P3934"/>
      <c r="Q3934"/>
      <c r="R3934"/>
      <c r="S3934"/>
      <c r="T3934"/>
      <c r="U3934"/>
      <c r="V3934"/>
      <c r="W3934"/>
      <c r="X3934"/>
      <c r="Y3934"/>
      <c r="Z3934"/>
      <c r="AA3934"/>
      <c r="AB3934"/>
      <c r="AC3934"/>
      <c r="AD3934"/>
    </row>
    <row r="3935" spans="2:30" x14ac:dyDescent="0.25">
      <c r="B3935"/>
      <c r="C3935"/>
      <c r="D3935"/>
      <c r="E3935" s="3"/>
      <c r="F3935" s="3"/>
      <c r="G3935"/>
      <c r="H3935"/>
      <c r="I3935"/>
      <c r="J3935"/>
      <c r="K3935"/>
      <c r="L3935"/>
      <c r="M3935"/>
      <c r="N3935"/>
      <c r="O3935"/>
      <c r="P3935"/>
      <c r="Q3935"/>
      <c r="R3935"/>
      <c r="S3935"/>
      <c r="T3935"/>
      <c r="U3935"/>
      <c r="V3935"/>
      <c r="W3935"/>
      <c r="X3935"/>
      <c r="Y3935"/>
      <c r="Z3935"/>
      <c r="AA3935"/>
      <c r="AB3935"/>
      <c r="AC3935"/>
      <c r="AD3935"/>
    </row>
    <row r="3936" spans="2:30" x14ac:dyDescent="0.25">
      <c r="B3936"/>
      <c r="C3936"/>
      <c r="D3936"/>
      <c r="E3936" s="3"/>
      <c r="F3936" s="3"/>
      <c r="G3936"/>
      <c r="H3936"/>
      <c r="I3936"/>
      <c r="J3936"/>
      <c r="K3936"/>
      <c r="L3936"/>
      <c r="M3936"/>
      <c r="N3936"/>
      <c r="O3936"/>
      <c r="P3936"/>
      <c r="Q3936"/>
      <c r="R3936"/>
      <c r="S3936"/>
      <c r="T3936"/>
      <c r="U3936"/>
      <c r="V3936"/>
      <c r="W3936"/>
      <c r="X3936"/>
      <c r="Y3936"/>
      <c r="Z3936"/>
      <c r="AA3936"/>
      <c r="AB3936"/>
      <c r="AC3936"/>
      <c r="AD3936"/>
    </row>
    <row r="3937" spans="2:30" x14ac:dyDescent="0.25">
      <c r="B3937"/>
      <c r="C3937"/>
      <c r="D3937"/>
      <c r="E3937" s="3"/>
      <c r="F3937" s="3"/>
      <c r="G3937"/>
      <c r="H3937"/>
      <c r="I3937"/>
      <c r="J3937"/>
      <c r="K3937"/>
      <c r="L3937"/>
      <c r="M3937"/>
      <c r="N3937"/>
      <c r="O3937"/>
      <c r="P3937"/>
      <c r="Q3937"/>
      <c r="R3937"/>
      <c r="S3937"/>
      <c r="T3937"/>
      <c r="U3937"/>
      <c r="V3937"/>
      <c r="W3937"/>
      <c r="X3937"/>
      <c r="Y3937"/>
      <c r="Z3937"/>
      <c r="AA3937"/>
      <c r="AB3937"/>
      <c r="AC3937"/>
      <c r="AD3937"/>
    </row>
    <row r="3938" spans="2:30" x14ac:dyDescent="0.25">
      <c r="B3938"/>
      <c r="C3938"/>
      <c r="D3938"/>
      <c r="E3938" s="3"/>
      <c r="F3938" s="3"/>
      <c r="G3938"/>
      <c r="H3938"/>
      <c r="I3938"/>
      <c r="J3938"/>
      <c r="K3938"/>
      <c r="L3938"/>
      <c r="M3938"/>
      <c r="N3938"/>
      <c r="O3938"/>
      <c r="P3938"/>
      <c r="Q3938"/>
      <c r="R3938"/>
      <c r="S3938"/>
      <c r="T3938"/>
      <c r="U3938"/>
      <c r="V3938"/>
      <c r="W3938"/>
      <c r="X3938"/>
      <c r="Y3938"/>
      <c r="Z3938"/>
      <c r="AA3938"/>
      <c r="AB3938"/>
      <c r="AC3938"/>
      <c r="AD3938"/>
    </row>
    <row r="3939" spans="2:30" x14ac:dyDescent="0.25">
      <c r="B3939"/>
      <c r="C3939"/>
      <c r="D3939"/>
      <c r="E3939" s="3"/>
      <c r="F3939" s="3"/>
      <c r="G3939"/>
      <c r="H3939"/>
      <c r="I3939"/>
      <c r="J3939"/>
      <c r="K3939"/>
      <c r="L3939"/>
      <c r="M3939"/>
      <c r="N3939"/>
      <c r="O3939"/>
      <c r="P3939"/>
      <c r="Q3939"/>
      <c r="R3939"/>
      <c r="S3939"/>
      <c r="T3939"/>
      <c r="U3939"/>
      <c r="V3939"/>
      <c r="W3939"/>
      <c r="X3939"/>
      <c r="Y3939"/>
      <c r="Z3939"/>
      <c r="AA3939"/>
      <c r="AB3939"/>
      <c r="AC3939"/>
      <c r="AD3939"/>
    </row>
    <row r="3940" spans="2:30" x14ac:dyDescent="0.25">
      <c r="B3940"/>
      <c r="C3940"/>
      <c r="D3940"/>
      <c r="E3940" s="3"/>
      <c r="F3940" s="3"/>
      <c r="G3940"/>
      <c r="H3940"/>
      <c r="I3940"/>
      <c r="J3940"/>
      <c r="K3940"/>
      <c r="L3940"/>
      <c r="M3940"/>
      <c r="N3940"/>
      <c r="O3940"/>
      <c r="P3940"/>
      <c r="Q3940"/>
      <c r="R3940"/>
      <c r="S3940"/>
      <c r="T3940"/>
      <c r="U3940"/>
      <c r="V3940"/>
      <c r="W3940"/>
      <c r="X3940"/>
      <c r="Y3940"/>
      <c r="Z3940"/>
      <c r="AA3940"/>
      <c r="AB3940"/>
      <c r="AC3940"/>
      <c r="AD3940"/>
    </row>
    <row r="3941" spans="2:30" x14ac:dyDescent="0.25">
      <c r="B3941"/>
      <c r="C3941"/>
      <c r="D3941"/>
      <c r="E3941" s="3"/>
      <c r="F3941" s="3"/>
      <c r="G3941"/>
      <c r="H3941"/>
      <c r="I3941"/>
      <c r="J3941"/>
      <c r="K3941"/>
      <c r="L3941"/>
      <c r="M3941"/>
      <c r="N3941"/>
      <c r="O3941"/>
      <c r="P3941"/>
      <c r="Q3941"/>
      <c r="R3941"/>
      <c r="S3941"/>
      <c r="T3941"/>
      <c r="U3941"/>
      <c r="V3941"/>
      <c r="W3941"/>
      <c r="X3941"/>
      <c r="Y3941"/>
      <c r="Z3941"/>
      <c r="AA3941"/>
      <c r="AB3941"/>
      <c r="AC3941"/>
      <c r="AD3941"/>
    </row>
    <row r="3942" spans="2:30" x14ac:dyDescent="0.25">
      <c r="B3942"/>
      <c r="C3942"/>
      <c r="D3942"/>
      <c r="E3942" s="3"/>
      <c r="F3942" s="3"/>
      <c r="G3942"/>
      <c r="H3942"/>
      <c r="I3942"/>
      <c r="J3942"/>
      <c r="K3942"/>
      <c r="L3942"/>
      <c r="M3942"/>
      <c r="N3942"/>
      <c r="O3942"/>
      <c r="P3942"/>
      <c r="Q3942"/>
      <c r="R3942"/>
      <c r="S3942"/>
      <c r="T3942"/>
      <c r="U3942"/>
      <c r="V3942"/>
      <c r="W3942"/>
      <c r="X3942"/>
      <c r="Y3942"/>
      <c r="Z3942"/>
      <c r="AA3942"/>
      <c r="AB3942"/>
      <c r="AC3942"/>
      <c r="AD3942"/>
    </row>
    <row r="3943" spans="2:30" x14ac:dyDescent="0.25">
      <c r="B3943"/>
      <c r="C3943"/>
      <c r="D3943"/>
      <c r="E3943" s="3"/>
      <c r="F3943" s="3"/>
      <c r="G3943"/>
      <c r="H3943"/>
      <c r="I3943"/>
      <c r="J3943"/>
      <c r="K3943"/>
      <c r="L3943"/>
      <c r="M3943"/>
      <c r="N3943"/>
      <c r="O3943"/>
      <c r="P3943"/>
      <c r="Q3943"/>
      <c r="R3943"/>
      <c r="S3943"/>
      <c r="T3943"/>
      <c r="U3943"/>
      <c r="V3943"/>
      <c r="W3943"/>
      <c r="X3943"/>
      <c r="Y3943"/>
      <c r="Z3943"/>
      <c r="AA3943"/>
      <c r="AB3943"/>
      <c r="AC3943"/>
      <c r="AD3943"/>
    </row>
    <row r="3944" spans="2:30" x14ac:dyDescent="0.25">
      <c r="B3944"/>
      <c r="C3944"/>
      <c r="D3944"/>
      <c r="E3944" s="3"/>
      <c r="F3944" s="3"/>
      <c r="G3944"/>
      <c r="H3944"/>
      <c r="I3944"/>
      <c r="J3944"/>
      <c r="K3944"/>
      <c r="L3944"/>
      <c r="M3944"/>
      <c r="N3944"/>
      <c r="O3944"/>
      <c r="P3944"/>
      <c r="Q3944"/>
      <c r="R3944"/>
      <c r="S3944"/>
      <c r="T3944"/>
      <c r="U3944"/>
      <c r="V3944"/>
      <c r="W3944"/>
      <c r="X3944"/>
      <c r="Y3944"/>
      <c r="Z3944"/>
      <c r="AA3944"/>
      <c r="AB3944"/>
      <c r="AC3944"/>
      <c r="AD3944"/>
    </row>
    <row r="3945" spans="2:30" x14ac:dyDescent="0.25">
      <c r="B3945"/>
      <c r="C3945"/>
      <c r="D3945"/>
      <c r="E3945" s="3"/>
      <c r="F3945" s="3"/>
      <c r="G3945"/>
      <c r="H3945"/>
      <c r="I3945"/>
      <c r="J3945"/>
      <c r="K3945"/>
      <c r="L3945"/>
      <c r="M3945"/>
      <c r="N3945"/>
      <c r="O3945"/>
      <c r="P3945"/>
      <c r="Q3945"/>
      <c r="R3945"/>
      <c r="S3945"/>
      <c r="T3945"/>
      <c r="U3945"/>
      <c r="V3945"/>
      <c r="W3945"/>
      <c r="X3945"/>
      <c r="Y3945"/>
      <c r="Z3945"/>
      <c r="AA3945"/>
      <c r="AB3945"/>
      <c r="AC3945"/>
      <c r="AD3945"/>
    </row>
    <row r="3946" spans="2:30" x14ac:dyDescent="0.25">
      <c r="B3946"/>
      <c r="C3946"/>
      <c r="D3946"/>
      <c r="E3946" s="3"/>
      <c r="F3946" s="3"/>
      <c r="G3946"/>
      <c r="H3946"/>
      <c r="I3946"/>
      <c r="J3946"/>
      <c r="K3946"/>
      <c r="L3946"/>
      <c r="M3946"/>
      <c r="N3946"/>
      <c r="O3946"/>
      <c r="P3946"/>
      <c r="Q3946"/>
      <c r="R3946"/>
      <c r="S3946"/>
      <c r="T3946"/>
      <c r="U3946"/>
      <c r="V3946"/>
      <c r="W3946"/>
      <c r="X3946"/>
      <c r="Y3946"/>
      <c r="Z3946"/>
      <c r="AA3946"/>
      <c r="AB3946"/>
      <c r="AC3946"/>
      <c r="AD3946"/>
    </row>
    <row r="3947" spans="2:30" x14ac:dyDescent="0.25">
      <c r="B3947"/>
      <c r="C3947"/>
      <c r="D3947"/>
      <c r="E3947" s="3"/>
      <c r="F3947" s="3"/>
      <c r="G3947"/>
      <c r="H3947"/>
      <c r="I3947"/>
      <c r="J3947"/>
      <c r="K3947"/>
      <c r="L3947"/>
      <c r="M3947"/>
      <c r="N3947"/>
      <c r="O3947"/>
      <c r="P3947"/>
      <c r="Q3947"/>
      <c r="R3947"/>
      <c r="S3947"/>
      <c r="T3947"/>
      <c r="U3947"/>
      <c r="V3947"/>
      <c r="W3947"/>
      <c r="X3947"/>
      <c r="Y3947"/>
      <c r="Z3947"/>
      <c r="AA3947"/>
      <c r="AB3947"/>
      <c r="AC3947"/>
      <c r="AD3947"/>
    </row>
    <row r="3948" spans="2:30" x14ac:dyDescent="0.25">
      <c r="B3948"/>
      <c r="C3948"/>
      <c r="D3948"/>
      <c r="E3948" s="3"/>
      <c r="F3948" s="3"/>
      <c r="G3948"/>
      <c r="H3948"/>
      <c r="I3948"/>
      <c r="J3948"/>
      <c r="K3948"/>
      <c r="L3948"/>
      <c r="M3948"/>
      <c r="N3948"/>
      <c r="O3948"/>
      <c r="P3948"/>
      <c r="Q3948"/>
      <c r="R3948"/>
      <c r="S3948"/>
      <c r="T3948"/>
      <c r="U3948"/>
      <c r="V3948"/>
      <c r="W3948"/>
      <c r="X3948"/>
      <c r="Y3948"/>
      <c r="Z3948"/>
      <c r="AA3948"/>
      <c r="AB3948"/>
      <c r="AC3948"/>
      <c r="AD3948"/>
    </row>
    <row r="3949" spans="2:30" x14ac:dyDescent="0.25">
      <c r="B3949"/>
      <c r="C3949"/>
      <c r="D3949"/>
      <c r="E3949" s="3"/>
      <c r="F3949" s="3"/>
      <c r="G3949"/>
      <c r="H3949"/>
      <c r="I3949"/>
      <c r="J3949"/>
      <c r="K3949"/>
      <c r="L3949"/>
      <c r="M3949"/>
      <c r="N3949"/>
      <c r="O3949"/>
      <c r="P3949"/>
      <c r="Q3949"/>
      <c r="R3949"/>
      <c r="S3949"/>
      <c r="T3949"/>
      <c r="U3949"/>
      <c r="V3949"/>
      <c r="W3949"/>
      <c r="X3949"/>
      <c r="Y3949"/>
      <c r="Z3949"/>
      <c r="AA3949"/>
      <c r="AB3949"/>
      <c r="AC3949"/>
      <c r="AD3949"/>
    </row>
    <row r="3950" spans="2:30" x14ac:dyDescent="0.25">
      <c r="B3950"/>
      <c r="C3950"/>
      <c r="D3950"/>
      <c r="E3950" s="3"/>
      <c r="F3950" s="3"/>
      <c r="G3950"/>
      <c r="H3950"/>
      <c r="I3950"/>
      <c r="J3950"/>
      <c r="K3950"/>
      <c r="L3950"/>
      <c r="M3950"/>
      <c r="N3950"/>
      <c r="O3950"/>
      <c r="P3950"/>
      <c r="Q3950"/>
      <c r="R3950"/>
      <c r="S3950"/>
      <c r="T3950"/>
      <c r="U3950"/>
      <c r="V3950"/>
      <c r="W3950"/>
      <c r="X3950"/>
      <c r="Y3950"/>
      <c r="Z3950"/>
      <c r="AA3950"/>
      <c r="AB3950"/>
      <c r="AC3950"/>
      <c r="AD3950"/>
    </row>
    <row r="3951" spans="2:30" x14ac:dyDescent="0.25">
      <c r="B3951"/>
      <c r="C3951"/>
      <c r="D3951"/>
      <c r="E3951" s="3"/>
      <c r="F3951" s="3"/>
      <c r="G3951"/>
      <c r="H3951"/>
      <c r="I3951"/>
      <c r="J3951"/>
      <c r="K3951"/>
      <c r="L3951"/>
      <c r="M3951"/>
      <c r="N3951"/>
      <c r="O3951"/>
      <c r="P3951"/>
      <c r="Q3951"/>
      <c r="R3951"/>
      <c r="S3951"/>
      <c r="T3951"/>
      <c r="U3951"/>
      <c r="V3951"/>
      <c r="W3951"/>
      <c r="X3951"/>
      <c r="Y3951"/>
      <c r="Z3951"/>
      <c r="AA3951"/>
      <c r="AB3951"/>
      <c r="AC3951"/>
      <c r="AD3951"/>
    </row>
    <row r="3952" spans="2:30" x14ac:dyDescent="0.25">
      <c r="B3952"/>
      <c r="C3952"/>
      <c r="D3952"/>
      <c r="E3952" s="3"/>
      <c r="F3952" s="3"/>
      <c r="G3952"/>
      <c r="H3952"/>
      <c r="I3952"/>
      <c r="J3952"/>
      <c r="K3952"/>
      <c r="L3952"/>
      <c r="M3952"/>
      <c r="N3952"/>
      <c r="O3952"/>
      <c r="P3952"/>
      <c r="Q3952"/>
      <c r="R3952"/>
      <c r="S3952"/>
      <c r="T3952"/>
      <c r="U3952"/>
      <c r="V3952"/>
      <c r="W3952"/>
      <c r="X3952"/>
      <c r="Y3952"/>
      <c r="Z3952"/>
      <c r="AA3952"/>
      <c r="AB3952"/>
      <c r="AC3952"/>
      <c r="AD3952"/>
    </row>
    <row r="3953" spans="2:30" x14ac:dyDescent="0.25">
      <c r="B3953"/>
      <c r="C3953"/>
      <c r="D3953"/>
      <c r="E3953" s="3"/>
      <c r="F3953" s="3"/>
      <c r="G3953"/>
      <c r="H3953"/>
      <c r="I3953"/>
      <c r="J3953"/>
      <c r="K3953"/>
      <c r="L3953"/>
      <c r="M3953"/>
      <c r="N3953"/>
      <c r="O3953"/>
      <c r="P3953"/>
      <c r="Q3953"/>
      <c r="R3953"/>
      <c r="S3953"/>
      <c r="T3953"/>
      <c r="U3953"/>
      <c r="V3953"/>
      <c r="W3953"/>
      <c r="X3953"/>
      <c r="Y3953"/>
      <c r="Z3953"/>
      <c r="AA3953"/>
      <c r="AB3953"/>
      <c r="AC3953"/>
      <c r="AD3953"/>
    </row>
    <row r="3954" spans="2:30" x14ac:dyDescent="0.25">
      <c r="B3954"/>
      <c r="C3954"/>
      <c r="D3954"/>
      <c r="E3954" s="3"/>
      <c r="F3954" s="3"/>
      <c r="G3954"/>
      <c r="H3954"/>
      <c r="I3954"/>
      <c r="J3954"/>
      <c r="K3954"/>
      <c r="L3954"/>
      <c r="M3954"/>
      <c r="N3954"/>
      <c r="O3954"/>
      <c r="P3954"/>
      <c r="Q3954"/>
      <c r="R3954"/>
      <c r="S3954"/>
      <c r="T3954"/>
      <c r="U3954"/>
      <c r="V3954"/>
      <c r="W3954"/>
      <c r="X3954"/>
      <c r="Y3954"/>
      <c r="Z3954"/>
      <c r="AA3954"/>
      <c r="AB3954"/>
      <c r="AC3954"/>
      <c r="AD3954"/>
    </row>
    <row r="3955" spans="2:30" x14ac:dyDescent="0.25">
      <c r="B3955"/>
      <c r="C3955"/>
      <c r="D3955"/>
      <c r="E3955" s="3"/>
      <c r="F3955" s="3"/>
      <c r="G3955"/>
      <c r="H3955"/>
      <c r="I3955"/>
      <c r="J3955"/>
      <c r="K3955"/>
      <c r="L3955"/>
      <c r="M3955"/>
      <c r="N3955"/>
      <c r="O3955"/>
      <c r="P3955"/>
      <c r="Q3955"/>
      <c r="R3955"/>
      <c r="S3955"/>
      <c r="T3955"/>
      <c r="U3955"/>
      <c r="V3955"/>
      <c r="W3955"/>
      <c r="X3955"/>
      <c r="Y3955"/>
      <c r="Z3955"/>
      <c r="AA3955"/>
      <c r="AB3955"/>
      <c r="AC3955"/>
      <c r="AD3955"/>
    </row>
    <row r="3956" spans="2:30" x14ac:dyDescent="0.25">
      <c r="B3956"/>
      <c r="C3956"/>
      <c r="D3956"/>
      <c r="E3956" s="3"/>
      <c r="F3956" s="3"/>
      <c r="G3956"/>
      <c r="H3956"/>
      <c r="I3956"/>
      <c r="J3956"/>
      <c r="K3956"/>
      <c r="L3956"/>
      <c r="M3956"/>
      <c r="N3956"/>
      <c r="O3956"/>
      <c r="P3956"/>
      <c r="Q3956"/>
      <c r="R3956"/>
      <c r="S3956"/>
      <c r="T3956"/>
      <c r="U3956"/>
      <c r="V3956"/>
      <c r="W3956"/>
      <c r="X3956"/>
      <c r="Y3956"/>
      <c r="Z3956"/>
      <c r="AA3956"/>
      <c r="AB3956"/>
      <c r="AC3956"/>
      <c r="AD3956"/>
    </row>
    <row r="3957" spans="2:30" x14ac:dyDescent="0.25">
      <c r="B3957"/>
      <c r="C3957"/>
      <c r="D3957"/>
      <c r="E3957" s="3"/>
      <c r="F3957" s="3"/>
      <c r="G3957"/>
      <c r="H3957"/>
      <c r="I3957"/>
      <c r="J3957"/>
      <c r="K3957"/>
      <c r="L3957"/>
      <c r="M3957"/>
      <c r="N3957"/>
      <c r="O3957"/>
      <c r="P3957"/>
      <c r="Q3957"/>
      <c r="R3957"/>
      <c r="S3957"/>
      <c r="T3957"/>
      <c r="U3957"/>
      <c r="V3957"/>
      <c r="W3957"/>
      <c r="X3957"/>
      <c r="Y3957"/>
      <c r="Z3957"/>
      <c r="AA3957"/>
      <c r="AB3957"/>
      <c r="AC3957"/>
      <c r="AD3957"/>
    </row>
    <row r="3958" spans="2:30" x14ac:dyDescent="0.25">
      <c r="B3958"/>
      <c r="C3958"/>
      <c r="D3958"/>
      <c r="E3958" s="3"/>
      <c r="F3958" s="3"/>
      <c r="G3958"/>
      <c r="H3958"/>
      <c r="I3958"/>
      <c r="J3958"/>
      <c r="K3958"/>
      <c r="L3958"/>
      <c r="M3958"/>
      <c r="N3958"/>
      <c r="O3958"/>
      <c r="P3958"/>
      <c r="Q3958"/>
      <c r="R3958"/>
      <c r="S3958"/>
      <c r="T3958"/>
      <c r="U3958"/>
      <c r="V3958"/>
      <c r="W3958"/>
      <c r="X3958"/>
      <c r="Y3958"/>
      <c r="Z3958"/>
      <c r="AA3958"/>
      <c r="AB3958"/>
      <c r="AC3958"/>
      <c r="AD3958"/>
    </row>
    <row r="3959" spans="2:30" x14ac:dyDescent="0.25">
      <c r="B3959"/>
      <c r="C3959"/>
      <c r="D3959"/>
      <c r="E3959" s="3"/>
      <c r="F3959" s="3"/>
      <c r="G3959"/>
      <c r="H3959"/>
      <c r="I3959"/>
      <c r="J3959"/>
      <c r="K3959"/>
      <c r="L3959"/>
      <c r="M3959"/>
      <c r="N3959"/>
      <c r="O3959"/>
      <c r="P3959"/>
      <c r="Q3959"/>
      <c r="R3959"/>
      <c r="S3959"/>
      <c r="T3959"/>
      <c r="U3959"/>
      <c r="V3959"/>
      <c r="W3959"/>
      <c r="X3959"/>
      <c r="Y3959"/>
      <c r="Z3959"/>
      <c r="AA3959"/>
      <c r="AB3959"/>
      <c r="AC3959"/>
      <c r="AD3959"/>
    </row>
    <row r="3960" spans="2:30" x14ac:dyDescent="0.25">
      <c r="B3960"/>
      <c r="C3960"/>
      <c r="D3960"/>
      <c r="E3960" s="3"/>
      <c r="F3960" s="3"/>
      <c r="G3960"/>
      <c r="H3960"/>
      <c r="I3960"/>
      <c r="J3960"/>
      <c r="K3960"/>
      <c r="L3960"/>
      <c r="M3960"/>
      <c r="N3960"/>
      <c r="O3960"/>
      <c r="P3960"/>
      <c r="Q3960"/>
      <c r="R3960"/>
      <c r="S3960"/>
      <c r="T3960"/>
      <c r="U3960"/>
      <c r="V3960"/>
      <c r="W3960"/>
      <c r="X3960"/>
      <c r="Y3960"/>
      <c r="Z3960"/>
      <c r="AA3960"/>
      <c r="AB3960"/>
      <c r="AC3960"/>
      <c r="AD3960"/>
    </row>
    <row r="3961" spans="2:30" x14ac:dyDescent="0.25">
      <c r="B3961"/>
      <c r="C3961"/>
      <c r="D3961"/>
      <c r="E3961" s="3"/>
      <c r="F3961" s="3"/>
      <c r="G3961"/>
      <c r="H3961"/>
      <c r="I3961"/>
      <c r="J3961"/>
      <c r="K3961"/>
      <c r="L3961"/>
      <c r="M3961"/>
      <c r="N3961"/>
      <c r="O3961"/>
      <c r="P3961"/>
      <c r="Q3961"/>
      <c r="R3961"/>
      <c r="S3961"/>
      <c r="T3961"/>
      <c r="U3961"/>
      <c r="V3961"/>
      <c r="W3961"/>
      <c r="X3961"/>
      <c r="Y3961"/>
      <c r="Z3961"/>
      <c r="AA3961"/>
      <c r="AB3961"/>
      <c r="AC3961"/>
      <c r="AD3961"/>
    </row>
    <row r="3962" spans="2:30" x14ac:dyDescent="0.25">
      <c r="B3962"/>
      <c r="C3962"/>
      <c r="D3962"/>
      <c r="E3962" s="3"/>
      <c r="F3962" s="3"/>
      <c r="G3962"/>
      <c r="H3962"/>
      <c r="I3962"/>
      <c r="J3962"/>
      <c r="K3962"/>
      <c r="L3962"/>
      <c r="M3962"/>
      <c r="N3962"/>
      <c r="O3962"/>
      <c r="P3962"/>
      <c r="Q3962"/>
      <c r="R3962"/>
      <c r="S3962"/>
      <c r="T3962"/>
      <c r="U3962"/>
      <c r="V3962"/>
      <c r="W3962"/>
      <c r="X3962"/>
      <c r="Y3962"/>
      <c r="Z3962"/>
      <c r="AA3962"/>
      <c r="AB3962"/>
      <c r="AC3962"/>
      <c r="AD3962"/>
    </row>
    <row r="3963" spans="2:30" x14ac:dyDescent="0.25">
      <c r="B3963"/>
      <c r="C3963"/>
      <c r="D3963"/>
      <c r="E3963" s="3"/>
      <c r="F3963" s="3"/>
      <c r="G3963"/>
      <c r="H3963"/>
      <c r="I3963"/>
      <c r="J3963"/>
      <c r="K3963"/>
      <c r="L3963"/>
      <c r="M3963"/>
      <c r="N3963"/>
      <c r="O3963"/>
      <c r="P3963"/>
      <c r="Q3963"/>
      <c r="R3963"/>
      <c r="S3963"/>
      <c r="T3963"/>
      <c r="U3963"/>
      <c r="V3963"/>
      <c r="W3963"/>
      <c r="X3963"/>
      <c r="Y3963"/>
      <c r="Z3963"/>
      <c r="AA3963"/>
      <c r="AB3963"/>
      <c r="AC3963"/>
      <c r="AD3963"/>
    </row>
    <row r="3964" spans="2:30" x14ac:dyDescent="0.25">
      <c r="B3964"/>
      <c r="C3964"/>
      <c r="D3964"/>
      <c r="E3964" s="3"/>
      <c r="F3964" s="3"/>
      <c r="G3964"/>
      <c r="H3964"/>
      <c r="I3964"/>
      <c r="J3964"/>
      <c r="K3964"/>
      <c r="L3964"/>
      <c r="M3964"/>
      <c r="N3964"/>
      <c r="O3964"/>
      <c r="P3964"/>
      <c r="Q3964"/>
      <c r="R3964"/>
      <c r="S3964"/>
      <c r="T3964"/>
      <c r="U3964"/>
      <c r="V3964"/>
      <c r="W3964"/>
      <c r="X3964"/>
      <c r="Y3964"/>
      <c r="Z3964"/>
      <c r="AA3964"/>
      <c r="AB3964"/>
      <c r="AC3964"/>
      <c r="AD3964"/>
    </row>
    <row r="3965" spans="2:30" x14ac:dyDescent="0.25">
      <c r="B3965"/>
      <c r="C3965"/>
      <c r="D3965"/>
      <c r="E3965" s="3"/>
      <c r="F3965" s="3"/>
      <c r="G3965"/>
      <c r="H3965"/>
      <c r="I3965"/>
      <c r="J3965"/>
      <c r="K3965"/>
      <c r="L3965"/>
      <c r="M3965"/>
      <c r="N3965"/>
      <c r="O3965"/>
      <c r="P3965"/>
      <c r="Q3965"/>
      <c r="R3965"/>
      <c r="S3965"/>
      <c r="T3965"/>
      <c r="U3965"/>
      <c r="V3965"/>
      <c r="W3965"/>
      <c r="X3965"/>
      <c r="Y3965"/>
      <c r="Z3965"/>
      <c r="AA3965"/>
      <c r="AB3965"/>
      <c r="AC3965"/>
      <c r="AD3965"/>
    </row>
    <row r="3966" spans="2:30" x14ac:dyDescent="0.25">
      <c r="B3966"/>
      <c r="C3966"/>
      <c r="D3966"/>
      <c r="E3966" s="3"/>
      <c r="F3966" s="3"/>
      <c r="G3966"/>
      <c r="H3966"/>
      <c r="I3966"/>
      <c r="J3966"/>
      <c r="K3966"/>
      <c r="L3966"/>
      <c r="M3966"/>
      <c r="N3966"/>
      <c r="O3966"/>
      <c r="P3966"/>
      <c r="Q3966"/>
      <c r="R3966"/>
      <c r="S3966"/>
      <c r="T3966"/>
      <c r="U3966"/>
      <c r="V3966"/>
      <c r="W3966"/>
      <c r="X3966"/>
      <c r="Y3966"/>
      <c r="Z3966"/>
      <c r="AA3966"/>
      <c r="AB3966"/>
      <c r="AC3966"/>
      <c r="AD3966"/>
    </row>
    <row r="3967" spans="2:30" x14ac:dyDescent="0.25">
      <c r="B3967"/>
      <c r="C3967"/>
      <c r="D3967"/>
      <c r="E3967" s="3"/>
      <c r="F3967" s="3"/>
      <c r="G3967"/>
      <c r="H3967"/>
      <c r="I3967"/>
      <c r="J3967"/>
      <c r="K3967"/>
      <c r="L3967"/>
      <c r="M3967"/>
      <c r="N3967"/>
      <c r="O3967"/>
      <c r="P3967"/>
      <c r="Q3967"/>
      <c r="R3967"/>
      <c r="S3967"/>
      <c r="T3967"/>
      <c r="U3967"/>
      <c r="V3967"/>
      <c r="W3967"/>
      <c r="X3967"/>
      <c r="Y3967"/>
      <c r="Z3967"/>
      <c r="AA3967"/>
      <c r="AB3967"/>
      <c r="AC3967"/>
      <c r="AD3967"/>
    </row>
    <row r="3968" spans="2:30" x14ac:dyDescent="0.25">
      <c r="B3968"/>
      <c r="C3968"/>
      <c r="D3968"/>
      <c r="E3968" s="3"/>
      <c r="F3968" s="3"/>
      <c r="G3968"/>
      <c r="H3968"/>
      <c r="I3968"/>
      <c r="J3968"/>
      <c r="K3968"/>
      <c r="L3968"/>
      <c r="M3968"/>
      <c r="N3968"/>
      <c r="O3968"/>
      <c r="P3968"/>
      <c r="Q3968"/>
      <c r="R3968"/>
      <c r="S3968"/>
      <c r="T3968"/>
      <c r="U3968"/>
      <c r="V3968"/>
      <c r="W3968"/>
      <c r="X3968"/>
      <c r="Y3968"/>
      <c r="Z3968"/>
      <c r="AA3968"/>
      <c r="AB3968"/>
      <c r="AC3968"/>
      <c r="AD3968"/>
    </row>
    <row r="3969" spans="2:30" x14ac:dyDescent="0.25">
      <c r="B3969"/>
      <c r="C3969"/>
      <c r="D3969"/>
      <c r="E3969" s="3"/>
      <c r="F3969" s="3"/>
      <c r="G3969"/>
      <c r="H3969"/>
      <c r="I3969"/>
      <c r="J3969"/>
      <c r="K3969"/>
      <c r="L3969"/>
      <c r="M3969"/>
      <c r="N3969"/>
      <c r="O3969"/>
      <c r="P3969"/>
      <c r="Q3969"/>
      <c r="R3969"/>
      <c r="S3969"/>
      <c r="T3969"/>
      <c r="U3969"/>
      <c r="V3969"/>
      <c r="W3969"/>
      <c r="X3969"/>
      <c r="Y3969"/>
      <c r="Z3969"/>
      <c r="AA3969"/>
      <c r="AB3969"/>
      <c r="AC3969"/>
      <c r="AD3969"/>
    </row>
    <row r="3970" spans="2:30" x14ac:dyDescent="0.25">
      <c r="B3970"/>
      <c r="C3970"/>
      <c r="D3970"/>
      <c r="E3970" s="3"/>
      <c r="F3970" s="3"/>
      <c r="G3970"/>
      <c r="H3970"/>
      <c r="I3970"/>
      <c r="J3970"/>
      <c r="K3970"/>
      <c r="L3970"/>
      <c r="M3970"/>
      <c r="N3970"/>
      <c r="O3970"/>
      <c r="P3970"/>
      <c r="Q3970"/>
      <c r="R3970"/>
      <c r="S3970"/>
      <c r="T3970"/>
      <c r="U3970"/>
      <c r="V3970"/>
      <c r="W3970"/>
      <c r="X3970"/>
      <c r="Y3970"/>
      <c r="Z3970"/>
      <c r="AA3970"/>
      <c r="AB3970"/>
      <c r="AC3970"/>
      <c r="AD3970"/>
    </row>
    <row r="3971" spans="2:30" x14ac:dyDescent="0.25">
      <c r="B3971"/>
      <c r="C3971"/>
      <c r="D3971"/>
      <c r="E3971" s="3"/>
      <c r="F3971" s="3"/>
      <c r="G3971"/>
      <c r="H3971"/>
      <c r="I3971"/>
      <c r="J3971"/>
      <c r="K3971"/>
      <c r="L3971"/>
      <c r="M3971"/>
      <c r="N3971"/>
      <c r="O3971"/>
      <c r="P3971"/>
      <c r="Q3971"/>
      <c r="R3971"/>
      <c r="S3971"/>
      <c r="T3971"/>
      <c r="U3971"/>
      <c r="V3971"/>
      <c r="W3971"/>
      <c r="X3971"/>
      <c r="Y3971"/>
      <c r="Z3971"/>
      <c r="AA3971"/>
      <c r="AB3971"/>
      <c r="AC3971"/>
      <c r="AD3971"/>
    </row>
    <row r="3972" spans="2:30" x14ac:dyDescent="0.25">
      <c r="B3972"/>
      <c r="C3972"/>
      <c r="D3972"/>
      <c r="E3972" s="3"/>
      <c r="F3972" s="3"/>
      <c r="G3972"/>
      <c r="H3972"/>
      <c r="I3972"/>
      <c r="J3972"/>
      <c r="K3972"/>
      <c r="L3972"/>
      <c r="M3972"/>
      <c r="N3972"/>
      <c r="O3972"/>
      <c r="P3972"/>
      <c r="Q3972"/>
      <c r="R3972"/>
      <c r="S3972"/>
      <c r="T3972"/>
      <c r="U3972"/>
      <c r="V3972"/>
      <c r="W3972"/>
      <c r="X3972"/>
      <c r="Y3972"/>
      <c r="Z3972"/>
      <c r="AA3972"/>
      <c r="AB3972"/>
      <c r="AC3972"/>
      <c r="AD3972"/>
    </row>
    <row r="3973" spans="2:30" x14ac:dyDescent="0.25">
      <c r="B3973"/>
      <c r="C3973"/>
      <c r="D3973"/>
      <c r="E3973" s="3"/>
      <c r="F3973" s="3"/>
      <c r="G3973"/>
      <c r="H3973"/>
      <c r="I3973"/>
      <c r="J3973"/>
      <c r="K3973"/>
      <c r="L3973"/>
      <c r="M3973"/>
      <c r="N3973"/>
      <c r="O3973"/>
      <c r="P3973"/>
      <c r="Q3973"/>
      <c r="R3973"/>
      <c r="S3973"/>
      <c r="T3973"/>
      <c r="U3973"/>
      <c r="V3973"/>
      <c r="W3973"/>
      <c r="X3973"/>
      <c r="Y3973"/>
      <c r="Z3973"/>
      <c r="AA3973"/>
      <c r="AB3973"/>
      <c r="AC3973"/>
      <c r="AD3973"/>
    </row>
    <row r="3974" spans="2:30" x14ac:dyDescent="0.25">
      <c r="B3974"/>
      <c r="C3974"/>
      <c r="D3974"/>
      <c r="E3974" s="3"/>
      <c r="F3974" s="3"/>
      <c r="G3974"/>
      <c r="H3974"/>
      <c r="I3974"/>
      <c r="J3974"/>
      <c r="K3974"/>
      <c r="L3974"/>
      <c r="M3974"/>
      <c r="N3974"/>
      <c r="O3974"/>
      <c r="P3974"/>
      <c r="Q3974"/>
      <c r="R3974"/>
      <c r="S3974"/>
      <c r="T3974"/>
      <c r="U3974"/>
      <c r="V3974"/>
      <c r="W3974"/>
      <c r="X3974"/>
      <c r="Y3974"/>
      <c r="Z3974"/>
      <c r="AA3974"/>
      <c r="AB3974"/>
      <c r="AC3974"/>
      <c r="AD3974"/>
    </row>
    <row r="3975" spans="2:30" x14ac:dyDescent="0.25">
      <c r="B3975"/>
      <c r="C3975"/>
      <c r="D3975"/>
      <c r="E3975" s="3"/>
      <c r="F3975" s="3"/>
      <c r="G3975"/>
      <c r="H3975"/>
      <c r="I3975"/>
      <c r="J3975"/>
      <c r="K3975"/>
      <c r="L3975"/>
      <c r="M3975"/>
      <c r="N3975"/>
      <c r="O3975"/>
      <c r="P3975"/>
      <c r="Q3975"/>
      <c r="R3975"/>
      <c r="S3975"/>
      <c r="T3975"/>
      <c r="U3975"/>
      <c r="V3975"/>
      <c r="W3975"/>
      <c r="X3975"/>
      <c r="Y3975"/>
      <c r="Z3975"/>
      <c r="AA3975"/>
      <c r="AB3975"/>
      <c r="AC3975"/>
      <c r="AD3975"/>
    </row>
    <row r="3976" spans="2:30" x14ac:dyDescent="0.25">
      <c r="B3976"/>
      <c r="C3976"/>
      <c r="D3976"/>
      <c r="E3976" s="3"/>
      <c r="F3976" s="3"/>
      <c r="G3976"/>
      <c r="H3976"/>
      <c r="I3976"/>
      <c r="J3976"/>
      <c r="K3976"/>
      <c r="L3976"/>
      <c r="M3976"/>
      <c r="N3976"/>
      <c r="O3976"/>
      <c r="P3976"/>
      <c r="Q3976"/>
      <c r="R3976"/>
      <c r="S3976"/>
      <c r="T3976"/>
      <c r="U3976"/>
      <c r="V3976"/>
      <c r="W3976"/>
      <c r="X3976"/>
      <c r="Y3976"/>
      <c r="Z3976"/>
      <c r="AA3976"/>
      <c r="AB3976"/>
      <c r="AC3976"/>
      <c r="AD3976"/>
    </row>
    <row r="3977" spans="2:30" x14ac:dyDescent="0.25">
      <c r="B3977"/>
      <c r="C3977"/>
      <c r="D3977"/>
      <c r="E3977" s="3"/>
      <c r="F3977" s="3"/>
      <c r="G3977"/>
      <c r="H3977"/>
      <c r="I3977"/>
      <c r="J3977"/>
      <c r="K3977"/>
      <c r="L3977"/>
      <c r="M3977"/>
      <c r="N3977"/>
      <c r="O3977"/>
      <c r="P3977"/>
      <c r="Q3977"/>
      <c r="R3977"/>
      <c r="S3977"/>
      <c r="T3977"/>
      <c r="U3977"/>
      <c r="V3977"/>
      <c r="W3977"/>
      <c r="X3977"/>
      <c r="Y3977"/>
      <c r="Z3977"/>
      <c r="AA3977"/>
      <c r="AB3977"/>
      <c r="AC3977"/>
      <c r="AD3977"/>
    </row>
    <row r="3978" spans="2:30" x14ac:dyDescent="0.25">
      <c r="B3978"/>
      <c r="C3978"/>
      <c r="D3978"/>
      <c r="E3978" s="3"/>
      <c r="F3978" s="3"/>
      <c r="G3978"/>
      <c r="H3978"/>
      <c r="I3978"/>
      <c r="J3978"/>
      <c r="K3978"/>
      <c r="L3978"/>
      <c r="M3978"/>
      <c r="N3978"/>
      <c r="O3978"/>
      <c r="P3978"/>
      <c r="Q3978"/>
      <c r="R3978"/>
      <c r="S3978"/>
      <c r="T3978"/>
      <c r="U3978"/>
      <c r="V3978"/>
      <c r="W3978"/>
      <c r="X3978"/>
      <c r="Y3978"/>
      <c r="Z3978"/>
      <c r="AA3978"/>
      <c r="AB3978"/>
      <c r="AC3978"/>
      <c r="AD3978"/>
    </row>
    <row r="3979" spans="2:30" x14ac:dyDescent="0.25">
      <c r="B3979"/>
      <c r="C3979"/>
      <c r="D3979"/>
      <c r="E3979" s="3"/>
      <c r="F3979" s="3"/>
      <c r="G3979"/>
      <c r="H3979"/>
      <c r="I3979"/>
      <c r="J3979"/>
      <c r="K3979"/>
      <c r="L3979"/>
      <c r="M3979"/>
      <c r="N3979"/>
      <c r="O3979"/>
      <c r="P3979"/>
      <c r="Q3979"/>
      <c r="R3979"/>
      <c r="S3979"/>
      <c r="T3979"/>
      <c r="U3979"/>
      <c r="V3979"/>
      <c r="W3979"/>
      <c r="X3979"/>
      <c r="Y3979"/>
      <c r="Z3979"/>
      <c r="AA3979"/>
      <c r="AB3979"/>
      <c r="AC3979"/>
      <c r="AD3979"/>
    </row>
    <row r="3980" spans="2:30" x14ac:dyDescent="0.25">
      <c r="B3980"/>
      <c r="C3980"/>
      <c r="D3980"/>
      <c r="E3980" s="3"/>
      <c r="F3980" s="3"/>
      <c r="G3980"/>
      <c r="H3980"/>
      <c r="I3980"/>
      <c r="J3980"/>
      <c r="K3980"/>
      <c r="L3980"/>
      <c r="M3980"/>
      <c r="N3980"/>
      <c r="O3980"/>
      <c r="P3980"/>
      <c r="Q3980"/>
      <c r="R3980"/>
      <c r="S3980"/>
      <c r="T3980"/>
      <c r="U3980"/>
      <c r="V3980"/>
      <c r="W3980"/>
      <c r="X3980"/>
      <c r="Y3980"/>
      <c r="Z3980"/>
      <c r="AA3980"/>
      <c r="AB3980"/>
      <c r="AC3980"/>
      <c r="AD3980"/>
    </row>
    <row r="3981" spans="2:30" x14ac:dyDescent="0.25">
      <c r="B3981"/>
      <c r="C3981"/>
      <c r="D3981"/>
      <c r="E3981" s="3"/>
      <c r="F3981" s="3"/>
      <c r="G3981"/>
      <c r="H3981"/>
      <c r="I3981"/>
      <c r="J3981"/>
      <c r="K3981"/>
      <c r="L3981"/>
      <c r="M3981"/>
      <c r="N3981"/>
      <c r="O3981"/>
      <c r="P3981"/>
      <c r="Q3981"/>
      <c r="R3981"/>
      <c r="S3981"/>
      <c r="T3981"/>
      <c r="U3981"/>
      <c r="V3981"/>
      <c r="W3981"/>
      <c r="X3981"/>
      <c r="Y3981"/>
      <c r="Z3981"/>
      <c r="AA3981"/>
      <c r="AB3981"/>
      <c r="AC3981"/>
      <c r="AD3981"/>
    </row>
    <row r="3982" spans="2:30" x14ac:dyDescent="0.25">
      <c r="B3982"/>
      <c r="C3982"/>
      <c r="D3982"/>
      <c r="E3982" s="3"/>
      <c r="F3982" s="3"/>
      <c r="G3982"/>
      <c r="H3982"/>
      <c r="I3982"/>
      <c r="J3982"/>
      <c r="K3982"/>
      <c r="L3982"/>
      <c r="M3982"/>
      <c r="N3982"/>
      <c r="O3982"/>
      <c r="P3982"/>
      <c r="Q3982"/>
      <c r="R3982"/>
      <c r="S3982"/>
      <c r="T3982"/>
      <c r="U3982"/>
      <c r="V3982"/>
      <c r="W3982"/>
      <c r="X3982"/>
      <c r="Y3982"/>
      <c r="Z3982"/>
      <c r="AA3982"/>
      <c r="AB3982"/>
      <c r="AC3982"/>
      <c r="AD3982"/>
    </row>
    <row r="3983" spans="2:30" x14ac:dyDescent="0.25">
      <c r="B3983"/>
      <c r="C3983"/>
      <c r="D3983"/>
      <c r="E3983" s="3"/>
      <c r="F3983" s="3"/>
      <c r="G3983"/>
      <c r="H3983"/>
      <c r="I3983"/>
      <c r="J3983"/>
      <c r="K3983"/>
      <c r="L3983"/>
      <c r="M3983"/>
      <c r="N3983"/>
      <c r="O3983"/>
      <c r="P3983"/>
      <c r="Q3983"/>
      <c r="R3983"/>
      <c r="S3983"/>
      <c r="T3983"/>
      <c r="U3983"/>
      <c r="V3983"/>
      <c r="W3983"/>
      <c r="X3983"/>
      <c r="Y3983"/>
      <c r="Z3983"/>
      <c r="AA3983"/>
      <c r="AB3983"/>
      <c r="AC3983"/>
      <c r="AD3983"/>
    </row>
    <row r="3984" spans="2:30" x14ac:dyDescent="0.25">
      <c r="B3984"/>
      <c r="C3984"/>
      <c r="D3984"/>
      <c r="E3984" s="3"/>
      <c r="F3984" s="3"/>
      <c r="G3984"/>
      <c r="H3984"/>
      <c r="I3984"/>
      <c r="J3984"/>
      <c r="K3984"/>
      <c r="L3984"/>
      <c r="M3984"/>
      <c r="N3984"/>
      <c r="O3984"/>
      <c r="P3984"/>
      <c r="Q3984"/>
      <c r="R3984"/>
      <c r="S3984"/>
      <c r="T3984"/>
      <c r="U3984"/>
      <c r="V3984"/>
      <c r="W3984"/>
      <c r="X3984"/>
      <c r="Y3984"/>
      <c r="Z3984"/>
      <c r="AA3984"/>
      <c r="AB3984"/>
      <c r="AC3984"/>
      <c r="AD3984"/>
    </row>
    <row r="3985" spans="2:30" x14ac:dyDescent="0.25">
      <c r="B3985"/>
      <c r="C3985"/>
      <c r="D3985"/>
      <c r="E3985" s="3"/>
      <c r="F3985" s="3"/>
      <c r="G3985"/>
      <c r="H3985"/>
      <c r="I3985"/>
      <c r="J3985"/>
      <c r="K3985"/>
      <c r="L3985"/>
      <c r="M3985"/>
      <c r="N3985"/>
      <c r="O3985"/>
      <c r="P3985"/>
      <c r="Q3985"/>
      <c r="R3985"/>
      <c r="S3985"/>
      <c r="T3985"/>
      <c r="U3985"/>
      <c r="V3985"/>
      <c r="W3985"/>
      <c r="X3985"/>
      <c r="Y3985"/>
      <c r="Z3985"/>
      <c r="AA3985"/>
      <c r="AB3985"/>
      <c r="AC3985"/>
      <c r="AD3985"/>
    </row>
    <row r="3986" spans="2:30" x14ac:dyDescent="0.25">
      <c r="B3986"/>
      <c r="C3986"/>
      <c r="D3986"/>
      <c r="E3986" s="3"/>
      <c r="F3986" s="3"/>
      <c r="G3986"/>
      <c r="H3986"/>
      <c r="I3986"/>
      <c r="J3986"/>
      <c r="K3986"/>
      <c r="L3986"/>
      <c r="M3986"/>
      <c r="N3986"/>
      <c r="O3986"/>
      <c r="P3986"/>
      <c r="Q3986"/>
      <c r="R3986"/>
      <c r="S3986"/>
      <c r="T3986"/>
      <c r="U3986"/>
      <c r="V3986"/>
      <c r="W3986"/>
      <c r="X3986"/>
      <c r="Y3986"/>
      <c r="Z3986"/>
      <c r="AA3986"/>
      <c r="AB3986"/>
      <c r="AC3986"/>
      <c r="AD3986"/>
    </row>
    <row r="3987" spans="2:30" x14ac:dyDescent="0.25">
      <c r="B3987"/>
      <c r="C3987"/>
      <c r="D3987"/>
      <c r="E3987" s="3"/>
      <c r="F3987" s="3"/>
      <c r="G3987"/>
      <c r="H3987"/>
      <c r="I3987"/>
      <c r="J3987"/>
      <c r="K3987"/>
      <c r="L3987"/>
      <c r="M3987"/>
      <c r="N3987"/>
      <c r="O3987"/>
      <c r="P3987"/>
      <c r="Q3987"/>
      <c r="R3987"/>
      <c r="S3987"/>
      <c r="T3987"/>
      <c r="U3987"/>
      <c r="V3987"/>
      <c r="W3987"/>
      <c r="X3987"/>
      <c r="Y3987"/>
      <c r="Z3987"/>
      <c r="AA3987"/>
      <c r="AB3987"/>
      <c r="AC3987"/>
      <c r="AD3987"/>
    </row>
    <row r="3988" spans="2:30" x14ac:dyDescent="0.25">
      <c r="B3988"/>
      <c r="C3988"/>
      <c r="D3988"/>
      <c r="E3988" s="3"/>
      <c r="F3988" s="3"/>
      <c r="G3988"/>
      <c r="H3988"/>
      <c r="I3988"/>
      <c r="J3988"/>
      <c r="K3988"/>
      <c r="L3988"/>
      <c r="M3988"/>
      <c r="N3988"/>
      <c r="O3988"/>
      <c r="P3988"/>
      <c r="Q3988"/>
      <c r="R3988"/>
      <c r="S3988"/>
      <c r="T3988"/>
      <c r="U3988"/>
      <c r="V3988"/>
      <c r="W3988"/>
      <c r="X3988"/>
      <c r="Y3988"/>
      <c r="Z3988"/>
      <c r="AA3988"/>
      <c r="AB3988"/>
      <c r="AC3988"/>
      <c r="AD3988"/>
    </row>
    <row r="3989" spans="2:30" x14ac:dyDescent="0.25">
      <c r="B3989"/>
      <c r="C3989"/>
      <c r="D3989"/>
      <c r="E3989" s="3"/>
      <c r="F3989" s="3"/>
      <c r="G3989"/>
      <c r="H3989"/>
      <c r="I3989"/>
      <c r="J3989"/>
      <c r="K3989"/>
      <c r="L3989"/>
      <c r="M3989"/>
      <c r="N3989"/>
      <c r="O3989"/>
      <c r="P3989"/>
      <c r="Q3989"/>
      <c r="R3989"/>
      <c r="S3989"/>
      <c r="T3989"/>
      <c r="U3989"/>
      <c r="V3989"/>
      <c r="W3989"/>
      <c r="X3989"/>
      <c r="Y3989"/>
      <c r="Z3989"/>
      <c r="AA3989"/>
      <c r="AB3989"/>
      <c r="AC3989"/>
      <c r="AD3989"/>
    </row>
    <row r="3990" spans="2:30" x14ac:dyDescent="0.25">
      <c r="B3990"/>
      <c r="C3990"/>
      <c r="D3990"/>
      <c r="E3990" s="3"/>
      <c r="F3990" s="3"/>
      <c r="G3990"/>
      <c r="H3990"/>
      <c r="I3990"/>
      <c r="J3990"/>
      <c r="K3990"/>
      <c r="L3990"/>
      <c r="M3990"/>
      <c r="N3990"/>
      <c r="O3990"/>
      <c r="P3990"/>
      <c r="Q3990"/>
      <c r="R3990"/>
      <c r="S3990"/>
      <c r="T3990"/>
      <c r="U3990"/>
      <c r="V3990"/>
      <c r="W3990"/>
      <c r="X3990"/>
      <c r="Y3990"/>
      <c r="Z3990"/>
      <c r="AA3990"/>
      <c r="AB3990"/>
      <c r="AC3990"/>
      <c r="AD3990"/>
    </row>
    <row r="3991" spans="2:30" x14ac:dyDescent="0.25">
      <c r="B3991"/>
      <c r="C3991"/>
      <c r="D3991"/>
      <c r="E3991" s="3"/>
      <c r="F3991" s="3"/>
      <c r="G3991"/>
      <c r="H3991"/>
      <c r="I3991"/>
      <c r="J3991"/>
      <c r="K3991"/>
      <c r="L3991"/>
      <c r="M3991"/>
      <c r="N3991"/>
      <c r="O3991"/>
      <c r="P3991"/>
      <c r="Q3991"/>
      <c r="R3991"/>
      <c r="S3991"/>
      <c r="T3991"/>
      <c r="U3991"/>
      <c r="V3991"/>
      <c r="W3991"/>
      <c r="X3991"/>
      <c r="Y3991"/>
      <c r="Z3991"/>
      <c r="AA3991"/>
      <c r="AB3991"/>
      <c r="AC3991"/>
      <c r="AD3991"/>
    </row>
    <row r="3992" spans="2:30" x14ac:dyDescent="0.25">
      <c r="B3992"/>
      <c r="C3992"/>
      <c r="D3992"/>
      <c r="E3992" s="3"/>
      <c r="F3992" s="3"/>
      <c r="G3992"/>
      <c r="H3992"/>
      <c r="I3992"/>
      <c r="J3992"/>
      <c r="K3992"/>
      <c r="L3992"/>
      <c r="M3992"/>
      <c r="N3992"/>
      <c r="O3992"/>
      <c r="P3992"/>
      <c r="Q3992"/>
      <c r="R3992"/>
      <c r="S3992"/>
      <c r="T3992"/>
      <c r="U3992"/>
      <c r="V3992"/>
      <c r="W3992"/>
      <c r="X3992"/>
      <c r="Y3992"/>
      <c r="Z3992"/>
      <c r="AA3992"/>
      <c r="AB3992"/>
      <c r="AC3992"/>
      <c r="AD3992"/>
    </row>
    <row r="3993" spans="2:30" x14ac:dyDescent="0.25">
      <c r="B3993"/>
      <c r="C3993"/>
      <c r="D3993"/>
      <c r="E3993" s="3"/>
      <c r="F3993" s="3"/>
      <c r="G3993"/>
      <c r="H3993"/>
      <c r="I3993"/>
      <c r="J3993"/>
      <c r="K3993"/>
      <c r="L3993"/>
      <c r="M3993"/>
      <c r="N3993"/>
      <c r="O3993"/>
      <c r="P3993"/>
      <c r="Q3993"/>
      <c r="R3993"/>
      <c r="S3993"/>
      <c r="T3993"/>
      <c r="U3993"/>
      <c r="V3993"/>
      <c r="W3993"/>
      <c r="X3993"/>
      <c r="Y3993"/>
      <c r="Z3993"/>
      <c r="AA3993"/>
      <c r="AB3993"/>
      <c r="AC3993"/>
      <c r="AD3993"/>
    </row>
    <row r="3994" spans="2:30" x14ac:dyDescent="0.25">
      <c r="B3994"/>
      <c r="C3994"/>
      <c r="D3994"/>
      <c r="E3994" s="3"/>
      <c r="F3994" s="3"/>
      <c r="G3994"/>
      <c r="H3994"/>
      <c r="I3994"/>
      <c r="J3994"/>
      <c r="K3994"/>
      <c r="L3994"/>
      <c r="M3994"/>
      <c r="N3994"/>
      <c r="O3994"/>
      <c r="P3994"/>
      <c r="Q3994"/>
      <c r="R3994"/>
      <c r="S3994"/>
      <c r="T3994"/>
      <c r="U3994"/>
      <c r="V3994"/>
      <c r="W3994"/>
      <c r="X3994"/>
      <c r="Y3994"/>
      <c r="Z3994"/>
      <c r="AA3994"/>
      <c r="AB3994"/>
      <c r="AC3994"/>
      <c r="AD3994"/>
    </row>
    <row r="3995" spans="2:30" x14ac:dyDescent="0.25">
      <c r="B3995"/>
      <c r="C3995"/>
      <c r="D3995"/>
      <c r="E3995" s="3"/>
      <c r="F3995" s="3"/>
      <c r="G3995"/>
      <c r="H3995"/>
      <c r="I3995"/>
      <c r="J3995"/>
      <c r="K3995"/>
      <c r="L3995"/>
      <c r="M3995"/>
      <c r="N3995"/>
      <c r="O3995"/>
      <c r="P3995"/>
      <c r="Q3995"/>
      <c r="R3995"/>
      <c r="S3995"/>
      <c r="T3995"/>
      <c r="U3995"/>
      <c r="V3995"/>
      <c r="W3995"/>
      <c r="X3995"/>
      <c r="Y3995"/>
      <c r="Z3995"/>
      <c r="AA3995"/>
      <c r="AB3995"/>
      <c r="AC3995"/>
      <c r="AD3995"/>
    </row>
    <row r="3996" spans="2:30" x14ac:dyDescent="0.25">
      <c r="B3996"/>
      <c r="C3996"/>
      <c r="D3996"/>
      <c r="E3996" s="3"/>
      <c r="F3996" s="3"/>
      <c r="G3996"/>
      <c r="H3996"/>
      <c r="I3996"/>
      <c r="J3996"/>
      <c r="K3996"/>
      <c r="L3996"/>
      <c r="M3996"/>
      <c r="N3996"/>
      <c r="O3996"/>
      <c r="P3996"/>
      <c r="Q3996"/>
      <c r="R3996"/>
      <c r="S3996"/>
      <c r="T3996"/>
      <c r="U3996"/>
      <c r="V3996"/>
      <c r="W3996"/>
      <c r="X3996"/>
      <c r="Y3996"/>
      <c r="Z3996"/>
      <c r="AA3996"/>
      <c r="AB3996"/>
      <c r="AC3996"/>
      <c r="AD3996"/>
    </row>
    <row r="3997" spans="2:30" x14ac:dyDescent="0.25">
      <c r="B3997"/>
      <c r="C3997"/>
      <c r="D3997"/>
      <c r="E3997" s="3"/>
      <c r="F3997" s="3"/>
      <c r="G3997"/>
      <c r="H3997"/>
      <c r="I3997"/>
      <c r="J3997"/>
      <c r="K3997"/>
      <c r="L3997"/>
      <c r="M3997"/>
      <c r="N3997"/>
      <c r="O3997"/>
      <c r="P3997"/>
      <c r="Q3997"/>
      <c r="R3997"/>
      <c r="S3997"/>
      <c r="T3997"/>
      <c r="U3997"/>
      <c r="V3997"/>
      <c r="W3997"/>
      <c r="X3997"/>
      <c r="Y3997"/>
      <c r="Z3997"/>
      <c r="AA3997"/>
      <c r="AB3997"/>
      <c r="AC3997"/>
      <c r="AD3997"/>
    </row>
    <row r="3998" spans="2:30" x14ac:dyDescent="0.25">
      <c r="B3998"/>
      <c r="C3998"/>
      <c r="D3998"/>
      <c r="E3998" s="3"/>
      <c r="F3998" s="3"/>
      <c r="G3998"/>
      <c r="H3998"/>
      <c r="I3998"/>
      <c r="J3998"/>
      <c r="K3998"/>
      <c r="L3998"/>
      <c r="M3998"/>
      <c r="N3998"/>
      <c r="O3998"/>
      <c r="P3998"/>
      <c r="Q3998"/>
      <c r="R3998"/>
      <c r="S3998"/>
      <c r="T3998"/>
      <c r="U3998"/>
      <c r="V3998"/>
      <c r="W3998"/>
      <c r="X3998"/>
      <c r="Y3998"/>
      <c r="Z3998"/>
      <c r="AA3998"/>
      <c r="AB3998"/>
      <c r="AC3998"/>
      <c r="AD3998"/>
    </row>
    <row r="3999" spans="2:30" x14ac:dyDescent="0.25">
      <c r="B3999"/>
      <c r="C3999"/>
      <c r="D3999"/>
      <c r="E3999" s="3"/>
      <c r="F3999" s="3"/>
      <c r="G3999"/>
      <c r="H3999"/>
      <c r="I3999"/>
      <c r="J3999"/>
      <c r="K3999"/>
      <c r="L3999"/>
      <c r="M3999"/>
      <c r="N3999"/>
      <c r="O3999"/>
      <c r="P3999"/>
      <c r="Q3999"/>
      <c r="R3999"/>
      <c r="S3999"/>
      <c r="T3999"/>
      <c r="U3999"/>
      <c r="V3999"/>
      <c r="W3999"/>
      <c r="X3999"/>
      <c r="Y3999"/>
      <c r="Z3999"/>
      <c r="AA3999"/>
      <c r="AB3999"/>
      <c r="AC3999"/>
      <c r="AD3999"/>
    </row>
    <row r="4000" spans="2:30" x14ac:dyDescent="0.25">
      <c r="B4000"/>
      <c r="C4000"/>
      <c r="D4000"/>
      <c r="E4000" s="3"/>
      <c r="F4000" s="3"/>
      <c r="G4000"/>
      <c r="H4000"/>
      <c r="I4000"/>
      <c r="J4000"/>
      <c r="K4000"/>
      <c r="L4000"/>
      <c r="M4000"/>
      <c r="N4000"/>
      <c r="O4000"/>
      <c r="P4000"/>
      <c r="Q4000"/>
      <c r="R4000"/>
      <c r="S4000"/>
      <c r="T4000"/>
      <c r="U4000"/>
      <c r="V4000"/>
      <c r="W4000"/>
      <c r="X4000"/>
      <c r="Y4000"/>
      <c r="Z4000"/>
      <c r="AA4000"/>
      <c r="AB4000"/>
      <c r="AC4000"/>
      <c r="AD4000"/>
    </row>
    <row r="4001" spans="2:30" x14ac:dyDescent="0.25">
      <c r="B4001"/>
      <c r="C4001"/>
      <c r="D4001"/>
      <c r="E4001" s="3"/>
      <c r="F4001" s="3"/>
      <c r="G4001"/>
      <c r="H4001"/>
      <c r="I4001"/>
      <c r="J4001"/>
      <c r="K4001"/>
      <c r="L4001"/>
      <c r="M4001"/>
      <c r="N4001"/>
      <c r="O4001"/>
      <c r="P4001"/>
      <c r="Q4001"/>
      <c r="R4001"/>
      <c r="S4001"/>
      <c r="T4001"/>
      <c r="U4001"/>
      <c r="V4001"/>
      <c r="W4001"/>
      <c r="X4001"/>
      <c r="Y4001"/>
      <c r="Z4001"/>
      <c r="AA4001"/>
      <c r="AB4001"/>
      <c r="AC4001"/>
      <c r="AD4001"/>
    </row>
    <row r="4002" spans="2:30" x14ac:dyDescent="0.25">
      <c r="B4002"/>
      <c r="C4002"/>
      <c r="D4002"/>
      <c r="E4002" s="3"/>
      <c r="F4002" s="3"/>
      <c r="G4002"/>
      <c r="H4002"/>
      <c r="I4002"/>
      <c r="J4002"/>
      <c r="K4002"/>
      <c r="L4002"/>
      <c r="M4002"/>
      <c r="N4002"/>
      <c r="O4002"/>
      <c r="P4002"/>
      <c r="Q4002"/>
      <c r="R4002"/>
      <c r="S4002"/>
      <c r="T4002"/>
      <c r="U4002"/>
      <c r="V4002"/>
      <c r="W4002"/>
      <c r="X4002"/>
      <c r="Y4002"/>
      <c r="Z4002"/>
      <c r="AA4002"/>
      <c r="AB4002"/>
      <c r="AC4002"/>
      <c r="AD4002"/>
    </row>
    <row r="4003" spans="2:30" x14ac:dyDescent="0.25">
      <c r="B4003"/>
      <c r="C4003"/>
      <c r="D4003"/>
      <c r="E4003" s="3"/>
      <c r="F4003" s="3"/>
      <c r="G4003"/>
      <c r="H4003"/>
      <c r="I4003"/>
      <c r="J4003"/>
      <c r="K4003"/>
      <c r="L4003"/>
      <c r="M4003"/>
      <c r="N4003"/>
      <c r="O4003"/>
      <c r="P4003"/>
      <c r="Q4003"/>
      <c r="R4003"/>
      <c r="S4003"/>
      <c r="T4003"/>
      <c r="U4003"/>
      <c r="V4003"/>
      <c r="W4003"/>
      <c r="X4003"/>
      <c r="Y4003"/>
      <c r="Z4003"/>
      <c r="AA4003"/>
      <c r="AB4003"/>
      <c r="AC4003"/>
      <c r="AD4003"/>
    </row>
    <row r="4004" spans="2:30" x14ac:dyDescent="0.25">
      <c r="B4004"/>
      <c r="C4004"/>
      <c r="D4004"/>
      <c r="E4004" s="3"/>
      <c r="F4004" s="3"/>
      <c r="G4004"/>
      <c r="H4004"/>
      <c r="I4004"/>
      <c r="J4004"/>
      <c r="K4004"/>
      <c r="L4004"/>
      <c r="M4004"/>
      <c r="N4004"/>
      <c r="O4004"/>
      <c r="P4004"/>
      <c r="Q4004"/>
      <c r="R4004"/>
      <c r="S4004"/>
      <c r="T4004"/>
      <c r="U4004"/>
      <c r="V4004"/>
      <c r="W4004"/>
      <c r="X4004"/>
      <c r="Y4004"/>
      <c r="Z4004"/>
      <c r="AA4004"/>
      <c r="AB4004"/>
      <c r="AC4004"/>
      <c r="AD4004"/>
    </row>
    <row r="4005" spans="2:30" x14ac:dyDescent="0.25">
      <c r="B4005"/>
      <c r="C4005"/>
      <c r="D4005"/>
      <c r="E4005" s="3"/>
      <c r="F4005" s="3"/>
      <c r="G4005"/>
      <c r="H4005"/>
      <c r="I4005"/>
      <c r="J4005"/>
      <c r="K4005"/>
      <c r="L4005"/>
      <c r="M4005"/>
      <c r="N4005"/>
      <c r="O4005"/>
      <c r="P4005"/>
      <c r="Q4005"/>
      <c r="R4005"/>
      <c r="S4005"/>
      <c r="T4005"/>
      <c r="U4005"/>
      <c r="V4005"/>
      <c r="W4005"/>
      <c r="X4005"/>
      <c r="Y4005"/>
      <c r="Z4005"/>
      <c r="AA4005"/>
      <c r="AB4005"/>
      <c r="AC4005"/>
      <c r="AD4005"/>
    </row>
    <row r="4006" spans="2:30" x14ac:dyDescent="0.25">
      <c r="B4006"/>
      <c r="C4006"/>
      <c r="D4006"/>
      <c r="E4006" s="3"/>
      <c r="F4006" s="3"/>
      <c r="G4006"/>
      <c r="H4006"/>
      <c r="I4006"/>
      <c r="J4006"/>
      <c r="K4006"/>
      <c r="L4006"/>
      <c r="M4006"/>
      <c r="N4006"/>
      <c r="O4006"/>
      <c r="P4006"/>
      <c r="Q4006"/>
      <c r="R4006"/>
      <c r="S4006"/>
      <c r="T4006"/>
      <c r="U4006"/>
      <c r="V4006"/>
      <c r="W4006"/>
      <c r="X4006"/>
      <c r="Y4006"/>
      <c r="Z4006"/>
      <c r="AA4006"/>
      <c r="AB4006"/>
      <c r="AC4006"/>
      <c r="AD4006"/>
    </row>
    <row r="4007" spans="2:30" x14ac:dyDescent="0.25">
      <c r="B4007"/>
      <c r="C4007"/>
      <c r="D4007"/>
      <c r="E4007" s="3"/>
      <c r="F4007" s="3"/>
      <c r="G4007"/>
      <c r="H4007"/>
      <c r="I4007"/>
      <c r="J4007"/>
      <c r="K4007"/>
      <c r="L4007"/>
      <c r="M4007"/>
      <c r="N4007"/>
      <c r="O4007"/>
      <c r="P4007"/>
      <c r="Q4007"/>
      <c r="R4007"/>
      <c r="S4007"/>
      <c r="T4007"/>
      <c r="U4007"/>
      <c r="V4007"/>
      <c r="W4007"/>
      <c r="X4007"/>
      <c r="Y4007"/>
      <c r="Z4007"/>
      <c r="AA4007"/>
      <c r="AB4007"/>
      <c r="AC4007"/>
      <c r="AD4007"/>
    </row>
  </sheetData>
  <mergeCells count="1">
    <mergeCell ref="A3:C3"/>
  </mergeCells>
  <phoneticPr fontId="8" type="noConversion"/>
  <dataValidations count="1">
    <dataValidation type="list" allowBlank="1" showInputMessage="1" showErrorMessage="1" sqref="B2013:B2018" xr:uid="{B0235830-85BD-400C-8AD2-A7AA73F41B98}">
      <formula1>#REF!</formula1>
    </dataValidation>
  </dataValidations>
  <hyperlinks>
    <hyperlink ref="K3242" r:id="rId1" xr:uid="{FC2119BD-4770-42C0-ADB3-22872B750FF3}"/>
    <hyperlink ref="K495:K516" r:id="rId2" display="https://epd-australasia.com/wp-content/uploads/2023/04/SP05522-Adbri-EPD-Concrete_NT_Mar23.pdf" xr:uid="{25693AF0-C9C3-47D6-99E2-76F54791B4AE}"/>
    <hyperlink ref="K496:K688" r:id="rId3" display="https://epd-australasia.com/wp-content/uploads/2023/04/SP05522-Adbri-EPD-Concrete_NT_Mar23.pdf" xr:uid="{8D2DFBD9-0376-41CC-ABA7-D7A8869AA4C1}"/>
  </hyperlinks>
  <pageMargins left="0.7" right="0.7" top="0.75" bottom="0.75" header="0.3" footer="0.3"/>
  <pageSetup paperSize="9" orientation="portrait" r:id="rId4"/>
  <tableParts count="1">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D7ED-1664-4C78-AD45-727ECBADCA1B}">
  <sheetPr codeName="Sheet15">
    <tabColor rgb="FF00CCFF"/>
  </sheetPr>
  <dimension ref="A1:H27"/>
  <sheetViews>
    <sheetView workbookViewId="0"/>
  </sheetViews>
  <sheetFormatPr defaultColWidth="9.1796875" defaultRowHeight="12.5" x14ac:dyDescent="0.25"/>
  <cols>
    <col min="1" max="1" width="26.26953125" style="132" customWidth="1"/>
    <col min="2" max="2" width="109.179687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Hollow core - precast concrete</v>
      </c>
    </row>
    <row r="2" spans="1:8" ht="13" x14ac:dyDescent="0.25">
      <c r="A2" s="202"/>
    </row>
    <row r="3" spans="1:8" ht="13" x14ac:dyDescent="0.3">
      <c r="A3" s="227" t="s">
        <v>5626</v>
      </c>
      <c r="B3" s="132" t="s">
        <v>5801</v>
      </c>
    </row>
    <row r="4" spans="1:8" ht="13" x14ac:dyDescent="0.3">
      <c r="A4" s="227"/>
    </row>
    <row r="5" spans="1:8" ht="73.5" customHeight="1" x14ac:dyDescent="0.3">
      <c r="A5" s="227" t="s">
        <v>5628</v>
      </c>
      <c r="B5" s="200" t="s">
        <v>5802</v>
      </c>
    </row>
    <row r="6" spans="1:8" ht="13" x14ac:dyDescent="0.3">
      <c r="A6" s="227" t="s">
        <v>5630</v>
      </c>
      <c r="B6" s="201" t="s">
        <v>71</v>
      </c>
    </row>
    <row r="7" spans="1:8" ht="13" x14ac:dyDescent="0.3">
      <c r="A7" s="227" t="s">
        <v>5631</v>
      </c>
      <c r="B7" s="201" t="s">
        <v>73</v>
      </c>
    </row>
    <row r="8" spans="1:8" ht="13" x14ac:dyDescent="0.3">
      <c r="A8" s="227" t="s">
        <v>5632</v>
      </c>
      <c r="B8" s="201" t="s">
        <v>74</v>
      </c>
    </row>
    <row r="9" spans="1:8" ht="13" x14ac:dyDescent="0.3">
      <c r="A9" s="227" t="s">
        <v>5633</v>
      </c>
      <c r="B9" s="231" t="s">
        <v>74</v>
      </c>
    </row>
    <row r="10" spans="1:8" ht="13" x14ac:dyDescent="0.3">
      <c r="A10" s="227"/>
      <c r="B10" s="202"/>
    </row>
    <row r="11" spans="1:8" ht="13" x14ac:dyDescent="0.3">
      <c r="A11" s="227" t="s">
        <v>5634</v>
      </c>
      <c r="B11" s="200" t="s">
        <v>5803</v>
      </c>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3796</v>
      </c>
      <c r="C16" s="313" t="s">
        <v>24</v>
      </c>
      <c r="D16" s="314" t="s">
        <v>146</v>
      </c>
      <c r="E16" s="315" t="s">
        <v>153</v>
      </c>
      <c r="F16" s="314" t="s">
        <v>147</v>
      </c>
      <c r="G16" s="314" t="s">
        <v>154</v>
      </c>
      <c r="H16" s="131"/>
    </row>
    <row r="17" spans="1:8" ht="13" x14ac:dyDescent="0.3">
      <c r="A17" s="133"/>
      <c r="B17" s="211"/>
      <c r="C17" s="212" t="s">
        <v>5636</v>
      </c>
      <c r="D17" s="196" t="str" cm="1">
        <f t="array" ref="D17">IF(AND(_xlfn.ANCHORARRAY(C23)=C23),C23,"Mixed")</f>
        <v>m³</v>
      </c>
      <c r="E17" s="196" t="s">
        <v>2774</v>
      </c>
      <c r="F17" s="196" t="str" cm="1">
        <f t="array" ref="F17">IF(AND(_xlfn.ANCHORARRAY(C23)=C23),C23,"Mixed")</f>
        <v>m³</v>
      </c>
      <c r="G17" s="213" t="s">
        <v>2774</v>
      </c>
      <c r="H17" s="131"/>
    </row>
    <row r="18" spans="1:8" s="200" customFormat="1" ht="13" x14ac:dyDescent="0.3">
      <c r="A18" s="221"/>
      <c r="B18" s="214"/>
      <c r="C18" s="202" t="s">
        <v>5637</v>
      </c>
      <c r="D18" s="198">
        <f t="shared" ref="D18:G18" si="0">MAX(_xlfn.ANCHORARRAY(D23))</f>
        <v>357</v>
      </c>
      <c r="E18" s="198">
        <f t="shared" si="0"/>
        <v>0.24203389830508473</v>
      </c>
      <c r="F18" s="198">
        <f t="shared" si="0"/>
        <v>0</v>
      </c>
      <c r="G18" s="215">
        <f t="shared" si="0"/>
        <v>0</v>
      </c>
      <c r="H18" s="222"/>
    </row>
    <row r="19" spans="1:8" ht="13" x14ac:dyDescent="0.25">
      <c r="A19" s="133"/>
      <c r="B19" s="204"/>
      <c r="C19" s="202" t="s">
        <v>5638</v>
      </c>
      <c r="D19" s="198">
        <f>MIN(_xlfn.ANCHORARRAY(D23))</f>
        <v>317</v>
      </c>
      <c r="E19" s="198">
        <f t="shared" ref="E19:G19" si="1">MIN(_xlfn.ANCHORARRAY(E23))</f>
        <v>0.21491525423728813</v>
      </c>
      <c r="F19" s="198">
        <f t="shared" si="1"/>
        <v>0</v>
      </c>
      <c r="G19" s="215">
        <f t="shared" si="1"/>
        <v>0</v>
      </c>
      <c r="H19" s="131"/>
    </row>
    <row r="20" spans="1:8" ht="13" x14ac:dyDescent="0.25">
      <c r="A20" s="133"/>
      <c r="B20" s="204"/>
      <c r="C20" s="202" t="s">
        <v>5639</v>
      </c>
      <c r="D20" s="198">
        <f>AVERAGE(_xlfn.ANCHORARRAY(D23))</f>
        <v>338.5</v>
      </c>
      <c r="E20" s="198">
        <f t="shared" ref="E20:G20" si="2">AVERAGE(_xlfn.ANCHORARRAY(E23))</f>
        <v>0.2294915254237288</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26">_xlfn.UNIQUE(_xlfn._xlws.FILTER('EPD List'!D:D,ISNUMBER(SEARCH(B16,'EPD List'!C:C)),0))</f>
        <v>Hollowcore concrete, , Hollowcore BGC (HC500) Conc Mix 2  (BGC) (Australia)</v>
      </c>
      <c r="C23" s="132" t="str" cm="1">
        <f t="array" ref="C23:C26">_xlfn.IFNA(INDEX('EPD List'!$A:$AB,MATCH(_xlfn.ANCHORARRAY(B23),'EPD List'!$D:$D,0),MATCH(C$16,'EPD List'!$7:$7,0)),"")</f>
        <v>m³</v>
      </c>
      <c r="D23" s="198" cm="1">
        <f t="array" ref="D23:D26">_xlfn.IFNA(VALUE((INDEX('EPD List'!$A:$AD,MATCH(_xlfn.ANCHORARRAY($B23),'EPD List'!$D:$D,0),MATCH(D$16,'EPD List'!$7:$7,0)))),"")</f>
        <v>317</v>
      </c>
      <c r="E23" s="198" cm="1">
        <f t="array" ref="E23:E26">_xlfn.IFNA(VALUE((INDEX('EPD List'!$A:$AD,MATCH(_xlfn.ANCHORARRAY($B23),'EPD List'!$D:$D,0),MATCH(E$16,'EPD List'!$7:$7,0)))),"")</f>
        <v>0.21491525423728813</v>
      </c>
      <c r="F23" s="198" cm="1">
        <f t="array" ref="F23:F26">_xlfn.IFNA(VALUE((INDEX('EPD List'!$A:$AD,MATCH(_xlfn.ANCHORARRAY($B23),'EPD List'!$D:$D,0),MATCH(F$16,'EPD List'!$7:$7,0)))),"")</f>
        <v>0</v>
      </c>
      <c r="G23" s="215" cm="1">
        <f t="array" ref="G23:G26">_xlfn.IFNA(VALUE((INDEX('EPD List'!$A:$AD,MATCH(_xlfn.ANCHORARRAY($B23),'EPD List'!$D:$D,0),MATCH(G$16,'EPD List'!$7:$7,0)))),"")</f>
        <v>0</v>
      </c>
      <c r="H23" s="131"/>
    </row>
    <row r="24" spans="1:8" x14ac:dyDescent="0.25">
      <c r="A24" s="133"/>
      <c r="B24" s="204" t="str">
        <v>Hollowcore concrete, , Hollowcore BGC (HC200W) Conc Mix 2  (BGC) (Australia)</v>
      </c>
      <c r="C24" s="132" t="str">
        <v>m³</v>
      </c>
      <c r="D24" s="198">
        <v>357</v>
      </c>
      <c r="E24" s="198">
        <v>0.24203389830508473</v>
      </c>
      <c r="F24" s="198">
        <v>0</v>
      </c>
      <c r="G24" s="215">
        <v>0</v>
      </c>
      <c r="H24" s="131"/>
    </row>
    <row r="25" spans="1:8" x14ac:dyDescent="0.25">
      <c r="A25" s="133"/>
      <c r="B25" s="204" t="str">
        <v>Hollowcore concrete, , Hollowcore BGC (HC160) Conc Mix 2  (BGC) (Australia)</v>
      </c>
      <c r="C25" s="132" t="str">
        <v>m³</v>
      </c>
      <c r="D25" s="198">
        <v>332</v>
      </c>
      <c r="E25" s="198">
        <v>0.22508474576271187</v>
      </c>
      <c r="F25" s="198">
        <v>0</v>
      </c>
      <c r="G25" s="215">
        <v>0</v>
      </c>
      <c r="H25" s="131"/>
    </row>
    <row r="26" spans="1:8" x14ac:dyDescent="0.25">
      <c r="A26" s="133"/>
      <c r="B26" s="217" t="str">
        <v>Hollowcore concrete, , Hollowcore BGC (HC250) Conc Mix 2  (BGC) (Australia)</v>
      </c>
      <c r="C26" s="218" t="str">
        <v>m³</v>
      </c>
      <c r="D26" s="219">
        <v>348</v>
      </c>
      <c r="E26" s="219">
        <v>0.23593220338983051</v>
      </c>
      <c r="F26" s="219">
        <v>0</v>
      </c>
      <c r="G26" s="220">
        <v>0</v>
      </c>
      <c r="H26" s="131"/>
    </row>
    <row r="27" spans="1:8" x14ac:dyDescent="0.25">
      <c r="B27" s="130"/>
      <c r="C27" s="130"/>
      <c r="D27" s="207"/>
      <c r="E27" s="207"/>
      <c r="F27" s="207"/>
      <c r="G27" s="207"/>
    </row>
  </sheetData>
  <dataValidations count="1">
    <dataValidation type="list" allowBlank="1" showInputMessage="1" showErrorMessage="1" sqref="B6:B9" xr:uid="{BA1B2E8B-56F4-4D5F-8D57-947D00051F8F}">
      <formula1>"Tier 1,Tier 2,Tier 3,Tier 4"</formula1>
    </dataValidation>
  </dataValidations>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F043-F827-4F8F-A658-0C655B3B7312}">
  <sheetPr codeName="Sheet41">
    <tabColor rgb="FF00CCFF"/>
  </sheetPr>
  <dimension ref="A1:T52"/>
  <sheetViews>
    <sheetView workbookViewId="0"/>
  </sheetViews>
  <sheetFormatPr defaultColWidth="9.1796875" defaultRowHeight="12.5" x14ac:dyDescent="0.25"/>
  <cols>
    <col min="1" max="1" width="26.26953125" style="132" customWidth="1"/>
    <col min="2" max="2" width="109.1796875" style="132" customWidth="1"/>
    <col min="3" max="3" width="21" style="132" customWidth="1"/>
    <col min="4" max="6" width="19.7265625" style="198" customWidth="1"/>
    <col min="7" max="7" width="23.54296875" style="198" customWidth="1"/>
    <col min="8" max="9" width="9.1796875" style="132"/>
    <col min="10" max="10" width="24.54296875" style="132" bestFit="1" customWidth="1"/>
    <col min="11" max="11" width="9.1796875" style="132"/>
    <col min="12" max="18" width="14.7265625" style="132" customWidth="1"/>
    <col min="19" max="19" width="193.26953125" style="132" bestFit="1" customWidth="1"/>
    <col min="20" max="16384" width="9.1796875" style="132"/>
  </cols>
  <sheetData>
    <row r="1" spans="1:19" ht="13" x14ac:dyDescent="0.25">
      <c r="A1" s="202" t="str">
        <f>B16</f>
        <v>Generic windows and doors</v>
      </c>
    </row>
    <row r="2" spans="1:19" ht="13" x14ac:dyDescent="0.25">
      <c r="A2" s="202"/>
    </row>
    <row r="3" spans="1:19" ht="13" x14ac:dyDescent="0.3">
      <c r="A3" s="227" t="s">
        <v>5626</v>
      </c>
      <c r="B3" s="132" t="s">
        <v>5804</v>
      </c>
    </row>
    <row r="4" spans="1:19" ht="13" x14ac:dyDescent="0.3">
      <c r="A4" s="227"/>
    </row>
    <row r="5" spans="1:19" ht="73.5" customHeight="1" x14ac:dyDescent="0.3">
      <c r="A5" s="227" t="s">
        <v>5628</v>
      </c>
      <c r="B5" s="200"/>
      <c r="S5" s="132">
        <f>51.53+14</f>
        <v>65.53</v>
      </c>
    </row>
    <row r="6" spans="1:19" ht="13" x14ac:dyDescent="0.3">
      <c r="A6" s="227" t="s">
        <v>5630</v>
      </c>
      <c r="B6" s="75" t="s">
        <v>75</v>
      </c>
    </row>
    <row r="7" spans="1:19" ht="13" x14ac:dyDescent="0.3">
      <c r="A7" s="227" t="s">
        <v>5631</v>
      </c>
      <c r="B7" s="75" t="s">
        <v>75</v>
      </c>
    </row>
    <row r="8" spans="1:19" ht="13" x14ac:dyDescent="0.3">
      <c r="A8" s="227" t="s">
        <v>5632</v>
      </c>
      <c r="B8" s="75" t="s">
        <v>75</v>
      </c>
    </row>
    <row r="9" spans="1:19" ht="13" x14ac:dyDescent="0.3">
      <c r="A9" s="227" t="s">
        <v>5633</v>
      </c>
      <c r="B9" s="75" t="s">
        <v>75</v>
      </c>
    </row>
    <row r="10" spans="1:19" ht="13" x14ac:dyDescent="0.3">
      <c r="A10" s="227"/>
      <c r="B10" s="202"/>
    </row>
    <row r="11" spans="1:19" ht="13" x14ac:dyDescent="0.3">
      <c r="A11" s="227" t="s">
        <v>5634</v>
      </c>
      <c r="B11" s="200" t="s">
        <v>5805</v>
      </c>
    </row>
    <row r="12" spans="1:19" x14ac:dyDescent="0.25">
      <c r="A12" s="228"/>
      <c r="J12" s="228"/>
      <c r="L12" s="132" t="str" cm="1">
        <f t="array" aca="1" ref="L12:N12" ca="1">INDEX('EF Table_detail'!G:G,MATCH(L16:N16,'EF Table_detail'!B:B,0))</f>
        <v>Tier 1</v>
      </c>
      <c r="M12" s="132" t="str">
        <f ca="1"/>
        <v>Tier 2</v>
      </c>
      <c r="N12" s="132" t="str">
        <f ca="1"/>
        <v>Tier 4</v>
      </c>
    </row>
    <row r="13" spans="1:19" x14ac:dyDescent="0.25">
      <c r="A13" s="228"/>
      <c r="J13" s="228"/>
    </row>
    <row r="14" spans="1:19" ht="37.5" x14ac:dyDescent="0.3">
      <c r="A14" s="227" t="s">
        <v>5635</v>
      </c>
      <c r="B14" s="232" t="s">
        <v>5806</v>
      </c>
      <c r="J14" s="227"/>
    </row>
    <row r="15" spans="1:19" ht="13" x14ac:dyDescent="0.3">
      <c r="A15" s="227"/>
      <c r="B15" s="135"/>
      <c r="C15" s="135"/>
      <c r="D15" s="299" t="s">
        <v>77</v>
      </c>
      <c r="E15" s="300"/>
      <c r="F15" s="299" t="s">
        <v>5424</v>
      </c>
      <c r="G15" s="301"/>
      <c r="L15" s="202" t="s">
        <v>5771</v>
      </c>
    </row>
    <row r="16" spans="1:19" ht="37.5" x14ac:dyDescent="0.25">
      <c r="A16" s="133"/>
      <c r="B16" s="283" t="s">
        <v>5807</v>
      </c>
      <c r="C16" s="297" t="s">
        <v>24</v>
      </c>
      <c r="D16" s="284" t="s">
        <v>5719</v>
      </c>
      <c r="E16" s="284" t="s">
        <v>5720</v>
      </c>
      <c r="F16" s="284" t="s">
        <v>5721</v>
      </c>
      <c r="G16" s="284" t="s">
        <v>5722</v>
      </c>
      <c r="H16" s="131"/>
      <c r="J16" s="234" t="s">
        <v>5723</v>
      </c>
      <c r="K16" s="234"/>
      <c r="L16" s="235" t="s">
        <v>2057</v>
      </c>
      <c r="M16" s="235" t="s">
        <v>5485</v>
      </c>
      <c r="N16" s="235" t="s">
        <v>4839</v>
      </c>
      <c r="O16" s="235" t="s">
        <v>5808</v>
      </c>
      <c r="P16" s="235" t="s">
        <v>5809</v>
      </c>
      <c r="Q16" s="235" t="s">
        <v>5810</v>
      </c>
      <c r="R16" s="236" t="s">
        <v>5811</v>
      </c>
      <c r="S16" s="237" t="s">
        <v>5442</v>
      </c>
    </row>
    <row r="17" spans="1:20" ht="14.5" x14ac:dyDescent="0.3">
      <c r="A17" s="133"/>
      <c r="B17" s="317" t="s">
        <v>5812</v>
      </c>
      <c r="C17" s="130" t="s">
        <v>5731</v>
      </c>
      <c r="D17" s="344" t="s">
        <v>2848</v>
      </c>
      <c r="E17" s="207" t="s">
        <v>2774</v>
      </c>
      <c r="F17" s="344" t="s">
        <v>2774</v>
      </c>
      <c r="G17" s="318" t="s">
        <v>2774</v>
      </c>
      <c r="H17" s="131"/>
      <c r="J17" s="238" t="str">
        <f>IF(B17&lt;&gt;"",B17,J16)</f>
        <v>Prefabricated concrete panel</v>
      </c>
      <c r="K17" s="238" t="str">
        <f>C17</f>
        <v>Unit</v>
      </c>
      <c r="L17" s="239" t="str">
        <f>"kg/"&amp;$D17</f>
        <v>kg/tonne</v>
      </c>
      <c r="M17" s="239" t="str">
        <f>"kg/"&amp;$D17</f>
        <v>kg/tonne</v>
      </c>
      <c r="N17" s="239" t="str">
        <f>"kg/"&amp;$D17</f>
        <v>kg/tonne</v>
      </c>
      <c r="O17" s="239"/>
      <c r="P17" s="239" t="str">
        <f>"kWh"</f>
        <v>kWh</v>
      </c>
      <c r="Q17" s="239" t="s">
        <v>5813</v>
      </c>
    </row>
    <row r="18" spans="1:20" s="200" customFormat="1" ht="13" x14ac:dyDescent="0.3">
      <c r="A18" s="221"/>
      <c r="B18" s="214"/>
      <c r="C18" s="132" t="s">
        <v>5637</v>
      </c>
      <c r="D18" s="132" cm="1">
        <f t="array" aca="1" ref="D18" ca="1">SUMPRODUCT($L18:$N18,INDEX('EF Table_detail'!$R:$R,MATCH($L$16:$N$16,'EF Table_detail'!$B:$B,0)))+$P18*65.5</f>
        <v>439.03559663287507</v>
      </c>
      <c r="E18" s="198">
        <f ca="1">D18/$Q18</f>
        <v>0.43903559663287506</v>
      </c>
      <c r="F18" s="132" cm="1">
        <f t="array" aca="1" ref="F18" ca="1">SUMPRODUCT($L18:$N18,INDEX('EF Table_detail'!$V:$V,MATCH($L$16:$N$16,'EF Table_detail'!$B:$B,0)))</f>
        <v>0</v>
      </c>
      <c r="G18" s="215">
        <f ca="1">F18/$Q18</f>
        <v>0</v>
      </c>
      <c r="H18" s="222"/>
      <c r="J18" s="238" t="str">
        <f>IF(B18&lt;&gt;"",B18,J17)</f>
        <v>Prefabricated concrete panel</v>
      </c>
      <c r="K18" s="238" t="str">
        <f t="shared" ref="K18:K20" si="0">C18</f>
        <v>Max</v>
      </c>
      <c r="L18" s="132">
        <f>(682.3+189.5+4.7+75.8)*(1+$O$18)</f>
        <v>961.82299999999998</v>
      </c>
      <c r="M18" s="132">
        <f>47.4*(1+$O$18)</f>
        <v>47.874000000000002</v>
      </c>
      <c r="N18" s="132">
        <f>0.3*(1+$O$18)</f>
        <v>0.30299999999999999</v>
      </c>
      <c r="O18" s="240">
        <v>0.01</v>
      </c>
      <c r="P18" s="132">
        <f>SUM(L18:N18)*0.0002</f>
        <v>0.20200000000000001</v>
      </c>
      <c r="Q18" s="132">
        <v>1000</v>
      </c>
      <c r="R18" s="241" t="s">
        <v>4678</v>
      </c>
      <c r="S18" s="132" t="s">
        <v>5814</v>
      </c>
      <c r="T18" s="132"/>
    </row>
    <row r="19" spans="1:20" x14ac:dyDescent="0.25">
      <c r="A19" s="133"/>
      <c r="B19" s="204"/>
      <c r="C19" s="132" t="s">
        <v>5638</v>
      </c>
      <c r="D19" s="132" cm="1">
        <f t="array" aca="1" ref="D19" ca="1">SUMPRODUCT($L18:$N18,INDEX('EF Table_detail'!$O:$O,MATCH($L$16:$N$16,'EF Table_detail'!$B:$B,0)))+$P18*65.5</f>
        <v>69.349183916666675</v>
      </c>
      <c r="E19" s="198">
        <f ca="1">D19/$Q18</f>
        <v>6.9349183916666682E-2</v>
      </c>
      <c r="G19" s="215"/>
      <c r="H19" s="131"/>
      <c r="J19" s="238" t="str">
        <f>IF(B19&lt;&gt;"",B19,J18)</f>
        <v>Prefabricated concrete panel</v>
      </c>
      <c r="K19" s="238" t="str">
        <f t="shared" si="0"/>
        <v>Min</v>
      </c>
    </row>
    <row r="20" spans="1:20" x14ac:dyDescent="0.25">
      <c r="A20" s="133"/>
      <c r="B20" s="217"/>
      <c r="C20" s="218" t="s">
        <v>5639</v>
      </c>
      <c r="D20" s="218" cm="1">
        <f t="array" aca="1" ref="D20" ca="1">SUMPRODUCT($L18:$N18,INDEX('EF Table_detail'!$P:$P,MATCH($L$16:$N$16,'EF Table_detail'!$B:$B,0)))+$P18*65.5</f>
        <v>232.96106649034476</v>
      </c>
      <c r="E20" s="219">
        <f ca="1">D20/$Q18</f>
        <v>0.23296106649034476</v>
      </c>
      <c r="F20" s="218" cm="1">
        <f t="array" aca="1" ref="F20" ca="1">SUMPRODUCT($L17:$N17,INDEX('EF Table_detail'!$W:$W,MATCH($L$16:$N$16,'EF Table_detail'!$B:$B,0)))</f>
        <v>0</v>
      </c>
      <c r="G20" s="220">
        <f ca="1">F20/$Q18</f>
        <v>0</v>
      </c>
      <c r="H20" s="131"/>
      <c r="J20" s="238" t="str">
        <f>IF(B20&lt;&gt;"",B20,J19)</f>
        <v>Prefabricated concrete panel</v>
      </c>
      <c r="K20" s="238" t="str">
        <f t="shared" si="0"/>
        <v>Average</v>
      </c>
    </row>
    <row r="21" spans="1:20" x14ac:dyDescent="0.25">
      <c r="B21" s="130"/>
      <c r="C21" s="130"/>
      <c r="D21" s="207"/>
      <c r="E21" s="207"/>
      <c r="F21" s="207"/>
      <c r="G21" s="207"/>
      <c r="J21" s="238"/>
      <c r="K21" s="238"/>
      <c r="L21" s="239"/>
      <c r="M21" s="239"/>
      <c r="N21" s="239"/>
      <c r="O21" s="239"/>
      <c r="P21" s="239"/>
      <c r="Q21" s="239"/>
    </row>
    <row r="22" spans="1:20" ht="13" x14ac:dyDescent="0.25">
      <c r="B22" s="202"/>
      <c r="D22" s="132"/>
      <c r="E22" s="132"/>
      <c r="F22" s="132"/>
      <c r="G22" s="132"/>
      <c r="J22" s="238"/>
      <c r="K22" s="238"/>
      <c r="O22" s="240"/>
      <c r="R22" s="241"/>
    </row>
    <row r="23" spans="1:20" x14ac:dyDescent="0.25">
      <c r="D23" s="132"/>
      <c r="J23" s="238"/>
      <c r="K23" s="238"/>
    </row>
    <row r="24" spans="1:20" x14ac:dyDescent="0.25">
      <c r="D24" s="132"/>
      <c r="J24" s="238"/>
      <c r="K24" s="238"/>
    </row>
    <row r="25" spans="1:20" x14ac:dyDescent="0.25">
      <c r="J25" s="238"/>
      <c r="K25" s="238"/>
      <c r="L25" s="239"/>
      <c r="M25" s="239"/>
      <c r="N25" s="239"/>
      <c r="O25" s="239"/>
      <c r="P25" s="239"/>
      <c r="Q25" s="239"/>
    </row>
    <row r="26" spans="1:20" x14ac:dyDescent="0.25">
      <c r="J26" s="238"/>
      <c r="K26" s="238"/>
      <c r="R26" s="241"/>
    </row>
    <row r="27" spans="1:20" x14ac:dyDescent="0.25">
      <c r="J27" s="238"/>
      <c r="K27" s="238"/>
    </row>
    <row r="28" spans="1:20" x14ac:dyDescent="0.25">
      <c r="J28" s="238"/>
      <c r="K28" s="238"/>
    </row>
    <row r="29" spans="1:20" x14ac:dyDescent="0.25">
      <c r="J29" s="238"/>
      <c r="K29" s="238"/>
      <c r="L29" s="239"/>
      <c r="M29" s="239"/>
      <c r="N29" s="239"/>
      <c r="O29" s="239"/>
      <c r="P29" s="239"/>
      <c r="Q29" s="239"/>
    </row>
    <row r="30" spans="1:20" x14ac:dyDescent="0.25">
      <c r="J30" s="238"/>
      <c r="K30" s="238"/>
      <c r="R30" s="241"/>
    </row>
    <row r="31" spans="1:20" x14ac:dyDescent="0.25">
      <c r="J31" s="238"/>
      <c r="K31" s="238"/>
    </row>
    <row r="32" spans="1:20" x14ac:dyDescent="0.25">
      <c r="J32" s="238"/>
      <c r="K32" s="238"/>
    </row>
    <row r="33" spans="10:18" x14ac:dyDescent="0.25">
      <c r="J33" s="238"/>
      <c r="K33" s="238"/>
      <c r="L33" s="239"/>
      <c r="M33" s="239"/>
      <c r="N33" s="239"/>
      <c r="O33" s="239"/>
      <c r="P33" s="239"/>
      <c r="Q33" s="239"/>
    </row>
    <row r="34" spans="10:18" x14ac:dyDescent="0.25">
      <c r="J34" s="238"/>
      <c r="K34" s="238"/>
      <c r="R34" s="241"/>
    </row>
    <row r="35" spans="10:18" x14ac:dyDescent="0.25">
      <c r="J35" s="238"/>
      <c r="K35" s="238"/>
    </row>
    <row r="36" spans="10:18" x14ac:dyDescent="0.25">
      <c r="J36" s="238"/>
      <c r="K36" s="238"/>
    </row>
    <row r="37" spans="10:18" x14ac:dyDescent="0.25">
      <c r="J37" s="238"/>
      <c r="K37" s="238"/>
      <c r="L37" s="239"/>
      <c r="M37" s="239"/>
      <c r="N37" s="239"/>
      <c r="O37" s="239"/>
      <c r="P37" s="239"/>
      <c r="Q37" s="239"/>
    </row>
    <row r="38" spans="10:18" x14ac:dyDescent="0.25">
      <c r="J38" s="238"/>
      <c r="K38" s="238"/>
      <c r="R38" s="241"/>
    </row>
    <row r="39" spans="10:18" x14ac:dyDescent="0.25">
      <c r="J39" s="238"/>
      <c r="K39" s="238"/>
    </row>
    <row r="40" spans="10:18" x14ac:dyDescent="0.25">
      <c r="J40" s="238"/>
      <c r="K40" s="238"/>
    </row>
    <row r="41" spans="10:18" x14ac:dyDescent="0.25">
      <c r="J41" s="238"/>
      <c r="K41" s="238"/>
      <c r="L41" s="239"/>
      <c r="M41" s="239"/>
      <c r="N41" s="239"/>
      <c r="O41" s="239"/>
      <c r="P41" s="239"/>
      <c r="Q41" s="239"/>
    </row>
    <row r="42" spans="10:18" x14ac:dyDescent="0.25">
      <c r="J42" s="238"/>
      <c r="K42" s="238"/>
      <c r="R42" s="241"/>
    </row>
    <row r="43" spans="10:18" x14ac:dyDescent="0.25">
      <c r="J43" s="238"/>
      <c r="K43" s="238"/>
    </row>
    <row r="44" spans="10:18" x14ac:dyDescent="0.25">
      <c r="J44" s="238"/>
      <c r="K44" s="238"/>
    </row>
    <row r="45" spans="10:18" x14ac:dyDescent="0.25">
      <c r="J45" s="238"/>
      <c r="K45" s="238"/>
      <c r="L45" s="239"/>
      <c r="M45" s="239"/>
      <c r="N45" s="239"/>
      <c r="O45" s="239"/>
      <c r="P45" s="239"/>
      <c r="Q45" s="239"/>
    </row>
    <row r="46" spans="10:18" x14ac:dyDescent="0.25">
      <c r="J46" s="238"/>
      <c r="K46" s="238"/>
      <c r="R46" s="241"/>
    </row>
    <row r="47" spans="10:18" x14ac:dyDescent="0.25">
      <c r="J47" s="238"/>
      <c r="K47" s="238"/>
    </row>
    <row r="48" spans="10:18" x14ac:dyDescent="0.25">
      <c r="J48" s="238"/>
      <c r="K48" s="238"/>
    </row>
    <row r="49" spans="10:18" x14ac:dyDescent="0.25">
      <c r="J49" s="238"/>
      <c r="K49" s="238"/>
      <c r="L49" s="239"/>
      <c r="M49" s="239"/>
      <c r="N49" s="239"/>
      <c r="O49" s="239"/>
      <c r="P49" s="239"/>
      <c r="Q49" s="239"/>
    </row>
    <row r="50" spans="10:18" x14ac:dyDescent="0.25">
      <c r="J50" s="238"/>
      <c r="K50" s="238"/>
      <c r="R50" s="241"/>
    </row>
    <row r="51" spans="10:18" x14ac:dyDescent="0.25">
      <c r="J51" s="238"/>
      <c r="K51" s="238"/>
    </row>
    <row r="52" spans="10:18" x14ac:dyDescent="0.25">
      <c r="J52" s="238"/>
      <c r="K52" s="238"/>
    </row>
  </sheetData>
  <dataValidations count="1">
    <dataValidation allowBlank="1" showInputMessage="1" showErrorMessage="1" sqref="B6:B9" xr:uid="{1983572E-31ED-4CB1-B268-6919E08D7284}"/>
  </dataValidations>
  <hyperlinks>
    <hyperlink ref="R18" r:id="rId1" xr:uid="{9C3B0FD3-07A0-4DE8-95FC-0F09BEF2ADB0}"/>
  </hyperlinks>
  <pageMargins left="0.7" right="0.7" top="0.75" bottom="0.75" header="0.3" footer="0.3"/>
  <pageSetup paperSize="9" orientation="portrait" horizontalDpi="300" verticalDpi="3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62F3F-0BC0-4829-9043-B30F62B394B1}">
  <sheetPr codeName="Sheet113">
    <tabColor rgb="FF00CCFF"/>
  </sheetPr>
  <dimension ref="A1:AB54"/>
  <sheetViews>
    <sheetView zoomScale="80" zoomScaleNormal="80" workbookViewId="0"/>
  </sheetViews>
  <sheetFormatPr defaultColWidth="9.1796875" defaultRowHeight="12.5" x14ac:dyDescent="0.25"/>
  <cols>
    <col min="1" max="1" width="29.1796875" style="132" bestFit="1" customWidth="1"/>
    <col min="2" max="2" width="89.26953125" style="132" bestFit="1" customWidth="1"/>
    <col min="3" max="3" width="17.81640625" style="132" bestFit="1" customWidth="1"/>
    <col min="4" max="4" width="26.453125" style="132" bestFit="1" customWidth="1"/>
    <col min="5" max="5" width="25.1796875" style="132" bestFit="1" customWidth="1"/>
    <col min="6" max="6" width="23.7265625" style="132" bestFit="1" customWidth="1"/>
    <col min="7" max="7" width="22.26953125" style="132" bestFit="1" customWidth="1"/>
    <col min="8" max="9" width="9.1796875" style="132" customWidth="1"/>
    <col min="10" max="10" width="80" style="132" bestFit="1" customWidth="1"/>
    <col min="11" max="11" width="8.7265625" style="132" bestFit="1" customWidth="1"/>
    <col min="12" max="12" width="17.7265625" style="132" bestFit="1" customWidth="1"/>
    <col min="13" max="13" width="18.1796875" style="132" bestFit="1" customWidth="1"/>
    <col min="14" max="14" width="17.453125" style="132" bestFit="1" customWidth="1"/>
    <col min="15" max="15" width="13.54296875" style="132" bestFit="1" customWidth="1"/>
    <col min="16" max="16" width="10.1796875" style="132" bestFit="1" customWidth="1"/>
    <col min="17" max="17" width="22.81640625" style="132" bestFit="1" customWidth="1"/>
    <col min="18" max="18" width="13.7265625" style="132" bestFit="1" customWidth="1"/>
    <col min="19" max="19" width="6.453125" style="132" bestFit="1" customWidth="1"/>
    <col min="20" max="20" width="11.54296875" style="132" bestFit="1" customWidth="1"/>
    <col min="21" max="21" width="9.26953125" style="132" bestFit="1" customWidth="1"/>
    <col min="22" max="22" width="12.26953125" style="132" bestFit="1" customWidth="1"/>
    <col min="23" max="23" width="8.453125" style="132" bestFit="1" customWidth="1"/>
    <col min="24" max="24" width="16.26953125" style="132" bestFit="1" customWidth="1"/>
    <col min="25" max="25" width="14.54296875" style="132" customWidth="1"/>
    <col min="26" max="26" width="7.54296875" style="132" bestFit="1" customWidth="1"/>
    <col min="27" max="27" width="105.1796875" style="132" customWidth="1"/>
    <col min="28" max="28" width="8.7265625" style="132" customWidth="1"/>
    <col min="29" max="16384" width="9.1796875" style="132"/>
  </cols>
  <sheetData>
    <row r="1" spans="1:28" ht="13" x14ac:dyDescent="0.25">
      <c r="A1" s="202" t="str">
        <f>B16</f>
        <v>Generic curtain walls</v>
      </c>
      <c r="C1" s="202"/>
      <c r="D1" s="202"/>
      <c r="E1" s="202"/>
      <c r="F1" s="202"/>
      <c r="G1" s="202"/>
      <c r="J1" s="202"/>
      <c r="AB1" s="202"/>
    </row>
    <row r="2" spans="1:28" ht="13" x14ac:dyDescent="0.25">
      <c r="A2" s="202"/>
      <c r="C2" s="202"/>
      <c r="D2" s="202"/>
      <c r="E2" s="202"/>
      <c r="F2" s="202"/>
      <c r="G2" s="202"/>
      <c r="J2" s="202"/>
      <c r="AB2" s="202"/>
    </row>
    <row r="3" spans="1:28" ht="13" x14ac:dyDescent="0.3">
      <c r="A3" s="227" t="s">
        <v>5626</v>
      </c>
      <c r="B3" s="132" t="s">
        <v>5815</v>
      </c>
      <c r="C3" s="227"/>
      <c r="D3" s="227"/>
      <c r="E3" s="227"/>
      <c r="F3" s="227"/>
      <c r="G3" s="227"/>
      <c r="J3" s="227"/>
      <c r="AB3" s="227"/>
    </row>
    <row r="4" spans="1:28" ht="13" x14ac:dyDescent="0.25">
      <c r="A4" s="202"/>
      <c r="C4" s="202"/>
      <c r="D4" s="202"/>
      <c r="E4" s="202"/>
      <c r="F4" s="202"/>
      <c r="G4" s="202"/>
      <c r="J4" s="202"/>
      <c r="AB4" s="202"/>
    </row>
    <row r="5" spans="1:28" ht="125" x14ac:dyDescent="0.25">
      <c r="A5" s="277" t="s">
        <v>5628</v>
      </c>
      <c r="B5" s="232" t="s">
        <v>5816</v>
      </c>
      <c r="C5" s="277"/>
      <c r="D5" s="277"/>
      <c r="E5" s="277"/>
      <c r="F5" s="277"/>
      <c r="G5" s="277"/>
      <c r="J5" s="277"/>
      <c r="AB5" s="277"/>
    </row>
    <row r="6" spans="1:28" ht="13" x14ac:dyDescent="0.3">
      <c r="A6" s="227" t="s">
        <v>5708</v>
      </c>
      <c r="B6" s="75" t="s">
        <v>75</v>
      </c>
      <c r="C6" s="227"/>
      <c r="D6" s="227"/>
      <c r="E6" s="227"/>
      <c r="F6" s="227"/>
      <c r="G6" s="227"/>
      <c r="J6" s="227"/>
      <c r="AB6" s="227"/>
    </row>
    <row r="7" spans="1:28" ht="13" x14ac:dyDescent="0.3">
      <c r="A7" s="227" t="s">
        <v>5768</v>
      </c>
      <c r="B7" s="75" t="s">
        <v>75</v>
      </c>
      <c r="C7" s="227"/>
      <c r="D7" s="227"/>
      <c r="E7" s="227"/>
      <c r="F7" s="227"/>
      <c r="G7" s="227"/>
      <c r="J7" s="227"/>
      <c r="AB7" s="227"/>
    </row>
    <row r="8" spans="1:28" ht="13" x14ac:dyDescent="0.3">
      <c r="A8" s="227" t="s">
        <v>5769</v>
      </c>
      <c r="B8" s="75" t="s">
        <v>75</v>
      </c>
      <c r="C8" s="227"/>
      <c r="D8" s="227"/>
      <c r="E8" s="227"/>
      <c r="F8" s="227"/>
      <c r="G8" s="227"/>
      <c r="J8" s="227"/>
      <c r="AB8" s="227"/>
    </row>
    <row r="9" spans="1:28" ht="13" x14ac:dyDescent="0.3">
      <c r="A9" s="227" t="s">
        <v>5711</v>
      </c>
      <c r="B9" s="75" t="s">
        <v>75</v>
      </c>
      <c r="C9" s="227"/>
      <c r="D9" s="227"/>
      <c r="E9" s="227"/>
      <c r="F9" s="227"/>
      <c r="G9" s="227"/>
      <c r="J9" s="227"/>
      <c r="AB9" s="227"/>
    </row>
    <row r="10" spans="1:28" ht="13" x14ac:dyDescent="0.3">
      <c r="A10" s="227"/>
      <c r="C10" s="227"/>
      <c r="D10" s="227"/>
      <c r="E10" s="227"/>
      <c r="F10" s="227"/>
      <c r="G10" s="227"/>
      <c r="J10" s="227"/>
      <c r="AB10" s="227"/>
    </row>
    <row r="11" spans="1:28" ht="18.75" customHeight="1" x14ac:dyDescent="0.25">
      <c r="A11" s="277" t="s">
        <v>5634</v>
      </c>
      <c r="B11" s="278" t="s">
        <v>5817</v>
      </c>
      <c r="C11" s="277"/>
      <c r="D11" s="277"/>
      <c r="E11" s="277"/>
      <c r="F11" s="277"/>
      <c r="G11" s="277"/>
      <c r="J11" s="277"/>
      <c r="AB11" s="277"/>
    </row>
    <row r="12" spans="1:28" x14ac:dyDescent="0.25">
      <c r="A12" s="228"/>
      <c r="B12" s="228"/>
      <c r="C12" s="228"/>
      <c r="D12" s="228"/>
      <c r="E12" s="228"/>
      <c r="F12" s="228"/>
      <c r="G12" s="228"/>
      <c r="J12" s="228"/>
      <c r="L12" s="132" t="str" cm="1">
        <f t="array" aca="1" ref="L12:X12" ca="1">INDEX('EF Table_detail'!G:G,MATCH(L16:X16,'EF Table_detail'!B:B,0))</f>
        <v>Tier 2</v>
      </c>
      <c r="M12" s="132" t="str">
        <f ca="1"/>
        <v>Tier 2</v>
      </c>
      <c r="N12" s="132" t="str">
        <f ca="1"/>
        <v>Tier 2</v>
      </c>
      <c r="O12" s="132" t="str">
        <f ca="1"/>
        <v>Tier 4</v>
      </c>
      <c r="P12" s="132" t="str">
        <f ca="1"/>
        <v>Tier 2</v>
      </c>
      <c r="Q12" s="132" t="str">
        <f ca="1"/>
        <v>Tier 2</v>
      </c>
      <c r="R12" s="132" t="str">
        <f ca="1"/>
        <v>Tier 4</v>
      </c>
      <c r="S12" s="132" t="str">
        <f ca="1"/>
        <v>Tier 4</v>
      </c>
      <c r="T12" s="132" t="str">
        <f ca="1"/>
        <v>Tier 3</v>
      </c>
      <c r="U12" s="132" t="str">
        <f ca="1"/>
        <v>Tier 4</v>
      </c>
      <c r="V12" s="132" t="str">
        <f ca="1"/>
        <v>Tier 2</v>
      </c>
      <c r="W12" s="132" t="str">
        <f ca="1"/>
        <v>Tier 4</v>
      </c>
      <c r="X12" s="132" t="str">
        <f ca="1"/>
        <v>Untiered</v>
      </c>
      <c r="AB12" s="228"/>
    </row>
    <row r="13" spans="1:28" x14ac:dyDescent="0.25">
      <c r="A13" s="228"/>
      <c r="B13" s="228"/>
      <c r="C13" s="228"/>
      <c r="D13" s="228"/>
      <c r="E13" s="228"/>
      <c r="F13" s="228"/>
      <c r="G13" s="228"/>
      <c r="J13" s="228"/>
      <c r="AB13" s="228"/>
    </row>
    <row r="14" spans="1:28" ht="103.5" customHeight="1" x14ac:dyDescent="0.3">
      <c r="A14" s="227" t="s">
        <v>5635</v>
      </c>
      <c r="B14" s="261" t="s">
        <v>5818</v>
      </c>
      <c r="C14" s="227"/>
      <c r="D14" s="298"/>
      <c r="E14" s="298"/>
      <c r="F14" s="298"/>
      <c r="G14" s="298"/>
      <c r="J14" s="227"/>
      <c r="AB14" s="227"/>
    </row>
    <row r="15" spans="1:28" ht="13" x14ac:dyDescent="0.25">
      <c r="B15" s="135"/>
      <c r="C15" s="136"/>
      <c r="D15" s="299" t="s">
        <v>77</v>
      </c>
      <c r="E15" s="300"/>
      <c r="F15" s="299" t="s">
        <v>5424</v>
      </c>
      <c r="G15" s="301"/>
      <c r="H15" s="131"/>
      <c r="L15" s="202" t="s">
        <v>5771</v>
      </c>
    </row>
    <row r="16" spans="1:28" s="200" customFormat="1" ht="48" customHeight="1" x14ac:dyDescent="0.25">
      <c r="A16" s="133"/>
      <c r="B16" s="363" t="s">
        <v>5819</v>
      </c>
      <c r="C16" s="175" t="s">
        <v>24</v>
      </c>
      <c r="D16" s="364" t="s">
        <v>5719</v>
      </c>
      <c r="E16" s="364" t="s">
        <v>5720</v>
      </c>
      <c r="F16" s="364" t="s">
        <v>5721</v>
      </c>
      <c r="G16" s="365" t="s">
        <v>5722</v>
      </c>
      <c r="H16" s="131"/>
      <c r="I16" s="132"/>
      <c r="J16" s="234" t="s">
        <v>5723</v>
      </c>
      <c r="K16" s="234"/>
      <c r="L16" s="235" t="s">
        <v>2843</v>
      </c>
      <c r="M16" s="235" t="s">
        <v>5546</v>
      </c>
      <c r="N16" s="235" t="s">
        <v>5548</v>
      </c>
      <c r="O16" s="235" t="s">
        <v>3630</v>
      </c>
      <c r="P16" s="235" t="s">
        <v>4749</v>
      </c>
      <c r="Q16" s="235" t="s">
        <v>5493</v>
      </c>
      <c r="R16" s="235" t="s">
        <v>4839</v>
      </c>
      <c r="S16" s="235" t="s">
        <v>3396</v>
      </c>
      <c r="T16" s="235" t="s">
        <v>5508</v>
      </c>
      <c r="U16" s="235" t="s">
        <v>4546</v>
      </c>
      <c r="V16" s="235" t="s">
        <v>3562</v>
      </c>
      <c r="W16" s="235" t="s">
        <v>3782</v>
      </c>
      <c r="X16" s="235" t="s">
        <v>5475</v>
      </c>
      <c r="Y16" s="235" t="s">
        <v>5820</v>
      </c>
      <c r="Z16" s="235" t="s">
        <v>5821</v>
      </c>
      <c r="AA16" s="237" t="s">
        <v>5442</v>
      </c>
      <c r="AB16" s="234"/>
    </row>
    <row r="17" spans="1:28" s="258" customFormat="1" ht="13" x14ac:dyDescent="0.25">
      <c r="A17" s="133"/>
      <c r="B17" s="366" t="s">
        <v>5603</v>
      </c>
      <c r="C17" s="130" t="s">
        <v>5731</v>
      </c>
      <c r="D17" s="285" t="s">
        <v>2789</v>
      </c>
      <c r="E17" s="285" t="s">
        <v>2774</v>
      </c>
      <c r="F17" s="285" t="s">
        <v>2789</v>
      </c>
      <c r="G17" s="367" t="s">
        <v>2774</v>
      </c>
      <c r="H17" s="131"/>
      <c r="I17" s="132"/>
      <c r="J17" s="238" t="str">
        <f t="shared" ref="J17:J48" si="0">IF(B17&lt;&gt;"",B17,J16)</f>
        <v>Aluminium unitised type 1: 100% DGU 8T-16-44.2</v>
      </c>
      <c r="K17" s="238" t="str">
        <f>C17</f>
        <v>Unit</v>
      </c>
      <c r="L17" s="239" t="str">
        <f>"kg/"&amp;$D17</f>
        <v>kg/m²</v>
      </c>
      <c r="M17" s="239" t="str">
        <f t="shared" ref="M17:X17" si="1">"kg/"&amp;$D17</f>
        <v>kg/m²</v>
      </c>
      <c r="N17" s="239" t="str">
        <f t="shared" si="1"/>
        <v>kg/m²</v>
      </c>
      <c r="O17" s="239" t="str">
        <f t="shared" si="1"/>
        <v>kg/m²</v>
      </c>
      <c r="P17" s="239" t="str">
        <f t="shared" si="1"/>
        <v>kg/m²</v>
      </c>
      <c r="Q17" s="239" t="str">
        <f t="shared" si="1"/>
        <v>kg/m²</v>
      </c>
      <c r="R17" s="239" t="str">
        <f t="shared" si="1"/>
        <v>kg/m²</v>
      </c>
      <c r="S17" s="239" t="str">
        <f t="shared" si="1"/>
        <v>kg/m²</v>
      </c>
      <c r="T17" s="239" t="str">
        <f t="shared" si="1"/>
        <v>kg/m²</v>
      </c>
      <c r="U17" s="239" t="str">
        <f t="shared" si="1"/>
        <v>kg/m²</v>
      </c>
      <c r="V17" s="239" t="str">
        <f t="shared" si="1"/>
        <v>kg/m²</v>
      </c>
      <c r="W17" s="239" t="str">
        <f t="shared" si="1"/>
        <v>kg/m²</v>
      </c>
      <c r="X17" s="239" t="str">
        <f t="shared" si="1"/>
        <v>kg/m²</v>
      </c>
      <c r="Y17" s="240"/>
      <c r="Z17" s="239" t="str">
        <f>"kWh/"&amp;$D17</f>
        <v>kWh/m²</v>
      </c>
      <c r="AA17" s="132"/>
      <c r="AB17" s="238"/>
    </row>
    <row r="18" spans="1:28" x14ac:dyDescent="0.25">
      <c r="A18" s="133"/>
      <c r="B18" s="355"/>
      <c r="C18" s="132" t="s">
        <v>32</v>
      </c>
      <c r="D18" s="132" cm="1">
        <f t="array" aca="1" ref="D18" ca="1">SUMPRODUCT($L18:$X18*(1+$Y18),INDEX('EF Table_detail'!$R:$R,MATCH($L$16:$X$16,'EF Table_detail'!$B:$B,0)))+$Z18*0.92</f>
        <v>434.68140645030917</v>
      </c>
      <c r="E18" s="132">
        <f ca="1">D18/SUM($L18:$X18)</f>
        <v>8.5557641203396972</v>
      </c>
      <c r="F18" s="132" cm="1">
        <f t="array" aca="1" ref="F18" ca="1">SUMPRODUCT($L18:$X18*(1+$Y18),INDEX('EF Table_detail'!$V:$V,MATCH($L$16:$X$16,'EF Table_detail'!$B:$B,0)))</f>
        <v>0</v>
      </c>
      <c r="G18" s="356">
        <f ca="1">F18/SUM($L18:$X18)</f>
        <v>0</v>
      </c>
      <c r="H18" s="131"/>
      <c r="J18" s="238" t="str">
        <f t="shared" si="0"/>
        <v>Aluminium unitised type 1: 100% DGU 8T-16-44.2</v>
      </c>
      <c r="K18" s="238" t="str">
        <f t="shared" ref="K18:K49" si="2">C18</f>
        <v>Max in category EF</v>
      </c>
      <c r="L18" s="132">
        <v>0</v>
      </c>
      <c r="M18" s="132">
        <v>8.8595392922033085</v>
      </c>
      <c r="N18" s="132">
        <v>0</v>
      </c>
      <c r="O18" s="132">
        <v>39.887640449438202</v>
      </c>
      <c r="P18" s="132">
        <v>0</v>
      </c>
      <c r="Q18" s="132">
        <v>0</v>
      </c>
      <c r="R18" s="132">
        <v>2.0584993697001708</v>
      </c>
      <c r="S18" s="132">
        <v>0</v>
      </c>
      <c r="T18" s="132">
        <v>0</v>
      </c>
      <c r="U18" s="132">
        <v>0</v>
      </c>
      <c r="V18" s="132">
        <v>0</v>
      </c>
      <c r="W18" s="132">
        <v>0</v>
      </c>
      <c r="X18" s="132">
        <v>0</v>
      </c>
      <c r="Y18" s="240">
        <v>0.1</v>
      </c>
      <c r="Z18" s="132">
        <f>SUM(L18:X18)*(1+Y18)*0.1</f>
        <v>5.5886247022475857</v>
      </c>
      <c r="AA18" s="132" t="s">
        <v>5822</v>
      </c>
      <c r="AB18" s="238"/>
    </row>
    <row r="19" spans="1:28" x14ac:dyDescent="0.25">
      <c r="A19" s="133"/>
      <c r="B19" s="355"/>
      <c r="C19" s="132" t="s">
        <v>34</v>
      </c>
      <c r="D19" s="132" cm="1">
        <f t="array" aca="1" ref="D19" ca="1">SUMPRODUCT($L18:$X18*(1+$Y18),INDEX('EF Table_detail'!$O:$O,MATCH($L$16:$X$16,'EF Table_detail'!$B:$B,0)))+$Z18*0.92</f>
        <v>109.97549161576519</v>
      </c>
      <c r="E19" s="132">
        <f ca="1">D19/SUM($L18:$X18)</f>
        <v>2.164629890582737</v>
      </c>
      <c r="G19" s="356"/>
      <c r="H19" s="131"/>
      <c r="J19" s="238" t="str">
        <f t="shared" si="0"/>
        <v>Aluminium unitised type 1: 100% DGU 8T-16-44.2</v>
      </c>
      <c r="K19" s="238" t="str">
        <f t="shared" si="2"/>
        <v>Min in category EF</v>
      </c>
      <c r="AB19" s="238"/>
    </row>
    <row r="20" spans="1:28" x14ac:dyDescent="0.25">
      <c r="A20" s="133"/>
      <c r="B20" s="355"/>
      <c r="C20" s="132" t="s">
        <v>36</v>
      </c>
      <c r="D20" s="132" cm="1">
        <f t="array" aca="1" ref="D20" ca="1">SUMPRODUCT($L18:$X18*(1+$Y18),INDEX('EF Table_detail'!$P:$P,MATCH($L$16:$X$16,'EF Table_detail'!$B:$B,0)))+$Z18*0.92</f>
        <v>263.5729221454132</v>
      </c>
      <c r="E20" s="132">
        <f ca="1">D20/SUM($L18:$X18)</f>
        <v>5.1878633797569709</v>
      </c>
      <c r="F20" s="132" cm="1">
        <f t="array" aca="1" ref="F20" ca="1">SUMPRODUCT($L18:$X18*(1+$Y18),INDEX('EF Table_detail'!$W:$W,MATCH($L$16:$X$16,'EF Table_detail'!$B:$B,0)))</f>
        <v>0</v>
      </c>
      <c r="G20" s="356">
        <f ca="1">F20/SUM($L18:$X18)</f>
        <v>0</v>
      </c>
      <c r="H20" s="131"/>
      <c r="J20" s="238" t="str">
        <f t="shared" si="0"/>
        <v>Aluminium unitised type 1: 100% DGU 8T-16-44.2</v>
      </c>
      <c r="K20" s="238" t="str">
        <f t="shared" si="2"/>
        <v>Average EF</v>
      </c>
      <c r="AB20" s="238"/>
    </row>
    <row r="21" spans="1:28" ht="13" x14ac:dyDescent="0.25">
      <c r="A21" s="133"/>
      <c r="B21" s="357" t="s">
        <v>5605</v>
      </c>
      <c r="C21" s="132" t="s">
        <v>5731</v>
      </c>
      <c r="D21" s="239" t="s">
        <v>2789</v>
      </c>
      <c r="E21" s="239" t="s">
        <v>2774</v>
      </c>
      <c r="F21" s="239" t="s">
        <v>2789</v>
      </c>
      <c r="G21" s="358" t="s">
        <v>2774</v>
      </c>
      <c r="H21" s="131"/>
      <c r="J21" s="238" t="str">
        <f t="shared" si="0"/>
        <v>Aluminium unitised type 2: aluminium cladding, 50% DGU 8T-16-44.2</v>
      </c>
      <c r="K21" s="238" t="str">
        <f t="shared" si="2"/>
        <v>Unit</v>
      </c>
      <c r="L21" s="239" t="str">
        <f>"kg/"&amp;$D21</f>
        <v>kg/m²</v>
      </c>
      <c r="M21" s="239" t="str">
        <f t="shared" ref="M21:X21" si="3">"kg/"&amp;$D21</f>
        <v>kg/m²</v>
      </c>
      <c r="N21" s="239" t="str">
        <f t="shared" si="3"/>
        <v>kg/m²</v>
      </c>
      <c r="O21" s="239" t="str">
        <f t="shared" si="3"/>
        <v>kg/m²</v>
      </c>
      <c r="P21" s="239" t="str">
        <f t="shared" si="3"/>
        <v>kg/m²</v>
      </c>
      <c r="Q21" s="239" t="str">
        <f t="shared" si="3"/>
        <v>kg/m²</v>
      </c>
      <c r="R21" s="239" t="str">
        <f t="shared" si="3"/>
        <v>kg/m²</v>
      </c>
      <c r="S21" s="239" t="str">
        <f t="shared" si="3"/>
        <v>kg/m²</v>
      </c>
      <c r="T21" s="239" t="str">
        <f t="shared" si="3"/>
        <v>kg/m²</v>
      </c>
      <c r="U21" s="239" t="str">
        <f t="shared" si="3"/>
        <v>kg/m²</v>
      </c>
      <c r="V21" s="239" t="str">
        <f t="shared" si="3"/>
        <v>kg/m²</v>
      </c>
      <c r="W21" s="239" t="str">
        <f t="shared" si="3"/>
        <v>kg/m²</v>
      </c>
      <c r="X21" s="239" t="str">
        <f t="shared" si="3"/>
        <v>kg/m²</v>
      </c>
      <c r="Y21" s="240"/>
      <c r="Z21" s="239" t="str">
        <f>"kWh/"&amp;$D21</f>
        <v>kWh/m²</v>
      </c>
      <c r="AB21" s="238"/>
    </row>
    <row r="22" spans="1:28" x14ac:dyDescent="0.25">
      <c r="A22" s="133"/>
      <c r="B22" s="355"/>
      <c r="C22" s="132" t="s">
        <v>32</v>
      </c>
      <c r="D22" s="132" cm="1">
        <f t="array" aca="1" ref="D22" ca="1">SUMPRODUCT($L22:$X22*(1+$Y22),INDEX('EF Table_detail'!$R:$R,MATCH($L$16:$X$16,'EF Table_detail'!$B:$B,0)))+$Z22*0.92</f>
        <v>655.81867077912102</v>
      </c>
      <c r="E22" s="132">
        <f ca="1">D22/SUM($L22:$X22)</f>
        <v>16.938315979429465</v>
      </c>
      <c r="F22" s="132" cm="1">
        <f t="array" aca="1" ref="F22" ca="1">SUMPRODUCT($L22:$X22*(1+$Y22),INDEX('EF Table_detail'!$V:$V,MATCH($L$16:$X$16,'EF Table_detail'!$B:$B,0)))</f>
        <v>0</v>
      </c>
      <c r="G22" s="356">
        <f ca="1">F22/SUM($L22:$X22)</f>
        <v>0</v>
      </c>
      <c r="H22" s="131"/>
      <c r="J22" s="238" t="str">
        <f t="shared" si="0"/>
        <v>Aluminium unitised type 2: aluminium cladding, 50% DGU 8T-16-44.2</v>
      </c>
      <c r="K22" s="238" t="str">
        <f t="shared" si="2"/>
        <v>Max in category EF</v>
      </c>
      <c r="L22" s="132">
        <v>0</v>
      </c>
      <c r="M22" s="132">
        <v>16.649804909487834</v>
      </c>
      <c r="N22" s="132">
        <v>0</v>
      </c>
      <c r="O22" s="132">
        <v>19.943820224719101</v>
      </c>
      <c r="P22" s="132">
        <v>0</v>
      </c>
      <c r="Q22" s="132">
        <v>0</v>
      </c>
      <c r="R22" s="132">
        <v>2.1244311103201032</v>
      </c>
      <c r="S22" s="132">
        <v>0</v>
      </c>
      <c r="T22" s="132">
        <v>0</v>
      </c>
      <c r="U22" s="132">
        <v>0</v>
      </c>
      <c r="V22" s="132">
        <v>0</v>
      </c>
      <c r="W22" s="132">
        <v>0</v>
      </c>
      <c r="X22" s="132">
        <v>0</v>
      </c>
      <c r="Y22" s="240">
        <v>0.1</v>
      </c>
      <c r="Z22" s="132">
        <f>SUM(L22:X22)*(1+Y22)*0.1</f>
        <v>4.2589861868979737</v>
      </c>
      <c r="AA22" s="132" t="s">
        <v>5822</v>
      </c>
      <c r="AB22" s="238"/>
    </row>
    <row r="23" spans="1:28" x14ac:dyDescent="0.25">
      <c r="A23" s="133"/>
      <c r="B23" s="355"/>
      <c r="C23" s="132" t="s">
        <v>34</v>
      </c>
      <c r="D23" s="132" cm="1">
        <f t="array" aca="1" ref="D23" ca="1">SUMPRODUCT($L22:$X22*(1+$Y22),INDEX('EF Table_detail'!$O:$O,MATCH($L$16:$X$16,'EF Table_detail'!$B:$B,0)))+$Z22*0.92</f>
        <v>128.99068875530259</v>
      </c>
      <c r="E23" s="132">
        <f ca="1">D23/SUM($L22:$X22)</f>
        <v>3.3315383380986741</v>
      </c>
      <c r="G23" s="356"/>
      <c r="H23" s="131"/>
      <c r="J23" s="238" t="str">
        <f t="shared" si="0"/>
        <v>Aluminium unitised type 2: aluminium cladding, 50% DGU 8T-16-44.2</v>
      </c>
      <c r="K23" s="238" t="str">
        <f t="shared" si="2"/>
        <v>Min in category EF</v>
      </c>
      <c r="AB23" s="238"/>
    </row>
    <row r="24" spans="1:28" x14ac:dyDescent="0.25">
      <c r="A24" s="133"/>
      <c r="B24" s="355"/>
      <c r="C24" s="132" t="s">
        <v>36</v>
      </c>
      <c r="D24" s="132" cm="1">
        <f t="array" aca="1" ref="D24" ca="1">SUMPRODUCT($L22:$X22*(1+$Y22),INDEX('EF Table_detail'!$P:$P,MATCH($L$16:$X$16,'EF Table_detail'!$B:$B,0)))+$Z22*0.92</f>
        <v>382.40528706051703</v>
      </c>
      <c r="E24" s="132">
        <f ca="1">D24/SUM($L22:$X22)</f>
        <v>9.8766654153660323</v>
      </c>
      <c r="F24" s="132" cm="1">
        <f t="array" aca="1" ref="F24" ca="1">SUMPRODUCT($L22:$X22*(1+$Y22),INDEX('EF Table_detail'!$W:$W,MATCH($L$16:$X$16,'EF Table_detail'!$B:$B,0)))</f>
        <v>0</v>
      </c>
      <c r="G24" s="356">
        <f ca="1">F24/SUM($L22:$X22)</f>
        <v>0</v>
      </c>
      <c r="H24" s="131"/>
      <c r="J24" s="238" t="str">
        <f t="shared" si="0"/>
        <v>Aluminium unitised type 2: aluminium cladding, 50% DGU 8T-16-44.2</v>
      </c>
      <c r="K24" s="238" t="str">
        <f t="shared" si="2"/>
        <v>Average EF</v>
      </c>
      <c r="AB24" s="238"/>
    </row>
    <row r="25" spans="1:28" ht="13" x14ac:dyDescent="0.25">
      <c r="A25" s="133"/>
      <c r="B25" s="357" t="s">
        <v>5606</v>
      </c>
      <c r="C25" s="132" t="s">
        <v>5731</v>
      </c>
      <c r="D25" s="239" t="s">
        <v>2789</v>
      </c>
      <c r="E25" s="239" t="s">
        <v>2774</v>
      </c>
      <c r="F25" s="239" t="s">
        <v>2789</v>
      </c>
      <c r="G25" s="358" t="s">
        <v>2774</v>
      </c>
      <c r="H25" s="131"/>
      <c r="J25" s="238" t="str">
        <f t="shared" si="0"/>
        <v>Aluminium unitised type 3: aluminium cladding with vertical fins, 50% DGU 8T-16-44.2</v>
      </c>
      <c r="K25" s="238" t="str">
        <f t="shared" si="2"/>
        <v>Unit</v>
      </c>
      <c r="L25" s="239" t="str">
        <f>"kg/"&amp;$D25</f>
        <v>kg/m²</v>
      </c>
      <c r="M25" s="239" t="str">
        <f t="shared" ref="M25:X25" si="4">"kg/"&amp;$D25</f>
        <v>kg/m²</v>
      </c>
      <c r="N25" s="239" t="str">
        <f t="shared" si="4"/>
        <v>kg/m²</v>
      </c>
      <c r="O25" s="239" t="str">
        <f t="shared" si="4"/>
        <v>kg/m²</v>
      </c>
      <c r="P25" s="239" t="str">
        <f t="shared" si="4"/>
        <v>kg/m²</v>
      </c>
      <c r="Q25" s="239" t="str">
        <f t="shared" si="4"/>
        <v>kg/m²</v>
      </c>
      <c r="R25" s="239" t="str">
        <f t="shared" si="4"/>
        <v>kg/m²</v>
      </c>
      <c r="S25" s="239" t="str">
        <f t="shared" si="4"/>
        <v>kg/m²</v>
      </c>
      <c r="T25" s="239" t="str">
        <f t="shared" si="4"/>
        <v>kg/m²</v>
      </c>
      <c r="U25" s="239" t="str">
        <f t="shared" si="4"/>
        <v>kg/m²</v>
      </c>
      <c r="V25" s="239" t="str">
        <f t="shared" si="4"/>
        <v>kg/m²</v>
      </c>
      <c r="W25" s="239" t="str">
        <f t="shared" si="4"/>
        <v>kg/m²</v>
      </c>
      <c r="X25" s="239" t="str">
        <f t="shared" si="4"/>
        <v>kg/m²</v>
      </c>
      <c r="Y25" s="240"/>
      <c r="Z25" s="239" t="str">
        <f>"kWh/"&amp;$D25</f>
        <v>kWh/m²</v>
      </c>
      <c r="AB25" s="238"/>
    </row>
    <row r="26" spans="1:28" x14ac:dyDescent="0.25">
      <c r="A26" s="133"/>
      <c r="B26" s="355"/>
      <c r="C26" s="132" t="s">
        <v>32</v>
      </c>
      <c r="D26" s="132" cm="1">
        <f t="array" aca="1" ref="D26" ca="1">SUMPRODUCT($L26:$X26*(1+$Y26),INDEX('EF Table_detail'!$R:$R,MATCH($L$16:$X$16,'EF Table_detail'!$B:$B,0)))+$Z26*0.92</f>
        <v>877.24212505745732</v>
      </c>
      <c r="E26" s="132">
        <f ca="1">D26/SUM($L26:$X26)</f>
        <v>19.134557302821374</v>
      </c>
      <c r="F26" s="132" cm="1">
        <f t="array" aca="1" ref="F26" ca="1">SUMPRODUCT($L26:$X26*(1+$Y26),INDEX('EF Table_detail'!$V:$V,MATCH($L$16:$X$16,'EF Table_detail'!$B:$B,0)))</f>
        <v>0</v>
      </c>
      <c r="G26" s="356">
        <f ca="1">F26/SUM($L26:$X26)</f>
        <v>0</v>
      </c>
      <c r="H26" s="131"/>
      <c r="J26" s="238" t="str">
        <f t="shared" si="0"/>
        <v>Aluminium unitised type 3: aluminium cladding with vertical fins, 50% DGU 8T-16-44.2</v>
      </c>
      <c r="K26" s="238" t="str">
        <f t="shared" si="2"/>
        <v>Max in category EF</v>
      </c>
      <c r="L26" s="132">
        <v>0</v>
      </c>
      <c r="M26" s="132">
        <v>22.726219682726544</v>
      </c>
      <c r="N26" s="132">
        <v>0</v>
      </c>
      <c r="O26" s="132">
        <v>19.943820224719101</v>
      </c>
      <c r="P26" s="132">
        <v>0</v>
      </c>
      <c r="Q26" s="132">
        <v>0</v>
      </c>
      <c r="R26" s="132">
        <v>3.1759188557659108</v>
      </c>
      <c r="S26" s="132">
        <v>0</v>
      </c>
      <c r="T26" s="132">
        <v>0</v>
      </c>
      <c r="U26" s="132">
        <v>0</v>
      </c>
      <c r="V26" s="132">
        <v>0</v>
      </c>
      <c r="W26" s="132">
        <v>0</v>
      </c>
      <c r="X26" s="132">
        <v>0</v>
      </c>
      <c r="Y26" s="240">
        <v>0.1</v>
      </c>
      <c r="Z26" s="132">
        <f>SUM(L26:X26)*(1+Y26)*0.1</f>
        <v>5.0430554639532721</v>
      </c>
      <c r="AA26" s="132" t="s">
        <v>5822</v>
      </c>
      <c r="AB26" s="238"/>
    </row>
    <row r="27" spans="1:28" x14ac:dyDescent="0.25">
      <c r="A27" s="133"/>
      <c r="B27" s="355"/>
      <c r="C27" s="132" t="s">
        <v>34</v>
      </c>
      <c r="D27" s="132" cm="1">
        <f t="array" aca="1" ref="D27" ca="1">SUMPRODUCT($L26:$X26*(1+$Y26),INDEX('EF Table_detail'!$O:$O,MATCH($L$16:$X$16,'EF Table_detail'!$B:$B,0)))+$Z26*0.92</f>
        <v>167.40124327000368</v>
      </c>
      <c r="E27" s="132">
        <f ca="1">D27/SUM($L26:$X26)</f>
        <v>3.6513849374294782</v>
      </c>
      <c r="G27" s="356"/>
      <c r="H27" s="131"/>
      <c r="J27" s="238" t="str">
        <f t="shared" si="0"/>
        <v>Aluminium unitised type 3: aluminium cladding with vertical fins, 50% DGU 8T-16-44.2</v>
      </c>
      <c r="K27" s="238" t="str">
        <f t="shared" si="2"/>
        <v>Min in category EF</v>
      </c>
      <c r="AB27" s="238"/>
    </row>
    <row r="28" spans="1:28" x14ac:dyDescent="0.25">
      <c r="A28" s="133"/>
      <c r="B28" s="355"/>
      <c r="C28" s="132" t="s">
        <v>36</v>
      </c>
      <c r="D28" s="132" cm="1">
        <f t="array" aca="1" ref="D28" ca="1">SUMPRODUCT($L26:$X26*(1+$Y26),INDEX('EF Table_detail'!$P:$P,MATCH($L$16:$X$16,'EF Table_detail'!$B:$B,0)))+$Z26*0.92</f>
        <v>509.03346023732485</v>
      </c>
      <c r="E28" s="132">
        <f ca="1">D28/SUM($L26:$X26)</f>
        <v>11.103126076311694</v>
      </c>
      <c r="F28" s="132" cm="1">
        <f t="array" aca="1" ref="F28" ca="1">SUMPRODUCT($L26:$X26*(1+$Y26),INDEX('EF Table_detail'!$W:$W,MATCH($L$16:$X$16,'EF Table_detail'!$B:$B,0)))</f>
        <v>0</v>
      </c>
      <c r="G28" s="356">
        <f ca="1">F28/SUM($L26:$X26)</f>
        <v>0</v>
      </c>
      <c r="H28" s="131"/>
      <c r="J28" s="238" t="str">
        <f t="shared" si="0"/>
        <v>Aluminium unitised type 3: aluminium cladding with vertical fins, 50% DGU 8T-16-44.2</v>
      </c>
      <c r="K28" s="238" t="str">
        <f t="shared" si="2"/>
        <v>Average EF</v>
      </c>
      <c r="AB28" s="238"/>
    </row>
    <row r="29" spans="1:28" ht="13" x14ac:dyDescent="0.25">
      <c r="A29" s="133"/>
      <c r="B29" s="357" t="s">
        <v>5607</v>
      </c>
      <c r="C29" s="132" t="s">
        <v>5731</v>
      </c>
      <c r="D29" s="239" t="s">
        <v>2789</v>
      </c>
      <c r="E29" s="239" t="s">
        <v>2774</v>
      </c>
      <c r="F29" s="239" t="s">
        <v>2789</v>
      </c>
      <c r="G29" s="358" t="s">
        <v>2774</v>
      </c>
      <c r="H29" s="131"/>
      <c r="J29" s="238" t="str">
        <f t="shared" si="0"/>
        <v>Aluminium unitised type 4: aluminium cladding, 50% TGU 8T-16-6-16-44.2</v>
      </c>
      <c r="K29" s="238" t="str">
        <f t="shared" si="2"/>
        <v>Unit</v>
      </c>
      <c r="L29" s="239" t="str">
        <f>"kg/"&amp;$D29</f>
        <v>kg/m²</v>
      </c>
      <c r="M29" s="239" t="str">
        <f t="shared" ref="M29:X29" si="5">"kg/"&amp;$D29</f>
        <v>kg/m²</v>
      </c>
      <c r="N29" s="239" t="str">
        <f t="shared" si="5"/>
        <v>kg/m²</v>
      </c>
      <c r="O29" s="239" t="str">
        <f t="shared" si="5"/>
        <v>kg/m²</v>
      </c>
      <c r="P29" s="239" t="str">
        <f t="shared" si="5"/>
        <v>kg/m²</v>
      </c>
      <c r="Q29" s="239" t="str">
        <f t="shared" si="5"/>
        <v>kg/m²</v>
      </c>
      <c r="R29" s="239" t="str">
        <f t="shared" si="5"/>
        <v>kg/m²</v>
      </c>
      <c r="S29" s="239" t="str">
        <f t="shared" si="5"/>
        <v>kg/m²</v>
      </c>
      <c r="T29" s="239" t="str">
        <f t="shared" si="5"/>
        <v>kg/m²</v>
      </c>
      <c r="U29" s="239" t="str">
        <f t="shared" si="5"/>
        <v>kg/m²</v>
      </c>
      <c r="V29" s="239" t="str">
        <f t="shared" si="5"/>
        <v>kg/m²</v>
      </c>
      <c r="W29" s="239" t="str">
        <f t="shared" si="5"/>
        <v>kg/m²</v>
      </c>
      <c r="X29" s="239" t="str">
        <f t="shared" si="5"/>
        <v>kg/m²</v>
      </c>
      <c r="Y29" s="240"/>
      <c r="Z29" s="239" t="str">
        <f>"kWh/"&amp;$D29</f>
        <v>kWh/m²</v>
      </c>
      <c r="AB29" s="238"/>
    </row>
    <row r="30" spans="1:28" x14ac:dyDescent="0.25">
      <c r="A30" s="133"/>
      <c r="B30" s="355"/>
      <c r="C30" s="132" t="s">
        <v>32</v>
      </c>
      <c r="D30" s="132" cm="1">
        <f t="array" aca="1" ref="D30" ca="1">SUMPRODUCT($L30:$X30*(1+$Y30),INDEX('EF Table_detail'!$R:$R,MATCH($L$16:$X$16,'EF Table_detail'!$B:$B,0)))+$Z30*0.92</f>
        <v>663.65119916733568</v>
      </c>
      <c r="E30" s="132">
        <f ca="1">D30/SUM($L30:$X30)</f>
        <v>14.306540955997011</v>
      </c>
      <c r="F30" s="132" cm="1">
        <f t="array" aca="1" ref="F30" ca="1">SUMPRODUCT($L30:$X30*(1+$Y30),INDEX('EF Table_detail'!$V:$V,MATCH($L$16:$X$16,'EF Table_detail'!$B:$B,0)))</f>
        <v>0</v>
      </c>
      <c r="G30" s="356">
        <f ca="1">F30/SUM($L30:$X30)</f>
        <v>0</v>
      </c>
      <c r="H30" s="131"/>
      <c r="J30" s="238" t="str">
        <f t="shared" si="0"/>
        <v>Aluminium unitised type 4: aluminium cladding, 50% TGU 8T-16-6-16-44.2</v>
      </c>
      <c r="K30" s="238" t="str">
        <f t="shared" si="2"/>
        <v>Max in category EF</v>
      </c>
      <c r="L30" s="132">
        <v>0</v>
      </c>
      <c r="M30" s="132">
        <v>16.191437265810858</v>
      </c>
      <c r="N30" s="132">
        <v>0</v>
      </c>
      <c r="O30" s="132">
        <v>27.586206896551726</v>
      </c>
      <c r="P30" s="132">
        <v>0</v>
      </c>
      <c r="Q30" s="132">
        <v>0</v>
      </c>
      <c r="R30" s="132">
        <v>2.6103123121300524</v>
      </c>
      <c r="S30" s="132">
        <v>0</v>
      </c>
      <c r="T30" s="132">
        <v>0</v>
      </c>
      <c r="U30" s="132">
        <v>0</v>
      </c>
      <c r="V30" s="132">
        <v>0</v>
      </c>
      <c r="W30" s="132">
        <v>0</v>
      </c>
      <c r="X30" s="132">
        <v>0</v>
      </c>
      <c r="Y30" s="240">
        <v>0.1</v>
      </c>
      <c r="Z30" s="132">
        <f>SUM(L30:X30)*(1+Y30)*0.1</f>
        <v>5.1026752121941916</v>
      </c>
      <c r="AA30" s="132" t="s">
        <v>5822</v>
      </c>
      <c r="AB30" s="238"/>
    </row>
    <row r="31" spans="1:28" x14ac:dyDescent="0.25">
      <c r="A31" s="133"/>
      <c r="B31" s="355"/>
      <c r="C31" s="132" t="s">
        <v>34</v>
      </c>
      <c r="D31" s="132" cm="1">
        <f t="array" aca="1" ref="D31" ca="1">SUMPRODUCT($L30:$X30*(1+$Y30),INDEX('EF Table_detail'!$O:$O,MATCH($L$16:$X$16,'EF Table_detail'!$B:$B,0)))+$Z30*0.92</f>
        <v>137.91193948334376</v>
      </c>
      <c r="E31" s="132">
        <f ca="1">D31/SUM($L30:$X30)</f>
        <v>2.9730117462530914</v>
      </c>
      <c r="G31" s="356"/>
      <c r="H31" s="131"/>
      <c r="J31" s="238" t="str">
        <f t="shared" si="0"/>
        <v>Aluminium unitised type 4: aluminium cladding, 50% TGU 8T-16-6-16-44.2</v>
      </c>
      <c r="K31" s="238" t="str">
        <f t="shared" si="2"/>
        <v>Min in category EF</v>
      </c>
      <c r="AB31" s="238"/>
    </row>
    <row r="32" spans="1:28" x14ac:dyDescent="0.25">
      <c r="A32" s="133"/>
      <c r="B32" s="355"/>
      <c r="C32" s="132" t="s">
        <v>36</v>
      </c>
      <c r="D32" s="132" cm="1">
        <f t="array" aca="1" ref="D32" ca="1">SUMPRODUCT($L30:$X30*(1+$Y30),INDEX('EF Table_detail'!$P:$P,MATCH($L$16:$X$16,'EF Table_detail'!$B:$B,0)))+$Z30*0.92</f>
        <v>389.81925143437059</v>
      </c>
      <c r="E32" s="132">
        <f ca="1">D32/SUM($L30:$X30)</f>
        <v>8.4034581615752053</v>
      </c>
      <c r="F32" s="132" cm="1">
        <f t="array" aca="1" ref="F32" ca="1">SUMPRODUCT($L30:$X30*(1+$Y30),INDEX('EF Table_detail'!$W:$W,MATCH($L$16:$X$16,'EF Table_detail'!$B:$B,0)))</f>
        <v>0</v>
      </c>
      <c r="G32" s="356">
        <f ca="1">F32/SUM($L30:$X30)</f>
        <v>0</v>
      </c>
      <c r="H32" s="131"/>
      <c r="J32" s="238" t="str">
        <f t="shared" si="0"/>
        <v>Aluminium unitised type 4: aluminium cladding, 50% TGU 8T-16-6-16-44.2</v>
      </c>
      <c r="K32" s="238" t="str">
        <f t="shared" si="2"/>
        <v>Average EF</v>
      </c>
      <c r="AB32" s="238"/>
    </row>
    <row r="33" spans="1:28" ht="13" x14ac:dyDescent="0.25">
      <c r="A33" s="133"/>
      <c r="B33" s="357" t="s">
        <v>5608</v>
      </c>
      <c r="C33" s="132" t="s">
        <v>5731</v>
      </c>
      <c r="D33" s="239" t="s">
        <v>2789</v>
      </c>
      <c r="E33" s="239" t="s">
        <v>2774</v>
      </c>
      <c r="F33" s="239" t="s">
        <v>2789</v>
      </c>
      <c r="G33" s="358" t="s">
        <v>2774</v>
      </c>
      <c r="H33" s="131"/>
      <c r="J33" s="238" t="str">
        <f t="shared" si="0"/>
        <v>Aluminium unitised type 5: insulated shadow box, 50% DGU 8T-16-44.2</v>
      </c>
      <c r="K33" s="238" t="str">
        <f t="shared" si="2"/>
        <v>Unit</v>
      </c>
      <c r="L33" s="239" t="str">
        <f>"kg/"&amp;$D33</f>
        <v>kg/m²</v>
      </c>
      <c r="M33" s="239" t="str">
        <f t="shared" ref="M33:X33" si="6">"kg/"&amp;$D33</f>
        <v>kg/m²</v>
      </c>
      <c r="N33" s="239" t="str">
        <f t="shared" si="6"/>
        <v>kg/m²</v>
      </c>
      <c r="O33" s="239" t="str">
        <f t="shared" si="6"/>
        <v>kg/m²</v>
      </c>
      <c r="P33" s="239" t="str">
        <f t="shared" si="6"/>
        <v>kg/m²</v>
      </c>
      <c r="Q33" s="239" t="str">
        <f t="shared" si="6"/>
        <v>kg/m²</v>
      </c>
      <c r="R33" s="239" t="str">
        <f t="shared" si="6"/>
        <v>kg/m²</v>
      </c>
      <c r="S33" s="239" t="str">
        <f t="shared" si="6"/>
        <v>kg/m²</v>
      </c>
      <c r="T33" s="239" t="str">
        <f t="shared" si="6"/>
        <v>kg/m²</v>
      </c>
      <c r="U33" s="239" t="str">
        <f t="shared" si="6"/>
        <v>kg/m²</v>
      </c>
      <c r="V33" s="239" t="str">
        <f t="shared" si="6"/>
        <v>kg/m²</v>
      </c>
      <c r="W33" s="239" t="str">
        <f t="shared" si="6"/>
        <v>kg/m²</v>
      </c>
      <c r="X33" s="239" t="str">
        <f t="shared" si="6"/>
        <v>kg/m²</v>
      </c>
      <c r="Y33" s="240"/>
      <c r="Z33" s="239" t="str">
        <f>"kWh/"&amp;$D33</f>
        <v>kWh/m²</v>
      </c>
      <c r="AB33" s="238"/>
    </row>
    <row r="34" spans="1:28" x14ac:dyDescent="0.25">
      <c r="A34" s="133"/>
      <c r="B34" s="355"/>
      <c r="C34" s="132" t="s">
        <v>32</v>
      </c>
      <c r="D34" s="132" cm="1">
        <f t="array" aca="1" ref="D34" ca="1">SUMPRODUCT($L34:$X34*(1+$Y34),INDEX('EF Table_detail'!$R:$R,MATCH($L$16:$X$16,'EF Table_detail'!$B:$B,0)))+$Z34*0.92</f>
        <v>571.81153774781615</v>
      </c>
      <c r="E34" s="132">
        <f ca="1">D34/SUM($L34:$X34)</f>
        <v>10.487813925201559</v>
      </c>
      <c r="F34" s="132" cm="1">
        <f t="array" aca="1" ref="F34" ca="1">SUMPRODUCT($L34:$X34*(1+$Y34),INDEX('EF Table_detail'!$V:$V,MATCH($L$16:$X$16,'EF Table_detail'!$B:$B,0)))</f>
        <v>0</v>
      </c>
      <c r="G34" s="356">
        <f ca="1">F34/SUM($L34:$X34)</f>
        <v>0</v>
      </c>
      <c r="H34" s="131"/>
      <c r="J34" s="238" t="str">
        <f t="shared" si="0"/>
        <v>Aluminium unitised type 5: insulated shadow box, 50% DGU 8T-16-44.2</v>
      </c>
      <c r="K34" s="238" t="str">
        <f t="shared" si="2"/>
        <v>Max in category EF</v>
      </c>
      <c r="L34" s="132">
        <v>0</v>
      </c>
      <c r="M34" s="132">
        <v>12.729357507709775</v>
      </c>
      <c r="N34" s="132">
        <v>0</v>
      </c>
      <c r="O34" s="132">
        <v>39.479028388219668</v>
      </c>
      <c r="P34" s="132">
        <v>0</v>
      </c>
      <c r="Q34" s="132">
        <v>0</v>
      </c>
      <c r="R34" s="132">
        <v>2.3131322989909457</v>
      </c>
      <c r="S34" s="132">
        <v>0</v>
      </c>
      <c r="T34" s="132">
        <v>0</v>
      </c>
      <c r="U34" s="132">
        <v>0</v>
      </c>
      <c r="V34" s="132">
        <v>0</v>
      </c>
      <c r="W34" s="132">
        <v>0</v>
      </c>
      <c r="X34" s="132">
        <v>0</v>
      </c>
      <c r="Y34" s="240">
        <v>0.1</v>
      </c>
      <c r="Z34" s="132">
        <f>SUM(L34:X34)*(1+Y34)*0.1</f>
        <v>5.9973670014412432</v>
      </c>
      <c r="AA34" s="132" t="s">
        <v>5822</v>
      </c>
      <c r="AB34" s="238"/>
    </row>
    <row r="35" spans="1:28" x14ac:dyDescent="0.25">
      <c r="A35" s="133"/>
      <c r="B35" s="355"/>
      <c r="C35" s="132" t="s">
        <v>34</v>
      </c>
      <c r="D35" s="132" cm="1">
        <f t="array" aca="1" ref="D35" ca="1">SUMPRODUCT($L34:$X34*(1+$Y34),INDEX('EF Table_detail'!$O:$O,MATCH($L$16:$X$16,'EF Table_detail'!$B:$B,0)))+$Z34*0.92</f>
        <v>132.58156927016245</v>
      </c>
      <c r="E35" s="132">
        <f ca="1">D35/SUM($L34:$X34)</f>
        <v>2.4317292265444417</v>
      </c>
      <c r="G35" s="356"/>
      <c r="H35" s="131"/>
      <c r="J35" s="238" t="str">
        <f t="shared" si="0"/>
        <v>Aluminium unitised type 5: insulated shadow box, 50% DGU 8T-16-44.2</v>
      </c>
      <c r="K35" s="238" t="str">
        <f t="shared" si="2"/>
        <v>Min in category EF</v>
      </c>
      <c r="AB35" s="238"/>
    </row>
    <row r="36" spans="1:28" x14ac:dyDescent="0.25">
      <c r="A36" s="133"/>
      <c r="B36" s="355"/>
      <c r="C36" s="132" t="s">
        <v>36</v>
      </c>
      <c r="D36" s="132" cm="1">
        <f t="array" aca="1" ref="D36" ca="1">SUMPRODUCT($L34:$X34*(1+$Y34),INDEX('EF Table_detail'!$P:$P,MATCH($L$16:$X$16,'EF Table_detail'!$B:$B,0)))+$Z34*0.92</f>
        <v>341.78585386797482</v>
      </c>
      <c r="E36" s="132">
        <f ca="1">D36/SUM($L34:$X34)</f>
        <v>6.2688249554249946</v>
      </c>
      <c r="F36" s="132" cm="1">
        <f t="array" aca="1" ref="F36" ca="1">SUMPRODUCT($L34:$X34*(1+$Y34),INDEX('EF Table_detail'!$W:$W,MATCH($L$16:$X$16,'EF Table_detail'!$B:$B,0)))</f>
        <v>0</v>
      </c>
      <c r="G36" s="356">
        <f ca="1">F36/SUM($L34:$X34)</f>
        <v>0</v>
      </c>
      <c r="H36" s="131"/>
      <c r="J36" s="238" t="str">
        <f t="shared" si="0"/>
        <v>Aluminium unitised type 5: insulated shadow box, 50% DGU 8T-16-44.2</v>
      </c>
      <c r="K36" s="238" t="str">
        <f t="shared" si="2"/>
        <v>Average EF</v>
      </c>
      <c r="AB36" s="238"/>
    </row>
    <row r="37" spans="1:28" ht="13" x14ac:dyDescent="0.25">
      <c r="A37" s="133"/>
      <c r="B37" s="357" t="s">
        <v>5609</v>
      </c>
      <c r="C37" s="132" t="s">
        <v>5731</v>
      </c>
      <c r="D37" s="239" t="s">
        <v>2789</v>
      </c>
      <c r="E37" s="239" t="s">
        <v>2774</v>
      </c>
      <c r="F37" s="239" t="s">
        <v>2789</v>
      </c>
      <c r="G37" s="358" t="s">
        <v>2774</v>
      </c>
      <c r="H37" s="131"/>
      <c r="J37" s="238" t="str">
        <f t="shared" si="0"/>
        <v>Aluminium unitised type 6: GRC cladding, 50% DGU 8T-16-44.2</v>
      </c>
      <c r="K37" s="238" t="str">
        <f t="shared" si="2"/>
        <v>Unit</v>
      </c>
      <c r="L37" s="239" t="str">
        <f>"kg/"&amp;$D37</f>
        <v>kg/m²</v>
      </c>
      <c r="M37" s="239" t="str">
        <f t="shared" ref="M37:X37" si="7">"kg/"&amp;$D37</f>
        <v>kg/m²</v>
      </c>
      <c r="N37" s="239" t="str">
        <f t="shared" si="7"/>
        <v>kg/m²</v>
      </c>
      <c r="O37" s="239" t="str">
        <f t="shared" si="7"/>
        <v>kg/m²</v>
      </c>
      <c r="P37" s="239" t="str">
        <f t="shared" si="7"/>
        <v>kg/m²</v>
      </c>
      <c r="Q37" s="239" t="str">
        <f t="shared" si="7"/>
        <v>kg/m²</v>
      </c>
      <c r="R37" s="239" t="str">
        <f t="shared" si="7"/>
        <v>kg/m²</v>
      </c>
      <c r="S37" s="239" t="str">
        <f t="shared" si="7"/>
        <v>kg/m²</v>
      </c>
      <c r="T37" s="239" t="str">
        <f t="shared" si="7"/>
        <v>kg/m²</v>
      </c>
      <c r="U37" s="239" t="str">
        <f t="shared" si="7"/>
        <v>kg/m²</v>
      </c>
      <c r="V37" s="239" t="str">
        <f t="shared" si="7"/>
        <v>kg/m²</v>
      </c>
      <c r="W37" s="239" t="str">
        <f t="shared" si="7"/>
        <v>kg/m²</v>
      </c>
      <c r="X37" s="239" t="str">
        <f t="shared" si="7"/>
        <v>kg/m²</v>
      </c>
      <c r="Y37" s="240"/>
      <c r="Z37" s="239" t="str">
        <f>"kWh/"&amp;$D37</f>
        <v>kWh/m²</v>
      </c>
      <c r="AB37" s="238"/>
    </row>
    <row r="38" spans="1:28" s="258" customFormat="1" x14ac:dyDescent="0.25">
      <c r="A38" s="133"/>
      <c r="B38" s="355"/>
      <c r="C38" s="132" t="s">
        <v>32</v>
      </c>
      <c r="D38" s="132" cm="1">
        <f t="array" aca="1" ref="D38" ca="1">SUMPRODUCT($L38:$X38*(1+$Y38),INDEX('EF Table_detail'!$R:$R,MATCH($L$16:$X$16,'EF Table_detail'!$B:$B,0)))+$Z38*0.92</f>
        <v>766.40824824008587</v>
      </c>
      <c r="E38" s="132">
        <f ca="1">D38/SUM($L38:$X38)</f>
        <v>11.238173613031224</v>
      </c>
      <c r="F38" s="132" cm="1">
        <f t="array" aca="1" ref="F38" ca="1">SUMPRODUCT($L38:$X38*(1+$Y38),INDEX('EF Table_detail'!$V:$V,MATCH($L$16:$X$16,'EF Table_detail'!$B:$B,0)))</f>
        <v>0</v>
      </c>
      <c r="G38" s="356">
        <f ca="1">F38/SUM($L38:$X38)</f>
        <v>0</v>
      </c>
      <c r="H38" s="131"/>
      <c r="I38" s="132"/>
      <c r="J38" s="238" t="str">
        <f t="shared" si="0"/>
        <v>Aluminium unitised type 6: GRC cladding, 50% DGU 8T-16-44.2</v>
      </c>
      <c r="K38" s="238" t="str">
        <f t="shared" si="2"/>
        <v>Max in category EF</v>
      </c>
      <c r="L38" s="132">
        <v>0</v>
      </c>
      <c r="M38" s="132">
        <v>18.931258753416198</v>
      </c>
      <c r="N38" s="132">
        <v>0</v>
      </c>
      <c r="O38" s="132">
        <v>19.943820224719101</v>
      </c>
      <c r="P38" s="132">
        <v>0</v>
      </c>
      <c r="Q38" s="132">
        <v>0</v>
      </c>
      <c r="R38" s="132">
        <v>2.3647734160282332</v>
      </c>
      <c r="S38" s="132">
        <v>0</v>
      </c>
      <c r="T38" s="132">
        <v>0</v>
      </c>
      <c r="U38" s="132">
        <v>0</v>
      </c>
      <c r="V38" s="132">
        <v>0</v>
      </c>
      <c r="W38" s="132">
        <v>26.95701612114372</v>
      </c>
      <c r="X38" s="132">
        <v>0</v>
      </c>
      <c r="Y38" s="240">
        <v>0.1</v>
      </c>
      <c r="Z38" s="132">
        <f>SUM(L38:X38)*(1+Y38)*0.1</f>
        <v>7.5016555366837991</v>
      </c>
      <c r="AA38" s="132" t="s">
        <v>5822</v>
      </c>
      <c r="AB38" s="238"/>
    </row>
    <row r="39" spans="1:28" x14ac:dyDescent="0.25">
      <c r="A39" s="133"/>
      <c r="B39" s="355"/>
      <c r="C39" s="132" t="s">
        <v>34</v>
      </c>
      <c r="D39" s="132" cm="1">
        <f t="array" aca="1" ref="D39" ca="1">SUMPRODUCT($L38:$X38*(1+$Y38),INDEX('EF Table_detail'!$O:$O,MATCH($L$16:$X$16,'EF Table_detail'!$B:$B,0)))+$Z38*0.92</f>
        <v>157.73823464335888</v>
      </c>
      <c r="E39" s="132">
        <f ca="1">D39/SUM($L38:$X38)</f>
        <v>2.3129835442217326</v>
      </c>
      <c r="G39" s="356"/>
      <c r="H39" s="131"/>
      <c r="J39" s="238" t="str">
        <f t="shared" si="0"/>
        <v>Aluminium unitised type 6: GRC cladding, 50% DGU 8T-16-44.2</v>
      </c>
      <c r="K39" s="238" t="str">
        <f t="shared" si="2"/>
        <v>Min in category EF</v>
      </c>
      <c r="AB39" s="238"/>
    </row>
    <row r="40" spans="1:28" x14ac:dyDescent="0.25">
      <c r="A40" s="133"/>
      <c r="B40" s="355"/>
      <c r="C40" s="132" t="s">
        <v>36</v>
      </c>
      <c r="D40" s="132" cm="1">
        <f t="array" aca="1" ref="D40" ca="1">SUMPRODUCT($L38:$X38*(1+$Y38),INDEX('EF Table_detail'!$P:$P,MATCH($L$16:$X$16,'EF Table_detail'!$B:$B,0)))+$Z38*0.92</f>
        <v>448.21044540682055</v>
      </c>
      <c r="E40" s="132">
        <f ca="1">D40/SUM($L38:$X38)</f>
        <v>6.5723024409283051</v>
      </c>
      <c r="F40" s="132" cm="1">
        <f t="array" aca="1" ref="F40" ca="1">SUMPRODUCT($L38:$X38*(1+$Y38),INDEX('EF Table_detail'!$W:$W,MATCH($L$16:$X$16,'EF Table_detail'!$B:$B,0)))</f>
        <v>0</v>
      </c>
      <c r="G40" s="356">
        <f ca="1">F40/SUM($L38:$X38)</f>
        <v>0</v>
      </c>
      <c r="H40" s="131"/>
      <c r="J40" s="238" t="str">
        <f t="shared" si="0"/>
        <v>Aluminium unitised type 6: GRC cladding, 50% DGU 8T-16-44.2</v>
      </c>
      <c r="K40" s="238" t="str">
        <f t="shared" si="2"/>
        <v>Average EF</v>
      </c>
      <c r="AB40" s="238"/>
    </row>
    <row r="41" spans="1:28" ht="13" x14ac:dyDescent="0.25">
      <c r="A41" s="133"/>
      <c r="B41" s="357" t="s">
        <v>5611</v>
      </c>
      <c r="C41" s="132" t="s">
        <v>5731</v>
      </c>
      <c r="D41" s="239" t="s">
        <v>2789</v>
      </c>
      <c r="E41" s="239" t="s">
        <v>2774</v>
      </c>
      <c r="F41" s="239" t="s">
        <v>2789</v>
      </c>
      <c r="G41" s="358" t="s">
        <v>2774</v>
      </c>
      <c r="H41" s="131"/>
      <c r="J41" s="238" t="str">
        <f>IF(B41&lt;&gt;"",B41,J40)</f>
        <v>Double skin type 1: deep cavity aluminium façade, 100% single + DGU 66.2 + 8T-16-44.2</v>
      </c>
      <c r="K41" s="238" t="str">
        <f t="shared" si="2"/>
        <v>Unit</v>
      </c>
      <c r="L41" s="239" t="str">
        <f>"kg/"&amp;$D41</f>
        <v>kg/m²</v>
      </c>
      <c r="M41" s="239" t="str">
        <f t="shared" ref="M41:X41" si="8">"kg/"&amp;$D41</f>
        <v>kg/m²</v>
      </c>
      <c r="N41" s="239" t="str">
        <f t="shared" si="8"/>
        <v>kg/m²</v>
      </c>
      <c r="O41" s="239" t="str">
        <f t="shared" si="8"/>
        <v>kg/m²</v>
      </c>
      <c r="P41" s="239" t="str">
        <f t="shared" si="8"/>
        <v>kg/m²</v>
      </c>
      <c r="Q41" s="239" t="str">
        <f t="shared" si="8"/>
        <v>kg/m²</v>
      </c>
      <c r="R41" s="239" t="str">
        <f t="shared" si="8"/>
        <v>kg/m²</v>
      </c>
      <c r="S41" s="239" t="str">
        <f t="shared" si="8"/>
        <v>kg/m²</v>
      </c>
      <c r="T41" s="239" t="str">
        <f t="shared" si="8"/>
        <v>kg/m²</v>
      </c>
      <c r="U41" s="239" t="str">
        <f t="shared" si="8"/>
        <v>kg/m²</v>
      </c>
      <c r="V41" s="239" t="str">
        <f t="shared" si="8"/>
        <v>kg/m²</v>
      </c>
      <c r="W41" s="239" t="str">
        <f t="shared" si="8"/>
        <v>kg/m²</v>
      </c>
      <c r="X41" s="239" t="str">
        <f t="shared" si="8"/>
        <v>kg/m²</v>
      </c>
      <c r="Y41" s="240"/>
      <c r="Z41" s="239" t="str">
        <f>"kWh/"&amp;$D41</f>
        <v>kWh/m²</v>
      </c>
      <c r="AB41" s="238"/>
    </row>
    <row r="42" spans="1:28" x14ac:dyDescent="0.25">
      <c r="A42" s="133"/>
      <c r="B42" s="355"/>
      <c r="C42" s="132" t="s">
        <v>32</v>
      </c>
      <c r="D42" s="132" cm="1">
        <f t="array" aca="1" ref="D42" ca="1">SUMPRODUCT($L42:$X42*(1+$Y42),INDEX('EF Table_detail'!$R:$R,MATCH($L$16:$X$16,'EF Table_detail'!$B:$B,0)))+$Z42*0.92</f>
        <v>1304.4579443981183</v>
      </c>
      <c r="E42" s="132">
        <f ca="1">D42/SUM($L42:$X42)</f>
        <v>9.6982980731940103</v>
      </c>
      <c r="F42" s="132" cm="1">
        <f t="array" aca="1" ref="F42" ca="1">SUMPRODUCT($L42:$X42*(1+$Y42),INDEX('EF Table_detail'!$V:$V,MATCH($L$16:$X$16,'EF Table_detail'!$B:$B,0)))</f>
        <v>0</v>
      </c>
      <c r="G42" s="356">
        <f ca="1">F42/SUM($L42:$X42)</f>
        <v>0</v>
      </c>
      <c r="H42" s="131"/>
      <c r="J42" s="238" t="str">
        <f t="shared" si="0"/>
        <v>Double skin type 1: deep cavity aluminium façade, 100% single + DGU 66.2 + 8T-16-44.2</v>
      </c>
      <c r="K42" s="238" t="str">
        <f t="shared" si="2"/>
        <v>Max in category EF</v>
      </c>
      <c r="L42" s="132">
        <v>0</v>
      </c>
      <c r="M42" s="132">
        <v>26.716286940498428</v>
      </c>
      <c r="N42" s="132">
        <v>0</v>
      </c>
      <c r="O42" s="132">
        <v>70.303030303030312</v>
      </c>
      <c r="P42" s="132">
        <v>0</v>
      </c>
      <c r="Q42" s="132">
        <v>37.484482758620693</v>
      </c>
      <c r="R42" s="132">
        <v>0</v>
      </c>
      <c r="S42" s="132">
        <v>0</v>
      </c>
      <c r="T42" s="132">
        <v>0</v>
      </c>
      <c r="U42" s="132">
        <v>0</v>
      </c>
      <c r="V42" s="132">
        <v>0</v>
      </c>
      <c r="W42" s="132">
        <v>0</v>
      </c>
      <c r="X42" s="132">
        <v>0</v>
      </c>
      <c r="Y42" s="240">
        <v>0.1</v>
      </c>
      <c r="Z42" s="132">
        <f>SUM(L42:X42)*(1+Y42)*0.1</f>
        <v>14.795418000236438</v>
      </c>
      <c r="AA42" s="132" t="s">
        <v>5822</v>
      </c>
      <c r="AB42" s="238"/>
    </row>
    <row r="43" spans="1:28" x14ac:dyDescent="0.25">
      <c r="A43" s="133"/>
      <c r="B43" s="355"/>
      <c r="C43" s="132" t="s">
        <v>34</v>
      </c>
      <c r="D43" s="132" cm="1">
        <f t="array" aca="1" ref="D43" ca="1">SUMPRODUCT($L42:$X42*(1+$Y42),INDEX('EF Table_detail'!$O:$O,MATCH($L$16:$X$16,'EF Table_detail'!$B:$B,0)))+$Z42*0.92</f>
        <v>362.53894178901709</v>
      </c>
      <c r="E43" s="132">
        <f ca="1">D43/SUM($L42:$X42)</f>
        <v>2.6953806642133795</v>
      </c>
      <c r="G43" s="356"/>
      <c r="H43" s="131"/>
      <c r="J43" s="238" t="str">
        <f t="shared" si="0"/>
        <v>Double skin type 1: deep cavity aluminium façade, 100% single + DGU 66.2 + 8T-16-44.2</v>
      </c>
      <c r="K43" s="238" t="str">
        <f t="shared" si="2"/>
        <v>Min in category EF</v>
      </c>
      <c r="AB43" s="238"/>
    </row>
    <row r="44" spans="1:28" x14ac:dyDescent="0.25">
      <c r="A44" s="133"/>
      <c r="B44" s="355"/>
      <c r="C44" s="132" t="s">
        <v>36</v>
      </c>
      <c r="D44" s="132" cm="1">
        <f t="array" aca="1" ref="D44" ca="1">SUMPRODUCT($L42:$X42*(1+$Y42),INDEX('EF Table_detail'!$P:$P,MATCH($L$16:$X$16,'EF Table_detail'!$B:$B,0)))+$Z42*0.92</f>
        <v>801.94041932917969</v>
      </c>
      <c r="E44" s="132">
        <f ca="1">D44/SUM($L42:$X42)</f>
        <v>5.9622138505853686</v>
      </c>
      <c r="F44" s="132" cm="1">
        <f t="array" aca="1" ref="F44" ca="1">SUMPRODUCT($L42:$X42*(1+$Y42),INDEX('EF Table_detail'!$W:$W,MATCH($L$16:$X$16,'EF Table_detail'!$B:$B,0)))</f>
        <v>0</v>
      </c>
      <c r="G44" s="356">
        <f ca="1">F44/SUM($L42:$X42)</f>
        <v>0</v>
      </c>
      <c r="H44" s="131"/>
      <c r="J44" s="238" t="str">
        <f t="shared" si="0"/>
        <v>Double skin type 1: deep cavity aluminium façade, 100% single + DGU 66.2 + 8T-16-44.2</v>
      </c>
      <c r="K44" s="238" t="str">
        <f t="shared" si="2"/>
        <v>Average EF</v>
      </c>
      <c r="AB44" s="238"/>
    </row>
    <row r="45" spans="1:28" ht="13" x14ac:dyDescent="0.25">
      <c r="A45" s="133"/>
      <c r="B45" s="357" t="s">
        <v>5612</v>
      </c>
      <c r="C45" s="132" t="s">
        <v>5731</v>
      </c>
      <c r="D45" s="239" t="s">
        <v>2789</v>
      </c>
      <c r="E45" s="239" t="s">
        <v>2774</v>
      </c>
      <c r="F45" s="239" t="s">
        <v>2789</v>
      </c>
      <c r="G45" s="358" t="s">
        <v>2774</v>
      </c>
      <c r="H45" s="131"/>
      <c r="J45" s="238" t="str">
        <f t="shared" si="0"/>
        <v>Double skin type 2: narrow cavity aluminium façade, 100% single + DGU 66.2 + 8T-16-44.2</v>
      </c>
      <c r="K45" s="238" t="str">
        <f t="shared" si="2"/>
        <v>Unit</v>
      </c>
      <c r="L45" s="239" t="str">
        <f t="shared" ref="L45:X45" si="9">"kg/"&amp;$D45</f>
        <v>kg/m²</v>
      </c>
      <c r="M45" s="239" t="str">
        <f t="shared" si="9"/>
        <v>kg/m²</v>
      </c>
      <c r="N45" s="239" t="str">
        <f t="shared" si="9"/>
        <v>kg/m²</v>
      </c>
      <c r="O45" s="239" t="str">
        <f t="shared" si="9"/>
        <v>kg/m²</v>
      </c>
      <c r="P45" s="239" t="str">
        <f t="shared" si="9"/>
        <v>kg/m²</v>
      </c>
      <c r="Q45" s="239" t="str">
        <f t="shared" si="9"/>
        <v>kg/m²</v>
      </c>
      <c r="R45" s="239" t="str">
        <f t="shared" si="9"/>
        <v>kg/m²</v>
      </c>
      <c r="S45" s="239" t="str">
        <f t="shared" si="9"/>
        <v>kg/m²</v>
      </c>
      <c r="T45" s="239" t="str">
        <f t="shared" si="9"/>
        <v>kg/m²</v>
      </c>
      <c r="U45" s="239" t="str">
        <f t="shared" si="9"/>
        <v>kg/m²</v>
      </c>
      <c r="V45" s="239" t="str">
        <f t="shared" si="9"/>
        <v>kg/m²</v>
      </c>
      <c r="W45" s="239" t="str">
        <f t="shared" si="9"/>
        <v>kg/m²</v>
      </c>
      <c r="X45" s="239" t="str">
        <f t="shared" si="9"/>
        <v>kg/m²</v>
      </c>
      <c r="Y45" s="240"/>
      <c r="Z45" s="239" t="str">
        <f>"kWh/"&amp;$D45</f>
        <v>kWh/m²</v>
      </c>
      <c r="AB45" s="238"/>
    </row>
    <row r="46" spans="1:28" x14ac:dyDescent="0.25">
      <c r="A46" s="133"/>
      <c r="B46" s="355"/>
      <c r="C46" s="132" t="s">
        <v>32</v>
      </c>
      <c r="D46" s="132" cm="1">
        <f t="array" aca="1" ref="D46" ca="1">SUMPRODUCT($L46:$X46*(1+$Y46),INDEX('EF Table_detail'!$R:$R,MATCH($L$16:$X$16,'EF Table_detail'!$B:$B,0)))+$Z46*0.92</f>
        <v>673.69452167509348</v>
      </c>
      <c r="E46" s="132">
        <f ca="1">D46/SUM($L46:$X46)</f>
        <v>7.7410963359829417</v>
      </c>
      <c r="F46" s="132" cm="1">
        <f t="array" aca="1" ref="F46" ca="1">SUMPRODUCT($L46:$X46*(1+$Y46),INDEX('EF Table_detail'!$V:$V,MATCH($L$16:$X$16,'EF Table_detail'!$B:$B,0)))</f>
        <v>0</v>
      </c>
      <c r="G46" s="356">
        <f ca="1">F46/SUM($L46:$X46)</f>
        <v>0</v>
      </c>
      <c r="H46" s="131"/>
      <c r="J46" s="238" t="str">
        <f t="shared" si="0"/>
        <v>Double skin type 2: narrow cavity aluminium façade, 100% single + DGU 66.2 + 8T-16-44.2</v>
      </c>
      <c r="K46" s="238" t="str">
        <f t="shared" si="2"/>
        <v>Max in category EF</v>
      </c>
      <c r="L46" s="132">
        <v>0</v>
      </c>
      <c r="M46" s="132">
        <v>12.971229027015683</v>
      </c>
      <c r="N46" s="132">
        <v>0</v>
      </c>
      <c r="O46" s="132">
        <v>70.303030303030312</v>
      </c>
      <c r="P46" s="132">
        <v>0</v>
      </c>
      <c r="Q46" s="132">
        <v>0</v>
      </c>
      <c r="R46" s="132">
        <v>3.7540493790911058</v>
      </c>
      <c r="S46" s="132">
        <v>0</v>
      </c>
      <c r="T46" s="132">
        <v>0</v>
      </c>
      <c r="U46" s="132">
        <v>0</v>
      </c>
      <c r="V46" s="132">
        <v>0</v>
      </c>
      <c r="W46" s="132">
        <v>0</v>
      </c>
      <c r="X46" s="132">
        <v>0</v>
      </c>
      <c r="Y46" s="240">
        <v>0.1</v>
      </c>
      <c r="Z46" s="132">
        <f>SUM(L46:X46)*(1+Y46)*0.1</f>
        <v>9.5731139580050808</v>
      </c>
      <c r="AA46" s="132" t="s">
        <v>5822</v>
      </c>
      <c r="AB46" s="238"/>
    </row>
    <row r="47" spans="1:28" x14ac:dyDescent="0.25">
      <c r="A47" s="133"/>
      <c r="B47" s="355"/>
      <c r="C47" s="132" t="s">
        <v>34</v>
      </c>
      <c r="D47" s="132" cm="1">
        <f t="array" aca="1" ref="D47" ca="1">SUMPRODUCT($L46:$X46*(1+$Y46),INDEX('EF Table_detail'!$O:$O,MATCH($L$16:$X$16,'EF Table_detail'!$B:$B,0)))+$Z46*0.92</f>
        <v>178.97762969418417</v>
      </c>
      <c r="E47" s="132">
        <f ca="1">D47/SUM($L46:$X46)</f>
        <v>2.0565449604720785</v>
      </c>
      <c r="G47" s="356"/>
      <c r="H47" s="131"/>
      <c r="J47" s="238" t="str">
        <f t="shared" si="0"/>
        <v>Double skin type 2: narrow cavity aluminium façade, 100% single + DGU 66.2 + 8T-16-44.2</v>
      </c>
      <c r="K47" s="238" t="str">
        <f t="shared" si="2"/>
        <v>Min in category EF</v>
      </c>
      <c r="AB47" s="238"/>
    </row>
    <row r="48" spans="1:28" x14ac:dyDescent="0.25">
      <c r="A48" s="133"/>
      <c r="B48" s="355"/>
      <c r="C48" s="132" t="s">
        <v>36</v>
      </c>
      <c r="D48" s="132" cm="1">
        <f t="array" aca="1" ref="D48" ca="1">SUMPRODUCT($L46:$X46*(1+$Y46),INDEX('EF Table_detail'!$P:$P,MATCH($L$16:$X$16,'EF Table_detail'!$B:$B,0)))+$Z46*0.92</f>
        <v>411.7673014686618</v>
      </c>
      <c r="E48" s="132">
        <f ca="1">D48/SUM($L46:$X46)</f>
        <v>4.7314179440721498</v>
      </c>
      <c r="F48" s="132" cm="1">
        <f t="array" aca="1" ref="F48" ca="1">SUMPRODUCT($L46:$X46*(1+$Y46),INDEX('EF Table_detail'!$W:$W,MATCH($L$16:$X$16,'EF Table_detail'!$B:$B,0)))</f>
        <v>0</v>
      </c>
      <c r="G48" s="356">
        <f ca="1">F48/SUM($L46:$X46)</f>
        <v>0</v>
      </c>
      <c r="H48" s="131"/>
      <c r="J48" s="238" t="str">
        <f t="shared" si="0"/>
        <v>Double skin type 2: narrow cavity aluminium façade, 100% single + DGU 66.2 + 8T-16-44.2</v>
      </c>
      <c r="K48" s="238" t="str">
        <f t="shared" si="2"/>
        <v>Average EF</v>
      </c>
      <c r="AB48" s="238"/>
    </row>
    <row r="49" spans="1:27" ht="13" x14ac:dyDescent="0.25">
      <c r="A49" s="133"/>
      <c r="B49" s="357" t="s">
        <v>5610</v>
      </c>
      <c r="C49" s="132" t="s">
        <v>5731</v>
      </c>
      <c r="D49" s="239" t="s">
        <v>2789</v>
      </c>
      <c r="E49" s="239" t="s">
        <v>2774</v>
      </c>
      <c r="F49" s="239" t="s">
        <v>2789</v>
      </c>
      <c r="G49" s="358" t="s">
        <v>2774</v>
      </c>
      <c r="H49" s="131"/>
      <c r="J49" s="238" t="str">
        <f>IF(B49&lt;&gt;"",B49,J48)</f>
        <v>Aluminium unitised type 7: opaque panel, 100% aluminium cladding</v>
      </c>
      <c r="K49" s="238" t="str">
        <f t="shared" si="2"/>
        <v>Unit</v>
      </c>
      <c r="L49" s="239" t="str">
        <f t="shared" ref="L49:X49" si="10">"kg/"&amp;$D49</f>
        <v>kg/m²</v>
      </c>
      <c r="M49" s="239" t="str">
        <f t="shared" si="10"/>
        <v>kg/m²</v>
      </c>
      <c r="N49" s="239" t="str">
        <f t="shared" si="10"/>
        <v>kg/m²</v>
      </c>
      <c r="O49" s="239" t="str">
        <f t="shared" si="10"/>
        <v>kg/m²</v>
      </c>
      <c r="P49" s="239" t="str">
        <f t="shared" si="10"/>
        <v>kg/m²</v>
      </c>
      <c r="Q49" s="239" t="str">
        <f t="shared" si="10"/>
        <v>kg/m²</v>
      </c>
      <c r="R49" s="239" t="str">
        <f t="shared" si="10"/>
        <v>kg/m²</v>
      </c>
      <c r="S49" s="239" t="str">
        <f t="shared" si="10"/>
        <v>kg/m²</v>
      </c>
      <c r="T49" s="239" t="str">
        <f t="shared" si="10"/>
        <v>kg/m²</v>
      </c>
      <c r="U49" s="239" t="str">
        <f t="shared" si="10"/>
        <v>kg/m²</v>
      </c>
      <c r="V49" s="239" t="str">
        <f t="shared" si="10"/>
        <v>kg/m²</v>
      </c>
      <c r="W49" s="239" t="str">
        <f t="shared" si="10"/>
        <v>kg/m²</v>
      </c>
      <c r="X49" s="239" t="str">
        <f t="shared" si="10"/>
        <v>kg/m²</v>
      </c>
      <c r="Y49" s="240"/>
      <c r="Z49" s="239" t="str">
        <f>"kWh/"&amp;$D49</f>
        <v>kWh/m²</v>
      </c>
    </row>
    <row r="50" spans="1:27" x14ac:dyDescent="0.25">
      <c r="A50" s="133"/>
      <c r="B50" s="355"/>
      <c r="C50" s="132" t="s">
        <v>32</v>
      </c>
      <c r="D50" s="132" cm="1">
        <f t="array" aca="1" ref="D50" ca="1">SUMPRODUCT($L50:$X50*(1+$Y50),INDEX('EF Table_detail'!$R:$R,MATCH($L$16:$X$16,'EF Table_detail'!$B:$B,0)))+$Z50*0.92</f>
        <v>1189.10167870383</v>
      </c>
      <c r="E50" s="132">
        <f ca="1">D50/SUM($L50:$X50)</f>
        <v>33.567646364151521</v>
      </c>
      <c r="F50" s="132" cm="1">
        <f t="array" aca="1" ref="F50" ca="1">SUMPRODUCT($L50:$X50*(1+$Y50),INDEX('EF Table_detail'!$V:$V,MATCH($L$16:$X$16,'EF Table_detail'!$B:$B,0)))</f>
        <v>0</v>
      </c>
      <c r="G50" s="356">
        <f ca="1">F50/SUM($L50:$X50)</f>
        <v>0</v>
      </c>
      <c r="H50" s="131"/>
      <c r="J50" s="238" t="str">
        <f t="shared" ref="J50:J53" si="11">IF(B50&lt;&gt;"",B50,J49)</f>
        <v>Aluminium unitised type 7: opaque panel, 100% aluminium cladding</v>
      </c>
      <c r="K50" s="238" t="str">
        <f t="shared" ref="K50:K52" si="12">C50</f>
        <v>Max in category EF</v>
      </c>
      <c r="L50" s="132">
        <f t="shared" ref="L50:Q50" si="13">L22*2</f>
        <v>0</v>
      </c>
      <c r="M50" s="132">
        <f t="shared" si="13"/>
        <v>33.299609818975668</v>
      </c>
      <c r="N50" s="132">
        <f t="shared" si="13"/>
        <v>0</v>
      </c>
      <c r="O50" s="132">
        <v>0</v>
      </c>
      <c r="P50" s="132">
        <f t="shared" si="13"/>
        <v>0</v>
      </c>
      <c r="Q50" s="132">
        <f t="shared" si="13"/>
        <v>0</v>
      </c>
      <c r="R50" s="132">
        <f>R22</f>
        <v>2.1244311103201032</v>
      </c>
      <c r="S50" s="132">
        <f t="shared" ref="S50:X50" si="14">S22*2</f>
        <v>0</v>
      </c>
      <c r="T50" s="132">
        <f t="shared" si="14"/>
        <v>0</v>
      </c>
      <c r="U50" s="132">
        <f t="shared" si="14"/>
        <v>0</v>
      </c>
      <c r="V50" s="132">
        <f t="shared" si="14"/>
        <v>0</v>
      </c>
      <c r="W50" s="132">
        <f t="shared" si="14"/>
        <v>0</v>
      </c>
      <c r="X50" s="132">
        <f t="shared" si="14"/>
        <v>0</v>
      </c>
      <c r="Y50" s="240">
        <v>0.1</v>
      </c>
      <c r="Z50" s="132">
        <f>SUM(L50:X50)*(1+Y50)*0.1</f>
        <v>3.8966445022225353</v>
      </c>
      <c r="AA50" s="132" t="s">
        <v>5822</v>
      </c>
    </row>
    <row r="51" spans="1:27" x14ac:dyDescent="0.25">
      <c r="A51" s="133"/>
      <c r="B51" s="355"/>
      <c r="C51" s="132" t="s">
        <v>34</v>
      </c>
      <c r="D51" s="132" cm="1">
        <f t="array" aca="1" ref="D51" ca="1">SUMPRODUCT($L50:$X50*(1+$Y50),INDEX('EF Table_detail'!$O:$O,MATCH($L$16:$X$16,'EF Table_detail'!$B:$B,0)))+$Z50*0.92</f>
        <v>198.92246310515148</v>
      </c>
      <c r="E51" s="132">
        <f ca="1">D51/SUM($L50:$X50)</f>
        <v>5.6154650312816825</v>
      </c>
      <c r="G51" s="356"/>
      <c r="H51" s="131"/>
      <c r="J51" s="238" t="str">
        <f t="shared" si="11"/>
        <v>Aluminium unitised type 7: opaque panel, 100% aluminium cladding</v>
      </c>
      <c r="K51" s="238" t="str">
        <f t="shared" si="12"/>
        <v>Min in category EF</v>
      </c>
    </row>
    <row r="52" spans="1:27" x14ac:dyDescent="0.25">
      <c r="A52" s="133"/>
      <c r="B52" s="359"/>
      <c r="C52" s="360" t="s">
        <v>36</v>
      </c>
      <c r="D52" s="360" cm="1">
        <f t="array" aca="1" ref="D52" ca="1">SUMPRODUCT($L50:$X50*(1+$Y50),INDEX('EF Table_detail'!$P:$P,MATCH($L$16:$X$16,'EF Table_detail'!$B:$B,0)))+$Z50*0.92</f>
        <v>679.53027516771306</v>
      </c>
      <c r="E52" s="360">
        <f ca="1">D52/SUM($L50:$X50)</f>
        <v>19.18274305644616</v>
      </c>
      <c r="F52" s="360" cm="1">
        <f t="array" aca="1" ref="F52" ca="1">SUMPRODUCT($L50:$X50*(1+$Y50),INDEX('EF Table_detail'!$W:$W,MATCH($L$16:$X$16,'EF Table_detail'!$B:$B,0)))</f>
        <v>0</v>
      </c>
      <c r="G52" s="362">
        <f ca="1">F52/SUM($L50:$X50)</f>
        <v>0</v>
      </c>
      <c r="H52" s="131"/>
      <c r="J52" s="238" t="str">
        <f t="shared" si="11"/>
        <v>Aluminium unitised type 7: opaque panel, 100% aluminium cladding</v>
      </c>
      <c r="K52" s="238" t="str">
        <f t="shared" si="12"/>
        <v>Average EF</v>
      </c>
    </row>
    <row r="53" spans="1:27" x14ac:dyDescent="0.25">
      <c r="B53" s="130"/>
      <c r="C53" s="130"/>
      <c r="D53" s="130"/>
      <c r="E53" s="130"/>
      <c r="F53" s="130"/>
      <c r="G53" s="130"/>
      <c r="J53" s="238" t="str">
        <f t="shared" si="11"/>
        <v>Aluminium unitised type 7: opaque panel, 100% aluminium cladding</v>
      </c>
    </row>
    <row r="54" spans="1:27" ht="13" x14ac:dyDescent="0.25">
      <c r="B54" s="202"/>
    </row>
  </sheetData>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766C7-23DD-449C-BB52-57171602F330}">
  <sheetPr codeName="Sheet44">
    <tabColor rgb="FF00CCFF"/>
  </sheetPr>
  <dimension ref="A1:V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9" width="14.453125" style="132" customWidth="1"/>
    <col min="10" max="10" width="13.26953125" style="132" customWidth="1"/>
    <col min="11" max="11" width="16.26953125" style="132" customWidth="1"/>
    <col min="12" max="15" width="9.1796875" style="132"/>
    <col min="16" max="16" width="13.81640625" style="132" customWidth="1"/>
    <col min="17" max="17" width="9.1796875" style="132"/>
    <col min="18" max="18" width="22.81640625" style="132" customWidth="1"/>
    <col min="19" max="19" width="43.54296875" style="132" customWidth="1"/>
    <col min="20" max="20" width="38.7265625" style="132" customWidth="1"/>
    <col min="21" max="21" width="41.453125" style="132" customWidth="1"/>
    <col min="22" max="22" width="36.7265625" style="132" customWidth="1"/>
    <col min="23" max="16384" width="9.1796875" style="132"/>
  </cols>
  <sheetData>
    <row r="1" spans="1:22" ht="13" x14ac:dyDescent="0.25">
      <c r="A1" s="202" t="str">
        <f>B16</f>
        <v>Decorative Pb</v>
      </c>
    </row>
    <row r="2" spans="1:22" ht="13" x14ac:dyDescent="0.25">
      <c r="A2" s="202"/>
      <c r="C2" s="202"/>
    </row>
    <row r="3" spans="1:22" ht="13" x14ac:dyDescent="0.3">
      <c r="A3" s="227" t="s">
        <v>5626</v>
      </c>
      <c r="B3" s="132" t="s">
        <v>5823</v>
      </c>
    </row>
    <row r="4" spans="1:22" ht="13" x14ac:dyDescent="0.25">
      <c r="A4" s="202"/>
    </row>
    <row r="5" spans="1:22" ht="92.25" customHeight="1" x14ac:dyDescent="0.3">
      <c r="A5" s="227" t="s">
        <v>5628</v>
      </c>
      <c r="B5" s="200" t="s">
        <v>5824</v>
      </c>
      <c r="E5" s="271"/>
    </row>
    <row r="6" spans="1:22" ht="13" x14ac:dyDescent="0.3">
      <c r="A6" s="227" t="s">
        <v>5630</v>
      </c>
      <c r="B6" s="132" t="s">
        <v>72</v>
      </c>
      <c r="D6" s="271"/>
    </row>
    <row r="7" spans="1:22" ht="13" x14ac:dyDescent="0.3">
      <c r="A7" s="227" t="s">
        <v>5631</v>
      </c>
      <c r="B7" s="201" t="s">
        <v>71</v>
      </c>
      <c r="K7" s="202" t="s">
        <v>5700</v>
      </c>
    </row>
    <row r="8" spans="1:22" ht="13" x14ac:dyDescent="0.3">
      <c r="A8" s="227" t="s">
        <v>5632</v>
      </c>
      <c r="B8" s="201" t="s">
        <v>72</v>
      </c>
    </row>
    <row r="9" spans="1:22" ht="13" x14ac:dyDescent="0.3">
      <c r="A9" s="227" t="s">
        <v>5633</v>
      </c>
      <c r="B9" s="202" t="s">
        <v>72</v>
      </c>
      <c r="S9" s="132" t="s">
        <v>146</v>
      </c>
      <c r="T9" s="132" t="s">
        <v>153</v>
      </c>
      <c r="U9" s="132" t="s">
        <v>147</v>
      </c>
      <c r="V9" s="132" t="s">
        <v>154</v>
      </c>
    </row>
    <row r="10" spans="1:22" ht="13" x14ac:dyDescent="0.3">
      <c r="A10" s="227"/>
      <c r="B10" s="202"/>
      <c r="L10" s="132" t="s">
        <v>5825</v>
      </c>
      <c r="M10" s="240">
        <f>P12</f>
        <v>0.30434782608695654</v>
      </c>
      <c r="O10" s="132" t="s">
        <v>5826</v>
      </c>
      <c r="P10" s="132">
        <v>1600000</v>
      </c>
      <c r="R10" s="132" t="s">
        <v>5827</v>
      </c>
      <c r="S10" s="132">
        <f>SUMIF(_xlfn.ANCHORARRAY($B$23),"*"&amp;"Global"&amp;"*",_xlfn.ANCHORARRAY(D$23))/COUNTIF(_xlfn.ANCHORARRAY($B$23),"*"&amp;"Global"&amp;"*")</f>
        <v>177.05854346574552</v>
      </c>
      <c r="T10" s="132">
        <f>SUMIF(_xlfn.ANCHORARRAY($B$23),"*"&amp;"Global"&amp;"*",_xlfn.ANCHORARRAY(E$23))/COUNTIF(_xlfn.ANCHORARRAY($B$23),"*"&amp;"Global"&amp;"*")</f>
        <v>0.28557829591249306</v>
      </c>
      <c r="U10" s="132">
        <f t="shared" ref="U10:V10" si="0">SUMIF(_xlfn.ANCHORARRAY($B$23),"*"&amp;"Global"&amp;"*",_xlfn.ANCHORARRAY(F$23))/COUNTIF(_xlfn.ANCHORARRAY($B$23),"*"&amp;"Global"&amp;"*")</f>
        <v>997.28267127230868</v>
      </c>
      <c r="V10" s="132">
        <f t="shared" si="0"/>
        <v>1.6085204375359818</v>
      </c>
    </row>
    <row r="11" spans="1:22" ht="25.5" x14ac:dyDescent="0.3">
      <c r="A11" s="227" t="s">
        <v>5634</v>
      </c>
      <c r="B11" s="200" t="s">
        <v>5828</v>
      </c>
      <c r="L11" s="132" t="s">
        <v>5829</v>
      </c>
      <c r="M11" s="240">
        <f>1-M10</f>
        <v>0.69565217391304346</v>
      </c>
      <c r="O11" s="132" t="s">
        <v>5825</v>
      </c>
      <c r="P11" s="132">
        <v>700000</v>
      </c>
      <c r="R11" s="132" t="s">
        <v>5689</v>
      </c>
      <c r="S11" s="132">
        <f>SUMIF(_xlfn.ANCHORARRAY($B$23),"*"&amp;"FWPA"&amp;"*",_xlfn.ANCHORARRAY(D$23))/COUNTIF(_xlfn.ANCHORARRAY($B$23),"*"&amp;"FWPA"&amp;"*")</f>
        <v>544.38202603507114</v>
      </c>
      <c r="T11" s="132">
        <f t="shared" ref="T11:V11" si="1">SUMIF(_xlfn.ANCHORARRAY($B$23),"*"&amp;"FWPA"&amp;"*",_xlfn.ANCHORARRAY(E$23))/COUNTIF(_xlfn.ANCHORARRAY($B$23),"*"&amp;"FWPA"&amp;"*")</f>
        <v>0.82656735668727588</v>
      </c>
      <c r="U11" s="132">
        <f t="shared" si="1"/>
        <v>1114.9599999999998</v>
      </c>
      <c r="V11" s="132">
        <f t="shared" si="1"/>
        <v>1.6927777777777777</v>
      </c>
    </row>
    <row r="12" spans="1:22" x14ac:dyDescent="0.25">
      <c r="A12" s="228"/>
      <c r="P12" s="275">
        <f>P11/(P10+P11)</f>
        <v>0.30434782608695654</v>
      </c>
      <c r="R12" s="132" t="s">
        <v>5830</v>
      </c>
      <c r="S12" s="132">
        <f>SUMPRODUCT(S10:S11,$M$10:$M$11)</f>
        <v>432.58792264440677</v>
      </c>
      <c r="T12" s="132">
        <f t="shared" ref="T12:V12" si="2">SUMPRODUCT(T10:T11,$M$10:$M$11)</f>
        <v>0.66191851210364627</v>
      </c>
      <c r="U12" s="132">
        <f t="shared" si="2"/>
        <v>1079.1451608220068</v>
      </c>
      <c r="V12" s="132">
        <f t="shared" si="2"/>
        <v>1.6671342394433182</v>
      </c>
    </row>
    <row r="13" spans="1:22" x14ac:dyDescent="0.25">
      <c r="A13" s="228"/>
    </row>
    <row r="14" spans="1:22" ht="13" x14ac:dyDescent="0.3">
      <c r="A14" s="227" t="s">
        <v>5635</v>
      </c>
      <c r="L14" s="202" t="s">
        <v>5831</v>
      </c>
    </row>
    <row r="15" spans="1:22" ht="13" x14ac:dyDescent="0.3">
      <c r="A15" s="227"/>
      <c r="B15" s="135"/>
      <c r="C15" s="135"/>
      <c r="D15" s="299" t="s">
        <v>77</v>
      </c>
      <c r="E15" s="300"/>
      <c r="F15" s="299" t="s">
        <v>5424</v>
      </c>
      <c r="G15" s="301"/>
      <c r="H15" s="135"/>
      <c r="L15" s="243" t="s">
        <v>5832</v>
      </c>
    </row>
    <row r="16" spans="1:22" ht="39" x14ac:dyDescent="0.25">
      <c r="A16" s="133"/>
      <c r="B16" s="319" t="s">
        <v>5833</v>
      </c>
      <c r="C16" s="311" t="s">
        <v>24</v>
      </c>
      <c r="D16" s="208" t="s">
        <v>146</v>
      </c>
      <c r="E16" s="209" t="s">
        <v>153</v>
      </c>
      <c r="F16" s="208" t="s">
        <v>147</v>
      </c>
      <c r="G16" s="208" t="s">
        <v>154</v>
      </c>
      <c r="H16" s="208" t="str">
        <f>"Density "&amp;E17&amp;"/"&amp;D17</f>
        <v>Density kg/m³</v>
      </c>
      <c r="I16" s="131"/>
      <c r="L16" s="132" t="s">
        <v>5834</v>
      </c>
    </row>
    <row r="17" spans="1:15" ht="13" x14ac:dyDescent="0.3">
      <c r="A17" s="133"/>
      <c r="B17" s="317"/>
      <c r="C17" s="206" t="s">
        <v>5636</v>
      </c>
      <c r="D17" s="207" t="str" cm="1">
        <f t="array" ref="D17">IF(AND(_xlfn.ANCHORARRAY(C23)=C23),C23,"Mixed")</f>
        <v>m³</v>
      </c>
      <c r="E17" s="207" t="s">
        <v>2774</v>
      </c>
      <c r="F17" s="207" t="str" cm="1">
        <f t="array" ref="F17">IF(AND(_xlfn.ANCHORARRAY(C23)=C23),C23,"Mixed")</f>
        <v>m³</v>
      </c>
      <c r="G17" s="207" t="s">
        <v>2774</v>
      </c>
      <c r="H17" s="325"/>
      <c r="I17" s="131"/>
      <c r="L17" s="243" t="s">
        <v>5835</v>
      </c>
    </row>
    <row r="18" spans="1:15" s="200" customFormat="1" ht="13" x14ac:dyDescent="0.3">
      <c r="A18" s="221"/>
      <c r="B18" s="214"/>
      <c r="C18" s="202" t="s">
        <v>5637</v>
      </c>
      <c r="D18" s="198">
        <f>MAX(_xlfn.ANCHORARRAY(D23))</f>
        <v>631.15094962264152</v>
      </c>
      <c r="E18" s="198">
        <f t="shared" ref="E18" si="3">MAX(_xlfn.ANCHORARRAY(E23))</f>
        <v>0.95923728813559317</v>
      </c>
      <c r="F18" s="230">
        <f>VLOOKUP($D18,$D$23:$F$211,3,FALSE)</f>
        <v>1113.2</v>
      </c>
      <c r="G18" s="230">
        <f>VLOOKUP($D18,$D$23:$G$211,4,FALSE)</f>
        <v>1.6866666666666668</v>
      </c>
      <c r="H18" s="322">
        <f>D18/E18</f>
        <v>657.97165876377505</v>
      </c>
      <c r="I18" s="131"/>
      <c r="J18" s="132"/>
      <c r="L18" s="200" t="s">
        <v>5836</v>
      </c>
    </row>
    <row r="19" spans="1:15" ht="13" x14ac:dyDescent="0.25">
      <c r="A19" s="133"/>
      <c r="B19" s="204"/>
      <c r="C19" s="202" t="s">
        <v>5638</v>
      </c>
      <c r="D19" s="198">
        <f>MIN(_xlfn.ANCHORARRAY(D23))</f>
        <v>177.05854346574552</v>
      </c>
      <c r="E19" s="198">
        <f t="shared" ref="E19:G19" si="4">MIN(_xlfn.ANCHORARRAY(E23))</f>
        <v>0.28557829591249306</v>
      </c>
      <c r="F19" s="198">
        <f t="shared" si="4"/>
        <v>997.28267127230868</v>
      </c>
      <c r="G19" s="198">
        <f t="shared" si="4"/>
        <v>1.6085204375359818</v>
      </c>
      <c r="H19" s="322">
        <f>D19/E19</f>
        <v>619.99999999999932</v>
      </c>
      <c r="I19" s="131"/>
    </row>
    <row r="20" spans="1:15" ht="13" x14ac:dyDescent="0.25">
      <c r="A20" s="133"/>
      <c r="B20" s="204"/>
      <c r="C20" s="245" t="s">
        <v>5837</v>
      </c>
      <c r="D20" s="198">
        <f>S12</f>
        <v>432.58792264440677</v>
      </c>
      <c r="E20" s="198">
        <f>T12</f>
        <v>0.66191851210364627</v>
      </c>
      <c r="F20" s="198">
        <f t="shared" ref="F20:G20" si="5">U12</f>
        <v>1079.1451608220068</v>
      </c>
      <c r="G20" s="198">
        <f t="shared" si="5"/>
        <v>1.6671342394433182</v>
      </c>
      <c r="H20" s="322">
        <f>D20/E20</f>
        <v>653.53652259943158</v>
      </c>
      <c r="I20" s="131"/>
    </row>
    <row r="21" spans="1:15" ht="13" x14ac:dyDescent="0.25">
      <c r="A21" s="133"/>
      <c r="B21" s="204"/>
      <c r="C21" s="202" t="s">
        <v>5639</v>
      </c>
      <c r="D21" s="198">
        <f>AVERAGE(_xlfn.ANCHORARRAY(D23))</f>
        <v>491.90724281088166</v>
      </c>
      <c r="E21" s="198">
        <f t="shared" ref="E21:G21" si="6">AVERAGE(_xlfn.ANCHORARRAY(E23))</f>
        <v>0.74928320514802116</v>
      </c>
      <c r="F21" s="198">
        <f t="shared" si="6"/>
        <v>1098.1489530389013</v>
      </c>
      <c r="G21" s="198">
        <f t="shared" si="6"/>
        <v>1.6807410148860928</v>
      </c>
      <c r="H21" s="322">
        <f>D21/E21</f>
        <v>656.50376177016437</v>
      </c>
      <c r="I21" s="131"/>
      <c r="L21" s="200"/>
      <c r="M21" s="200"/>
      <c r="N21" s="200"/>
      <c r="O21" s="200"/>
    </row>
    <row r="22" spans="1:15" ht="13" x14ac:dyDescent="0.25">
      <c r="A22" s="133"/>
      <c r="B22" s="197" t="s">
        <v>5640</v>
      </c>
      <c r="D22" s="132"/>
      <c r="E22" s="132"/>
      <c r="F22" s="132"/>
      <c r="G22" s="132"/>
      <c r="H22" s="322"/>
      <c r="I22" s="131"/>
    </row>
    <row r="23" spans="1:15" x14ac:dyDescent="0.25">
      <c r="A23" s="133"/>
      <c r="B23" s="204" t="str" cm="1">
        <f t="array" ref="B23:B29">_xlfn.UNIQUE(_xlfn._xlws.FILTER('EPD List'!D:D,ISNUMBER(SEARCH(B16,'EPD List'!C:C)),0))</f>
        <v>Decorative Pboard, 18 mm E0 &amp; E1 moisture resistant (MR) melamine coated, decorative particleboard, Wood solutions, FWPA, Australia</v>
      </c>
      <c r="C23" s="132" t="str" cm="1">
        <f t="array" ref="C23:C29">_xlfn.IFNA(INDEX('EPD List'!$A:$AB,MATCH(_xlfn.ANCHORARRAY(B23),'EPD List'!$D:$D,0),MATCH(C$16,'EPD List'!$7:$7,0)),"")</f>
        <v>m³</v>
      </c>
      <c r="D23" s="198" cm="1">
        <f t="array" ref="D23:D29">_xlfn.IFNA(VALUE((INDEX('EPD List'!$A:$AD,MATCH(_xlfn.ANCHORARRAY($B23),'EPD List'!$D:$D,0),MATCH(D$16,'EPD List'!$7:$7,0)))),"")</f>
        <v>629.25966101694905</v>
      </c>
      <c r="E23" s="198" cm="1">
        <f t="array" ref="E23:E29">_xlfn.IFNA(VALUE((INDEX('EPD List'!$A:$AD,MATCH(_xlfn.ANCHORARRAY($B23),'EPD List'!$D:$D,0),MATCH(E$16,'EPD List'!$7:$7,0)))),"")</f>
        <v>0.95923728813559317</v>
      </c>
      <c r="F23" s="198" cm="1">
        <f t="array" ref="F23:F29">_xlfn.IFNA(VALUE((INDEX('EPD List'!$A:$AD,MATCH(_xlfn.ANCHORARRAY($B23),'EPD List'!$D:$D,0),MATCH(F$16,'EPD List'!$7:$7,0)))),"")</f>
        <v>1118.4799999999998</v>
      </c>
      <c r="G23" s="198" cm="1">
        <f t="array" ref="G23:G29">_xlfn.IFNA(VALUE((INDEX('EPD List'!$A:$AD,MATCH(_xlfn.ANCHORARRAY($B23),'EPD List'!$D:$D,0),MATCH(G$16,'EPD List'!$7:$7,0)))),"")</f>
        <v>1.7049999999999996</v>
      </c>
      <c r="H23" s="322" cm="1">
        <f t="array" ref="H23:H29">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656</v>
      </c>
      <c r="I23" s="131"/>
    </row>
    <row r="24" spans="1:15" x14ac:dyDescent="0.25">
      <c r="A24" s="133"/>
      <c r="B24" s="204" t="str">
        <v>Decorative Pb, , Min variation 16mm standard, melamine coated particleboard (FWPA) (Australia)</v>
      </c>
      <c r="C24" s="132" t="str">
        <v>m³</v>
      </c>
      <c r="D24" s="198">
        <v>438.46767924528353</v>
      </c>
      <c r="E24" s="198">
        <v>0.6643449685534597</v>
      </c>
      <c r="F24" s="198">
        <v>1113.2</v>
      </c>
      <c r="G24" s="198">
        <v>1.6866666666666668</v>
      </c>
      <c r="H24" s="322">
        <v>660</v>
      </c>
      <c r="I24" s="131"/>
    </row>
    <row r="25" spans="1:15" x14ac:dyDescent="0.25">
      <c r="A25" s="133"/>
      <c r="B25" s="204" t="str">
        <v>Decorative Pb, , Max variation 16mm moisture resistant, melamine coated particleboard (FWPA) (Australia)</v>
      </c>
      <c r="C25" s="132" t="str">
        <v>m³</v>
      </c>
      <c r="D25" s="198">
        <v>631.15094962264152</v>
      </c>
      <c r="E25" s="198">
        <v>0.95628931761006286</v>
      </c>
      <c r="F25" s="198">
        <v>1113.2</v>
      </c>
      <c r="G25" s="198">
        <v>1.6866666666666668</v>
      </c>
      <c r="H25" s="322">
        <v>660</v>
      </c>
      <c r="I25" s="131"/>
    </row>
    <row r="26" spans="1:15" x14ac:dyDescent="0.25">
      <c r="A26" s="133"/>
      <c r="B26" s="204" t="str">
        <v>Decorative Pb, Global, Decorative Pboard, superfine standard 9mm (Laminex) (New Zealand)</v>
      </c>
      <c r="C26" s="132" t="str">
        <v>m³</v>
      </c>
      <c r="D26" s="198">
        <v>177.05854346574552</v>
      </c>
      <c r="E26" s="198">
        <v>0.28557829591249306</v>
      </c>
      <c r="F26" s="198">
        <v>997.28267127230868</v>
      </c>
      <c r="G26" s="198">
        <v>1.6085204375359818</v>
      </c>
      <c r="H26" s="322">
        <v>620</v>
      </c>
      <c r="I26" s="131"/>
    </row>
    <row r="27" spans="1:15" x14ac:dyDescent="0.25">
      <c r="A27" s="133"/>
      <c r="B27" s="204" t="str">
        <v>Decorative Pboard, 16 mm E0 &amp; E1 moisture resistant (MR) melamine coated, decorative particleboard, Wood solutions, FWPA, Australia</v>
      </c>
      <c r="C27" s="132" t="str">
        <v>m³</v>
      </c>
      <c r="D27" s="198">
        <v>582.70943396226414</v>
      </c>
      <c r="E27" s="198">
        <v>0.88289308176100623</v>
      </c>
      <c r="F27" s="198">
        <v>1113.2</v>
      </c>
      <c r="G27" s="198">
        <v>1.6866666666666668</v>
      </c>
      <c r="H27" s="322">
        <v>660</v>
      </c>
      <c r="I27" s="131"/>
    </row>
    <row r="28" spans="1:15" x14ac:dyDescent="0.25">
      <c r="A28" s="133"/>
      <c r="B28" s="204" t="str">
        <v>Decorative Pboard, 16 mm E0 &amp; E1 standard melamine coated, decorative particleboard, Wood solutions, FWPA, Australia</v>
      </c>
      <c r="C28" s="132" t="str">
        <v>m³</v>
      </c>
      <c r="D28" s="198">
        <v>479.97358490566091</v>
      </c>
      <c r="E28" s="198">
        <v>0.72723270440251653</v>
      </c>
      <c r="F28" s="198">
        <v>1113.2</v>
      </c>
      <c r="G28" s="198">
        <v>1.6866666666666668</v>
      </c>
      <c r="H28" s="322">
        <v>660</v>
      </c>
      <c r="I28" s="131"/>
    </row>
    <row r="29" spans="1:15" x14ac:dyDescent="0.25">
      <c r="A29" s="133"/>
      <c r="B29" s="217" t="str">
        <v>Decorative Pboard, 18 mm E0 &amp; E1 standard melamine coated, decorative particleboard, Wood solutions, FWPA, Australia</v>
      </c>
      <c r="C29" s="218" t="str">
        <v>m³</v>
      </c>
      <c r="D29" s="219">
        <v>504.73084745762685</v>
      </c>
      <c r="E29" s="219">
        <v>0.76940677966101667</v>
      </c>
      <c r="F29" s="219">
        <v>1118.4799999999998</v>
      </c>
      <c r="G29" s="219">
        <v>1.7049999999999996</v>
      </c>
      <c r="H29" s="323">
        <v>656</v>
      </c>
      <c r="I29" s="131"/>
    </row>
    <row r="30" spans="1:15" x14ac:dyDescent="0.25">
      <c r="B30" s="130"/>
      <c r="C30" s="130"/>
      <c r="D30" s="207"/>
      <c r="E30" s="207"/>
      <c r="F30" s="207"/>
      <c r="G30" s="207"/>
      <c r="H30" s="324"/>
    </row>
    <row r="31" spans="1:15" x14ac:dyDescent="0.25">
      <c r="H31" s="273"/>
    </row>
    <row r="32" spans="1:15" x14ac:dyDescent="0.25">
      <c r="H32" s="273"/>
    </row>
    <row r="33" spans="8:8" x14ac:dyDescent="0.25">
      <c r="H33" s="273"/>
    </row>
    <row r="34" spans="8:8" x14ac:dyDescent="0.25">
      <c r="H34" s="273"/>
    </row>
    <row r="35" spans="8:8" x14ac:dyDescent="0.25">
      <c r="H35" s="273"/>
    </row>
    <row r="36" spans="8:8" x14ac:dyDescent="0.25">
      <c r="H36" s="273"/>
    </row>
    <row r="37" spans="8:8" x14ac:dyDescent="0.25">
      <c r="H37" s="273"/>
    </row>
    <row r="90" spans="10:10" x14ac:dyDescent="0.25">
      <c r="J90" s="198"/>
    </row>
  </sheetData>
  <dataValidations count="1">
    <dataValidation type="list" allowBlank="1" showInputMessage="1" showErrorMessage="1" sqref="B6:B9" xr:uid="{F9DD7DAA-CA1C-44F1-AF84-ADBA04AE2EC8}">
      <formula1>"Tier 1,Tier 2,Tier 3,Tier 4"</formula1>
    </dataValidation>
  </dataValidations>
  <hyperlinks>
    <hyperlink ref="L15" r:id="rId1" location="production-and-consumption-of-final-wood-products " xr:uid="{BCEB6C9F-558F-4F3D-AAC2-2427647FDCC0}"/>
    <hyperlink ref="L17" r:id="rId2" location="overview-of-the-forestry-sector-202122" display="https://www.agriculture.gov.au/abares/research-topics/forests/forest-economics/forest-wood-products-statistics - overview-of-the-forestry-sector-202122" xr:uid="{DDB897D9-6142-4DC7-92FD-DC8DCB57EFB0}"/>
  </hyperlinks>
  <pageMargins left="0.7" right="0.7" top="0.75" bottom="0.75" header="0.3" footer="0.3"/>
  <pageSetup paperSize="9" orientation="portrait" horizontalDpi="300" verticalDpi="300"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05F4-0D82-4498-81C1-6C9CCB4CB007}">
  <sheetPr codeName="Sheet79">
    <tabColor rgb="FF00CCFF"/>
  </sheetPr>
  <dimension ref="A1:J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9" width="14.453125" style="132" customWidth="1"/>
    <col min="10" max="10" width="13.26953125" style="132" customWidth="1"/>
    <col min="11" max="16384" width="9.1796875" style="132"/>
  </cols>
  <sheetData>
    <row r="1" spans="1:9" ht="13" x14ac:dyDescent="0.25">
      <c r="A1" s="202" t="str">
        <f>B16</f>
        <v>GLT&amp;CLT (hardwood)</v>
      </c>
    </row>
    <row r="2" spans="1:9" ht="13" x14ac:dyDescent="0.25">
      <c r="A2" s="202"/>
      <c r="C2" s="202"/>
    </row>
    <row r="3" spans="1:9" ht="13" x14ac:dyDescent="0.3">
      <c r="A3" s="227" t="s">
        <v>5626</v>
      </c>
      <c r="B3" s="132" t="s">
        <v>5838</v>
      </c>
    </row>
    <row r="4" spans="1:9" ht="13" x14ac:dyDescent="0.25">
      <c r="A4" s="202"/>
    </row>
    <row r="5" spans="1:9" ht="92.25" customHeight="1" x14ac:dyDescent="0.3">
      <c r="A5" s="227" t="s">
        <v>5628</v>
      </c>
      <c r="B5" s="200" t="s">
        <v>5839</v>
      </c>
      <c r="D5" s="200"/>
      <c r="E5" s="271"/>
    </row>
    <row r="6" spans="1:9" ht="13" x14ac:dyDescent="0.3">
      <c r="A6" s="227" t="s">
        <v>5630</v>
      </c>
      <c r="B6" s="132" t="s">
        <v>73</v>
      </c>
      <c r="D6" s="132"/>
    </row>
    <row r="7" spans="1:9" ht="13" x14ac:dyDescent="0.3">
      <c r="A7" s="227" t="s">
        <v>5631</v>
      </c>
      <c r="B7" s="201" t="s">
        <v>71</v>
      </c>
    </row>
    <row r="8" spans="1:9" ht="13" x14ac:dyDescent="0.3">
      <c r="A8" s="227" t="s">
        <v>5632</v>
      </c>
      <c r="B8" s="201" t="s">
        <v>72</v>
      </c>
    </row>
    <row r="9" spans="1:9" ht="13" x14ac:dyDescent="0.3">
      <c r="A9" s="227" t="s">
        <v>5633</v>
      </c>
      <c r="B9" s="202" t="s">
        <v>73</v>
      </c>
    </row>
    <row r="10" spans="1:9" ht="13" x14ac:dyDescent="0.3">
      <c r="A10" s="227"/>
      <c r="B10" s="202"/>
    </row>
    <row r="11" spans="1:9" ht="25.5" x14ac:dyDescent="0.3">
      <c r="A11" s="227" t="s">
        <v>5634</v>
      </c>
      <c r="B11" s="200" t="s">
        <v>5828</v>
      </c>
    </row>
    <row r="12" spans="1:9" x14ac:dyDescent="0.25">
      <c r="A12" s="228"/>
    </row>
    <row r="13" spans="1:9" x14ac:dyDescent="0.25">
      <c r="A13" s="228"/>
    </row>
    <row r="14" spans="1:9" ht="13" x14ac:dyDescent="0.3">
      <c r="A14" s="227" t="s">
        <v>5635</v>
      </c>
    </row>
    <row r="15" spans="1:9" ht="13" x14ac:dyDescent="0.3">
      <c r="A15" s="227"/>
      <c r="B15" s="135"/>
      <c r="C15" s="135"/>
      <c r="D15" s="299" t="s">
        <v>77</v>
      </c>
      <c r="E15" s="300"/>
      <c r="F15" s="299" t="s">
        <v>5424</v>
      </c>
      <c r="G15" s="301"/>
      <c r="H15" s="135"/>
    </row>
    <row r="16" spans="1:9" ht="39" x14ac:dyDescent="0.25">
      <c r="A16" s="133"/>
      <c r="B16" s="320" t="s">
        <v>3727</v>
      </c>
      <c r="C16" s="316" t="s">
        <v>24</v>
      </c>
      <c r="D16" s="314" t="s">
        <v>146</v>
      </c>
      <c r="E16" s="315" t="s">
        <v>153</v>
      </c>
      <c r="F16" s="314" t="s">
        <v>147</v>
      </c>
      <c r="G16" s="314" t="s">
        <v>154</v>
      </c>
      <c r="H16" s="314" t="s">
        <v>5840</v>
      </c>
      <c r="I16" s="131"/>
    </row>
    <row r="17" spans="1:10" ht="13" x14ac:dyDescent="0.3">
      <c r="A17" s="133"/>
      <c r="B17" s="211"/>
      <c r="C17" s="212" t="s">
        <v>5636</v>
      </c>
      <c r="D17" s="196" t="str" cm="1">
        <f t="array" ref="D17">IF(AND(_xlfn.ANCHORARRAY(C23)=C23),C23,"Mixed")</f>
        <v>m³</v>
      </c>
      <c r="E17" s="196" t="s">
        <v>2774</v>
      </c>
      <c r="F17" s="196" t="str" cm="1">
        <f t="array" ref="F17">IF(AND(_xlfn.ANCHORARRAY(C23)=C23),C23,"Mixed")</f>
        <v>m³</v>
      </c>
      <c r="G17" s="196" t="s">
        <v>2774</v>
      </c>
      <c r="H17" s="321"/>
      <c r="I17" s="131"/>
    </row>
    <row r="18" spans="1:10" s="200" customFormat="1" ht="13" x14ac:dyDescent="0.3">
      <c r="A18" s="221"/>
      <c r="B18" s="214"/>
      <c r="C18" s="202" t="s">
        <v>5637</v>
      </c>
      <c r="D18" s="198">
        <f>MAX(_xlfn.ANCHORARRAY(D23))</f>
        <v>764.76066666666645</v>
      </c>
      <c r="E18" s="198">
        <f t="shared" ref="E18" si="0">MAX(_xlfn.ANCHORARRAY(E23))</f>
        <v>1.1346597428288818</v>
      </c>
      <c r="F18" s="230">
        <f>VLOOKUP($D18,$D$23:$F$211,3,FALSE)</f>
        <v>1087.3866666666665</v>
      </c>
      <c r="G18" s="230">
        <f>VLOOKUP($D18,$D$23:$G$211,4,FALSE)</f>
        <v>1.6133333333333331</v>
      </c>
      <c r="H18" s="322">
        <f>D18/E18</f>
        <v>674.00000000000011</v>
      </c>
      <c r="I18" s="131"/>
      <c r="J18" s="132"/>
    </row>
    <row r="19" spans="1:10" ht="13" x14ac:dyDescent="0.25">
      <c r="A19" s="133"/>
      <c r="B19" s="204"/>
      <c r="C19" s="202" t="s">
        <v>5638</v>
      </c>
      <c r="D19" s="198">
        <f>MIN(_xlfn.ANCHORARRAY(D23))</f>
        <v>626.6866666666665</v>
      </c>
      <c r="E19" s="198">
        <f t="shared" ref="E19:G19" si="1">MIN(_xlfn.ANCHORARRAY(E23))</f>
        <v>0.92980217606330329</v>
      </c>
      <c r="F19" s="198">
        <f t="shared" si="1"/>
        <v>1087.3866666666665</v>
      </c>
      <c r="G19" s="198">
        <f t="shared" si="1"/>
        <v>1.6133333333333331</v>
      </c>
      <c r="H19" s="322">
        <f>D19/E19</f>
        <v>674.00000000000011</v>
      </c>
      <c r="I19" s="131"/>
    </row>
    <row r="20" spans="1:10" ht="13" x14ac:dyDescent="0.25">
      <c r="A20" s="133"/>
      <c r="B20" s="204"/>
      <c r="C20" s="245" t="s">
        <v>5837</v>
      </c>
      <c r="D20" s="198">
        <f>AVERAGE(_xlfn.ANCHORARRAY(D23))</f>
        <v>690.27799999999991</v>
      </c>
      <c r="E20" s="198">
        <f t="shared" ref="E20:G20" si="2">AVERAGE(_xlfn.ANCHORARRAY(E23))</f>
        <v>1.0241513353115723</v>
      </c>
      <c r="F20" s="198">
        <f t="shared" si="2"/>
        <v>1087.3866666666665</v>
      </c>
      <c r="G20" s="198">
        <f t="shared" si="2"/>
        <v>1.6133333333333331</v>
      </c>
      <c r="H20" s="322">
        <f>D20/E20</f>
        <v>674.00000000000011</v>
      </c>
      <c r="I20" s="131"/>
    </row>
    <row r="21" spans="1:10" ht="13" x14ac:dyDescent="0.25">
      <c r="A21" s="133"/>
      <c r="B21" s="204"/>
      <c r="C21" s="202" t="s">
        <v>5639</v>
      </c>
      <c r="D21" s="198">
        <f>AVERAGE(_xlfn.ANCHORARRAY(D23))</f>
        <v>690.27799999999991</v>
      </c>
      <c r="E21" s="198">
        <f t="shared" ref="E21:G21" si="3">AVERAGE(_xlfn.ANCHORARRAY(E23))</f>
        <v>1.0241513353115723</v>
      </c>
      <c r="F21" s="198">
        <f t="shared" si="3"/>
        <v>1087.3866666666665</v>
      </c>
      <c r="G21" s="198">
        <f t="shared" si="3"/>
        <v>1.6133333333333331</v>
      </c>
      <c r="H21" s="322">
        <f>D21/E21</f>
        <v>674.00000000000011</v>
      </c>
      <c r="I21" s="131"/>
    </row>
    <row r="22" spans="1:10" ht="13" x14ac:dyDescent="0.25">
      <c r="A22" s="133"/>
      <c r="B22" s="197" t="s">
        <v>5640</v>
      </c>
      <c r="D22" s="132"/>
      <c r="E22" s="132"/>
      <c r="F22" s="132"/>
      <c r="G22" s="132"/>
      <c r="H22" s="322"/>
      <c r="I22" s="131"/>
    </row>
    <row r="23" spans="1:10" x14ac:dyDescent="0.25">
      <c r="A23" s="133"/>
      <c r="B23" s="204" t="str" cm="1">
        <f t="array" ref="B23:B25">_xlfn.UNIQUE(_xlfn._xlws.FILTER('EPD List'!D:D,ISNUMBER(SEARCH(B16,'EPD List'!C:C)),0))</f>
        <v>GLT&amp;CLT (hw), , Min variaton for  hardwood Glulam FWPA, Australia (FWPA) (Australia)</v>
      </c>
      <c r="C23" s="132" t="str" cm="1">
        <f t="array" ref="C23:C25">_xlfn.IFNA(INDEX('EPD List'!$A:$AB,MATCH(_xlfn.ANCHORARRAY(B23),'EPD List'!$D:$D,0),MATCH(C$16,'EPD List'!$7:$7,0)),"")</f>
        <v>m³</v>
      </c>
      <c r="D23" s="198" cm="1">
        <f t="array" ref="D23:D25">_xlfn.IFNA(VALUE((INDEX('EPD List'!$A:$AD,MATCH(_xlfn.ANCHORARRAY($B23),'EPD List'!$D:$D,0),MATCH(D$16,'EPD List'!$7:$7,0)))),"")</f>
        <v>626.6866666666665</v>
      </c>
      <c r="E23" s="198" cm="1">
        <f t="array" ref="E23:E25">_xlfn.IFNA(VALUE((INDEX('EPD List'!$A:$AD,MATCH(_xlfn.ANCHORARRAY($B23),'EPD List'!$D:$D,0),MATCH(E$16,'EPD List'!$7:$7,0)))),"")</f>
        <v>0.92980217606330329</v>
      </c>
      <c r="F23" s="198" cm="1">
        <f t="array" ref="F23:F25">_xlfn.IFNA(VALUE((INDEX('EPD List'!$A:$AD,MATCH(_xlfn.ANCHORARRAY($B23),'EPD List'!$D:$D,0),MATCH(F$16,'EPD List'!$7:$7,0)))),"")</f>
        <v>1087.3866666666665</v>
      </c>
      <c r="G23" s="198" cm="1">
        <f t="array" ref="G23:G25">_xlfn.IFNA(VALUE((INDEX('EPD List'!$A:$AD,MATCH(_xlfn.ANCHORARRAY($B23),'EPD List'!$D:$D,0),MATCH(G$16,'EPD List'!$7:$7,0)))),"")</f>
        <v>1.6133333333333331</v>
      </c>
      <c r="H23" s="322">
        <f>IFERROR(IF($C23="kg",1,
IF($C23="tonne",1000,
IF(OR($C23="m³",$C23="m³"),INDEX('EPD List'!$A:$AB,MATCH($B23,'EPD List'!$D:$D,0),MATCH("Density (kg/m3)",'EPD List'!$7:$7,0)),
IF(OR($C23="m²",$C23="m2"),INDEX('EPD List'!$A:$AB,MATCH($B23,'EPD List'!$D:$D,0),MATCH("Area density (kg/m2)",'EPD List'!$7:$7,0)),
IF($C23="m",INDEX('EPD List'!$A:$AB,MATCH($B23,'EPD List'!$D:$D,0),MATCH("mass per m (kg/m)",'EPD List'!$7:$7,0)),
IF($C23="unit",INDEX('EPD List'!$A:$AB,MATCH($B23,'EPD List'!$D:$D,0),MATCH("Mass per unit (kg/unit)",'EPD List'!$7:$7,0)),NA())))))),"")</f>
        <v>674</v>
      </c>
      <c r="I23" s="131"/>
    </row>
    <row r="24" spans="1:10" x14ac:dyDescent="0.25">
      <c r="A24" s="133"/>
      <c r="B24" s="204" t="str">
        <v>Max variaton for  hardwood Glulam FWPA, Australia</v>
      </c>
      <c r="C24" s="132" t="str">
        <v>m³</v>
      </c>
      <c r="D24" s="198">
        <v>764.76066666666645</v>
      </c>
      <c r="E24" s="198">
        <v>1.1346597428288818</v>
      </c>
      <c r="F24" s="198">
        <v>1087.3866666666665</v>
      </c>
      <c r="G24" s="198">
        <v>1.6133333333333331</v>
      </c>
      <c r="H24" s="322">
        <f>IFERROR(IF($C24="kg",1,
IF($C24="tonne",1000,
IF(OR($C24="m³",$C24="m³"),INDEX('EPD List'!$A:$AB,MATCH($B24,'EPD List'!$D:$D,0),MATCH("Density (kg/m3)",'EPD List'!$7:$7,0)),
IF(OR($C24="m²",$C24="m2"),INDEX('EPD List'!$A:$AB,MATCH($B24,'EPD List'!$D:$D,0),MATCH("Area density (kg/m2)",'EPD List'!$7:$7,0)),
IF($C24="m",INDEX('EPD List'!$A:$AB,MATCH($B24,'EPD List'!$D:$D,0),MATCH("mass per m (kg/m)",'EPD List'!$7:$7,0)),
IF($C24="unit",INDEX('EPD List'!$A:$AB,MATCH($B24,'EPD List'!$D:$D,0),MATCH("Mass per unit (kg/unit)",'EPD List'!$7:$7,0)),NA())))))),"")</f>
        <v>674</v>
      </c>
      <c r="I24" s="131"/>
    </row>
    <row r="25" spans="1:10" x14ac:dyDescent="0.25">
      <c r="A25" s="133"/>
      <c r="B25" s="217" t="str">
        <v>Glulam, hw or cypress pine, Wood solutions, FWPA, Australia</v>
      </c>
      <c r="C25" s="218" t="str">
        <v>m³</v>
      </c>
      <c r="D25" s="219">
        <v>679.38666666666654</v>
      </c>
      <c r="E25" s="219">
        <v>1.0079920870425316</v>
      </c>
      <c r="F25" s="219">
        <v>1087.3866666666665</v>
      </c>
      <c r="G25" s="219">
        <v>1.6133333333333331</v>
      </c>
      <c r="H25" s="323">
        <f>IFERROR(IF($C25="kg",1,
IF($C25="tonne",1000,
IF(OR($C25="m³",$C25="m³"),INDEX('EPD List'!$A:$AB,MATCH($B25,'EPD List'!$D:$D,0),MATCH("Density (kg/m3)",'EPD List'!$7:$7,0)),
IF(OR($C25="m²",$C25="m2"),INDEX('EPD List'!$A:$AB,MATCH($B25,'EPD List'!$D:$D,0),MATCH("Area density (kg/m2)",'EPD List'!$7:$7,0)),
IF($C25="m",INDEX('EPD List'!$A:$AB,MATCH($B25,'EPD List'!$D:$D,0),MATCH("mass per m (kg/m)",'EPD List'!$7:$7,0)),
IF($C25="unit",INDEX('EPD List'!$A:$AB,MATCH($B25,'EPD List'!$D:$D,0),MATCH("Mass per unit (kg/unit)",'EPD List'!$7:$7,0)),NA())))))),"")</f>
        <v>674</v>
      </c>
      <c r="I25" s="131"/>
    </row>
    <row r="26" spans="1:10" x14ac:dyDescent="0.25">
      <c r="B26" s="130"/>
      <c r="C26" s="130"/>
      <c r="D26" s="207"/>
      <c r="E26" s="207"/>
      <c r="F26" s="207"/>
      <c r="G26" s="207"/>
      <c r="H26" s="324" t="str">
        <f>IFERROR(IF($C26="kg",1,
IF($C26="tonne",1000,
IF(OR($C26="m³",$C26="m³"),INDEX('EPD List'!$A:$AB,MATCH($B26,'EPD List'!$D:$D,0),MATCH("Density (kg/m3)",'EPD List'!$7:$7,0)),
IF(OR($C26="m²",$C26="m2"),INDEX('EPD List'!$A:$AB,MATCH($B26,'EPD List'!$D:$D,0),MATCH("Area density (kg/m2)",'EPD List'!$7:$7,0)),
IF($C26="m",INDEX('EPD List'!$A:$AB,MATCH($B26,'EPD List'!$D:$D,0),MATCH("mass per m (kg/m)",'EPD List'!$7:$7,0)),
IF($C26="unit",INDEX('EPD List'!$A:$AB,MATCH($B26,'EPD List'!$D:$D,0),MATCH("Mass per unit (kg/unit)",'EPD List'!$7:$7,0)),NA())))))),"")</f>
        <v/>
      </c>
    </row>
    <row r="27" spans="1:10" x14ac:dyDescent="0.25">
      <c r="H27" s="273" t="str">
        <f>IFERROR(IF($C27="kg",1,
IF($C27="tonne",1000,
IF(OR($C27="m³",$C27="m³"),INDEX('EPD List'!$A:$AB,MATCH($B27,'EPD List'!$D:$D,0),MATCH("Density (kg/m3)",'EPD List'!$7:$7,0)),
IF(OR($C27="m²",$C27="m2"),INDEX('EPD List'!$A:$AB,MATCH($B27,'EPD List'!$D:$D,0),MATCH("Area density (kg/m2)",'EPD List'!$7:$7,0)),
IF($C27="m",INDEX('EPD List'!$A:$AB,MATCH($B27,'EPD List'!$D:$D,0),MATCH("mass per m (kg/m)",'EPD List'!$7:$7,0)),
IF($C27="unit",INDEX('EPD List'!$A:$AB,MATCH($B27,'EPD List'!$D:$D,0),MATCH("Mass per unit (kg/unit)",'EPD List'!$7:$7,0)),NA())))))),"")</f>
        <v/>
      </c>
    </row>
    <row r="28" spans="1:10" x14ac:dyDescent="0.25">
      <c r="H28" s="273" t="str">
        <f>IFERROR(IF($C28="kg",1,
IF($C28="tonne",1000,
IF(OR($C28="m³",$C28="m³"),INDEX('EPD List'!$A:$AB,MATCH($B28,'EPD List'!$D:$D,0),MATCH("Density (kg/m3)",'EPD List'!$7:$7,0)),
IF(OR($C28="m²",$C28="m2"),INDEX('EPD List'!$A:$AB,MATCH($B28,'EPD List'!$D:$D,0),MATCH("Area density (kg/m2)",'EPD List'!$7:$7,0)),
IF($C28="m",INDEX('EPD List'!$A:$AB,MATCH($B28,'EPD List'!$D:$D,0),MATCH("mass per m (kg/m)",'EPD List'!$7:$7,0)),
IF($C28="unit",INDEX('EPD List'!$A:$AB,MATCH($B28,'EPD List'!$D:$D,0),MATCH("Mass per unit (kg/unit)",'EPD List'!$7:$7,0)),NA())))))),"")</f>
        <v/>
      </c>
    </row>
    <row r="29" spans="1:10" x14ac:dyDescent="0.25">
      <c r="H29" s="273" t="str">
        <f>IFERROR(IF($C29="kg",1,
IF($C29="tonne",1000,
IF(OR($C29="m³",$C29="m³"),INDEX('EPD List'!$A:$AB,MATCH($B29,'EPD List'!$D:$D,0),MATCH("Density (kg/m3)",'EPD List'!$7:$7,0)),
IF(OR($C29="m²",$C29="m2"),INDEX('EPD List'!$A:$AB,MATCH($B29,'EPD List'!$D:$D,0),MATCH("Area density (kg/m2)",'EPD List'!$7:$7,0)),
IF($C29="m",INDEX('EPD List'!$A:$AB,MATCH($B29,'EPD List'!$D:$D,0),MATCH("mass per m (kg/m)",'EPD List'!$7:$7,0)),
IF($C29="unit",INDEX('EPD List'!$A:$AB,MATCH($B29,'EPD List'!$D:$D,0),MATCH("Mass per unit (kg/unit)",'EPD List'!$7:$7,0)),NA())))))),"")</f>
        <v/>
      </c>
    </row>
    <row r="30" spans="1:10" x14ac:dyDescent="0.25">
      <c r="H30" s="273" t="str">
        <f>IFERROR(IF($C30="kg",1,
IF($C30="tonne",1000,
IF(OR($C30="m³",$C30="m³"),INDEX('EPD List'!$A:$AB,MATCH($B30,'EPD List'!$D:$D,0),MATCH("Density (kg/m3)",'EPD List'!$7:$7,0)),
IF(OR($C30="m²",$C30="m2"),INDEX('EPD List'!$A:$AB,MATCH($B30,'EPD List'!$D:$D,0),MATCH("Area density (kg/m2)",'EPD List'!$7:$7,0)),
IF($C30="m",INDEX('EPD List'!$A:$AB,MATCH($B30,'EPD List'!$D:$D,0),MATCH("mass per m (kg/m)",'EPD List'!$7:$7,0)),
IF($C30="unit",INDEX('EPD List'!$A:$AB,MATCH($B30,'EPD List'!$D:$D,0),MATCH("Mass per unit (kg/unit)",'EPD List'!$7:$7,0)),NA())))))),"")</f>
        <v/>
      </c>
    </row>
    <row r="31" spans="1:10" x14ac:dyDescent="0.25">
      <c r="H31" s="273" t="str">
        <f>IFERROR(IF($C31="kg",1,
IF($C31="tonne",1000,
IF(OR($C31="m³",$C31="m³"),INDEX('EPD List'!$A:$AB,MATCH($B31,'EPD List'!$D:$D,0),MATCH("Density (kg/m3)",'EPD List'!$7:$7,0)),
IF(OR($C31="m²",$C31="m2"),INDEX('EPD List'!$A:$AB,MATCH($B31,'EPD List'!$D:$D,0),MATCH("Area density (kg/m2)",'EPD List'!$7:$7,0)),
IF($C31="m",INDEX('EPD List'!$A:$AB,MATCH($B31,'EPD List'!$D:$D,0),MATCH("mass per m (kg/m)",'EPD List'!$7:$7,0)),
IF($C31="unit",INDEX('EPD List'!$A:$AB,MATCH($B31,'EPD List'!$D:$D,0),MATCH("Mass per unit (kg/unit)",'EPD List'!$7:$7,0)),NA())))))),"")</f>
        <v/>
      </c>
    </row>
    <row r="32" spans="1:10" x14ac:dyDescent="0.25">
      <c r="H32" s="273" t="str">
        <f>IFERROR(IF($C32="kg",1,
IF($C32="tonne",1000,
IF(OR($C32="m³",$C32="m³"),INDEX('EPD List'!$A:$AB,MATCH($B32,'EPD List'!$D:$D,0),MATCH("Density (kg/m3)",'EPD List'!$7:$7,0)),
IF(OR($C32="m²",$C32="m2"),INDEX('EPD List'!$A:$AB,MATCH($B32,'EPD List'!$D:$D,0),MATCH("Area density (kg/m2)",'EPD List'!$7:$7,0)),
IF($C32="m",INDEX('EPD List'!$A:$AB,MATCH($B32,'EPD List'!$D:$D,0),MATCH("mass per m (kg/m)",'EPD List'!$7:$7,0)),
IF($C32="unit",INDEX('EPD List'!$A:$AB,MATCH($B32,'EPD List'!$D:$D,0),MATCH("Mass per unit (kg/unit)",'EPD List'!$7:$7,0)),NA())))))),"")</f>
        <v/>
      </c>
    </row>
    <row r="33" spans="8:8" x14ac:dyDescent="0.25">
      <c r="H33" s="273" t="str">
        <f>IFERROR(IF($C33="kg",1,
IF($C33="tonne",1000,
IF(OR($C33="m³",$C33="m³"),INDEX('EPD List'!$A:$AB,MATCH($B33,'EPD List'!$D:$D,0),MATCH("Density (kg/m3)",'EPD List'!$7:$7,0)),
IF(OR($C33="m²",$C33="m2"),INDEX('EPD List'!$A:$AB,MATCH($B33,'EPD List'!$D:$D,0),MATCH("Area density (kg/m2)",'EPD List'!$7:$7,0)),
IF($C33="m",INDEX('EPD List'!$A:$AB,MATCH($B33,'EPD List'!$D:$D,0),MATCH("mass per m (kg/m)",'EPD List'!$7:$7,0)),
IF($C33="unit",INDEX('EPD List'!$A:$AB,MATCH($B33,'EPD List'!$D:$D,0),MATCH("Mass per unit (kg/unit)",'EPD List'!$7:$7,0)),NA())))))),"")</f>
        <v/>
      </c>
    </row>
    <row r="34" spans="8:8" x14ac:dyDescent="0.25">
      <c r="H34" s="273" t="str">
        <f>IFERROR(IF($C34="kg",1,
IF($C34="tonne",1000,
IF(OR($C34="m³",$C34="m³"),INDEX('EPD List'!$A:$AB,MATCH($B34,'EPD List'!$D:$D,0),MATCH("Density (kg/m3)",'EPD List'!$7:$7,0)),
IF(OR($C34="m²",$C34="m2"),INDEX('EPD List'!$A:$AB,MATCH($B34,'EPD List'!$D:$D,0),MATCH("Area density (kg/m2)",'EPD List'!$7:$7,0)),
IF($C34="m",INDEX('EPD List'!$A:$AB,MATCH($B34,'EPD List'!$D:$D,0),MATCH("mass per m (kg/m)",'EPD List'!$7:$7,0)),
IF($C34="unit",INDEX('EPD List'!$A:$AB,MATCH($B34,'EPD List'!$D:$D,0),MATCH("Mass per unit (kg/unit)",'EPD List'!$7:$7,0)),NA())))))),"")</f>
        <v/>
      </c>
    </row>
    <row r="35" spans="8:8" x14ac:dyDescent="0.25">
      <c r="H35" s="273" t="str">
        <f>IFERROR(IF($C35="kg",1,
IF($C35="tonne",1000,
IF(OR($C35="m³",$C35="m³"),INDEX('EPD List'!$A:$AB,MATCH($B35,'EPD List'!$D:$D,0),MATCH("Density (kg/m3)",'EPD List'!$7:$7,0)),
IF(OR($C35="m²",$C35="m2"),INDEX('EPD List'!$A:$AB,MATCH($B35,'EPD List'!$D:$D,0),MATCH("Area density (kg/m2)",'EPD List'!$7:$7,0)),
IF($C35="m",INDEX('EPD List'!$A:$AB,MATCH($B35,'EPD List'!$D:$D,0),MATCH("mass per m (kg/m)",'EPD List'!$7:$7,0)),
IF($C35="unit",INDEX('EPD List'!$A:$AB,MATCH($B35,'EPD List'!$D:$D,0),MATCH("Mass per unit (kg/unit)",'EPD List'!$7:$7,0)),NA())))))),"")</f>
        <v/>
      </c>
    </row>
    <row r="36" spans="8:8" x14ac:dyDescent="0.25">
      <c r="H36" s="273" t="str">
        <f>IFERROR(IF($C36="kg",1,
IF($C36="tonne",1000,
IF(OR($C36="m³",$C36="m³"),INDEX('EPD List'!$A:$AB,MATCH($B36,'EPD List'!$D:$D,0),MATCH("Density (kg/m3)",'EPD List'!$7:$7,0)),
IF(OR($C36="m²",$C36="m2"),INDEX('EPD List'!$A:$AB,MATCH($B36,'EPD List'!$D:$D,0),MATCH("Area density (kg/m2)",'EPD List'!$7:$7,0)),
IF($C36="m",INDEX('EPD List'!$A:$AB,MATCH($B36,'EPD List'!$D:$D,0),MATCH("mass per m (kg/m)",'EPD List'!$7:$7,0)),
IF($C36="unit",INDEX('EPD List'!$A:$AB,MATCH($B36,'EPD List'!$D:$D,0),MATCH("Mass per unit (kg/unit)",'EPD List'!$7:$7,0)),NA())))))),"")</f>
        <v/>
      </c>
    </row>
    <row r="37" spans="8:8" x14ac:dyDescent="0.25">
      <c r="H37" s="273" t="str">
        <f>IFERROR(IF($C37="kg",1,
IF($C37="tonne",1000,
IF(OR($C37="m³",$C37="m³"),INDEX('EPD List'!$A:$AB,MATCH($B37,'EPD List'!$D:$D,0),MATCH("Density (kg/m3)",'EPD List'!$7:$7,0)),
IF(OR($C37="m²",$C37="m2"),INDEX('EPD List'!$A:$AB,MATCH($B37,'EPD List'!$D:$D,0),MATCH("Area density (kg/m2)",'EPD List'!$7:$7,0)),
IF($C37="m",INDEX('EPD List'!$A:$AB,MATCH($B37,'EPD List'!$D:$D,0),MATCH("mass per m (kg/m)",'EPD List'!$7:$7,0)),
IF($C37="unit",INDEX('EPD List'!$A:$AB,MATCH($B37,'EPD List'!$D:$D,0),MATCH("Mass per unit (kg/unit)",'EPD List'!$7:$7,0)),NA())))))),"")</f>
        <v/>
      </c>
    </row>
    <row r="38" spans="8:8" x14ac:dyDescent="0.25">
      <c r="H38" s="273" t="str">
        <f>IFERROR(IF($C38="kg",1,
IF($C38="tonne",1000,
IF(OR($C38="m³",$C38="m³"),INDEX('EPD List'!$A:$AB,MATCH($B38,'EPD List'!$D:$D,0),MATCH("Density (kg/m3)",'EPD List'!$7:$7,0)),
IF(OR($C38="m²",$C38="m2"),INDEX('EPD List'!$A:$AB,MATCH($B38,'EPD List'!$D:$D,0),MATCH("Area density (kg/m2)",'EPD List'!$7:$7,0)),
IF($C38="m",INDEX('EPD List'!$A:$AB,MATCH($B38,'EPD List'!$D:$D,0),MATCH("mass per m (kg/m)",'EPD List'!$7:$7,0)),
IF($C38="unit",INDEX('EPD List'!$A:$AB,MATCH($B38,'EPD List'!$D:$D,0),MATCH("Mass per unit (kg/unit)",'EPD List'!$7:$7,0)),NA())))))),"")</f>
        <v/>
      </c>
    </row>
    <row r="39" spans="8:8" x14ac:dyDescent="0.25">
      <c r="H39" s="273" t="str">
        <f>IFERROR(IF($C39="kg",1,
IF($C39="tonne",1000,
IF(OR($C39="m³",$C39="m³"),INDEX('EPD List'!$A:$AB,MATCH($B39,'EPD List'!$D:$D,0),MATCH("Density (kg/m3)",'EPD List'!$7:$7,0)),
IF(OR($C39="m²",$C39="m2"),INDEX('EPD List'!$A:$AB,MATCH($B39,'EPD List'!$D:$D,0),MATCH("Area density (kg/m2)",'EPD List'!$7:$7,0)),
IF($C39="m",INDEX('EPD List'!$A:$AB,MATCH($B39,'EPD List'!$D:$D,0),MATCH("mass per m (kg/m)",'EPD List'!$7:$7,0)),
IF($C39="unit",INDEX('EPD List'!$A:$AB,MATCH($B39,'EPD List'!$D:$D,0),MATCH("Mass per unit (kg/unit)",'EPD List'!$7:$7,0)),NA())))))),"")</f>
        <v/>
      </c>
    </row>
    <row r="40" spans="8:8" x14ac:dyDescent="0.25">
      <c r="H40" s="273" t="str">
        <f>IFERROR(IF($C40="kg",1,
IF($C40="tonne",1000,
IF(OR($C40="m³",$C40="m³"),INDEX('EPD List'!$A:$AB,MATCH($B40,'EPD List'!$D:$D,0),MATCH("Density (kg/m3)",'EPD List'!$7:$7,0)),
IF(OR($C40="m²",$C40="m2"),INDEX('EPD List'!$A:$AB,MATCH($B40,'EPD List'!$D:$D,0),MATCH("Area density (kg/m2)",'EPD List'!$7:$7,0)),
IF($C40="m",INDEX('EPD List'!$A:$AB,MATCH($B40,'EPD List'!$D:$D,0),MATCH("mass per m (kg/m)",'EPD List'!$7:$7,0)),
IF($C40="unit",INDEX('EPD List'!$A:$AB,MATCH($B40,'EPD List'!$D:$D,0),MATCH("Mass per unit (kg/unit)",'EPD List'!$7:$7,0)),NA())))))),"")</f>
        <v/>
      </c>
    </row>
    <row r="41" spans="8:8" x14ac:dyDescent="0.25">
      <c r="H41" s="273" t="str">
        <f>IFERROR(IF($C41="kg",1,
IF($C41="tonne",1000,
IF(OR($C41="m³",$C41="m³"),INDEX('EPD List'!$A:$AB,MATCH($B41,'EPD List'!$D:$D,0),MATCH("Density (kg/m3)",'EPD List'!$7:$7,0)),
IF(OR($C41="m²",$C41="m2"),INDEX('EPD List'!$A:$AB,MATCH($B41,'EPD List'!$D:$D,0),MATCH("Area density (kg/m2)",'EPD List'!$7:$7,0)),
IF($C41="m",INDEX('EPD List'!$A:$AB,MATCH($B41,'EPD List'!$D:$D,0),MATCH("mass per m (kg/m)",'EPD List'!$7:$7,0)),
IF($C41="unit",INDEX('EPD List'!$A:$AB,MATCH($B41,'EPD List'!$D:$D,0),MATCH("Mass per unit (kg/unit)",'EPD List'!$7:$7,0)),NA())))))),"")</f>
        <v/>
      </c>
    </row>
    <row r="42" spans="8:8" x14ac:dyDescent="0.25">
      <c r="H42" s="273" t="str">
        <f>IFERROR(IF($C42="kg",1,
IF($C42="tonne",1000,
IF(OR($C42="m³",$C42="m³"),INDEX('EPD List'!$A:$AB,MATCH($B42,'EPD List'!$D:$D,0),MATCH("Density (kg/m3)",'EPD List'!$7:$7,0)),
IF(OR($C42="m²",$C42="m2"),INDEX('EPD List'!$A:$AB,MATCH($B42,'EPD List'!$D:$D,0),MATCH("Area density (kg/m2)",'EPD List'!$7:$7,0)),
IF($C42="m",INDEX('EPD List'!$A:$AB,MATCH($B42,'EPD List'!$D:$D,0),MATCH("mass per m (kg/m)",'EPD List'!$7:$7,0)),
IF($C42="unit",INDEX('EPD List'!$A:$AB,MATCH($B42,'EPD List'!$D:$D,0),MATCH("Mass per unit (kg/unit)",'EPD List'!$7:$7,0)),NA())))))),"")</f>
        <v/>
      </c>
    </row>
    <row r="43" spans="8:8" x14ac:dyDescent="0.25">
      <c r="H43" s="273" t="str">
        <f>IFERROR(IF($C43="kg",1,
IF($C43="tonne",1000,
IF(OR($C43="m³",$C43="m³"),INDEX('EPD List'!$A:$AB,MATCH($B43,'EPD List'!$D:$D,0),MATCH("Density (kg/m3)",'EPD List'!$7:$7,0)),
IF(OR($C43="m²",$C43="m2"),INDEX('EPD List'!$A:$AB,MATCH($B43,'EPD List'!$D:$D,0),MATCH("Area density (kg/m2)",'EPD List'!$7:$7,0)),
IF($C43="m",INDEX('EPD List'!$A:$AB,MATCH($B43,'EPD List'!$D:$D,0),MATCH("mass per m (kg/m)",'EPD List'!$7:$7,0)),
IF($C43="unit",INDEX('EPD List'!$A:$AB,MATCH($B43,'EPD List'!$D:$D,0),MATCH("Mass per unit (kg/unit)",'EPD List'!$7:$7,0)),NA())))))),"")</f>
        <v/>
      </c>
    </row>
    <row r="44" spans="8:8" x14ac:dyDescent="0.25">
      <c r="H44" s="273" t="str">
        <f>IFERROR(IF($C44="kg",1,
IF($C44="tonne",1000,
IF(OR($C44="m³",$C44="m³"),INDEX('EPD List'!$A:$AB,MATCH($B44,'EPD List'!$D:$D,0),MATCH("Density (kg/m3)",'EPD List'!$7:$7,0)),
IF(OR($C44="m²",$C44="m2"),INDEX('EPD List'!$A:$AB,MATCH($B44,'EPD List'!$D:$D,0),MATCH("Area density (kg/m2)",'EPD List'!$7:$7,0)),
IF($C44="m",INDEX('EPD List'!$A:$AB,MATCH($B44,'EPD List'!$D:$D,0),MATCH("mass per m (kg/m)",'EPD List'!$7:$7,0)),
IF($C44="unit",INDEX('EPD List'!$A:$AB,MATCH($B44,'EPD List'!$D:$D,0),MATCH("Mass per unit (kg/unit)",'EPD List'!$7:$7,0)),NA())))))),"")</f>
        <v/>
      </c>
    </row>
    <row r="90" spans="10:10" x14ac:dyDescent="0.25">
      <c r="J90" s="198"/>
    </row>
  </sheetData>
  <dataValidations count="1">
    <dataValidation type="list" allowBlank="1" showInputMessage="1" showErrorMessage="1" sqref="B6:B9" xr:uid="{1DCADFC2-82A1-4FBC-A23A-5B1E1B227892}">
      <formula1>"Tier 1,Tier 2,Tier 3,Tier 4"</formula1>
    </dataValidation>
  </dataValidations>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E6394-44F6-4BFD-9245-5DD2799D8DF7}">
  <sheetPr codeName="Sheet48">
    <tabColor rgb="FF00CCFF"/>
  </sheetPr>
  <dimension ref="A1:T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9" width="14.453125" style="132" customWidth="1"/>
    <col min="10" max="10" width="13.26953125" style="132" customWidth="1"/>
    <col min="11" max="11" width="16.26953125" style="132" customWidth="1"/>
    <col min="12" max="15" width="9.1796875" style="132"/>
    <col min="16" max="16" width="22.81640625" style="132" customWidth="1"/>
    <col min="17" max="17" width="43.54296875" style="132" customWidth="1"/>
    <col min="18" max="18" width="38.7265625" style="132" customWidth="1"/>
    <col min="19" max="19" width="41.453125" style="132" customWidth="1"/>
    <col min="20" max="20" width="36.7265625" style="132" customWidth="1"/>
    <col min="21" max="16384" width="9.1796875" style="132"/>
  </cols>
  <sheetData>
    <row r="1" spans="1:20" ht="13" x14ac:dyDescent="0.25">
      <c r="A1" s="202" t="str">
        <f>B16</f>
        <v>GLT&amp;CLT (softwood)</v>
      </c>
    </row>
    <row r="2" spans="1:20" ht="13" x14ac:dyDescent="0.25">
      <c r="A2" s="202"/>
      <c r="C2" s="202"/>
    </row>
    <row r="3" spans="1:20" ht="13" x14ac:dyDescent="0.3">
      <c r="A3" s="227" t="s">
        <v>5626</v>
      </c>
      <c r="B3" s="132" t="s">
        <v>5841</v>
      </c>
    </row>
    <row r="4" spans="1:20" ht="13" x14ac:dyDescent="0.25">
      <c r="A4" s="202"/>
    </row>
    <row r="5" spans="1:20" ht="92.25" customHeight="1" x14ac:dyDescent="0.3">
      <c r="A5" s="227" t="s">
        <v>5628</v>
      </c>
      <c r="B5" s="200" t="s">
        <v>5842</v>
      </c>
      <c r="E5" s="271"/>
    </row>
    <row r="6" spans="1:20" ht="13" x14ac:dyDescent="0.3">
      <c r="A6" s="227" t="s">
        <v>5630</v>
      </c>
      <c r="B6" s="132" t="s">
        <v>72</v>
      </c>
      <c r="D6" s="271"/>
    </row>
    <row r="7" spans="1:20" ht="13" x14ac:dyDescent="0.3">
      <c r="A7" s="227" t="s">
        <v>5631</v>
      </c>
      <c r="B7" s="201" t="s">
        <v>71</v>
      </c>
      <c r="K7" s="202" t="s">
        <v>5700</v>
      </c>
    </row>
    <row r="8" spans="1:20" ht="13" x14ac:dyDescent="0.3">
      <c r="A8" s="227" t="s">
        <v>5632</v>
      </c>
      <c r="B8" s="201" t="s">
        <v>72</v>
      </c>
    </row>
    <row r="9" spans="1:20" ht="13" x14ac:dyDescent="0.3">
      <c r="A9" s="227" t="s">
        <v>5633</v>
      </c>
      <c r="B9" s="202" t="s">
        <v>72</v>
      </c>
      <c r="Q9" s="132" t="s">
        <v>146</v>
      </c>
      <c r="R9" s="132" t="s">
        <v>153</v>
      </c>
      <c r="S9" s="132" t="s">
        <v>147</v>
      </c>
      <c r="T9" s="132" t="s">
        <v>154</v>
      </c>
    </row>
    <row r="10" spans="1:20" ht="13" x14ac:dyDescent="0.3">
      <c r="A10" s="227"/>
      <c r="B10" s="202"/>
      <c r="L10" s="132" t="s">
        <v>5825</v>
      </c>
      <c r="M10" s="240">
        <v>0.5</v>
      </c>
      <c r="P10" s="132" t="s">
        <v>5827</v>
      </c>
      <c r="Q10" s="132">
        <f>(SUMIF(_xlfn.ANCHORARRAY($B$23),"*"&amp;"Europe"&amp;"*",_xlfn.ANCHORARRAY(D$23))+SUMIF(_xlfn.ANCHORARRAY($B$23),"*"&amp;"Global"&amp;"*",_xlfn.ANCHORARRAY(D$23)))/(COUNTIF(_xlfn.ANCHORARRAY($B$23),"*"&amp;"Europe"&amp;"*")+COUNTIF(_xlfn.ANCHORARRAY($B$23),"*"&amp;"Global"&amp;"*"))</f>
        <v>151.85044444444443</v>
      </c>
      <c r="R10" s="132">
        <f t="shared" ref="R10:T10" si="0">(SUMIF(_xlfn.ANCHORARRAY($B$23),"*"&amp;"Europe"&amp;"*",_xlfn.ANCHORARRAY(E$23))+SUMIF(_xlfn.ANCHORARRAY($B$23),"*"&amp;"Global"&amp;"*",_xlfn.ANCHORARRAY(E$23)))/(COUNTIF(_xlfn.ANCHORARRAY($B$23),"*"&amp;"Europe"&amp;"*")+COUNTIF(_xlfn.ANCHORARRAY($B$23),"*"&amp;"Global"&amp;"*"))</f>
        <v>0.32961996238065189</v>
      </c>
      <c r="S10" s="132">
        <f t="shared" si="0"/>
        <v>758.13955555555549</v>
      </c>
      <c r="T10" s="132">
        <f t="shared" si="0"/>
        <v>1.6089645390070924</v>
      </c>
    </row>
    <row r="11" spans="1:20" ht="25.5" x14ac:dyDescent="0.3">
      <c r="A11" s="227" t="s">
        <v>5634</v>
      </c>
      <c r="B11" s="200" t="s">
        <v>5828</v>
      </c>
      <c r="L11" s="132" t="s">
        <v>5829</v>
      </c>
      <c r="M11" s="240">
        <v>0.5</v>
      </c>
      <c r="P11" s="132" t="s">
        <v>5689</v>
      </c>
      <c r="Q11" s="132">
        <f>AVERAGEIF(_xlfn.ANCHORARRAY($B$23),"*"&amp;"Australia"&amp;"*",_xlfn.ANCHORARRAY(D$23))</f>
        <v>332.80851428571435</v>
      </c>
      <c r="R11" s="132">
        <f t="shared" ref="R11:T11" si="1">AVERAGEIF(_xlfn.ANCHORARRAY($B$23),"*"&amp;"Australia"&amp;"*",_xlfn.ANCHORARRAY(E$23))</f>
        <v>0.60524047462617891</v>
      </c>
      <c r="S11" s="132">
        <f t="shared" si="1"/>
        <v>887.21285714285716</v>
      </c>
      <c r="T11" s="132">
        <f t="shared" si="1"/>
        <v>1.6162142857142856</v>
      </c>
    </row>
    <row r="12" spans="1:20" x14ac:dyDescent="0.25">
      <c r="A12" s="228"/>
      <c r="P12" s="132" t="s">
        <v>5830</v>
      </c>
      <c r="Q12" s="132">
        <f>SUMPRODUCT(Q10:Q11,$M$10:$M$11)</f>
        <v>242.32947936507941</v>
      </c>
      <c r="R12" s="132">
        <f t="shared" ref="R12:T12" si="2">SUMPRODUCT(R10:R11,$M$10:$M$11)</f>
        <v>0.46743021850341537</v>
      </c>
      <c r="S12" s="132">
        <f t="shared" si="2"/>
        <v>822.67620634920627</v>
      </c>
      <c r="T12" s="132">
        <f t="shared" si="2"/>
        <v>1.612589412360689</v>
      </c>
    </row>
    <row r="13" spans="1:20" x14ac:dyDescent="0.25">
      <c r="A13" s="228"/>
    </row>
    <row r="14" spans="1:20" ht="13" x14ac:dyDescent="0.3">
      <c r="A14" s="227" t="s">
        <v>5635</v>
      </c>
      <c r="L14" s="202" t="s">
        <v>5831</v>
      </c>
    </row>
    <row r="15" spans="1:20" ht="13" x14ac:dyDescent="0.3">
      <c r="A15" s="227"/>
      <c r="B15" s="135"/>
      <c r="C15" s="135"/>
      <c r="D15" s="299" t="s">
        <v>77</v>
      </c>
      <c r="E15" s="300"/>
      <c r="F15" s="299" t="s">
        <v>5424</v>
      </c>
      <c r="G15" s="301"/>
      <c r="H15" s="135"/>
      <c r="L15" s="132" t="s">
        <v>5843</v>
      </c>
    </row>
    <row r="16" spans="1:20" ht="39" x14ac:dyDescent="0.25">
      <c r="A16" s="133"/>
      <c r="B16" s="319" t="s">
        <v>3734</v>
      </c>
      <c r="C16" s="311" t="s">
        <v>24</v>
      </c>
      <c r="D16" s="208" t="s">
        <v>146</v>
      </c>
      <c r="E16" s="209" t="s">
        <v>153</v>
      </c>
      <c r="F16" s="208" t="s">
        <v>147</v>
      </c>
      <c r="G16" s="208" t="s">
        <v>154</v>
      </c>
      <c r="H16" s="208" t="s">
        <v>5840</v>
      </c>
      <c r="I16" s="131"/>
    </row>
    <row r="17" spans="1:14" ht="13" x14ac:dyDescent="0.3">
      <c r="A17" s="133"/>
      <c r="B17" s="317"/>
      <c r="C17" s="206" t="s">
        <v>5636</v>
      </c>
      <c r="D17" s="207" t="str" cm="1">
        <f t="array" ref="D17">IF(AND(_xlfn.ANCHORARRAY(C23)=C23),C23,"Mixed")</f>
        <v>m³</v>
      </c>
      <c r="E17" s="207" t="s">
        <v>2774</v>
      </c>
      <c r="F17" s="207" t="str" cm="1">
        <f t="array" ref="F17">IF(AND(_xlfn.ANCHORARRAY(C23)=C23),C23,"Mixed")</f>
        <v>m³</v>
      </c>
      <c r="G17" s="207" t="s">
        <v>2774</v>
      </c>
      <c r="H17" s="325"/>
      <c r="I17" s="131"/>
      <c r="L17" s="243"/>
    </row>
    <row r="18" spans="1:14" s="200" customFormat="1" ht="13" x14ac:dyDescent="0.3">
      <c r="A18" s="221"/>
      <c r="B18" s="214"/>
      <c r="C18" s="202" t="s">
        <v>5637</v>
      </c>
      <c r="D18" s="198">
        <f>MAX(_xlfn.ANCHORARRAY(D23))</f>
        <v>538.5</v>
      </c>
      <c r="E18" s="198">
        <f t="shared" ref="E18" si="3">MAX(_xlfn.ANCHORARRAY(E23))</f>
        <v>1.1966666666666668</v>
      </c>
      <c r="F18" s="230">
        <f>VLOOKUP($D18,$D$23:$F$211,3,FALSE)</f>
        <v>709.5</v>
      </c>
      <c r="G18" s="230">
        <f>VLOOKUP($D18,$D$23:$G$211,4,FALSE)</f>
        <v>1.5766666666666667</v>
      </c>
      <c r="H18" s="322">
        <f>D18/E18</f>
        <v>449.99999999999994</v>
      </c>
      <c r="I18" s="131"/>
      <c r="J18" s="132"/>
    </row>
    <row r="19" spans="1:14" ht="13" x14ac:dyDescent="0.25">
      <c r="A19" s="133"/>
      <c r="B19" s="204"/>
      <c r="C19" s="202" t="s">
        <v>5638</v>
      </c>
      <c r="D19" s="198">
        <f>MIN(_xlfn.ANCHORARRAY(D23))</f>
        <v>53.799999999999955</v>
      </c>
      <c r="E19" s="198">
        <f t="shared" ref="E19:G19" si="4">MIN(_xlfn.ANCHORARRAY(E23))</f>
        <v>0.11446808510638307</v>
      </c>
      <c r="F19" s="198">
        <f t="shared" si="4"/>
        <v>709.5</v>
      </c>
      <c r="G19" s="198">
        <f t="shared" si="4"/>
        <v>1.5766666666666667</v>
      </c>
      <c r="H19" s="322">
        <f>D19/E19</f>
        <v>469.99999999999926</v>
      </c>
      <c r="I19" s="131"/>
    </row>
    <row r="20" spans="1:14" ht="13" x14ac:dyDescent="0.25">
      <c r="A20" s="133"/>
      <c r="B20" s="204"/>
      <c r="C20" s="245" t="s">
        <v>5837</v>
      </c>
      <c r="D20" s="198">
        <f>Q12</f>
        <v>242.32947936507941</v>
      </c>
      <c r="E20" s="198">
        <f t="shared" ref="E20:G20" si="5">R12</f>
        <v>0.46743021850341537</v>
      </c>
      <c r="F20" s="198">
        <f t="shared" si="5"/>
        <v>822.67620634920627</v>
      </c>
      <c r="G20" s="198">
        <f t="shared" si="5"/>
        <v>1.612589412360689</v>
      </c>
      <c r="H20" s="322">
        <f>D20/E20</f>
        <v>518.42921097603107</v>
      </c>
      <c r="I20" s="131"/>
    </row>
    <row r="21" spans="1:14" ht="13" x14ac:dyDescent="0.25">
      <c r="A21" s="133"/>
      <c r="B21" s="204"/>
      <c r="C21" s="202" t="s">
        <v>5639</v>
      </c>
      <c r="D21" s="198">
        <f>AVERAGE(_xlfn.ANCHORARRAY(D23))</f>
        <v>215.06157681159422</v>
      </c>
      <c r="E21" s="198">
        <f t="shared" ref="E21:G21" si="6">AVERAGE(_xlfn.ANCHORARRAY(E23))</f>
        <v>0.43426633109721258</v>
      </c>
      <c r="F21" s="198">
        <f t="shared" si="6"/>
        <v>795.59492753623181</v>
      </c>
      <c r="G21" s="198">
        <f t="shared" si="6"/>
        <v>1.6153464384828862</v>
      </c>
      <c r="H21" s="322">
        <f>D21/E21</f>
        <v>495.22968144507541</v>
      </c>
      <c r="I21" s="131"/>
      <c r="L21" s="200"/>
      <c r="M21" s="200"/>
      <c r="N21" s="200"/>
    </row>
    <row r="22" spans="1:14" ht="13" x14ac:dyDescent="0.25">
      <c r="A22" s="133"/>
      <c r="B22" s="197" t="s">
        <v>5640</v>
      </c>
      <c r="D22" s="132"/>
      <c r="E22" s="132"/>
      <c r="F22" s="132"/>
      <c r="G22" s="132"/>
      <c r="H22" s="322"/>
      <c r="I22" s="131"/>
    </row>
    <row r="23" spans="1:14" x14ac:dyDescent="0.25">
      <c r="A23" s="133"/>
      <c r="B23" s="204" t="str" cm="1">
        <f t="array" ref="B23:B45">_xlfn.UNIQUE(_xlfn._xlws.FILTER('EPD List'!D:D,ISNUMBER(SEARCH(B16,'EPD List'!C:C)),0))</f>
        <v>GLT&amp;CLT (sw), Global, CLT (Cross Laminated Timber) (Stora Enso) (Austria)</v>
      </c>
      <c r="C23" s="132" t="str" cm="1">
        <f t="array" ref="C23:C45">_xlfn.IFNA(INDEX('EPD List'!$A:$AB,MATCH(_xlfn.ANCHORARRAY(B23),'EPD List'!$D:$D,0),MATCH(C$16,'EPD List'!$7:$7,0)),"")</f>
        <v>m³</v>
      </c>
      <c r="D23" s="198" cm="1">
        <f t="array" ref="D23:D45">_xlfn.IFNA(VALUE((INDEX('EPD List'!$A:$AD,MATCH(_xlfn.ANCHORARRAY($B23),'EPD List'!$D:$D,0),MATCH(D$16,'EPD List'!$7:$7,0)))),"")</f>
        <v>53.799999999999955</v>
      </c>
      <c r="E23" s="198" cm="1">
        <f t="array" ref="E23:E45">_xlfn.IFNA(VALUE((INDEX('EPD List'!$A:$AD,MATCH(_xlfn.ANCHORARRAY($B23),'EPD List'!$D:$D,0),MATCH(E$16,'EPD List'!$7:$7,0)))),"")</f>
        <v>0.11446808510638307</v>
      </c>
      <c r="F23" s="198" cm="1">
        <f t="array" ref="F23:F45">_xlfn.IFNA(VALUE((INDEX('EPD List'!$A:$AD,MATCH(_xlfn.ANCHORARRAY($B23),'EPD List'!$D:$D,0),MATCH(F$16,'EPD List'!$7:$7,0)))),"")</f>
        <v>761.93333333333339</v>
      </c>
      <c r="G23" s="198" cm="1">
        <f t="array" ref="G23:G45">_xlfn.IFNA(VALUE((INDEX('EPD List'!$A:$AD,MATCH(_xlfn.ANCHORARRAY($B23),'EPD List'!$D:$D,0),MATCH(G$16,'EPD List'!$7:$7,0)))),"")</f>
        <v>1.6211347517730497</v>
      </c>
      <c r="H23" s="322">
        <f>IFERROR(IF($C23="kg",1,
IF($C23="tonne",1000,
IF(OR($C23="m³",$C23="m³"),INDEX('EPD List'!$A:$AB,MATCH($B23,'EPD List'!$D:$D,0),MATCH("Density (kg/m3)",'EPD List'!$7:$7,0)),
IF(OR($C23="m²",$C23="m2"),INDEX('EPD List'!$A:$AB,MATCH($B23,'EPD List'!$D:$D,0),MATCH("Area density (kg/m2)",'EPD List'!$7:$7,0)),
IF($C23="m",INDEX('EPD List'!$A:$AB,MATCH($B23,'EPD List'!$D:$D,0),MATCH("mass per m (kg/m)",'EPD List'!$7:$7,0)),
IF($C23="unit",INDEX('EPD List'!$A:$AB,MATCH($B23,'EPD List'!$D:$D,0),MATCH("Mass per unit (kg/unit)",'EPD List'!$7:$7,0)),NA())))))),"")</f>
        <v>470</v>
      </c>
      <c r="I23" s="131"/>
    </row>
    <row r="24" spans="1:14" x14ac:dyDescent="0.25">
      <c r="A24" s="133"/>
      <c r="B24" s="204" t="str">
        <v>Max variaton for softwood Glulam FWPA, Australia</v>
      </c>
      <c r="C24" s="132" t="str">
        <v>m³</v>
      </c>
      <c r="D24" s="198">
        <v>425.60000000000014</v>
      </c>
      <c r="E24" s="198">
        <v>0.68534621578099864</v>
      </c>
      <c r="F24" s="198">
        <v>1001.8800000000001</v>
      </c>
      <c r="G24" s="198">
        <v>1.6133333333333335</v>
      </c>
      <c r="H24" s="322">
        <f>IFERROR(IF($C24="kg",1,
IF($C24="tonne",1000,
IF(OR($C24="m³",$C24="m³"),INDEX('EPD List'!$A:$AB,MATCH($B24,'EPD List'!$D:$D,0),MATCH("Density (kg/m3)",'EPD List'!$7:$7,0)),
IF(OR($C24="m²",$C24="m2"),INDEX('EPD List'!$A:$AB,MATCH($B24,'EPD List'!$D:$D,0),MATCH("Area density (kg/m2)",'EPD List'!$7:$7,0)),
IF($C24="m",INDEX('EPD List'!$A:$AB,MATCH($B24,'EPD List'!$D:$D,0),MATCH("mass per m (kg/m)",'EPD List'!$7:$7,0)),
IF($C24="unit",INDEX('EPD List'!$A:$AB,MATCH($B24,'EPD List'!$D:$D,0),MATCH("Mass per unit (kg/unit)",'EPD List'!$7:$7,0)),NA())))))),"")</f>
        <v>621</v>
      </c>
      <c r="I24" s="131"/>
    </row>
    <row r="25" spans="1:14" x14ac:dyDescent="0.25">
      <c r="A25" s="133"/>
      <c r="B25" s="204" t="str">
        <v>XLam CLT panels, XLam Australia, Australia</v>
      </c>
      <c r="C25" s="132" t="str">
        <v>m³</v>
      </c>
      <c r="D25" s="198">
        <v>273.60000000000002</v>
      </c>
      <c r="E25" s="198">
        <v>0.57000000000000006</v>
      </c>
      <c r="F25" s="198">
        <v>765.6</v>
      </c>
      <c r="G25" s="198">
        <v>1.595</v>
      </c>
      <c r="H25" s="322">
        <f>IFERROR(IF($C25="kg",1,
IF($C25="tonne",1000,
IF(OR($C25="m³",$C25="m³"),INDEX('EPD List'!$A:$AB,MATCH($B25,'EPD List'!$D:$D,0),MATCH("Density (kg/m3)",'EPD List'!$7:$7,0)),
IF(OR($C25="m²",$C25="m2"),INDEX('EPD List'!$A:$AB,MATCH($B25,'EPD List'!$D:$D,0),MATCH("Area density (kg/m2)",'EPD List'!$7:$7,0)),
IF($C25="m",INDEX('EPD List'!$A:$AB,MATCH($B25,'EPD List'!$D:$D,0),MATCH("mass per m (kg/m)",'EPD List'!$7:$7,0)),
IF($C25="unit",INDEX('EPD List'!$A:$AB,MATCH($B25,'EPD List'!$D:$D,0),MATCH("Mass per unit (kg/unit)",'EPD List'!$7:$7,0)),NA())))))),"")</f>
        <v>480</v>
      </c>
      <c r="I25" s="131"/>
    </row>
    <row r="26" spans="1:14" x14ac:dyDescent="0.25">
      <c r="A26" s="133"/>
      <c r="B26" s="204" t="str">
        <v>Glulam, sw, Wood solutions, FWPA, Australia</v>
      </c>
      <c r="C26" s="132" t="str">
        <v>m³</v>
      </c>
      <c r="D26" s="198">
        <v>389.88000000000011</v>
      </c>
      <c r="E26" s="198">
        <v>0.62782608695652198</v>
      </c>
      <c r="F26" s="198">
        <v>1001.8800000000001</v>
      </c>
      <c r="G26" s="198">
        <v>1.6133333333333335</v>
      </c>
      <c r="H26" s="322">
        <f>IFERROR(IF($C26="kg",1,
IF($C26="tonne",1000,
IF(OR($C26="m³",$C26="m³"),INDEX('EPD List'!$A:$AB,MATCH($B26,'EPD List'!$D:$D,0),MATCH("Density (kg/m3)",'EPD List'!$7:$7,0)),
IF(OR($C26="m²",$C26="m2"),INDEX('EPD List'!$A:$AB,MATCH($B26,'EPD List'!$D:$D,0),MATCH("Area density (kg/m2)",'EPD List'!$7:$7,0)),
IF($C26="m",INDEX('EPD List'!$A:$AB,MATCH($B26,'EPD List'!$D:$D,0),MATCH("mass per m (kg/m)",'EPD List'!$7:$7,0)),
IF($C26="unit",INDEX('EPD List'!$A:$AB,MATCH($B26,'EPD List'!$D:$D,0),MATCH("Mass per unit (kg/unit)",'EPD List'!$7:$7,0)),NA())))))),"")</f>
        <v>621</v>
      </c>
      <c r="I26" s="131"/>
    </row>
    <row r="27" spans="1:14" x14ac:dyDescent="0.25">
      <c r="A27" s="133"/>
      <c r="B27" s="204" t="str">
        <v>Glued laminated timber beams from Spruce and pine (ZAZA TIMBER Production, Ltd) (Europe)</v>
      </c>
      <c r="C27" s="132" t="str">
        <v>m³</v>
      </c>
      <c r="D27" s="198">
        <v>338.86666666666667</v>
      </c>
      <c r="E27" s="198">
        <v>0.77015151515151514</v>
      </c>
      <c r="F27" s="198">
        <v>709.86666666666667</v>
      </c>
      <c r="G27" s="198">
        <v>1.6133333333333333</v>
      </c>
      <c r="H27" s="322">
        <f>IFERROR(IF($C27="kg",1,
IF($C27="tonne",1000,
IF(OR($C27="m³",$C27="m³"),INDEX('EPD List'!$A:$AB,MATCH($B27,'EPD List'!$D:$D,0),MATCH("Density (kg/m3)",'EPD List'!$7:$7,0)),
IF(OR($C27="m²",$C27="m2"),INDEX('EPD List'!$A:$AB,MATCH($B27,'EPD List'!$D:$D,0),MATCH("Area density (kg/m2)",'EPD List'!$7:$7,0)),
IF($C27="m",INDEX('EPD List'!$A:$AB,MATCH($B27,'EPD List'!$D:$D,0),MATCH("mass per m (kg/m)",'EPD List'!$7:$7,0)),
IF($C27="unit",INDEX('EPD List'!$A:$AB,MATCH($B27,'EPD List'!$D:$D,0),MATCH("Mass per unit (kg/unit)",'EPD List'!$7:$7,0)),NA())))))),"")</f>
        <v>440</v>
      </c>
      <c r="I27" s="131"/>
    </row>
    <row r="28" spans="1:14" x14ac:dyDescent="0.25">
      <c r="A28" s="133"/>
      <c r="B28" s="204" t="str">
        <v>Treated Glued laminated timber beams from Spruce and Pine (ZAZA TIMBER Production, Ltd) (Europe)</v>
      </c>
      <c r="C28" s="132" t="str">
        <v>m³</v>
      </c>
      <c r="D28" s="198">
        <v>538.5</v>
      </c>
      <c r="E28" s="198">
        <v>1.1966666666666668</v>
      </c>
      <c r="F28" s="198">
        <v>709.5</v>
      </c>
      <c r="G28" s="198">
        <v>1.5766666666666667</v>
      </c>
      <c r="H28" s="322">
        <f>IFERROR(IF($C28="kg",1,
IF($C28="tonne",1000,
IF(OR($C28="m³",$C28="m³"),INDEX('EPD List'!$A:$AB,MATCH($B28,'EPD List'!$D:$D,0),MATCH("Density (kg/m3)",'EPD List'!$7:$7,0)),
IF(OR($C28="m²",$C28="m2"),INDEX('EPD List'!$A:$AB,MATCH($B28,'EPD List'!$D:$D,0),MATCH("Area density (kg/m2)",'EPD List'!$7:$7,0)),
IF($C28="m",INDEX('EPD List'!$A:$AB,MATCH($B28,'EPD List'!$D:$D,0),MATCH("mass per m (kg/m)",'EPD List'!$7:$7,0)),
IF($C28="unit",INDEX('EPD List'!$A:$AB,MATCH($B28,'EPD List'!$D:$D,0),MATCH("Mass per unit (kg/unit)",'EPD List'!$7:$7,0)),NA())))))),"")</f>
        <v>450</v>
      </c>
      <c r="I28" s="131"/>
    </row>
    <row r="29" spans="1:14" x14ac:dyDescent="0.25">
      <c r="A29" s="133"/>
      <c r="B29" s="204" t="str">
        <v>GLT&amp;CLT (sw), , Min variaton for softwood Glulam FWPA, Australia (FWPA) (Australia)</v>
      </c>
      <c r="C29" s="132" t="str">
        <v>m³</v>
      </c>
      <c r="D29" s="198">
        <v>327.56000000000017</v>
      </c>
      <c r="E29" s="198">
        <v>0.52747181964573286</v>
      </c>
      <c r="F29" s="198">
        <v>1001.8800000000001</v>
      </c>
      <c r="G29" s="198">
        <v>1.6133333333333335</v>
      </c>
      <c r="H29" s="322">
        <f>IFERROR(IF($C29="kg",1,
IF($C29="tonne",1000,
IF(OR($C29="m³",$C29="m³"),INDEX('EPD List'!$A:$AB,MATCH($B29,'EPD List'!$D:$D,0),MATCH("Density (kg/m3)",'EPD List'!$7:$7,0)),
IF(OR($C29="m²",$C29="m2"),INDEX('EPD List'!$A:$AB,MATCH($B29,'EPD List'!$D:$D,0),MATCH("Area density (kg/m2)",'EPD List'!$7:$7,0)),
IF($C29="m",INDEX('EPD List'!$A:$AB,MATCH($B29,'EPD List'!$D:$D,0),MATCH("mass per m (kg/m)",'EPD List'!$7:$7,0)),
IF($C29="unit",INDEX('EPD List'!$A:$AB,MATCH($B29,'EPD List'!$D:$D,0),MATCH("Mass per unit (kg/unit)",'EPD List'!$7:$7,0)),NA())))))),"")</f>
        <v>621</v>
      </c>
      <c r="I29" s="131"/>
    </row>
    <row r="30" spans="1:14" x14ac:dyDescent="0.25">
      <c r="A30" s="133"/>
      <c r="B30" s="204" t="str">
        <v>GLT&amp;CLT (sw), Global, KLH® - CLT (Cross Laminated Timber) (KLH Massivholz GmbH) (Austria)</v>
      </c>
      <c r="C30" s="132" t="str">
        <v>m³</v>
      </c>
      <c r="D30" s="198">
        <v>87.389999999999986</v>
      </c>
      <c r="E30" s="198">
        <v>0.18593617021276598</v>
      </c>
      <c r="F30" s="198">
        <v>758.26666666666677</v>
      </c>
      <c r="G30" s="198">
        <v>1.6133333333333335</v>
      </c>
      <c r="H30" s="322">
        <f>IFERROR(IF($C30="kg",1,
IF($C30="tonne",1000,
IF(OR($C30="m³",$C30="m³"),INDEX('EPD List'!$A:$AB,MATCH($B30,'EPD List'!$D:$D,0),MATCH("Density (kg/m3)",'EPD List'!$7:$7,0)),
IF(OR($C30="m²",$C30="m2"),INDEX('EPD List'!$A:$AB,MATCH($B30,'EPD List'!$D:$D,0),MATCH("Area density (kg/m2)",'EPD List'!$7:$7,0)),
IF($C30="m",INDEX('EPD List'!$A:$AB,MATCH($B30,'EPD List'!$D:$D,0),MATCH("mass per m (kg/m)",'EPD List'!$7:$7,0)),
IF($C30="unit",INDEX('EPD List'!$A:$AB,MATCH($B30,'EPD List'!$D:$D,0),MATCH("Mass per unit (kg/unit)",'EPD List'!$7:$7,0)),NA())))))),"")</f>
        <v>470</v>
      </c>
      <c r="I30" s="131"/>
    </row>
    <row r="31" spans="1:14" x14ac:dyDescent="0.25">
      <c r="A31" s="133"/>
      <c r="B31" s="204" t="str">
        <v>GLT&amp;CLT (sw), Global, CLT, H4 CCA (Red Stag) (New Zealand)</v>
      </c>
      <c r="C31" s="132" t="str">
        <v>m³</v>
      </c>
      <c r="D31" s="198">
        <v>97.799999999999955</v>
      </c>
      <c r="E31" s="198">
        <v>0.2037500000000001</v>
      </c>
      <c r="F31" s="198">
        <v>774.4</v>
      </c>
      <c r="G31" s="198">
        <v>1.6133333333333333</v>
      </c>
      <c r="H31" s="322">
        <f>IFERROR(IF($C31="kg",1,
IF($C31="tonne",1000,
IF(OR($C31="m³",$C31="m³"),INDEX('EPD List'!$A:$AB,MATCH($B31,'EPD List'!$D:$D,0),MATCH("Density (kg/m3)",'EPD List'!$7:$7,0)),
IF(OR($C31="m²",$C31="m2"),INDEX('EPD List'!$A:$AB,MATCH($B31,'EPD List'!$D:$D,0),MATCH("Area density (kg/m2)",'EPD List'!$7:$7,0)),
IF($C31="m",INDEX('EPD List'!$A:$AB,MATCH($B31,'EPD List'!$D:$D,0),MATCH("mass per m (kg/m)",'EPD List'!$7:$7,0)),
IF($C31="unit",INDEX('EPD List'!$A:$AB,MATCH($B31,'EPD List'!$D:$D,0),MATCH("Mass per unit (kg/unit)",'EPD List'!$7:$7,0)),NA())))))),"")</f>
        <v>480</v>
      </c>
      <c r="I31" s="131"/>
    </row>
    <row r="32" spans="1:14" x14ac:dyDescent="0.25">
      <c r="A32" s="133"/>
      <c r="B32" s="204" t="str">
        <v>GLT&amp;CLT (sw), Global, CLT, H4 CCA Re-dried (Red Stag) (New Zealand)</v>
      </c>
      <c r="C32" s="132" t="str">
        <v>m³</v>
      </c>
      <c r="D32" s="198">
        <v>103</v>
      </c>
      <c r="E32" s="198">
        <v>0.21458333333333335</v>
      </c>
      <c r="F32" s="198">
        <v>774.4</v>
      </c>
      <c r="G32" s="198">
        <v>1.6133333333333333</v>
      </c>
      <c r="H32" s="322">
        <f>IFERROR(IF($C32="kg",1,
IF($C32="tonne",1000,
IF(OR($C32="m³",$C32="m³"),INDEX('EPD List'!$A:$AB,MATCH($B32,'EPD List'!$D:$D,0),MATCH("Density (kg/m3)",'EPD List'!$7:$7,0)),
IF(OR($C32="m²",$C32="m2"),INDEX('EPD List'!$A:$AB,MATCH($B32,'EPD List'!$D:$D,0),MATCH("Area density (kg/m2)",'EPD List'!$7:$7,0)),
IF($C32="m",INDEX('EPD List'!$A:$AB,MATCH($B32,'EPD List'!$D:$D,0),MATCH("mass per m (kg/m)",'EPD List'!$7:$7,0)),
IF($C32="unit",INDEX('EPD List'!$A:$AB,MATCH($B32,'EPD List'!$D:$D,0),MATCH("Mass per unit (kg/unit)",'EPD List'!$7:$7,0)),NA())))))),"")</f>
        <v>480</v>
      </c>
      <c r="I32" s="131"/>
    </row>
    <row r="33" spans="1:9" x14ac:dyDescent="0.25">
      <c r="A33" s="133"/>
      <c r="B33" s="204" t="str">
        <v>GLT&amp;CLT (sw), Global, CLT, H1.2 Boron re-dried (Red Stag) (New Zealand)</v>
      </c>
      <c r="C33" s="132" t="str">
        <v>m³</v>
      </c>
      <c r="D33" s="198">
        <v>73.600000000000023</v>
      </c>
      <c r="E33" s="198">
        <v>0.15333333333333332</v>
      </c>
      <c r="F33" s="198">
        <v>774.4</v>
      </c>
      <c r="G33" s="198">
        <v>1.6133333333333333</v>
      </c>
      <c r="H33" s="322">
        <f>IFERROR(IF($C33="kg",1,
IF($C33="tonne",1000,
IF(OR($C33="m³",$C33="m³"),INDEX('EPD List'!$A:$AB,MATCH($B33,'EPD List'!$D:$D,0),MATCH("Density (kg/m3)",'EPD List'!$7:$7,0)),
IF(OR($C33="m²",$C33="m2"),INDEX('EPD List'!$A:$AB,MATCH($B33,'EPD List'!$D:$D,0),MATCH("Area density (kg/m2)",'EPD List'!$7:$7,0)),
IF($C33="m",INDEX('EPD List'!$A:$AB,MATCH($B33,'EPD List'!$D:$D,0),MATCH("mass per m (kg/m)",'EPD List'!$7:$7,0)),
IF($C33="unit",INDEX('EPD List'!$A:$AB,MATCH($B33,'EPD List'!$D:$D,0),MATCH("Mass per unit (kg/unit)",'EPD List'!$7:$7,0)),NA())))))),"")</f>
        <v>480</v>
      </c>
      <c r="I33" s="131"/>
    </row>
    <row r="34" spans="1:9" x14ac:dyDescent="0.25">
      <c r="A34" s="133"/>
      <c r="B34" s="204" t="str">
        <v>GLT&amp;CLT (sw), Global, CLT, H3.1 Copper Azole (Red Stag) (New Zealand)</v>
      </c>
      <c r="C34" s="132" t="str">
        <v>m³</v>
      </c>
      <c r="D34" s="198">
        <v>79.600000000000023</v>
      </c>
      <c r="E34" s="198">
        <v>0.16583333333333328</v>
      </c>
      <c r="F34" s="198">
        <v>774.4</v>
      </c>
      <c r="G34" s="198">
        <v>1.6133333333333333</v>
      </c>
      <c r="H34" s="322">
        <f>IFERROR(IF($C34="kg",1,
IF($C34="tonne",1000,
IF(OR($C34="m³",$C34="m³"),INDEX('EPD List'!$A:$AB,MATCH($B34,'EPD List'!$D:$D,0),MATCH("Density (kg/m3)",'EPD List'!$7:$7,0)),
IF(OR($C34="m²",$C34="m2"),INDEX('EPD List'!$A:$AB,MATCH($B34,'EPD List'!$D:$D,0),MATCH("Area density (kg/m2)",'EPD List'!$7:$7,0)),
IF($C34="m",INDEX('EPD List'!$A:$AB,MATCH($B34,'EPD List'!$D:$D,0),MATCH("mass per m (kg/m)",'EPD List'!$7:$7,0)),
IF($C34="unit",INDEX('EPD List'!$A:$AB,MATCH($B34,'EPD List'!$D:$D,0),MATCH("Mass per unit (kg/unit)",'EPD List'!$7:$7,0)),NA())))))),"")</f>
        <v>480</v>
      </c>
      <c r="I34" s="131"/>
    </row>
    <row r="35" spans="1:9" x14ac:dyDescent="0.25">
      <c r="A35" s="133"/>
      <c r="B35" s="204" t="str">
        <v>GLT&amp;CLT (sw), Global, CLT, H1.2 Boron (Red Stag) (New Zealand)</v>
      </c>
      <c r="C35" s="132" t="str">
        <v>m³</v>
      </c>
      <c r="D35" s="198">
        <v>68.700000000000045</v>
      </c>
      <c r="E35" s="198">
        <v>0.14312499999999995</v>
      </c>
      <c r="F35" s="198">
        <v>774.4</v>
      </c>
      <c r="G35" s="198">
        <v>1.6133333333333333</v>
      </c>
      <c r="H35" s="322">
        <f>IFERROR(IF($C35="kg",1,
IF($C35="tonne",1000,
IF(OR($C35="m³",$C35="m³"),INDEX('EPD List'!$A:$AB,MATCH($B35,'EPD List'!$D:$D,0),MATCH("Density (kg/m3)",'EPD List'!$7:$7,0)),
IF(OR($C35="m²",$C35="m2"),INDEX('EPD List'!$A:$AB,MATCH($B35,'EPD List'!$D:$D,0),MATCH("Area density (kg/m2)",'EPD List'!$7:$7,0)),
IF($C35="m",INDEX('EPD List'!$A:$AB,MATCH($B35,'EPD List'!$D:$D,0),MATCH("mass per m (kg/m)",'EPD List'!$7:$7,0)),
IF($C35="unit",INDEX('EPD List'!$A:$AB,MATCH($B35,'EPD List'!$D:$D,0),MATCH("Mass per unit (kg/unit)",'EPD List'!$7:$7,0)),NA())))))),"")</f>
        <v>480</v>
      </c>
      <c r="I35" s="131"/>
    </row>
    <row r="36" spans="1:9" x14ac:dyDescent="0.25">
      <c r="A36" s="133"/>
      <c r="B36" s="204" t="str">
        <v>GLT&amp;CLT (sw), Global, CLT, No Treatment (Red Stag) (New Zealand)</v>
      </c>
      <c r="C36" s="132" t="str">
        <v>m³</v>
      </c>
      <c r="D36" s="198">
        <v>65.899999999999977</v>
      </c>
      <c r="E36" s="198">
        <v>0.13729166666666659</v>
      </c>
      <c r="F36" s="198">
        <v>774.4</v>
      </c>
      <c r="G36" s="198">
        <v>1.6133333333333333</v>
      </c>
      <c r="H36" s="322">
        <f>IFERROR(IF($C36="kg",1,
IF($C36="tonne",1000,
IF(OR($C36="m³",$C36="m³"),INDEX('EPD List'!$A:$AB,MATCH($B36,'EPD List'!$D:$D,0),MATCH("Density (kg/m3)",'EPD List'!$7:$7,0)),
IF(OR($C36="m²",$C36="m2"),INDEX('EPD List'!$A:$AB,MATCH($B36,'EPD List'!$D:$D,0),MATCH("Area density (kg/m2)",'EPD List'!$7:$7,0)),
IF($C36="m",INDEX('EPD List'!$A:$AB,MATCH($B36,'EPD List'!$D:$D,0),MATCH("mass per m (kg/m)",'EPD List'!$7:$7,0)),
IF($C36="unit",INDEX('EPD List'!$A:$AB,MATCH($B36,'EPD List'!$D:$D,0),MATCH("Mass per unit (kg/unit)",'EPD List'!$7:$7,0)),NA())))))),"")</f>
        <v>480</v>
      </c>
      <c r="I36" s="131"/>
    </row>
    <row r="37" spans="1:9" x14ac:dyDescent="0.25">
      <c r="A37" s="133"/>
      <c r="B37" s="204" t="str">
        <v>GLT&amp;CLT (sw), Global, CLT, H3 CCA Re-dried (Red Stag) (New Zealand)</v>
      </c>
      <c r="C37" s="132" t="str">
        <v>m³</v>
      </c>
      <c r="D37" s="198">
        <v>92.700000000000045</v>
      </c>
      <c r="E37" s="198">
        <v>0.19312499999999999</v>
      </c>
      <c r="F37" s="198">
        <v>774.4</v>
      </c>
      <c r="G37" s="198">
        <v>1.6133333333333333</v>
      </c>
      <c r="H37" s="322">
        <f>IFERROR(IF($C37="kg",1,
IF($C37="tonne",1000,
IF(OR($C37="m³",$C37="m³"),INDEX('EPD List'!$A:$AB,MATCH($B37,'EPD List'!$D:$D,0),MATCH("Density (kg/m3)",'EPD List'!$7:$7,0)),
IF(OR($C37="m²",$C37="m2"),INDEX('EPD List'!$A:$AB,MATCH($B37,'EPD List'!$D:$D,0),MATCH("Area density (kg/m2)",'EPD List'!$7:$7,0)),
IF($C37="m",INDEX('EPD List'!$A:$AB,MATCH($B37,'EPD List'!$D:$D,0),MATCH("mass per m (kg/m)",'EPD List'!$7:$7,0)),
IF($C37="unit",INDEX('EPD List'!$A:$AB,MATCH($B37,'EPD List'!$D:$D,0),MATCH("Mass per unit (kg/unit)",'EPD List'!$7:$7,0)),NA())))))),"")</f>
        <v>480</v>
      </c>
      <c r="I37" s="131"/>
    </row>
    <row r="38" spans="1:9" x14ac:dyDescent="0.25">
      <c r="A38" s="133"/>
      <c r="B38" s="204" t="str">
        <v>GLT&amp;CLT (sw), Global, CLT, H3 CCA (Red Stag) (New Zealand)</v>
      </c>
      <c r="C38" s="132" t="str">
        <v>m³</v>
      </c>
      <c r="D38" s="198">
        <v>87.799999999999955</v>
      </c>
      <c r="E38" s="198">
        <v>0.18291666666666662</v>
      </c>
      <c r="F38" s="198">
        <v>774.4</v>
      </c>
      <c r="G38" s="198">
        <v>1.6133333333333333</v>
      </c>
      <c r="H38" s="322">
        <f>IFERROR(IF($C38="kg",1,
IF($C38="tonne",1000,
IF(OR($C38="m³",$C38="m³"),INDEX('EPD List'!$A:$AB,MATCH($B38,'EPD List'!$D:$D,0),MATCH("Density (kg/m3)",'EPD List'!$7:$7,0)),
IF(OR($C38="m²",$C38="m2"),INDEX('EPD List'!$A:$AB,MATCH($B38,'EPD List'!$D:$D,0),MATCH("Area density (kg/m2)",'EPD List'!$7:$7,0)),
IF($C38="m",INDEX('EPD List'!$A:$AB,MATCH($B38,'EPD List'!$D:$D,0),MATCH("mass per m (kg/m)",'EPD List'!$7:$7,0)),
IF($C38="unit",INDEX('EPD List'!$A:$AB,MATCH($B38,'EPD List'!$D:$D,0),MATCH("Mass per unit (kg/unit)",'EPD List'!$7:$7,0)),NA())))))),"")</f>
        <v>480</v>
      </c>
      <c r="I38" s="131"/>
    </row>
    <row r="39" spans="1:9" x14ac:dyDescent="0.25">
      <c r="A39" s="133"/>
      <c r="B39" s="204" t="str">
        <v>GLT&amp;CLT (sw), Global, CLT, H3.1 LOSP (Red Stag) (New Zealand)</v>
      </c>
      <c r="C39" s="132" t="str">
        <v>m³</v>
      </c>
      <c r="D39" s="198">
        <v>135</v>
      </c>
      <c r="E39" s="198">
        <v>0.28125</v>
      </c>
      <c r="F39" s="198">
        <v>774.4</v>
      </c>
      <c r="G39" s="198">
        <v>1.6133333333333333</v>
      </c>
      <c r="H39" s="322">
        <f>IFERROR(IF($C39="kg",1,
IF($C39="tonne",1000,
IF(OR($C39="m³",$C39="m³"),INDEX('EPD List'!$A:$AB,MATCH($B39,'EPD List'!$D:$D,0),MATCH("Density (kg/m3)",'EPD List'!$7:$7,0)),
IF(OR($C39="m²",$C39="m2"),INDEX('EPD List'!$A:$AB,MATCH($B39,'EPD List'!$D:$D,0),MATCH("Area density (kg/m2)",'EPD List'!$7:$7,0)),
IF($C39="m",INDEX('EPD List'!$A:$AB,MATCH($B39,'EPD List'!$D:$D,0),MATCH("mass per m (kg/m)",'EPD List'!$7:$7,0)),
IF($C39="unit",INDEX('EPD List'!$A:$AB,MATCH($B39,'EPD List'!$D:$D,0),MATCH("Mass per unit (kg/unit)",'EPD List'!$7:$7,0)),NA())))))),"")</f>
        <v>480</v>
      </c>
      <c r="I39" s="131"/>
    </row>
    <row r="40" spans="1:9" x14ac:dyDescent="0.25">
      <c r="A40" s="133"/>
      <c r="B40" s="204" t="str">
        <v>GLT&amp;CLT (sw), NEXTIMBER CLT, Timberlink, Australia</v>
      </c>
      <c r="C40" s="132" t="str">
        <v>m³</v>
      </c>
      <c r="D40" s="198">
        <v>253.01959999999997</v>
      </c>
      <c r="E40" s="198">
        <v>0.50603920000000002</v>
      </c>
      <c r="F40" s="198">
        <v>813.08333333333337</v>
      </c>
      <c r="G40" s="198">
        <v>1.6261666666666668</v>
      </c>
      <c r="H40" s="322">
        <f>IFERROR(IF($C40="kg",1,
IF($C40="tonne",1000,
IF(OR($C40="m³",$C40="m³"),INDEX('EPD List'!$A:$AB,MATCH($B40,'EPD List'!$D:$D,0),MATCH("Density (kg/m3)",'EPD List'!$7:$7,0)),
IF(OR($C40="m²",$C40="m2"),INDEX('EPD List'!$A:$AB,MATCH($B40,'EPD List'!$D:$D,0),MATCH("Area density (kg/m2)",'EPD List'!$7:$7,0)),
IF($C40="m",INDEX('EPD List'!$A:$AB,MATCH($B40,'EPD List'!$D:$D,0),MATCH("mass per m (kg/m)",'EPD List'!$7:$7,0)),
IF($C40="unit",INDEX('EPD List'!$A:$AB,MATCH($B40,'EPD List'!$D:$D,0),MATCH("Mass per unit (kg/unit)",'EPD List'!$7:$7,0)),NA())))))),"")</f>
        <v>500</v>
      </c>
      <c r="I40" s="131"/>
    </row>
    <row r="41" spans="1:9" x14ac:dyDescent="0.25">
      <c r="A41" s="133"/>
      <c r="B41" s="204" t="str">
        <v>GLT&amp;CLT (sw), NEXTIMBER GLT (UNTREATED), Timberlink, Australia</v>
      </c>
      <c r="C41" s="132" t="str">
        <v>m³</v>
      </c>
      <c r="D41" s="198">
        <v>308</v>
      </c>
      <c r="E41" s="198">
        <v>0.61599999999999988</v>
      </c>
      <c r="F41" s="198">
        <v>813.08333333333337</v>
      </c>
      <c r="G41" s="198">
        <v>1.6261666666666668</v>
      </c>
      <c r="H41" s="322">
        <f>IFERROR(IF($C41="kg",1,
IF($C41="tonne",1000,
IF(OR($C41="m³",$C41="m³"),INDEX('EPD List'!$A:$AB,MATCH($B41,'EPD List'!$D:$D,0),MATCH("Density (kg/m3)",'EPD List'!$7:$7,0)),
IF(OR($C41="m²",$C41="m2"),INDEX('EPD List'!$A:$AB,MATCH($B41,'EPD List'!$D:$D,0),MATCH("Area density (kg/m2)",'EPD List'!$7:$7,0)),
IF($C41="m",INDEX('EPD List'!$A:$AB,MATCH($B41,'EPD List'!$D:$D,0),MATCH("mass per m (kg/m)",'EPD List'!$7:$7,0)),
IF($C41="unit",INDEX('EPD List'!$A:$AB,MATCH($B41,'EPD List'!$D:$D,0),MATCH("Mass per unit (kg/unit)",'EPD List'!$7:$7,0)),NA())))))),"")</f>
        <v>500</v>
      </c>
      <c r="I41" s="131"/>
    </row>
    <row r="42" spans="1:9" x14ac:dyDescent="0.25">
      <c r="A42" s="133"/>
      <c r="B42" s="204" t="str">
        <v>GLT&amp;CLT (sw), NEXTIMBER GLT (TREATED) treated to H3 level, Timberlink, Australia</v>
      </c>
      <c r="C42" s="132" t="str">
        <v>m³</v>
      </c>
      <c r="D42" s="198">
        <v>352</v>
      </c>
      <c r="E42" s="198">
        <v>0.70399999999999996</v>
      </c>
      <c r="F42" s="198">
        <v>813.08333333333337</v>
      </c>
      <c r="G42" s="198">
        <v>1.6261666666666668</v>
      </c>
      <c r="H42" s="322">
        <f>IFERROR(IF($C42="kg",1,
IF($C42="tonne",1000,
IF(OR($C42="m³",$C42="m³"),INDEX('EPD List'!$A:$AB,MATCH($B42,'EPD List'!$D:$D,0),MATCH("Density (kg/m3)",'EPD List'!$7:$7,0)),
IF(OR($C42="m²",$C42="m2"),INDEX('EPD List'!$A:$AB,MATCH($B42,'EPD List'!$D:$D,0),MATCH("Area density (kg/m2)",'EPD List'!$7:$7,0)),
IF($C42="m",INDEX('EPD List'!$A:$AB,MATCH($B42,'EPD List'!$D:$D,0),MATCH("mass per m (kg/m)",'EPD List'!$7:$7,0)),
IF($C42="unit",INDEX('EPD List'!$A:$AB,MATCH($B42,'EPD List'!$D:$D,0),MATCH("Mass per unit (kg/unit)",'EPD List'!$7:$7,0)),NA())))))),"")</f>
        <v>500</v>
      </c>
      <c r="I42" s="131"/>
    </row>
    <row r="43" spans="1:9" x14ac:dyDescent="0.25">
      <c r="A43" s="133"/>
      <c r="B43" s="204" t="str">
        <v>softwood glulam (Abodo Wood Ltd) (New Zealand)</v>
      </c>
      <c r="C43" s="132" t="str">
        <v>m³</v>
      </c>
      <c r="D43" s="198">
        <v>339</v>
      </c>
      <c r="E43" s="198">
        <v>0.80714285714285716</v>
      </c>
      <c r="F43" s="198">
        <v>716.09999999999991</v>
      </c>
      <c r="G43" s="198">
        <v>1.7049999999999998</v>
      </c>
      <c r="H43" s="322">
        <f>IFERROR(IF($C43="kg",1,
IF($C43="tonne",1000,
IF(OR($C43="m³",$C43="m³"),INDEX('EPD List'!$A:$AB,MATCH($B43,'EPD List'!$D:$D,0),MATCH("Density (kg/m3)",'EPD List'!$7:$7,0)),
IF(OR($C43="m²",$C43="m2"),INDEX('EPD List'!$A:$AB,MATCH($B43,'EPD List'!$D:$D,0),MATCH("Area density (kg/m2)",'EPD List'!$7:$7,0)),
IF($C43="m",INDEX('EPD List'!$A:$AB,MATCH($B43,'EPD List'!$D:$D,0),MATCH("mass per m (kg/m)",'EPD List'!$7:$7,0)),
IF($C43="unit",INDEX('EPD List'!$A:$AB,MATCH($B43,'EPD List'!$D:$D,0),MATCH("Mass per unit (kg/unit)",'EPD List'!$7:$7,0)),NA())))))),"")</f>
        <v>420</v>
      </c>
      <c r="I43" s="131"/>
    </row>
    <row r="44" spans="1:9" x14ac:dyDescent="0.25">
      <c r="A44" s="133"/>
      <c r="B44" s="204" t="str">
        <v>Glued laminated timber (Jures Glulam) (Europe)</v>
      </c>
      <c r="C44" s="132" t="str">
        <v>m³</v>
      </c>
      <c r="D44" s="198">
        <v>117</v>
      </c>
      <c r="E44" s="198">
        <v>0.25053533190578148</v>
      </c>
      <c r="F44" s="198">
        <v>753.42666666666662</v>
      </c>
      <c r="G44" s="198">
        <v>1.6133333333333333</v>
      </c>
      <c r="H44" s="322">
        <f>IFERROR(IF($C44="kg",1,
IF($C44="tonne",1000,
IF(OR($C44="m³",$C44="m³"),INDEX('EPD List'!$A:$AB,MATCH($B44,'EPD List'!$D:$D,0),MATCH("Density (kg/m3)",'EPD List'!$7:$7,0)),
IF(OR($C44="m²",$C44="m2"),INDEX('EPD List'!$A:$AB,MATCH($B44,'EPD List'!$D:$D,0),MATCH("Area density (kg/m2)",'EPD List'!$7:$7,0)),
IF($C44="m",INDEX('EPD List'!$A:$AB,MATCH($B44,'EPD List'!$D:$D,0),MATCH("mass per m (kg/m)",'EPD List'!$7:$7,0)),
IF($C44="unit",INDEX('EPD List'!$A:$AB,MATCH($B44,'EPD List'!$D:$D,0),MATCH("Mass per unit (kg/unit)",'EPD List'!$7:$7,0)),NA())))))),"")</f>
        <v>467</v>
      </c>
      <c r="I44" s="131"/>
    </row>
    <row r="45" spans="1:9" x14ac:dyDescent="0.25">
      <c r="A45" s="133"/>
      <c r="B45" s="217" t="str">
        <v>Glued Laminated Timber (L.A. COST srl) (Global)</v>
      </c>
      <c r="C45" s="218" t="str">
        <v>m³</v>
      </c>
      <c r="D45" s="219">
        <v>338.1</v>
      </c>
      <c r="E45" s="219">
        <v>0.75133333333333341</v>
      </c>
      <c r="F45" s="219">
        <v>709.5</v>
      </c>
      <c r="G45" s="219">
        <v>1.5766666666666667</v>
      </c>
      <c r="H45" s="293"/>
      <c r="I45" s="131"/>
    </row>
    <row r="46" spans="1:9" x14ac:dyDescent="0.25">
      <c r="B46" s="130"/>
      <c r="C46" s="130"/>
      <c r="D46" s="207"/>
      <c r="E46" s="207"/>
      <c r="F46" s="207"/>
      <c r="G46" s="207"/>
      <c r="H46" s="130"/>
    </row>
    <row r="90" spans="10:10" x14ac:dyDescent="0.25">
      <c r="J90" s="198"/>
    </row>
  </sheetData>
  <dataValidations count="1">
    <dataValidation type="list" allowBlank="1" showInputMessage="1" showErrorMessage="1" sqref="B6:B9" xr:uid="{6B5B5E6D-1E1E-485B-9E6A-3F313ACBA220}">
      <formula1>"Tier 1,Tier 2,Tier 3,Tier 4"</formula1>
    </dataValidation>
  </dataValidations>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4CACF-E751-450B-ABF3-B6FBC1D7D2A8}">
  <sheetPr codeName="Sheet80">
    <tabColor rgb="FF00CCFF"/>
  </sheetPr>
  <dimension ref="A1:J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9" width="14.453125" style="132" customWidth="1"/>
    <col min="10" max="10" width="13.26953125" style="132" customWidth="1"/>
    <col min="11" max="16384" width="9.1796875" style="132"/>
  </cols>
  <sheetData>
    <row r="1" spans="1:9" ht="13" x14ac:dyDescent="0.25">
      <c r="A1" s="202" t="str">
        <f>B16</f>
        <v>LVL</v>
      </c>
    </row>
    <row r="2" spans="1:9" ht="13" x14ac:dyDescent="0.25">
      <c r="A2" s="202"/>
      <c r="C2" s="202"/>
    </row>
    <row r="3" spans="1:9" ht="13" x14ac:dyDescent="0.3">
      <c r="A3" s="227" t="s">
        <v>5626</v>
      </c>
      <c r="B3" s="132" t="s">
        <v>5844</v>
      </c>
    </row>
    <row r="4" spans="1:9" ht="13" x14ac:dyDescent="0.25">
      <c r="A4" s="202"/>
    </row>
    <row r="5" spans="1:9" ht="92.25" customHeight="1" x14ac:dyDescent="0.3">
      <c r="A5" s="227" t="s">
        <v>5628</v>
      </c>
      <c r="B5" s="200" t="s">
        <v>5845</v>
      </c>
      <c r="D5" s="200"/>
      <c r="E5" s="271"/>
    </row>
    <row r="6" spans="1:9" ht="13" x14ac:dyDescent="0.3">
      <c r="A6" s="227" t="s">
        <v>5630</v>
      </c>
      <c r="B6" s="132" t="s">
        <v>73</v>
      </c>
      <c r="D6" s="132"/>
    </row>
    <row r="7" spans="1:9" ht="13" x14ac:dyDescent="0.3">
      <c r="A7" s="227" t="s">
        <v>5631</v>
      </c>
      <c r="B7" s="201" t="s">
        <v>71</v>
      </c>
    </row>
    <row r="8" spans="1:9" ht="13" x14ac:dyDescent="0.3">
      <c r="A8" s="227" t="s">
        <v>5632</v>
      </c>
      <c r="B8" s="201" t="s">
        <v>73</v>
      </c>
    </row>
    <row r="9" spans="1:9" ht="13" x14ac:dyDescent="0.3">
      <c r="A9" s="227" t="s">
        <v>5633</v>
      </c>
      <c r="B9" s="202" t="s">
        <v>73</v>
      </c>
    </row>
    <row r="10" spans="1:9" ht="13" x14ac:dyDescent="0.3">
      <c r="A10" s="227"/>
      <c r="B10" s="202"/>
    </row>
    <row r="11" spans="1:9" ht="25.5" x14ac:dyDescent="0.3">
      <c r="A11" s="227" t="s">
        <v>5634</v>
      </c>
      <c r="B11" s="200" t="s">
        <v>5828</v>
      </c>
    </row>
    <row r="12" spans="1:9" x14ac:dyDescent="0.25">
      <c r="A12" s="228"/>
    </row>
    <row r="13" spans="1:9" x14ac:dyDescent="0.25">
      <c r="A13" s="228"/>
    </row>
    <row r="14" spans="1:9" ht="13" x14ac:dyDescent="0.3">
      <c r="A14" s="227" t="s">
        <v>5635</v>
      </c>
    </row>
    <row r="15" spans="1:9" ht="13" x14ac:dyDescent="0.3">
      <c r="A15" s="227"/>
      <c r="B15" s="135"/>
      <c r="C15" s="135"/>
      <c r="D15" s="299" t="s">
        <v>77</v>
      </c>
      <c r="E15" s="300"/>
      <c r="F15" s="299" t="s">
        <v>5424</v>
      </c>
      <c r="G15" s="301"/>
      <c r="H15" s="135"/>
    </row>
    <row r="16" spans="1:9" ht="39" x14ac:dyDescent="0.25">
      <c r="A16" s="133"/>
      <c r="B16" s="319" t="s">
        <v>3825</v>
      </c>
      <c r="C16" s="311" t="s">
        <v>24</v>
      </c>
      <c r="D16" s="208" t="s">
        <v>146</v>
      </c>
      <c r="E16" s="209" t="s">
        <v>153</v>
      </c>
      <c r="F16" s="208" t="s">
        <v>147</v>
      </c>
      <c r="G16" s="208" t="s">
        <v>154</v>
      </c>
      <c r="H16" s="208" t="s">
        <v>5840</v>
      </c>
      <c r="I16" s="131"/>
    </row>
    <row r="17" spans="1:10" ht="13" x14ac:dyDescent="0.3">
      <c r="A17" s="133"/>
      <c r="B17" s="317"/>
      <c r="C17" s="206" t="s">
        <v>5636</v>
      </c>
      <c r="D17" s="207" t="str" cm="1">
        <f t="array" ref="D17">IF(AND(_xlfn.ANCHORARRAY(C23)=C23),C23,"Mixed")</f>
        <v>m³</v>
      </c>
      <c r="E17" s="207" t="s">
        <v>2774</v>
      </c>
      <c r="F17" s="207" t="str" cm="1">
        <f t="array" ref="F17">IF(AND(_xlfn.ANCHORARRAY(C23)=C23),C23,"Mixed")</f>
        <v>m³</v>
      </c>
      <c r="G17" s="207" t="s">
        <v>2774</v>
      </c>
      <c r="H17" s="325"/>
      <c r="I17" s="131"/>
    </row>
    <row r="18" spans="1:10" s="200" customFormat="1" ht="13" x14ac:dyDescent="0.3">
      <c r="A18" s="221"/>
      <c r="B18" s="214"/>
      <c r="C18" s="202" t="s">
        <v>5637</v>
      </c>
      <c r="D18" s="198">
        <f>MAX(_xlfn.ANCHORARRAY(D23))</f>
        <v>401.66666666666663</v>
      </c>
      <c r="E18" s="198">
        <f t="shared" ref="E18" si="0">MAX(_xlfn.ANCHORARRAY(E23))</f>
        <v>0.91287878787878773</v>
      </c>
      <c r="F18" s="230">
        <f>VLOOKUP($D18,$D$23:$F$211,3,FALSE)</f>
        <v>784.66666666666663</v>
      </c>
      <c r="G18" s="230">
        <f>VLOOKUP($D18,$D$23:$G$211,4,FALSE)</f>
        <v>1.5385620915032678</v>
      </c>
      <c r="H18" s="322">
        <f>D18/E18</f>
        <v>440</v>
      </c>
      <c r="I18" s="131"/>
      <c r="J18" s="132"/>
    </row>
    <row r="19" spans="1:10" ht="13" x14ac:dyDescent="0.25">
      <c r="A19" s="133"/>
      <c r="B19" s="204"/>
      <c r="C19" s="202" t="s">
        <v>5638</v>
      </c>
      <c r="D19" s="198">
        <f>MIN(_xlfn.ANCHORARRAY(D23))</f>
        <v>94.399999999999977</v>
      </c>
      <c r="E19" s="198">
        <f t="shared" ref="E19:G19" si="1">MIN(_xlfn.ANCHORARRAY(E23))</f>
        <v>0.15500821018062383</v>
      </c>
      <c r="F19" s="198">
        <f t="shared" si="1"/>
        <v>765.30508474576266</v>
      </c>
      <c r="G19" s="198">
        <f t="shared" si="1"/>
        <v>1.4745762711864405</v>
      </c>
      <c r="H19" s="322">
        <f>D19/E19</f>
        <v>609.00000000000045</v>
      </c>
      <c r="I19" s="131"/>
    </row>
    <row r="20" spans="1:10" ht="13" x14ac:dyDescent="0.25">
      <c r="A20" s="133"/>
      <c r="B20" s="204"/>
      <c r="C20" s="202" t="s">
        <v>5639</v>
      </c>
      <c r="D20" s="198">
        <f>AVERAGE(_xlfn.ANCHORARRAY(D23))</f>
        <v>297.66999760315014</v>
      </c>
      <c r="E20" s="198">
        <f t="shared" ref="E20:G20" si="2">AVERAGE(_xlfn.ANCHORARRAY(E23))</f>
        <v>0.58664175572335553</v>
      </c>
      <c r="F20" s="198">
        <f t="shared" si="2"/>
        <v>843.3290348399247</v>
      </c>
      <c r="G20" s="198">
        <f t="shared" si="2"/>
        <v>1.6041169987856072</v>
      </c>
      <c r="H20" s="322">
        <f>D20/E20</f>
        <v>507.41358708111346</v>
      </c>
      <c r="I20" s="131"/>
    </row>
    <row r="21" spans="1:10" ht="13" x14ac:dyDescent="0.25">
      <c r="A21" s="133"/>
      <c r="B21" s="204"/>
      <c r="C21" s="202"/>
      <c r="H21" s="322"/>
      <c r="I21" s="131"/>
    </row>
    <row r="22" spans="1:10" ht="13" x14ac:dyDescent="0.25">
      <c r="A22" s="133"/>
      <c r="B22" s="197" t="s">
        <v>5640</v>
      </c>
      <c r="D22" s="132"/>
      <c r="E22" s="132"/>
      <c r="F22" s="132"/>
      <c r="G22" s="132"/>
      <c r="H22" s="322"/>
      <c r="I22" s="131"/>
    </row>
    <row r="23" spans="1:10" x14ac:dyDescent="0.25">
      <c r="A23" s="133"/>
      <c r="B23" s="204" t="str" cm="1">
        <f t="array" ref="B23:B34">_xlfn.UNIQUE(_xlfn._xlws.FILTER('EPD List'!D:D,ISNUMBER(SEARCH(B16,'EPD List'!C:C)),0))</f>
        <v>S-beam LVL (Kerto) (Finland)</v>
      </c>
      <c r="C23" s="132" t="str" cm="1">
        <f t="array" ref="C23:C34">_xlfn.IFNA(INDEX('EPD List'!$A:$AB,MATCH(_xlfn.ANCHORARRAY(B23),'EPD List'!$D:$D,0),MATCH(C$16,'EPD List'!$7:$7,0)),"")</f>
        <v>m³</v>
      </c>
      <c r="D23" s="198" cm="1">
        <f t="array" ref="D23:D34">_xlfn.IFNA(VALUE((INDEX('EPD List'!$A:$AD,MATCH(_xlfn.ANCHORARRAY($B23),'EPD List'!$D:$D,0),MATCH(D$16,'EPD List'!$7:$7,0)))),"")</f>
        <v>401.66666666666663</v>
      </c>
      <c r="E23" s="198" cm="1">
        <f t="array" ref="E23:E34">_xlfn.IFNA(VALUE((INDEX('EPD List'!$A:$AD,MATCH(_xlfn.ANCHORARRAY($B23),'EPD List'!$D:$D,0),MATCH(E$16,'EPD List'!$7:$7,0)))),"")</f>
        <v>0.7875816993464051</v>
      </c>
      <c r="F23" s="198" cm="1">
        <f t="array" ref="F23:F34">_xlfn.IFNA(VALUE((INDEX('EPD List'!$A:$AD,MATCH(_xlfn.ANCHORARRAY($B23),'EPD List'!$D:$D,0),MATCH(F$16,'EPD List'!$7:$7,0)))),"")</f>
        <v>784.66666666666663</v>
      </c>
      <c r="G23" s="198" cm="1">
        <f t="array" ref="G23:G34">_xlfn.IFNA(VALUE((INDEX('EPD List'!$A:$AD,MATCH(_xlfn.ANCHORARRAY($B23),'EPD List'!$D:$D,0),MATCH(G$16,'EPD List'!$7:$7,0)))),"")</f>
        <v>1.5385620915032678</v>
      </c>
      <c r="H23" s="322">
        <f>IFERROR(IF($C23="kg",1,
IF($C23="tonne",1000,
IF(OR($C23="m³",$C23="m³"),INDEX('EPD List'!$A:$AB,MATCH($B23,'EPD List'!$D:$D,0),MATCH("Density (kg/m3)",'EPD List'!$7:$7,0)),
IF(OR($C23="m²",$C23="m2"),INDEX('EPD List'!$A:$AB,MATCH($B23,'EPD List'!$D:$D,0),MATCH("Area density (kg/m2)",'EPD List'!$7:$7,0)),
IF($C23="m",INDEX('EPD List'!$A:$AB,MATCH($B23,'EPD List'!$D:$D,0),MATCH("mass per m (kg/m)",'EPD List'!$7:$7,0)),
IF($C23="unit",INDEX('EPD List'!$A:$AB,MATCH($B23,'EPD List'!$D:$D,0),MATCH("Mass per unit (kg/unit)",'EPD List'!$7:$7,0)),NA())))))),"")</f>
        <v>510</v>
      </c>
      <c r="I23" s="131"/>
    </row>
    <row r="24" spans="1:10" x14ac:dyDescent="0.25">
      <c r="A24" s="133"/>
      <c r="B24" s="204" t="str">
        <v>Q-panel LVL (Kerto) (Finland)</v>
      </c>
      <c r="C24" s="132" t="str">
        <v>m³</v>
      </c>
      <c r="D24" s="198">
        <v>401.66666666666663</v>
      </c>
      <c r="E24" s="198">
        <v>0.7875816993464051</v>
      </c>
      <c r="F24" s="198">
        <v>784.66666666666663</v>
      </c>
      <c r="G24" s="198">
        <v>1.5385620915032678</v>
      </c>
      <c r="H24" s="322">
        <f>IFERROR(IF($C24="kg",1,
IF($C24="tonne",1000,
IF(OR($C24="m³",$C24="m³"),INDEX('EPD List'!$A:$AB,MATCH($B24,'EPD List'!$D:$D,0),MATCH("Density (kg/m3)",'EPD List'!$7:$7,0)),
IF(OR($C24="m²",$C24="m2"),INDEX('EPD List'!$A:$AB,MATCH($B24,'EPD List'!$D:$D,0),MATCH("Area density (kg/m2)",'EPD List'!$7:$7,0)),
IF($C24="m",INDEX('EPD List'!$A:$AB,MATCH($B24,'EPD List'!$D:$D,0),MATCH("mass per m (kg/m)",'EPD List'!$7:$7,0)),
IF($C24="unit",INDEX('EPD List'!$A:$AB,MATCH($B24,'EPD List'!$D:$D,0),MATCH("Mass per unit (kg/unit)",'EPD List'!$7:$7,0)),NA())))))),"")</f>
        <v>510</v>
      </c>
      <c r="I24" s="131"/>
    </row>
    <row r="25" spans="1:10" x14ac:dyDescent="0.25">
      <c r="A25" s="133"/>
      <c r="B25" s="204" t="str">
        <v>Qp-beam LVL (Kerto) (Finland)</v>
      </c>
      <c r="C25" s="132" t="str">
        <v>m³</v>
      </c>
      <c r="D25" s="198">
        <v>401.66666666666663</v>
      </c>
      <c r="E25" s="198">
        <v>0.7875816993464051</v>
      </c>
      <c r="F25" s="198">
        <v>784.66666666666663</v>
      </c>
      <c r="G25" s="198">
        <v>1.5385620915032678</v>
      </c>
      <c r="H25" s="322">
        <f>IFERROR(IF($C25="kg",1,
IF($C25="tonne",1000,
IF(OR($C25="m³",$C25="m³"),INDEX('EPD List'!$A:$AB,MATCH($B25,'EPD List'!$D:$D,0),MATCH("Density (kg/m3)",'EPD List'!$7:$7,0)),
IF(OR($C25="m²",$C25="m2"),INDEX('EPD List'!$A:$AB,MATCH($B25,'EPD List'!$D:$D,0),MATCH("Area density (kg/m2)",'EPD List'!$7:$7,0)),
IF($C25="m",INDEX('EPD List'!$A:$AB,MATCH($B25,'EPD List'!$D:$D,0),MATCH("mass per m (kg/m)",'EPD List'!$7:$7,0)),
IF($C25="unit",INDEX('EPD List'!$A:$AB,MATCH($B25,'EPD List'!$D:$D,0),MATCH("Mass per unit (kg/unit)",'EPD List'!$7:$7,0)),NA())))))),"")</f>
        <v>510</v>
      </c>
      <c r="I25" s="131"/>
    </row>
    <row r="26" spans="1:10" x14ac:dyDescent="0.25">
      <c r="A26" s="133"/>
      <c r="B26" s="204" t="str">
        <v>Kate LVL (Kerto) (Finland)</v>
      </c>
      <c r="C26" s="132" t="str">
        <v>m³</v>
      </c>
      <c r="D26" s="198">
        <v>401.66666666666663</v>
      </c>
      <c r="E26" s="198">
        <v>0.7875816993464051</v>
      </c>
      <c r="F26" s="198">
        <v>784.66666666666663</v>
      </c>
      <c r="G26" s="198">
        <v>1.5385620915032678</v>
      </c>
      <c r="H26" s="322">
        <f>IFERROR(IF($C26="kg",1,
IF($C26="tonne",1000,
IF(OR($C26="m³",$C26="m³"),INDEX('EPD List'!$A:$AB,MATCH($B26,'EPD List'!$D:$D,0),MATCH("Density (kg/m3)",'EPD List'!$7:$7,0)),
IF(OR($C26="m²",$C26="m2"),INDEX('EPD List'!$A:$AB,MATCH($B26,'EPD List'!$D:$D,0),MATCH("Area density (kg/m2)",'EPD List'!$7:$7,0)),
IF($C26="m",INDEX('EPD List'!$A:$AB,MATCH($B26,'EPD List'!$D:$D,0),MATCH("mass per m (kg/m)",'EPD List'!$7:$7,0)),
IF($C26="unit",INDEX('EPD List'!$A:$AB,MATCH($B26,'EPD List'!$D:$D,0),MATCH("Mass per unit (kg/unit)",'EPD List'!$7:$7,0)),NA())))))),"")</f>
        <v>510</v>
      </c>
      <c r="I26" s="131"/>
    </row>
    <row r="27" spans="1:10" x14ac:dyDescent="0.25">
      <c r="A27" s="133"/>
      <c r="B27" s="204" t="str">
        <v>L-panel LVL (Kerto) (Finland)</v>
      </c>
      <c r="C27" s="132" t="str">
        <v>m³</v>
      </c>
      <c r="D27" s="198">
        <v>401.66666666666663</v>
      </c>
      <c r="E27" s="198">
        <v>0.91287878787878773</v>
      </c>
      <c r="F27" s="198">
        <v>784.66666666666663</v>
      </c>
      <c r="G27" s="198">
        <v>1.7833333333333332</v>
      </c>
      <c r="H27" s="322">
        <f>IFERROR(IF($C27="kg",1,
IF($C27="tonne",1000,
IF(OR($C27="m³",$C27="m³"),INDEX('EPD List'!$A:$AB,MATCH($B27,'EPD List'!$D:$D,0),MATCH("Density (kg/m3)",'EPD List'!$7:$7,0)),
IF(OR($C27="m²",$C27="m2"),INDEX('EPD List'!$A:$AB,MATCH($B27,'EPD List'!$D:$D,0),MATCH("Area density (kg/m2)",'EPD List'!$7:$7,0)),
IF($C27="m",INDEX('EPD List'!$A:$AB,MATCH($B27,'EPD List'!$D:$D,0),MATCH("mass per m (kg/m)",'EPD List'!$7:$7,0)),
IF($C27="unit",INDEX('EPD List'!$A:$AB,MATCH($B27,'EPD List'!$D:$D,0),MATCH("Mass per unit (kg/unit)",'EPD List'!$7:$7,0)),NA())))))),"")</f>
        <v>440</v>
      </c>
      <c r="I27" s="131"/>
    </row>
    <row r="28" spans="1:10" x14ac:dyDescent="0.25">
      <c r="A28" s="133"/>
      <c r="B28" s="204" t="str">
        <v>T-Stud LVL (Kerto) (Finland)</v>
      </c>
      <c r="C28" s="132" t="str">
        <v>m³</v>
      </c>
      <c r="D28" s="198">
        <v>401.66666666666663</v>
      </c>
      <c r="E28" s="198">
        <v>0.91287878787878773</v>
      </c>
      <c r="F28" s="198">
        <v>784.66666666666663</v>
      </c>
      <c r="G28" s="198">
        <v>1.7833333333333332</v>
      </c>
      <c r="H28" s="322">
        <f>IFERROR(IF($C28="kg",1,
IF($C28="tonne",1000,
IF(OR($C28="m³",$C28="m³"),INDEX('EPD List'!$A:$AB,MATCH($B28,'EPD List'!$D:$D,0),MATCH("Density (kg/m3)",'EPD List'!$7:$7,0)),
IF(OR($C28="m²",$C28="m2"),INDEX('EPD List'!$A:$AB,MATCH($B28,'EPD List'!$D:$D,0),MATCH("Area density (kg/m2)",'EPD List'!$7:$7,0)),
IF($C28="m",INDEX('EPD List'!$A:$AB,MATCH($B28,'EPD List'!$D:$D,0),MATCH("mass per m (kg/m)",'EPD List'!$7:$7,0)),
IF($C28="unit",INDEX('EPD List'!$A:$AB,MATCH($B28,'EPD List'!$D:$D,0),MATCH("Mass per unit (kg/unit)",'EPD List'!$7:$7,0)),NA())))))),"")</f>
        <v>440</v>
      </c>
      <c r="I28" s="131"/>
    </row>
    <row r="29" spans="1:10" x14ac:dyDescent="0.25">
      <c r="A29" s="133"/>
      <c r="B29" s="204" t="str">
        <v>LVL (Stora Enso) (Finland)</v>
      </c>
      <c r="C29" s="132" t="str">
        <v>m³</v>
      </c>
      <c r="D29" s="198">
        <v>122.33333333333337</v>
      </c>
      <c r="E29" s="198">
        <v>0.23986928104575167</v>
      </c>
      <c r="F29" s="198">
        <v>766.33333333333337</v>
      </c>
      <c r="G29" s="198">
        <v>1.5026143790849673</v>
      </c>
      <c r="H29" s="322">
        <f>IFERROR(IF($C29="kg",1,
IF($C29="tonne",1000,
IF(OR($C29="m³",$C29="m³"),INDEX('EPD List'!$A:$AB,MATCH($B29,'EPD List'!$D:$D,0),MATCH("Density (kg/m3)",'EPD List'!$7:$7,0)),
IF(OR($C29="m²",$C29="m2"),INDEX('EPD List'!$A:$AB,MATCH($B29,'EPD List'!$D:$D,0),MATCH("Area density (kg/m2)",'EPD List'!$7:$7,0)),
IF($C29="m",INDEX('EPD List'!$A:$AB,MATCH($B29,'EPD List'!$D:$D,0),MATCH("mass per m (kg/m)",'EPD List'!$7:$7,0)),
IF($C29="unit",INDEX('EPD List'!$A:$AB,MATCH($B29,'EPD List'!$D:$D,0),MATCH("Mass per unit (kg/unit)",'EPD List'!$7:$7,0)),NA())))))),"")</f>
        <v>510</v>
      </c>
      <c r="I29" s="131"/>
    </row>
    <row r="30" spans="1:10" x14ac:dyDescent="0.25">
      <c r="A30" s="133"/>
      <c r="B30" s="204" t="str">
        <v>LVL, , LVL produced in North America (North American Laminated Veneer Lumber) (Global)</v>
      </c>
      <c r="C30" s="132" t="str">
        <v>m³</v>
      </c>
      <c r="D30" s="198">
        <v>361.45000000000005</v>
      </c>
      <c r="E30" s="198">
        <v>0.65958029197080315</v>
      </c>
      <c r="F30" s="198">
        <v>998.31</v>
      </c>
      <c r="G30" s="198">
        <v>1.8217335766423357</v>
      </c>
      <c r="H30" s="322">
        <f>IFERROR(IF($C30="kg",1,
IF($C30="tonne",1000,
IF(OR($C30="m³",$C30="m³"),INDEX('EPD List'!$A:$AB,MATCH($B30,'EPD List'!$D:$D,0),MATCH("Density (kg/m3)",'EPD List'!$7:$7,0)),
IF(OR($C30="m²",$C30="m2"),INDEX('EPD List'!$A:$AB,MATCH($B30,'EPD List'!$D:$D,0),MATCH("Area density (kg/m2)",'EPD List'!$7:$7,0)),
IF($C30="m",INDEX('EPD List'!$A:$AB,MATCH($B30,'EPD List'!$D:$D,0),MATCH("mass per m (kg/m)",'EPD List'!$7:$7,0)),
IF($C30="unit",INDEX('EPD List'!$A:$AB,MATCH($B30,'EPD List'!$D:$D,0),MATCH("Mass per unit (kg/unit)",'EPD List'!$7:$7,0)),NA())))))),"")</f>
        <v>548</v>
      </c>
      <c r="I30" s="131"/>
    </row>
    <row r="31" spans="1:10" x14ac:dyDescent="0.25">
      <c r="A31" s="133"/>
      <c r="B31" s="204" t="str">
        <v>Sylva™ LVL Rib (Stora Enso) (Sweden)</v>
      </c>
      <c r="C31" s="132" t="str">
        <v>m³</v>
      </c>
      <c r="D31" s="198">
        <v>179.9946379044685</v>
      </c>
      <c r="E31" s="198">
        <v>0.34681047765793505</v>
      </c>
      <c r="F31" s="198">
        <v>765.30508474576266</v>
      </c>
      <c r="G31" s="198">
        <v>1.4745762711864405</v>
      </c>
      <c r="H31" s="322">
        <f>IFERROR(IF($C31="kg",1,
IF($C31="tonne",1000,
IF(OR($C31="m³",$C31="m³"),INDEX('EPD List'!$A:$AB,MATCH($B31,'EPD List'!$D:$D,0),MATCH("Density (kg/m3)",'EPD List'!$7:$7,0)),
IF(OR($C31="m²",$C31="m2"),INDEX('EPD List'!$A:$AB,MATCH($B31,'EPD List'!$D:$D,0),MATCH("Area density (kg/m2)",'EPD List'!$7:$7,0)),
IF($C31="m",INDEX('EPD List'!$A:$AB,MATCH($B31,'EPD List'!$D:$D,0),MATCH("mass per m (kg/m)",'EPD List'!$7:$7,0)),
IF($C31="unit",INDEX('EPD List'!$A:$AB,MATCH($B31,'EPD List'!$D:$D,0),MATCH("Mass per unit (kg/unit)",'EPD List'!$7:$7,0)),NA())))))),"")</f>
        <v>519</v>
      </c>
      <c r="I31" s="131"/>
    </row>
    <row r="32" spans="1:10" x14ac:dyDescent="0.25">
      <c r="A32" s="133"/>
      <c r="B32" s="204" t="str">
        <v>Treated LVL (Carter Holt Harvey) (New Zealand)</v>
      </c>
      <c r="C32" s="132" t="str">
        <v>m³</v>
      </c>
      <c r="D32" s="198">
        <v>103.86199999999997</v>
      </c>
      <c r="E32" s="198">
        <v>0.1705451559934319</v>
      </c>
      <c r="F32" s="198">
        <v>924</v>
      </c>
      <c r="G32" s="198">
        <v>1.5172413793103448</v>
      </c>
      <c r="H32" s="322">
        <f>IFERROR(IF($C32="kg",1,
IF($C32="tonne",1000,
IF(OR($C32="m³",$C32="m³"),INDEX('EPD List'!$A:$AB,MATCH($B32,'EPD List'!$D:$D,0),MATCH("Density (kg/m3)",'EPD List'!$7:$7,0)),
IF(OR($C32="m²",$C32="m2"),INDEX('EPD List'!$A:$AB,MATCH($B32,'EPD List'!$D:$D,0),MATCH("Area density (kg/m2)",'EPD List'!$7:$7,0)),
IF($C32="m",INDEX('EPD List'!$A:$AB,MATCH($B32,'EPD List'!$D:$D,0),MATCH("mass per m (kg/m)",'EPD List'!$7:$7,0)),
IF($C32="unit",INDEX('EPD List'!$A:$AB,MATCH($B32,'EPD List'!$D:$D,0),MATCH("Mass per unit (kg/unit)",'EPD List'!$7:$7,0)),NA())))))),"")</f>
        <v>609</v>
      </c>
      <c r="I32" s="131"/>
    </row>
    <row r="33" spans="1:9" x14ac:dyDescent="0.25">
      <c r="A33" s="133"/>
      <c r="B33" s="204" t="str">
        <v>Untreated LVL (Carter Holt Harvey) (New Zealand)</v>
      </c>
      <c r="C33" s="132" t="str">
        <v>m³</v>
      </c>
      <c r="D33" s="198">
        <v>94.399999999999977</v>
      </c>
      <c r="E33" s="198">
        <v>0.15500821018062383</v>
      </c>
      <c r="F33" s="198">
        <v>924</v>
      </c>
      <c r="G33" s="198">
        <v>1.5172413793103448</v>
      </c>
      <c r="H33" s="322">
        <f>IFERROR(IF($C33="kg",1,
IF($C33="tonne",1000,
IF(OR($C33="m³",$C33="m³"),INDEX('EPD List'!$A:$AB,MATCH($B33,'EPD List'!$D:$D,0),MATCH("Density (kg/m3)",'EPD List'!$7:$7,0)),
IF(OR($C33="m²",$C33="m2"),INDEX('EPD List'!$A:$AB,MATCH($B33,'EPD List'!$D:$D,0),MATCH("Area density (kg/m2)",'EPD List'!$7:$7,0)),
IF($C33="m",INDEX('EPD List'!$A:$AB,MATCH($B33,'EPD List'!$D:$D,0),MATCH("mass per m (kg/m)",'EPD List'!$7:$7,0)),
IF($C33="unit",INDEX('EPD List'!$A:$AB,MATCH($B33,'EPD List'!$D:$D,0),MATCH("Mass per unit (kg/unit)",'EPD List'!$7:$7,0)),NA())))))),"")</f>
        <v>609</v>
      </c>
      <c r="I33" s="131"/>
    </row>
    <row r="34" spans="1:9" x14ac:dyDescent="0.25">
      <c r="A34" s="133"/>
      <c r="B34" s="217" t="str">
        <v>LVL (VMG Lingnum) (Sweden)</v>
      </c>
      <c r="C34" s="218" t="str">
        <v>m³</v>
      </c>
      <c r="D34" s="219">
        <v>300</v>
      </c>
      <c r="E34" s="219">
        <v>0.49180327868852447</v>
      </c>
      <c r="F34" s="219">
        <v>1034</v>
      </c>
      <c r="G34" s="219">
        <v>1.6950819672131148</v>
      </c>
      <c r="H34" s="323">
        <f>IFERROR(IF($C34="kg",1,
IF($C34="tonne",1000,
IF(OR($C34="m³",$C34="m³"),INDEX('EPD List'!$A:$AB,MATCH($B34,'EPD List'!$D:$D,0),MATCH("Density (kg/m3)",'EPD List'!$7:$7,0)),
IF(OR($C34="m²",$C34="m2"),INDEX('EPD List'!$A:$AB,MATCH($B34,'EPD List'!$D:$D,0),MATCH("Area density (kg/m2)",'EPD List'!$7:$7,0)),
IF($C34="m",INDEX('EPD List'!$A:$AB,MATCH($B34,'EPD List'!$D:$D,0),MATCH("mass per m (kg/m)",'EPD List'!$7:$7,0)),
IF($C34="unit",INDEX('EPD List'!$A:$AB,MATCH($B34,'EPD List'!$D:$D,0),MATCH("Mass per unit (kg/unit)",'EPD List'!$7:$7,0)),NA())))))),"")</f>
        <v>610</v>
      </c>
      <c r="I34" s="131"/>
    </row>
    <row r="35" spans="1:9" x14ac:dyDescent="0.25">
      <c r="B35" s="130"/>
      <c r="C35" s="130"/>
      <c r="D35" s="207"/>
      <c r="E35" s="207"/>
      <c r="F35" s="207"/>
      <c r="G35" s="207"/>
      <c r="H35" s="324" t="str">
        <f>IFERROR(IF($C35="kg",1,
IF($C35="tonne",1000,
IF(OR($C35="m³",$C35="m³"),INDEX('EPD List'!$A:$AB,MATCH($B35,'EPD List'!$D:$D,0),MATCH("Density (kg/m3)",'EPD List'!$7:$7,0)),
IF(OR($C35="m²",$C35="m2"),INDEX('EPD List'!$A:$AB,MATCH($B35,'EPD List'!$D:$D,0),MATCH("Area density (kg/m2)",'EPD List'!$7:$7,0)),
IF($C35="m",INDEX('EPD List'!$A:$AB,MATCH($B35,'EPD List'!$D:$D,0),MATCH("mass per m (kg/m)",'EPD List'!$7:$7,0)),
IF($C35="unit",INDEX('EPD List'!$A:$AB,MATCH($B35,'EPD List'!$D:$D,0),MATCH("Mass per unit (kg/unit)",'EPD List'!$7:$7,0)),NA())))))),"")</f>
        <v/>
      </c>
    </row>
    <row r="36" spans="1:9" x14ac:dyDescent="0.25">
      <c r="H36" s="273" t="str">
        <f>IFERROR(IF($C36="kg",1,
IF($C36="tonne",1000,
IF(OR($C36="m³",$C36="m³"),INDEX('EPD List'!$A:$AB,MATCH($B36,'EPD List'!$D:$D,0),MATCH("Density (kg/m3)",'EPD List'!$7:$7,0)),
IF(OR($C36="m²",$C36="m2"),INDEX('EPD List'!$A:$AB,MATCH($B36,'EPD List'!$D:$D,0),MATCH("Area density (kg/m2)",'EPD List'!$7:$7,0)),
IF($C36="m",INDEX('EPD List'!$A:$AB,MATCH($B36,'EPD List'!$D:$D,0),MATCH("mass per m (kg/m)",'EPD List'!$7:$7,0)),
IF($C36="unit",INDEX('EPD List'!$A:$AB,MATCH($B36,'EPD List'!$D:$D,0),MATCH("Mass per unit (kg/unit)",'EPD List'!$7:$7,0)),NA())))))),"")</f>
        <v/>
      </c>
    </row>
    <row r="37" spans="1:9" x14ac:dyDescent="0.25">
      <c r="H37" s="273" t="str">
        <f>IFERROR(IF($C37="kg",1,
IF($C37="tonne",1000,
IF(OR($C37="m³",$C37="m³"),INDEX('EPD List'!$A:$AB,MATCH($B37,'EPD List'!$D:$D,0),MATCH("Density (kg/m3)",'EPD List'!$7:$7,0)),
IF(OR($C37="m²",$C37="m2"),INDEX('EPD List'!$A:$AB,MATCH($B37,'EPD List'!$D:$D,0),MATCH("Area density (kg/m2)",'EPD List'!$7:$7,0)),
IF($C37="m",INDEX('EPD List'!$A:$AB,MATCH($B37,'EPD List'!$D:$D,0),MATCH("mass per m (kg/m)",'EPD List'!$7:$7,0)),
IF($C37="unit",INDEX('EPD List'!$A:$AB,MATCH($B37,'EPD List'!$D:$D,0),MATCH("Mass per unit (kg/unit)",'EPD List'!$7:$7,0)),NA())))))),"")</f>
        <v/>
      </c>
    </row>
    <row r="38" spans="1:9" x14ac:dyDescent="0.25">
      <c r="H38" s="273" t="str">
        <f>IFERROR(IF($C38="kg",1,
IF($C38="tonne",1000,
IF(OR($C38="m³",$C38="m³"),INDEX('EPD List'!$A:$AB,MATCH($B38,'EPD List'!$D:$D,0),MATCH("Density (kg/m3)",'EPD List'!$7:$7,0)),
IF(OR($C38="m²",$C38="m2"),INDEX('EPD List'!$A:$AB,MATCH($B38,'EPD List'!$D:$D,0),MATCH("Area density (kg/m2)",'EPD List'!$7:$7,0)),
IF($C38="m",INDEX('EPD List'!$A:$AB,MATCH($B38,'EPD List'!$D:$D,0),MATCH("mass per m (kg/m)",'EPD List'!$7:$7,0)),
IF($C38="unit",INDEX('EPD List'!$A:$AB,MATCH($B38,'EPD List'!$D:$D,0),MATCH("Mass per unit (kg/unit)",'EPD List'!$7:$7,0)),NA())))))),"")</f>
        <v/>
      </c>
    </row>
    <row r="39" spans="1:9" x14ac:dyDescent="0.25">
      <c r="H39" s="273" t="str">
        <f>IFERROR(IF($C39="kg",1,
IF($C39="tonne",1000,
IF(OR($C39="m³",$C39="m³"),INDEX('EPD List'!$A:$AB,MATCH($B39,'EPD List'!$D:$D,0),MATCH("Density (kg/m3)",'EPD List'!$7:$7,0)),
IF(OR($C39="m²",$C39="m2"),INDEX('EPD List'!$A:$AB,MATCH($B39,'EPD List'!$D:$D,0),MATCH("Area density (kg/m2)",'EPD List'!$7:$7,0)),
IF($C39="m",INDEX('EPD List'!$A:$AB,MATCH($B39,'EPD List'!$D:$D,0),MATCH("mass per m (kg/m)",'EPD List'!$7:$7,0)),
IF($C39="unit",INDEX('EPD List'!$A:$AB,MATCH($B39,'EPD List'!$D:$D,0),MATCH("Mass per unit (kg/unit)",'EPD List'!$7:$7,0)),NA())))))),"")</f>
        <v/>
      </c>
    </row>
    <row r="40" spans="1:9" x14ac:dyDescent="0.25">
      <c r="H40" s="273" t="str">
        <f>IFERROR(IF($C40="kg",1,
IF($C40="tonne",1000,
IF(OR($C40="m³",$C40="m³"),INDEX('EPD List'!$A:$AB,MATCH($B40,'EPD List'!$D:$D,0),MATCH("Density (kg/m3)",'EPD List'!$7:$7,0)),
IF(OR($C40="m²",$C40="m2"),INDEX('EPD List'!$A:$AB,MATCH($B40,'EPD List'!$D:$D,0),MATCH("Area density (kg/m2)",'EPD List'!$7:$7,0)),
IF($C40="m",INDEX('EPD List'!$A:$AB,MATCH($B40,'EPD List'!$D:$D,0),MATCH("mass per m (kg/m)",'EPD List'!$7:$7,0)),
IF($C40="unit",INDEX('EPD List'!$A:$AB,MATCH($B40,'EPD List'!$D:$D,0),MATCH("Mass per unit (kg/unit)",'EPD List'!$7:$7,0)),NA())))))),"")</f>
        <v/>
      </c>
    </row>
    <row r="41" spans="1:9" x14ac:dyDescent="0.25">
      <c r="H41" s="273" t="str">
        <f>IFERROR(IF($C41="kg",1,
IF($C41="tonne",1000,
IF(OR($C41="m³",$C41="m³"),INDEX('EPD List'!$A:$AB,MATCH($B41,'EPD List'!$D:$D,0),MATCH("Density (kg/m3)",'EPD List'!$7:$7,0)),
IF(OR($C41="m²",$C41="m2"),INDEX('EPD List'!$A:$AB,MATCH($B41,'EPD List'!$D:$D,0),MATCH("Area density (kg/m2)",'EPD List'!$7:$7,0)),
IF($C41="m",INDEX('EPD List'!$A:$AB,MATCH($B41,'EPD List'!$D:$D,0),MATCH("mass per m (kg/m)",'EPD List'!$7:$7,0)),
IF($C41="unit",INDEX('EPD List'!$A:$AB,MATCH($B41,'EPD List'!$D:$D,0),MATCH("Mass per unit (kg/unit)",'EPD List'!$7:$7,0)),NA())))))),"")</f>
        <v/>
      </c>
    </row>
    <row r="42" spans="1:9" x14ac:dyDescent="0.25">
      <c r="H42" s="273" t="str">
        <f>IFERROR(IF($C42="kg",1,
IF($C42="tonne",1000,
IF(OR($C42="m³",$C42="m³"),INDEX('EPD List'!$A:$AB,MATCH($B42,'EPD List'!$D:$D,0),MATCH("Density (kg/m3)",'EPD List'!$7:$7,0)),
IF(OR($C42="m²",$C42="m2"),INDEX('EPD List'!$A:$AB,MATCH($B42,'EPD List'!$D:$D,0),MATCH("Area density (kg/m2)",'EPD List'!$7:$7,0)),
IF($C42="m",INDEX('EPD List'!$A:$AB,MATCH($B42,'EPD List'!$D:$D,0),MATCH("mass per m (kg/m)",'EPD List'!$7:$7,0)),
IF($C42="unit",INDEX('EPD List'!$A:$AB,MATCH($B42,'EPD List'!$D:$D,0),MATCH("Mass per unit (kg/unit)",'EPD List'!$7:$7,0)),NA())))))),"")</f>
        <v/>
      </c>
    </row>
    <row r="43" spans="1:9" x14ac:dyDescent="0.25">
      <c r="H43" s="273" t="str">
        <f>IFERROR(IF($C43="kg",1,
IF($C43="tonne",1000,
IF(OR($C43="m³",$C43="m³"),INDEX('EPD List'!$A:$AB,MATCH($B43,'EPD List'!$D:$D,0),MATCH("Density (kg/m3)",'EPD List'!$7:$7,0)),
IF(OR($C43="m²",$C43="m2"),INDEX('EPD List'!$A:$AB,MATCH($B43,'EPD List'!$D:$D,0),MATCH("Area density (kg/m2)",'EPD List'!$7:$7,0)),
IF($C43="m",INDEX('EPD List'!$A:$AB,MATCH($B43,'EPD List'!$D:$D,0),MATCH("mass per m (kg/m)",'EPD List'!$7:$7,0)),
IF($C43="unit",INDEX('EPD List'!$A:$AB,MATCH($B43,'EPD List'!$D:$D,0),MATCH("Mass per unit (kg/unit)",'EPD List'!$7:$7,0)),NA())))))),"")</f>
        <v/>
      </c>
    </row>
    <row r="44" spans="1:9" x14ac:dyDescent="0.25">
      <c r="H44" s="273" t="str">
        <f>IFERROR(IF($C44="kg",1,
IF($C44="tonne",1000,
IF(OR($C44="m³",$C44="m³"),INDEX('EPD List'!$A:$AB,MATCH($B44,'EPD List'!$D:$D,0),MATCH("Density (kg/m3)",'EPD List'!$7:$7,0)),
IF(OR($C44="m²",$C44="m2"),INDEX('EPD List'!$A:$AB,MATCH($B44,'EPD List'!$D:$D,0),MATCH("Area density (kg/m2)",'EPD List'!$7:$7,0)),
IF($C44="m",INDEX('EPD List'!$A:$AB,MATCH($B44,'EPD List'!$D:$D,0),MATCH("mass per m (kg/m)",'EPD List'!$7:$7,0)),
IF($C44="unit",INDEX('EPD List'!$A:$AB,MATCH($B44,'EPD List'!$D:$D,0),MATCH("Mass per unit (kg/unit)",'EPD List'!$7:$7,0)),NA())))))),"")</f>
        <v/>
      </c>
    </row>
    <row r="90" spans="10:10" x14ac:dyDescent="0.25">
      <c r="J90" s="198"/>
    </row>
  </sheetData>
  <dataValidations count="1">
    <dataValidation type="list" allowBlank="1" showInputMessage="1" showErrorMessage="1" sqref="B6:B9" xr:uid="{B56BCA47-2732-4F68-B9E7-B5B514BCD8BF}">
      <formula1>"Tier 1,Tier 2,Tier 3,Tier 4"</formula1>
    </dataValidation>
  </dataValidations>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19382-EB18-478D-AB21-8791AE1870FF}">
  <sheetPr codeName="Sheet45">
    <tabColor rgb="FF00CCFF"/>
  </sheetPr>
  <dimension ref="A1:V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9" width="14.453125" style="132" customWidth="1"/>
    <col min="10" max="10" width="13.26953125" style="132" customWidth="1"/>
    <col min="11" max="11" width="16.26953125" style="132" customWidth="1"/>
    <col min="12" max="15" width="9.1796875" style="132"/>
    <col min="16" max="16" width="13.81640625" style="132" customWidth="1"/>
    <col min="17" max="17" width="9.1796875" style="132"/>
    <col min="18" max="18" width="22.81640625" style="132" customWidth="1"/>
    <col min="19" max="19" width="43.54296875" style="132" customWidth="1"/>
    <col min="20" max="20" width="38.7265625" style="132" customWidth="1"/>
    <col min="21" max="21" width="41.453125" style="132" customWidth="1"/>
    <col min="22" max="22" width="36.7265625" style="132" customWidth="1"/>
    <col min="23" max="16384" width="9.1796875" style="132"/>
  </cols>
  <sheetData>
    <row r="1" spans="1:22" ht="13" x14ac:dyDescent="0.25">
      <c r="A1" s="202" t="str">
        <f>B16</f>
        <v>MDF</v>
      </c>
    </row>
    <row r="2" spans="1:22" ht="13" x14ac:dyDescent="0.25">
      <c r="A2" s="202"/>
      <c r="C2" s="202"/>
    </row>
    <row r="3" spans="1:22" ht="13" x14ac:dyDescent="0.3">
      <c r="A3" s="227" t="s">
        <v>5626</v>
      </c>
      <c r="B3" s="132" t="s">
        <v>5846</v>
      </c>
    </row>
    <row r="4" spans="1:22" ht="13" x14ac:dyDescent="0.25">
      <c r="A4" s="202"/>
    </row>
    <row r="5" spans="1:22" ht="92.25" customHeight="1" x14ac:dyDescent="0.3">
      <c r="A5" s="227" t="s">
        <v>5628</v>
      </c>
      <c r="B5" s="200" t="s">
        <v>5847</v>
      </c>
      <c r="E5" s="271"/>
    </row>
    <row r="6" spans="1:22" ht="13" x14ac:dyDescent="0.3">
      <c r="A6" s="227" t="s">
        <v>5630</v>
      </c>
      <c r="B6" s="132" t="s">
        <v>72</v>
      </c>
      <c r="D6" s="271"/>
    </row>
    <row r="7" spans="1:22" ht="13" x14ac:dyDescent="0.3">
      <c r="A7" s="227" t="s">
        <v>5631</v>
      </c>
      <c r="B7" s="201" t="s">
        <v>71</v>
      </c>
      <c r="K7" s="202" t="s">
        <v>5700</v>
      </c>
    </row>
    <row r="8" spans="1:22" ht="13" x14ac:dyDescent="0.3">
      <c r="A8" s="227" t="s">
        <v>5632</v>
      </c>
      <c r="B8" s="201" t="s">
        <v>72</v>
      </c>
    </row>
    <row r="9" spans="1:22" ht="13" x14ac:dyDescent="0.3">
      <c r="A9" s="227" t="s">
        <v>5633</v>
      </c>
      <c r="B9" s="202" t="s">
        <v>72</v>
      </c>
      <c r="S9" s="132" t="s">
        <v>146</v>
      </c>
      <c r="T9" s="132" t="s">
        <v>153</v>
      </c>
      <c r="U9" s="132" t="s">
        <v>147</v>
      </c>
      <c r="V9" s="132" t="s">
        <v>154</v>
      </c>
    </row>
    <row r="10" spans="1:22" ht="13" x14ac:dyDescent="0.3">
      <c r="A10" s="227"/>
      <c r="B10" s="202"/>
      <c r="L10" s="132" t="s">
        <v>5825</v>
      </c>
      <c r="M10" s="240">
        <f>P12</f>
        <v>0.30434782608695654</v>
      </c>
      <c r="O10" s="132" t="s">
        <v>5826</v>
      </c>
      <c r="P10" s="132">
        <v>1600000</v>
      </c>
      <c r="R10" s="132" t="s">
        <v>5827</v>
      </c>
      <c r="S10" s="132">
        <f>SUMIF(_xlfn.ANCHORARRAY($B$23),"*"&amp;"Global"&amp;"*",_xlfn.ANCHORARRAY(D$23))/COUNTIF(_xlfn.ANCHORARRAY($B$23),"*"&amp;"Global"&amp;"*")</f>
        <v>525.92916666666667</v>
      </c>
      <c r="T10" s="132">
        <f t="shared" ref="T10:V10" si="0">SUMIF(_xlfn.ANCHORARRAY($B$23),"*"&amp;"Global"&amp;"*",_xlfn.ANCHORARRAY(E$23))/COUNTIF(_xlfn.ANCHORARRAY($B$23),"*"&amp;"Global"&amp;"*")</f>
        <v>0.71360809588421525</v>
      </c>
      <c r="U10" s="132">
        <f t="shared" si="0"/>
        <v>1249.8291666666667</v>
      </c>
      <c r="V10" s="132">
        <f t="shared" si="0"/>
        <v>1.6958333333333333</v>
      </c>
    </row>
    <row r="11" spans="1:22" ht="25.5" x14ac:dyDescent="0.3">
      <c r="A11" s="227" t="s">
        <v>5634</v>
      </c>
      <c r="B11" s="200" t="s">
        <v>5828</v>
      </c>
      <c r="L11" s="132" t="s">
        <v>5829</v>
      </c>
      <c r="M11" s="240">
        <f>1-M10</f>
        <v>0.69565217391304346</v>
      </c>
      <c r="O11" s="132" t="s">
        <v>5825</v>
      </c>
      <c r="P11" s="132">
        <v>700000</v>
      </c>
      <c r="R11" s="132" t="s">
        <v>5689</v>
      </c>
      <c r="S11" s="132">
        <f>SUMIF(_xlfn.ANCHORARRAY($B$23),"*"&amp;"FWPA"&amp;"*",_xlfn.ANCHORARRAY(D$23))/COUNTIF(_xlfn.ANCHORARRAY($B$23),"*"&amp;"FWPA"&amp;"*")</f>
        <v>941.22545039730358</v>
      </c>
      <c r="T11" s="132">
        <f t="shared" ref="T11:V11" si="1">SUMIF(_xlfn.ANCHORARRAY($B$23),"*"&amp;"FWPA"&amp;"*",_xlfn.ANCHORARRAY(E$23))/COUNTIF(_xlfn.ANCHORARRAY($B$23),"*"&amp;"FWPA"&amp;"*")</f>
        <v>1.3111903989658564</v>
      </c>
      <c r="U11" s="132">
        <f t="shared" si="1"/>
        <v>1224.403125</v>
      </c>
      <c r="V11" s="132">
        <f t="shared" si="1"/>
        <v>1.7050000000000001</v>
      </c>
    </row>
    <row r="12" spans="1:22" x14ac:dyDescent="0.25">
      <c r="A12" s="228"/>
      <c r="P12" s="275">
        <f>P11/(P10+P11)</f>
        <v>0.30434782608695654</v>
      </c>
      <c r="R12" s="132" t="s">
        <v>5830</v>
      </c>
      <c r="S12" s="132">
        <f>SUMPRODUCT(S10:S11,$M$10:$M$11)</f>
        <v>814.83092926189238</v>
      </c>
      <c r="T12" s="132">
        <f t="shared" ref="T12:V12" si="2">SUMPRODUCT(T10:T11,$M$10:$M$11)</f>
        <v>1.1293175241149223</v>
      </c>
      <c r="U12" s="132">
        <f t="shared" si="2"/>
        <v>1232.1414855072464</v>
      </c>
      <c r="V12" s="132">
        <f t="shared" si="2"/>
        <v>1.7022101449275362</v>
      </c>
    </row>
    <row r="13" spans="1:22" x14ac:dyDescent="0.25">
      <c r="A13" s="228"/>
    </row>
    <row r="14" spans="1:22" ht="13" x14ac:dyDescent="0.3">
      <c r="A14" s="227" t="s">
        <v>5635</v>
      </c>
      <c r="L14" s="202" t="s">
        <v>5831</v>
      </c>
    </row>
    <row r="15" spans="1:22" ht="13" x14ac:dyDescent="0.3">
      <c r="A15" s="227"/>
      <c r="B15" s="135"/>
      <c r="C15" s="135"/>
      <c r="D15" s="299" t="s">
        <v>77</v>
      </c>
      <c r="E15" s="300"/>
      <c r="F15" s="299" t="s">
        <v>5424</v>
      </c>
      <c r="G15" s="301"/>
      <c r="H15" s="135"/>
      <c r="L15" s="243" t="s">
        <v>5832</v>
      </c>
    </row>
    <row r="16" spans="1:22" ht="39" x14ac:dyDescent="0.25">
      <c r="A16" s="133"/>
      <c r="B16" s="320" t="s">
        <v>3883</v>
      </c>
      <c r="C16" s="316" t="s">
        <v>24</v>
      </c>
      <c r="D16" s="314" t="s">
        <v>146</v>
      </c>
      <c r="E16" s="315" t="s">
        <v>153</v>
      </c>
      <c r="F16" s="314" t="s">
        <v>147</v>
      </c>
      <c r="G16" s="314" t="s">
        <v>154</v>
      </c>
      <c r="H16" s="314" t="s">
        <v>5840</v>
      </c>
      <c r="I16" s="131"/>
      <c r="L16" s="132" t="s">
        <v>5834</v>
      </c>
    </row>
    <row r="17" spans="1:15" ht="13" x14ac:dyDescent="0.3">
      <c r="A17" s="133"/>
      <c r="B17" s="211"/>
      <c r="C17" s="212" t="s">
        <v>5636</v>
      </c>
      <c r="D17" s="196" t="str" cm="1">
        <f t="array" ref="D17">IF(AND(_xlfn.ANCHORARRAY(C23)=C23),C23,"Mixed")</f>
        <v>m³</v>
      </c>
      <c r="E17" s="196" t="s">
        <v>2774</v>
      </c>
      <c r="F17" s="196" t="str" cm="1">
        <f t="array" ref="F17">IF(AND(_xlfn.ANCHORARRAY(C23)=C23),C23,"Mixed")</f>
        <v>m³</v>
      </c>
      <c r="G17" s="196" t="s">
        <v>2774</v>
      </c>
      <c r="H17" s="321"/>
      <c r="I17" s="131"/>
      <c r="L17" s="243" t="s">
        <v>5835</v>
      </c>
    </row>
    <row r="18" spans="1:15" s="200" customFormat="1" ht="13" x14ac:dyDescent="0.3">
      <c r="A18" s="221"/>
      <c r="B18" s="214"/>
      <c r="C18" s="202" t="s">
        <v>5637</v>
      </c>
      <c r="D18" s="198">
        <f>MAX(_xlfn.ANCHORARRAY(D23))</f>
        <v>1254.1817045454538</v>
      </c>
      <c r="E18" s="198">
        <f t="shared" ref="E18" si="3">MAX(_xlfn.ANCHORARRAY(E23))</f>
        <v>1.7419190340909083</v>
      </c>
      <c r="F18" s="230">
        <f>VLOOKUP($D18,$D$23:$F$211,3,FALSE)</f>
        <v>1227.5999999999997</v>
      </c>
      <c r="G18" s="230">
        <f>VLOOKUP($D18,$D$23:$G$211,4,FALSE)</f>
        <v>1.7049999999999996</v>
      </c>
      <c r="H18" s="322">
        <f>D18/E18</f>
        <v>719.99999999999989</v>
      </c>
      <c r="I18" s="131"/>
      <c r="J18" s="132"/>
      <c r="L18" s="200" t="s">
        <v>5836</v>
      </c>
    </row>
    <row r="19" spans="1:15" ht="13" x14ac:dyDescent="0.25">
      <c r="A19" s="133"/>
      <c r="B19" s="204"/>
      <c r="C19" s="202" t="s">
        <v>5638</v>
      </c>
      <c r="D19" s="198">
        <f>MIN(_xlfn.ANCHORARRAY(D23))</f>
        <v>525.92916666666667</v>
      </c>
      <c r="E19" s="198">
        <f t="shared" ref="E19:G19" si="4">MIN(_xlfn.ANCHORARRAY(E23))</f>
        <v>0.71360809588421525</v>
      </c>
      <c r="F19" s="198">
        <f t="shared" si="4"/>
        <v>1195.2049999999999</v>
      </c>
      <c r="G19" s="198">
        <f t="shared" si="4"/>
        <v>1.6958333333333333</v>
      </c>
      <c r="H19" s="322">
        <f>D19/E19</f>
        <v>737</v>
      </c>
      <c r="I19" s="131"/>
    </row>
    <row r="20" spans="1:15" ht="13" x14ac:dyDescent="0.25">
      <c r="A20" s="133"/>
      <c r="B20" s="204"/>
      <c r="C20" s="245" t="s">
        <v>5837</v>
      </c>
      <c r="D20" s="198">
        <f>S12</f>
        <v>814.83092926189238</v>
      </c>
      <c r="E20" s="198">
        <f t="shared" ref="E20:G20" si="5">T12</f>
        <v>1.1293175241149223</v>
      </c>
      <c r="F20" s="198">
        <f t="shared" si="5"/>
        <v>1232.1414855072464</v>
      </c>
      <c r="G20" s="198">
        <f t="shared" si="5"/>
        <v>1.7022101449275362</v>
      </c>
      <c r="H20" s="322">
        <f>D20/E20</f>
        <v>721.52509091763022</v>
      </c>
      <c r="I20" s="131"/>
    </row>
    <row r="21" spans="1:15" ht="13" x14ac:dyDescent="0.25">
      <c r="A21" s="133"/>
      <c r="B21" s="204"/>
      <c r="C21" s="202" t="s">
        <v>5639</v>
      </c>
      <c r="D21" s="198">
        <f>AVERAGE(_xlfn.ANCHORARRAY(D23))</f>
        <v>895.08141887167722</v>
      </c>
      <c r="E21" s="198">
        <f t="shared" ref="E21:G21" si="6">AVERAGE(_xlfn.ANCHORARRAY(E23))</f>
        <v>1.2447923652901185</v>
      </c>
      <c r="F21" s="198">
        <f t="shared" si="6"/>
        <v>1227.2282407407408</v>
      </c>
      <c r="G21" s="198">
        <f t="shared" si="6"/>
        <v>1.7039814814814815</v>
      </c>
      <c r="H21" s="322">
        <f>D21/E21</f>
        <v>719.06081996499427</v>
      </c>
      <c r="I21" s="131"/>
      <c r="L21" s="200"/>
      <c r="M21" s="200"/>
      <c r="N21" s="200"/>
      <c r="O21" s="200"/>
    </row>
    <row r="22" spans="1:15" ht="13" x14ac:dyDescent="0.25">
      <c r="A22" s="133"/>
      <c r="B22" s="197" t="s">
        <v>5640</v>
      </c>
      <c r="D22" s="132"/>
      <c r="E22" s="132"/>
      <c r="F22" s="132"/>
      <c r="G22" s="132"/>
      <c r="H22" s="322"/>
      <c r="I22" s="131"/>
    </row>
    <row r="23" spans="1:15" x14ac:dyDescent="0.25">
      <c r="A23" s="133"/>
      <c r="B23" s="204" t="str" cm="1">
        <f t="array" ref="B23:B31">_xlfn.UNIQUE(_xlfn._xlws.FILTER('EPD List'!D:D,ISNUMBER(SEARCH(B16,'EPD List'!C:C)),0))</f>
        <v>MDF  (25 mm, E0 and E1, moisture resistant (MR) melamine coated) [from sustainable forest management practices], FWPA, Australian Industry</v>
      </c>
      <c r="C23" s="132" t="str" cm="1">
        <f t="array" ref="C23:C31">_xlfn.IFNA(INDEX('EPD List'!$A:$AB,MATCH(_xlfn.ANCHORARRAY(B23),'EPD List'!$D:$D,0),MATCH(C$16,'EPD List'!$7:$7,0)),"")</f>
        <v>m³</v>
      </c>
      <c r="D23" s="198" cm="1">
        <f t="array" ref="D23:D31">_xlfn.IFNA(VALUE((INDEX('EPD List'!$A:$AD,MATCH(_xlfn.ANCHORARRAY($B23),'EPD List'!$D:$D,0),MATCH(D$16,'EPD List'!$7:$7,0)))),"")</f>
        <v>1013.7579545454541</v>
      </c>
      <c r="E23" s="198" cm="1">
        <f t="array" ref="E23:E31">_xlfn.IFNA(VALUE((INDEX('EPD List'!$A:$AD,MATCH(_xlfn.ANCHORARRAY($B23),'EPD List'!$D:$D,0),MATCH(E$16,'EPD List'!$7:$7,0)))),"")</f>
        <v>1.4379545454545448</v>
      </c>
      <c r="F23" s="198" cm="1">
        <f t="array" ref="F23:F31">_xlfn.IFNA(VALUE((INDEX('EPD List'!$A:$AD,MATCH(_xlfn.ANCHORARRAY($B23),'EPD List'!$D:$D,0),MATCH(F$16,'EPD List'!$7:$7,0)))),"")</f>
        <v>1202.0249999999999</v>
      </c>
      <c r="G23" s="198" cm="1">
        <f t="array" ref="G23:G31">_xlfn.IFNA(VALUE((INDEX('EPD List'!$A:$AD,MATCH(_xlfn.ANCHORARRAY($B23),'EPD List'!$D:$D,0),MATCH(G$16,'EPD List'!$7:$7,0)))),"")</f>
        <v>1.7049999999999998</v>
      </c>
      <c r="H23" s="322" cm="1">
        <f t="array" ref="H23:H31">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705</v>
      </c>
      <c r="I23" s="131"/>
    </row>
    <row r="24" spans="1:15" x14ac:dyDescent="0.25">
      <c r="A24" s="133"/>
      <c r="B24" s="204" t="str">
        <v>MDF  (18 mm, E0 and E1,  melamine coated) [from sustainable forest management practices], FWPA, Australian Industry</v>
      </c>
      <c r="C24" s="132" t="str">
        <v>m³</v>
      </c>
      <c r="D24" s="198">
        <v>714.50230769230757</v>
      </c>
      <c r="E24" s="198">
        <v>0.98961538461538445</v>
      </c>
      <c r="F24" s="198">
        <v>1231.01</v>
      </c>
      <c r="G24" s="198">
        <v>1.7050000000000001</v>
      </c>
      <c r="H24" s="322">
        <v>722</v>
      </c>
      <c r="I24" s="131"/>
    </row>
    <row r="25" spans="1:15" x14ac:dyDescent="0.25">
      <c r="A25" s="133"/>
      <c r="B25" s="204" t="str">
        <v>MDF  (16 mm, E0 and E1, moisture resistant (MR) melamine coated) [from sustainable forest management practices], FWPA, Australian Industry</v>
      </c>
      <c r="C25" s="132" t="str">
        <v>m³</v>
      </c>
      <c r="D25" s="198">
        <v>922.72666666666646</v>
      </c>
      <c r="E25" s="198">
        <v>1.2605555555555552</v>
      </c>
      <c r="F25" s="198">
        <v>1248.06</v>
      </c>
      <c r="G25" s="198">
        <v>1.7049999999999998</v>
      </c>
      <c r="H25" s="322">
        <v>732</v>
      </c>
      <c r="I25" s="131"/>
    </row>
    <row r="26" spans="1:15" x14ac:dyDescent="0.25">
      <c r="A26" s="133"/>
      <c r="B26" s="204" t="str">
        <v>MDF  (25 mm, E0 and E1, melamine coated) [from sustainable forest management practices], FWPA, Australian Industry</v>
      </c>
      <c r="C26" s="132" t="str">
        <v>m³</v>
      </c>
      <c r="D26" s="198">
        <v>878.75357142857138</v>
      </c>
      <c r="E26" s="198">
        <v>1.2535714285714286</v>
      </c>
      <c r="F26" s="198">
        <v>1195.2049999999999</v>
      </c>
      <c r="G26" s="198">
        <v>1.7049999999999998</v>
      </c>
      <c r="H26" s="322">
        <v>701</v>
      </c>
      <c r="I26" s="131"/>
    </row>
    <row r="27" spans="1:15" x14ac:dyDescent="0.25">
      <c r="A27" s="133"/>
      <c r="B27" s="204" t="str">
        <v>MDF (16 mm, E0 and E1,  melamine coated) [from sustainable forest management practices], FWPA, Australian Industry</v>
      </c>
      <c r="C27" s="132" t="str">
        <v>m³</v>
      </c>
      <c r="D27" s="198">
        <v>758.82689655172385</v>
      </c>
      <c r="E27" s="198">
        <v>1.0481034482758615</v>
      </c>
      <c r="F27" s="198">
        <v>1234.4199999999998</v>
      </c>
      <c r="G27" s="198">
        <v>1.7049999999999998</v>
      </c>
      <c r="H27" s="322">
        <v>724</v>
      </c>
      <c r="I27" s="131"/>
    </row>
    <row r="28" spans="1:15" x14ac:dyDescent="0.25">
      <c r="A28" s="133"/>
      <c r="B28" s="204" t="str">
        <v>MDF  (18 mm, E0 and E1, moisture resistant (MR) melamine coated) [from sustainable forest management practices], FWPA, Australian Industry</v>
      </c>
      <c r="C28" s="132" t="str">
        <v>m³</v>
      </c>
      <c r="D28" s="198">
        <v>1035.1896153846155</v>
      </c>
      <c r="E28" s="198">
        <v>1.4357692307692309</v>
      </c>
      <c r="F28" s="198">
        <v>1229.3050000000001</v>
      </c>
      <c r="G28" s="198">
        <v>1.7050000000000001</v>
      </c>
      <c r="H28" s="322">
        <v>721</v>
      </c>
      <c r="I28" s="131"/>
    </row>
    <row r="29" spans="1:15" x14ac:dyDescent="0.25">
      <c r="A29" s="133"/>
      <c r="B29" s="204" t="str">
        <v>Max variaton for  MDF, MR 25mm FWPA, Australia</v>
      </c>
      <c r="C29" s="132" t="str">
        <v>m³</v>
      </c>
      <c r="D29" s="198">
        <v>1254.1817045454538</v>
      </c>
      <c r="E29" s="198">
        <v>1.7419190340909083</v>
      </c>
      <c r="F29" s="198">
        <v>1227.5999999999997</v>
      </c>
      <c r="G29" s="198">
        <v>1.7049999999999996</v>
      </c>
      <c r="H29" s="322">
        <v>720</v>
      </c>
      <c r="I29" s="131"/>
    </row>
    <row r="30" spans="1:15" x14ac:dyDescent="0.25">
      <c r="A30" s="133"/>
      <c r="B30" s="204" t="str">
        <v>MDF, , Min variaton for  MDF, MR 25mm FWPA, Australia (FWPA) (Australia)</v>
      </c>
      <c r="C30" s="132" t="str">
        <v>m³</v>
      </c>
      <c r="D30" s="198">
        <v>951.86488636363583</v>
      </c>
      <c r="E30" s="198">
        <v>1.3220345643939388</v>
      </c>
      <c r="F30" s="198">
        <v>1227.5999999999997</v>
      </c>
      <c r="G30" s="198">
        <v>1.7049999999999996</v>
      </c>
      <c r="H30" s="322">
        <v>720</v>
      </c>
      <c r="I30" s="131"/>
    </row>
    <row r="31" spans="1:15" x14ac:dyDescent="0.25">
      <c r="A31" s="133"/>
      <c r="B31" s="217" t="str">
        <v>MDF, , medium density fibreboard wood (Kastamonu) (Global)</v>
      </c>
      <c r="C31" s="218" t="str">
        <v>m³</v>
      </c>
      <c r="D31" s="219">
        <v>525.92916666666667</v>
      </c>
      <c r="E31" s="219">
        <v>0.71360809588421525</v>
      </c>
      <c r="F31" s="219">
        <v>1249.8291666666667</v>
      </c>
      <c r="G31" s="219">
        <v>1.6958333333333333</v>
      </c>
      <c r="H31" s="323">
        <v>737</v>
      </c>
      <c r="I31" s="131"/>
    </row>
    <row r="32" spans="1:15" x14ac:dyDescent="0.25">
      <c r="B32" s="130"/>
      <c r="C32" s="130"/>
      <c r="D32" s="207"/>
      <c r="E32" s="207"/>
      <c r="F32" s="207"/>
      <c r="G32" s="207"/>
      <c r="H32" s="324"/>
    </row>
    <row r="33" spans="8:8" x14ac:dyDescent="0.25">
      <c r="H33" s="273"/>
    </row>
    <row r="34" spans="8:8" x14ac:dyDescent="0.25">
      <c r="H34" s="273"/>
    </row>
    <row r="35" spans="8:8" x14ac:dyDescent="0.25">
      <c r="H35" s="273"/>
    </row>
    <row r="36" spans="8:8" x14ac:dyDescent="0.25">
      <c r="H36" s="273"/>
    </row>
    <row r="37" spans="8:8" x14ac:dyDescent="0.25">
      <c r="H37" s="273"/>
    </row>
    <row r="90" spans="10:10" x14ac:dyDescent="0.25">
      <c r="J90" s="198"/>
    </row>
  </sheetData>
  <dataValidations count="1">
    <dataValidation type="list" allowBlank="1" showInputMessage="1" showErrorMessage="1" sqref="B6:B9" xr:uid="{47E283D2-B95D-4E81-A634-87CF3D5A26EF}">
      <formula1>"Tier 1,Tier 2,Tier 3,Tier 4"</formula1>
    </dataValidation>
  </dataValidations>
  <hyperlinks>
    <hyperlink ref="L15" r:id="rId1" location="production-and-consumption-of-final-wood-products " xr:uid="{53A7C2A3-4ACF-4CF3-BAEC-B82CE46F627B}"/>
    <hyperlink ref="L17" r:id="rId2" location="overview-of-the-forestry-sector-202122" display="https://www.agriculture.gov.au/abares/research-topics/forests/forest-economics/forest-wood-products-statistics - overview-of-the-forestry-sector-202122" xr:uid="{C6303DC1-986C-40F4-B61A-96A15E9CD971}"/>
  </hyperlinks>
  <pageMargins left="0.7" right="0.7" top="0.75" bottom="0.75" header="0.3" footer="0.3"/>
  <pageSetup paperSize="9" orientation="portrait" horizontalDpi="300" verticalDpi="300"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7227-772E-4A40-82E0-C59446CA7EA8}">
  <sheetPr codeName="Sheet81">
    <tabColor rgb="FF00CCFF"/>
  </sheetPr>
  <dimension ref="A1:J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9" width="14.453125" style="132" customWidth="1"/>
    <col min="10" max="10" width="13.26953125" style="132" customWidth="1"/>
    <col min="11" max="16384" width="9.1796875" style="132"/>
  </cols>
  <sheetData>
    <row r="1" spans="1:9" ht="13" x14ac:dyDescent="0.25">
      <c r="A1" s="202" t="str">
        <f>B16</f>
        <v>OSB</v>
      </c>
    </row>
    <row r="2" spans="1:9" ht="13" x14ac:dyDescent="0.25">
      <c r="A2" s="202"/>
      <c r="C2" s="202"/>
    </row>
    <row r="3" spans="1:9" ht="13" x14ac:dyDescent="0.3">
      <c r="A3" s="227" t="s">
        <v>5626</v>
      </c>
      <c r="B3" s="132" t="s">
        <v>5848</v>
      </c>
    </row>
    <row r="4" spans="1:9" ht="13" x14ac:dyDescent="0.25">
      <c r="A4" s="202"/>
    </row>
    <row r="5" spans="1:9" ht="92.25" customHeight="1" x14ac:dyDescent="0.3">
      <c r="A5" s="227" t="s">
        <v>5628</v>
      </c>
      <c r="B5" s="200" t="s">
        <v>5849</v>
      </c>
      <c r="D5" s="200"/>
      <c r="E5" s="271"/>
    </row>
    <row r="6" spans="1:9" ht="13" x14ac:dyDescent="0.3">
      <c r="A6" s="227" t="s">
        <v>5630</v>
      </c>
      <c r="B6" s="132" t="s">
        <v>74</v>
      </c>
      <c r="D6" s="132"/>
    </row>
    <row r="7" spans="1:9" ht="13" x14ac:dyDescent="0.3">
      <c r="A7" s="227" t="s">
        <v>5631</v>
      </c>
      <c r="B7" s="201" t="s">
        <v>71</v>
      </c>
    </row>
    <row r="8" spans="1:9" ht="13" x14ac:dyDescent="0.3">
      <c r="A8" s="227" t="s">
        <v>5632</v>
      </c>
      <c r="B8" s="201" t="s">
        <v>74</v>
      </c>
    </row>
    <row r="9" spans="1:9" ht="13" x14ac:dyDescent="0.3">
      <c r="A9" s="227" t="s">
        <v>5633</v>
      </c>
      <c r="B9" s="202" t="s">
        <v>74</v>
      </c>
    </row>
    <row r="10" spans="1:9" ht="13" x14ac:dyDescent="0.3">
      <c r="A10" s="227"/>
      <c r="B10" s="202"/>
    </row>
    <row r="11" spans="1:9" ht="25.5" x14ac:dyDescent="0.3">
      <c r="A11" s="227" t="s">
        <v>5634</v>
      </c>
      <c r="B11" s="200" t="s">
        <v>5828</v>
      </c>
    </row>
    <row r="12" spans="1:9" x14ac:dyDescent="0.25">
      <c r="A12" s="228"/>
    </row>
    <row r="13" spans="1:9" x14ac:dyDescent="0.25">
      <c r="A13" s="228"/>
    </row>
    <row r="14" spans="1:9" ht="13" x14ac:dyDescent="0.3">
      <c r="A14" s="227" t="s">
        <v>5635</v>
      </c>
    </row>
    <row r="15" spans="1:9" ht="13" x14ac:dyDescent="0.3">
      <c r="A15" s="227"/>
      <c r="B15" s="135"/>
      <c r="C15" s="135"/>
      <c r="D15" s="299" t="s">
        <v>77</v>
      </c>
      <c r="E15" s="300"/>
      <c r="F15" s="299" t="s">
        <v>5424</v>
      </c>
      <c r="G15" s="301"/>
      <c r="H15" s="135"/>
    </row>
    <row r="16" spans="1:9" ht="39" x14ac:dyDescent="0.25">
      <c r="A16" s="133"/>
      <c r="B16" s="320" t="s">
        <v>4350</v>
      </c>
      <c r="C16" s="316" t="s">
        <v>24</v>
      </c>
      <c r="D16" s="314" t="s">
        <v>146</v>
      </c>
      <c r="E16" s="315" t="s">
        <v>153</v>
      </c>
      <c r="F16" s="314" t="s">
        <v>147</v>
      </c>
      <c r="G16" s="314" t="s">
        <v>154</v>
      </c>
      <c r="H16" s="314" t="s">
        <v>5840</v>
      </c>
      <c r="I16" s="131"/>
    </row>
    <row r="17" spans="1:10" ht="13" x14ac:dyDescent="0.3">
      <c r="A17" s="133"/>
      <c r="B17" s="211"/>
      <c r="C17" s="212" t="s">
        <v>5636</v>
      </c>
      <c r="D17" s="196" t="str" cm="1">
        <f t="array" ref="D17">IF(AND(_xlfn.ANCHORARRAY(C23)=C23),C23,"Mixed")</f>
        <v>m³</v>
      </c>
      <c r="E17" s="196" t="s">
        <v>2774</v>
      </c>
      <c r="F17" s="196" t="str" cm="1">
        <f t="array" ref="F17">IF(AND(_xlfn.ANCHORARRAY(C23)=C23),C23,"Mixed")</f>
        <v>m³</v>
      </c>
      <c r="G17" s="196" t="s">
        <v>2774</v>
      </c>
      <c r="H17" s="321"/>
      <c r="I17" s="131"/>
    </row>
    <row r="18" spans="1:10" s="200" customFormat="1" ht="13" x14ac:dyDescent="0.3">
      <c r="A18" s="221"/>
      <c r="B18" s="214"/>
      <c r="C18" s="202" t="s">
        <v>5637</v>
      </c>
      <c r="D18" s="198">
        <f>MAX(_xlfn.ANCHORARRAY(D23))</f>
        <v>384.37333333333322</v>
      </c>
      <c r="E18" s="198">
        <f t="shared" ref="E18" si="0">MAX(_xlfn.ANCHORARRAY(E23))</f>
        <v>0.63955629506378253</v>
      </c>
      <c r="F18" s="230">
        <f>VLOOKUP($D18,$D$23:$F$211,3,FALSE)</f>
        <v>1041.3333333333333</v>
      </c>
      <c r="G18" s="230">
        <f>VLOOKUP($D18,$D$23:$G$211,4,FALSE)</f>
        <v>1.732667775929007</v>
      </c>
      <c r="H18" s="322">
        <f>D18/E18</f>
        <v>600.99999999999989</v>
      </c>
      <c r="I18" s="131"/>
      <c r="J18" s="132"/>
    </row>
    <row r="19" spans="1:10" ht="13" x14ac:dyDescent="0.25">
      <c r="A19" s="133"/>
      <c r="B19" s="204"/>
      <c r="C19" s="202" t="s">
        <v>5638</v>
      </c>
      <c r="D19" s="198">
        <f>MIN(_xlfn.ANCHORARRAY(D23))</f>
        <v>101.17899999999997</v>
      </c>
      <c r="E19" s="198">
        <f t="shared" ref="E19:G19" si="1">MIN(_xlfn.ANCHORARRAY(E23))</f>
        <v>0.1646420967741935</v>
      </c>
      <c r="F19" s="198">
        <f t="shared" si="1"/>
        <v>990</v>
      </c>
      <c r="G19" s="198">
        <f t="shared" si="1"/>
        <v>1.6345963756177926</v>
      </c>
      <c r="H19" s="322">
        <f>D19/E19</f>
        <v>614.53906371689914</v>
      </c>
      <c r="I19" s="131"/>
    </row>
    <row r="20" spans="1:10" ht="13" x14ac:dyDescent="0.25">
      <c r="A20" s="133"/>
      <c r="B20" s="204"/>
      <c r="C20" s="202" t="s">
        <v>5639</v>
      </c>
      <c r="D20" s="198">
        <f>AVERAGE(_xlfn.ANCHORARRAY(D23))</f>
        <v>193.82668666666666</v>
      </c>
      <c r="E20" s="198">
        <f t="shared" ref="E20:G20" si="2">AVERAGE(_xlfn.ANCHORARRAY(E23))</f>
        <v>0.3179215149565966</v>
      </c>
      <c r="F20" s="198">
        <f t="shared" si="2"/>
        <v>1017.2066666666667</v>
      </c>
      <c r="G20" s="198">
        <f t="shared" si="2"/>
        <v>1.6634528303093599</v>
      </c>
      <c r="H20" s="322">
        <f>D20/E20</f>
        <v>609.66835381722547</v>
      </c>
      <c r="I20" s="131"/>
    </row>
    <row r="21" spans="1:10" ht="13" x14ac:dyDescent="0.25">
      <c r="A21" s="133"/>
      <c r="B21" s="204"/>
      <c r="C21" s="202"/>
      <c r="H21" s="322"/>
      <c r="I21" s="131"/>
    </row>
    <row r="22" spans="1:10" ht="13" x14ac:dyDescent="0.25">
      <c r="A22" s="133"/>
      <c r="B22" s="197" t="s">
        <v>5640</v>
      </c>
      <c r="D22" s="132"/>
      <c r="E22" s="132"/>
      <c r="F22" s="132"/>
      <c r="G22" s="132"/>
      <c r="H22" s="322"/>
      <c r="I22" s="131"/>
    </row>
    <row r="23" spans="1:10" x14ac:dyDescent="0.25">
      <c r="A23" s="133"/>
      <c r="B23" s="204" t="str" cm="1">
        <f t="array" ref="B23:B27">_xlfn.UNIQUE(_xlfn._xlws.FILTER('EPD List'!D:D,ISNUMBER(SEARCH(B16,'EPD List'!C:C)),0))</f>
        <v>Oriented Strand Board (OSB) (Kronospan Orman) (Turkey)</v>
      </c>
      <c r="C23" s="132" t="str" cm="1">
        <f t="array" ref="C23:C27">_xlfn.IFNA(INDEX('EPD List'!$A:$AB,MATCH(_xlfn.ANCHORARRAY(B23),'EPD List'!$D:$D,0),MATCH(C$16,'EPD List'!$7:$7,0)),"")</f>
        <v>m³</v>
      </c>
      <c r="D23" s="198" cm="1">
        <f t="array" ref="D23:D27">_xlfn.IFNA(VALUE((INDEX('EPD List'!$A:$AD,MATCH(_xlfn.ANCHORARRAY($B23),'EPD List'!$D:$D,0),MATCH(D$16,'EPD List'!$7:$7,0)))),"")</f>
        <v>195</v>
      </c>
      <c r="E23" s="198" cm="1">
        <f t="array" ref="E23:E27">_xlfn.IFNA(VALUE((INDEX('EPD List'!$A:$AD,MATCH(_xlfn.ANCHORARRAY($B23),'EPD List'!$D:$D,0),MATCH(E$16,'EPD List'!$7:$7,0)))),"")</f>
        <v>0.30952380952380953</v>
      </c>
      <c r="F23" s="198" cm="1">
        <f t="array" ref="F23:F27">_xlfn.IFNA(VALUE((INDEX('EPD List'!$A:$AD,MATCH(_xlfn.ANCHORARRAY($B23),'EPD List'!$D:$D,0),MATCH(F$16,'EPD List'!$7:$7,0)))),"")</f>
        <v>1039.5</v>
      </c>
      <c r="G23" s="198" cm="1">
        <f t="array" ref="G23:G27">_xlfn.IFNA(VALUE((INDEX('EPD List'!$A:$AD,MATCH(_xlfn.ANCHORARRAY($B23),'EPD List'!$D:$D,0),MATCH(G$16,'EPD List'!$7:$7,0)))),"")</f>
        <v>1.65</v>
      </c>
      <c r="H23" s="322">
        <f>IFERROR(IF($C23="kg",1,
IF($C23="tonne",1000,
IF(OR($C23="m³",$C23="m³"),INDEX('EPD List'!$A:$AB,MATCH($B23,'EPD List'!$D:$D,0),MATCH("Density (kg/m3)",'EPD List'!$7:$7,0)),
IF(OR($C23="m²",$C23="m2"),INDEX('EPD List'!$A:$AB,MATCH($B23,'EPD List'!$D:$D,0),MATCH("Area density (kg/m2)",'EPD List'!$7:$7,0)),
IF($C23="m",INDEX('EPD List'!$A:$AB,MATCH($B23,'EPD List'!$D:$D,0),MATCH("mass per m (kg/m)",'EPD List'!$7:$7,0)),
IF($C23="unit",INDEX('EPD List'!$A:$AB,MATCH($B23,'EPD List'!$D:$D,0),MATCH("Mass per unit (kg/unit)",'EPD List'!$7:$7,0)),NA())))))),"")</f>
        <v>630</v>
      </c>
      <c r="I23" s="131"/>
    </row>
    <row r="24" spans="1:10" x14ac:dyDescent="0.25">
      <c r="A24" s="133"/>
      <c r="B24" s="204" t="str">
        <v>OSB, , Egger OSB boards Fritz Egger GmbH and Co. OG (Egger) (Global)</v>
      </c>
      <c r="C24" s="132" t="str">
        <v>m³</v>
      </c>
      <c r="D24" s="198">
        <v>186.50300000000016</v>
      </c>
      <c r="E24" s="198">
        <v>0.30725370675453068</v>
      </c>
      <c r="F24" s="198">
        <v>992.20000000000016</v>
      </c>
      <c r="G24" s="198">
        <v>1.6345963756177926</v>
      </c>
      <c r="H24" s="322">
        <f>IFERROR(IF($C24="kg",1,
IF($C24="tonne",1000,
IF(OR($C24="m³",$C24="m³"),INDEX('EPD List'!$A:$AB,MATCH($B24,'EPD List'!$D:$D,0),MATCH("Density (kg/m3)",'EPD List'!$7:$7,0)),
IF(OR($C24="m²",$C24="m2"),INDEX('EPD List'!$A:$AB,MATCH($B24,'EPD List'!$D:$D,0),MATCH("Area density (kg/m2)",'EPD List'!$7:$7,0)),
IF($C24="m",INDEX('EPD List'!$A:$AB,MATCH($B24,'EPD List'!$D:$D,0),MATCH("mass per m (kg/m)",'EPD List'!$7:$7,0)),
IF($C24="unit",INDEX('EPD List'!$A:$AB,MATCH($B24,'EPD List'!$D:$D,0),MATCH("Mass per unit (kg/unit)",'EPD List'!$7:$7,0)),NA())))))),"")</f>
        <v>607</v>
      </c>
      <c r="I24" s="131"/>
    </row>
    <row r="25" spans="1:10" x14ac:dyDescent="0.25">
      <c r="A25" s="133"/>
      <c r="B25" s="204" t="str">
        <v>OSB, , Oreinted Strand Board (Sonae Arauco) (Global)</v>
      </c>
      <c r="C25" s="132" t="str">
        <v>m³</v>
      </c>
      <c r="D25" s="198">
        <v>384.37333333333322</v>
      </c>
      <c r="E25" s="198">
        <v>0.63955629506378253</v>
      </c>
      <c r="F25" s="198">
        <v>1041.3333333333333</v>
      </c>
      <c r="G25" s="198">
        <v>1.732667775929007</v>
      </c>
      <c r="H25" s="322">
        <f>IFERROR(IF($C25="kg",1,
IF($C25="tonne",1000,
IF(OR($C25="m³",$C25="m³"),INDEX('EPD List'!$A:$AB,MATCH($B25,'EPD List'!$D:$D,0),MATCH("Density (kg/m3)",'EPD List'!$7:$7,0)),
IF(OR($C25="m²",$C25="m2"),INDEX('EPD List'!$A:$AB,MATCH($B25,'EPD List'!$D:$D,0),MATCH("Area density (kg/m2)",'EPD List'!$7:$7,0)),
IF($C25="m",INDEX('EPD List'!$A:$AB,MATCH($B25,'EPD List'!$D:$D,0),MATCH("mass per m (kg/m)",'EPD List'!$7:$7,0)),
IF($C25="unit",INDEX('EPD List'!$A:$AB,MATCH($B25,'EPD List'!$D:$D,0),MATCH("Mass per unit (kg/unit)",'EPD List'!$7:$7,0)),NA())))))),"")</f>
        <v>601</v>
      </c>
      <c r="I25" s="131"/>
    </row>
    <row r="26" spans="1:10" x14ac:dyDescent="0.25">
      <c r="A26" s="133"/>
      <c r="B26" s="204" t="str">
        <v>OSB, Global, Oriented Strand Board (620kg/m3) (Norbord Europe Ltd) (Global)</v>
      </c>
      <c r="C26" s="132" t="str">
        <v>m³</v>
      </c>
      <c r="D26" s="198">
        <v>102.07809999999995</v>
      </c>
      <c r="E26" s="198">
        <v>0.1646420967741935</v>
      </c>
      <c r="F26" s="198">
        <v>1023</v>
      </c>
      <c r="G26" s="198">
        <v>1.65</v>
      </c>
      <c r="H26" s="322">
        <f>IFERROR(IF($C26="kg",1,
IF($C26="tonne",1000,
IF(OR($C26="m³",$C26="m³"),INDEX('EPD List'!$A:$AB,MATCH($B26,'EPD List'!$D:$D,0),MATCH("Density (kg/m3)",'EPD List'!$7:$7,0)),
IF(OR($C26="m²",$C26="m2"),INDEX('EPD List'!$A:$AB,MATCH($B26,'EPD List'!$D:$D,0),MATCH("Area density (kg/m2)",'EPD List'!$7:$7,0)),
IF($C26="m",INDEX('EPD List'!$A:$AB,MATCH($B26,'EPD List'!$D:$D,0),MATCH("mass per m (kg/m)",'EPD List'!$7:$7,0)),
IF($C26="unit",INDEX('EPD List'!$A:$AB,MATCH($B26,'EPD List'!$D:$D,0),MATCH("Mass per unit (kg/unit)",'EPD List'!$7:$7,0)),NA())))))),"")</f>
        <v>620</v>
      </c>
      <c r="I26" s="131"/>
    </row>
    <row r="27" spans="1:10" x14ac:dyDescent="0.25">
      <c r="A27" s="133"/>
      <c r="B27" s="217" t="str">
        <v>OSB, Global, Oriented Strand Board (600kg/m3) (Norbord Europe Ltd) (Global)</v>
      </c>
      <c r="C27" s="218" t="str">
        <v>m³</v>
      </c>
      <c r="D27" s="219">
        <v>101.17899999999997</v>
      </c>
      <c r="E27" s="219">
        <v>0.16863166666666674</v>
      </c>
      <c r="F27" s="219">
        <v>990</v>
      </c>
      <c r="G27" s="219">
        <v>1.65</v>
      </c>
      <c r="H27" s="323">
        <f>IFERROR(IF($C27="kg",1,
IF($C27="tonne",1000,
IF(OR($C27="m³",$C27="m³"),INDEX('EPD List'!$A:$AB,MATCH($B27,'EPD List'!$D:$D,0),MATCH("Density (kg/m3)",'EPD List'!$7:$7,0)),
IF(OR($C27="m²",$C27="m2"),INDEX('EPD List'!$A:$AB,MATCH($B27,'EPD List'!$D:$D,0),MATCH("Area density (kg/m2)",'EPD List'!$7:$7,0)),
IF($C27="m",INDEX('EPD List'!$A:$AB,MATCH($B27,'EPD List'!$D:$D,0),MATCH("mass per m (kg/m)",'EPD List'!$7:$7,0)),
IF($C27="unit",INDEX('EPD List'!$A:$AB,MATCH($B27,'EPD List'!$D:$D,0),MATCH("Mass per unit (kg/unit)",'EPD List'!$7:$7,0)),NA())))))),"")</f>
        <v>600</v>
      </c>
      <c r="I27" s="131"/>
    </row>
    <row r="28" spans="1:10" x14ac:dyDescent="0.25">
      <c r="B28" s="130"/>
      <c r="C28" s="130"/>
      <c r="D28" s="207"/>
      <c r="E28" s="207"/>
      <c r="F28" s="207"/>
      <c r="G28" s="207"/>
      <c r="H28" s="324" t="str">
        <f>IFERROR(IF($C28="kg",1,
IF($C28="tonne",1000,
IF(OR($C28="m³",$C28="m³"),INDEX('EPD List'!$A:$AB,MATCH($B28,'EPD List'!$D:$D,0),MATCH("Density (kg/m3)",'EPD List'!$7:$7,0)),
IF(OR($C28="m²",$C28="m2"),INDEX('EPD List'!$A:$AB,MATCH($B28,'EPD List'!$D:$D,0),MATCH("Area density (kg/m2)",'EPD List'!$7:$7,0)),
IF($C28="m",INDEX('EPD List'!$A:$AB,MATCH($B28,'EPD List'!$D:$D,0),MATCH("mass per m (kg/m)",'EPD List'!$7:$7,0)),
IF($C28="unit",INDEX('EPD List'!$A:$AB,MATCH($B28,'EPD List'!$D:$D,0),MATCH("Mass per unit (kg/unit)",'EPD List'!$7:$7,0)),NA())))))),"")</f>
        <v/>
      </c>
    </row>
    <row r="29" spans="1:10" x14ac:dyDescent="0.25">
      <c r="H29" s="273" t="str">
        <f>IFERROR(IF($C29="kg",1,
IF($C29="tonne",1000,
IF(OR($C29="m³",$C29="m³"),INDEX('EPD List'!$A:$AB,MATCH($B29,'EPD List'!$D:$D,0),MATCH("Density (kg/m3)",'EPD List'!$7:$7,0)),
IF(OR($C29="m²",$C29="m2"),INDEX('EPD List'!$A:$AB,MATCH($B29,'EPD List'!$D:$D,0),MATCH("Area density (kg/m2)",'EPD List'!$7:$7,0)),
IF($C29="m",INDEX('EPD List'!$A:$AB,MATCH($B29,'EPD List'!$D:$D,0),MATCH("mass per m (kg/m)",'EPD List'!$7:$7,0)),
IF($C29="unit",INDEX('EPD List'!$A:$AB,MATCH($B29,'EPD List'!$D:$D,0),MATCH("Mass per unit (kg/unit)",'EPD List'!$7:$7,0)),NA())))))),"")</f>
        <v/>
      </c>
    </row>
    <row r="30" spans="1:10" x14ac:dyDescent="0.25">
      <c r="H30" s="273" t="str">
        <f>IFERROR(IF($C30="kg",1,
IF($C30="tonne",1000,
IF(OR($C30="m³",$C30="m³"),INDEX('EPD List'!$A:$AB,MATCH($B30,'EPD List'!$D:$D,0),MATCH("Density (kg/m3)",'EPD List'!$7:$7,0)),
IF(OR($C30="m²",$C30="m2"),INDEX('EPD List'!$A:$AB,MATCH($B30,'EPD List'!$D:$D,0),MATCH("Area density (kg/m2)",'EPD List'!$7:$7,0)),
IF($C30="m",INDEX('EPD List'!$A:$AB,MATCH($B30,'EPD List'!$D:$D,0),MATCH("mass per m (kg/m)",'EPD List'!$7:$7,0)),
IF($C30="unit",INDEX('EPD List'!$A:$AB,MATCH($B30,'EPD List'!$D:$D,0),MATCH("Mass per unit (kg/unit)",'EPD List'!$7:$7,0)),NA())))))),"")</f>
        <v/>
      </c>
    </row>
    <row r="31" spans="1:10" x14ac:dyDescent="0.25">
      <c r="H31" s="273" t="str">
        <f>IFERROR(IF($C31="kg",1,
IF($C31="tonne",1000,
IF(OR($C31="m³",$C31="m³"),INDEX('EPD List'!$A:$AB,MATCH($B31,'EPD List'!$D:$D,0),MATCH("Density (kg/m3)",'EPD List'!$7:$7,0)),
IF(OR($C31="m²",$C31="m2"),INDEX('EPD List'!$A:$AB,MATCH($B31,'EPD List'!$D:$D,0),MATCH("Area density (kg/m2)",'EPD List'!$7:$7,0)),
IF($C31="m",INDEX('EPD List'!$A:$AB,MATCH($B31,'EPD List'!$D:$D,0),MATCH("mass per m (kg/m)",'EPD List'!$7:$7,0)),
IF($C31="unit",INDEX('EPD List'!$A:$AB,MATCH($B31,'EPD List'!$D:$D,0),MATCH("Mass per unit (kg/unit)",'EPD List'!$7:$7,0)),NA())))))),"")</f>
        <v/>
      </c>
    </row>
    <row r="32" spans="1:10" x14ac:dyDescent="0.25">
      <c r="H32" s="273" t="str">
        <f>IFERROR(IF($C32="kg",1,
IF($C32="tonne",1000,
IF(OR($C32="m³",$C32="m³"),INDEX('EPD List'!$A:$AB,MATCH($B32,'EPD List'!$D:$D,0),MATCH("Density (kg/m3)",'EPD List'!$7:$7,0)),
IF(OR($C32="m²",$C32="m2"),INDEX('EPD List'!$A:$AB,MATCH($B32,'EPD List'!$D:$D,0),MATCH("Area density (kg/m2)",'EPD List'!$7:$7,0)),
IF($C32="m",INDEX('EPD List'!$A:$AB,MATCH($B32,'EPD List'!$D:$D,0),MATCH("mass per m (kg/m)",'EPD List'!$7:$7,0)),
IF($C32="unit",INDEX('EPD List'!$A:$AB,MATCH($B32,'EPD List'!$D:$D,0),MATCH("Mass per unit (kg/unit)",'EPD List'!$7:$7,0)),NA())))))),"")</f>
        <v/>
      </c>
    </row>
    <row r="33" spans="8:8" x14ac:dyDescent="0.25">
      <c r="H33" s="273" t="str">
        <f>IFERROR(IF($C33="kg",1,
IF($C33="tonne",1000,
IF(OR($C33="m³",$C33="m³"),INDEX('EPD List'!$A:$AB,MATCH($B33,'EPD List'!$D:$D,0),MATCH("Density (kg/m3)",'EPD List'!$7:$7,0)),
IF(OR($C33="m²",$C33="m2"),INDEX('EPD List'!$A:$AB,MATCH($B33,'EPD List'!$D:$D,0),MATCH("Area density (kg/m2)",'EPD List'!$7:$7,0)),
IF($C33="m",INDEX('EPD List'!$A:$AB,MATCH($B33,'EPD List'!$D:$D,0),MATCH("mass per m (kg/m)",'EPD List'!$7:$7,0)),
IF($C33="unit",INDEX('EPD List'!$A:$AB,MATCH($B33,'EPD List'!$D:$D,0),MATCH("Mass per unit (kg/unit)",'EPD List'!$7:$7,0)),NA())))))),"")</f>
        <v/>
      </c>
    </row>
    <row r="34" spans="8:8" x14ac:dyDescent="0.25">
      <c r="H34" s="273" t="str">
        <f>IFERROR(IF($C34="kg",1,
IF($C34="tonne",1000,
IF(OR($C34="m³",$C34="m³"),INDEX('EPD List'!$A:$AB,MATCH($B34,'EPD List'!$D:$D,0),MATCH("Density (kg/m3)",'EPD List'!$7:$7,0)),
IF(OR($C34="m²",$C34="m2"),INDEX('EPD List'!$A:$AB,MATCH($B34,'EPD List'!$D:$D,0),MATCH("Area density (kg/m2)",'EPD List'!$7:$7,0)),
IF($C34="m",INDEX('EPD List'!$A:$AB,MATCH($B34,'EPD List'!$D:$D,0),MATCH("mass per m (kg/m)",'EPD List'!$7:$7,0)),
IF($C34="unit",INDEX('EPD List'!$A:$AB,MATCH($B34,'EPD List'!$D:$D,0),MATCH("Mass per unit (kg/unit)",'EPD List'!$7:$7,0)),NA())))))),"")</f>
        <v/>
      </c>
    </row>
    <row r="35" spans="8:8" x14ac:dyDescent="0.25">
      <c r="H35" s="273" t="str">
        <f>IFERROR(IF($C35="kg",1,
IF($C35="tonne",1000,
IF(OR($C35="m³",$C35="m³"),INDEX('EPD List'!$A:$AB,MATCH($B35,'EPD List'!$D:$D,0),MATCH("Density (kg/m3)",'EPD List'!$7:$7,0)),
IF(OR($C35="m²",$C35="m2"),INDEX('EPD List'!$A:$AB,MATCH($B35,'EPD List'!$D:$D,0),MATCH("Area density (kg/m2)",'EPD List'!$7:$7,0)),
IF($C35="m",INDEX('EPD List'!$A:$AB,MATCH($B35,'EPD List'!$D:$D,0),MATCH("mass per m (kg/m)",'EPD List'!$7:$7,0)),
IF($C35="unit",INDEX('EPD List'!$A:$AB,MATCH($B35,'EPD List'!$D:$D,0),MATCH("Mass per unit (kg/unit)",'EPD List'!$7:$7,0)),NA())))))),"")</f>
        <v/>
      </c>
    </row>
    <row r="36" spans="8:8" x14ac:dyDescent="0.25">
      <c r="H36" s="273" t="str">
        <f>IFERROR(IF($C36="kg",1,
IF($C36="tonne",1000,
IF(OR($C36="m³",$C36="m³"),INDEX('EPD List'!$A:$AB,MATCH($B36,'EPD List'!$D:$D,0),MATCH("Density (kg/m3)",'EPD List'!$7:$7,0)),
IF(OR($C36="m²",$C36="m2"),INDEX('EPD List'!$A:$AB,MATCH($B36,'EPD List'!$D:$D,0),MATCH("Area density (kg/m2)",'EPD List'!$7:$7,0)),
IF($C36="m",INDEX('EPD List'!$A:$AB,MATCH($B36,'EPD List'!$D:$D,0),MATCH("mass per m (kg/m)",'EPD List'!$7:$7,0)),
IF($C36="unit",INDEX('EPD List'!$A:$AB,MATCH($B36,'EPD List'!$D:$D,0),MATCH("Mass per unit (kg/unit)",'EPD List'!$7:$7,0)),NA())))))),"")</f>
        <v/>
      </c>
    </row>
    <row r="37" spans="8:8" x14ac:dyDescent="0.25">
      <c r="H37" s="273" t="str">
        <f>IFERROR(IF($C37="kg",1,
IF($C37="tonne",1000,
IF(OR($C37="m³",$C37="m³"),INDEX('EPD List'!$A:$AB,MATCH($B37,'EPD List'!$D:$D,0),MATCH("Density (kg/m3)",'EPD List'!$7:$7,0)),
IF(OR($C37="m²",$C37="m2"),INDEX('EPD List'!$A:$AB,MATCH($B37,'EPD List'!$D:$D,0),MATCH("Area density (kg/m2)",'EPD List'!$7:$7,0)),
IF($C37="m",INDEX('EPD List'!$A:$AB,MATCH($B37,'EPD List'!$D:$D,0),MATCH("mass per m (kg/m)",'EPD List'!$7:$7,0)),
IF($C37="unit",INDEX('EPD List'!$A:$AB,MATCH($B37,'EPD List'!$D:$D,0),MATCH("Mass per unit (kg/unit)",'EPD List'!$7:$7,0)),NA())))))),"")</f>
        <v/>
      </c>
    </row>
    <row r="38" spans="8:8" x14ac:dyDescent="0.25">
      <c r="H38" s="273" t="str">
        <f>IFERROR(IF($C38="kg",1,
IF($C38="tonne",1000,
IF(OR($C38="m³",$C38="m³"),INDEX('EPD List'!$A:$AB,MATCH($B38,'EPD List'!$D:$D,0),MATCH("Density (kg/m3)",'EPD List'!$7:$7,0)),
IF(OR($C38="m²",$C38="m2"),INDEX('EPD List'!$A:$AB,MATCH($B38,'EPD List'!$D:$D,0),MATCH("Area density (kg/m2)",'EPD List'!$7:$7,0)),
IF($C38="m",INDEX('EPD List'!$A:$AB,MATCH($B38,'EPD List'!$D:$D,0),MATCH("mass per m (kg/m)",'EPD List'!$7:$7,0)),
IF($C38="unit",INDEX('EPD List'!$A:$AB,MATCH($B38,'EPD List'!$D:$D,0),MATCH("Mass per unit (kg/unit)",'EPD List'!$7:$7,0)),NA())))))),"")</f>
        <v/>
      </c>
    </row>
    <row r="39" spans="8:8" x14ac:dyDescent="0.25">
      <c r="H39" s="273" t="str">
        <f>IFERROR(IF($C39="kg",1,
IF($C39="tonne",1000,
IF(OR($C39="m³",$C39="m³"),INDEX('EPD List'!$A:$AB,MATCH($B39,'EPD List'!$D:$D,0),MATCH("Density (kg/m3)",'EPD List'!$7:$7,0)),
IF(OR($C39="m²",$C39="m2"),INDEX('EPD List'!$A:$AB,MATCH($B39,'EPD List'!$D:$D,0),MATCH("Area density (kg/m2)",'EPD List'!$7:$7,0)),
IF($C39="m",INDEX('EPD List'!$A:$AB,MATCH($B39,'EPD List'!$D:$D,0),MATCH("mass per m (kg/m)",'EPD List'!$7:$7,0)),
IF($C39="unit",INDEX('EPD List'!$A:$AB,MATCH($B39,'EPD List'!$D:$D,0),MATCH("Mass per unit (kg/unit)",'EPD List'!$7:$7,0)),NA())))))),"")</f>
        <v/>
      </c>
    </row>
    <row r="40" spans="8:8" x14ac:dyDescent="0.25">
      <c r="H40" s="273" t="str">
        <f>IFERROR(IF($C40="kg",1,
IF($C40="tonne",1000,
IF(OR($C40="m³",$C40="m³"),INDEX('EPD List'!$A:$AB,MATCH($B40,'EPD List'!$D:$D,0),MATCH("Density (kg/m3)",'EPD List'!$7:$7,0)),
IF(OR($C40="m²",$C40="m2"),INDEX('EPD List'!$A:$AB,MATCH($B40,'EPD List'!$D:$D,0),MATCH("Area density (kg/m2)",'EPD List'!$7:$7,0)),
IF($C40="m",INDEX('EPD List'!$A:$AB,MATCH($B40,'EPD List'!$D:$D,0),MATCH("mass per m (kg/m)",'EPD List'!$7:$7,0)),
IF($C40="unit",INDEX('EPD List'!$A:$AB,MATCH($B40,'EPD List'!$D:$D,0),MATCH("Mass per unit (kg/unit)",'EPD List'!$7:$7,0)),NA())))))),"")</f>
        <v/>
      </c>
    </row>
    <row r="41" spans="8:8" x14ac:dyDescent="0.25">
      <c r="H41" s="273" t="str">
        <f>IFERROR(IF($C41="kg",1,
IF($C41="tonne",1000,
IF(OR($C41="m³",$C41="m³"),INDEX('EPD List'!$A:$AB,MATCH($B41,'EPD List'!$D:$D,0),MATCH("Density (kg/m3)",'EPD List'!$7:$7,0)),
IF(OR($C41="m²",$C41="m2"),INDEX('EPD List'!$A:$AB,MATCH($B41,'EPD List'!$D:$D,0),MATCH("Area density (kg/m2)",'EPD List'!$7:$7,0)),
IF($C41="m",INDEX('EPD List'!$A:$AB,MATCH($B41,'EPD List'!$D:$D,0),MATCH("mass per m (kg/m)",'EPD List'!$7:$7,0)),
IF($C41="unit",INDEX('EPD List'!$A:$AB,MATCH($B41,'EPD List'!$D:$D,0),MATCH("Mass per unit (kg/unit)",'EPD List'!$7:$7,0)),NA())))))),"")</f>
        <v/>
      </c>
    </row>
    <row r="42" spans="8:8" x14ac:dyDescent="0.25">
      <c r="H42" s="273" t="str">
        <f>IFERROR(IF($C42="kg",1,
IF($C42="tonne",1000,
IF(OR($C42="m³",$C42="m³"),INDEX('EPD List'!$A:$AB,MATCH($B42,'EPD List'!$D:$D,0),MATCH("Density (kg/m3)",'EPD List'!$7:$7,0)),
IF(OR($C42="m²",$C42="m2"),INDEX('EPD List'!$A:$AB,MATCH($B42,'EPD List'!$D:$D,0),MATCH("Area density (kg/m2)",'EPD List'!$7:$7,0)),
IF($C42="m",INDEX('EPD List'!$A:$AB,MATCH($B42,'EPD List'!$D:$D,0),MATCH("mass per m (kg/m)",'EPD List'!$7:$7,0)),
IF($C42="unit",INDEX('EPD List'!$A:$AB,MATCH($B42,'EPD List'!$D:$D,0),MATCH("Mass per unit (kg/unit)",'EPD List'!$7:$7,0)),NA())))))),"")</f>
        <v/>
      </c>
    </row>
    <row r="43" spans="8:8" x14ac:dyDescent="0.25">
      <c r="H43" s="273" t="str">
        <f>IFERROR(IF($C43="kg",1,
IF($C43="tonne",1000,
IF(OR($C43="m³",$C43="m³"),INDEX('EPD List'!$A:$AB,MATCH($B43,'EPD List'!$D:$D,0),MATCH("Density (kg/m3)",'EPD List'!$7:$7,0)),
IF(OR($C43="m²",$C43="m2"),INDEX('EPD List'!$A:$AB,MATCH($B43,'EPD List'!$D:$D,0),MATCH("Area density (kg/m2)",'EPD List'!$7:$7,0)),
IF($C43="m",INDEX('EPD List'!$A:$AB,MATCH($B43,'EPD List'!$D:$D,0),MATCH("mass per m (kg/m)",'EPD List'!$7:$7,0)),
IF($C43="unit",INDEX('EPD List'!$A:$AB,MATCH($B43,'EPD List'!$D:$D,0),MATCH("Mass per unit (kg/unit)",'EPD List'!$7:$7,0)),NA())))))),"")</f>
        <v/>
      </c>
    </row>
    <row r="44" spans="8:8" x14ac:dyDescent="0.25">
      <c r="H44" s="273" t="str">
        <f>IFERROR(IF($C44="kg",1,
IF($C44="tonne",1000,
IF(OR($C44="m³",$C44="m³"),INDEX('EPD List'!$A:$AB,MATCH($B44,'EPD List'!$D:$D,0),MATCH("Density (kg/m3)",'EPD List'!$7:$7,0)),
IF(OR($C44="m²",$C44="m2"),INDEX('EPD List'!$A:$AB,MATCH($B44,'EPD List'!$D:$D,0),MATCH("Area density (kg/m2)",'EPD List'!$7:$7,0)),
IF($C44="m",INDEX('EPD List'!$A:$AB,MATCH($B44,'EPD List'!$D:$D,0),MATCH("mass per m (kg/m)",'EPD List'!$7:$7,0)),
IF($C44="unit",INDEX('EPD List'!$A:$AB,MATCH($B44,'EPD List'!$D:$D,0),MATCH("Mass per unit (kg/unit)",'EPD List'!$7:$7,0)),NA())))))),"")</f>
        <v/>
      </c>
    </row>
    <row r="90" spans="10:10" x14ac:dyDescent="0.25">
      <c r="J90" s="198"/>
    </row>
  </sheetData>
  <dataValidations count="1">
    <dataValidation type="list" allowBlank="1" showInputMessage="1" showErrorMessage="1" sqref="B6:B9" xr:uid="{22E36AC8-7D45-441E-B1B2-C89A99C3CC8C}">
      <formula1>"Tier 1,Tier 2,Tier 3,Tier 4"</formula1>
    </dataValidation>
  </dataValidations>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97740-783A-4BA9-BF77-F545AD63C22D}">
  <sheetPr codeName="Sheet43">
    <tabColor rgb="FF00CCFF"/>
  </sheetPr>
  <dimension ref="A1:V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9" width="14.453125" style="132" customWidth="1"/>
    <col min="10" max="10" width="13.26953125" style="132" customWidth="1"/>
    <col min="11" max="11" width="16.26953125" style="132" customWidth="1"/>
    <col min="12" max="15" width="9.1796875" style="132"/>
    <col min="16" max="16" width="13.81640625" style="132" customWidth="1"/>
    <col min="17" max="17" width="9.1796875" style="132"/>
    <col min="18" max="18" width="22.81640625" style="132" customWidth="1"/>
    <col min="19" max="19" width="43.54296875" style="132" customWidth="1"/>
    <col min="20" max="20" width="38.7265625" style="132" customWidth="1"/>
    <col min="21" max="21" width="41.453125" style="132" customWidth="1"/>
    <col min="22" max="22" width="36.7265625" style="132" customWidth="1"/>
    <col min="23" max="16384" width="9.1796875" style="132"/>
  </cols>
  <sheetData>
    <row r="1" spans="1:22" ht="13" x14ac:dyDescent="0.25">
      <c r="A1" s="202" t="str">
        <f>B16</f>
        <v>Particleboard</v>
      </c>
    </row>
    <row r="2" spans="1:22" ht="13" x14ac:dyDescent="0.25">
      <c r="A2" s="202"/>
      <c r="C2" s="202"/>
    </row>
    <row r="3" spans="1:22" ht="13" x14ac:dyDescent="0.3">
      <c r="A3" s="227" t="s">
        <v>5626</v>
      </c>
      <c r="B3" s="132" t="s">
        <v>5850</v>
      </c>
    </row>
    <row r="4" spans="1:22" ht="13" x14ac:dyDescent="0.25">
      <c r="A4" s="202"/>
    </row>
    <row r="5" spans="1:22" ht="92.25" customHeight="1" x14ac:dyDescent="0.3">
      <c r="A5" s="227" t="s">
        <v>5628</v>
      </c>
      <c r="B5" s="200" t="s">
        <v>5851</v>
      </c>
      <c r="E5" s="271"/>
    </row>
    <row r="6" spans="1:22" ht="13" x14ac:dyDescent="0.3">
      <c r="A6" s="227" t="s">
        <v>5630</v>
      </c>
      <c r="B6" s="132" t="s">
        <v>72</v>
      </c>
      <c r="D6" s="271"/>
    </row>
    <row r="7" spans="1:22" ht="13" x14ac:dyDescent="0.3">
      <c r="A7" s="227" t="s">
        <v>5631</v>
      </c>
      <c r="B7" s="201" t="s">
        <v>71</v>
      </c>
      <c r="K7" s="202" t="s">
        <v>5700</v>
      </c>
    </row>
    <row r="8" spans="1:22" ht="13" x14ac:dyDescent="0.3">
      <c r="A8" s="227" t="s">
        <v>5632</v>
      </c>
      <c r="B8" s="201" t="s">
        <v>72</v>
      </c>
    </row>
    <row r="9" spans="1:22" ht="13" x14ac:dyDescent="0.3">
      <c r="A9" s="227" t="s">
        <v>5633</v>
      </c>
      <c r="B9" s="202" t="s">
        <v>72</v>
      </c>
      <c r="S9" s="132" t="s">
        <v>146</v>
      </c>
      <c r="T9" s="132" t="s">
        <v>153</v>
      </c>
      <c r="U9" s="132" t="s">
        <v>147</v>
      </c>
      <c r="V9" s="132" t="s">
        <v>154</v>
      </c>
    </row>
    <row r="10" spans="1:22" ht="13" x14ac:dyDescent="0.3">
      <c r="A10" s="227"/>
      <c r="B10" s="202"/>
      <c r="L10" s="132" t="s">
        <v>5825</v>
      </c>
      <c r="M10" s="240">
        <f>P12</f>
        <v>0.30434782608695654</v>
      </c>
      <c r="O10" s="132" t="s">
        <v>5826</v>
      </c>
      <c r="P10" s="132">
        <v>1600000</v>
      </c>
      <c r="R10" s="132" t="s">
        <v>5827</v>
      </c>
      <c r="S10" s="132">
        <f>SUMIF(_xlfn.ANCHORARRAY($B$23),"*"&amp;"Global"&amp;"*",_xlfn.ANCHORARRAY(D$23))/COUNTIF(_xlfn.ANCHORARRAY($B$23),"*"&amp;"Global"&amp;"*")</f>
        <v>322.23199999999997</v>
      </c>
      <c r="T10" s="132">
        <f t="shared" ref="T10:V10" si="0">SUMIF(_xlfn.ANCHORARRAY($B$23),"*"&amp;"Global"&amp;"*",_xlfn.ANCHORARRAY(E$23))/COUNTIF(_xlfn.ANCHORARRAY($B$23),"*"&amp;"Global"&amp;"*")</f>
        <v>0.48823030303030324</v>
      </c>
      <c r="U10" s="132">
        <f t="shared" si="0"/>
        <v>1012</v>
      </c>
      <c r="V10" s="132">
        <f t="shared" si="0"/>
        <v>1.5333333333333334</v>
      </c>
    </row>
    <row r="11" spans="1:22" ht="25.5" x14ac:dyDescent="0.3">
      <c r="A11" s="227" t="s">
        <v>5634</v>
      </c>
      <c r="B11" s="200" t="s">
        <v>5828</v>
      </c>
      <c r="L11" s="132" t="s">
        <v>5829</v>
      </c>
      <c r="M11" s="240">
        <f>1-M10</f>
        <v>0.69565217391304346</v>
      </c>
      <c r="O11" s="132" t="s">
        <v>5825</v>
      </c>
      <c r="P11" s="132">
        <v>700000</v>
      </c>
      <c r="R11" s="132" t="s">
        <v>5689</v>
      </c>
      <c r="S11" s="132">
        <f>SUMIF(_xlfn.ANCHORARRAY($B$23),"*"&amp;"FWPA"&amp;"*",_xlfn.ANCHORARRAY(D$23))/COUNTIF(_xlfn.ANCHORARRAY($B$23),"*"&amp;"FWPA"&amp;"*")</f>
        <v>794.05329850679527</v>
      </c>
      <c r="T11" s="132">
        <f t="shared" ref="T11:V11" si="1">SUMIF(_xlfn.ANCHORARRAY($B$23),"*"&amp;"FWPA"&amp;"*",_xlfn.ANCHORARRAY(E$23))/COUNTIF(_xlfn.ANCHORARRAY($B$23),"*"&amp;"FWPA"&amp;"*")</f>
        <v>1.1022690219383098</v>
      </c>
      <c r="U11" s="132">
        <f t="shared" si="1"/>
        <v>1194.02545263158</v>
      </c>
      <c r="V11" s="132">
        <f t="shared" si="1"/>
        <v>1.6573331568627467</v>
      </c>
    </row>
    <row r="12" spans="1:22" x14ac:dyDescent="0.25">
      <c r="A12" s="228"/>
      <c r="P12" s="275">
        <f>P11/(P10+P11)</f>
        <v>0.30434782608695654</v>
      </c>
      <c r="R12" s="132" t="s">
        <v>5830</v>
      </c>
      <c r="S12" s="132">
        <f>SUMPRODUCT(S10:S11,$M$10:$M$11)</f>
        <v>650.4555120047271</v>
      </c>
      <c r="T12" s="132">
        <f t="shared" ref="T12:V12" si="2">SUMPRODUCT(T10:T11,$M$10:$M$11)</f>
        <v>0.91538767270543819</v>
      </c>
      <c r="U12" s="132">
        <f t="shared" si="2"/>
        <v>1138.6264018306642</v>
      </c>
      <c r="V12" s="132">
        <f t="shared" si="2"/>
        <v>1.6195940801364037</v>
      </c>
    </row>
    <row r="13" spans="1:22" x14ac:dyDescent="0.25">
      <c r="A13" s="228"/>
    </row>
    <row r="14" spans="1:22" ht="13" x14ac:dyDescent="0.3">
      <c r="A14" s="227" t="s">
        <v>5635</v>
      </c>
      <c r="L14" s="202" t="s">
        <v>5831</v>
      </c>
    </row>
    <row r="15" spans="1:22" ht="13" x14ac:dyDescent="0.3">
      <c r="A15" s="227"/>
      <c r="B15" s="135"/>
      <c r="C15" s="135"/>
      <c r="D15" s="299" t="s">
        <v>77</v>
      </c>
      <c r="E15" s="300"/>
      <c r="F15" s="299" t="s">
        <v>5424</v>
      </c>
      <c r="G15" s="301"/>
      <c r="H15" s="135"/>
      <c r="L15" s="243" t="s">
        <v>5832</v>
      </c>
    </row>
    <row r="16" spans="1:22" ht="39" x14ac:dyDescent="0.25">
      <c r="A16" s="133"/>
      <c r="B16" s="320" t="s">
        <v>3491</v>
      </c>
      <c r="C16" s="316" t="s">
        <v>24</v>
      </c>
      <c r="D16" s="314" t="s">
        <v>146</v>
      </c>
      <c r="E16" s="315" t="s">
        <v>153</v>
      </c>
      <c r="F16" s="314" t="s">
        <v>147</v>
      </c>
      <c r="G16" s="314" t="s">
        <v>154</v>
      </c>
      <c r="H16" s="314" t="s">
        <v>5840</v>
      </c>
      <c r="I16" s="131"/>
      <c r="L16" s="132" t="s">
        <v>5834</v>
      </c>
    </row>
    <row r="17" spans="1:15" ht="13" x14ac:dyDescent="0.3">
      <c r="A17" s="133"/>
      <c r="B17" s="211"/>
      <c r="C17" s="212" t="s">
        <v>5636</v>
      </c>
      <c r="D17" s="196" t="str" cm="1">
        <f t="array" ref="D17">IF(AND(_xlfn.ANCHORARRAY(C23)=C23),C23,"Mixed")</f>
        <v>m³</v>
      </c>
      <c r="E17" s="196" t="s">
        <v>2774</v>
      </c>
      <c r="F17" s="196" t="str" cm="1">
        <f t="array" ref="F17">IF(AND(_xlfn.ANCHORARRAY(C23)=C23),C23,"Mixed")</f>
        <v>m³</v>
      </c>
      <c r="G17" s="196" t="s">
        <v>2774</v>
      </c>
      <c r="H17" s="321"/>
      <c r="I17" s="131"/>
      <c r="L17" s="243" t="s">
        <v>5835</v>
      </c>
    </row>
    <row r="18" spans="1:15" s="200" customFormat="1" ht="13" x14ac:dyDescent="0.3">
      <c r="A18" s="221"/>
      <c r="B18" s="214"/>
      <c r="C18" s="202" t="s">
        <v>5637</v>
      </c>
      <c r="D18" s="198">
        <f>MAX(_xlfn.ANCHORARRAY(D23))</f>
        <v>838.40526315789725</v>
      </c>
      <c r="E18" s="198">
        <f t="shared" ref="E18" si="3">MAX(_xlfn.ANCHORARRAY(E23))</f>
        <v>1.1713014705882387</v>
      </c>
      <c r="F18" s="230">
        <f>VLOOKUP($D18,$D$23:$F$211,3,FALSE)</f>
        <v>1181.05263157895</v>
      </c>
      <c r="G18" s="230">
        <f>VLOOKUP($D18,$D$23:$G$211,4,FALSE)</f>
        <v>1.6500000000000037</v>
      </c>
      <c r="H18" s="322">
        <f>D18/E18</f>
        <v>715.78947368421052</v>
      </c>
      <c r="I18" s="131"/>
      <c r="J18" s="132"/>
      <c r="L18" s="200" t="s">
        <v>5836</v>
      </c>
    </row>
    <row r="19" spans="1:15" ht="13" x14ac:dyDescent="0.25">
      <c r="A19" s="133"/>
      <c r="B19" s="204"/>
      <c r="C19" s="202" t="s">
        <v>5638</v>
      </c>
      <c r="D19" s="198">
        <f>MIN(_xlfn.ANCHORARRAY(D23))</f>
        <v>322.23199999999997</v>
      </c>
      <c r="E19" s="198">
        <f t="shared" ref="E19:G19" si="4">MIN(_xlfn.ANCHORARRAY(E23))</f>
        <v>0.48823030303030324</v>
      </c>
      <c r="F19" s="198">
        <f t="shared" si="4"/>
        <v>1012</v>
      </c>
      <c r="G19" s="198">
        <f t="shared" si="4"/>
        <v>1.5333333333333334</v>
      </c>
      <c r="H19" s="322">
        <f>D19/E19</f>
        <v>659.99999999999966</v>
      </c>
      <c r="I19" s="131"/>
    </row>
    <row r="20" spans="1:15" ht="13" x14ac:dyDescent="0.25">
      <c r="A20" s="133"/>
      <c r="B20" s="204"/>
      <c r="C20" s="245" t="s">
        <v>5837</v>
      </c>
      <c r="D20" s="198">
        <f>S12</f>
        <v>650.4555120047271</v>
      </c>
      <c r="E20" s="198">
        <f t="shared" ref="E20:G20" si="5">T12</f>
        <v>0.91538767270543819</v>
      </c>
      <c r="F20" s="198">
        <f t="shared" si="5"/>
        <v>1138.6264018306642</v>
      </c>
      <c r="G20" s="198">
        <f t="shared" si="5"/>
        <v>1.6195940801364037</v>
      </c>
      <c r="H20" s="322">
        <f>D20/E20</f>
        <v>710.57927848459963</v>
      </c>
      <c r="I20" s="131"/>
    </row>
    <row r="21" spans="1:15" ht="13" x14ac:dyDescent="0.25">
      <c r="A21" s="133"/>
      <c r="B21" s="204"/>
      <c r="C21" s="202" t="s">
        <v>5639</v>
      </c>
      <c r="D21" s="198">
        <f>AVERAGE(_xlfn.ANCHORARRAY(D23))</f>
        <v>715.41641542232935</v>
      </c>
      <c r="E21" s="198">
        <f t="shared" ref="E21:G21" si="6">AVERAGE(_xlfn.ANCHORARRAY(E23))</f>
        <v>0.99992923545364187</v>
      </c>
      <c r="F21" s="198">
        <f t="shared" si="6"/>
        <v>1163.6878771929835</v>
      </c>
      <c r="G21" s="198">
        <f t="shared" si="6"/>
        <v>1.6366665196078445</v>
      </c>
      <c r="H21" s="322">
        <f>D21/E21</f>
        <v>715.46704512321173</v>
      </c>
      <c r="I21" s="131"/>
      <c r="L21" s="200"/>
      <c r="M21" s="200"/>
      <c r="N21" s="200"/>
      <c r="O21" s="200"/>
    </row>
    <row r="22" spans="1:15" ht="13" x14ac:dyDescent="0.25">
      <c r="A22" s="133"/>
      <c r="B22" s="197" t="s">
        <v>5640</v>
      </c>
      <c r="D22" s="132"/>
      <c r="E22" s="132"/>
      <c r="F22" s="132"/>
      <c r="G22" s="132"/>
      <c r="H22" s="322"/>
      <c r="I22" s="131"/>
    </row>
    <row r="23" spans="1:15" x14ac:dyDescent="0.25">
      <c r="A23" s="133"/>
      <c r="B23" s="204" t="str" cm="1">
        <f t="array" ref="B23:B28">_xlfn.UNIQUE(_xlfn._xlws.FILTER('EPD List'!D:D,ISNUMBER(SEARCH(B16,'EPD List'!C:C)),0))</f>
        <v>Particleboard, 22 mm flooring, Wood solutions, FWPA, Australia</v>
      </c>
      <c r="C23" s="132" t="str" cm="1">
        <f t="array" ref="C23:C28">_xlfn.IFNA(INDEX('EPD List'!$A:$AB,MATCH(_xlfn.ANCHORARRAY(B23),'EPD List'!$D:$D,0),MATCH(C$16,'EPD List'!$7:$7,0)),"")</f>
        <v>m³</v>
      </c>
      <c r="D23" s="198" cm="1">
        <f t="array" ref="D23:D28">_xlfn.IFNA(VALUE((INDEX('EPD List'!$A:$AD,MATCH(_xlfn.ANCHORARRAY($B23),'EPD List'!$D:$D,0),MATCH(D$16,'EPD List'!$7:$7,0)))),"")</f>
        <v>787.56818181818198</v>
      </c>
      <c r="E23" s="198" cm="1">
        <f t="array" ref="E23:E28">_xlfn.IFNA(VALUE((INDEX('EPD List'!$A:$AD,MATCH(_xlfn.ANCHORARRAY($B23),'EPD List'!$D:$D,0),MATCH(E$16,'EPD List'!$7:$7,0)))),"")</f>
        <v>1.0897169811320757</v>
      </c>
      <c r="F23" s="198" cm="1">
        <f t="array" ref="F23:F28">_xlfn.IFNA(VALUE((INDEX('EPD List'!$A:$AD,MATCH(_xlfn.ANCHORARRAY($B23),'EPD List'!$D:$D,0),MATCH(F$16,'EPD List'!$7:$7,0)))),"")</f>
        <v>1205.7500000000002</v>
      </c>
      <c r="G23" s="198" cm="1">
        <f t="array" ref="G23:G28">_xlfn.IFNA(VALUE((INDEX('EPD List'!$A:$AD,MATCH(_xlfn.ANCHORARRAY($B23),'EPD List'!$D:$D,0),MATCH(G$16,'EPD List'!$7:$7,0)))),"")</f>
        <v>1.6683333333333337</v>
      </c>
      <c r="H23" s="322" cm="1">
        <f t="array" ref="H23:H28">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722.72727272727275</v>
      </c>
      <c r="I23" s="131"/>
    </row>
    <row r="24" spans="1:15" x14ac:dyDescent="0.25">
      <c r="A24" s="133"/>
      <c r="B24" s="204" t="str">
        <v>Particleboard, 25 mm flooring, Wood solutions, FWPA, Australia</v>
      </c>
      <c r="C24" s="132" t="str">
        <v>m³</v>
      </c>
      <c r="D24" s="198">
        <v>801.21999999999991</v>
      </c>
      <c r="E24" s="198">
        <v>1.0945628415300546</v>
      </c>
      <c r="F24" s="198">
        <v>1221.22</v>
      </c>
      <c r="G24" s="198">
        <v>1.6683333333333334</v>
      </c>
      <c r="H24" s="322">
        <v>732</v>
      </c>
      <c r="I24" s="131"/>
    </row>
    <row r="25" spans="1:15" x14ac:dyDescent="0.25">
      <c r="A25" s="133"/>
      <c r="B25" s="204" t="str">
        <v>Max variation of 19mm flooring particleboard FWPA, Australia</v>
      </c>
      <c r="C25" s="132" t="str">
        <v>m³</v>
      </c>
      <c r="D25" s="198">
        <v>838.40526315789725</v>
      </c>
      <c r="E25" s="198">
        <v>1.1713014705882387</v>
      </c>
      <c r="F25" s="198">
        <v>1181.05263157895</v>
      </c>
      <c r="G25" s="198">
        <v>1.6500000000000037</v>
      </c>
      <c r="H25" s="322">
        <v>715.78947368421052</v>
      </c>
      <c r="I25" s="131"/>
    </row>
    <row r="26" spans="1:15" x14ac:dyDescent="0.25">
      <c r="A26" s="133"/>
      <c r="B26" s="204" t="str">
        <v>Particleboard, , Min variation 19mm particleboard (FWPA) (Australia)</v>
      </c>
      <c r="C26" s="132" t="str">
        <v>m³</v>
      </c>
      <c r="D26" s="198">
        <v>740.9677843999998</v>
      </c>
      <c r="E26" s="198">
        <v>1.0351755811470587</v>
      </c>
      <c r="F26" s="198">
        <v>1181.0519999999999</v>
      </c>
      <c r="G26" s="198">
        <v>1.6499991176470588</v>
      </c>
      <c r="H26" s="322">
        <v>715.78947368421052</v>
      </c>
      <c r="I26" s="131"/>
    </row>
    <row r="27" spans="1:15" x14ac:dyDescent="0.25">
      <c r="A27" s="133"/>
      <c r="B27" s="204" t="str">
        <v>Particleboard, 19 mm flooring, Wood solutions, FWPA, Australia</v>
      </c>
      <c r="C27" s="132" t="str">
        <v>m³</v>
      </c>
      <c r="D27" s="198">
        <v>802.1052631578973</v>
      </c>
      <c r="E27" s="198">
        <v>1.1205882352941212</v>
      </c>
      <c r="F27" s="198">
        <v>1181.05263157895</v>
      </c>
      <c r="G27" s="198">
        <v>1.6500000000000037</v>
      </c>
      <c r="H27" s="322">
        <v>715.78947368421052</v>
      </c>
      <c r="I27" s="131"/>
    </row>
    <row r="28" spans="1:15" x14ac:dyDescent="0.25">
      <c r="A28" s="133"/>
      <c r="B28" s="217" t="str">
        <v>Particleboard, Global, Particleboard 660 kg/m3 (Norbord Europe Ltd) (Global)</v>
      </c>
      <c r="C28" s="218" t="str">
        <v>m³</v>
      </c>
      <c r="D28" s="219">
        <v>322.23199999999997</v>
      </c>
      <c r="E28" s="219">
        <v>0.48823030303030324</v>
      </c>
      <c r="F28" s="219">
        <v>1012</v>
      </c>
      <c r="G28" s="219">
        <v>1.5333333333333334</v>
      </c>
      <c r="H28" s="323">
        <v>660</v>
      </c>
      <c r="I28" s="131"/>
    </row>
    <row r="29" spans="1:15" x14ac:dyDescent="0.25">
      <c r="B29" s="130"/>
      <c r="C29" s="130"/>
      <c r="D29" s="207"/>
      <c r="E29" s="207"/>
      <c r="F29" s="207"/>
      <c r="G29" s="207"/>
      <c r="H29" s="324"/>
    </row>
    <row r="30" spans="1:15" x14ac:dyDescent="0.25">
      <c r="H30" s="273"/>
    </row>
    <row r="31" spans="1:15" x14ac:dyDescent="0.25">
      <c r="H31" s="273"/>
    </row>
    <row r="32" spans="1:15" x14ac:dyDescent="0.25">
      <c r="H32" s="273"/>
    </row>
    <row r="33" spans="8:8" x14ac:dyDescent="0.25">
      <c r="H33" s="273"/>
    </row>
    <row r="34" spans="8:8" x14ac:dyDescent="0.25">
      <c r="H34" s="273"/>
    </row>
    <row r="35" spans="8:8" x14ac:dyDescent="0.25">
      <c r="H35" s="273"/>
    </row>
    <row r="36" spans="8:8" x14ac:dyDescent="0.25">
      <c r="H36" s="273"/>
    </row>
    <row r="37" spans="8:8" x14ac:dyDescent="0.25">
      <c r="H37" s="273"/>
    </row>
    <row r="90" spans="10:10" x14ac:dyDescent="0.25">
      <c r="J90" s="198"/>
    </row>
  </sheetData>
  <dataValidations count="1">
    <dataValidation type="list" allowBlank="1" showInputMessage="1" showErrorMessage="1" sqref="B6:B9" xr:uid="{4D3DEF7C-F4CC-4DCD-82FD-5C7E5040A7C0}">
      <formula1>"Tier 1,Tier 2,Tier 3,Tier 4"</formula1>
    </dataValidation>
  </dataValidations>
  <hyperlinks>
    <hyperlink ref="L15" r:id="rId1" location="production-and-consumption-of-final-wood-products " xr:uid="{C8EB4C71-1CEF-41BB-817F-D7641724BC6B}"/>
    <hyperlink ref="L17" r:id="rId2" location="overview-of-the-forestry-sector-202122" display="https://www.agriculture.gov.au/abares/research-topics/forests/forest-economics/forest-wood-products-statistics - overview-of-the-forestry-sector-202122" xr:uid="{47335B3E-22EF-4F96-8937-9A5AE603F783}"/>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21654-1458-4DF3-8F15-DD1AF6B9A237}">
  <sheetPr codeName="Sheet4">
    <tabColor rgb="FF007299"/>
  </sheetPr>
  <dimension ref="A1:AG136"/>
  <sheetViews>
    <sheetView zoomScale="80" zoomScaleNormal="80" workbookViewId="0">
      <pane ySplit="8" topLeftCell="A10" activePane="bottomLeft" state="frozen"/>
      <selection pane="bottomLeft"/>
    </sheetView>
  </sheetViews>
  <sheetFormatPr defaultColWidth="9.1796875" defaultRowHeight="12.5" x14ac:dyDescent="0.25"/>
  <cols>
    <col min="1" max="1" width="29" style="131" customWidth="1"/>
    <col min="2" max="2" width="66.1796875" style="132" customWidth="1"/>
    <col min="3" max="3" width="28.1796875" style="132" customWidth="1"/>
    <col min="4" max="4" width="58.1796875" style="143" customWidth="1"/>
    <col min="5" max="5" width="15.453125" style="132" customWidth="1"/>
    <col min="6" max="6" width="16.1796875" style="132" customWidth="1"/>
    <col min="7" max="7" width="15.54296875" style="132" customWidth="1"/>
    <col min="8" max="15" width="13.7265625" style="132" customWidth="1"/>
    <col min="16" max="17" width="22.26953125" style="132" customWidth="1"/>
    <col min="18" max="19" width="14.453125" style="132" customWidth="1"/>
    <col min="20" max="20" width="108.453125" style="143" customWidth="1"/>
    <col min="21" max="21" width="14.453125" style="132" customWidth="1"/>
    <col min="22" max="22" width="5" style="132" customWidth="1"/>
    <col min="23" max="23" width="8.7265625" style="132" customWidth="1"/>
    <col min="24" max="16384" width="9.1796875" style="132"/>
  </cols>
  <sheetData>
    <row r="1" spans="1:33" s="75" customFormat="1" x14ac:dyDescent="0.25">
      <c r="A1" s="66"/>
      <c r="B1" s="66"/>
      <c r="C1" s="66"/>
      <c r="D1" s="67"/>
      <c r="E1" s="70"/>
      <c r="F1" s="70"/>
      <c r="G1" s="71"/>
      <c r="H1" s="71"/>
      <c r="I1" s="71"/>
      <c r="J1" s="71"/>
      <c r="K1" s="72"/>
      <c r="L1" s="72"/>
      <c r="M1" s="73"/>
      <c r="N1" s="73"/>
      <c r="O1" s="73"/>
      <c r="P1" s="74"/>
      <c r="Q1" s="74"/>
      <c r="R1" s="74"/>
      <c r="S1" s="74"/>
      <c r="T1" s="74"/>
      <c r="U1" s="74"/>
      <c r="V1" s="74"/>
      <c r="W1" s="74"/>
      <c r="X1" s="74"/>
      <c r="Y1" s="74"/>
      <c r="Z1" s="74"/>
      <c r="AA1" s="74"/>
      <c r="AB1" s="74"/>
      <c r="AD1" s="81"/>
    </row>
    <row r="2" spans="1:33" s="75" customFormat="1" x14ac:dyDescent="0.25">
      <c r="A2" s="47"/>
      <c r="B2" s="47"/>
      <c r="C2" s="68"/>
      <c r="D2" s="44"/>
      <c r="E2" s="76"/>
      <c r="F2" s="76"/>
      <c r="G2" s="77"/>
      <c r="H2" s="77"/>
      <c r="I2" s="77"/>
      <c r="J2" s="77"/>
      <c r="K2" s="77"/>
      <c r="L2" s="77"/>
      <c r="M2" s="78"/>
      <c r="N2" s="78"/>
      <c r="O2" s="78"/>
      <c r="P2" s="78"/>
      <c r="Q2" s="78"/>
      <c r="R2" s="78"/>
      <c r="S2" s="78"/>
      <c r="T2" s="78"/>
      <c r="U2" s="78"/>
      <c r="V2" s="78"/>
      <c r="W2" s="78"/>
      <c r="X2" s="78"/>
      <c r="Y2" s="78"/>
      <c r="Z2" s="78"/>
      <c r="AA2" s="78"/>
      <c r="AB2" s="78"/>
      <c r="AC2" s="78"/>
      <c r="AD2" s="82"/>
      <c r="AE2" s="78"/>
      <c r="AF2" s="78"/>
      <c r="AG2" s="78"/>
    </row>
    <row r="3" spans="1:33" s="75" customFormat="1" ht="28" x14ac:dyDescent="0.25">
      <c r="A3" s="405" t="s">
        <v>5423</v>
      </c>
      <c r="B3" s="405"/>
      <c r="C3" s="405"/>
      <c r="D3" s="69"/>
      <c r="E3" s="79"/>
      <c r="F3" s="79"/>
      <c r="G3" s="80"/>
      <c r="H3" s="80"/>
      <c r="I3" s="80"/>
      <c r="J3" s="80"/>
      <c r="K3" s="80"/>
      <c r="L3" s="80"/>
      <c r="M3" s="78"/>
      <c r="N3" s="78"/>
      <c r="O3" s="78"/>
      <c r="P3" s="78"/>
      <c r="Q3" s="78"/>
      <c r="R3" s="78"/>
      <c r="S3" s="78"/>
      <c r="T3" s="78"/>
      <c r="U3" s="78"/>
      <c r="V3" s="78"/>
      <c r="W3" s="78"/>
      <c r="X3" s="78"/>
      <c r="Y3" s="78"/>
      <c r="Z3" s="78"/>
      <c r="AA3" s="78"/>
      <c r="AB3" s="78"/>
      <c r="AC3" s="78"/>
      <c r="AD3" s="82"/>
      <c r="AE3" s="78"/>
      <c r="AF3" s="78"/>
      <c r="AG3" s="78"/>
    </row>
    <row r="4" spans="1:33" s="75" customFormat="1" x14ac:dyDescent="0.25">
      <c r="A4" s="47"/>
      <c r="B4" s="47"/>
      <c r="C4" s="68"/>
      <c r="D4" s="44"/>
      <c r="E4" s="76"/>
      <c r="F4" s="76"/>
      <c r="G4" s="77"/>
      <c r="H4" s="77"/>
      <c r="I4" s="77"/>
      <c r="J4" s="77"/>
      <c r="K4" s="77"/>
      <c r="L4" s="77"/>
      <c r="M4" s="78"/>
      <c r="N4" s="78"/>
      <c r="O4" s="78"/>
      <c r="P4" s="78"/>
      <c r="Q4" s="78"/>
      <c r="R4" s="78"/>
      <c r="S4" s="78"/>
      <c r="T4" s="78"/>
      <c r="U4" s="78"/>
      <c r="V4" s="78"/>
      <c r="W4" s="78"/>
      <c r="X4" s="78"/>
      <c r="Y4" s="78"/>
      <c r="Z4" s="78"/>
      <c r="AA4" s="78"/>
      <c r="AB4" s="78"/>
      <c r="AC4" s="78"/>
      <c r="AD4" s="82"/>
      <c r="AE4" s="78"/>
      <c r="AF4" s="78"/>
      <c r="AG4" s="78"/>
    </row>
    <row r="5" spans="1:33" s="75" customFormat="1" x14ac:dyDescent="0.25">
      <c r="A5" s="66"/>
      <c r="B5" s="66"/>
      <c r="C5" s="66"/>
      <c r="D5" s="67"/>
      <c r="E5" s="70"/>
      <c r="F5" s="70"/>
      <c r="G5" s="71"/>
      <c r="H5" s="71"/>
      <c r="I5" s="71"/>
      <c r="J5" s="71"/>
      <c r="K5" s="72"/>
      <c r="L5" s="72"/>
      <c r="M5" s="73"/>
      <c r="N5" s="73"/>
      <c r="O5" s="73"/>
      <c r="P5" s="74"/>
      <c r="Q5" s="74"/>
      <c r="R5" s="74"/>
      <c r="S5" s="74"/>
      <c r="T5" s="74"/>
      <c r="U5" s="74"/>
      <c r="V5" s="74"/>
      <c r="W5" s="74"/>
      <c r="X5" s="74"/>
      <c r="Y5" s="74"/>
      <c r="Z5" s="74"/>
      <c r="AA5" s="74"/>
      <c r="AB5" s="74"/>
      <c r="AD5" s="81"/>
    </row>
    <row r="6" spans="1:33" ht="30" customHeight="1" x14ac:dyDescent="0.25">
      <c r="D6" s="132"/>
      <c r="G6" s="133"/>
      <c r="H6" s="430" t="s">
        <v>77</v>
      </c>
      <c r="I6" s="431"/>
      <c r="J6" s="431"/>
      <c r="K6" s="431"/>
      <c r="L6" s="431"/>
      <c r="M6" s="431"/>
      <c r="N6" s="431"/>
      <c r="O6" s="432"/>
      <c r="P6" s="423" t="s">
        <v>5424</v>
      </c>
      <c r="Q6" s="424"/>
      <c r="R6" s="131"/>
      <c r="T6" s="132"/>
      <c r="V6" s="138"/>
    </row>
    <row r="7" spans="1:33" ht="34.5" customHeight="1" x14ac:dyDescent="0.25">
      <c r="A7" s="134"/>
      <c r="B7" s="135"/>
      <c r="C7" s="135"/>
      <c r="D7" s="135"/>
      <c r="E7" s="135"/>
      <c r="F7" s="135"/>
      <c r="G7" s="136"/>
      <c r="H7" s="425" t="s">
        <v>5425</v>
      </c>
      <c r="I7" s="426"/>
      <c r="J7" s="426"/>
      <c r="K7" s="426"/>
      <c r="L7" s="427" t="s">
        <v>5426</v>
      </c>
      <c r="M7" s="428"/>
      <c r="N7" s="428"/>
      <c r="O7" s="429"/>
      <c r="P7" s="395" t="s">
        <v>5427</v>
      </c>
      <c r="Q7" s="397" t="s">
        <v>5426</v>
      </c>
      <c r="R7" s="131"/>
      <c r="T7" s="132"/>
      <c r="V7" s="138"/>
    </row>
    <row r="8" spans="1:33" s="143" customFormat="1" ht="41.25" customHeight="1" x14ac:dyDescent="0.25">
      <c r="A8" s="146" t="str">
        <f>'EF Table_detail'!A5</f>
        <v>Emission Factor material type</v>
      </c>
      <c r="B8" s="145" t="str">
        <f>'EF Table_detail'!B5</f>
        <v>Emission Factor material category</v>
      </c>
      <c r="C8" s="145" t="str">
        <f>'EF Table_detail'!C5</f>
        <v>Relevant tab in Technical Workbook</v>
      </c>
      <c r="D8" s="145" t="str">
        <f>'EF Table_detail'!D5</f>
        <v>Tab description</v>
      </c>
      <c r="E8" s="145" t="str">
        <f>'EF Table_detail'!F5</f>
        <v>Declared unit</v>
      </c>
      <c r="F8" s="145" t="str">
        <f>'EF Table_detail'!G5</f>
        <v>Data qualitative rating</v>
      </c>
      <c r="G8" s="145" t="str">
        <f>'EF Table_detail'!H5</f>
        <v>Uncertainty adjustment (%)</v>
      </c>
      <c r="H8" s="161" t="str">
        <f>'EF Table_detail'!M5</f>
        <v>Default (uncertainty adjusted)</v>
      </c>
      <c r="I8" s="154" t="str">
        <f>'EF Table_detail'!I5</f>
        <v>Max in category EF</v>
      </c>
      <c r="J8" s="153" t="str">
        <f>'EF Table_detail'!J5</f>
        <v>Min in category EF</v>
      </c>
      <c r="K8" s="155" t="str">
        <f>'EF Table_detail'!K5</f>
        <v>Average EF</v>
      </c>
      <c r="L8" s="164" t="str">
        <f>'EF Table_detail'!R5</f>
        <v>Default (uncertainty adjusted)</v>
      </c>
      <c r="M8" s="154" t="str">
        <f>'EF Table_detail'!N5</f>
        <v>Max in category EF</v>
      </c>
      <c r="N8" s="153" t="str">
        <f>'EF Table_detail'!O5</f>
        <v>Min in category EF</v>
      </c>
      <c r="O8" s="155" t="str">
        <f>'EF Table_detail'!P5</f>
        <v>Average EF</v>
      </c>
      <c r="P8" s="187" t="str">
        <f>'EF Table_detail'!U5</f>
        <v>Average EF</v>
      </c>
      <c r="Q8" s="396" t="str">
        <f>'EF Table_detail'!W5</f>
        <v>Average EF</v>
      </c>
      <c r="R8" s="174" t="str">
        <f>'EF Table_detail'!Y5</f>
        <v>Conversion (Based on average EF)</v>
      </c>
      <c r="S8" s="175" t="str">
        <f>'EF Table_detail'!Z5</f>
        <v>Conversion unit</v>
      </c>
      <c r="T8" s="175" t="str">
        <f>'EF Table_detail'!AA5</f>
        <v>Notes</v>
      </c>
      <c r="U8" s="176" t="str">
        <f>'EF Table_detail'!AB5</f>
        <v>Weighted average used (Yes/No)</v>
      </c>
      <c r="V8" s="139"/>
    </row>
    <row r="9" spans="1:33" s="188" customFormat="1" ht="101.25" hidden="1" customHeight="1" x14ac:dyDescent="0.25">
      <c r="A9" s="189" t="str">
        <f>'EF Table_detail'!A6</f>
        <v>EF material type</v>
      </c>
      <c r="B9" s="189" t="str">
        <f>'EF Table_detail'!B6</f>
        <v>EF material category</v>
      </c>
      <c r="C9" s="189" t="str">
        <f>'EF Table_detail'!C6</f>
        <v>EXCLUDE</v>
      </c>
      <c r="D9" s="189" t="str">
        <f>'EF Table_detail'!D6</f>
        <v>Description</v>
      </c>
      <c r="E9" s="189" t="str">
        <f>'EF Table_detail'!F6</f>
        <v>Declared unit</v>
      </c>
      <c r="F9" s="189" t="str">
        <f>'EF Table_detail'!G6</f>
        <v>Data qualitative rating</v>
      </c>
      <c r="G9" s="189" t="str">
        <f>'EF Table_detail'!H6</f>
        <v>Uncertainty adjustment (%)</v>
      </c>
      <c r="H9" s="191" t="str">
        <f>'EF Table_detail'!M6</f>
        <v>Upfront carbon emission - Default (uncertainty adjusted) (kgCO2e/declared unit)</v>
      </c>
      <c r="I9" s="191" t="str">
        <f>'EF Table_detail'!I6</f>
        <v>Upfront carbon emission - Max (kgCO2e/declared unit)</v>
      </c>
      <c r="J9" s="189" t="str">
        <f>'EF Table_detail'!J6</f>
        <v>Upfront carbon emission - Min (kgCO2e/declared unit)</v>
      </c>
      <c r="K9" s="189" t="str">
        <f>'EF Table_detail'!K6</f>
        <v>Upfront carbon emission - Average (kg CO2e/declared unit)</v>
      </c>
      <c r="L9" s="192" t="str">
        <f>'EF Table_detail'!R6</f>
        <v>Upfront carbon emission - Default (uncertainty adjusted) (kgCO2e/kg)</v>
      </c>
      <c r="M9" s="189" t="str">
        <f>'EF Table_detail'!N6</f>
        <v>Upfront carbon emission - Max (kgCO2e/kg)</v>
      </c>
      <c r="N9" s="189" t="str">
        <f>'EF Table_detail'!O6</f>
        <v>Upfront carbon emission - Min (kgCO2e/kg)</v>
      </c>
      <c r="O9" s="189" t="str">
        <f>'EF Table_detail'!P6</f>
        <v>Upfront carbon emission - Average (kg CO2e/kg)</v>
      </c>
      <c r="P9" s="189" t="str">
        <f>'EF Table_detail'!U6</f>
        <v>Upfront carbon storage- Average (kg CO2e/declared unit)</v>
      </c>
      <c r="Q9" s="189" t="str">
        <f>'EF Table_detail'!W6</f>
        <v>Upfront carbon storage - Average (kg CO2e/kg)</v>
      </c>
      <c r="R9" s="189" t="str">
        <f>'EF Table_detail'!Y6</f>
        <v>Conversion</v>
      </c>
      <c r="S9" s="189" t="str">
        <f>'EF Table_detail'!Z6</f>
        <v>Conversion unit</v>
      </c>
      <c r="T9" s="189" t="str">
        <f>'EF Table_detail'!AA6</f>
        <v>EXCLUDE</v>
      </c>
      <c r="U9" s="189" t="str">
        <f>'EF Table_detail'!AB6</f>
        <v>Weighted averaged used?</v>
      </c>
      <c r="V9" s="190"/>
    </row>
    <row r="10" spans="1:33" ht="45" customHeight="1" x14ac:dyDescent="0.25">
      <c r="A10" s="147" t="str">
        <f>'EF Table_detail'!A7</f>
        <v>Concrete in-situ</v>
      </c>
      <c r="B10" s="148" t="str">
        <f>'EF Table_detail'!B7</f>
        <v>≤10 MPa</v>
      </c>
      <c r="C10" s="149" t="str">
        <f>HYPERLINK("#"&amp;'EF Table_detail'!$C7&amp;"!A1",'EF Table_detail'!$C7)</f>
        <v>Concrete_10MPa</v>
      </c>
      <c r="D10" s="150" t="str">
        <f ca="1">'EF Table_detail'!D7</f>
        <v xml:space="preserve">Any concrete mix with a strength rating of 10 MPa or lower. </v>
      </c>
      <c r="E10" s="148" t="str">
        <f ca="1">'EF Table_detail'!F7</f>
        <v>m³</v>
      </c>
      <c r="F10" s="148" t="str">
        <f ca="1">'EF Table_detail'!G7</f>
        <v>Tier 3</v>
      </c>
      <c r="G10" s="159">
        <f ca="1">'EF Table_detail'!H7</f>
        <v>1.1000000000000001</v>
      </c>
      <c r="H10" s="156" t="str" cm="1">
        <f t="array" aca="1" ref="H10" ca="1">IFERROR(print_SF('EF Table_detail'!M7),"")</f>
        <v>273</v>
      </c>
      <c r="I10" s="160" t="str" cm="1">
        <f t="array" aca="1" ref="I10" ca="1">IFERROR(print_SF('EF Table_detail'!I7),"")</f>
        <v>248</v>
      </c>
      <c r="J10" s="151" t="str" cm="1">
        <f t="array" aca="1" ref="J10" ca="1">IFERROR(print_SF('EF Table_detail'!J7),"")</f>
        <v>142</v>
      </c>
      <c r="K10" s="162" t="str" cm="1">
        <f t="array" aca="1" ref="K10" ca="1">IFERROR(print_SF('EF Table_detail'!K7),"")</f>
        <v>181</v>
      </c>
      <c r="L10" s="156" t="str" cm="1">
        <f t="array" aca="1" ref="L10" ca="1">IFERROR(print_SF('EF Table_detail'!R7),"")</f>
        <v>0.114</v>
      </c>
      <c r="M10" s="160" t="str" cm="1">
        <f t="array" aca="1" ref="M10" ca="1">IFERROR(print_SF('EF Table_detail'!N7),"")</f>
        <v>0.103</v>
      </c>
      <c r="N10" s="151" t="str" cm="1">
        <f t="array" aca="1" ref="N10" ca="1">IFERROR(print_SF('EF Table_detail'!O7),"")</f>
        <v>0.0590</v>
      </c>
      <c r="O10" s="170" t="str" cm="1">
        <f t="array" aca="1" ref="O10" ca="1">print_SF('EF Table_detail'!P7)</f>
        <v>0.0755</v>
      </c>
      <c r="P10" s="185" t="str" cm="1">
        <f t="array" aca="1" ref="P10" ca="1">IFERROR(print_SF('EF Table_detail'!U7),"")</f>
        <v>0</v>
      </c>
      <c r="Q10" s="165" t="str" cm="1">
        <f t="array" aca="1" ref="Q10" ca="1">IFERROR(print_SF('EF Table_detail'!W7),"")</f>
        <v>0</v>
      </c>
      <c r="R10" s="177" t="str" cm="1">
        <f t="array" aca="1" ref="R10" ca="1">IFERROR(print_SF('EF Table_detail'!Y7),"")</f>
        <v>2,400</v>
      </c>
      <c r="S10" s="178" t="str">
        <f ca="1">'EF Table_detail'!Z7</f>
        <v>kg/m³</v>
      </c>
      <c r="T10" s="179" t="str">
        <f ca="1">'EF Table_detail'!AA7</f>
        <v/>
      </c>
      <c r="U10" s="180" t="str">
        <f ca="1">'EF Table_detail'!AB7</f>
        <v>No</v>
      </c>
      <c r="V10" s="140"/>
    </row>
    <row r="11" spans="1:33" ht="45" customHeight="1" x14ac:dyDescent="0.25">
      <c r="A11" s="147" t="str">
        <f>'EF Table_detail'!A8</f>
        <v>Concrete in-situ</v>
      </c>
      <c r="B11" s="148" t="str">
        <f>'EF Table_detail'!B8</f>
        <v>&gt;10 MPa to ≤20 MPa</v>
      </c>
      <c r="C11" s="149" t="str">
        <f>HYPERLINK("#"&amp;'EF Table_detail'!$C8&amp;"!A1",'EF Table_detail'!$C8)</f>
        <v>Concrete_20MPa</v>
      </c>
      <c r="D11" s="150" t="str">
        <f ca="1">'EF Table_detail'!D8</f>
        <v>Any concrete mix with a strength rating of 20 MPa or lower, and greater than 10MPa.</v>
      </c>
      <c r="E11" s="148" t="str">
        <f ca="1">'EF Table_detail'!F8</f>
        <v>m³</v>
      </c>
      <c r="F11" s="148" t="str">
        <f ca="1">'EF Table_detail'!G8</f>
        <v>Tier 1</v>
      </c>
      <c r="G11" s="159">
        <f ca="1">'EF Table_detail'!H8</f>
        <v>1.02</v>
      </c>
      <c r="H11" s="157" t="str" cm="1">
        <f t="array" aca="1" ref="H11" ca="1">IFERROR(print_SF('EF Table_detail'!M8),"")</f>
        <v>371</v>
      </c>
      <c r="I11" s="160" t="str" cm="1">
        <f t="array" aca="1" ref="I11" ca="1">IFERROR(print_SF('EF Table_detail'!I8),"")</f>
        <v>364</v>
      </c>
      <c r="J11" s="151" t="str" cm="1">
        <f t="array" aca="1" ref="J11" ca="1">IFERROR(print_SF('EF Table_detail'!J8),"")</f>
        <v>136</v>
      </c>
      <c r="K11" s="162" t="str" cm="1">
        <f t="array" aca="1" ref="K11" ca="1">IFERROR(print_SF('EF Table_detail'!K8),"")</f>
        <v>201</v>
      </c>
      <c r="L11" s="157" t="str" cm="1">
        <f t="array" aca="1" ref="L11" ca="1">IFERROR(print_SF('EF Table_detail'!R8),"")</f>
        <v>0.155</v>
      </c>
      <c r="M11" s="163" t="str" cm="1">
        <f t="array" aca="1" ref="M11" ca="1">IFERROR(print_SF('EF Table_detail'!N8),"")</f>
        <v>0.152</v>
      </c>
      <c r="N11" s="152" t="str" cm="1">
        <f t="array" aca="1" ref="N11" ca="1">IFERROR(print_SF('EF Table_detail'!O8),"")</f>
        <v>0.0567</v>
      </c>
      <c r="O11" s="166" t="str" cm="1">
        <f t="array" aca="1" ref="O11" ca="1">IFERROR(print_SF('EF Table_detail'!P8),"")</f>
        <v>0.0836</v>
      </c>
      <c r="P11" s="165" t="str" cm="1">
        <f t="array" aca="1" ref="P11" ca="1">IFERROR(print_SF('EF Table_detail'!U8),"")</f>
        <v>0</v>
      </c>
      <c r="Q11" s="166" t="str" cm="1">
        <f t="array" aca="1" ref="Q11" ca="1">IFERROR(print_SF('EF Table_detail'!W8),"")</f>
        <v>0</v>
      </c>
      <c r="R11" s="177" t="str" cm="1">
        <f t="array" aca="1" ref="R11" ca="1">IFERROR(print_SF('EF Table_detail'!Y8),"")</f>
        <v>2,400</v>
      </c>
      <c r="S11" s="178" t="str">
        <f ca="1">'EF Table_detail'!Z8</f>
        <v>kg/m³</v>
      </c>
      <c r="T11" s="179" t="str">
        <f ca="1">'EF Table_detail'!AA8</f>
        <v/>
      </c>
      <c r="U11" s="180" t="str">
        <f ca="1">'EF Table_detail'!AB8</f>
        <v>No</v>
      </c>
      <c r="V11" s="140"/>
    </row>
    <row r="12" spans="1:33" ht="45" customHeight="1" x14ac:dyDescent="0.25">
      <c r="A12" s="147" t="str">
        <f>'EF Table_detail'!A9</f>
        <v>Concrete in-situ</v>
      </c>
      <c r="B12" s="148" t="str">
        <f>'EF Table_detail'!B9</f>
        <v>&gt;20 MPa to ≤25 MPa</v>
      </c>
      <c r="C12" s="149" t="str">
        <f>HYPERLINK("#"&amp;'EF Table_detail'!$C9&amp;"!A1",'EF Table_detail'!$C9)</f>
        <v>Concrete_25MPa</v>
      </c>
      <c r="D12" s="150" t="str">
        <f ca="1">'EF Table_detail'!D9</f>
        <v>Any concrete mix with a strength rating of 25 MPa or lower, and greater than 20 MPa.</v>
      </c>
      <c r="E12" s="148" t="str">
        <f ca="1">'EF Table_detail'!F9</f>
        <v>m³</v>
      </c>
      <c r="F12" s="148" t="str">
        <f ca="1">'EF Table_detail'!G9</f>
        <v>Tier 1</v>
      </c>
      <c r="G12" s="159">
        <f ca="1">'EF Table_detail'!H9</f>
        <v>1.02</v>
      </c>
      <c r="H12" s="157" t="str" cm="1">
        <f t="array" aca="1" ref="H12" ca="1">IFERROR(print_SF('EF Table_detail'!M9),"")</f>
        <v>426</v>
      </c>
      <c r="I12" s="160" t="str" cm="1">
        <f t="array" aca="1" ref="I12" ca="1">IFERROR(print_SF('EF Table_detail'!I9),"")</f>
        <v>417</v>
      </c>
      <c r="J12" s="151" t="str" cm="1">
        <f t="array" aca="1" ref="J12" ca="1">IFERROR(print_SF('EF Table_detail'!J9),"")</f>
        <v>149</v>
      </c>
      <c r="K12" s="162" t="str" cm="1">
        <f t="array" aca="1" ref="K12" ca="1">IFERROR(print_SF('EF Table_detail'!K9),"")</f>
        <v>222</v>
      </c>
      <c r="L12" s="157" t="str" cm="1">
        <f t="array" aca="1" ref="L12" ca="1">IFERROR(print_SF('EF Table_detail'!R9),"")</f>
        <v>0.177</v>
      </c>
      <c r="M12" s="163" t="str" cm="1">
        <f t="array" aca="1" ref="M12" ca="1">IFERROR(print_SF('EF Table_detail'!N9),"")</f>
        <v>0.174</v>
      </c>
      <c r="N12" s="152" t="str" cm="1">
        <f t="array" aca="1" ref="N12" ca="1">IFERROR(print_SF('EF Table_detail'!O9),"")</f>
        <v>0.0621</v>
      </c>
      <c r="O12" s="166" t="str" cm="1">
        <f t="array" aca="1" ref="O12" ca="1">IFERROR(print_SF('EF Table_detail'!P9),"")</f>
        <v>0.0924</v>
      </c>
      <c r="P12" s="165" t="str" cm="1">
        <f t="array" aca="1" ref="P12" ca="1">IFERROR(print_SF('EF Table_detail'!U9),"")</f>
        <v>0</v>
      </c>
      <c r="Q12" s="166" t="str" cm="1">
        <f t="array" aca="1" ref="Q12" ca="1">IFERROR(print_SF('EF Table_detail'!W9),"")</f>
        <v>0</v>
      </c>
      <c r="R12" s="177" t="str" cm="1">
        <f t="array" aca="1" ref="R12" ca="1">IFERROR(print_SF('EF Table_detail'!Y9),"")</f>
        <v>2,400</v>
      </c>
      <c r="S12" s="178" t="str">
        <f ca="1">'EF Table_detail'!Z9</f>
        <v>kg/m³</v>
      </c>
      <c r="T12" s="179" t="str">
        <f ca="1">'EF Table_detail'!AA9</f>
        <v/>
      </c>
      <c r="U12" s="180" t="str">
        <f ca="1">'EF Table_detail'!AB9</f>
        <v>No</v>
      </c>
      <c r="V12" s="140"/>
    </row>
    <row r="13" spans="1:33" ht="45" customHeight="1" x14ac:dyDescent="0.25">
      <c r="A13" s="147" t="str">
        <f>'EF Table_detail'!A10</f>
        <v>Concrete in-situ</v>
      </c>
      <c r="B13" s="148" t="str">
        <f>'EF Table_detail'!B10</f>
        <v>&gt;25 MPa to ≤32 MPa</v>
      </c>
      <c r="C13" s="149" t="str">
        <f>HYPERLINK("#"&amp;'EF Table_detail'!$C10&amp;"!A1",'EF Table_detail'!$C10)</f>
        <v>Concrete_32MPa</v>
      </c>
      <c r="D13" s="150" t="str">
        <f ca="1">'EF Table_detail'!D10</f>
        <v>Any concrete mix with a strength rating of 32 MPa or lower, and greater than 25 MPa.</v>
      </c>
      <c r="E13" s="148" t="str">
        <f ca="1">'EF Table_detail'!F10</f>
        <v>m³</v>
      </c>
      <c r="F13" s="148" t="str">
        <f ca="1">'EF Table_detail'!G10</f>
        <v>Tier 1</v>
      </c>
      <c r="G13" s="159">
        <f ca="1">'EF Table_detail'!H10</f>
        <v>1.02</v>
      </c>
      <c r="H13" s="157" t="str" cm="1">
        <f t="array" aca="1" ref="H13" ca="1">IFERROR(print_SF('EF Table_detail'!M10),"")</f>
        <v>468</v>
      </c>
      <c r="I13" s="160" t="str" cm="1">
        <f t="array" aca="1" ref="I13" ca="1">IFERROR(print_SF('EF Table_detail'!I10),"")</f>
        <v>459</v>
      </c>
      <c r="J13" s="151" t="str" cm="1">
        <f t="array" aca="1" ref="J13" ca="1">IFERROR(print_SF('EF Table_detail'!J10),"")</f>
        <v>167</v>
      </c>
      <c r="K13" s="162" t="str" cm="1">
        <f t="array" aca="1" ref="K13" ca="1">IFERROR(print_SF('EF Table_detail'!K10),"")</f>
        <v>249</v>
      </c>
      <c r="L13" s="157" t="str" cm="1">
        <f t="array" aca="1" ref="L13" ca="1">IFERROR(print_SF('EF Table_detail'!R10),"")</f>
        <v>0.195</v>
      </c>
      <c r="M13" s="163" t="str" cm="1">
        <f t="array" aca="1" ref="M13" ca="1">IFERROR(print_SF('EF Table_detail'!N10),"")</f>
        <v>0.191</v>
      </c>
      <c r="N13" s="152" t="str" cm="1">
        <f t="array" aca="1" ref="N13" ca="1">IFERROR(print_SF('EF Table_detail'!O10),"")</f>
        <v>0.0696</v>
      </c>
      <c r="O13" s="166" t="str" cm="1">
        <f t="array" aca="1" ref="O13" ca="1">IFERROR(print_SF('EF Table_detail'!P10),"")</f>
        <v>0.104</v>
      </c>
      <c r="P13" s="165" t="str" cm="1">
        <f t="array" aca="1" ref="P13" ca="1">IFERROR(print_SF('EF Table_detail'!U10),"")</f>
        <v>0</v>
      </c>
      <c r="Q13" s="166" t="str" cm="1">
        <f t="array" aca="1" ref="Q13" ca="1">IFERROR(print_SF('EF Table_detail'!W10),"")</f>
        <v>0</v>
      </c>
      <c r="R13" s="177" t="str" cm="1">
        <f t="array" aca="1" ref="R13" ca="1">IFERROR(print_SF('EF Table_detail'!Y10),"")</f>
        <v>2,400</v>
      </c>
      <c r="S13" s="178" t="str">
        <f ca="1">'EF Table_detail'!Z10</f>
        <v>kg/m³</v>
      </c>
      <c r="T13" s="179" t="str">
        <f ca="1">'EF Table_detail'!AA10</f>
        <v/>
      </c>
      <c r="U13" s="180" t="str">
        <f ca="1">'EF Table_detail'!AB10</f>
        <v>No</v>
      </c>
      <c r="V13" s="140"/>
    </row>
    <row r="14" spans="1:33" ht="45" customHeight="1" x14ac:dyDescent="0.25">
      <c r="A14" s="147" t="str">
        <f>'EF Table_detail'!A11</f>
        <v>Concrete in-situ</v>
      </c>
      <c r="B14" s="148" t="str">
        <f>'EF Table_detail'!B11</f>
        <v>&gt;32 MPa to ≤40 MPa</v>
      </c>
      <c r="C14" s="149" t="str">
        <f>HYPERLINK("#"&amp;'EF Table_detail'!$C11&amp;"!A1",'EF Table_detail'!$C11)</f>
        <v>Concrete_40MPa</v>
      </c>
      <c r="D14" s="150" t="str">
        <f ca="1">'EF Table_detail'!D11</f>
        <v>Any concrete mix with a strength rating of 40 MPa or lower, and greater than 32 MPa.</v>
      </c>
      <c r="E14" s="148" t="str">
        <f ca="1">'EF Table_detail'!F11</f>
        <v>m³</v>
      </c>
      <c r="F14" s="148" t="str">
        <f ca="1">'EF Table_detail'!G11</f>
        <v>Tier 1</v>
      </c>
      <c r="G14" s="159">
        <f ca="1">'EF Table_detail'!H11</f>
        <v>1.02</v>
      </c>
      <c r="H14" s="157" t="str" cm="1">
        <f t="array" aca="1" ref="H14" ca="1">IFERROR(print_SF('EF Table_detail'!M11),"")</f>
        <v>556</v>
      </c>
      <c r="I14" s="160" t="str" cm="1">
        <f t="array" aca="1" ref="I14" ca="1">IFERROR(print_SF('EF Table_detail'!I11),"")</f>
        <v>545</v>
      </c>
      <c r="J14" s="151" t="str" cm="1">
        <f t="array" aca="1" ref="J14" ca="1">IFERROR(print_SF('EF Table_detail'!J11),"")</f>
        <v>198</v>
      </c>
      <c r="K14" s="162" t="str" cm="1">
        <f t="array" aca="1" ref="K14" ca="1">IFERROR(print_SF('EF Table_detail'!K11),"")</f>
        <v>305</v>
      </c>
      <c r="L14" s="157" t="str" cm="1">
        <f t="array" aca="1" ref="L14" ca="1">IFERROR(print_SF('EF Table_detail'!R11),"")</f>
        <v>0.232</v>
      </c>
      <c r="M14" s="163" t="str" cm="1">
        <f t="array" aca="1" ref="M14" ca="1">IFERROR(print_SF('EF Table_detail'!N11),"")</f>
        <v>0.227</v>
      </c>
      <c r="N14" s="152" t="str" cm="1">
        <f t="array" aca="1" ref="N14" ca="1">IFERROR(print_SF('EF Table_detail'!O11),"")</f>
        <v>0.0825</v>
      </c>
      <c r="O14" s="166" t="str" cm="1">
        <f t="array" aca="1" ref="O14" ca="1">IFERROR(print_SF('EF Table_detail'!P11),"")</f>
        <v>0.127</v>
      </c>
      <c r="P14" s="165" t="str" cm="1">
        <f t="array" aca="1" ref="P14" ca="1">IFERROR(print_SF('EF Table_detail'!U11),"")</f>
        <v>0</v>
      </c>
      <c r="Q14" s="166" t="str" cm="1">
        <f t="array" aca="1" ref="Q14" ca="1">IFERROR(print_SF('EF Table_detail'!W11),"")</f>
        <v>0</v>
      </c>
      <c r="R14" s="177" t="str" cm="1">
        <f t="array" aca="1" ref="R14" ca="1">IFERROR(print_SF('EF Table_detail'!Y11),"")</f>
        <v>2,400</v>
      </c>
      <c r="S14" s="178" t="str">
        <f ca="1">'EF Table_detail'!Z11</f>
        <v>kg/m³</v>
      </c>
      <c r="T14" s="179" t="str">
        <f ca="1">'EF Table_detail'!AA11</f>
        <v/>
      </c>
      <c r="U14" s="180" t="str">
        <f ca="1">'EF Table_detail'!AB11</f>
        <v>No</v>
      </c>
      <c r="V14" s="140"/>
    </row>
    <row r="15" spans="1:33" ht="45" customHeight="1" x14ac:dyDescent="0.25">
      <c r="A15" s="147" t="str">
        <f>'EF Table_detail'!A12</f>
        <v>Concrete in-situ</v>
      </c>
      <c r="B15" s="148" t="str">
        <f>'EF Table_detail'!B12</f>
        <v>&gt;40 MPa to ≤50 MPa</v>
      </c>
      <c r="C15" s="149" t="str">
        <f>HYPERLINK("#"&amp;'EF Table_detail'!$C12&amp;"!A1",'EF Table_detail'!$C12)</f>
        <v>Concrete_50MPa</v>
      </c>
      <c r="D15" s="150" t="str">
        <f ca="1">'EF Table_detail'!D12</f>
        <v>Any concrete mix with a strength rating of 50 MPa or lower, and greater than 40 MPa.</v>
      </c>
      <c r="E15" s="148" t="str">
        <f ca="1">'EF Table_detail'!F12</f>
        <v>m³</v>
      </c>
      <c r="F15" s="148" t="str">
        <f ca="1">'EF Table_detail'!G12</f>
        <v>Tier 1</v>
      </c>
      <c r="G15" s="159">
        <f ca="1">'EF Table_detail'!H12</f>
        <v>1.02</v>
      </c>
      <c r="H15" s="157" t="str" cm="1">
        <f t="array" aca="1" ref="H15" ca="1">IFERROR(print_SF('EF Table_detail'!M12),"")</f>
        <v>621</v>
      </c>
      <c r="I15" s="160" t="str" cm="1">
        <f t="array" aca="1" ref="I15" ca="1">IFERROR(print_SF('EF Table_detail'!I12),"")</f>
        <v>609</v>
      </c>
      <c r="J15" s="151" t="str" cm="1">
        <f t="array" aca="1" ref="J15" ca="1">IFERROR(print_SF('EF Table_detail'!J12),"")</f>
        <v>101</v>
      </c>
      <c r="K15" s="162" t="str" cm="1">
        <f t="array" aca="1" ref="K15" ca="1">IFERROR(print_SF('EF Table_detail'!K12),"")</f>
        <v>354</v>
      </c>
      <c r="L15" s="157" t="str" cm="1">
        <f t="array" aca="1" ref="L15" ca="1">IFERROR(print_SF('EF Table_detail'!R12),"")</f>
        <v>0.259</v>
      </c>
      <c r="M15" s="163" t="str" cm="1">
        <f t="array" aca="1" ref="M15" ca="1">IFERROR(print_SF('EF Table_detail'!N12),"")</f>
        <v>0.254</v>
      </c>
      <c r="N15" s="152" t="str" cm="1">
        <f t="array" aca="1" ref="N15" ca="1">IFERROR(print_SF('EF Table_detail'!O12),"")</f>
        <v>0.0421</v>
      </c>
      <c r="O15" s="166" t="str" cm="1">
        <f t="array" aca="1" ref="O15" ca="1">IFERROR(print_SF('EF Table_detail'!P12),"")</f>
        <v>0.148</v>
      </c>
      <c r="P15" s="165" t="str" cm="1">
        <f t="array" aca="1" ref="P15" ca="1">IFERROR(print_SF('EF Table_detail'!U12),"")</f>
        <v>0</v>
      </c>
      <c r="Q15" s="166" t="str" cm="1">
        <f t="array" aca="1" ref="Q15" ca="1">IFERROR(print_SF('EF Table_detail'!W12),"")</f>
        <v>0</v>
      </c>
      <c r="R15" s="177" t="str" cm="1">
        <f t="array" aca="1" ref="R15" ca="1">IFERROR(print_SF('EF Table_detail'!Y12),"")</f>
        <v>2,400</v>
      </c>
      <c r="S15" s="178" t="str">
        <f ca="1">'EF Table_detail'!Z12</f>
        <v>kg/m³</v>
      </c>
      <c r="T15" s="179" t="str">
        <f ca="1">'EF Table_detail'!AA12</f>
        <v/>
      </c>
      <c r="U15" s="180" t="str">
        <f ca="1">'EF Table_detail'!AB12</f>
        <v>No</v>
      </c>
      <c r="V15" s="140"/>
    </row>
    <row r="16" spans="1:33" ht="45" customHeight="1" x14ac:dyDescent="0.25">
      <c r="A16" s="147" t="str">
        <f>'EF Table_detail'!A13</f>
        <v>Concrete in-situ</v>
      </c>
      <c r="B16" s="148" t="str">
        <f>'EF Table_detail'!B13</f>
        <v>&gt;50 MPa to ≤65 MPa</v>
      </c>
      <c r="C16" s="149" t="str">
        <f>HYPERLINK("#"&amp;'EF Table_detail'!$C13&amp;"!A1",'EF Table_detail'!$C13)</f>
        <v>Concrete_65MPa</v>
      </c>
      <c r="D16" s="150" t="str">
        <f ca="1">'EF Table_detail'!D13</f>
        <v>Any concrete mix with a strength rating of 65 MPa or lower, and greater than 50 MPa.</v>
      </c>
      <c r="E16" s="148" t="str">
        <f ca="1">'EF Table_detail'!F13</f>
        <v>m³</v>
      </c>
      <c r="F16" s="148" t="str">
        <f ca="1">'EF Table_detail'!G13</f>
        <v>Tier 2</v>
      </c>
      <c r="G16" s="159">
        <f ca="1">'EF Table_detail'!H13</f>
        <v>1.05</v>
      </c>
      <c r="H16" s="157" t="str" cm="1">
        <f t="array" aca="1" ref="H16" ca="1">IFERROR(print_SF('EF Table_detail'!M13),"")</f>
        <v>640</v>
      </c>
      <c r="I16" s="160" t="str" cm="1">
        <f t="array" aca="1" ref="I16" ca="1">IFERROR(print_SF('EF Table_detail'!I13),"")</f>
        <v>609</v>
      </c>
      <c r="J16" s="151" t="str" cm="1">
        <f t="array" aca="1" ref="J16" ca="1">IFERROR(print_SF('EF Table_detail'!J13),"")</f>
        <v>274</v>
      </c>
      <c r="K16" s="162" t="str" cm="1">
        <f t="array" aca="1" ref="K16" ca="1">IFERROR(print_SF('EF Table_detail'!K13),"")</f>
        <v>402</v>
      </c>
      <c r="L16" s="157" t="str" cm="1">
        <f t="array" aca="1" ref="L16" ca="1">IFERROR(print_SF('EF Table_detail'!R13),"")</f>
        <v>0.267</v>
      </c>
      <c r="M16" s="163" t="str" cm="1">
        <f t="array" aca="1" ref="M16" ca="1">IFERROR(print_SF('EF Table_detail'!N13),"")</f>
        <v>0.254</v>
      </c>
      <c r="N16" s="152" t="str" cm="1">
        <f t="array" aca="1" ref="N16" ca="1">IFERROR(print_SF('EF Table_detail'!O13),"")</f>
        <v>0.114</v>
      </c>
      <c r="O16" s="166" t="str" cm="1">
        <f t="array" aca="1" ref="O16" ca="1">IFERROR(print_SF('EF Table_detail'!P13),"")</f>
        <v>0.167</v>
      </c>
      <c r="P16" s="165" t="str" cm="1">
        <f t="array" aca="1" ref="P16" ca="1">IFERROR(print_SF('EF Table_detail'!U13),"")</f>
        <v>0</v>
      </c>
      <c r="Q16" s="166" t="str" cm="1">
        <f t="array" aca="1" ref="Q16" ca="1">IFERROR(print_SF('EF Table_detail'!W13),"")</f>
        <v>0</v>
      </c>
      <c r="R16" s="177" t="str" cm="1">
        <f t="array" aca="1" ref="R16" ca="1">IFERROR(print_SF('EF Table_detail'!Y13),"")</f>
        <v>2,400</v>
      </c>
      <c r="S16" s="178" t="str">
        <f ca="1">'EF Table_detail'!Z13</f>
        <v>kg/m³</v>
      </c>
      <c r="T16" s="179" t="str">
        <f ca="1">'EF Table_detail'!AA13</f>
        <v>Maximum of data source falls below the maximum for 50 MPa. Likely due to a limited source of market coverage at this strength rating. The max from 50 MPa has been used.</v>
      </c>
      <c r="U16" s="180" t="str">
        <f ca="1">'EF Table_detail'!AB13</f>
        <v>No</v>
      </c>
      <c r="V16" s="140"/>
    </row>
    <row r="17" spans="1:22" ht="45" customHeight="1" x14ac:dyDescent="0.25">
      <c r="A17" s="147" t="str">
        <f>'EF Table_detail'!A14</f>
        <v>Concrete in-situ</v>
      </c>
      <c r="B17" s="148" t="str">
        <f>'EF Table_detail'!B14</f>
        <v>&gt;65 MPa to ≤80 MPa</v>
      </c>
      <c r="C17" s="149" t="str">
        <f>HYPERLINK("#"&amp;'EF Table_detail'!$C14&amp;"!A1",'EF Table_detail'!$C14)</f>
        <v>Concrete_80MPa</v>
      </c>
      <c r="D17" s="150" t="str">
        <f ca="1">'EF Table_detail'!D14</f>
        <v>Any concrete mix with a strength rating of 80 MPa or lower, and greater than 65 MPa.</v>
      </c>
      <c r="E17" s="148" t="str">
        <f ca="1">'EF Table_detail'!F14</f>
        <v>m³</v>
      </c>
      <c r="F17" s="148" t="str">
        <f ca="1">'EF Table_detail'!G14</f>
        <v>Tier 2</v>
      </c>
      <c r="G17" s="159">
        <f ca="1">'EF Table_detail'!H14</f>
        <v>1.05</v>
      </c>
      <c r="H17" s="157" t="str" cm="1">
        <f t="array" aca="1" ref="H17" ca="1">IFERROR(print_SF('EF Table_detail'!M14),"")</f>
        <v>690</v>
      </c>
      <c r="I17" s="160" t="str" cm="1">
        <f t="array" aca="1" ref="I17" ca="1">IFERROR(print_SF('EF Table_detail'!I14),"")</f>
        <v>657</v>
      </c>
      <c r="J17" s="151" t="str" cm="1">
        <f t="array" aca="1" ref="J17" ca="1">IFERROR(print_SF('EF Table_detail'!J14),"")</f>
        <v>301</v>
      </c>
      <c r="K17" s="162" t="str" cm="1">
        <f t="array" aca="1" ref="K17" ca="1">IFERROR(print_SF('EF Table_detail'!K14),"")</f>
        <v>425</v>
      </c>
      <c r="L17" s="157" t="str" cm="1">
        <f t="array" aca="1" ref="L17" ca="1">IFERROR(print_SF('EF Table_detail'!R14),"")</f>
        <v>0.287</v>
      </c>
      <c r="M17" s="163" t="str" cm="1">
        <f t="array" aca="1" ref="M17" ca="1">IFERROR(print_SF('EF Table_detail'!N14),"")</f>
        <v>0.274</v>
      </c>
      <c r="N17" s="152" t="str" cm="1">
        <f t="array" aca="1" ref="N17" ca="1">IFERROR(print_SF('EF Table_detail'!O14),"")</f>
        <v>0.125</v>
      </c>
      <c r="O17" s="166" t="str" cm="1">
        <f t="array" aca="1" ref="O17" ca="1">IFERROR(print_SF('EF Table_detail'!P14),"")</f>
        <v>0.177</v>
      </c>
      <c r="P17" s="165" t="str" cm="1">
        <f t="array" aca="1" ref="P17" ca="1">IFERROR(print_SF('EF Table_detail'!U14),"")</f>
        <v>0</v>
      </c>
      <c r="Q17" s="166" t="str" cm="1">
        <f t="array" aca="1" ref="Q17" ca="1">IFERROR(print_SF('EF Table_detail'!W14),"")</f>
        <v>0</v>
      </c>
      <c r="R17" s="177" t="str" cm="1">
        <f t="array" aca="1" ref="R17" ca="1">IFERROR(print_SF('EF Table_detail'!Y14),"")</f>
        <v>2,400</v>
      </c>
      <c r="S17" s="178" t="str">
        <f ca="1">'EF Table_detail'!Z14</f>
        <v>kg/m³</v>
      </c>
      <c r="T17" s="179" t="str">
        <f ca="1">'EF Table_detail'!AA14</f>
        <v>Maximum of data source falls below the maximum for 50 MPa. Likely due to a limited source of market coverage at this strength rating. The max from 50 MPa has been used.</v>
      </c>
      <c r="U17" s="180" t="str">
        <f ca="1">'EF Table_detail'!AB14</f>
        <v>No</v>
      </c>
      <c r="V17" s="140"/>
    </row>
    <row r="18" spans="1:22" ht="45" customHeight="1" x14ac:dyDescent="0.25">
      <c r="A18" s="147" t="str">
        <f>'EF Table_detail'!A15</f>
        <v>Concrete in-situ</v>
      </c>
      <c r="B18" s="148" t="str">
        <f>'EF Table_detail'!B15</f>
        <v>&gt;80 MPa +</v>
      </c>
      <c r="C18" s="149" t="str">
        <f>HYPERLINK("#"&amp;'EF Table_detail'!$C15&amp;"!A1",'EF Table_detail'!$C15)</f>
        <v>Concrete_80upMPa</v>
      </c>
      <c r="D18" s="150" t="str">
        <f ca="1">'EF Table_detail'!D15</f>
        <v>Any concrete mix with a strength rating above 80 MPa.</v>
      </c>
      <c r="E18" s="148" t="str">
        <f ca="1">'EF Table_detail'!F15</f>
        <v>m³</v>
      </c>
      <c r="F18" s="148" t="str">
        <f ca="1">'EF Table_detail'!G15</f>
        <v>Tier 3</v>
      </c>
      <c r="G18" s="159">
        <f ca="1">'EF Table_detail'!H15</f>
        <v>1.1000000000000001</v>
      </c>
      <c r="H18" s="157" t="str" cm="1">
        <f t="array" aca="1" ref="H18" ca="1">IFERROR(print_SF('EF Table_detail'!M15),"")</f>
        <v>781</v>
      </c>
      <c r="I18" s="160" t="str" cm="1">
        <f t="array" aca="1" ref="I18" ca="1">IFERROR(print_SF('EF Table_detail'!I15),"")</f>
        <v>710</v>
      </c>
      <c r="J18" s="151" t="str" cm="1">
        <f t="array" aca="1" ref="J18" ca="1">IFERROR(print_SF('EF Table_detail'!J15),"")</f>
        <v>438</v>
      </c>
      <c r="K18" s="162" t="str" cm="1">
        <f t="array" aca="1" ref="K18" ca="1">IFERROR(print_SF('EF Table_detail'!K15),"")</f>
        <v>561</v>
      </c>
      <c r="L18" s="157" t="str" cm="1">
        <f t="array" aca="1" ref="L18" ca="1">IFERROR(print_SF('EF Table_detail'!R15),"")</f>
        <v>0.325</v>
      </c>
      <c r="M18" s="163" t="str" cm="1">
        <f t="array" aca="1" ref="M18" ca="1">IFERROR(print_SF('EF Table_detail'!N15),"")</f>
        <v>0.296</v>
      </c>
      <c r="N18" s="152" t="str" cm="1">
        <f t="array" aca="1" ref="N18" ca="1">IFERROR(print_SF('EF Table_detail'!O15),"")</f>
        <v>0.184</v>
      </c>
      <c r="O18" s="166" t="str" cm="1">
        <f t="array" aca="1" ref="O18" ca="1">IFERROR(print_SF('EF Table_detail'!P15),"")</f>
        <v>0.234</v>
      </c>
      <c r="P18" s="165" t="str" cm="1">
        <f t="array" aca="1" ref="P18" ca="1">IFERROR(print_SF('EF Table_detail'!U15),"")</f>
        <v>0</v>
      </c>
      <c r="Q18" s="166" t="str" cm="1">
        <f t="array" aca="1" ref="Q18" ca="1">IFERROR(print_SF('EF Table_detail'!W15),"")</f>
        <v>0</v>
      </c>
      <c r="R18" s="177" t="str" cm="1">
        <f t="array" aca="1" ref="R18" ca="1">IFERROR(print_SF('EF Table_detail'!Y15),"")</f>
        <v>2,400</v>
      </c>
      <c r="S18" s="178" t="str">
        <f ca="1">'EF Table_detail'!Z15</f>
        <v>kg/m³</v>
      </c>
      <c r="T18" s="179" t="str">
        <f ca="1">'EF Table_detail'!AA15</f>
        <v>Maximum of data source falls below the maximum for 50 MPa. Likely due to a limited source of market coverage at this strength rating. The max from 50 MPa has been used.</v>
      </c>
      <c r="U18" s="180" t="str">
        <f ca="1">'EF Table_detail'!AB15</f>
        <v>No</v>
      </c>
      <c r="V18" s="140"/>
    </row>
    <row r="19" spans="1:22" ht="45" customHeight="1" x14ac:dyDescent="0.25">
      <c r="A19" s="147" t="str">
        <f>'EF Table_detail'!A16</f>
        <v>Concrete in-situ</v>
      </c>
      <c r="B19" s="148" t="str">
        <f>'EF Table_detail'!B16</f>
        <v>Kerb</v>
      </c>
      <c r="C19" s="149" t="str">
        <f>HYPERLINK("#"&amp;'EF Table_detail'!$C16&amp;"!A1",'EF Table_detail'!$C16)</f>
        <v>Concrete_32MPa</v>
      </c>
      <c r="D19" s="150" t="str">
        <f ca="1">'EF Table_detail'!D16</f>
        <v>Any concrete mix with a strength rating of 32 MPa or lower, and greater than 25 MPa.</v>
      </c>
      <c r="E19" s="148" t="str">
        <f ca="1">'EF Table_detail'!F16</f>
        <v>m³</v>
      </c>
      <c r="F19" s="148" t="str">
        <f ca="1">'EF Table_detail'!G16</f>
        <v>Tier 1</v>
      </c>
      <c r="G19" s="159">
        <f ca="1">'EF Table_detail'!H16</f>
        <v>1.02</v>
      </c>
      <c r="H19" s="157" t="str" cm="1">
        <f t="array" aca="1" ref="H19" ca="1">IFERROR(print_SF('EF Table_detail'!M16),"")</f>
        <v>468</v>
      </c>
      <c r="I19" s="160" t="str" cm="1">
        <f t="array" aca="1" ref="I19" ca="1">IFERROR(print_SF('EF Table_detail'!I16),"")</f>
        <v>459</v>
      </c>
      <c r="J19" s="151" t="str" cm="1">
        <f t="array" aca="1" ref="J19" ca="1">IFERROR(print_SF('EF Table_detail'!J16),"")</f>
        <v>167</v>
      </c>
      <c r="K19" s="162" t="str" cm="1">
        <f t="array" aca="1" ref="K19" ca="1">IFERROR(print_SF('EF Table_detail'!K16),"")</f>
        <v>249</v>
      </c>
      <c r="L19" s="157" t="str" cm="1">
        <f t="array" aca="1" ref="L19" ca="1">IFERROR(print_SF('EF Table_detail'!R16),"")</f>
        <v>0.195</v>
      </c>
      <c r="M19" s="163" t="str" cm="1">
        <f t="array" aca="1" ref="M19" ca="1">IFERROR(print_SF('EF Table_detail'!N16),"")</f>
        <v>0.191</v>
      </c>
      <c r="N19" s="152" t="str" cm="1">
        <f t="array" aca="1" ref="N19" ca="1">IFERROR(print_SF('EF Table_detail'!O16),"")</f>
        <v>0.0696</v>
      </c>
      <c r="O19" s="166" t="str" cm="1">
        <f t="array" aca="1" ref="O19" ca="1">IFERROR(print_SF('EF Table_detail'!P16),"")</f>
        <v>0.104</v>
      </c>
      <c r="P19" s="165" t="str" cm="1">
        <f t="array" aca="1" ref="P19" ca="1">IFERROR(print_SF('EF Table_detail'!U16),"")</f>
        <v>0</v>
      </c>
      <c r="Q19" s="166" t="str" cm="1">
        <f t="array" aca="1" ref="Q19" ca="1">IFERROR(print_SF('EF Table_detail'!W16),"")</f>
        <v>0</v>
      </c>
      <c r="R19" s="177" t="str" cm="1">
        <f t="array" aca="1" ref="R19" ca="1">IFERROR(print_SF('EF Table_detail'!Y16),"")</f>
        <v>2,400</v>
      </c>
      <c r="S19" s="178" t="str">
        <f ca="1">'EF Table_detail'!Z16</f>
        <v>kg/m³</v>
      </c>
      <c r="T19" s="179" t="str">
        <f ca="1">'EF Table_detail'!AA16</f>
        <v/>
      </c>
      <c r="U19" s="180" t="str">
        <f ca="1">'EF Table_detail'!AB16</f>
        <v>No</v>
      </c>
      <c r="V19" s="140"/>
    </row>
    <row r="20" spans="1:22" ht="45" customHeight="1" x14ac:dyDescent="0.25">
      <c r="A20" s="147" t="str">
        <f>'EF Table_detail'!A17</f>
        <v>Concrete precast panel</v>
      </c>
      <c r="B20" s="148" t="str">
        <f>'EF Table_detail'!B17</f>
        <v>Precast concrete panel (inc. reinforcing)</v>
      </c>
      <c r="C20" s="149" t="str">
        <f>HYPERLINK("#"&amp;'EF Table_detail'!$C17&amp;"!A1",'EF Table_detail'!$C17)</f>
        <v>Concrete_precast_panel</v>
      </c>
      <c r="D20" s="150" t="str">
        <f ca="1">'EF Table_detail'!D17</f>
        <v>Any precast concrete panel including reinforcing steel (i.e. wall, deck, or balcony panel).</v>
      </c>
      <c r="E20" s="148" t="str">
        <f ca="1">'EF Table_detail'!F17</f>
        <v>tonne</v>
      </c>
      <c r="F20" s="148" t="str">
        <f ca="1">'EF Table_detail'!G17</f>
        <v>Untiered</v>
      </c>
      <c r="G20" s="159">
        <f ca="1">'EF Table_detail'!H17</f>
        <v>1</v>
      </c>
      <c r="H20" s="157" t="str" cm="1">
        <f t="array" aca="1" ref="H20" ca="1">IFERROR(print_SF('EF Table_detail'!M17),"")</f>
        <v>439</v>
      </c>
      <c r="I20" s="160" t="str" cm="1">
        <f t="array" aca="1" ref="I20" ca="1">IFERROR(print_SF('EF Table_detail'!I17),"")</f>
        <v>439</v>
      </c>
      <c r="J20" s="151" t="str" cm="1">
        <f t="array" aca="1" ref="J20" ca="1">IFERROR(print_SF('EF Table_detail'!J17),"")</f>
        <v>69.3</v>
      </c>
      <c r="K20" s="162" t="str" cm="1">
        <f t="array" aca="1" ref="K20" ca="1">IFERROR(print_SF('EF Table_detail'!K17),"")</f>
        <v>233</v>
      </c>
      <c r="L20" s="157" t="str" cm="1">
        <f t="array" aca="1" ref="L20" ca="1">IFERROR(print_SF('EF Table_detail'!R17),"")</f>
        <v>0.439</v>
      </c>
      <c r="M20" s="163" t="str" cm="1">
        <f t="array" aca="1" ref="M20" ca="1">IFERROR(print_SF('EF Table_detail'!N17),"")</f>
        <v>0.439</v>
      </c>
      <c r="N20" s="152" t="str" cm="1">
        <f t="array" aca="1" ref="N20" ca="1">IFERROR(print_SF('EF Table_detail'!O17),"")</f>
        <v>0.0693</v>
      </c>
      <c r="O20" s="166" t="str" cm="1">
        <f t="array" aca="1" ref="O20" ca="1">IFERROR(print_SF('EF Table_detail'!P17),"")</f>
        <v>0.233</v>
      </c>
      <c r="P20" s="165" t="str" cm="1">
        <f t="array" aca="1" ref="P20" ca="1">IFERROR(print_SF('EF Table_detail'!U17),"")</f>
        <v>0</v>
      </c>
      <c r="Q20" s="166" t="str" cm="1">
        <f t="array" aca="1" ref="Q20" ca="1">IFERROR(print_SF('EF Table_detail'!W17),"")</f>
        <v>0</v>
      </c>
      <c r="R20" s="177" t="str" cm="1">
        <f t="array" aca="1" ref="R20" ca="1">IFERROR(print_SF('EF Table_detail'!Y17),"")</f>
        <v>1,000</v>
      </c>
      <c r="S20" s="178" t="str">
        <f ca="1">'EF Table_detail'!Z17</f>
        <v>kg/tonne</v>
      </c>
      <c r="T20" s="179" t="str">
        <f ca="1">'EF Table_detail'!AA17</f>
        <v>Includes steel reinforcing.</v>
      </c>
      <c r="U20" s="180" t="str">
        <f ca="1">'EF Table_detail'!AB17</f>
        <v>No</v>
      </c>
      <c r="V20" s="140"/>
    </row>
    <row r="21" spans="1:22" ht="45" customHeight="1" x14ac:dyDescent="0.25">
      <c r="A21" s="147" t="str">
        <f>'EF Table_detail'!A18</f>
        <v>Concrete precast panel</v>
      </c>
      <c r="B21" s="148" t="str">
        <f>'EF Table_detail'!B18</f>
        <v>Hollow core - precast concrete (inc. reinforcing)</v>
      </c>
      <c r="C21" s="149" t="str">
        <f>HYPERLINK("#"&amp;'EF Table_detail'!$C18&amp;"!A1",'EF Table_detail'!$C18)</f>
        <v>Concrete_hollowcore</v>
      </c>
      <c r="D21" s="150" t="str">
        <f ca="1">'EF Table_detail'!D18</f>
        <v>Precast hollowcore concrete slabs including reinforcing steel.</v>
      </c>
      <c r="E21" s="148" t="str">
        <f ca="1">'EF Table_detail'!F18</f>
        <v>m³</v>
      </c>
      <c r="F21" s="148" t="str">
        <f ca="1">'EF Table_detail'!G18</f>
        <v>Tier 4</v>
      </c>
      <c r="G21" s="159">
        <f ca="1">'EF Table_detail'!H18</f>
        <v>1.2</v>
      </c>
      <c r="H21" s="157" t="str" cm="1">
        <f t="array" aca="1" ref="H21" ca="1">IFERROR(print_SF('EF Table_detail'!M18),"")</f>
        <v>428</v>
      </c>
      <c r="I21" s="160" t="str" cm="1">
        <f t="array" aca="1" ref="I21" ca="1">IFERROR(print_SF('EF Table_detail'!I18),"")</f>
        <v>357</v>
      </c>
      <c r="J21" s="151" t="str" cm="1">
        <f t="array" aca="1" ref="J21" ca="1">IFERROR(print_SF('EF Table_detail'!J18),"")</f>
        <v>317</v>
      </c>
      <c r="K21" s="162" t="str" cm="1">
        <f t="array" aca="1" ref="K21" ca="1">IFERROR(print_SF('EF Table_detail'!K18),"")</f>
        <v>339</v>
      </c>
      <c r="L21" s="157" t="str" cm="1">
        <f t="array" aca="1" ref="L21" ca="1">IFERROR(print_SF('EF Table_detail'!R18),"")</f>
        <v>0.290</v>
      </c>
      <c r="M21" s="163" t="str" cm="1">
        <f t="array" aca="1" ref="M21" ca="1">IFERROR(print_SF('EF Table_detail'!N18),"")</f>
        <v>0.242</v>
      </c>
      <c r="N21" s="152" t="str" cm="1">
        <f t="array" aca="1" ref="N21" ca="1">IFERROR(print_SF('EF Table_detail'!O18),"")</f>
        <v>0.215</v>
      </c>
      <c r="O21" s="166" t="str" cm="1">
        <f t="array" aca="1" ref="O21" ca="1">IFERROR(print_SF('EF Table_detail'!P18),"")</f>
        <v>0.229</v>
      </c>
      <c r="P21" s="165" t="str" cm="1">
        <f t="array" aca="1" ref="P21" ca="1">IFERROR(print_SF('EF Table_detail'!U18),"")</f>
        <v>0</v>
      </c>
      <c r="Q21" s="166" t="str" cm="1">
        <f t="array" aca="1" ref="Q21" ca="1">IFERROR(print_SF('EF Table_detail'!W18),"")</f>
        <v>0</v>
      </c>
      <c r="R21" s="177" t="str" cm="1">
        <f t="array" aca="1" ref="R21" ca="1">IFERROR(print_SF('EF Table_detail'!Y18),"")</f>
        <v>1,480</v>
      </c>
      <c r="S21" s="178" t="str">
        <f ca="1">'EF Table_detail'!Z18</f>
        <v>kg/m³</v>
      </c>
      <c r="T21" s="179" t="str">
        <f ca="1">'EF Table_detail'!AA18</f>
        <v>Declared unit is per cubic meters of slab including hollows/voids</v>
      </c>
      <c r="U21" s="180" t="str">
        <f ca="1">'EF Table_detail'!AB18</f>
        <v>No</v>
      </c>
      <c r="V21" s="140"/>
    </row>
    <row r="22" spans="1:22" ht="45" customHeight="1" x14ac:dyDescent="0.25">
      <c r="A22" s="147" t="str">
        <f>'EF Table_detail'!A19</f>
        <v>Concrete block</v>
      </c>
      <c r="B22" s="148" t="str">
        <f>'EF Table_detail'!B19</f>
        <v>Concrete block (exc. core fill or reinforcing)</v>
      </c>
      <c r="C22" s="149" t="str">
        <f>HYPERLINK("#"&amp;'EF Table_detail'!$C19&amp;"!A1",'EF Table_detail'!$C19)</f>
        <v>Concrete_bricks</v>
      </c>
      <c r="D22" s="150" t="str">
        <f ca="1">'EF Table_detail'!D19</f>
        <v>Concrete brick, block and roof tiles i.e. cinder block or concrete finishing brick/tile used in masonry. Not including any core fill material or reinforcing.</v>
      </c>
      <c r="E22" s="148" t="str">
        <f ca="1">'EF Table_detail'!F19</f>
        <v>tonne</v>
      </c>
      <c r="F22" s="148" t="str">
        <f ca="1">'EF Table_detail'!G19</f>
        <v>Tier 3</v>
      </c>
      <c r="G22" s="159">
        <f ca="1">'EF Table_detail'!H19</f>
        <v>1.1000000000000001</v>
      </c>
      <c r="H22" s="157" t="str" cm="1">
        <f t="array" aca="1" ref="H22" ca="1">IFERROR(print_SF('EF Table_detail'!M19),"")</f>
        <v>264</v>
      </c>
      <c r="I22" s="160" t="str" cm="1">
        <f t="array" aca="1" ref="I22" ca="1">IFERROR(print_SF('EF Table_detail'!I19),"")</f>
        <v>240</v>
      </c>
      <c r="J22" s="151" t="str" cm="1">
        <f t="array" aca="1" ref="J22" ca="1">IFERROR(print_SF('EF Table_detail'!J19),"")</f>
        <v>112</v>
      </c>
      <c r="K22" s="162" t="str" cm="1">
        <f t="array" aca="1" ref="K22" ca="1">IFERROR(print_SF('EF Table_detail'!K19),"")</f>
        <v>159</v>
      </c>
      <c r="L22" s="157" t="str" cm="1">
        <f t="array" aca="1" ref="L22" ca="1">IFERROR(print_SF('EF Table_detail'!R19),"")</f>
        <v>0.264</v>
      </c>
      <c r="M22" s="163" t="str" cm="1">
        <f t="array" aca="1" ref="M22" ca="1">IFERROR(print_SF('EF Table_detail'!N19),"")</f>
        <v>0.240</v>
      </c>
      <c r="N22" s="152" t="str" cm="1">
        <f t="array" aca="1" ref="N22" ca="1">IFERROR(print_SF('EF Table_detail'!O19),"")</f>
        <v>0.112</v>
      </c>
      <c r="O22" s="166" t="str" cm="1">
        <f t="array" aca="1" ref="O22" ca="1">IFERROR(print_SF('EF Table_detail'!P19),"")</f>
        <v>0.159</v>
      </c>
      <c r="P22" s="165" t="str" cm="1">
        <f t="array" aca="1" ref="P22" ca="1">IFERROR(print_SF('EF Table_detail'!U19),"")</f>
        <v>0</v>
      </c>
      <c r="Q22" s="166" t="str" cm="1">
        <f t="array" aca="1" ref="Q22" ca="1">IFERROR(print_SF('EF Table_detail'!W19),"")</f>
        <v>0</v>
      </c>
      <c r="R22" s="177" t="str" cm="1">
        <f t="array" aca="1" ref="R22" ca="1">IFERROR(print_SF('EF Table_detail'!Y19),"")</f>
        <v>1,000</v>
      </c>
      <c r="S22" s="178" t="str">
        <f ca="1">'EF Table_detail'!Z19</f>
        <v>kg/tonne</v>
      </c>
      <c r="T22" s="179" t="str">
        <f ca="1">'EF Table_detail'!AA19</f>
        <v>Not including any core fill material or reinforcing.</v>
      </c>
      <c r="U22" s="180" t="str">
        <f ca="1">'EF Table_detail'!AB19</f>
        <v>No</v>
      </c>
      <c r="V22" s="140"/>
    </row>
    <row r="23" spans="1:22" ht="45" customHeight="1" x14ac:dyDescent="0.25">
      <c r="A23" s="147" t="str">
        <f>'EF Table_detail'!A20</f>
        <v>Concrete block</v>
      </c>
      <c r="B23" s="148" t="str">
        <f>'EF Table_detail'!B20</f>
        <v>Solid AAC (no fill or reinforcing)</v>
      </c>
      <c r="C23" s="149" t="str">
        <f>HYPERLINK("#"&amp;'EF Table_detail'!$C20&amp;"!A1",'EF Table_detail'!$C20)</f>
        <v>AAC_block</v>
      </c>
      <c r="D23" s="150" t="str">
        <f ca="1">'EF Table_detail'!D20</f>
        <v>Autoclaved Aerated Concrete (AAC) blocks without reinforcing or fill.</v>
      </c>
      <c r="E23" s="148" t="str">
        <f ca="1">'EF Table_detail'!F20</f>
        <v>m³</v>
      </c>
      <c r="F23" s="148" t="str">
        <f ca="1">'EF Table_detail'!G20</f>
        <v>Tier 4</v>
      </c>
      <c r="G23" s="159">
        <f ca="1">'EF Table_detail'!H20</f>
        <v>1.2</v>
      </c>
      <c r="H23" s="157" t="str" cm="1">
        <f t="array" aca="1" ref="H23" ca="1">IFERROR(print_SF('EF Table_detail'!M20),"")</f>
        <v>278</v>
      </c>
      <c r="I23" s="160" t="str" cm="1">
        <f t="array" aca="1" ref="I23" ca="1">IFERROR(print_SF('EF Table_detail'!I20),"")</f>
        <v>232</v>
      </c>
      <c r="J23" s="151" t="str" cm="1">
        <f t="array" aca="1" ref="J23" ca="1">IFERROR(print_SF('EF Table_detail'!J20),"")</f>
        <v>150</v>
      </c>
      <c r="K23" s="162" t="str" cm="1">
        <f t="array" aca="1" ref="K23" ca="1">IFERROR(print_SF('EF Table_detail'!K20),"")</f>
        <v>190</v>
      </c>
      <c r="L23" s="157" t="str" cm="1">
        <f t="array" aca="1" ref="L23" ca="1">IFERROR(print_SF('EF Table_detail'!R20),"")</f>
        <v>0.724</v>
      </c>
      <c r="M23" s="163" t="str" cm="1">
        <f t="array" aca="1" ref="M23" ca="1">IFERROR(print_SF('EF Table_detail'!N20),"")</f>
        <v>0.603</v>
      </c>
      <c r="N23" s="152" t="str" cm="1">
        <f t="array" aca="1" ref="N23" ca="1">IFERROR(print_SF('EF Table_detail'!O20),"")</f>
        <v>0.334</v>
      </c>
      <c r="O23" s="166" t="str" cm="1">
        <f t="array" aca="1" ref="O23" ca="1">IFERROR(print_SF('EF Table_detail'!P20),"")</f>
        <v>0.437</v>
      </c>
      <c r="P23" s="165" t="str" cm="1">
        <f t="array" aca="1" ref="P23" ca="1">IFERROR(print_SF('EF Table_detail'!U20),"")</f>
        <v>0</v>
      </c>
      <c r="Q23" s="166" t="str" cm="1">
        <f t="array" aca="1" ref="Q23" ca="1">IFERROR(print_SF('EF Table_detail'!W20),"")</f>
        <v>0</v>
      </c>
      <c r="R23" s="177" t="str" cm="1">
        <f t="array" aca="1" ref="R23" ca="1">IFERROR(print_SF('EF Table_detail'!Y20),"")</f>
        <v>435</v>
      </c>
      <c r="S23" s="178" t="str">
        <f ca="1">'EF Table_detail'!Z20</f>
        <v>kg/m³</v>
      </c>
      <c r="T23" s="179" t="str">
        <f ca="1">'EF Table_detail'!AA20</f>
        <v/>
      </c>
      <c r="U23" s="180" t="str">
        <f ca="1">'EF Table_detail'!AB20</f>
        <v>No</v>
      </c>
      <c r="V23" s="140"/>
    </row>
    <row r="24" spans="1:22" ht="45" customHeight="1" x14ac:dyDescent="0.25">
      <c r="A24" s="147" t="str">
        <f>'EF Table_detail'!A21</f>
        <v>Reinforcing steel</v>
      </c>
      <c r="B24" s="148" t="str">
        <f>'EF Table_detail'!B21</f>
        <v>Bar &amp; mesh reinforcing steel</v>
      </c>
      <c r="C24" s="149" t="str">
        <f>HYPERLINK("#"&amp;'EF Table_detail'!$C21&amp;"!A1",'EF Table_detail'!$C21)</f>
        <v>Reinforcing_steel</v>
      </c>
      <c r="D24" s="150" t="str">
        <f ca="1">'EF Table_detail'!D21</f>
        <v>Steel used to reinforce concrete structures as named in the material category.</v>
      </c>
      <c r="E24" s="148" t="str">
        <f ca="1">'EF Table_detail'!F21</f>
        <v>tonne</v>
      </c>
      <c r="F24" s="148" t="str">
        <f ca="1">'EF Table_detail'!G21</f>
        <v>Tier 2</v>
      </c>
      <c r="G24" s="159">
        <f ca="1">'EF Table_detail'!H21</f>
        <v>1.05</v>
      </c>
      <c r="H24" s="157" t="str" cm="1">
        <f t="array" aca="1" ref="H24" ca="1">IFERROR(print_SF('EF Table_detail'!M21),"")</f>
        <v>3,650</v>
      </c>
      <c r="I24" s="160" t="str" cm="1">
        <f t="array" aca="1" ref="I24" ca="1">IFERROR(print_SF('EF Table_detail'!I21),"")</f>
        <v>3,480</v>
      </c>
      <c r="J24" s="151" t="str" cm="1">
        <f t="array" aca="1" ref="J24" ca="1">IFERROR(print_SF('EF Table_detail'!J21),"")</f>
        <v>309</v>
      </c>
      <c r="K24" s="162" t="str" cm="1">
        <f t="array" aca="1" ref="K24" ca="1">IFERROR(print_SF('EF Table_detail'!K21),"")</f>
        <v>1,600</v>
      </c>
      <c r="L24" s="157" t="str" cm="1">
        <f t="array" aca="1" ref="L24" ca="1">IFERROR(print_SF('EF Table_detail'!R21),"")</f>
        <v>3.65</v>
      </c>
      <c r="M24" s="163" t="str" cm="1">
        <f t="array" aca="1" ref="M24" ca="1">IFERROR(print_SF('EF Table_detail'!N21),"")</f>
        <v>3.48</v>
      </c>
      <c r="N24" s="152" t="str" cm="1">
        <f t="array" aca="1" ref="N24" ca="1">IFERROR(print_SF('EF Table_detail'!O21),"")</f>
        <v>0.309</v>
      </c>
      <c r="O24" s="166" t="str" cm="1">
        <f t="array" aca="1" ref="O24" ca="1">IFERROR(print_SF('EF Table_detail'!P21),"")</f>
        <v>1.60</v>
      </c>
      <c r="P24" s="165" t="str" cm="1">
        <f t="array" aca="1" ref="P24" ca="1">IFERROR(print_SF('EF Table_detail'!U21),"")</f>
        <v>0</v>
      </c>
      <c r="Q24" s="166" t="str" cm="1">
        <f t="array" aca="1" ref="Q24" ca="1">IFERROR(print_SF('EF Table_detail'!W21),"")</f>
        <v>0</v>
      </c>
      <c r="R24" s="177" t="str" cm="1">
        <f t="array" aca="1" ref="R24" ca="1">IFERROR(print_SF('EF Table_detail'!Y21),"")</f>
        <v>1,000</v>
      </c>
      <c r="S24" s="178" t="str">
        <f ca="1">'EF Table_detail'!Z21</f>
        <v>kg/tonne</v>
      </c>
      <c r="T24" s="179" t="str">
        <f ca="1">'EF Table_detail'!AA21</f>
        <v>Broad definition of reinforcing steel that includes a mixture of reinforcing bars, mesh, fibre, cages and strand products</v>
      </c>
      <c r="U24" s="180" t="str">
        <f ca="1">'EF Table_detail'!AB21</f>
        <v>Yes</v>
      </c>
      <c r="V24" s="140"/>
    </row>
    <row r="25" spans="1:22" ht="45" customHeight="1" x14ac:dyDescent="0.25">
      <c r="A25" s="147" t="str">
        <f>'EF Table_detail'!A22</f>
        <v>Reinforcing steel</v>
      </c>
      <c r="B25" s="148" t="str">
        <f>'EF Table_detail'!B22</f>
        <v>Fibre &amp; strand reinforcing steel</v>
      </c>
      <c r="C25" s="149" t="str">
        <f>HYPERLINK("#"&amp;'EF Table_detail'!$C22&amp;"!A1",'EF Table_detail'!$C22)</f>
        <v>Reinforcing_steel</v>
      </c>
      <c r="D25" s="150" t="str">
        <f ca="1">'EF Table_detail'!D22</f>
        <v>Steel used to reinforce concrete structures as named in the material category.</v>
      </c>
      <c r="E25" s="148" t="str">
        <f ca="1">'EF Table_detail'!F22</f>
        <v>tonne</v>
      </c>
      <c r="F25" s="148" t="str">
        <f ca="1">'EF Table_detail'!G22</f>
        <v>Tier 2</v>
      </c>
      <c r="G25" s="159">
        <f ca="1">'EF Table_detail'!H22</f>
        <v>1.05</v>
      </c>
      <c r="H25" s="157" t="str" cm="1">
        <f t="array" aca="1" ref="H25" ca="1">IFERROR(print_SF('EF Table_detail'!M22),"")</f>
        <v>3,650</v>
      </c>
      <c r="I25" s="160" t="str" cm="1">
        <f t="array" aca="1" ref="I25" ca="1">IFERROR(print_SF('EF Table_detail'!I22),"")</f>
        <v>3,480</v>
      </c>
      <c r="J25" s="151" t="str" cm="1">
        <f t="array" aca="1" ref="J25" ca="1">IFERROR(print_SF('EF Table_detail'!J22),"")</f>
        <v>309</v>
      </c>
      <c r="K25" s="162" t="str" cm="1">
        <f t="array" aca="1" ref="K25" ca="1">IFERROR(print_SF('EF Table_detail'!K22),"")</f>
        <v>1,600</v>
      </c>
      <c r="L25" s="157" t="str" cm="1">
        <f t="array" aca="1" ref="L25" ca="1">IFERROR(print_SF('EF Table_detail'!R22),"")</f>
        <v>3.65</v>
      </c>
      <c r="M25" s="163" t="str" cm="1">
        <f t="array" aca="1" ref="M25" ca="1">IFERROR(print_SF('EF Table_detail'!N22),"")</f>
        <v>3.48</v>
      </c>
      <c r="N25" s="152" t="str" cm="1">
        <f t="array" aca="1" ref="N25" ca="1">IFERROR(print_SF('EF Table_detail'!O22),"")</f>
        <v>0.309</v>
      </c>
      <c r="O25" s="166" t="str" cm="1">
        <f t="array" aca="1" ref="O25" ca="1">IFERROR(print_SF('EF Table_detail'!P22),"")</f>
        <v>1.60</v>
      </c>
      <c r="P25" s="165" t="str" cm="1">
        <f t="array" aca="1" ref="P25" ca="1">IFERROR(print_SF('EF Table_detail'!U22),"")</f>
        <v>0</v>
      </c>
      <c r="Q25" s="166" t="str" cm="1">
        <f t="array" aca="1" ref="Q25" ca="1">IFERROR(print_SF('EF Table_detail'!W22),"")</f>
        <v>0</v>
      </c>
      <c r="R25" s="177" t="str" cm="1">
        <f t="array" aca="1" ref="R25" ca="1">IFERROR(print_SF('EF Table_detail'!Y22),"")</f>
        <v>1,000</v>
      </c>
      <c r="S25" s="178" t="str">
        <f ca="1">'EF Table_detail'!Z22</f>
        <v>kg/tonne</v>
      </c>
      <c r="T25" s="179" t="str">
        <f ca="1">'EF Table_detail'!AA22</f>
        <v>Broad definition of reinforcing steel that includes a mixture of reinforcing bars, mesh, fibre, cages and strand products</v>
      </c>
      <c r="U25" s="180" t="str">
        <f ca="1">'EF Table_detail'!AB22</f>
        <v>Yes</v>
      </c>
      <c r="V25" s="140"/>
    </row>
    <row r="26" spans="1:22" ht="45" customHeight="1" x14ac:dyDescent="0.25">
      <c r="A26" s="147" t="str">
        <f>'EF Table_detail'!A23</f>
        <v>Structural steel</v>
      </c>
      <c r="B26" s="150" t="str">
        <f>'EF Table_detail'!B23</f>
        <v>Structural sections steel (welded beam, columns, angles, plates, piles etc) (hot rolled)</v>
      </c>
      <c r="C26" s="149" t="str">
        <f>HYPERLINK("#"&amp;'EF Table_detail'!$C23&amp;"!A1",'EF Table_detail'!$C23)</f>
        <v>Structural_steel_hot</v>
      </c>
      <c r="D26" s="150" t="str">
        <f ca="1">'EF Table_detail'!D23</f>
        <v>Steel used for structural purposes (unpainted, not galvanised) that has undergone hot-rolled steel production route. Including beams, columns, angles, flange channels, hollow sections.</v>
      </c>
      <c r="E26" s="148" t="str">
        <f ca="1">'EF Table_detail'!F23</f>
        <v>tonne</v>
      </c>
      <c r="F26" s="148" t="str">
        <f ca="1">'EF Table_detail'!G23</f>
        <v>Tier 2</v>
      </c>
      <c r="G26" s="159">
        <f ca="1">'EF Table_detail'!H23</f>
        <v>1.05</v>
      </c>
      <c r="H26" s="157" t="str" cm="1">
        <f t="array" aca="1" ref="H26" ca="1">IFERROR(print_SF('EF Table_detail'!M23),"")</f>
        <v>3,910</v>
      </c>
      <c r="I26" s="160" t="str" cm="1">
        <f t="array" aca="1" ref="I26" ca="1">IFERROR(print_SF('EF Table_detail'!I23),"")</f>
        <v>3,720</v>
      </c>
      <c r="J26" s="151" t="str" cm="1">
        <f t="array" aca="1" ref="J26" ca="1">IFERROR(print_SF('EF Table_detail'!J23),"")</f>
        <v>558</v>
      </c>
      <c r="K26" s="162" t="str" cm="1">
        <f t="array" aca="1" ref="K26" ca="1">IFERROR(print_SF('EF Table_detail'!K23),"")</f>
        <v>2,270</v>
      </c>
      <c r="L26" s="157" t="str" cm="1">
        <f t="array" aca="1" ref="L26" ca="1">IFERROR(print_SF('EF Table_detail'!R23),"")</f>
        <v>3.91</v>
      </c>
      <c r="M26" s="163" t="str" cm="1">
        <f t="array" aca="1" ref="M26" ca="1">IFERROR(print_SF('EF Table_detail'!N23),"")</f>
        <v>3.72</v>
      </c>
      <c r="N26" s="152" t="str" cm="1">
        <f t="array" aca="1" ref="N26" ca="1">IFERROR(print_SF('EF Table_detail'!O23),"")</f>
        <v>0.558</v>
      </c>
      <c r="O26" s="166" t="str" cm="1">
        <f t="array" aca="1" ref="O26" ca="1">IFERROR(print_SF('EF Table_detail'!P23),"")</f>
        <v>2.27</v>
      </c>
      <c r="P26" s="165" t="str" cm="1">
        <f t="array" aca="1" ref="P26" ca="1">IFERROR(print_SF('EF Table_detail'!U23),"")</f>
        <v>0</v>
      </c>
      <c r="Q26" s="166" t="str" cm="1">
        <f t="array" aca="1" ref="Q26" ca="1">IFERROR(print_SF('EF Table_detail'!W23),"")</f>
        <v>0</v>
      </c>
      <c r="R26" s="177" t="str" cm="1">
        <f t="array" aca="1" ref="R26" ca="1">IFERROR(print_SF('EF Table_detail'!Y23),"")</f>
        <v>1,000</v>
      </c>
      <c r="S26" s="178" t="str">
        <f ca="1">'EF Table_detail'!Z23</f>
        <v>kg/tonne</v>
      </c>
      <c r="T26" s="179" t="str">
        <f ca="1">'EF Table_detail'!AA23</f>
        <v/>
      </c>
      <c r="U26" s="180" t="str">
        <f ca="1">'EF Table_detail'!AB23</f>
        <v>Yes</v>
      </c>
      <c r="V26" s="140"/>
    </row>
    <row r="27" spans="1:22" ht="45" customHeight="1" x14ac:dyDescent="0.25">
      <c r="A27" s="147" t="str">
        <f>'EF Table_detail'!A24</f>
        <v>Structural steel</v>
      </c>
      <c r="B27" s="148" t="str">
        <f>'EF Table_detail'!B24</f>
        <v>Structural formwork and decking steel (cold rolled - light weight)</v>
      </c>
      <c r="C27" s="149" t="str">
        <f>HYPERLINK("#"&amp;'EF Table_detail'!$C24&amp;"!A1",'EF Table_detail'!$C24)</f>
        <v>Structural_steel_cold</v>
      </c>
      <c r="D27" s="150" t="str">
        <f ca="1">'EF Table_detail'!D24</f>
        <v>Steel used for structural purposes that has undergone cold-rolled steel production route.</v>
      </c>
      <c r="E27" s="148" t="str">
        <f ca="1">'EF Table_detail'!F24</f>
        <v>tonne</v>
      </c>
      <c r="F27" s="148" t="str">
        <f ca="1">'EF Table_detail'!G24</f>
        <v>Tier 2</v>
      </c>
      <c r="G27" s="159">
        <f ca="1">'EF Table_detail'!H24</f>
        <v>1.05</v>
      </c>
      <c r="H27" s="157" t="str" cm="1">
        <f t="array" aca="1" ref="H27" ca="1">IFERROR(print_SF('EF Table_detail'!M24),"")</f>
        <v>4,050</v>
      </c>
      <c r="I27" s="160" t="str" cm="1">
        <f t="array" aca="1" ref="I27" ca="1">IFERROR(print_SF('EF Table_detail'!I24),"")</f>
        <v>3,860</v>
      </c>
      <c r="J27" s="151" t="str" cm="1">
        <f t="array" aca="1" ref="J27" ca="1">IFERROR(print_SF('EF Table_detail'!J24),"")</f>
        <v>2,730</v>
      </c>
      <c r="K27" s="162" t="str" cm="1">
        <f t="array" aca="1" ref="K27" ca="1">IFERROR(print_SF('EF Table_detail'!K24),"")</f>
        <v>3,010</v>
      </c>
      <c r="L27" s="157" t="str" cm="1">
        <f t="array" aca="1" ref="L27" ca="1">IFERROR(print_SF('EF Table_detail'!R24),"")</f>
        <v>4.05</v>
      </c>
      <c r="M27" s="163" t="str" cm="1">
        <f t="array" aca="1" ref="M27" ca="1">IFERROR(print_SF('EF Table_detail'!N24),"")</f>
        <v>3.86</v>
      </c>
      <c r="N27" s="152" t="str" cm="1">
        <f t="array" aca="1" ref="N27" ca="1">IFERROR(print_SF('EF Table_detail'!O24),"")</f>
        <v>2.73</v>
      </c>
      <c r="O27" s="166" t="str" cm="1">
        <f t="array" aca="1" ref="O27" ca="1">IFERROR(print_SF('EF Table_detail'!P24),"")</f>
        <v>3.01</v>
      </c>
      <c r="P27" s="165" t="str" cm="1">
        <f t="array" aca="1" ref="P27" ca="1">IFERROR(print_SF('EF Table_detail'!U24),"")</f>
        <v>0</v>
      </c>
      <c r="Q27" s="166" t="str" cm="1">
        <f t="array" aca="1" ref="Q27" ca="1">IFERROR(print_SF('EF Table_detail'!W24),"")</f>
        <v>0</v>
      </c>
      <c r="R27" s="177" t="str" cm="1">
        <f t="array" aca="1" ref="R27" ca="1">IFERROR(print_SF('EF Table_detail'!Y24),"")</f>
        <v>1,000</v>
      </c>
      <c r="S27" s="178" t="str">
        <f ca="1">'EF Table_detail'!Z24</f>
        <v>kg/tonne</v>
      </c>
      <c r="T27" s="179" t="str">
        <f ca="1">'EF Table_detail'!AA24</f>
        <v/>
      </c>
      <c r="U27" s="180" t="str">
        <f ca="1">'EF Table_detail'!AB24</f>
        <v>No</v>
      </c>
      <c r="V27" s="140"/>
    </row>
    <row r="28" spans="1:22" ht="45" customHeight="1" x14ac:dyDescent="0.25">
      <c r="A28" s="147" t="str">
        <f>'EF Table_detail'!A25</f>
        <v>Structural steel</v>
      </c>
      <c r="B28" s="148" t="str">
        <f>'EF Table_detail'!B25</f>
        <v>Structural framing steel (cold rolled - lightweight)</v>
      </c>
      <c r="C28" s="149" t="str">
        <f>HYPERLINK("#"&amp;'EF Table_detail'!$C25&amp;"!A1",'EF Table_detail'!$C25)</f>
        <v>Structural_steel_cold</v>
      </c>
      <c r="D28" s="150" t="str">
        <f ca="1">'EF Table_detail'!D25</f>
        <v>Steel used for structural purposes that has undergone cold-rolled steel production route.</v>
      </c>
      <c r="E28" s="148" t="str">
        <f ca="1">'EF Table_detail'!F25</f>
        <v>tonne</v>
      </c>
      <c r="F28" s="148" t="str">
        <f ca="1">'EF Table_detail'!G25</f>
        <v>Tier 2</v>
      </c>
      <c r="G28" s="159">
        <f ca="1">'EF Table_detail'!H25</f>
        <v>1.05</v>
      </c>
      <c r="H28" s="157" t="str" cm="1">
        <f t="array" aca="1" ref="H28" ca="1">IFERROR(print_SF('EF Table_detail'!M25),"")</f>
        <v>4,050</v>
      </c>
      <c r="I28" s="160" t="str" cm="1">
        <f t="array" aca="1" ref="I28" ca="1">IFERROR(print_SF('EF Table_detail'!I25),"")</f>
        <v>3,860</v>
      </c>
      <c r="J28" s="151" t="str" cm="1">
        <f t="array" aca="1" ref="J28" ca="1">IFERROR(print_SF('EF Table_detail'!J25),"")</f>
        <v>2,730</v>
      </c>
      <c r="K28" s="162" t="str" cm="1">
        <f t="array" aca="1" ref="K28" ca="1">IFERROR(print_SF('EF Table_detail'!K25),"")</f>
        <v>3,010</v>
      </c>
      <c r="L28" s="157" t="str" cm="1">
        <f t="array" aca="1" ref="L28" ca="1">IFERROR(print_SF('EF Table_detail'!R25),"")</f>
        <v>4.05</v>
      </c>
      <c r="M28" s="163" t="str" cm="1">
        <f t="array" aca="1" ref="M28" ca="1">IFERROR(print_SF('EF Table_detail'!N25),"")</f>
        <v>3.86</v>
      </c>
      <c r="N28" s="152" t="str" cm="1">
        <f t="array" aca="1" ref="N28" ca="1">IFERROR(print_SF('EF Table_detail'!O25),"")</f>
        <v>2.73</v>
      </c>
      <c r="O28" s="166" t="str" cm="1">
        <f t="array" aca="1" ref="O28" ca="1">IFERROR(print_SF('EF Table_detail'!P25),"")</f>
        <v>3.01</v>
      </c>
      <c r="P28" s="165" t="str" cm="1">
        <f t="array" aca="1" ref="P28" ca="1">IFERROR(print_SF('EF Table_detail'!U25),"")</f>
        <v>0</v>
      </c>
      <c r="Q28" s="166" t="str" cm="1">
        <f t="array" aca="1" ref="Q28" ca="1">IFERROR(print_SF('EF Table_detail'!W25),"")</f>
        <v>0</v>
      </c>
      <c r="R28" s="177" t="str" cm="1">
        <f t="array" aca="1" ref="R28" ca="1">IFERROR(print_SF('EF Table_detail'!Y25),"")</f>
        <v>1,000</v>
      </c>
      <c r="S28" s="178" t="str">
        <f ca="1">'EF Table_detail'!Z25</f>
        <v>kg/tonne</v>
      </c>
      <c r="T28" s="179" t="str">
        <f ca="1">'EF Table_detail'!AA25</f>
        <v/>
      </c>
      <c r="U28" s="180" t="str">
        <f ca="1">'EF Table_detail'!AB25</f>
        <v>No</v>
      </c>
      <c r="V28" s="140"/>
    </row>
    <row r="29" spans="1:22" ht="45" customHeight="1" x14ac:dyDescent="0.25">
      <c r="A29" s="147" t="str">
        <f>'EF Table_detail'!A26</f>
        <v>Structural steel</v>
      </c>
      <c r="B29" s="150" t="str">
        <f>'EF Table_detail'!B26</f>
        <v>Galvanised structural sections steel (welded beam, columns, angles, plates, piles etc.) (hot rolled)</v>
      </c>
      <c r="C29" s="149" t="str">
        <f>HYPERLINK("#"&amp;'EF Table_detail'!$C26&amp;"!A1",'EF Table_detail'!$C26)</f>
        <v>Structural_steel_hot_gal</v>
      </c>
      <c r="D29" s="150" t="str">
        <f ca="1">'EF Table_detail'!D26</f>
        <v>Steel (galvanised) used for structural purposes that has undergone hot-rolled steel production route. Including beams, columns, angles, flange channels, hollow sections.</v>
      </c>
      <c r="E29" s="148" t="str">
        <f ca="1">'EF Table_detail'!F26</f>
        <v>tonne</v>
      </c>
      <c r="F29" s="148" t="str">
        <f ca="1">'EF Table_detail'!G26</f>
        <v>Tier 1</v>
      </c>
      <c r="G29" s="159">
        <f ca="1">'EF Table_detail'!H26</f>
        <v>1.02</v>
      </c>
      <c r="H29" s="157" t="str" cm="1">
        <f t="array" aca="1" ref="H29" ca="1">IFERROR(print_SF('EF Table_detail'!M26),"")</f>
        <v>4,190</v>
      </c>
      <c r="I29" s="160" t="str" cm="1">
        <f t="array" aca="1" ref="I29" ca="1">IFERROR(print_SF('EF Table_detail'!I26),"")</f>
        <v>4,100</v>
      </c>
      <c r="J29" s="151" t="str" cm="1">
        <f t="array" aca="1" ref="J29" ca="1">IFERROR(print_SF('EF Table_detail'!J26),"")</f>
        <v>581</v>
      </c>
      <c r="K29" s="162" t="str" cm="1">
        <f t="array" aca="1" ref="K29" ca="1">IFERROR(print_SF('EF Table_detail'!K26),"")</f>
        <v>2,400</v>
      </c>
      <c r="L29" s="157" t="str" cm="1">
        <f t="array" aca="1" ref="L29" ca="1">IFERROR(print_SF('EF Table_detail'!R26),"")</f>
        <v>4.19</v>
      </c>
      <c r="M29" s="163" t="str" cm="1">
        <f t="array" aca="1" ref="M29" ca="1">IFERROR(print_SF('EF Table_detail'!N26),"")</f>
        <v>4.10</v>
      </c>
      <c r="N29" s="152" t="str" cm="1">
        <f t="array" aca="1" ref="N29" ca="1">IFERROR(print_SF('EF Table_detail'!O26),"")</f>
        <v>0.581</v>
      </c>
      <c r="O29" s="166" t="str" cm="1">
        <f t="array" aca="1" ref="O29" ca="1">IFERROR(print_SF('EF Table_detail'!P26),"")</f>
        <v>2.40</v>
      </c>
      <c r="P29" s="165" t="str" cm="1">
        <f t="array" aca="1" ref="P29" ca="1">IFERROR(print_SF('EF Table_detail'!U26),"")</f>
        <v>0</v>
      </c>
      <c r="Q29" s="166" t="str" cm="1">
        <f t="array" aca="1" ref="Q29" ca="1">IFERROR(print_SF('EF Table_detail'!W26),"")</f>
        <v>0</v>
      </c>
      <c r="R29" s="177" t="str" cm="1">
        <f t="array" aca="1" ref="R29" ca="1">IFERROR(print_SF('EF Table_detail'!Y26),"")</f>
        <v>1,000</v>
      </c>
      <c r="S29" s="178" t="str">
        <f ca="1">'EF Table_detail'!Z26</f>
        <v>kg/tonne</v>
      </c>
      <c r="T29" s="179" t="str">
        <f ca="1">'EF Table_detail'!AA26</f>
        <v/>
      </c>
      <c r="U29" s="180" t="str">
        <f ca="1">'EF Table_detail'!AB26</f>
        <v>No</v>
      </c>
      <c r="V29" s="140"/>
    </row>
    <row r="30" spans="1:22" ht="45" customHeight="1" x14ac:dyDescent="0.25">
      <c r="A30" s="147" t="str">
        <f>'EF Table_detail'!A27</f>
        <v>Structural steel</v>
      </c>
      <c r="B30" s="150" t="str">
        <f>'EF Table_detail'!B27</f>
        <v>Painted structural sections steel (welded beam, columns, angles, plates, piles etc.) (hot rolled)</v>
      </c>
      <c r="C30" s="149" t="str">
        <f>HYPERLINK("#"&amp;'EF Table_detail'!$C27&amp;"!A1",'EF Table_detail'!$C27)</f>
        <v>Structural_steel_hot_painted</v>
      </c>
      <c r="D30" s="150" t="str">
        <f ca="1">'EF Table_detail'!D27</f>
        <v>Steel (painted) used for structural purposes that has undergone hot-rolled steel production route. Including beams, columns, angles, flange channels, hollow sections.</v>
      </c>
      <c r="E30" s="148" t="str">
        <f ca="1">'EF Table_detail'!F27</f>
        <v>tonne</v>
      </c>
      <c r="F30" s="148" t="str">
        <f ca="1">'EF Table_detail'!G27</f>
        <v>Tier 2</v>
      </c>
      <c r="G30" s="159">
        <f ca="1">'EF Table_detail'!H27</f>
        <v>1.05</v>
      </c>
      <c r="H30" s="157" t="str" cm="1">
        <f t="array" aca="1" ref="H30" ca="1">IFERROR(print_SF('EF Table_detail'!M27),"")</f>
        <v>4,340</v>
      </c>
      <c r="I30" s="160" t="str" cm="1">
        <f t="array" aca="1" ref="I30" ca="1">IFERROR(print_SF('EF Table_detail'!I27),"")</f>
        <v>4,130</v>
      </c>
      <c r="J30" s="151" t="str" cm="1">
        <f t="array" aca="1" ref="J30" ca="1">IFERROR(print_SF('EF Table_detail'!J27),"")</f>
        <v>580</v>
      </c>
      <c r="K30" s="162" t="str" cm="1">
        <f t="array" aca="1" ref="K30" ca="1">IFERROR(print_SF('EF Table_detail'!K27),"")</f>
        <v>2,410</v>
      </c>
      <c r="L30" s="157" t="str" cm="1">
        <f t="array" aca="1" ref="L30" ca="1">IFERROR(print_SF('EF Table_detail'!R27),"")</f>
        <v>4.34</v>
      </c>
      <c r="M30" s="163" t="str" cm="1">
        <f t="array" aca="1" ref="M30" ca="1">IFERROR(print_SF('EF Table_detail'!N27),"")</f>
        <v>4.13</v>
      </c>
      <c r="N30" s="152" t="str" cm="1">
        <f t="array" aca="1" ref="N30" ca="1">IFERROR(print_SF('EF Table_detail'!O27),"")</f>
        <v>0.580</v>
      </c>
      <c r="O30" s="166" t="str" cm="1">
        <f t="array" aca="1" ref="O30" ca="1">IFERROR(print_SF('EF Table_detail'!P27),"")</f>
        <v>2.41</v>
      </c>
      <c r="P30" s="165" t="str" cm="1">
        <f t="array" aca="1" ref="P30" ca="1">IFERROR(print_SF('EF Table_detail'!U27),"")</f>
        <v>0</v>
      </c>
      <c r="Q30" s="166" t="str" cm="1">
        <f t="array" aca="1" ref="Q30" ca="1">IFERROR(print_SF('EF Table_detail'!W27),"")</f>
        <v>0</v>
      </c>
      <c r="R30" s="177" t="str" cm="1">
        <f t="array" aca="1" ref="R30" ca="1">IFERROR(print_SF('EF Table_detail'!Y27),"")</f>
        <v>1,000</v>
      </c>
      <c r="S30" s="178" t="str">
        <f ca="1">'EF Table_detail'!Z27</f>
        <v>kg/tonne</v>
      </c>
      <c r="T30" s="179" t="str">
        <f ca="1">'EF Table_detail'!AA27</f>
        <v>Three layers of paint (primer epoxy and hardtop)</v>
      </c>
      <c r="U30" s="180" t="str">
        <f ca="1">'EF Table_detail'!AB27</f>
        <v>No</v>
      </c>
      <c r="V30" s="140"/>
    </row>
    <row r="31" spans="1:22" ht="45" customHeight="1" x14ac:dyDescent="0.25">
      <c r="A31" s="147" t="str">
        <f>'EF Table_detail'!A28</f>
        <v>Stainless steel</v>
      </c>
      <c r="B31" s="148" t="str">
        <f>'EF Table_detail'!B28</f>
        <v>Stainless steel (general)</v>
      </c>
      <c r="C31" s="149" t="str">
        <f>HYPERLINK("#"&amp;'EF Table_detail'!$C28&amp;"!A1",'EF Table_detail'!$C28)</f>
        <v>Stainless_steel</v>
      </c>
      <c r="D31" s="150" t="str">
        <f ca="1">'EF Table_detail'!D28</f>
        <v>All stainless steel.</v>
      </c>
      <c r="E31" s="148" t="str">
        <f ca="1">'EF Table_detail'!F28</f>
        <v>tonne</v>
      </c>
      <c r="F31" s="148" t="str">
        <f ca="1">'EF Table_detail'!G28</f>
        <v>Tier 4</v>
      </c>
      <c r="G31" s="159">
        <f ca="1">'EF Table_detail'!H28</f>
        <v>1.2</v>
      </c>
      <c r="H31" s="157" t="str" cm="1">
        <f t="array" aca="1" ref="H31" ca="1">IFERROR(print_SF('EF Table_detail'!M28),"")</f>
        <v>5,990</v>
      </c>
      <c r="I31" s="160" t="str" cm="1">
        <f t="array" aca="1" ref="I31" ca="1">IFERROR(print_SF('EF Table_detail'!I28),"")</f>
        <v>4,990</v>
      </c>
      <c r="J31" s="151" t="str" cm="1">
        <f t="array" aca="1" ref="J31" ca="1">IFERROR(print_SF('EF Table_detail'!J28),"")</f>
        <v>2,800</v>
      </c>
      <c r="K31" s="162" t="str" cm="1">
        <f t="array" aca="1" ref="K31" ca="1">IFERROR(print_SF('EF Table_detail'!K28),"")</f>
        <v>3,510</v>
      </c>
      <c r="L31" s="157" t="str" cm="1">
        <f t="array" aca="1" ref="L31" ca="1">IFERROR(print_SF('EF Table_detail'!R28),"")</f>
        <v>5.99</v>
      </c>
      <c r="M31" s="163" t="str" cm="1">
        <f t="array" aca="1" ref="M31" ca="1">IFERROR(print_SF('EF Table_detail'!N28),"")</f>
        <v>4.99</v>
      </c>
      <c r="N31" s="152" t="str" cm="1">
        <f t="array" aca="1" ref="N31" ca="1">IFERROR(print_SF('EF Table_detail'!O28),"")</f>
        <v>2.80</v>
      </c>
      <c r="O31" s="166" t="str" cm="1">
        <f t="array" aca="1" ref="O31" ca="1">IFERROR(print_SF('EF Table_detail'!P28),"")</f>
        <v>3.51</v>
      </c>
      <c r="P31" s="165" t="str" cm="1">
        <f t="array" aca="1" ref="P31" ca="1">IFERROR(print_SF('EF Table_detail'!U28),"")</f>
        <v>0</v>
      </c>
      <c r="Q31" s="166" t="str" cm="1">
        <f t="array" aca="1" ref="Q31" ca="1">IFERROR(print_SF('EF Table_detail'!W28),"")</f>
        <v>0</v>
      </c>
      <c r="R31" s="177" t="str" cm="1">
        <f t="array" aca="1" ref="R31" ca="1">IFERROR(print_SF('EF Table_detail'!Y28),"")</f>
        <v>1,000</v>
      </c>
      <c r="S31" s="178" t="str">
        <f ca="1">'EF Table_detail'!Z28</f>
        <v>kg/tonne</v>
      </c>
      <c r="T31" s="179" t="str">
        <f ca="1">'EF Table_detail'!AA28</f>
        <v/>
      </c>
      <c r="U31" s="180" t="str">
        <f ca="1">'EF Table_detail'!AB28</f>
        <v>No</v>
      </c>
      <c r="V31" s="140"/>
    </row>
    <row r="32" spans="1:22" ht="45" customHeight="1" x14ac:dyDescent="0.25">
      <c r="A32" s="147" t="str">
        <f>'EF Table_detail'!A29</f>
        <v>Timber</v>
      </c>
      <c r="B32" s="148" t="str">
        <f>'EF Table_detail'!B29</f>
        <v>Softwood</v>
      </c>
      <c r="C32" s="149" t="str">
        <f>HYPERLINK("#"&amp;'EF Table_detail'!$C29&amp;"!A1",'EF Table_detail'!$C29)</f>
        <v>Timber_softwood</v>
      </c>
      <c r="D32" s="150" t="str">
        <f ca="1">'EF Table_detail'!D29</f>
        <v>Softwood timber. Most common species radiata pine. Includes treated, untreated, surfaced, and sawn products.</v>
      </c>
      <c r="E32" s="148" t="str">
        <f ca="1">'EF Table_detail'!F29</f>
        <v>m³</v>
      </c>
      <c r="F32" s="148" t="str">
        <f ca="1">'EF Table_detail'!G29</f>
        <v>Tier 2</v>
      </c>
      <c r="G32" s="159">
        <f ca="1">'EF Table_detail'!H29</f>
        <v>1.05</v>
      </c>
      <c r="H32" s="157" t="str" cm="1">
        <f t="array" aca="1" ref="H32" ca="1">IFERROR(print_SF('EF Table_detail'!M29),"")</f>
        <v>349</v>
      </c>
      <c r="I32" s="160" t="str" cm="1">
        <f t="array" aca="1" ref="I32" ca="1">IFERROR(print_SF('EF Table_detail'!I29),"")</f>
        <v>332</v>
      </c>
      <c r="J32" s="151" t="str" cm="1">
        <f t="array" aca="1" ref="J32" ca="1">IFERROR(print_SF('EF Table_detail'!J29),"")</f>
        <v>113</v>
      </c>
      <c r="K32" s="162" t="str" cm="1">
        <f t="array" aca="1" ref="K32" ca="1">IFERROR(print_SF('EF Table_detail'!K29),"")</f>
        <v>188</v>
      </c>
      <c r="L32" s="157" t="str" cm="1">
        <f t="array" aca="1" ref="L32" ca="1">IFERROR(print_SF('EF Table_detail'!R29),"")</f>
        <v>0.633</v>
      </c>
      <c r="M32" s="163" t="str" cm="1">
        <f t="array" aca="1" ref="M32" ca="1">IFERROR(print_SF('EF Table_detail'!N29),"")</f>
        <v>0.603</v>
      </c>
      <c r="N32" s="152" t="str" cm="1">
        <f t="array" aca="1" ref="N32" ca="1">IFERROR(print_SF('EF Table_detail'!O29),"")</f>
        <v>0.205</v>
      </c>
      <c r="O32" s="166" t="str" cm="1">
        <f t="array" aca="1" ref="O32" ca="1">IFERROR(print_SF('EF Table_detail'!P29),"")</f>
        <v>0.366</v>
      </c>
      <c r="P32" s="165" t="str" cm="1">
        <f t="array" aca="1" ref="P32" ca="1">IFERROR(print_SF('EF Table_detail'!U29),"")</f>
        <v>857</v>
      </c>
      <c r="Q32" s="166" t="str" cm="1">
        <f t="array" aca="1" ref="Q32" ca="1">IFERROR(print_SF('EF Table_detail'!W29),"")</f>
        <v>1.64</v>
      </c>
      <c r="R32" s="177" t="str" cm="1">
        <f t="array" aca="1" ref="R32" ca="1">IFERROR(print_SF('EF Table_detail'!Y29),"")</f>
        <v>514</v>
      </c>
      <c r="S32" s="178" t="str">
        <f ca="1">'EF Table_detail'!Z29</f>
        <v>kg/m³</v>
      </c>
      <c r="T32" s="179" t="str">
        <f ca="1">'EF Table_detail'!AA29</f>
        <v xml:space="preserve">The NABERS rating tool will only include carbon storage where a material will be expected to last more than 20 years within the building and where it has been sourced from a sustainable forest. </v>
      </c>
      <c r="U32" s="180" t="str">
        <f ca="1">'EF Table_detail'!AB29</f>
        <v>Yes</v>
      </c>
      <c r="V32" s="140"/>
    </row>
    <row r="33" spans="1:22" ht="45" customHeight="1" x14ac:dyDescent="0.25">
      <c r="A33" s="147" t="str">
        <f>'EF Table_detail'!A30</f>
        <v>Timber</v>
      </c>
      <c r="B33" s="148" t="str">
        <f>'EF Table_detail'!B30</f>
        <v>Hardwood</v>
      </c>
      <c r="C33" s="149" t="str">
        <f>HYPERLINK("#"&amp;'EF Table_detail'!$C30&amp;"!A1",'EF Table_detail'!$C30)</f>
        <v>Timber_hardwood</v>
      </c>
      <c r="D33" s="150" t="str">
        <f ca="1">'EF Table_detail'!D30</f>
        <v>Hardwood timber. Includes treated, untreated, dressed, and sawn products.</v>
      </c>
      <c r="E33" s="148" t="str">
        <f ca="1">'EF Table_detail'!F30</f>
        <v>m³</v>
      </c>
      <c r="F33" s="148" t="str">
        <f ca="1">'EF Table_detail'!G30</f>
        <v>Tier 2</v>
      </c>
      <c r="G33" s="159">
        <f ca="1">'EF Table_detail'!H30</f>
        <v>1.05</v>
      </c>
      <c r="H33" s="157" t="str" cm="1">
        <f t="array" aca="1" ref="H33" ca="1">IFERROR(print_SF('EF Table_detail'!M30),"")</f>
        <v>591</v>
      </c>
      <c r="I33" s="160" t="str" cm="1">
        <f t="array" aca="1" ref="I33" ca="1">IFERROR(print_SF('EF Table_detail'!I30),"")</f>
        <v>563</v>
      </c>
      <c r="J33" s="151" t="str" cm="1">
        <f t="array" aca="1" ref="J33" ca="1">IFERROR(print_SF('EF Table_detail'!J30),"")</f>
        <v>104</v>
      </c>
      <c r="K33" s="162" t="str" cm="1">
        <f t="array" aca="1" ref="K33" ca="1">IFERROR(print_SF('EF Table_detail'!K30),"")</f>
        <v>347</v>
      </c>
      <c r="L33" s="157" t="str" cm="1">
        <f t="array" aca="1" ref="L33" ca="1">IFERROR(print_SF('EF Table_detail'!R30),"")</f>
        <v>0.804</v>
      </c>
      <c r="M33" s="163" t="str" cm="1">
        <f t="array" aca="1" ref="M33" ca="1">IFERROR(print_SF('EF Table_detail'!N30),"")</f>
        <v>0.765</v>
      </c>
      <c r="N33" s="152" t="str" cm="1">
        <f t="array" aca="1" ref="N33" ca="1">IFERROR(print_SF('EF Table_detail'!O30),"")</f>
        <v>0.126</v>
      </c>
      <c r="O33" s="166" t="str" cm="1">
        <f t="array" aca="1" ref="O33" ca="1">IFERROR(print_SF('EF Table_detail'!P30),"")</f>
        <v>0.466</v>
      </c>
      <c r="P33" s="165" t="str" cm="1">
        <f t="array" aca="1" ref="P33" ca="1">IFERROR(print_SF('EF Table_detail'!U30),"")</f>
        <v>1,170</v>
      </c>
      <c r="Q33" s="166" t="str" cm="1">
        <f t="array" aca="1" ref="Q33" ca="1">IFERROR(print_SF('EF Table_detail'!W30),"")</f>
        <v>1.54</v>
      </c>
      <c r="R33" s="177" t="str" cm="1">
        <f t="array" aca="1" ref="R33" ca="1">IFERROR(print_SF('EF Table_detail'!Y30),"")</f>
        <v>744</v>
      </c>
      <c r="S33" s="178" t="str">
        <f ca="1">'EF Table_detail'!Z30</f>
        <v>kg/m³</v>
      </c>
      <c r="T33" s="179" t="str">
        <f ca="1">'EF Table_detail'!AA30</f>
        <v xml:space="preserve">The NABERS rating tool will only include carbon storage where a material will be expected to last more than 20 years within the building and where it has been sourced from a sustainable forest. </v>
      </c>
      <c r="U33" s="180" t="str">
        <f ca="1">'EF Table_detail'!AB30</f>
        <v>No</v>
      </c>
      <c r="V33" s="140"/>
    </row>
    <row r="34" spans="1:22" ht="45" customHeight="1" x14ac:dyDescent="0.25">
      <c r="A34" s="147" t="str">
        <f>'EF Table_detail'!A31</f>
        <v>Timber</v>
      </c>
      <c r="B34" s="148" t="str">
        <f>'EF Table_detail'!B31</f>
        <v>Timber poles - piles</v>
      </c>
      <c r="C34" s="149" t="str">
        <f>HYPERLINK("#"&amp;'EF Table_detail'!$C31&amp;"!A1",'EF Table_detail'!$C31)</f>
        <v>Timber_hardwood</v>
      </c>
      <c r="D34" s="150" t="str">
        <f ca="1">'EF Table_detail'!D31</f>
        <v>Hardwood timber. Includes treated, untreated, dressed, and sawn products.</v>
      </c>
      <c r="E34" s="148" t="str">
        <f ca="1">'EF Table_detail'!F31</f>
        <v>m³</v>
      </c>
      <c r="F34" s="148" t="str">
        <f ca="1">'EF Table_detail'!G31</f>
        <v>Tier 2</v>
      </c>
      <c r="G34" s="159">
        <f ca="1">'EF Table_detail'!H31</f>
        <v>1.05</v>
      </c>
      <c r="H34" s="157" t="str" cm="1">
        <f t="array" aca="1" ref="H34" ca="1">IFERROR(print_SF('EF Table_detail'!M31),"")</f>
        <v>591</v>
      </c>
      <c r="I34" s="160" t="str" cm="1">
        <f t="array" aca="1" ref="I34" ca="1">IFERROR(print_SF('EF Table_detail'!I31),"")</f>
        <v>563</v>
      </c>
      <c r="J34" s="151" t="str" cm="1">
        <f t="array" aca="1" ref="J34" ca="1">IFERROR(print_SF('EF Table_detail'!J31),"")</f>
        <v>104</v>
      </c>
      <c r="K34" s="162" t="str" cm="1">
        <f t="array" aca="1" ref="K34" ca="1">IFERROR(print_SF('EF Table_detail'!K31),"")</f>
        <v>347</v>
      </c>
      <c r="L34" s="157" t="str" cm="1">
        <f t="array" aca="1" ref="L34" ca="1">IFERROR(print_SF('EF Table_detail'!R31),"")</f>
        <v>0.804</v>
      </c>
      <c r="M34" s="163" t="str" cm="1">
        <f t="array" aca="1" ref="M34" ca="1">IFERROR(print_SF('EF Table_detail'!N31),"")</f>
        <v>0.765</v>
      </c>
      <c r="N34" s="152" t="str" cm="1">
        <f t="array" aca="1" ref="N34" ca="1">IFERROR(print_SF('EF Table_detail'!O31),"")</f>
        <v>0.126</v>
      </c>
      <c r="O34" s="166" t="str" cm="1">
        <f t="array" aca="1" ref="O34" ca="1">IFERROR(print_SF('EF Table_detail'!P31),"")</f>
        <v>0.466</v>
      </c>
      <c r="P34" s="165" t="str" cm="1">
        <f t="array" aca="1" ref="P34" ca="1">IFERROR(print_SF('EF Table_detail'!U31),"")</f>
        <v>1,170</v>
      </c>
      <c r="Q34" s="166" t="str" cm="1">
        <f t="array" aca="1" ref="Q34" ca="1">IFERROR(print_SF('EF Table_detail'!W31),"")</f>
        <v>1.54</v>
      </c>
      <c r="R34" s="177" t="str" cm="1">
        <f t="array" aca="1" ref="R34" ca="1">IFERROR(print_SF('EF Table_detail'!Y31),"")</f>
        <v>744</v>
      </c>
      <c r="S34" s="178" t="str">
        <f ca="1">'EF Table_detail'!Z31</f>
        <v>kg/m³</v>
      </c>
      <c r="T34" s="179" t="str">
        <f ca="1">'EF Table_detail'!AA31</f>
        <v xml:space="preserve">The NABERS rating tool will only include carbon storage where a material will be expected to last more than 20 years within the building and where it has been sourced from a sustainable forest. </v>
      </c>
      <c r="U34" s="180" t="str">
        <f ca="1">'EF Table_detail'!AB31</f>
        <v>No</v>
      </c>
      <c r="V34" s="140"/>
    </row>
    <row r="35" spans="1:22" ht="45" customHeight="1" x14ac:dyDescent="0.25">
      <c r="A35" s="147" t="str">
        <f>'EF Table_detail'!A32</f>
        <v>Timber (engineered)</v>
      </c>
      <c r="B35" s="148" t="str">
        <f>'EF Table_detail'!B32</f>
        <v>Plywood</v>
      </c>
      <c r="C35" s="149" t="str">
        <f>HYPERLINK("#"&amp;'EF Table_detail'!$C32&amp;"!A1",'EF Table_detail'!$C32)</f>
        <v>Eng_Timber_Plywood</v>
      </c>
      <c r="D35" s="150" t="str">
        <f ca="1">'EF Table_detail'!D32</f>
        <v xml:space="preserve">Plywood timber for bracing, structural (walling, flooring), formwork purposes. </v>
      </c>
      <c r="E35" s="148" t="str">
        <f ca="1">'EF Table_detail'!F32</f>
        <v>m³</v>
      </c>
      <c r="F35" s="148" t="str">
        <f ca="1">'EF Table_detail'!G32</f>
        <v>Tier 2</v>
      </c>
      <c r="G35" s="159">
        <f ca="1">'EF Table_detail'!H32</f>
        <v>1.05</v>
      </c>
      <c r="H35" s="157" t="str" cm="1">
        <f t="array" aca="1" ref="H35" ca="1">IFERROR(print_SF('EF Table_detail'!M32),"")</f>
        <v>968</v>
      </c>
      <c r="I35" s="160" t="str" cm="1">
        <f t="array" aca="1" ref="I35" ca="1">IFERROR(print_SF('EF Table_detail'!I32),"")</f>
        <v>922</v>
      </c>
      <c r="J35" s="151" t="str" cm="1">
        <f t="array" aca="1" ref="J35" ca="1">IFERROR(print_SF('EF Table_detail'!J32),"")</f>
        <v>235</v>
      </c>
      <c r="K35" s="162" t="str" cm="1">
        <f t="array" aca="1" ref="K35" ca="1">IFERROR(print_SF('EF Table_detail'!K32),"")</f>
        <v>498</v>
      </c>
      <c r="L35" s="157" t="str" cm="1">
        <f t="array" aca="1" ref="L35" ca="1">IFERROR(print_SF('EF Table_detail'!R32),"")</f>
        <v>1.77</v>
      </c>
      <c r="M35" s="163" t="str" cm="1">
        <f t="array" aca="1" ref="M35" ca="1">IFERROR(print_SF('EF Table_detail'!N32),"")</f>
        <v>1.69</v>
      </c>
      <c r="N35" s="152" t="str" cm="1">
        <f t="array" aca="1" ref="N35" ca="1">IFERROR(print_SF('EF Table_detail'!O32),"")</f>
        <v>0.396</v>
      </c>
      <c r="O35" s="166" t="str" cm="1">
        <f t="array" aca="1" ref="O35" ca="1">IFERROR(print_SF('EF Table_detail'!P32),"")</f>
        <v>0.978</v>
      </c>
      <c r="P35" s="165" t="str" cm="1">
        <f t="array" aca="1" ref="P35" ca="1">IFERROR(print_SF('EF Table_detail'!U32),"")</f>
        <v>841</v>
      </c>
      <c r="Q35" s="166" t="str" cm="1">
        <f t="array" aca="1" ref="Q35" ca="1">IFERROR(print_SF('EF Table_detail'!W32),"")</f>
        <v>1.64</v>
      </c>
      <c r="R35" s="177" t="str" cm="1">
        <f t="array" aca="1" ref="R35" ca="1">IFERROR(print_SF('EF Table_detail'!Y32),"")</f>
        <v>509</v>
      </c>
      <c r="S35" s="178" t="str">
        <f ca="1">'EF Table_detail'!Z32</f>
        <v>kg/m³</v>
      </c>
      <c r="T35" s="179" t="str">
        <f ca="1">'EF Table_detail'!AA32</f>
        <v xml:space="preserve">The NABERS rating tool will only include carbon storage where a material will be expected to last more than 20 years within the building and where it has been sourced from a sustainable forest. </v>
      </c>
      <c r="U35" s="180" t="str">
        <f ca="1">'EF Table_detail'!AB32</f>
        <v>Yes</v>
      </c>
      <c r="V35" s="140"/>
    </row>
    <row r="36" spans="1:22" ht="45" customHeight="1" x14ac:dyDescent="0.25">
      <c r="A36" s="147" t="str">
        <f>'EF Table_detail'!A33</f>
        <v>Timber (engineered)</v>
      </c>
      <c r="B36" s="148" t="str">
        <f>'EF Table_detail'!B33</f>
        <v>Particleboard</v>
      </c>
      <c r="C36" s="149" t="str">
        <f>HYPERLINK("#"&amp;'EF Table_detail'!$C33&amp;"!A1",'EF Table_detail'!$C33)</f>
        <v>Eng_Timber_Particleboard</v>
      </c>
      <c r="D36" s="150" t="str">
        <f ca="1">'EF Table_detail'!D33</f>
        <v xml:space="preserve">Particleboard including walling and flooring applications </v>
      </c>
      <c r="E36" s="148" t="str">
        <f ca="1">'EF Table_detail'!F33</f>
        <v>m³</v>
      </c>
      <c r="F36" s="148" t="str">
        <f ca="1">'EF Table_detail'!G33</f>
        <v>Tier 2</v>
      </c>
      <c r="G36" s="159">
        <f ca="1">'EF Table_detail'!H33</f>
        <v>1.05</v>
      </c>
      <c r="H36" s="157" t="str" cm="1">
        <f t="array" aca="1" ref="H36" ca="1">IFERROR(print_SF('EF Table_detail'!M33),"")</f>
        <v>880</v>
      </c>
      <c r="I36" s="160" t="str" cm="1">
        <f t="array" aca="1" ref="I36" ca="1">IFERROR(print_SF('EF Table_detail'!I33),"")</f>
        <v>838</v>
      </c>
      <c r="J36" s="151" t="str" cm="1">
        <f t="array" aca="1" ref="J36" ca="1">IFERROR(print_SF('EF Table_detail'!J33),"")</f>
        <v>322</v>
      </c>
      <c r="K36" s="162" t="str" cm="1">
        <f t="array" aca="1" ref="K36" ca="1">IFERROR(print_SF('EF Table_detail'!K33),"")</f>
        <v>650</v>
      </c>
      <c r="L36" s="157" t="str" cm="1">
        <f t="array" aca="1" ref="L36" ca="1">IFERROR(print_SF('EF Table_detail'!R33),"")</f>
        <v>1.23</v>
      </c>
      <c r="M36" s="163" t="str" cm="1">
        <f t="array" aca="1" ref="M36" ca="1">IFERROR(print_SF('EF Table_detail'!N33),"")</f>
        <v>1.17</v>
      </c>
      <c r="N36" s="152" t="str" cm="1">
        <f t="array" aca="1" ref="N36" ca="1">IFERROR(print_SF('EF Table_detail'!O33),"")</f>
        <v>0.488</v>
      </c>
      <c r="O36" s="166" t="str" cm="1">
        <f t="array" aca="1" ref="O36" ca="1">IFERROR(print_SF('EF Table_detail'!P33),"")</f>
        <v>0.915</v>
      </c>
      <c r="P36" s="165" t="str" cm="1">
        <f t="array" aca="1" ref="P36" ca="1">IFERROR(print_SF('EF Table_detail'!U33),"")</f>
        <v>1,140</v>
      </c>
      <c r="Q36" s="166" t="str" cm="1">
        <f t="array" aca="1" ref="Q36" ca="1">IFERROR(print_SF('EF Table_detail'!W33),"")</f>
        <v>1.62</v>
      </c>
      <c r="R36" s="177" t="str" cm="1">
        <f t="array" aca="1" ref="R36" ca="1">IFERROR(print_SF('EF Table_detail'!Y33),"")</f>
        <v>711</v>
      </c>
      <c r="S36" s="178" t="str">
        <f ca="1">'EF Table_detail'!Z33</f>
        <v>kg/m³</v>
      </c>
      <c r="T36" s="179" t="str">
        <f ca="1">'EF Table_detail'!AA33</f>
        <v xml:space="preserve">The NABERS rating tool will only include carbon storage where a material will be expected to last more than 20 years within the building and where it has been sourced from a sustainable forest. </v>
      </c>
      <c r="U36" s="180" t="str">
        <f ca="1">'EF Table_detail'!AB33</f>
        <v>Yes</v>
      </c>
      <c r="V36" s="140"/>
    </row>
    <row r="37" spans="1:22" ht="45" customHeight="1" x14ac:dyDescent="0.25">
      <c r="A37" s="147" t="str">
        <f>'EF Table_detail'!A34</f>
        <v>Timber (engineered)</v>
      </c>
      <c r="B37" s="148" t="str">
        <f>'EF Table_detail'!B34</f>
        <v>GLT &amp; CLT (softwood)</v>
      </c>
      <c r="C37" s="149" t="str">
        <f>HYPERLINK("#"&amp;'EF Table_detail'!$C34&amp;"!A1",'EF Table_detail'!$C34)</f>
        <v>Eng_Timber_GLT_CLT_Soft</v>
      </c>
      <c r="D37" s="150" t="str">
        <f ca="1">'EF Table_detail'!D34</f>
        <v>Softwood glue laminated timber (GLT) or cross laminated timber (CLT) including treated and untreated.</v>
      </c>
      <c r="E37" s="148" t="str">
        <f ca="1">'EF Table_detail'!F34</f>
        <v>m³</v>
      </c>
      <c r="F37" s="148" t="str">
        <f ca="1">'EF Table_detail'!G34</f>
        <v>Tier 2</v>
      </c>
      <c r="G37" s="159">
        <f ca="1">'EF Table_detail'!H34</f>
        <v>1.05</v>
      </c>
      <c r="H37" s="157" t="str" cm="1">
        <f t="array" aca="1" ref="H37" ca="1">IFERROR(print_SF('EF Table_detail'!M34),"")</f>
        <v>565</v>
      </c>
      <c r="I37" s="160" t="str" cm="1">
        <f t="array" aca="1" ref="I37" ca="1">IFERROR(print_SF('EF Table_detail'!I34),"")</f>
        <v>539</v>
      </c>
      <c r="J37" s="151" t="str" cm="1">
        <f t="array" aca="1" ref="J37" ca="1">IFERROR(print_SF('EF Table_detail'!J34),"")</f>
        <v>53.8</v>
      </c>
      <c r="K37" s="162" t="str" cm="1">
        <f t="array" aca="1" ref="K37" ca="1">IFERROR(print_SF('EF Table_detail'!K34),"")</f>
        <v>242</v>
      </c>
      <c r="L37" s="157" t="str" cm="1">
        <f t="array" aca="1" ref="L37" ca="1">IFERROR(print_SF('EF Table_detail'!R34),"")</f>
        <v>1.26</v>
      </c>
      <c r="M37" s="163" t="str" cm="1">
        <f t="array" aca="1" ref="M37" ca="1">IFERROR(print_SF('EF Table_detail'!N34),"")</f>
        <v>1.20</v>
      </c>
      <c r="N37" s="152" t="str" cm="1">
        <f t="array" aca="1" ref="N37" ca="1">IFERROR(print_SF('EF Table_detail'!O34),"")</f>
        <v>0.114</v>
      </c>
      <c r="O37" s="166" t="str" cm="1">
        <f t="array" aca="1" ref="O37" ca="1">IFERROR(print_SF('EF Table_detail'!P34),"")</f>
        <v>0.467</v>
      </c>
      <c r="P37" s="165" t="str" cm="1">
        <f t="array" aca="1" ref="P37" ca="1">IFERROR(print_SF('EF Table_detail'!U34),"")</f>
        <v>823</v>
      </c>
      <c r="Q37" s="166" t="str" cm="1">
        <f t="array" aca="1" ref="Q37" ca="1">IFERROR(print_SF('EF Table_detail'!W34),"")</f>
        <v>1.61</v>
      </c>
      <c r="R37" s="177" t="str" cm="1">
        <f t="array" aca="1" ref="R37" ca="1">IFERROR(print_SF('EF Table_detail'!Y34),"")</f>
        <v>518</v>
      </c>
      <c r="S37" s="178" t="str">
        <f ca="1">'EF Table_detail'!Z34</f>
        <v>kg/m³</v>
      </c>
      <c r="T37" s="179" t="str">
        <f ca="1">'EF Table_detail'!AA34</f>
        <v xml:space="preserve">The NABERS rating tool will only include carbon storage where a material will be expected to last more than 20 years within the building and where it has been sourced from a sustainable forest. </v>
      </c>
      <c r="U37" s="180" t="str">
        <f ca="1">'EF Table_detail'!AB34</f>
        <v>Yes</v>
      </c>
      <c r="V37" s="140"/>
    </row>
    <row r="38" spans="1:22" ht="45" customHeight="1" x14ac:dyDescent="0.25">
      <c r="A38" s="147" t="str">
        <f>'EF Table_detail'!A35</f>
        <v>Timber (engineered)</v>
      </c>
      <c r="B38" s="148" t="str">
        <f>'EF Table_detail'!B35</f>
        <v>GLT &amp; CLT (hardwood)</v>
      </c>
      <c r="C38" s="149" t="str">
        <f>HYPERLINK("#"&amp;'EF Table_detail'!$C35&amp;"!A1",'EF Table_detail'!$C35)</f>
        <v>Eng_Timber_GLT_CLT_Hard</v>
      </c>
      <c r="D38" s="150" t="str">
        <f ca="1">'EF Table_detail'!D35</f>
        <v>Hardwood glue laminated timber (GLT) or cross laminated timber (CLT) including treated and untreated.</v>
      </c>
      <c r="E38" s="148" t="str">
        <f ca="1">'EF Table_detail'!F35</f>
        <v>m³</v>
      </c>
      <c r="F38" s="148" t="str">
        <f ca="1">'EF Table_detail'!G35</f>
        <v>Tier 3</v>
      </c>
      <c r="G38" s="159">
        <f ca="1">'EF Table_detail'!H35</f>
        <v>1.1000000000000001</v>
      </c>
      <c r="H38" s="157" t="str" cm="1">
        <f t="array" aca="1" ref="H38" ca="1">IFERROR(print_SF('EF Table_detail'!M35),"")</f>
        <v>841</v>
      </c>
      <c r="I38" s="160" t="str" cm="1">
        <f t="array" aca="1" ref="I38" ca="1">IFERROR(print_SF('EF Table_detail'!I35),"")</f>
        <v>765</v>
      </c>
      <c r="J38" s="151" t="str" cm="1">
        <f t="array" aca="1" ref="J38" ca="1">IFERROR(print_SF('EF Table_detail'!J35),"")</f>
        <v>627</v>
      </c>
      <c r="K38" s="162" t="str" cm="1">
        <f t="array" aca="1" ref="K38" ca="1">IFERROR(print_SF('EF Table_detail'!K35),"")</f>
        <v>690</v>
      </c>
      <c r="L38" s="157" t="str" cm="1">
        <f t="array" aca="1" ref="L38" ca="1">IFERROR(print_SF('EF Table_detail'!R35),"")</f>
        <v>1.25</v>
      </c>
      <c r="M38" s="163" t="str" cm="1">
        <f t="array" aca="1" ref="M38" ca="1">IFERROR(print_SF('EF Table_detail'!N35),"")</f>
        <v>1.13</v>
      </c>
      <c r="N38" s="152" t="str" cm="1">
        <f t="array" aca="1" ref="N38" ca="1">IFERROR(print_SF('EF Table_detail'!O35),"")</f>
        <v>0.930</v>
      </c>
      <c r="O38" s="166" t="str" cm="1">
        <f t="array" aca="1" ref="O38" ca="1">IFERROR(print_SF('EF Table_detail'!P35),"")</f>
        <v>1.02</v>
      </c>
      <c r="P38" s="165" t="str" cm="1">
        <f t="array" aca="1" ref="P38" ca="1">IFERROR(print_SF('EF Table_detail'!U35),"")</f>
        <v>1,090</v>
      </c>
      <c r="Q38" s="166" t="str" cm="1">
        <f t="array" aca="1" ref="Q38" ca="1">IFERROR(print_SF('EF Table_detail'!W35),"")</f>
        <v>1.61</v>
      </c>
      <c r="R38" s="177" t="str" cm="1">
        <f t="array" aca="1" ref="R38" ca="1">IFERROR(print_SF('EF Table_detail'!Y35),"")</f>
        <v>674</v>
      </c>
      <c r="S38" s="178" t="str">
        <f ca="1">'EF Table_detail'!Z35</f>
        <v>kg/m³</v>
      </c>
      <c r="T38" s="179" t="str">
        <f ca="1">'EF Table_detail'!AA35</f>
        <v xml:space="preserve">The NABERS rating tool will only include carbon storage where a material will be expected to last more than 20 years within the building and where it has been sourced from a sustainable forest. </v>
      </c>
      <c r="U38" s="180" t="str">
        <f ca="1">'EF Table_detail'!AB35</f>
        <v>Yes</v>
      </c>
      <c r="V38" s="140"/>
    </row>
    <row r="39" spans="1:22" ht="45" customHeight="1" x14ac:dyDescent="0.25">
      <c r="A39" s="147" t="str">
        <f>'EF Table_detail'!A36</f>
        <v>Timber (engineered)</v>
      </c>
      <c r="B39" s="148" t="str">
        <f>'EF Table_detail'!B36</f>
        <v>LVL</v>
      </c>
      <c r="C39" s="149" t="str">
        <f>HYPERLINK("#"&amp;'EF Table_detail'!$C36&amp;"!A1",'EF Table_detail'!$C36)</f>
        <v>Eng_Timber_LVL</v>
      </c>
      <c r="D39" s="150" t="str">
        <f ca="1">'EF Table_detail'!D36</f>
        <v>Laminated veneer timber (LVL) including treated and untreated.</v>
      </c>
      <c r="E39" s="148" t="str">
        <f ca="1">'EF Table_detail'!F36</f>
        <v>m³</v>
      </c>
      <c r="F39" s="148" t="str">
        <f ca="1">'EF Table_detail'!G36</f>
        <v>Tier 3</v>
      </c>
      <c r="G39" s="159">
        <f ca="1">'EF Table_detail'!H36</f>
        <v>1.1000000000000001</v>
      </c>
      <c r="H39" s="157" t="str" cm="1">
        <f t="array" aca="1" ref="H39" ca="1">IFERROR(print_SF('EF Table_detail'!M36),"")</f>
        <v>442</v>
      </c>
      <c r="I39" s="160" t="str" cm="1">
        <f t="array" aca="1" ref="I39" ca="1">IFERROR(print_SF('EF Table_detail'!I36),"")</f>
        <v>402</v>
      </c>
      <c r="J39" s="151" t="str" cm="1">
        <f t="array" aca="1" ref="J39" ca="1">IFERROR(print_SF('EF Table_detail'!J36),"")</f>
        <v>94.4</v>
      </c>
      <c r="K39" s="162" t="str" cm="1">
        <f t="array" aca="1" ref="K39" ca="1">IFERROR(print_SF('EF Table_detail'!K36),"")</f>
        <v>298</v>
      </c>
      <c r="L39" s="157" t="str" cm="1">
        <f t="array" aca="1" ref="L39" ca="1">IFERROR(print_SF('EF Table_detail'!R36),"")</f>
        <v>1.00</v>
      </c>
      <c r="M39" s="163" t="str" cm="1">
        <f t="array" aca="1" ref="M39" ca="1">IFERROR(print_SF('EF Table_detail'!N36),"")</f>
        <v>0.913</v>
      </c>
      <c r="N39" s="152" t="str" cm="1">
        <f t="array" aca="1" ref="N39" ca="1">IFERROR(print_SF('EF Table_detail'!O36),"")</f>
        <v>0.155</v>
      </c>
      <c r="O39" s="166" t="str" cm="1">
        <f t="array" aca="1" ref="O39" ca="1">IFERROR(print_SF('EF Table_detail'!P36),"")</f>
        <v>0.587</v>
      </c>
      <c r="P39" s="165" t="str" cm="1">
        <f t="array" aca="1" ref="P39" ca="1">IFERROR(print_SF('EF Table_detail'!U36),"")</f>
        <v>843</v>
      </c>
      <c r="Q39" s="166" t="str" cm="1">
        <f t="array" aca="1" ref="Q39" ca="1">IFERROR(print_SF('EF Table_detail'!W36),"")</f>
        <v>1.60</v>
      </c>
      <c r="R39" s="177" t="str" cm="1">
        <f t="array" aca="1" ref="R39" ca="1">IFERROR(print_SF('EF Table_detail'!Y36),"")</f>
        <v>507</v>
      </c>
      <c r="S39" s="178" t="str">
        <f ca="1">'EF Table_detail'!Z36</f>
        <v>kg/m³</v>
      </c>
      <c r="T39" s="179" t="str">
        <f ca="1">'EF Table_detail'!AA36</f>
        <v xml:space="preserve">The NABERS rating tool will only include carbon storage where a material will be expected to last more than 20 years within the building and where it has been sourced from a sustainable forest. </v>
      </c>
      <c r="U39" s="180" t="str">
        <f ca="1">'EF Table_detail'!AB36</f>
        <v>No</v>
      </c>
      <c r="V39" s="140"/>
    </row>
    <row r="40" spans="1:22" ht="45" customHeight="1" x14ac:dyDescent="0.25">
      <c r="A40" s="147" t="str">
        <f>'EF Table_detail'!A37</f>
        <v>Timber (engineered)</v>
      </c>
      <c r="B40" s="148" t="str">
        <f>'EF Table_detail'!B37</f>
        <v>OSB</v>
      </c>
      <c r="C40" s="149" t="str">
        <f>HYPERLINK("#"&amp;'EF Table_detail'!$C37&amp;"!A1",'EF Table_detail'!$C37)</f>
        <v>Eng_Timber_OSB</v>
      </c>
      <c r="D40" s="150" t="str">
        <f ca="1">'EF Table_detail'!D37</f>
        <v>Oriented strand board (OSB).</v>
      </c>
      <c r="E40" s="148" t="str">
        <f ca="1">'EF Table_detail'!F37</f>
        <v>m³</v>
      </c>
      <c r="F40" s="148" t="str">
        <f ca="1">'EF Table_detail'!G37</f>
        <v>Tier 4</v>
      </c>
      <c r="G40" s="159">
        <f ca="1">'EF Table_detail'!H37</f>
        <v>1.2</v>
      </c>
      <c r="H40" s="157" t="str" cm="1">
        <f t="array" aca="1" ref="H40" ca="1">IFERROR(print_SF('EF Table_detail'!M37),"")</f>
        <v>461</v>
      </c>
      <c r="I40" s="160" t="str" cm="1">
        <f t="array" aca="1" ref="I40" ca="1">IFERROR(print_SF('EF Table_detail'!I37),"")</f>
        <v>384</v>
      </c>
      <c r="J40" s="151" t="str" cm="1">
        <f t="array" aca="1" ref="J40" ca="1">IFERROR(print_SF('EF Table_detail'!J37),"")</f>
        <v>101</v>
      </c>
      <c r="K40" s="162" t="str" cm="1">
        <f t="array" aca="1" ref="K40" ca="1">IFERROR(print_SF('EF Table_detail'!K37),"")</f>
        <v>194</v>
      </c>
      <c r="L40" s="157" t="str" cm="1">
        <f t="array" aca="1" ref="L40" ca="1">IFERROR(print_SF('EF Table_detail'!R37),"")</f>
        <v>0.767</v>
      </c>
      <c r="M40" s="163" t="str" cm="1">
        <f t="array" aca="1" ref="M40" ca="1">IFERROR(print_SF('EF Table_detail'!N37),"")</f>
        <v>0.640</v>
      </c>
      <c r="N40" s="152" t="str" cm="1">
        <f t="array" aca="1" ref="N40" ca="1">IFERROR(print_SF('EF Table_detail'!O37),"")</f>
        <v>0.165</v>
      </c>
      <c r="O40" s="166" t="str" cm="1">
        <f t="array" aca="1" ref="O40" ca="1">IFERROR(print_SF('EF Table_detail'!P37),"")</f>
        <v>0.318</v>
      </c>
      <c r="P40" s="165" t="str" cm="1">
        <f t="array" aca="1" ref="P40" ca="1">IFERROR(print_SF('EF Table_detail'!U37),"")</f>
        <v>1,020</v>
      </c>
      <c r="Q40" s="166" t="str" cm="1">
        <f t="array" aca="1" ref="Q40" ca="1">IFERROR(print_SF('EF Table_detail'!W37),"")</f>
        <v>1.66</v>
      </c>
      <c r="R40" s="177" t="str" cm="1">
        <f t="array" aca="1" ref="R40" ca="1">IFERROR(print_SF('EF Table_detail'!Y37),"")</f>
        <v>610</v>
      </c>
      <c r="S40" s="178" t="str">
        <f ca="1">'EF Table_detail'!Z37</f>
        <v>kg/m³</v>
      </c>
      <c r="T40" s="179" t="str">
        <f ca="1">'EF Table_detail'!AA37</f>
        <v xml:space="preserve">The NABERS rating tool will only include carbon storage where a material will be expected to last more than 20 years within the building and where it has been sourced from a sustainable forest. </v>
      </c>
      <c r="U40" s="180" t="str">
        <f ca="1">'EF Table_detail'!AB37</f>
        <v>No</v>
      </c>
      <c r="V40" s="140"/>
    </row>
    <row r="41" spans="1:22" ht="45" customHeight="1" x14ac:dyDescent="0.25">
      <c r="A41" s="147" t="str">
        <f>'EF Table_detail'!A39</f>
        <v>Brick</v>
      </c>
      <c r="B41" s="148" t="str">
        <f>'EF Table_detail'!B39</f>
        <v>Clay brick</v>
      </c>
      <c r="C41" s="149" t="str">
        <f>HYPERLINK("#"&amp;'EF Table_detail'!$C39&amp;"!A1",'EF Table_detail'!$C39)</f>
        <v>Clay_bricks</v>
      </c>
      <c r="D41" s="150" t="str">
        <f ca="1">'EF Table_detail'!D39</f>
        <v>Masonry bricks made from clay, including fired, perforated, engineering, and facing bricks.</v>
      </c>
      <c r="E41" s="148" t="str">
        <f ca="1">'EF Table_detail'!F39</f>
        <v>tonne</v>
      </c>
      <c r="F41" s="148" t="str">
        <f ca="1">'EF Table_detail'!G39</f>
        <v>Tier 4</v>
      </c>
      <c r="G41" s="159">
        <f ca="1">'EF Table_detail'!H39</f>
        <v>1.2</v>
      </c>
      <c r="H41" s="157" t="str" cm="1">
        <f t="array" aca="1" ref="H41" ca="1">IFERROR(print_SF('EF Table_detail'!M39),"")</f>
        <v>464</v>
      </c>
      <c r="I41" s="160" t="str" cm="1">
        <f t="array" aca="1" ref="I41" ca="1">IFERROR(print_SF('EF Table_detail'!I39),"")</f>
        <v>387</v>
      </c>
      <c r="J41" s="151" t="str" cm="1">
        <f t="array" aca="1" ref="J41" ca="1">IFERROR(print_SF('EF Table_detail'!J39),"")</f>
        <v>47.8</v>
      </c>
      <c r="K41" s="162" t="str" cm="1">
        <f t="array" aca="1" ref="K41" ca="1">IFERROR(print_SF('EF Table_detail'!K39),"")</f>
        <v>184</v>
      </c>
      <c r="L41" s="157" t="str" cm="1">
        <f t="array" aca="1" ref="L41" ca="1">IFERROR(print_SF('EF Table_detail'!R39),"")</f>
        <v>0.464</v>
      </c>
      <c r="M41" s="163" t="str" cm="1">
        <f t="array" aca="1" ref="M41" ca="1">IFERROR(print_SF('EF Table_detail'!N39),"")</f>
        <v>0.387</v>
      </c>
      <c r="N41" s="152" t="str" cm="1">
        <f t="array" aca="1" ref="N41" ca="1">IFERROR(print_SF('EF Table_detail'!O39),"")</f>
        <v>0.0478</v>
      </c>
      <c r="O41" s="166" t="str" cm="1">
        <f t="array" aca="1" ref="O41" ca="1">IFERROR(print_SF('EF Table_detail'!P39),"")</f>
        <v>0.184</v>
      </c>
      <c r="P41" s="165" t="str" cm="1">
        <f t="array" aca="1" ref="P41" ca="1">IFERROR(print_SF('EF Table_detail'!U39),"")</f>
        <v>0</v>
      </c>
      <c r="Q41" s="166" t="str" cm="1">
        <f t="array" aca="1" ref="Q41" ca="1">IFERROR(print_SF('EF Table_detail'!W39),"")</f>
        <v>0</v>
      </c>
      <c r="R41" s="177" t="str" cm="1">
        <f t="array" aca="1" ref="R41" ca="1">IFERROR(print_SF('EF Table_detail'!Y39),"")</f>
        <v>1,000</v>
      </c>
      <c r="S41" s="178" t="str">
        <f ca="1">'EF Table_detail'!Z39</f>
        <v>kg/tonne</v>
      </c>
      <c r="T41" s="179" t="str">
        <f ca="1">'EF Table_detail'!AA39</f>
        <v/>
      </c>
      <c r="U41" s="180" t="str">
        <f ca="1">'EF Table_detail'!AB39</f>
        <v>No</v>
      </c>
      <c r="V41" s="140"/>
    </row>
    <row r="42" spans="1:22" ht="45" customHeight="1" x14ac:dyDescent="0.25">
      <c r="A42" s="147" t="str">
        <f>'EF Table_detail'!A40</f>
        <v>Brick</v>
      </c>
      <c r="B42" s="148" t="str">
        <f>'EF Table_detail'!B40</f>
        <v xml:space="preserve">Concrete brick </v>
      </c>
      <c r="C42" s="149" t="str">
        <f>HYPERLINK("#"&amp;'EF Table_detail'!$C40&amp;"!A1",'EF Table_detail'!$C40)</f>
        <v>Concrete_bricks</v>
      </c>
      <c r="D42" s="150" t="str">
        <f ca="1">'EF Table_detail'!D40</f>
        <v>Concrete brick, block and roof tiles i.e. cinder block or concrete finishing brick/tile used in masonry. Not including any core fill material or reinforcing.</v>
      </c>
      <c r="E42" s="148" t="str">
        <f ca="1">'EF Table_detail'!F40</f>
        <v>tonne</v>
      </c>
      <c r="F42" s="148" t="str">
        <f ca="1">'EF Table_detail'!G40</f>
        <v>Tier 3</v>
      </c>
      <c r="G42" s="159">
        <f ca="1">'EF Table_detail'!H40</f>
        <v>1.1000000000000001</v>
      </c>
      <c r="H42" s="157" t="str" cm="1">
        <f t="array" aca="1" ref="H42" ca="1">IFERROR(print_SF('EF Table_detail'!M40),"")</f>
        <v>264</v>
      </c>
      <c r="I42" s="160" t="str" cm="1">
        <f t="array" aca="1" ref="I42" ca="1">IFERROR(print_SF('EF Table_detail'!I40),"")</f>
        <v>240</v>
      </c>
      <c r="J42" s="151" t="str" cm="1">
        <f t="array" aca="1" ref="J42" ca="1">IFERROR(print_SF('EF Table_detail'!J40),"")</f>
        <v>112</v>
      </c>
      <c r="K42" s="162" t="str" cm="1">
        <f t="array" aca="1" ref="K42" ca="1">IFERROR(print_SF('EF Table_detail'!K40),"")</f>
        <v>159</v>
      </c>
      <c r="L42" s="157" t="str" cm="1">
        <f t="array" aca="1" ref="L42" ca="1">IFERROR(print_SF('EF Table_detail'!R40),"")</f>
        <v>0.264</v>
      </c>
      <c r="M42" s="163" t="str" cm="1">
        <f t="array" aca="1" ref="M42" ca="1">IFERROR(print_SF('EF Table_detail'!N40),"")</f>
        <v>0.240</v>
      </c>
      <c r="N42" s="152" t="str" cm="1">
        <f t="array" aca="1" ref="N42" ca="1">IFERROR(print_SF('EF Table_detail'!O40),"")</f>
        <v>0.112</v>
      </c>
      <c r="O42" s="166" t="str" cm="1">
        <f t="array" aca="1" ref="O42" ca="1">IFERROR(print_SF('EF Table_detail'!P40),"")</f>
        <v>0.159</v>
      </c>
      <c r="P42" s="165" t="str" cm="1">
        <f t="array" aca="1" ref="P42" ca="1">IFERROR(print_SF('EF Table_detail'!U40),"")</f>
        <v>0</v>
      </c>
      <c r="Q42" s="166" t="str" cm="1">
        <f t="array" aca="1" ref="Q42" ca="1">IFERROR(print_SF('EF Table_detail'!W40),"")</f>
        <v>0</v>
      </c>
      <c r="R42" s="177" t="str" cm="1">
        <f t="array" aca="1" ref="R42" ca="1">IFERROR(print_SF('EF Table_detail'!Y40),"")</f>
        <v>1,000</v>
      </c>
      <c r="S42" s="178" t="str">
        <f ca="1">'EF Table_detail'!Z40</f>
        <v>kg/tonne</v>
      </c>
      <c r="T42" s="179" t="str">
        <f ca="1">'EF Table_detail'!AA40</f>
        <v>Not including any core fill material or reinforcing.</v>
      </c>
      <c r="U42" s="180" t="str">
        <f ca="1">'EF Table_detail'!AB40</f>
        <v>No</v>
      </c>
      <c r="V42" s="140"/>
    </row>
    <row r="43" spans="1:22" ht="45" customHeight="1" x14ac:dyDescent="0.25">
      <c r="A43" s="147" t="str">
        <f>'EF Table_detail'!A41</f>
        <v>Brick</v>
      </c>
      <c r="B43" s="148" t="str">
        <f>'EF Table_detail'!B41</f>
        <v>Stone brick</v>
      </c>
      <c r="C43" s="149" t="str">
        <f>HYPERLINK("#"&amp;'EF Table_detail'!$C41&amp;"!A1",'EF Table_detail'!$C41)</f>
        <v>Pavers_Stone</v>
      </c>
      <c r="D43" s="150" t="str">
        <f ca="1">'EF Table_detail'!D41</f>
        <v>Stone tiles (wall and floor) and pavers including porcelain tiles, represented by granite and limestone quarry operations and surface preparation with stabilisation as needed.</v>
      </c>
      <c r="E43" s="148" t="str">
        <f ca="1">'EF Table_detail'!F41</f>
        <v>tonne</v>
      </c>
      <c r="F43" s="148" t="str">
        <f ca="1">'EF Table_detail'!G41</f>
        <v>Tier 4</v>
      </c>
      <c r="G43" s="159">
        <f ca="1">'EF Table_detail'!H41</f>
        <v>1.2</v>
      </c>
      <c r="H43" s="157" t="str" cm="1">
        <f t="array" aca="1" ref="H43" ca="1">IFERROR(print_SF('EF Table_detail'!M41),"")</f>
        <v>542</v>
      </c>
      <c r="I43" s="160" t="str" cm="1">
        <f t="array" aca="1" ref="I43" ca="1">IFERROR(print_SF('EF Table_detail'!I41),"")</f>
        <v>452</v>
      </c>
      <c r="J43" s="151" t="str" cm="1">
        <f t="array" aca="1" ref="J43" ca="1">IFERROR(print_SF('EF Table_detail'!J41),"")</f>
        <v>67.1</v>
      </c>
      <c r="K43" s="162" t="str" cm="1">
        <f t="array" aca="1" ref="K43" ca="1">IFERROR(print_SF('EF Table_detail'!K41),"")</f>
        <v>239</v>
      </c>
      <c r="L43" s="157" t="str" cm="1">
        <f t="array" aca="1" ref="L43" ca="1">IFERROR(print_SF('EF Table_detail'!R41),"")</f>
        <v>0.542</v>
      </c>
      <c r="M43" s="163" t="str" cm="1">
        <f t="array" aca="1" ref="M43" ca="1">IFERROR(print_SF('EF Table_detail'!N41),"")</f>
        <v>0.452</v>
      </c>
      <c r="N43" s="152" t="str" cm="1">
        <f t="array" aca="1" ref="N43" ca="1">IFERROR(print_SF('EF Table_detail'!O41),"")</f>
        <v>0.0671</v>
      </c>
      <c r="O43" s="166" t="str" cm="1">
        <f t="array" aca="1" ref="O43" ca="1">IFERROR(print_SF('EF Table_detail'!P41),"")</f>
        <v>0.239</v>
      </c>
      <c r="P43" s="165" t="str" cm="1">
        <f t="array" aca="1" ref="P43" ca="1">IFERROR(print_SF('EF Table_detail'!U41),"")</f>
        <v>0</v>
      </c>
      <c r="Q43" s="166" t="str" cm="1">
        <f t="array" aca="1" ref="Q43" ca="1">IFERROR(print_SF('EF Table_detail'!W41),"")</f>
        <v>0</v>
      </c>
      <c r="R43" s="177" t="str" cm="1">
        <f t="array" aca="1" ref="R43" ca="1">IFERROR(print_SF('EF Table_detail'!Y41),"")</f>
        <v>1,000</v>
      </c>
      <c r="S43" s="178" t="str">
        <f ca="1">'EF Table_detail'!Z41</f>
        <v>kg/tonne</v>
      </c>
      <c r="T43" s="179" t="str">
        <f ca="1">'EF Table_detail'!AA41</f>
        <v/>
      </c>
      <c r="U43" s="180" t="str">
        <f ca="1">'EF Table_detail'!AB41</f>
        <v>No</v>
      </c>
      <c r="V43" s="140"/>
    </row>
    <row r="44" spans="1:22" ht="45" customHeight="1" x14ac:dyDescent="0.25">
      <c r="A44" s="147" t="str">
        <f>'EF Table_detail'!A42</f>
        <v>Aggregate</v>
      </c>
      <c r="B44" s="148" t="str">
        <f>'EF Table_detail'!B42</f>
        <v>Quarried fill and base material</v>
      </c>
      <c r="C44" s="149" t="str">
        <f>HYPERLINK("#"&amp;'EF Table_detail'!$C42&amp;"!A1",'EF Table_detail'!$C42)</f>
        <v>Fill_base_quarry</v>
      </c>
      <c r="D44" s="150" t="str">
        <f ca="1">'EF Table_detail'!D42</f>
        <v>Various aggregates used as fill including quarry products, road base and ballast of differing size distributions.</v>
      </c>
      <c r="E44" s="148" t="str">
        <f ca="1">'EF Table_detail'!F42</f>
        <v>tonne</v>
      </c>
      <c r="F44" s="148" t="str">
        <f ca="1">'EF Table_detail'!G42</f>
        <v>Tier 3</v>
      </c>
      <c r="G44" s="159">
        <f ca="1">'EF Table_detail'!H42</f>
        <v>1.1000000000000001</v>
      </c>
      <c r="H44" s="157" t="str" cm="1">
        <f t="array" aca="1" ref="H44" ca="1">IFERROR(print_SF('EF Table_detail'!M42),"")</f>
        <v>10.2</v>
      </c>
      <c r="I44" s="160" t="str" cm="1">
        <f t="array" aca="1" ref="I44" ca="1">IFERROR(print_SF('EF Table_detail'!I42),"")</f>
        <v>9.24</v>
      </c>
      <c r="J44" s="151" t="str" cm="1">
        <f t="array" aca="1" ref="J44" ca="1">IFERROR(print_SF('EF Table_detail'!J42),"")</f>
        <v>3.26</v>
      </c>
      <c r="K44" s="162" t="str" cm="1">
        <f t="array" aca="1" ref="K44" ca="1">IFERROR(print_SF('EF Table_detail'!K42),"")</f>
        <v>6.66</v>
      </c>
      <c r="L44" s="157" t="str" cm="1">
        <f t="array" aca="1" ref="L44" ca="1">IFERROR(print_SF('EF Table_detail'!R42),"")</f>
        <v>0.0102</v>
      </c>
      <c r="M44" s="163" t="str" cm="1">
        <f t="array" aca="1" ref="M44" ca="1">IFERROR(print_SF('EF Table_detail'!N42),"")</f>
        <v>0.00924</v>
      </c>
      <c r="N44" s="152" t="str" cm="1">
        <f t="array" aca="1" ref="N44" ca="1">IFERROR(print_SF('EF Table_detail'!O42),"")</f>
        <v>0.00326</v>
      </c>
      <c r="O44" s="166" t="str" cm="1">
        <f t="array" aca="1" ref="O44" ca="1">IFERROR(print_SF('EF Table_detail'!P42),"")</f>
        <v>0.00666</v>
      </c>
      <c r="P44" s="165" t="str" cm="1">
        <f t="array" aca="1" ref="P44" ca="1">IFERROR(print_SF('EF Table_detail'!U42),"")</f>
        <v>0</v>
      </c>
      <c r="Q44" s="166" t="str" cm="1">
        <f t="array" aca="1" ref="Q44" ca="1">IFERROR(print_SF('EF Table_detail'!W42),"")</f>
        <v>0</v>
      </c>
      <c r="R44" s="177" t="str" cm="1">
        <f t="array" aca="1" ref="R44" ca="1">IFERROR(print_SF('EF Table_detail'!Y42),"")</f>
        <v>1,000</v>
      </c>
      <c r="S44" s="178" t="str">
        <f ca="1">'EF Table_detail'!Z42</f>
        <v>kg/tonne</v>
      </c>
      <c r="T44" s="179" t="str">
        <f ca="1">'EF Table_detail'!AA42</f>
        <v/>
      </c>
      <c r="U44" s="180" t="str">
        <f ca="1">'EF Table_detail'!AB42</f>
        <v>No</v>
      </c>
      <c r="V44" s="140"/>
    </row>
    <row r="45" spans="1:22" ht="45" customHeight="1" x14ac:dyDescent="0.25">
      <c r="A45" s="147" t="str">
        <f>'EF Table_detail'!A43</f>
        <v>Aggregate</v>
      </c>
      <c r="B45" s="148" t="str">
        <f>'EF Table_detail'!B43</f>
        <v>Recycled fill material</v>
      </c>
      <c r="C45" s="149" t="str">
        <f>HYPERLINK("#"&amp;'EF Table_detail'!$C43&amp;"!A1",'EF Table_detail'!$C43)</f>
        <v>Recovered_aggregate</v>
      </c>
      <c r="D45" s="150" t="str">
        <f ca="1">'EF Table_detail'!D43</f>
        <v>Aggregates generated from a recycled or recovered resource (e.g. from crushed recycled concrete).</v>
      </c>
      <c r="E45" s="148" t="str">
        <f ca="1">'EF Table_detail'!F43</f>
        <v>tonne</v>
      </c>
      <c r="F45" s="148" t="str">
        <f ca="1">'EF Table_detail'!G43</f>
        <v>Tier 4</v>
      </c>
      <c r="G45" s="159">
        <f ca="1">'EF Table_detail'!H43</f>
        <v>1.2</v>
      </c>
      <c r="H45" s="157" t="str" cm="1">
        <f t="array" aca="1" ref="H45" ca="1">IFERROR(print_SF('EF Table_detail'!M43),"")</f>
        <v>11.5</v>
      </c>
      <c r="I45" s="160" t="str" cm="1">
        <f t="array" aca="1" ref="I45" ca="1">IFERROR(print_SF('EF Table_detail'!I43),"")</f>
        <v>9.55</v>
      </c>
      <c r="J45" s="151" t="str" cm="1">
        <f t="array" aca="1" ref="J45" ca="1">IFERROR(print_SF('EF Table_detail'!J43),"")</f>
        <v>0.492</v>
      </c>
      <c r="K45" s="162" t="str" cm="1">
        <f t="array" aca="1" ref="K45" ca="1">IFERROR(print_SF('EF Table_detail'!K43),"")</f>
        <v>3.82</v>
      </c>
      <c r="L45" s="157" t="str" cm="1">
        <f t="array" aca="1" ref="L45" ca="1">IFERROR(print_SF('EF Table_detail'!R43),"")</f>
        <v>0.0115</v>
      </c>
      <c r="M45" s="163" t="str" cm="1">
        <f t="array" aca="1" ref="M45" ca="1">IFERROR(print_SF('EF Table_detail'!N43),"")</f>
        <v>0.00955</v>
      </c>
      <c r="N45" s="152" t="str" cm="1">
        <f t="array" aca="1" ref="N45" ca="1">IFERROR(print_SF('EF Table_detail'!O43),"")</f>
        <v>4.92E-04</v>
      </c>
      <c r="O45" s="166" t="str" cm="1">
        <f t="array" aca="1" ref="O45" ca="1">IFERROR(print_SF('EF Table_detail'!P43),"")</f>
        <v>0.00382</v>
      </c>
      <c r="P45" s="165" t="str" cm="1">
        <f t="array" aca="1" ref="P45" ca="1">IFERROR(print_SF('EF Table_detail'!U43),"")</f>
        <v>0</v>
      </c>
      <c r="Q45" s="166" t="str" cm="1">
        <f t="array" aca="1" ref="Q45" ca="1">IFERROR(print_SF('EF Table_detail'!W43),"")</f>
        <v>0</v>
      </c>
      <c r="R45" s="177" t="str" cm="1">
        <f t="array" aca="1" ref="R45" ca="1">IFERROR(print_SF('EF Table_detail'!Y43),"")</f>
        <v>1,000</v>
      </c>
      <c r="S45" s="178" t="str">
        <f ca="1">'EF Table_detail'!Z43</f>
        <v>kg/tonne</v>
      </c>
      <c r="T45" s="179" t="str">
        <f ca="1">'EF Table_detail'!AA43</f>
        <v/>
      </c>
      <c r="U45" s="180" t="str">
        <f ca="1">'EF Table_detail'!AB43</f>
        <v>No</v>
      </c>
      <c r="V45" s="140"/>
    </row>
    <row r="46" spans="1:22" ht="45" customHeight="1" x14ac:dyDescent="0.25">
      <c r="A46" s="147" t="str">
        <f>'EF Table_detail'!A44</f>
        <v>Aggregate</v>
      </c>
      <c r="B46" s="148" t="str">
        <f>'EF Table_detail'!B44</f>
        <v>Stabilised sand</v>
      </c>
      <c r="C46" s="149" t="str">
        <f>HYPERLINK("#"&amp;'EF Table_detail'!$C44&amp;"!A1",'EF Table_detail'!$C44)</f>
        <v>stabilised_sand</v>
      </c>
      <c r="D46" s="150" t="str">
        <f ca="1">'EF Table_detail'!D44</f>
        <v>Sand used as fill or for stabilsation purposes, including various rates of stabliser inclusion from 7% to 25%.</v>
      </c>
      <c r="E46" s="148" t="str">
        <f ca="1">'EF Table_detail'!F44</f>
        <v>m³</v>
      </c>
      <c r="F46" s="148" t="str">
        <f ca="1">'EF Table_detail'!G44</f>
        <v>Tier 2</v>
      </c>
      <c r="G46" s="159">
        <f ca="1">'EF Table_detail'!H44</f>
        <v>1.05</v>
      </c>
      <c r="H46" s="157" t="str" cm="1">
        <f t="array" aca="1" ref="H46" ca="1">IFERROR(print_SF('EF Table_detail'!M44),"")</f>
        <v>361</v>
      </c>
      <c r="I46" s="160" t="str" cm="1">
        <f t="array" aca="1" ref="I46" ca="1">IFERROR(print_SF('EF Table_detail'!I44),"")</f>
        <v>344</v>
      </c>
      <c r="J46" s="151" t="str" cm="1">
        <f t="array" aca="1" ref="J46" ca="1">IFERROR(print_SF('EF Table_detail'!J44),"")</f>
        <v>67.8</v>
      </c>
      <c r="K46" s="162" t="str" cm="1">
        <f t="array" aca="1" ref="K46" ca="1">IFERROR(print_SF('EF Table_detail'!K44),"")</f>
        <v>185</v>
      </c>
      <c r="L46" s="157" t="str" cm="1">
        <f t="array" aca="1" ref="L46" ca="1">IFERROR(print_SF('EF Table_detail'!R44),"")</f>
        <v>0.206</v>
      </c>
      <c r="M46" s="163" t="str" cm="1">
        <f t="array" aca="1" ref="M46" ca="1">IFERROR(print_SF('EF Table_detail'!N44),"")</f>
        <v>0.197</v>
      </c>
      <c r="N46" s="152" t="str" cm="1">
        <f t="array" aca="1" ref="N46" ca="1">IFERROR(print_SF('EF Table_detail'!O44),"")</f>
        <v>0.0387</v>
      </c>
      <c r="O46" s="166" t="str" cm="1">
        <f t="array" aca="1" ref="O46" ca="1">IFERROR(print_SF('EF Table_detail'!P44),"")</f>
        <v>0.105</v>
      </c>
      <c r="P46" s="165" t="str" cm="1">
        <f t="array" aca="1" ref="P46" ca="1">IFERROR(print_SF('EF Table_detail'!U44),"")</f>
        <v>0</v>
      </c>
      <c r="Q46" s="166" t="str" cm="1">
        <f t="array" aca="1" ref="Q46" ca="1">IFERROR(print_SF('EF Table_detail'!W44),"")</f>
        <v>0</v>
      </c>
      <c r="R46" s="177" t="str" cm="1">
        <f t="array" aca="1" ref="R46" ca="1">IFERROR(print_SF('EF Table_detail'!Y44),"")</f>
        <v>1,760</v>
      </c>
      <c r="S46" s="178" t="str">
        <f ca="1">'EF Table_detail'!Z44</f>
        <v>kg/m³</v>
      </c>
      <c r="T46" s="179" t="str">
        <f ca="1">'EF Table_detail'!AA44</f>
        <v/>
      </c>
      <c r="U46" s="180" t="str">
        <f ca="1">'EF Table_detail'!AB44</f>
        <v>No</v>
      </c>
      <c r="V46" s="140"/>
    </row>
    <row r="47" spans="1:22" ht="45" customHeight="1" x14ac:dyDescent="0.25">
      <c r="A47" s="147" t="str">
        <f>'EF Table_detail'!A45</f>
        <v>Asphalt</v>
      </c>
      <c r="B47" s="148" t="str">
        <f>'EF Table_detail'!B45</f>
        <v>Asphalt</v>
      </c>
      <c r="C47" s="149" t="str">
        <f>HYPERLINK("#"&amp;'EF Table_detail'!$C45&amp;"!A1",'EF Table_detail'!$C45)</f>
        <v>Asphalt</v>
      </c>
      <c r="D47" s="150" t="str">
        <f ca="1">'EF Table_detail'!D45</f>
        <v>Any asphalt mix</v>
      </c>
      <c r="E47" s="148" t="str">
        <f ca="1">'EF Table_detail'!F45</f>
        <v>tonne</v>
      </c>
      <c r="F47" s="148" t="str">
        <f ca="1">'EF Table_detail'!G45</f>
        <v>Tier 2</v>
      </c>
      <c r="G47" s="159">
        <f ca="1">'EF Table_detail'!H45</f>
        <v>1.05</v>
      </c>
      <c r="H47" s="157" t="str" cm="1">
        <f t="array" aca="1" ref="H47" ca="1">IFERROR(print_SF('EF Table_detail'!M45),"")</f>
        <v>141</v>
      </c>
      <c r="I47" s="160" t="str" cm="1">
        <f t="array" aca="1" ref="I47" ca="1">IFERROR(print_SF('EF Table_detail'!I45),"")</f>
        <v>134</v>
      </c>
      <c r="J47" s="151" t="str" cm="1">
        <f t="array" aca="1" ref="J47" ca="1">IFERROR(print_SF('EF Table_detail'!J45),"")</f>
        <v>5.83</v>
      </c>
      <c r="K47" s="162" t="str" cm="1">
        <f t="array" aca="1" ref="K47" ca="1">IFERROR(print_SF('EF Table_detail'!K45),"")</f>
        <v>71.4</v>
      </c>
      <c r="L47" s="157" t="str" cm="1">
        <f t="array" aca="1" ref="L47" ca="1">IFERROR(print_SF('EF Table_detail'!R45),"")</f>
        <v>0.141</v>
      </c>
      <c r="M47" s="163" t="str" cm="1">
        <f t="array" aca="1" ref="M47" ca="1">IFERROR(print_SF('EF Table_detail'!N45),"")</f>
        <v>0.134</v>
      </c>
      <c r="N47" s="152" t="str" cm="1">
        <f t="array" aca="1" ref="N47" ca="1">IFERROR(print_SF('EF Table_detail'!O45),"")</f>
        <v>0.00583</v>
      </c>
      <c r="O47" s="166" t="str" cm="1">
        <f t="array" aca="1" ref="O47" ca="1">IFERROR(print_SF('EF Table_detail'!P45),"")</f>
        <v>0.0714</v>
      </c>
      <c r="P47" s="165" t="str" cm="1">
        <f t="array" aca="1" ref="P47" ca="1">IFERROR(print_SF('EF Table_detail'!U45),"")</f>
        <v>0</v>
      </c>
      <c r="Q47" s="166" t="str" cm="1">
        <f t="array" aca="1" ref="Q47" ca="1">IFERROR(print_SF('EF Table_detail'!W45),"")</f>
        <v>0</v>
      </c>
      <c r="R47" s="177" t="str" cm="1">
        <f t="array" aca="1" ref="R47" ca="1">IFERROR(print_SF('EF Table_detail'!Y45),"")</f>
        <v>1,000</v>
      </c>
      <c r="S47" s="178" t="str">
        <f ca="1">'EF Table_detail'!Z45</f>
        <v>kg/tonne</v>
      </c>
      <c r="T47" s="179" t="str">
        <f ca="1">'EF Table_detail'!AA45</f>
        <v/>
      </c>
      <c r="U47" s="180" t="str">
        <f ca="1">'EF Table_detail'!AB45</f>
        <v>No</v>
      </c>
      <c r="V47" s="140"/>
    </row>
    <row r="48" spans="1:22" ht="45" customHeight="1" x14ac:dyDescent="0.25">
      <c r="A48" s="147" t="str">
        <f>'EF Table_detail'!A46</f>
        <v>Roof tiles</v>
      </c>
      <c r="B48" s="148" t="str">
        <f>'EF Table_detail'!B46</f>
        <v>Clay and terracotta roof tiles</v>
      </c>
      <c r="C48" s="149" t="str">
        <f>HYPERLINK("#"&amp;'EF Table_detail'!$C46&amp;"!A1",'EF Table_detail'!$C46)</f>
        <v>Roof_Tiles_Clay</v>
      </c>
      <c r="D48" s="150" t="str">
        <f ca="1">'EF Table_detail'!D46</f>
        <v>Clay and terracotta roof tiles.</v>
      </c>
      <c r="E48" s="148" t="str">
        <f ca="1">'EF Table_detail'!F46</f>
        <v>tonne</v>
      </c>
      <c r="F48" s="148" t="str">
        <f ca="1">'EF Table_detail'!G46</f>
        <v>Tier 4</v>
      </c>
      <c r="G48" s="159">
        <f ca="1">'EF Table_detail'!H46</f>
        <v>1.2</v>
      </c>
      <c r="H48" s="157" t="str" cm="1">
        <f t="array" aca="1" ref="H48" ca="1">IFERROR(print_SF('EF Table_detail'!M46),"")</f>
        <v>682</v>
      </c>
      <c r="I48" s="160" t="str" cm="1">
        <f t="array" aca="1" ref="I48" ca="1">IFERROR(print_SF('EF Table_detail'!I46),"")</f>
        <v>568</v>
      </c>
      <c r="J48" s="151" t="str" cm="1">
        <f t="array" aca="1" ref="J48" ca="1">IFERROR(print_SF('EF Table_detail'!J46),"")</f>
        <v>47.8</v>
      </c>
      <c r="K48" s="162" t="str" cm="1">
        <f t="array" aca="1" ref="K48" ca="1">IFERROR(print_SF('EF Table_detail'!K46),"")</f>
        <v>310</v>
      </c>
      <c r="L48" s="157" t="str" cm="1">
        <f t="array" aca="1" ref="L48" ca="1">IFERROR(print_SF('EF Table_detail'!R46),"")</f>
        <v>0.682</v>
      </c>
      <c r="M48" s="163" t="str" cm="1">
        <f t="array" aca="1" ref="M48" ca="1">IFERROR(print_SF('EF Table_detail'!N46),"")</f>
        <v>0.568</v>
      </c>
      <c r="N48" s="152" t="str" cm="1">
        <f t="array" aca="1" ref="N48" ca="1">IFERROR(print_SF('EF Table_detail'!O46),"")</f>
        <v>0.0478</v>
      </c>
      <c r="O48" s="166" t="str" cm="1">
        <f t="array" aca="1" ref="O48" ca="1">IFERROR(print_SF('EF Table_detail'!P46),"")</f>
        <v>0.310</v>
      </c>
      <c r="P48" s="165" t="str" cm="1">
        <f t="array" aca="1" ref="P48" ca="1">IFERROR(print_SF('EF Table_detail'!U46),"")</f>
        <v>0</v>
      </c>
      <c r="Q48" s="166" t="str" cm="1">
        <f t="array" aca="1" ref="Q48" ca="1">IFERROR(print_SF('EF Table_detail'!W46),"")</f>
        <v>0</v>
      </c>
      <c r="R48" s="177" t="str" cm="1">
        <f t="array" aca="1" ref="R48" ca="1">IFERROR(print_SF('EF Table_detail'!Y46),"")</f>
        <v>1,000</v>
      </c>
      <c r="S48" s="178" t="str">
        <f ca="1">'EF Table_detail'!Z46</f>
        <v>kg/tonne</v>
      </c>
      <c r="T48" s="179" t="str">
        <f ca="1">'EF Table_detail'!AA46</f>
        <v/>
      </c>
      <c r="U48" s="180" t="str">
        <f ca="1">'EF Table_detail'!AB46</f>
        <v>No</v>
      </c>
      <c r="V48" s="140"/>
    </row>
    <row r="49" spans="1:22" ht="45" customHeight="1" x14ac:dyDescent="0.25">
      <c r="A49" s="147" t="str">
        <f>'EF Table_detail'!A47</f>
        <v>Roof tiles</v>
      </c>
      <c r="B49" s="148" t="str">
        <f>'EF Table_detail'!B47</f>
        <v>Concrete roof tiles</v>
      </c>
      <c r="C49" s="149" t="str">
        <f>HYPERLINK("#"&amp;'EF Table_detail'!$C47&amp;"!A1",'EF Table_detail'!$C47)</f>
        <v>Concrete_bricks</v>
      </c>
      <c r="D49" s="150" t="str">
        <f ca="1">'EF Table_detail'!D47</f>
        <v>Concrete brick, block and roof tiles i.e. cinder block or concrete finishing brick/tile used in masonry. Not including any core fill material or reinforcing.</v>
      </c>
      <c r="E49" s="148" t="str">
        <f ca="1">'EF Table_detail'!F47</f>
        <v>tonne</v>
      </c>
      <c r="F49" s="148" t="str">
        <f ca="1">'EF Table_detail'!G47</f>
        <v>Tier 3</v>
      </c>
      <c r="G49" s="159">
        <f ca="1">'EF Table_detail'!H47</f>
        <v>1.1000000000000001</v>
      </c>
      <c r="H49" s="157" t="str" cm="1">
        <f t="array" aca="1" ref="H49" ca="1">IFERROR(print_SF('EF Table_detail'!M47),"")</f>
        <v>264</v>
      </c>
      <c r="I49" s="160" t="str" cm="1">
        <f t="array" aca="1" ref="I49" ca="1">IFERROR(print_SF('EF Table_detail'!I47),"")</f>
        <v>240</v>
      </c>
      <c r="J49" s="151" t="str" cm="1">
        <f t="array" aca="1" ref="J49" ca="1">IFERROR(print_SF('EF Table_detail'!J47),"")</f>
        <v>112</v>
      </c>
      <c r="K49" s="162" t="str" cm="1">
        <f t="array" aca="1" ref="K49" ca="1">IFERROR(print_SF('EF Table_detail'!K47),"")</f>
        <v>159</v>
      </c>
      <c r="L49" s="157" t="str" cm="1">
        <f t="array" aca="1" ref="L49" ca="1">IFERROR(print_SF('EF Table_detail'!R47),"")</f>
        <v>0.264</v>
      </c>
      <c r="M49" s="163" t="str" cm="1">
        <f t="array" aca="1" ref="M49" ca="1">IFERROR(print_SF('EF Table_detail'!N47),"")</f>
        <v>0.240</v>
      </c>
      <c r="N49" s="152" t="str" cm="1">
        <f t="array" aca="1" ref="N49" ca="1">IFERROR(print_SF('EF Table_detail'!O47),"")</f>
        <v>0.112</v>
      </c>
      <c r="O49" s="166" t="str" cm="1">
        <f t="array" aca="1" ref="O49" ca="1">IFERROR(print_SF('EF Table_detail'!P47),"")</f>
        <v>0.159</v>
      </c>
      <c r="P49" s="165" t="str" cm="1">
        <f t="array" aca="1" ref="P49" ca="1">IFERROR(print_SF('EF Table_detail'!U47),"")</f>
        <v>0</v>
      </c>
      <c r="Q49" s="166" t="str" cm="1">
        <f t="array" aca="1" ref="Q49" ca="1">IFERROR(print_SF('EF Table_detail'!W47),"")</f>
        <v>0</v>
      </c>
      <c r="R49" s="177" t="str" cm="1">
        <f t="array" aca="1" ref="R49" ca="1">IFERROR(print_SF('EF Table_detail'!Y47),"")</f>
        <v>1,000</v>
      </c>
      <c r="S49" s="178" t="str">
        <f ca="1">'EF Table_detail'!Z47</f>
        <v>kg/tonne</v>
      </c>
      <c r="T49" s="179" t="str">
        <f ca="1">'EF Table_detail'!AA47</f>
        <v>Not including any core fill material or reinforcing.</v>
      </c>
      <c r="U49" s="180" t="str">
        <f ca="1">'EF Table_detail'!AB47</f>
        <v>No</v>
      </c>
      <c r="V49" s="140"/>
    </row>
    <row r="50" spans="1:22" ht="45" customHeight="1" x14ac:dyDescent="0.25">
      <c r="A50" s="147" t="str">
        <f>'EF Table_detail'!A48</f>
        <v>Steel cladding/roofing</v>
      </c>
      <c r="B50" s="148" t="str">
        <f>'EF Table_detail'!B48</f>
        <v>Steel sheeting - metallic coat</v>
      </c>
      <c r="C50" s="149" t="str">
        <f>HYPERLINK("#"&amp;'EF Table_detail'!$C48&amp;"!A1",'EF Table_detail'!$C48)</f>
        <v>steel_cladding_metallic</v>
      </c>
      <c r="D50" s="150" t="str">
        <f ca="1">'EF Table_detail'!D48</f>
        <v>Steel cladding with a metallic coating including all base metal thicknesses (BMT) from 0.3 mm to 2.9mm.</v>
      </c>
      <c r="E50" s="148" t="str">
        <f ca="1">'EF Table_detail'!F48</f>
        <v>m²</v>
      </c>
      <c r="F50" s="148" t="str">
        <f ca="1">'EF Table_detail'!G48</f>
        <v>Tier 1</v>
      </c>
      <c r="G50" s="159">
        <f ca="1">'EF Table_detail'!H48</f>
        <v>1.02</v>
      </c>
      <c r="H50" s="157" t="str" cm="1">
        <f t="array" aca="1" ref="H50" ca="1">IFERROR(print_SF('EF Table_detail'!M48),"")</f>
        <v>64.0</v>
      </c>
      <c r="I50" s="160" t="str" cm="1">
        <f t="array" aca="1" ref="I50" ca="1">IFERROR(print_SF('EF Table_detail'!I48),"")</f>
        <v>62.7</v>
      </c>
      <c r="J50" s="151" t="str" cm="1">
        <f t="array" aca="1" ref="J50" ca="1">IFERROR(print_SF('EF Table_detail'!J48),"")</f>
        <v>8.40</v>
      </c>
      <c r="K50" s="162" t="str" cm="1">
        <f t="array" aca="1" ref="K50" ca="1">IFERROR(print_SF('EF Table_detail'!K48),"")</f>
        <v>19.1</v>
      </c>
      <c r="L50" s="157" t="str" cm="1">
        <f t="array" aca="1" ref="L50" ca="1">IFERROR(print_SF('EF Table_detail'!R48),"")</f>
        <v>5.12</v>
      </c>
      <c r="M50" s="163" t="str" cm="1">
        <f t="array" aca="1" ref="M50" ca="1">IFERROR(print_SF('EF Table_detail'!N48),"")</f>
        <v>5.01</v>
      </c>
      <c r="N50" s="152" t="str" cm="1">
        <f t="array" aca="1" ref="N50" ca="1">IFERROR(print_SF('EF Table_detail'!O48),"")</f>
        <v>2.72</v>
      </c>
      <c r="O50" s="166" t="str" cm="1">
        <f t="array" aca="1" ref="O50" ca="1">IFERROR(print_SF('EF Table_detail'!P48),"")</f>
        <v>3.15</v>
      </c>
      <c r="P50" s="165" t="str" cm="1">
        <f t="array" aca="1" ref="P50" ca="1">IFERROR(print_SF('EF Table_detail'!U48),"")</f>
        <v>0</v>
      </c>
      <c r="Q50" s="166" t="str" cm="1">
        <f t="array" aca="1" ref="Q50" ca="1">IFERROR(print_SF('EF Table_detail'!W48),"")</f>
        <v>0</v>
      </c>
      <c r="R50" s="177" t="str" cm="1">
        <f t="array" aca="1" ref="R50" ca="1">IFERROR(print_SF('EF Table_detail'!Y48),"")</f>
        <v>6.05</v>
      </c>
      <c r="S50" s="178" t="str">
        <f ca="1">'EF Table_detail'!Z48</f>
        <v>kg/m²</v>
      </c>
      <c r="T50" s="179" t="str">
        <f ca="1">'EF Table_detail'!AA48</f>
        <v xml:space="preserve">Important to consider in the context of base metal thickness (BMT) and size of sheet not cladding area (shape of sheet i.e. corrugation and overlapping means area of sheet is more than area to be clad). Recommended to use kg CO2e/kg EF when BMT and mass is known. </v>
      </c>
      <c r="U50" s="180" t="str">
        <f ca="1">'EF Table_detail'!AB48</f>
        <v>No</v>
      </c>
      <c r="V50" s="140"/>
    </row>
    <row r="51" spans="1:22" ht="45" customHeight="1" x14ac:dyDescent="0.25">
      <c r="A51" s="147" t="str">
        <f>'EF Table_detail'!A49</f>
        <v>Steel cladding/roofing</v>
      </c>
      <c r="B51" s="148" t="str">
        <f>'EF Table_detail'!B49</f>
        <v>Steel sheeting - painted</v>
      </c>
      <c r="C51" s="149" t="str">
        <f>HYPERLINK("#"&amp;'EF Table_detail'!$C49&amp;"!A1",'EF Table_detail'!$C49)</f>
        <v>steel_cladding_painted</v>
      </c>
      <c r="D51" s="150" t="str">
        <f ca="1">'EF Table_detail'!D49</f>
        <v>Steel cladding that has been painted, including all base metal thicknesses (BMT) from 0.42 mm to 1.0 mm.</v>
      </c>
      <c r="E51" s="148" t="str">
        <f ca="1">'EF Table_detail'!F49</f>
        <v>m²</v>
      </c>
      <c r="F51" s="148" t="str">
        <f ca="1">'EF Table_detail'!G49</f>
        <v>Tier 1</v>
      </c>
      <c r="G51" s="159">
        <f ca="1">'EF Table_detail'!H49</f>
        <v>1.02</v>
      </c>
      <c r="H51" s="157" t="str" cm="1">
        <f t="array" aca="1" ref="H51" ca="1">IFERROR(print_SF('EF Table_detail'!M49),"")</f>
        <v>25.4</v>
      </c>
      <c r="I51" s="160" t="str" cm="1">
        <f t="array" aca="1" ref="I51" ca="1">IFERROR(print_SF('EF Table_detail'!I49),"")</f>
        <v>24.9</v>
      </c>
      <c r="J51" s="151" t="str" cm="1">
        <f t="array" aca="1" ref="J51" ca="1">IFERROR(print_SF('EF Table_detail'!J49),"")</f>
        <v>9.49</v>
      </c>
      <c r="K51" s="162" t="str" cm="1">
        <f t="array" aca="1" ref="K51" ca="1">IFERROR(print_SF('EF Table_detail'!K49),"")</f>
        <v>14.8</v>
      </c>
      <c r="L51" s="157" t="str" cm="1">
        <f t="array" aca="1" ref="L51" ca="1">IFERROR(print_SF('EF Table_detail'!R49),"")</f>
        <v>5.49</v>
      </c>
      <c r="M51" s="163" t="str" cm="1">
        <f t="array" aca="1" ref="M51" ca="1">IFERROR(print_SF('EF Table_detail'!N49),"")</f>
        <v>5.38</v>
      </c>
      <c r="N51" s="152" t="str" cm="1">
        <f t="array" aca="1" ref="N51" ca="1">IFERROR(print_SF('EF Table_detail'!O49),"")</f>
        <v>2.98</v>
      </c>
      <c r="O51" s="166" t="str" cm="1">
        <f t="array" aca="1" ref="O51" ca="1">IFERROR(print_SF('EF Table_detail'!P49),"")</f>
        <v>3.47</v>
      </c>
      <c r="P51" s="165" t="str" cm="1">
        <f t="array" aca="1" ref="P51" ca="1">IFERROR(print_SF('EF Table_detail'!U49),"")</f>
        <v>0</v>
      </c>
      <c r="Q51" s="166" t="str" cm="1">
        <f t="array" aca="1" ref="Q51" ca="1">IFERROR(print_SF('EF Table_detail'!W49),"")</f>
        <v>0</v>
      </c>
      <c r="R51" s="177" t="str" cm="1">
        <f t="array" aca="1" ref="R51" ca="1">IFERROR(print_SF('EF Table_detail'!Y49),"")</f>
        <v>4.28</v>
      </c>
      <c r="S51" s="178" t="str">
        <f ca="1">'EF Table_detail'!Z49</f>
        <v>kg/m²</v>
      </c>
      <c r="T51" s="179" t="str">
        <f ca="1">'EF Table_detail'!AA49</f>
        <v xml:space="preserve">Important to consider in the context of base metal thickness (BMT) and size of sheet not cladding area (shape of sheet i.e. corrugation and overlapping means area of sheet is more than area to be clad). Recommended to use kg CO2e/kg EF when BMT and mass is known. </v>
      </c>
      <c r="U51" s="180" t="str">
        <f ca="1">'EF Table_detail'!AB49</f>
        <v>No</v>
      </c>
      <c r="V51" s="140"/>
    </row>
    <row r="52" spans="1:22" ht="45" customHeight="1" x14ac:dyDescent="0.25">
      <c r="A52" s="147" t="str">
        <f>'EF Table_detail'!A50</f>
        <v>Aluminium cladding/roofing</v>
      </c>
      <c r="B52" s="148" t="str">
        <f>'EF Table_detail'!B50</f>
        <v>Aluminium sheeting</v>
      </c>
      <c r="C52" s="149" t="str">
        <f>HYPERLINK("#"&amp;'EF Table_detail'!$C50&amp;"!A1",'EF Table_detail'!$C50)</f>
        <v>Aluminium_cladding</v>
      </c>
      <c r="D52" s="150" t="str">
        <f ca="1">'EF Table_detail'!D50</f>
        <v>Aluminium sheeting including range of thicknesses (BMT).</v>
      </c>
      <c r="E52" s="148" t="str">
        <f ca="1">'EF Table_detail'!F50</f>
        <v>kg</v>
      </c>
      <c r="F52" s="148" t="str">
        <f ca="1">'EF Table_detail'!G50</f>
        <v>Tier 4</v>
      </c>
      <c r="G52" s="159">
        <f ca="1">'EF Table_detail'!H50</f>
        <v>1.2</v>
      </c>
      <c r="H52" s="157" t="str" cm="1">
        <f t="array" aca="1" ref="H52" ca="1">IFERROR(print_SF('EF Table_detail'!M50),"")</f>
        <v>20.8</v>
      </c>
      <c r="I52" s="160" t="str" cm="1">
        <f t="array" aca="1" ref="I52" ca="1">IFERROR(print_SF('EF Table_detail'!I50),"")</f>
        <v>17.4</v>
      </c>
      <c r="J52" s="151" t="str" cm="1">
        <f t="array" aca="1" ref="J52" ca="1">IFERROR(print_SF('EF Table_detail'!J50),"")</f>
        <v>5.48</v>
      </c>
      <c r="K52" s="162" t="str" cm="1">
        <f t="array" aca="1" ref="K52" ca="1">IFERROR(print_SF('EF Table_detail'!K50),"")</f>
        <v>11.8</v>
      </c>
      <c r="L52" s="157" t="str" cm="1">
        <f t="array" aca="1" ref="L52" ca="1">IFERROR(print_SF('EF Table_detail'!R50),"")</f>
        <v>20.8</v>
      </c>
      <c r="M52" s="163" t="str" cm="1">
        <f t="array" aca="1" ref="M52" ca="1">IFERROR(print_SF('EF Table_detail'!N50),"")</f>
        <v>17.4</v>
      </c>
      <c r="N52" s="152" t="str" cm="1">
        <f t="array" aca="1" ref="N52" ca="1">IFERROR(print_SF('EF Table_detail'!O50),"")</f>
        <v>5.48</v>
      </c>
      <c r="O52" s="166" t="str" cm="1">
        <f t="array" aca="1" ref="O52" ca="1">IFERROR(print_SF('EF Table_detail'!P50),"")</f>
        <v>11.8</v>
      </c>
      <c r="P52" s="165" t="str" cm="1">
        <f t="array" aca="1" ref="P52" ca="1">IFERROR(print_SF('EF Table_detail'!U50),"")</f>
        <v>0</v>
      </c>
      <c r="Q52" s="166" t="str" cm="1">
        <f t="array" aca="1" ref="Q52" ca="1">IFERROR(print_SF('EF Table_detail'!W50),"")</f>
        <v>0</v>
      </c>
      <c r="R52" s="177" t="str" cm="1">
        <f t="array" aca="1" ref="R52" ca="1">IFERROR(print_SF('EF Table_detail'!Y50),"")</f>
        <v>1.00</v>
      </c>
      <c r="S52" s="178" t="str">
        <f ca="1">'EF Table_detail'!Z50</f>
        <v>kg/kg</v>
      </c>
      <c r="T52" s="179" t="str">
        <f ca="1">'EF Table_detail'!AA50</f>
        <v/>
      </c>
      <c r="U52" s="180" t="str">
        <f ca="1">'EF Table_detail'!AB50</f>
        <v>No</v>
      </c>
      <c r="V52" s="140"/>
    </row>
    <row r="53" spans="1:22" ht="45" customHeight="1" x14ac:dyDescent="0.25">
      <c r="A53" s="147" t="str">
        <f>'EF Table_detail'!A51</f>
        <v>Cement cladding/roofing</v>
      </c>
      <c r="B53" s="148" t="str">
        <f>'EF Table_detail'!B51</f>
        <v>GRC</v>
      </c>
      <c r="C53" s="149" t="str">
        <f>HYPERLINK("#"&amp;'EF Table_detail'!$C51&amp;"!A1",'EF Table_detail'!$C51)</f>
        <v>GRC</v>
      </c>
      <c r="D53" s="150" t="str">
        <f ca="1">'EF Table_detail'!D51</f>
        <v>Glass reinforced concrete (GRC) or glass fibre reinforced concrete including all uses (i.e. as cladding or roofing).</v>
      </c>
      <c r="E53" s="148" t="str">
        <f ca="1">'EF Table_detail'!F51</f>
        <v>tonne</v>
      </c>
      <c r="F53" s="148" t="str">
        <f ca="1">'EF Table_detail'!G51</f>
        <v>Tier 4</v>
      </c>
      <c r="G53" s="159">
        <f ca="1">'EF Table_detail'!H51</f>
        <v>1.2</v>
      </c>
      <c r="H53" s="157" t="str" cm="1">
        <f t="array" aca="1" ref="H53" ca="1">IFERROR(print_SF('EF Table_detail'!M51),"")</f>
        <v>869</v>
      </c>
      <c r="I53" s="160" t="str" cm="1">
        <f t="array" aca="1" ref="I53" ca="1">IFERROR(print_SF('EF Table_detail'!I51),"")</f>
        <v>724</v>
      </c>
      <c r="J53" s="151" t="str" cm="1">
        <f t="array" aca="1" ref="J53" ca="1">IFERROR(print_SF('EF Table_detail'!J51),"")</f>
        <v>408</v>
      </c>
      <c r="K53" s="162" t="str" cm="1">
        <f t="array" aca="1" ref="K53" ca="1">IFERROR(print_SF('EF Table_detail'!K51),"")</f>
        <v>544</v>
      </c>
      <c r="L53" s="157" t="str" cm="1">
        <f t="array" aca="1" ref="L53" ca="1">IFERROR(print_SF('EF Table_detail'!R51),"")</f>
        <v>0.869</v>
      </c>
      <c r="M53" s="163" t="str" cm="1">
        <f t="array" aca="1" ref="M53" ca="1">IFERROR(print_SF('EF Table_detail'!N51),"")</f>
        <v>0.724</v>
      </c>
      <c r="N53" s="152" t="str" cm="1">
        <f t="array" aca="1" ref="N53" ca="1">IFERROR(print_SF('EF Table_detail'!O51),"")</f>
        <v>0.408</v>
      </c>
      <c r="O53" s="166" t="str" cm="1">
        <f t="array" aca="1" ref="O53" ca="1">IFERROR(print_SF('EF Table_detail'!P51),"")</f>
        <v>0.544</v>
      </c>
      <c r="P53" s="165" t="str" cm="1">
        <f t="array" aca="1" ref="P53" ca="1">IFERROR(print_SF('EF Table_detail'!U51),"")</f>
        <v>0</v>
      </c>
      <c r="Q53" s="166" t="str" cm="1">
        <f t="array" aca="1" ref="Q53" ca="1">IFERROR(print_SF('EF Table_detail'!W51),"")</f>
        <v>0</v>
      </c>
      <c r="R53" s="177" t="str" cm="1">
        <f t="array" aca="1" ref="R53" ca="1">IFERROR(print_SF('EF Table_detail'!Y51),"")</f>
        <v>1,000</v>
      </c>
      <c r="S53" s="178" t="str">
        <f ca="1">'EF Table_detail'!Z51</f>
        <v>kg/tonne</v>
      </c>
      <c r="T53" s="179" t="str">
        <f ca="1">'EF Table_detail'!AA51</f>
        <v/>
      </c>
      <c r="U53" s="180" t="str">
        <f ca="1">'EF Table_detail'!AB51</f>
        <v>No</v>
      </c>
      <c r="V53" s="140"/>
    </row>
    <row r="54" spans="1:22" ht="45" customHeight="1" x14ac:dyDescent="0.25">
      <c r="A54" s="147" t="str">
        <f>'EF Table_detail'!A52</f>
        <v>Cement cladding/roofing</v>
      </c>
      <c r="B54" s="148" t="str">
        <f>'EF Table_detail'!B52</f>
        <v>Fibre cement board</v>
      </c>
      <c r="C54" s="149" t="str">
        <f>HYPERLINK("#"&amp;'EF Table_detail'!$C52&amp;"!A1",'EF Table_detail'!$C52)</f>
        <v>Fibre_Cement</v>
      </c>
      <c r="D54" s="150" t="str">
        <f ca="1">'EF Table_detail'!D52</f>
        <v>Board made from fibre cement including compressed sheet, flooring, cladding, lining and roofing boards. Thickness from 4 mm to 22 mm.</v>
      </c>
      <c r="E54" s="148" t="str">
        <f ca="1">'EF Table_detail'!F52</f>
        <v>m²</v>
      </c>
      <c r="F54" s="148" t="str">
        <f ca="1">'EF Table_detail'!G52</f>
        <v>Tier 2</v>
      </c>
      <c r="G54" s="159">
        <f ca="1">'EF Table_detail'!H52</f>
        <v>1.05</v>
      </c>
      <c r="H54" s="157" t="str" cm="1">
        <f t="array" aca="1" ref="H54" ca="1">IFERROR(print_SF('EF Table_detail'!M52),"")</f>
        <v>48.2</v>
      </c>
      <c r="I54" s="160" t="str" cm="1">
        <f t="array" aca="1" ref="I54" ca="1">IFERROR(print_SF('EF Table_detail'!I52),"")</f>
        <v>45.9</v>
      </c>
      <c r="J54" s="151" t="str" cm="1">
        <f t="array" aca="1" ref="J54" ca="1">IFERROR(print_SF('EF Table_detail'!J52),"")</f>
        <v>4.50</v>
      </c>
      <c r="K54" s="162" t="str" cm="1">
        <f t="array" aca="1" ref="K54" ca="1">IFERROR(print_SF('EF Table_detail'!K52),"")</f>
        <v>12.6</v>
      </c>
      <c r="L54" s="157" t="str" cm="1">
        <f t="array" aca="1" ref="L54" ca="1">IFERROR(print_SF('EF Table_detail'!R52),"")</f>
        <v>1.39</v>
      </c>
      <c r="M54" s="163" t="str" cm="1">
        <f t="array" aca="1" ref="M54" ca="1">IFERROR(print_SF('EF Table_detail'!N52),"")</f>
        <v>1.32</v>
      </c>
      <c r="N54" s="152" t="str" cm="1">
        <f t="array" aca="1" ref="N54" ca="1">IFERROR(print_SF('EF Table_detail'!O52),"")</f>
        <v>0.307</v>
      </c>
      <c r="O54" s="166" t="str" cm="1">
        <f t="array" aca="1" ref="O54" ca="1">IFERROR(print_SF('EF Table_detail'!P52),"")</f>
        <v>0.882</v>
      </c>
      <c r="P54" s="165" t="str" cm="1">
        <f t="array" aca="1" ref="P54" ca="1">IFERROR(print_SF('EF Table_detail'!U52),"")</f>
        <v>0.0251</v>
      </c>
      <c r="Q54" s="166" t="str" cm="1">
        <f t="array" aca="1" ref="Q54" ca="1">IFERROR(print_SF('EF Table_detail'!W52),"")</f>
        <v>0.00216</v>
      </c>
      <c r="R54" s="177" t="str" cm="1">
        <f t="array" aca="1" ref="R54" ca="1">IFERROR(print_SF('EF Table_detail'!Y52),"")</f>
        <v>14.2</v>
      </c>
      <c r="S54" s="178" t="str">
        <f ca="1">'EF Table_detail'!Z52</f>
        <v>kg/m²</v>
      </c>
      <c r="T54" s="179" t="str">
        <f ca="1">'EF Table_detail'!AA52</f>
        <v xml:space="preserve">Important to consider in the context of board thickness and size of sheet not cladding area (shape of sheet overlapping (i.e. when cladding) means area of sheet is more than area to be clad). Recommended to use kg CO2e/kg EF when thickness and mass is known. </v>
      </c>
      <c r="U54" s="180" t="str">
        <f ca="1">'EF Table_detail'!AB52</f>
        <v>No</v>
      </c>
      <c r="V54" s="140"/>
    </row>
    <row r="55" spans="1:22" ht="45" customHeight="1" x14ac:dyDescent="0.25">
      <c r="A55" s="147" t="str">
        <f>'EF Table_detail'!A53</f>
        <v>Cement cladding/roofing</v>
      </c>
      <c r="B55" s="148" t="str">
        <f>'EF Table_detail'!B53</f>
        <v>Plasterboard</v>
      </c>
      <c r="C55" s="149" t="str">
        <f>HYPERLINK("#"&amp;'EF Table_detail'!$C53&amp;"!A1",'EF Table_detail'!$C53)</f>
        <v>Plasterboard</v>
      </c>
      <c r="D55" s="150" t="str">
        <f ca="1">'EF Table_detail'!D53</f>
        <v>Board made from plaster typically coated in paper. Thickness from 4 mm to 22 mm.</v>
      </c>
      <c r="E55" s="148" t="str">
        <f ca="1">'EF Table_detail'!F53</f>
        <v>m²</v>
      </c>
      <c r="F55" s="148" t="str">
        <f ca="1">'EF Table_detail'!G53</f>
        <v>Tier 4</v>
      </c>
      <c r="G55" s="159">
        <f ca="1">'EF Table_detail'!H53</f>
        <v>1.2</v>
      </c>
      <c r="H55" s="157" t="str" cm="1">
        <f t="array" aca="1" ref="H55" ca="1">IFERROR(print_SF('EF Table_detail'!M53),"")</f>
        <v>8.20</v>
      </c>
      <c r="I55" s="160" t="str" cm="1">
        <f t="array" aca="1" ref="I55" ca="1">IFERROR(print_SF('EF Table_detail'!I53),"")</f>
        <v>6.83</v>
      </c>
      <c r="J55" s="151" t="str" cm="1">
        <f t="array" aca="1" ref="J55" ca="1">IFERROR(print_SF('EF Table_detail'!J53),"")</f>
        <v>1.49</v>
      </c>
      <c r="K55" s="162" t="str" cm="1">
        <f t="array" aca="1" ref="K55" ca="1">IFERROR(print_SF('EF Table_detail'!K53),"")</f>
        <v>3.37</v>
      </c>
      <c r="L55" s="157" t="str" cm="1">
        <f t="array" aca="1" ref="L55" ca="1">IFERROR(print_SF('EF Table_detail'!R53),"")</f>
        <v>0.473</v>
      </c>
      <c r="M55" s="163" t="str" cm="1">
        <f t="array" aca="1" ref="M55" ca="1">IFERROR(print_SF('EF Table_detail'!N53),"")</f>
        <v>0.394</v>
      </c>
      <c r="N55" s="152" t="str" cm="1">
        <f t="array" aca="1" ref="N55" ca="1">IFERROR(print_SF('EF Table_detail'!O53),"")</f>
        <v>0.175</v>
      </c>
      <c r="O55" s="166" t="str" cm="1">
        <f t="array" aca="1" ref="O55" ca="1">IFERROR(print_SF('EF Table_detail'!P53),"")</f>
        <v>0.304</v>
      </c>
      <c r="P55" s="165" t="str" cm="1">
        <f t="array" aca="1" ref="P55" ca="1">IFERROR(print_SF('EF Table_detail'!U53),"")</f>
        <v>0.393</v>
      </c>
      <c r="Q55" s="166" t="str" cm="1">
        <f t="array" aca="1" ref="Q55" ca="1">IFERROR(print_SF('EF Table_detail'!W53),"")</f>
        <v>0.0400</v>
      </c>
      <c r="R55" s="177" t="str" cm="1">
        <f t="array" aca="1" ref="R55" ca="1">IFERROR(print_SF('EF Table_detail'!Y53),"")</f>
        <v>11.1</v>
      </c>
      <c r="S55" s="178" t="str">
        <f ca="1">'EF Table_detail'!Z53</f>
        <v>kg/m²</v>
      </c>
      <c r="T55" s="179" t="str">
        <f ca="1">'EF Table_detail'!AA53</f>
        <v xml:space="preserve">Important to consider board thickness. Recommended to use kg CO2e/kg EF when thickness and mass is known. </v>
      </c>
      <c r="U55" s="180" t="str">
        <f ca="1">'EF Table_detail'!AB53</f>
        <v>No</v>
      </c>
      <c r="V55" s="140"/>
    </row>
    <row r="56" spans="1:22" ht="45" customHeight="1" x14ac:dyDescent="0.25">
      <c r="A56" s="147" t="str">
        <f>'EF Table_detail'!A54</f>
        <v>Plastic cladding/roofing</v>
      </c>
      <c r="B56" s="148" t="str">
        <f>'EF Table_detail'!B54</f>
        <v>Plastic sheeting</v>
      </c>
      <c r="C56" s="149" t="str">
        <f>HYPERLINK("#"&amp;'EF Table_detail'!$C54&amp;"!A1",'EF Table_detail'!$C54)</f>
        <v>Plastic_sheeting</v>
      </c>
      <c r="D56" s="150" t="str">
        <f ca="1">'EF Table_detail'!D54</f>
        <v>Plastic sheeting - various types of plastic inputs including polycarbonate.</v>
      </c>
      <c r="E56" s="148" t="str">
        <f ca="1">'EF Table_detail'!F54</f>
        <v>m³</v>
      </c>
      <c r="F56" s="148" t="str">
        <f ca="1">'EF Table_detail'!G54</f>
        <v>Tier 4</v>
      </c>
      <c r="G56" s="159">
        <f ca="1">'EF Table_detail'!H54</f>
        <v>1.2</v>
      </c>
      <c r="H56" s="157" t="str" cm="1">
        <f t="array" aca="1" ref="H56" ca="1">IFERROR(print_SF('EF Table_detail'!M54),"")</f>
        <v>13,800</v>
      </c>
      <c r="I56" s="160" t="str" cm="1">
        <f t="array" aca="1" ref="I56" ca="1">IFERROR(print_SF('EF Table_detail'!I54),"")</f>
        <v>11,500</v>
      </c>
      <c r="J56" s="151" t="str" cm="1">
        <f t="array" aca="1" ref="J56" ca="1">IFERROR(print_SF('EF Table_detail'!J54),"")</f>
        <v>485</v>
      </c>
      <c r="K56" s="162" t="str" cm="1">
        <f t="array" aca="1" ref="K56" ca="1">IFERROR(print_SF('EF Table_detail'!K54),"")</f>
        <v>7,570</v>
      </c>
      <c r="L56" s="157" t="str" cm="1">
        <f t="array" aca="1" ref="L56" ca="1">IFERROR(print_SF('EF Table_detail'!R54),"")</f>
        <v>11.5</v>
      </c>
      <c r="M56" s="163" t="str" cm="1">
        <f t="array" aca="1" ref="M56" ca="1">IFERROR(print_SF('EF Table_detail'!N54),"")</f>
        <v>9.61</v>
      </c>
      <c r="N56" s="152" t="str" cm="1">
        <f t="array" aca="1" ref="N56" ca="1">IFERROR(print_SF('EF Table_detail'!O54),"")</f>
        <v>0.441</v>
      </c>
      <c r="O56" s="166" t="str" cm="1">
        <f t="array" aca="1" ref="O56" ca="1">IFERROR(print_SF('EF Table_detail'!P54),"")</f>
        <v>6.35</v>
      </c>
      <c r="P56" s="165" t="str" cm="1">
        <f t="array" aca="1" ref="P56" ca="1">IFERROR(print_SF('EF Table_detail'!U54),"")</f>
        <v>0</v>
      </c>
      <c r="Q56" s="166" t="str" cm="1">
        <f t="array" aca="1" ref="Q56" ca="1">IFERROR(print_SF('EF Table_detail'!W54),"")</f>
        <v>0</v>
      </c>
      <c r="R56" s="177" t="str" cm="1">
        <f t="array" aca="1" ref="R56" ca="1">IFERROR(print_SF('EF Table_detail'!Y54),"")</f>
        <v>1,190</v>
      </c>
      <c r="S56" s="178" t="str">
        <f ca="1">'EF Table_detail'!Z54</f>
        <v>kg/m³</v>
      </c>
      <c r="T56" s="179" t="str">
        <f ca="1">'EF Table_detail'!AA54</f>
        <v/>
      </c>
      <c r="U56" s="180" t="str">
        <f ca="1">'EF Table_detail'!AB54</f>
        <v>No</v>
      </c>
      <c r="V56" s="140"/>
    </row>
    <row r="57" spans="1:22" ht="45" customHeight="1" x14ac:dyDescent="0.25">
      <c r="A57" s="147" t="str">
        <f>'EF Table_detail'!A55</f>
        <v>Timber cladding</v>
      </c>
      <c r="B57" s="148" t="str">
        <f>'EF Table_detail'!B55</f>
        <v>Timber weatherboards</v>
      </c>
      <c r="C57" s="149" t="str">
        <f>HYPERLINK("#"&amp;'EF Table_detail'!$C55&amp;"!A1",'EF Table_detail'!$C55)</f>
        <v>Timber_Weatherboard</v>
      </c>
      <c r="D57" s="150" t="str">
        <f ca="1">'EF Table_detail'!D55</f>
        <v>Based on softwood timber used for weatherboards. Includes finger jointed, thermally modified timber, treated, untreated, surfaced, and sawn products.</v>
      </c>
      <c r="E57" s="148" t="str">
        <f ca="1">'EF Table_detail'!F55</f>
        <v>m³</v>
      </c>
      <c r="F57" s="148" t="str">
        <f ca="1">'EF Table_detail'!G55</f>
        <v>Tier 2</v>
      </c>
      <c r="G57" s="159">
        <f ca="1">'EF Table_detail'!H55</f>
        <v>1.05</v>
      </c>
      <c r="H57" s="157" t="str" cm="1">
        <f t="array" aca="1" ref="H57" ca="1">IFERROR(print_SF('EF Table_detail'!M55),"")</f>
        <v>349</v>
      </c>
      <c r="I57" s="160" t="str" cm="1">
        <f t="array" aca="1" ref="I57" ca="1">IFERROR(print_SF('EF Table_detail'!I55),"")</f>
        <v>332</v>
      </c>
      <c r="J57" s="151" t="str" cm="1">
        <f t="array" aca="1" ref="J57" ca="1">IFERROR(print_SF('EF Table_detail'!J55),"")</f>
        <v>31.6</v>
      </c>
      <c r="K57" s="162" t="str" cm="1">
        <f t="array" aca="1" ref="K57" ca="1">IFERROR(print_SF('EF Table_detail'!K55),"")</f>
        <v>195</v>
      </c>
      <c r="L57" s="157" t="str" cm="1">
        <f t="array" aca="1" ref="L57" ca="1">IFERROR(print_SF('EF Table_detail'!R55),"")</f>
        <v>0.725</v>
      </c>
      <c r="M57" s="163" t="str" cm="1">
        <f t="array" aca="1" ref="M57" ca="1">IFERROR(print_SF('EF Table_detail'!N55),"")</f>
        <v>0.690</v>
      </c>
      <c r="N57" s="152" t="str" cm="1">
        <f t="array" aca="1" ref="N57" ca="1">IFERROR(print_SF('EF Table_detail'!O55),"")</f>
        <v>0.0702</v>
      </c>
      <c r="O57" s="166" t="str" cm="1">
        <f t="array" aca="1" ref="O57" ca="1">IFERROR(print_SF('EF Table_detail'!P55),"")</f>
        <v>0.381</v>
      </c>
      <c r="P57" s="165" t="str" cm="1">
        <f t="array" aca="1" ref="P57" ca="1">IFERROR(print_SF('EF Table_detail'!U55),"")</f>
        <v>848</v>
      </c>
      <c r="Q57" s="166" t="str" cm="1">
        <f t="array" aca="1" ref="Q57" ca="1">IFERROR(print_SF('EF Table_detail'!W55),"")</f>
        <v>1.63</v>
      </c>
      <c r="R57" s="177" t="str" cm="1">
        <f t="array" aca="1" ref="R57" ca="1">IFERROR(print_SF('EF Table_detail'!Y55),"")</f>
        <v>512</v>
      </c>
      <c r="S57" s="178" t="str">
        <f ca="1">'EF Table_detail'!Z55</f>
        <v>kg/m³</v>
      </c>
      <c r="T57" s="179" t="str">
        <f ca="1">'EF Table_detail'!AA55</f>
        <v xml:space="preserve">The NABERS rating tool will only include carbon storage where a material will be expected to last more than 20 years within the building and where it has been sourced from a sustainable forest. </v>
      </c>
      <c r="U57" s="180" t="str">
        <f ca="1">'EF Table_detail'!AB55</f>
        <v>Yes</v>
      </c>
      <c r="V57" s="140"/>
    </row>
    <row r="58" spans="1:22" ht="45" customHeight="1" x14ac:dyDescent="0.25">
      <c r="A58" s="147" t="str">
        <f>'EF Table_detail'!A56</f>
        <v>Timber cladding</v>
      </c>
      <c r="B58" s="148" t="str">
        <f>'EF Table_detail'!B56</f>
        <v>Plywood</v>
      </c>
      <c r="C58" s="149" t="str">
        <f>HYPERLINK("#"&amp;'EF Table_detail'!$C56&amp;"!A1",'EF Table_detail'!$C56)</f>
        <v>Eng_Timber_Plywood</v>
      </c>
      <c r="D58" s="150" t="str">
        <f ca="1">'EF Table_detail'!D56</f>
        <v xml:space="preserve">Plywood timber for bracing, structural (walling, flooring), formwork purposes. </v>
      </c>
      <c r="E58" s="148" t="str">
        <f ca="1">'EF Table_detail'!F56</f>
        <v>m³</v>
      </c>
      <c r="F58" s="148" t="str">
        <f ca="1">'EF Table_detail'!G56</f>
        <v>Tier 2</v>
      </c>
      <c r="G58" s="159">
        <f ca="1">'EF Table_detail'!H56</f>
        <v>1.05</v>
      </c>
      <c r="H58" s="157" t="str" cm="1">
        <f t="array" aca="1" ref="H58" ca="1">IFERROR(print_SF('EF Table_detail'!M56),"")</f>
        <v>968</v>
      </c>
      <c r="I58" s="160" t="str" cm="1">
        <f t="array" aca="1" ref="I58" ca="1">IFERROR(print_SF('EF Table_detail'!I56),"")</f>
        <v>922</v>
      </c>
      <c r="J58" s="151" t="str" cm="1">
        <f t="array" aca="1" ref="J58" ca="1">IFERROR(print_SF('EF Table_detail'!J56),"")</f>
        <v>235</v>
      </c>
      <c r="K58" s="162" t="str" cm="1">
        <f t="array" aca="1" ref="K58" ca="1">IFERROR(print_SF('EF Table_detail'!K56),"")</f>
        <v>498</v>
      </c>
      <c r="L58" s="157" t="str" cm="1">
        <f t="array" aca="1" ref="L58" ca="1">IFERROR(print_SF('EF Table_detail'!R56),"")</f>
        <v>1.77</v>
      </c>
      <c r="M58" s="163" t="str" cm="1">
        <f t="array" aca="1" ref="M58" ca="1">IFERROR(print_SF('EF Table_detail'!N56),"")</f>
        <v>1.69</v>
      </c>
      <c r="N58" s="152" t="str" cm="1">
        <f t="array" aca="1" ref="N58" ca="1">IFERROR(print_SF('EF Table_detail'!O56),"")</f>
        <v>0.396</v>
      </c>
      <c r="O58" s="166" t="str" cm="1">
        <f t="array" aca="1" ref="O58" ca="1">IFERROR(print_SF('EF Table_detail'!P56),"")</f>
        <v>0.978</v>
      </c>
      <c r="P58" s="165" t="str" cm="1">
        <f t="array" aca="1" ref="P58" ca="1">IFERROR(print_SF('EF Table_detail'!U56),"")</f>
        <v>841</v>
      </c>
      <c r="Q58" s="166" t="str" cm="1">
        <f t="array" aca="1" ref="Q58" ca="1">IFERROR(print_SF('EF Table_detail'!W56),"")</f>
        <v>1.64</v>
      </c>
      <c r="R58" s="177" t="str" cm="1">
        <f t="array" aca="1" ref="R58" ca="1">IFERROR(print_SF('EF Table_detail'!Y56),"")</f>
        <v>509</v>
      </c>
      <c r="S58" s="178" t="str">
        <f ca="1">'EF Table_detail'!Z56</f>
        <v>kg/m³</v>
      </c>
      <c r="T58" s="179" t="str">
        <f ca="1">'EF Table_detail'!AA56</f>
        <v xml:space="preserve">The NABERS rating tool will only include carbon storage where a material will be expected to last more than 20 years within the building and where it has been sourced from a sustainable forest. </v>
      </c>
      <c r="U58" s="180" t="str">
        <f ca="1">'EF Table_detail'!AB56</f>
        <v>Yes</v>
      </c>
      <c r="V58" s="140"/>
    </row>
    <row r="59" spans="1:22" ht="45" customHeight="1" x14ac:dyDescent="0.25">
      <c r="A59" s="147" t="str">
        <f>'EF Table_detail'!A57</f>
        <v>Timber cladding</v>
      </c>
      <c r="B59" s="148" t="str">
        <f>'EF Table_detail'!B57</f>
        <v>Particleboard</v>
      </c>
      <c r="C59" s="149" t="str">
        <f>HYPERLINK("#"&amp;'EF Table_detail'!$C57&amp;"!A1",'EF Table_detail'!$C57)</f>
        <v>Eng_Timber_Particleboard</v>
      </c>
      <c r="D59" s="150" t="str">
        <f ca="1">'EF Table_detail'!D57</f>
        <v xml:space="preserve">Particleboard including walling and flooring applications </v>
      </c>
      <c r="E59" s="148" t="str">
        <f ca="1">'EF Table_detail'!F57</f>
        <v>m³</v>
      </c>
      <c r="F59" s="148" t="str">
        <f ca="1">'EF Table_detail'!G57</f>
        <v>Tier 2</v>
      </c>
      <c r="G59" s="159">
        <f ca="1">'EF Table_detail'!H57</f>
        <v>1.05</v>
      </c>
      <c r="H59" s="157" t="str" cm="1">
        <f t="array" aca="1" ref="H59" ca="1">IFERROR(print_SF('EF Table_detail'!M57),"")</f>
        <v>880</v>
      </c>
      <c r="I59" s="160" t="str" cm="1">
        <f t="array" aca="1" ref="I59" ca="1">IFERROR(print_SF('EF Table_detail'!I57),"")</f>
        <v>838</v>
      </c>
      <c r="J59" s="151" t="str" cm="1">
        <f t="array" aca="1" ref="J59" ca="1">IFERROR(print_SF('EF Table_detail'!J57),"")</f>
        <v>322</v>
      </c>
      <c r="K59" s="162" t="str" cm="1">
        <f t="array" aca="1" ref="K59" ca="1">IFERROR(print_SF('EF Table_detail'!K57),"")</f>
        <v>650</v>
      </c>
      <c r="L59" s="157" t="str" cm="1">
        <f t="array" aca="1" ref="L59" ca="1">IFERROR(print_SF('EF Table_detail'!R57),"")</f>
        <v>1.23</v>
      </c>
      <c r="M59" s="163" t="str" cm="1">
        <f t="array" aca="1" ref="M59" ca="1">IFERROR(print_SF('EF Table_detail'!N57),"")</f>
        <v>1.17</v>
      </c>
      <c r="N59" s="152" t="str" cm="1">
        <f t="array" aca="1" ref="N59" ca="1">IFERROR(print_SF('EF Table_detail'!O57),"")</f>
        <v>0.488</v>
      </c>
      <c r="O59" s="166" t="str" cm="1">
        <f t="array" aca="1" ref="O59" ca="1">IFERROR(print_SF('EF Table_detail'!P57),"")</f>
        <v>0.915</v>
      </c>
      <c r="P59" s="165" t="str" cm="1">
        <f t="array" aca="1" ref="P59" ca="1">IFERROR(print_SF('EF Table_detail'!U57),"")</f>
        <v>1,140</v>
      </c>
      <c r="Q59" s="166" t="str" cm="1">
        <f t="array" aca="1" ref="Q59" ca="1">IFERROR(print_SF('EF Table_detail'!W57),"")</f>
        <v>1.62</v>
      </c>
      <c r="R59" s="177" t="str" cm="1">
        <f t="array" aca="1" ref="R59" ca="1">IFERROR(print_SF('EF Table_detail'!Y57),"")</f>
        <v>711</v>
      </c>
      <c r="S59" s="178" t="str">
        <f ca="1">'EF Table_detail'!Z57</f>
        <v>kg/m³</v>
      </c>
      <c r="T59" s="179" t="str">
        <f ca="1">'EF Table_detail'!AA57</f>
        <v xml:space="preserve">The NABERS rating tool will only include carbon storage where a material will be expected to last more than 20 years within the building and where it has been sourced from a sustainable forest. </v>
      </c>
      <c r="U59" s="180" t="str">
        <f ca="1">'EF Table_detail'!AB57</f>
        <v>Yes</v>
      </c>
      <c r="V59" s="140"/>
    </row>
    <row r="60" spans="1:22" ht="45" customHeight="1" x14ac:dyDescent="0.25">
      <c r="A60" s="147" t="str">
        <f>'EF Table_detail'!A58</f>
        <v>Structural insulated panel</v>
      </c>
      <c r="B60" s="148" t="str">
        <f>'EF Table_detail'!B58</f>
        <v>Panel - SIP ≤100mm</v>
      </c>
      <c r="C60" s="149" t="str">
        <f>HYPERLINK("#"&amp;'EF Table_detail'!$C58&amp;"!A1",'EF Table_detail'!$C58)</f>
        <v>Panel_SIP_less_equal_100</v>
      </c>
      <c r="D60" s="150" t="str">
        <f ca="1">'EF Table_detail'!D58</f>
        <v>Structural Insulated Panels (SIP) of thickness less than or equal to 100 mm, including wall and roof panels.</v>
      </c>
      <c r="E60" s="148" t="str">
        <f ca="1">'EF Table_detail'!F58</f>
        <v>m²</v>
      </c>
      <c r="F60" s="148" t="str">
        <f ca="1">'EF Table_detail'!G58</f>
        <v>Tier 2</v>
      </c>
      <c r="G60" s="159">
        <f ca="1">'EF Table_detail'!H58</f>
        <v>1.05</v>
      </c>
      <c r="H60" s="157" t="str" cm="1">
        <f t="array" aca="1" ref="H60" ca="1">IFERROR(print_SF('EF Table_detail'!M58),"")</f>
        <v>67.2</v>
      </c>
      <c r="I60" s="160" t="str" cm="1">
        <f t="array" aca="1" ref="I60" ca="1">IFERROR(print_SF('EF Table_detail'!I58),"")</f>
        <v>64.0</v>
      </c>
      <c r="J60" s="151" t="str" cm="1">
        <f t="array" aca="1" ref="J60" ca="1">IFERROR(print_SF('EF Table_detail'!J58),"")</f>
        <v>7.15</v>
      </c>
      <c r="K60" s="162" t="str" cm="1">
        <f t="array" aca="1" ref="K60" ca="1">IFERROR(print_SF('EF Table_detail'!K58),"")</f>
        <v>42.3</v>
      </c>
      <c r="L60" s="157" t="str" cm="1">
        <f t="array" aca="1" ref="L60" ca="1">IFERROR(print_SF('EF Table_detail'!R58),"")</f>
        <v>5.16</v>
      </c>
      <c r="M60" s="163" t="str" cm="1">
        <f t="array" aca="1" ref="M60" ca="1">IFERROR(print_SF('EF Table_detail'!N58),"")</f>
        <v>4.92</v>
      </c>
      <c r="N60" s="152" t="str" cm="1">
        <f t="array" aca="1" ref="N60" ca="1">IFERROR(print_SF('EF Table_detail'!O58),"")</f>
        <v>1.10</v>
      </c>
      <c r="O60" s="166" t="str" cm="1">
        <f t="array" aca="1" ref="O60" ca="1">IFERROR(print_SF('EF Table_detail'!P58),"")</f>
        <v>3.64</v>
      </c>
      <c r="P60" s="165" t="str" cm="1">
        <f t="array" aca="1" ref="P60" ca="1">IFERROR(print_SF('EF Table_detail'!U58),"")</f>
        <v>0</v>
      </c>
      <c r="Q60" s="166" t="str" cm="1">
        <f t="array" aca="1" ref="Q60" ca="1">IFERROR(print_SF('EF Table_detail'!W58),"")</f>
        <v>0</v>
      </c>
      <c r="R60" s="177" t="str" cm="1">
        <f t="array" aca="1" ref="R60" ca="1">IFERROR(print_SF('EF Table_detail'!Y58),"")</f>
        <v>11.6</v>
      </c>
      <c r="S60" s="178" t="str">
        <f ca="1">'EF Table_detail'!Z58</f>
        <v>kg/m²</v>
      </c>
      <c r="T60" s="179" t="str">
        <f ca="1">'EF Table_detail'!AA58</f>
        <v xml:space="preserve">Important to consider board thickness. Recommended to use kg CO2e/kg EF when thickness and mass is known. </v>
      </c>
      <c r="U60" s="180" t="str">
        <f ca="1">'EF Table_detail'!AB58</f>
        <v>No</v>
      </c>
      <c r="V60" s="140"/>
    </row>
    <row r="61" spans="1:22" ht="45" customHeight="1" x14ac:dyDescent="0.25">
      <c r="A61" s="147" t="str">
        <f>'EF Table_detail'!A59</f>
        <v>Structural insulated panel</v>
      </c>
      <c r="B61" s="148" t="str">
        <f>'EF Table_detail'!B59</f>
        <v>Panel - SIP &gt;100mm</v>
      </c>
      <c r="C61" s="149" t="str">
        <f>HYPERLINK("#"&amp;'EF Table_detail'!$C59&amp;"!A1",'EF Table_detail'!$C59)</f>
        <v>Panel_SIP_more100</v>
      </c>
      <c r="D61" s="150" t="str">
        <f ca="1">'EF Table_detail'!D59</f>
        <v>Structural Insulated Panels (SIP) of thickness greater than 100 mm and no thicker than 250 mm including wall and roof panels.</v>
      </c>
      <c r="E61" s="148" t="str">
        <f ca="1">'EF Table_detail'!F59</f>
        <v>m²</v>
      </c>
      <c r="F61" s="148" t="str">
        <f ca="1">'EF Table_detail'!G59</f>
        <v>Tier 2</v>
      </c>
      <c r="G61" s="159">
        <f ca="1">'EF Table_detail'!H59</f>
        <v>1.05</v>
      </c>
      <c r="H61" s="157" t="str" cm="1">
        <f t="array" aca="1" ref="H61" ca="1">IFERROR(print_SF('EF Table_detail'!M59),"")</f>
        <v>89.0</v>
      </c>
      <c r="I61" s="160" t="str" cm="1">
        <f t="array" aca="1" ref="I61" ca="1">IFERROR(print_SF('EF Table_detail'!I59),"")</f>
        <v>84.8</v>
      </c>
      <c r="J61" s="151" t="str" cm="1">
        <f t="array" aca="1" ref="J61" ca="1">IFERROR(print_SF('EF Table_detail'!J59),"")</f>
        <v>36.5</v>
      </c>
      <c r="K61" s="162" t="str" cm="1">
        <f t="array" aca="1" ref="K61" ca="1">IFERROR(print_SF('EF Table_detail'!K59),"")</f>
        <v>55.6</v>
      </c>
      <c r="L61" s="157" t="str" cm="1">
        <f t="array" aca="1" ref="L61" ca="1">IFERROR(print_SF('EF Table_detail'!R59),"")</f>
        <v>5.11</v>
      </c>
      <c r="M61" s="163" t="str" cm="1">
        <f t="array" aca="1" ref="M61" ca="1">IFERROR(print_SF('EF Table_detail'!N59),"")</f>
        <v>4.87</v>
      </c>
      <c r="N61" s="152" t="str" cm="1">
        <f t="array" aca="1" ref="N61" ca="1">IFERROR(print_SF('EF Table_detail'!O59),"")</f>
        <v>1.55</v>
      </c>
      <c r="O61" s="166" t="str" cm="1">
        <f t="array" aca="1" ref="O61" ca="1">IFERROR(print_SF('EF Table_detail'!P59),"")</f>
        <v>3.76</v>
      </c>
      <c r="P61" s="165" t="str" cm="1">
        <f t="array" aca="1" ref="P61" ca="1">IFERROR(print_SF('EF Table_detail'!U59),"")</f>
        <v>0</v>
      </c>
      <c r="Q61" s="166" t="str" cm="1">
        <f t="array" aca="1" ref="Q61" ca="1">IFERROR(print_SF('EF Table_detail'!W59),"")</f>
        <v>0</v>
      </c>
      <c r="R61" s="177" t="str" cm="1">
        <f t="array" aca="1" ref="R61" ca="1">IFERROR(print_SF('EF Table_detail'!Y59),"")</f>
        <v>14.8</v>
      </c>
      <c r="S61" s="178" t="str">
        <f ca="1">'EF Table_detail'!Z59</f>
        <v>kg/m²</v>
      </c>
      <c r="T61" s="179" t="str">
        <f ca="1">'EF Table_detail'!AA59</f>
        <v/>
      </c>
      <c r="U61" s="180" t="str">
        <f ca="1">'EF Table_detail'!AB59</f>
        <v>No</v>
      </c>
      <c r="V61" s="140"/>
    </row>
    <row r="62" spans="1:22" ht="45" customHeight="1" x14ac:dyDescent="0.25">
      <c r="A62" s="147" t="str">
        <f>'EF Table_detail'!A60</f>
        <v>Glazing</v>
      </c>
      <c r="B62" s="148" t="str">
        <f>'EF Table_detail'!B60</f>
        <v>Glass (treated or untreated)</v>
      </c>
      <c r="C62" s="149" t="str">
        <f>HYPERLINK("#"&amp;'EF Table_detail'!$C60&amp;"!A1",'EF Table_detail'!$C60)</f>
        <v>Glass</v>
      </c>
      <c r="D62" s="150" t="str">
        <f ca="1">'EF Table_detail'!D60</f>
        <v>Glass used in windows, doors, curtain wall purposes. Including single, double and triple glazing units.</v>
      </c>
      <c r="E62" s="148" t="str">
        <f ca="1">'EF Table_detail'!F60</f>
        <v>kg</v>
      </c>
      <c r="F62" s="148" t="str">
        <f ca="1">'EF Table_detail'!G60</f>
        <v>Tier 4</v>
      </c>
      <c r="G62" s="159">
        <f ca="1">'EF Table_detail'!H60</f>
        <v>1.2</v>
      </c>
      <c r="H62" s="157" t="str" cm="1">
        <f t="array" aca="1" ref="H62" ca="1">IFERROR(print_SF('EF Table_detail'!M60),"")</f>
        <v>2.38</v>
      </c>
      <c r="I62" s="160" t="str" cm="1">
        <f t="array" aca="1" ref="I62" ca="1">IFERROR(print_SF('EF Table_detail'!I60),"")</f>
        <v>1.98</v>
      </c>
      <c r="J62" s="151" t="str" cm="1">
        <f t="array" aca="1" ref="J62" ca="1">IFERROR(print_SF('EF Table_detail'!J60),"")</f>
        <v>1.10</v>
      </c>
      <c r="K62" s="162" t="str" cm="1">
        <f t="array" aca="1" ref="K62" ca="1">IFERROR(print_SF('EF Table_detail'!K60),"")</f>
        <v>1.66</v>
      </c>
      <c r="L62" s="157" t="str" cm="1">
        <f t="array" aca="1" ref="L62" ca="1">IFERROR(print_SF('EF Table_detail'!R60),"")</f>
        <v>2.38</v>
      </c>
      <c r="M62" s="163" t="str" cm="1">
        <f t="array" aca="1" ref="M62" ca="1">IFERROR(print_SF('EF Table_detail'!N60),"")</f>
        <v>1.98</v>
      </c>
      <c r="N62" s="152" t="str" cm="1">
        <f t="array" aca="1" ref="N62" ca="1">IFERROR(print_SF('EF Table_detail'!O60),"")</f>
        <v>1.10</v>
      </c>
      <c r="O62" s="166" t="str" cm="1">
        <f t="array" aca="1" ref="O62" ca="1">IFERROR(print_SF('EF Table_detail'!P60),"")</f>
        <v>1.66</v>
      </c>
      <c r="P62" s="165" t="str" cm="1">
        <f t="array" aca="1" ref="P62" ca="1">IFERROR(print_SF('EF Table_detail'!U60),"")</f>
        <v>0</v>
      </c>
      <c r="Q62" s="166" t="str" cm="1">
        <f t="array" aca="1" ref="Q62" ca="1">IFERROR(print_SF('EF Table_detail'!W60),"")</f>
        <v>0</v>
      </c>
      <c r="R62" s="177" t="str" cm="1">
        <f t="array" aca="1" ref="R62" ca="1">IFERROR(print_SF('EF Table_detail'!Y60),"")</f>
        <v>1.00</v>
      </c>
      <c r="S62" s="178" t="str">
        <f ca="1">'EF Table_detail'!Z60</f>
        <v>kg/kg</v>
      </c>
      <c r="T62" s="179" t="str">
        <f ca="1">'EF Table_detail'!AA60</f>
        <v/>
      </c>
      <c r="U62" s="180" t="str">
        <f ca="1">'EF Table_detail'!AB60</f>
        <v>No</v>
      </c>
      <c r="V62" s="140"/>
    </row>
    <row r="63" spans="1:22" ht="45" customHeight="1" x14ac:dyDescent="0.25">
      <c r="A63" s="147" t="str">
        <f>'EF Table_detail'!A61</f>
        <v>Extruded aluminium</v>
      </c>
      <c r="B63" s="148" t="str">
        <f>'EF Table_detail'!B61</f>
        <v>Aluminium extruded uncoated</v>
      </c>
      <c r="C63" s="149" t="str">
        <f>HYPERLINK("#"&amp;'EF Table_detail'!$C61&amp;"!A1",'EF Table_detail'!$C61)</f>
        <v>Aluminium_extruded</v>
      </c>
      <c r="D63" s="150" t="str">
        <f ca="1">'EF Table_detail'!D61</f>
        <v>Extruded aluminium uncoated.</v>
      </c>
      <c r="E63" s="148" t="str">
        <f ca="1">'EF Table_detail'!F61</f>
        <v>tonne</v>
      </c>
      <c r="F63" s="148" t="str">
        <f ca="1">'EF Table_detail'!G61</f>
        <v>Tier 2</v>
      </c>
      <c r="G63" s="159">
        <f ca="1">'EF Table_detail'!H61</f>
        <v>1.05</v>
      </c>
      <c r="H63" s="157" t="str" cm="1">
        <f t="array" aca="1" ref="H63" ca="1">IFERROR(print_SF('EF Table_detail'!M61),"")</f>
        <v>30,200</v>
      </c>
      <c r="I63" s="160" t="str" cm="1">
        <f t="array" aca="1" ref="I63" ca="1">IFERROR(print_SF('EF Table_detail'!I61),"")</f>
        <v>28,800</v>
      </c>
      <c r="J63" s="151" t="str" cm="1">
        <f t="array" aca="1" ref="J63" ca="1">IFERROR(print_SF('EF Table_detail'!J61),"")</f>
        <v>3,490</v>
      </c>
      <c r="K63" s="162" t="str" cm="1">
        <f t="array" aca="1" ref="K63" ca="1">IFERROR(print_SF('EF Table_detail'!K61),"")</f>
        <v>17,400</v>
      </c>
      <c r="L63" s="157" t="str" cm="1">
        <f t="array" aca="1" ref="L63" ca="1">IFERROR(print_SF('EF Table_detail'!R61),"")</f>
        <v>30.2</v>
      </c>
      <c r="M63" s="163" t="str" cm="1">
        <f t="array" aca="1" ref="M63" ca="1">IFERROR(print_SF('EF Table_detail'!N61),"")</f>
        <v>28.8</v>
      </c>
      <c r="N63" s="152" t="str" cm="1">
        <f t="array" aca="1" ref="N63" ca="1">IFERROR(print_SF('EF Table_detail'!O61),"")</f>
        <v>3.49</v>
      </c>
      <c r="O63" s="166" t="str" cm="1">
        <f t="array" aca="1" ref="O63" ca="1">IFERROR(print_SF('EF Table_detail'!P61),"")</f>
        <v>17.4</v>
      </c>
      <c r="P63" s="165" t="str" cm="1">
        <f t="array" aca="1" ref="P63" ca="1">IFERROR(print_SF('EF Table_detail'!U61),"")</f>
        <v>0</v>
      </c>
      <c r="Q63" s="166" t="str" cm="1">
        <f t="array" aca="1" ref="Q63" ca="1">IFERROR(print_SF('EF Table_detail'!W61),"")</f>
        <v>0</v>
      </c>
      <c r="R63" s="177" t="str" cm="1">
        <f t="array" aca="1" ref="R63" ca="1">IFERROR(print_SF('EF Table_detail'!Y61),"")</f>
        <v>1,000</v>
      </c>
      <c r="S63" s="178" t="str">
        <f ca="1">'EF Table_detail'!Z61</f>
        <v>kg/tonne</v>
      </c>
      <c r="T63" s="179" t="str">
        <f ca="1">'EF Table_detail'!AA61</f>
        <v xml:space="preserve">Used in wide array of applications including in curtain walls, wall and ceiling systems, facades etc. </v>
      </c>
      <c r="U63" s="180" t="str">
        <f ca="1">'EF Table_detail'!AB61</f>
        <v>Yes</v>
      </c>
      <c r="V63" s="140"/>
    </row>
    <row r="64" spans="1:22" ht="45" customHeight="1" x14ac:dyDescent="0.25">
      <c r="A64" s="147" t="str">
        <f>'EF Table_detail'!A62</f>
        <v>Extruded aluminium</v>
      </c>
      <c r="B64" s="148" t="str">
        <f>'EF Table_detail'!B62</f>
        <v>Aluminium extruded powder coated</v>
      </c>
      <c r="C64" s="149" t="str">
        <f>HYPERLINK("#"&amp;'EF Table_detail'!$C62&amp;"!A1",'EF Table_detail'!$C62)</f>
        <v>Aluminium_extru_powdercoat</v>
      </c>
      <c r="D64" s="150" t="str">
        <f ca="1">'EF Table_detail'!D62</f>
        <v>Extruded aluminium (powder coated).</v>
      </c>
      <c r="E64" s="148" t="str">
        <f ca="1">'EF Table_detail'!F62</f>
        <v>tonne</v>
      </c>
      <c r="F64" s="148" t="str">
        <f ca="1">'EF Table_detail'!G62</f>
        <v>Tier 2</v>
      </c>
      <c r="G64" s="159">
        <f ca="1">'EF Table_detail'!H62</f>
        <v>1.05</v>
      </c>
      <c r="H64" s="157" t="str" cm="1">
        <f t="array" aca="1" ref="H64" ca="1">IFERROR(print_SF('EF Table_detail'!M62),"")</f>
        <v>32,000</v>
      </c>
      <c r="I64" s="160" t="str" cm="1">
        <f t="array" aca="1" ref="I64" ca="1">IFERROR(print_SF('EF Table_detail'!I62),"")</f>
        <v>30,500</v>
      </c>
      <c r="J64" s="151" t="str" cm="1">
        <f t="array" aca="1" ref="J64" ca="1">IFERROR(print_SF('EF Table_detail'!J62),"")</f>
        <v>5,150</v>
      </c>
      <c r="K64" s="162" t="str" cm="1">
        <f t="array" aca="1" ref="K64" ca="1">IFERROR(print_SF('EF Table_detail'!K62),"")</f>
        <v>18,200</v>
      </c>
      <c r="L64" s="157" t="str" cm="1">
        <f t="array" aca="1" ref="L64" ca="1">IFERROR(print_SF('EF Table_detail'!R62),"")</f>
        <v>32.0</v>
      </c>
      <c r="M64" s="163" t="str" cm="1">
        <f t="array" aca="1" ref="M64" ca="1">IFERROR(print_SF('EF Table_detail'!N62),"")</f>
        <v>30.5</v>
      </c>
      <c r="N64" s="152" t="str" cm="1">
        <f t="array" aca="1" ref="N64" ca="1">IFERROR(print_SF('EF Table_detail'!O62),"")</f>
        <v>5.15</v>
      </c>
      <c r="O64" s="166" t="str" cm="1">
        <f t="array" aca="1" ref="O64" ca="1">IFERROR(print_SF('EF Table_detail'!P62),"")</f>
        <v>18.2</v>
      </c>
      <c r="P64" s="165" t="str" cm="1">
        <f t="array" aca="1" ref="P64" ca="1">IFERROR(print_SF('EF Table_detail'!U62),"")</f>
        <v>0</v>
      </c>
      <c r="Q64" s="166" t="str" cm="1">
        <f t="array" aca="1" ref="Q64" ca="1">IFERROR(print_SF('EF Table_detail'!W62),"")</f>
        <v>0</v>
      </c>
      <c r="R64" s="177" t="str" cm="1">
        <f t="array" aca="1" ref="R64" ca="1">IFERROR(print_SF('EF Table_detail'!Y62),"")</f>
        <v>1,000</v>
      </c>
      <c r="S64" s="178" t="str">
        <f ca="1">'EF Table_detail'!Z62</f>
        <v>kg/tonne</v>
      </c>
      <c r="T64" s="179" t="str">
        <f ca="1">'EF Table_detail'!AA62</f>
        <v>Using EFs determined in aluminium_extruded than multiplying by a factor for powder coating as determined using additional referenced data. Note this material sub-category is to act as a proxy for polyviylidene fluoride coating (PVDF coating).</v>
      </c>
      <c r="U64" s="180" t="str">
        <f ca="1">'EF Table_detail'!AB62</f>
        <v>Yes</v>
      </c>
      <c r="V64" s="140"/>
    </row>
    <row r="65" spans="1:22" ht="45" customHeight="1" x14ac:dyDescent="0.25">
      <c r="A65" s="147" t="str">
        <f>'EF Table_detail'!A63</f>
        <v>Extruded aluminium</v>
      </c>
      <c r="B65" s="148" t="str">
        <f>'EF Table_detail'!B63</f>
        <v>Aluminium extruded anodised</v>
      </c>
      <c r="C65" s="149" t="str">
        <f>HYPERLINK("#"&amp;'EF Table_detail'!$C63&amp;"!A1",'EF Table_detail'!$C63)</f>
        <v>Aluminium_extru_anodised</v>
      </c>
      <c r="D65" s="150" t="str">
        <f ca="1">'EF Table_detail'!D63</f>
        <v>Extruded aluminium (anodised).</v>
      </c>
      <c r="E65" s="148" t="str">
        <f ca="1">'EF Table_detail'!F63</f>
        <v>tonne</v>
      </c>
      <c r="F65" s="148" t="str">
        <f ca="1">'EF Table_detail'!G63</f>
        <v>Tier 2</v>
      </c>
      <c r="G65" s="159">
        <f ca="1">'EF Table_detail'!H63</f>
        <v>1.05</v>
      </c>
      <c r="H65" s="157" t="str" cm="1">
        <f t="array" aca="1" ref="H65" ca="1">IFERROR(print_SF('EF Table_detail'!M63),"")</f>
        <v>34,200</v>
      </c>
      <c r="I65" s="160" t="str" cm="1">
        <f t="array" aca="1" ref="I65" ca="1">IFERROR(print_SF('EF Table_detail'!I63),"")</f>
        <v>32,600</v>
      </c>
      <c r="J65" s="151" t="str" cm="1">
        <f t="array" aca="1" ref="J65" ca="1">IFERROR(print_SF('EF Table_detail'!J63),"")</f>
        <v>7,290</v>
      </c>
      <c r="K65" s="162" t="str" cm="1">
        <f t="array" aca="1" ref="K65" ca="1">IFERROR(print_SF('EF Table_detail'!K63),"")</f>
        <v>19,300</v>
      </c>
      <c r="L65" s="157" t="str" cm="1">
        <f t="array" aca="1" ref="L65" ca="1">IFERROR(print_SF('EF Table_detail'!R63),"")</f>
        <v>34.2</v>
      </c>
      <c r="M65" s="163" t="str" cm="1">
        <f t="array" aca="1" ref="M65" ca="1">IFERROR(print_SF('EF Table_detail'!N63),"")</f>
        <v>32.6</v>
      </c>
      <c r="N65" s="152" t="str" cm="1">
        <f t="array" aca="1" ref="N65" ca="1">IFERROR(print_SF('EF Table_detail'!O63),"")</f>
        <v>7.29</v>
      </c>
      <c r="O65" s="166" t="str" cm="1">
        <f t="array" aca="1" ref="O65" ca="1">IFERROR(print_SF('EF Table_detail'!P63),"")</f>
        <v>19.3</v>
      </c>
      <c r="P65" s="165" t="str" cm="1">
        <f t="array" aca="1" ref="P65" ca="1">IFERROR(print_SF('EF Table_detail'!U63),"")</f>
        <v>0</v>
      </c>
      <c r="Q65" s="166" t="str" cm="1">
        <f t="array" aca="1" ref="Q65" ca="1">IFERROR(print_SF('EF Table_detail'!W63),"")</f>
        <v>0</v>
      </c>
      <c r="R65" s="177" t="str" cm="1">
        <f t="array" aca="1" ref="R65" ca="1">IFERROR(print_SF('EF Table_detail'!Y63),"")</f>
        <v>1,000</v>
      </c>
      <c r="S65" s="178" t="str">
        <f ca="1">'EF Table_detail'!Z63</f>
        <v>kg/tonne</v>
      </c>
      <c r="T65" s="179" t="str">
        <f ca="1">'EF Table_detail'!AA63</f>
        <v>Using EFs determined in aluminium_extruded than multiplying by a factor for anodising as determined using additional referenced data</v>
      </c>
      <c r="U65" s="180" t="str">
        <f ca="1">'EF Table_detail'!AB63</f>
        <v>Yes</v>
      </c>
      <c r="V65" s="140"/>
    </row>
    <row r="66" spans="1:22" ht="45" customHeight="1" x14ac:dyDescent="0.25">
      <c r="A66" s="147" t="str">
        <f>'EF Table_detail'!A64</f>
        <v>External shading</v>
      </c>
      <c r="B66" s="148" t="str">
        <f>'EF Table_detail'!B64</f>
        <v>Aluminium louvre</v>
      </c>
      <c r="C66" s="149" t="str">
        <f>HYPERLINK("#"&amp;'EF Table_detail'!$C64&amp;"!A1",'EF Table_detail'!$C64)</f>
        <v>Aluminium_extru_powdercoat</v>
      </c>
      <c r="D66" s="150" t="str">
        <f ca="1">'EF Table_detail'!D64</f>
        <v>Extruded aluminium (powder coated).</v>
      </c>
      <c r="E66" s="148" t="str">
        <f ca="1">'EF Table_detail'!F64</f>
        <v>tonne</v>
      </c>
      <c r="F66" s="148" t="str">
        <f ca="1">'EF Table_detail'!G64</f>
        <v>Tier 2</v>
      </c>
      <c r="G66" s="159">
        <f ca="1">'EF Table_detail'!H64</f>
        <v>1.05</v>
      </c>
      <c r="H66" s="157" t="str" cm="1">
        <f t="array" aca="1" ref="H66" ca="1">IFERROR(print_SF('EF Table_detail'!M64),"")</f>
        <v>32,000</v>
      </c>
      <c r="I66" s="160" t="str" cm="1">
        <f t="array" aca="1" ref="I66" ca="1">IFERROR(print_SF('EF Table_detail'!I64),"")</f>
        <v>30,500</v>
      </c>
      <c r="J66" s="151" t="str" cm="1">
        <f t="array" aca="1" ref="J66" ca="1">IFERROR(print_SF('EF Table_detail'!J64),"")</f>
        <v>5,150</v>
      </c>
      <c r="K66" s="162" t="str" cm="1">
        <f t="array" aca="1" ref="K66" ca="1">IFERROR(print_SF('EF Table_detail'!K64),"")</f>
        <v>18,200</v>
      </c>
      <c r="L66" s="157" t="str" cm="1">
        <f t="array" aca="1" ref="L66" ca="1">IFERROR(print_SF('EF Table_detail'!R64),"")</f>
        <v>32.0</v>
      </c>
      <c r="M66" s="163" t="str" cm="1">
        <f t="array" aca="1" ref="M66" ca="1">IFERROR(print_SF('EF Table_detail'!N64),"")</f>
        <v>30.5</v>
      </c>
      <c r="N66" s="152" t="str" cm="1">
        <f t="array" aca="1" ref="N66" ca="1">IFERROR(print_SF('EF Table_detail'!O64),"")</f>
        <v>5.15</v>
      </c>
      <c r="O66" s="166" t="str" cm="1">
        <f t="array" aca="1" ref="O66" ca="1">IFERROR(print_SF('EF Table_detail'!P64),"")</f>
        <v>18.2</v>
      </c>
      <c r="P66" s="165" t="str" cm="1">
        <f t="array" aca="1" ref="P66" ca="1">IFERROR(print_SF('EF Table_detail'!U64),"")</f>
        <v>0</v>
      </c>
      <c r="Q66" s="166" t="str" cm="1">
        <f t="array" aca="1" ref="Q66" ca="1">IFERROR(print_SF('EF Table_detail'!W64),"")</f>
        <v>0</v>
      </c>
      <c r="R66" s="177" t="str" cm="1">
        <f t="array" aca="1" ref="R66" ca="1">IFERROR(print_SF('EF Table_detail'!Y64),"")</f>
        <v>1,000</v>
      </c>
      <c r="S66" s="178" t="str">
        <f ca="1">'EF Table_detail'!Z64</f>
        <v>kg/tonne</v>
      </c>
      <c r="T66" s="179" t="str">
        <f ca="1">'EF Table_detail'!AA64</f>
        <v>Using EFs determined in aluminium_extruded than multiplying by a factor for powder coating as determined using additional referenced data. Note this material sub-category is to act as a proxy for polyviylidene fluoride coating (PVDF coating).</v>
      </c>
      <c r="U66" s="180" t="str">
        <f ca="1">'EF Table_detail'!AB64</f>
        <v>Yes</v>
      </c>
      <c r="V66" s="140"/>
    </row>
    <row r="67" spans="1:22" ht="45" customHeight="1" x14ac:dyDescent="0.25">
      <c r="A67" s="147" t="str">
        <f>'EF Table_detail'!A65</f>
        <v>External shading</v>
      </c>
      <c r="B67" s="148" t="str">
        <f>'EF Table_detail'!B65</f>
        <v>Aluminium construction</v>
      </c>
      <c r="C67" s="149" t="str">
        <f>HYPERLINK("#"&amp;'EF Table_detail'!$C65&amp;"!A1",'EF Table_detail'!$C65)</f>
        <v>Aluminium_extru_powdercoat</v>
      </c>
      <c r="D67" s="150" t="str">
        <f ca="1">'EF Table_detail'!D65</f>
        <v>Extruded aluminium (powder coated).</v>
      </c>
      <c r="E67" s="148" t="str">
        <f ca="1">'EF Table_detail'!F65</f>
        <v>tonne</v>
      </c>
      <c r="F67" s="148" t="str">
        <f ca="1">'EF Table_detail'!G65</f>
        <v>Tier 2</v>
      </c>
      <c r="G67" s="159">
        <f ca="1">'EF Table_detail'!H65</f>
        <v>1.05</v>
      </c>
      <c r="H67" s="157" t="str" cm="1">
        <f t="array" aca="1" ref="H67" ca="1">IFERROR(print_SF('EF Table_detail'!M65),"")</f>
        <v>32,000</v>
      </c>
      <c r="I67" s="160" t="str" cm="1">
        <f t="array" aca="1" ref="I67" ca="1">IFERROR(print_SF('EF Table_detail'!I65),"")</f>
        <v>30,500</v>
      </c>
      <c r="J67" s="151" t="str" cm="1">
        <f t="array" aca="1" ref="J67" ca="1">IFERROR(print_SF('EF Table_detail'!J65),"")</f>
        <v>5,150</v>
      </c>
      <c r="K67" s="162" t="str" cm="1">
        <f t="array" aca="1" ref="K67" ca="1">IFERROR(print_SF('EF Table_detail'!K65),"")</f>
        <v>18,200</v>
      </c>
      <c r="L67" s="157" t="str" cm="1">
        <f t="array" aca="1" ref="L67" ca="1">IFERROR(print_SF('EF Table_detail'!R65),"")</f>
        <v>32.0</v>
      </c>
      <c r="M67" s="163" t="str" cm="1">
        <f t="array" aca="1" ref="M67" ca="1">IFERROR(print_SF('EF Table_detail'!N65),"")</f>
        <v>30.5</v>
      </c>
      <c r="N67" s="152" t="str" cm="1">
        <f t="array" aca="1" ref="N67" ca="1">IFERROR(print_SF('EF Table_detail'!O65),"")</f>
        <v>5.15</v>
      </c>
      <c r="O67" s="166" t="str" cm="1">
        <f t="array" aca="1" ref="O67" ca="1">IFERROR(print_SF('EF Table_detail'!P65),"")</f>
        <v>18.2</v>
      </c>
      <c r="P67" s="165" t="str" cm="1">
        <f t="array" aca="1" ref="P67" ca="1">IFERROR(print_SF('EF Table_detail'!U65),"")</f>
        <v>0</v>
      </c>
      <c r="Q67" s="166" t="str" cm="1">
        <f t="array" aca="1" ref="Q67" ca="1">IFERROR(print_SF('EF Table_detail'!W65),"")</f>
        <v>0</v>
      </c>
      <c r="R67" s="177" t="str" cm="1">
        <f t="array" aca="1" ref="R67" ca="1">IFERROR(print_SF('EF Table_detail'!Y65),"")</f>
        <v>1,000</v>
      </c>
      <c r="S67" s="178" t="str">
        <f ca="1">'EF Table_detail'!Z65</f>
        <v>kg/tonne</v>
      </c>
      <c r="T67" s="179" t="str">
        <f ca="1">'EF Table_detail'!AA65</f>
        <v>Using EFs determined in aluminium_extruded than multiplying by a factor for powder coating as determined using additional referenced data. Note this material sub-category is to act as a proxy for polyviylidene fluoride coating (PVDF coating).</v>
      </c>
      <c r="U67" s="180" t="str">
        <f ca="1">'EF Table_detail'!AB65</f>
        <v>Yes</v>
      </c>
      <c r="V67" s="140"/>
    </row>
    <row r="68" spans="1:22" ht="45" customHeight="1" x14ac:dyDescent="0.25">
      <c r="A68" s="147" t="str">
        <f>'EF Table_detail'!A66</f>
        <v>External shading</v>
      </c>
      <c r="B68" s="148" t="str">
        <f>'EF Table_detail'!B66</f>
        <v>Steel construction</v>
      </c>
      <c r="C68" s="149" t="str">
        <f>HYPERLINK("#"&amp;'EF Table_detail'!$C66&amp;"!A1",'EF Table_detail'!$C66)</f>
        <v>Structural_steel_cold</v>
      </c>
      <c r="D68" s="150" t="str">
        <f ca="1">'EF Table_detail'!D66</f>
        <v>Steel used for structural purposes that has undergone cold-rolled steel production route.</v>
      </c>
      <c r="E68" s="148" t="str">
        <f ca="1">'EF Table_detail'!F66</f>
        <v>tonne</v>
      </c>
      <c r="F68" s="148" t="str">
        <f ca="1">'EF Table_detail'!G66</f>
        <v>Tier 2</v>
      </c>
      <c r="G68" s="159">
        <f ca="1">'EF Table_detail'!H66</f>
        <v>1.05</v>
      </c>
      <c r="H68" s="157" t="str" cm="1">
        <f t="array" aca="1" ref="H68" ca="1">IFERROR(print_SF('EF Table_detail'!M66),"")</f>
        <v>4,050</v>
      </c>
      <c r="I68" s="160" t="str" cm="1">
        <f t="array" aca="1" ref="I68" ca="1">IFERROR(print_SF('EF Table_detail'!I66),"")</f>
        <v>3,860</v>
      </c>
      <c r="J68" s="151" t="str" cm="1">
        <f t="array" aca="1" ref="J68" ca="1">IFERROR(print_SF('EF Table_detail'!J66),"")</f>
        <v>2,730</v>
      </c>
      <c r="K68" s="162" t="str" cm="1">
        <f t="array" aca="1" ref="K68" ca="1">IFERROR(print_SF('EF Table_detail'!K66),"")</f>
        <v>3,010</v>
      </c>
      <c r="L68" s="157" t="str" cm="1">
        <f t="array" aca="1" ref="L68" ca="1">IFERROR(print_SF('EF Table_detail'!R66),"")</f>
        <v>4.05</v>
      </c>
      <c r="M68" s="163" t="str" cm="1">
        <f t="array" aca="1" ref="M68" ca="1">IFERROR(print_SF('EF Table_detail'!N66),"")</f>
        <v>3.86</v>
      </c>
      <c r="N68" s="152" t="str" cm="1">
        <f t="array" aca="1" ref="N68" ca="1">IFERROR(print_SF('EF Table_detail'!O66),"")</f>
        <v>2.73</v>
      </c>
      <c r="O68" s="166" t="str" cm="1">
        <f t="array" aca="1" ref="O68" ca="1">IFERROR(print_SF('EF Table_detail'!P66),"")</f>
        <v>3.01</v>
      </c>
      <c r="P68" s="165" t="str" cm="1">
        <f t="array" aca="1" ref="P68" ca="1">IFERROR(print_SF('EF Table_detail'!U66),"")</f>
        <v>0</v>
      </c>
      <c r="Q68" s="166" t="str" cm="1">
        <f t="array" aca="1" ref="Q68" ca="1">IFERROR(print_SF('EF Table_detail'!W66),"")</f>
        <v>0</v>
      </c>
      <c r="R68" s="177" t="str" cm="1">
        <f t="array" aca="1" ref="R68" ca="1">IFERROR(print_SF('EF Table_detail'!Y66),"")</f>
        <v>1,000</v>
      </c>
      <c r="S68" s="178" t="str">
        <f ca="1">'EF Table_detail'!Z66</f>
        <v>kg/tonne</v>
      </c>
      <c r="T68" s="179" t="str">
        <f ca="1">'EF Table_detail'!AA66</f>
        <v/>
      </c>
      <c r="U68" s="180" t="str">
        <f ca="1">'EF Table_detail'!AB66</f>
        <v>No</v>
      </c>
      <c r="V68" s="140"/>
    </row>
    <row r="69" spans="1:22" ht="45" customHeight="1" x14ac:dyDescent="0.25">
      <c r="A69" s="147" t="str">
        <f>'EF Table_detail'!A67</f>
        <v>Ceilings &amp; walls</v>
      </c>
      <c r="B69" s="148" t="str">
        <f>'EF Table_detail'!B67</f>
        <v>Steel frame</v>
      </c>
      <c r="C69" s="149" t="str">
        <f>HYPERLINK("#"&amp;'EF Table_detail'!$C67&amp;"!A1",'EF Table_detail'!$C67)</f>
        <v>Structural_steel_cold</v>
      </c>
      <c r="D69" s="150" t="str">
        <f ca="1">'EF Table_detail'!D67</f>
        <v>Steel used for structural purposes that has undergone cold-rolled steel production route.</v>
      </c>
      <c r="E69" s="148" t="str">
        <f ca="1">'EF Table_detail'!F67</f>
        <v>tonne</v>
      </c>
      <c r="F69" s="148" t="str">
        <f ca="1">'EF Table_detail'!G67</f>
        <v>Tier 2</v>
      </c>
      <c r="G69" s="159">
        <f ca="1">'EF Table_detail'!H67</f>
        <v>1.05</v>
      </c>
      <c r="H69" s="157" t="str" cm="1">
        <f t="array" aca="1" ref="H69" ca="1">IFERROR(print_SF('EF Table_detail'!M67),"")</f>
        <v>4,050</v>
      </c>
      <c r="I69" s="160" t="str" cm="1">
        <f t="array" aca="1" ref="I69" ca="1">IFERROR(print_SF('EF Table_detail'!I67),"")</f>
        <v>3,860</v>
      </c>
      <c r="J69" s="151" t="str" cm="1">
        <f t="array" aca="1" ref="J69" ca="1">IFERROR(print_SF('EF Table_detail'!J67),"")</f>
        <v>2,730</v>
      </c>
      <c r="K69" s="162" t="str" cm="1">
        <f t="array" aca="1" ref="K69" ca="1">IFERROR(print_SF('EF Table_detail'!K67),"")</f>
        <v>3,010</v>
      </c>
      <c r="L69" s="157" t="str" cm="1">
        <f t="array" aca="1" ref="L69" ca="1">IFERROR(print_SF('EF Table_detail'!R67),"")</f>
        <v>4.05</v>
      </c>
      <c r="M69" s="163" t="str" cm="1">
        <f t="array" aca="1" ref="M69" ca="1">IFERROR(print_SF('EF Table_detail'!N67),"")</f>
        <v>3.86</v>
      </c>
      <c r="N69" s="152" t="str" cm="1">
        <f t="array" aca="1" ref="N69" ca="1">IFERROR(print_SF('EF Table_detail'!O67),"")</f>
        <v>2.73</v>
      </c>
      <c r="O69" s="166" t="str" cm="1">
        <f t="array" aca="1" ref="O69" ca="1">IFERROR(print_SF('EF Table_detail'!P67),"")</f>
        <v>3.01</v>
      </c>
      <c r="P69" s="165" t="str" cm="1">
        <f t="array" aca="1" ref="P69" ca="1">IFERROR(print_SF('EF Table_detail'!U67),"")</f>
        <v>0</v>
      </c>
      <c r="Q69" s="166" t="str" cm="1">
        <f t="array" aca="1" ref="Q69" ca="1">IFERROR(print_SF('EF Table_detail'!W67),"")</f>
        <v>0</v>
      </c>
      <c r="R69" s="177" t="str" cm="1">
        <f t="array" aca="1" ref="R69" ca="1">IFERROR(print_SF('EF Table_detail'!Y67),"")</f>
        <v>1,000</v>
      </c>
      <c r="S69" s="178" t="str">
        <f ca="1">'EF Table_detail'!Z67</f>
        <v>kg/tonne</v>
      </c>
      <c r="T69" s="179" t="str">
        <f ca="1">'EF Table_detail'!AA67</f>
        <v/>
      </c>
      <c r="U69" s="180" t="str">
        <f ca="1">'EF Table_detail'!AB67</f>
        <v>No</v>
      </c>
      <c r="V69" s="140"/>
    </row>
    <row r="70" spans="1:22" ht="45" customHeight="1" x14ac:dyDescent="0.25">
      <c r="A70" s="147" t="str">
        <f>'EF Table_detail'!A68</f>
        <v>Ceilings &amp; walls</v>
      </c>
      <c r="B70" s="148" t="str">
        <f>'EF Table_detail'!B68</f>
        <v>Timber frame</v>
      </c>
      <c r="C70" s="149" t="str">
        <f>HYPERLINK("#"&amp;'EF Table_detail'!$C68&amp;"!A1",'EF Table_detail'!$C68)</f>
        <v>Timber_softwood</v>
      </c>
      <c r="D70" s="150" t="str">
        <f ca="1">'EF Table_detail'!D68</f>
        <v>Softwood timber. Most common species radiata pine. Includes treated, untreated, surfaced, and sawn products.</v>
      </c>
      <c r="E70" s="148" t="str">
        <f ca="1">'EF Table_detail'!F68</f>
        <v>m³</v>
      </c>
      <c r="F70" s="148" t="str">
        <f ca="1">'EF Table_detail'!G68</f>
        <v>Tier 2</v>
      </c>
      <c r="G70" s="159">
        <f ca="1">'EF Table_detail'!H68</f>
        <v>1.05</v>
      </c>
      <c r="H70" s="157" t="str" cm="1">
        <f t="array" aca="1" ref="H70" ca="1">IFERROR(print_SF('EF Table_detail'!M68),"")</f>
        <v>349</v>
      </c>
      <c r="I70" s="160" t="str" cm="1">
        <f t="array" aca="1" ref="I70" ca="1">IFERROR(print_SF('EF Table_detail'!I68),"")</f>
        <v>332</v>
      </c>
      <c r="J70" s="151" t="str" cm="1">
        <f t="array" aca="1" ref="J70" ca="1">IFERROR(print_SF('EF Table_detail'!J68),"")</f>
        <v>113</v>
      </c>
      <c r="K70" s="162" t="str" cm="1">
        <f t="array" aca="1" ref="K70" ca="1">IFERROR(print_SF('EF Table_detail'!K68),"")</f>
        <v>188</v>
      </c>
      <c r="L70" s="157" t="str" cm="1">
        <f t="array" aca="1" ref="L70" ca="1">IFERROR(print_SF('EF Table_detail'!R68),"")</f>
        <v>0.633</v>
      </c>
      <c r="M70" s="163" t="str" cm="1">
        <f t="array" aca="1" ref="M70" ca="1">IFERROR(print_SF('EF Table_detail'!N68),"")</f>
        <v>0.603</v>
      </c>
      <c r="N70" s="152" t="str" cm="1">
        <f t="array" aca="1" ref="N70" ca="1">IFERROR(print_SF('EF Table_detail'!O68),"")</f>
        <v>0.205</v>
      </c>
      <c r="O70" s="166" t="str" cm="1">
        <f t="array" aca="1" ref="O70" ca="1">IFERROR(print_SF('EF Table_detail'!P68),"")</f>
        <v>0.366</v>
      </c>
      <c r="P70" s="165" t="str" cm="1">
        <f t="array" aca="1" ref="P70" ca="1">IFERROR(print_SF('EF Table_detail'!U68),"")</f>
        <v>857</v>
      </c>
      <c r="Q70" s="166" t="str" cm="1">
        <f t="array" aca="1" ref="Q70" ca="1">IFERROR(print_SF('EF Table_detail'!W68),"")</f>
        <v>1.64</v>
      </c>
      <c r="R70" s="177" t="str" cm="1">
        <f t="array" aca="1" ref="R70" ca="1">IFERROR(print_SF('EF Table_detail'!Y68),"")</f>
        <v>514</v>
      </c>
      <c r="S70" s="178" t="str">
        <f ca="1">'EF Table_detail'!Z68</f>
        <v>kg/m³</v>
      </c>
      <c r="T70" s="179" t="str">
        <f ca="1">'EF Table_detail'!AA68</f>
        <v xml:space="preserve">The NABERS rating tool will only include carbon storage where a material will be expected to last more than 20 years within the building and where it has been sourced from a sustainable forest. </v>
      </c>
      <c r="U70" s="180" t="str">
        <f ca="1">'EF Table_detail'!AB68</f>
        <v>Yes</v>
      </c>
      <c r="V70" s="140"/>
    </row>
    <row r="71" spans="1:22" ht="45" customHeight="1" x14ac:dyDescent="0.25">
      <c r="A71" s="147" t="str">
        <f>'EF Table_detail'!A69</f>
        <v>Ceilings &amp; walls</v>
      </c>
      <c r="B71" s="148" t="str">
        <f>'EF Table_detail'!B69</f>
        <v>AAC panel (inc. reinforced)</v>
      </c>
      <c r="C71" s="149" t="str">
        <f>HYPERLINK("#"&amp;'EF Table_detail'!$C69&amp;"!A1",'EF Table_detail'!$C69)</f>
        <v>AAC_panel</v>
      </c>
      <c r="D71" s="150" t="str">
        <f ca="1">'EF Table_detail'!D69</f>
        <v>Autoclaved Aerated Concrete (AAC) panels including reinforcement</v>
      </c>
      <c r="E71" s="148" t="str">
        <f ca="1">'EF Table_detail'!F69</f>
        <v>kg</v>
      </c>
      <c r="F71" s="148" t="str">
        <f ca="1">'EF Table_detail'!G69</f>
        <v>Tier 4</v>
      </c>
      <c r="G71" s="159">
        <f ca="1">'EF Table_detail'!H69</f>
        <v>1.2</v>
      </c>
      <c r="H71" s="157" t="str" cm="1">
        <f t="array" aca="1" ref="H71" ca="1">IFERROR(print_SF('EF Table_detail'!M69),"")</f>
        <v>0.641</v>
      </c>
      <c r="I71" s="160" t="str" cm="1">
        <f t="array" aca="1" ref="I71" ca="1">IFERROR(print_SF('EF Table_detail'!I69),"")</f>
        <v>0.535</v>
      </c>
      <c r="J71" s="151" t="str" cm="1">
        <f t="array" aca="1" ref="J71" ca="1">IFERROR(print_SF('EF Table_detail'!J69),"")</f>
        <v>0.373</v>
      </c>
      <c r="K71" s="162" t="str" cm="1">
        <f t="array" aca="1" ref="K71" ca="1">IFERROR(print_SF('EF Table_detail'!K69),"")</f>
        <v>0.451</v>
      </c>
      <c r="L71" s="157" t="str" cm="1">
        <f t="array" aca="1" ref="L71" ca="1">IFERROR(print_SF('EF Table_detail'!R69),"")</f>
        <v>0.641</v>
      </c>
      <c r="M71" s="163" t="str" cm="1">
        <f t="array" aca="1" ref="M71" ca="1">IFERROR(print_SF('EF Table_detail'!N69),"")</f>
        <v>0.535</v>
      </c>
      <c r="N71" s="152" t="str" cm="1">
        <f t="array" aca="1" ref="N71" ca="1">IFERROR(print_SF('EF Table_detail'!O69),"")</f>
        <v>0.373</v>
      </c>
      <c r="O71" s="166" t="str" cm="1">
        <f t="array" aca="1" ref="O71" ca="1">IFERROR(print_SF('EF Table_detail'!P69),"")</f>
        <v>0.451</v>
      </c>
      <c r="P71" s="165" t="str" cm="1">
        <f t="array" aca="1" ref="P71" ca="1">IFERROR(print_SF('EF Table_detail'!U69),"")</f>
        <v>0</v>
      </c>
      <c r="Q71" s="166" t="str" cm="1">
        <f t="array" aca="1" ref="Q71" ca="1">IFERROR(print_SF('EF Table_detail'!W69),"")</f>
        <v>0</v>
      </c>
      <c r="R71" s="177" t="str" cm="1">
        <f t="array" aca="1" ref="R71" ca="1">IFERROR(print_SF('EF Table_detail'!Y69),"")</f>
        <v>1.00</v>
      </c>
      <c r="S71" s="178" t="str">
        <f ca="1">'EF Table_detail'!Z69</f>
        <v>kg/kg</v>
      </c>
      <c r="T71" s="179" t="str">
        <f ca="1">'EF Table_detail'!AA69</f>
        <v/>
      </c>
      <c r="U71" s="180" t="str">
        <f ca="1">'EF Table_detail'!AB69</f>
        <v>No</v>
      </c>
      <c r="V71" s="140"/>
    </row>
    <row r="72" spans="1:22" ht="45" customHeight="1" x14ac:dyDescent="0.25">
      <c r="A72" s="147" t="str">
        <f>'EF Table_detail'!A70</f>
        <v>Ceilings &amp; walls</v>
      </c>
      <c r="B72" s="148" t="str">
        <f>'EF Table_detail'!B70</f>
        <v>Plasterboard</v>
      </c>
      <c r="C72" s="149" t="str">
        <f>HYPERLINK("#"&amp;'EF Table_detail'!$C70&amp;"!A1",'EF Table_detail'!$C70)</f>
        <v>Plasterboard</v>
      </c>
      <c r="D72" s="150" t="str">
        <f ca="1">'EF Table_detail'!D70</f>
        <v>Board made from plaster typically coated in paper. Thickness from 4 mm to 22 mm.</v>
      </c>
      <c r="E72" s="148" t="str">
        <f ca="1">'EF Table_detail'!F70</f>
        <v>m²</v>
      </c>
      <c r="F72" s="148" t="str">
        <f ca="1">'EF Table_detail'!G70</f>
        <v>Tier 4</v>
      </c>
      <c r="G72" s="159">
        <f ca="1">'EF Table_detail'!H70</f>
        <v>1.2</v>
      </c>
      <c r="H72" s="157" t="str" cm="1">
        <f t="array" aca="1" ref="H72" ca="1">IFERROR(print_SF('EF Table_detail'!M70),"")</f>
        <v>8.20</v>
      </c>
      <c r="I72" s="160" t="str" cm="1">
        <f t="array" aca="1" ref="I72" ca="1">IFERROR(print_SF('EF Table_detail'!I70),"")</f>
        <v>6.83</v>
      </c>
      <c r="J72" s="151" t="str" cm="1">
        <f t="array" aca="1" ref="J72" ca="1">IFERROR(print_SF('EF Table_detail'!J70),"")</f>
        <v>1.49</v>
      </c>
      <c r="K72" s="162" t="str" cm="1">
        <f t="array" aca="1" ref="K72" ca="1">IFERROR(print_SF('EF Table_detail'!K70),"")</f>
        <v>3.37</v>
      </c>
      <c r="L72" s="157" t="str" cm="1">
        <f t="array" aca="1" ref="L72" ca="1">IFERROR(print_SF('EF Table_detail'!R70),"")</f>
        <v>0.473</v>
      </c>
      <c r="M72" s="163" t="str" cm="1">
        <f t="array" aca="1" ref="M72" ca="1">IFERROR(print_SF('EF Table_detail'!N70),"")</f>
        <v>0.394</v>
      </c>
      <c r="N72" s="152" t="str" cm="1">
        <f t="array" aca="1" ref="N72" ca="1">IFERROR(print_SF('EF Table_detail'!O70),"")</f>
        <v>0.175</v>
      </c>
      <c r="O72" s="166" t="str" cm="1">
        <f t="array" aca="1" ref="O72" ca="1">IFERROR(print_SF('EF Table_detail'!P70),"")</f>
        <v>0.304</v>
      </c>
      <c r="P72" s="165" t="str" cm="1">
        <f t="array" aca="1" ref="P72" ca="1">IFERROR(print_SF('EF Table_detail'!U70),"")</f>
        <v>0.393</v>
      </c>
      <c r="Q72" s="166" t="str" cm="1">
        <f t="array" aca="1" ref="Q72" ca="1">IFERROR(print_SF('EF Table_detail'!W70),"")</f>
        <v>0.0400</v>
      </c>
      <c r="R72" s="177" t="str" cm="1">
        <f t="array" aca="1" ref="R72" ca="1">IFERROR(print_SF('EF Table_detail'!Y70),"")</f>
        <v>11.1</v>
      </c>
      <c r="S72" s="178" t="str">
        <f ca="1">'EF Table_detail'!Z70</f>
        <v>kg/m²</v>
      </c>
      <c r="T72" s="179" t="str">
        <f ca="1">'EF Table_detail'!AA70</f>
        <v xml:space="preserve">Important to consider board thickness. Recommended to use kg CO2e/kg EF when thickness and mass is known. </v>
      </c>
      <c r="U72" s="180" t="str">
        <f ca="1">'EF Table_detail'!AB70</f>
        <v>No</v>
      </c>
      <c r="V72" s="140"/>
    </row>
    <row r="73" spans="1:22" ht="45" customHeight="1" x14ac:dyDescent="0.25">
      <c r="A73" s="147" t="str">
        <f>'EF Table_detail'!A71</f>
        <v>Ceilings &amp; walls</v>
      </c>
      <c r="B73" s="148" t="str">
        <f>'EF Table_detail'!B71</f>
        <v>Ceiling tile</v>
      </c>
      <c r="C73" s="149" t="str">
        <f>HYPERLINK("#"&amp;'EF Table_detail'!$C71&amp;"!A1",'EF Table_detail'!$C71)</f>
        <v>Ceiling_tile</v>
      </c>
      <c r="D73" s="150" t="str">
        <f ca="1">'EF Table_detail'!D71</f>
        <v xml:space="preserve">Used as a lay in suspended ceiling systems. Includes various ceiling tile types made from various materials including mineral wool, perlite, clay. </v>
      </c>
      <c r="E73" s="148" t="str">
        <f ca="1">'EF Table_detail'!F71</f>
        <v>m²</v>
      </c>
      <c r="F73" s="148" t="str">
        <f ca="1">'EF Table_detail'!G71</f>
        <v>Tier 3</v>
      </c>
      <c r="G73" s="159">
        <f ca="1">'EF Table_detail'!H71</f>
        <v>1.1000000000000001</v>
      </c>
      <c r="H73" s="157" t="str" cm="1">
        <f t="array" aca="1" ref="H73" ca="1">IFERROR(print_SF('EF Table_detail'!M71),"")</f>
        <v>7.95</v>
      </c>
      <c r="I73" s="160" t="str" cm="1">
        <f t="array" aca="1" ref="I73" ca="1">IFERROR(print_SF('EF Table_detail'!I71),"")</f>
        <v>7.23</v>
      </c>
      <c r="J73" s="151" t="str" cm="1">
        <f t="array" aca="1" ref="J73" ca="1">IFERROR(print_SF('EF Table_detail'!J71),"")</f>
        <v>1.30</v>
      </c>
      <c r="K73" s="162" t="str" cm="1">
        <f t="array" aca="1" ref="K73" ca="1">IFERROR(print_SF('EF Table_detail'!K71),"")</f>
        <v>4.28</v>
      </c>
      <c r="L73" s="157" t="str" cm="1">
        <f t="array" aca="1" ref="L73" ca="1">IFERROR(print_SF('EF Table_detail'!R71),"")</f>
        <v>1.44</v>
      </c>
      <c r="M73" s="163" t="str" cm="1">
        <f t="array" aca="1" ref="M73" ca="1">IFERROR(print_SF('EF Table_detail'!N71),"")</f>
        <v>1.31</v>
      </c>
      <c r="N73" s="152" t="str" cm="1">
        <f t="array" aca="1" ref="N73" ca="1">IFERROR(print_SF('EF Table_detail'!O71),"")</f>
        <v>0.182</v>
      </c>
      <c r="O73" s="166" t="str" cm="1">
        <f t="array" aca="1" ref="O73" ca="1">IFERROR(print_SF('EF Table_detail'!P71),"")</f>
        <v>0.875</v>
      </c>
      <c r="P73" s="165" t="str" cm="1">
        <f t="array" aca="1" ref="P73" ca="1">IFERROR(print_SF('EF Table_detail'!U71),"")</f>
        <v>0</v>
      </c>
      <c r="Q73" s="166" t="str" cm="1">
        <f t="array" aca="1" ref="Q73" ca="1">IFERROR(print_SF('EF Table_detail'!W71),"")</f>
        <v>0</v>
      </c>
      <c r="R73" s="177" t="str" cm="1">
        <f t="array" aca="1" ref="R73" ca="1">IFERROR(print_SF('EF Table_detail'!Y71),"")</f>
        <v>4.89</v>
      </c>
      <c r="S73" s="178" t="str">
        <f ca="1">'EF Table_detail'!Z71</f>
        <v>kg/m²</v>
      </c>
      <c r="T73" s="179" t="str">
        <f ca="1">'EF Table_detail'!AA71</f>
        <v/>
      </c>
      <c r="U73" s="180" t="str">
        <f ca="1">'EF Table_detail'!AB71</f>
        <v>No</v>
      </c>
      <c r="V73" s="140"/>
    </row>
    <row r="74" spans="1:22" ht="45" customHeight="1" x14ac:dyDescent="0.25">
      <c r="A74" s="147" t="str">
        <f>'EF Table_detail'!A72</f>
        <v>Ceilings &amp; walls</v>
      </c>
      <c r="B74" s="148" t="str">
        <f>'EF Table_detail'!B72</f>
        <v>Particleboard wall/ceiling</v>
      </c>
      <c r="C74" s="149" t="str">
        <f>HYPERLINK("#"&amp;'EF Table_detail'!$C72&amp;"!A1",'EF Table_detail'!$C72)</f>
        <v>Eng_Timber_Decorative_Pb</v>
      </c>
      <c r="D74" s="150" t="str">
        <f ca="1">'EF Table_detail'!D72</f>
        <v>Particleboard for walling or ceiling purposes (i.e. finished wall panel including coating).</v>
      </c>
      <c r="E74" s="148" t="str">
        <f ca="1">'EF Table_detail'!F72</f>
        <v>m³</v>
      </c>
      <c r="F74" s="148" t="str">
        <f ca="1">'EF Table_detail'!G72</f>
        <v>Tier 2</v>
      </c>
      <c r="G74" s="159">
        <f ca="1">'EF Table_detail'!H72</f>
        <v>1.05</v>
      </c>
      <c r="H74" s="157" t="str" cm="1">
        <f t="array" aca="1" ref="H74" ca="1">IFERROR(print_SF('EF Table_detail'!M72),"")</f>
        <v>663</v>
      </c>
      <c r="I74" s="160" t="str" cm="1">
        <f t="array" aca="1" ref="I74" ca="1">IFERROR(print_SF('EF Table_detail'!I72),"")</f>
        <v>631</v>
      </c>
      <c r="J74" s="151" t="str" cm="1">
        <f t="array" aca="1" ref="J74" ca="1">IFERROR(print_SF('EF Table_detail'!J72),"")</f>
        <v>177</v>
      </c>
      <c r="K74" s="162" t="str" cm="1">
        <f t="array" aca="1" ref="K74" ca="1">IFERROR(print_SF('EF Table_detail'!K72),"")</f>
        <v>433</v>
      </c>
      <c r="L74" s="157" t="str" cm="1">
        <f t="array" aca="1" ref="L74" ca="1">IFERROR(print_SF('EF Table_detail'!R72),"")</f>
        <v>1.01</v>
      </c>
      <c r="M74" s="163" t="str" cm="1">
        <f t="array" aca="1" ref="M74" ca="1">IFERROR(print_SF('EF Table_detail'!N72),"")</f>
        <v>0.959</v>
      </c>
      <c r="N74" s="152" t="str" cm="1">
        <f t="array" aca="1" ref="N74" ca="1">IFERROR(print_SF('EF Table_detail'!O72),"")</f>
        <v>0.286</v>
      </c>
      <c r="O74" s="166" t="str" cm="1">
        <f t="array" aca="1" ref="O74" ca="1">IFERROR(print_SF('EF Table_detail'!P72),"")</f>
        <v>0.662</v>
      </c>
      <c r="P74" s="165" t="str" cm="1">
        <f t="array" aca="1" ref="P74" ca="1">IFERROR(print_SF('EF Table_detail'!U72),"")</f>
        <v>1,080</v>
      </c>
      <c r="Q74" s="166" t="str" cm="1">
        <f t="array" aca="1" ref="Q74" ca="1">IFERROR(print_SF('EF Table_detail'!W72),"")</f>
        <v>1.67</v>
      </c>
      <c r="R74" s="177" t="str" cm="1">
        <f t="array" aca="1" ref="R74" ca="1">IFERROR(print_SF('EF Table_detail'!Y72),"")</f>
        <v>654</v>
      </c>
      <c r="S74" s="178" t="str">
        <f ca="1">'EF Table_detail'!Z72</f>
        <v>kg/m³</v>
      </c>
      <c r="T74" s="179" t="str">
        <f ca="1">'EF Table_detail'!AA72</f>
        <v xml:space="preserve">The NABERS rating tool will only include carbon storage where a material will be expected to last more than 20 years within the building and where it has been sourced from a sustainable forest. </v>
      </c>
      <c r="U74" s="180" t="str">
        <f ca="1">'EF Table_detail'!AB72</f>
        <v>Yes</v>
      </c>
      <c r="V74" s="140"/>
    </row>
    <row r="75" spans="1:22" ht="45" customHeight="1" x14ac:dyDescent="0.25">
      <c r="A75" s="147" t="str">
        <f>'EF Table_detail'!A73</f>
        <v>Ceilings &amp; walls</v>
      </c>
      <c r="B75" s="148" t="str">
        <f>'EF Table_detail'!B73</f>
        <v>MDF</v>
      </c>
      <c r="C75" s="149" t="str">
        <f>HYPERLINK("#"&amp;'EF Table_detail'!$C73&amp;"!A1",'EF Table_detail'!$C73)</f>
        <v>Eng_Timber_MDF</v>
      </c>
      <c r="D75" s="150" t="str">
        <f ca="1">'EF Table_detail'!D73</f>
        <v>Medium density fibreboard (MDF) for decorative purposes (i.e. finished wall panel including coating).</v>
      </c>
      <c r="E75" s="148" t="str">
        <f ca="1">'EF Table_detail'!F73</f>
        <v>m³</v>
      </c>
      <c r="F75" s="148" t="str">
        <f ca="1">'EF Table_detail'!G73</f>
        <v>Tier 2</v>
      </c>
      <c r="G75" s="159">
        <f ca="1">'EF Table_detail'!H73</f>
        <v>1.05</v>
      </c>
      <c r="H75" s="157" t="str" cm="1">
        <f t="array" aca="1" ref="H75" ca="1">IFERROR(print_SF('EF Table_detail'!M73),"")</f>
        <v>1,320</v>
      </c>
      <c r="I75" s="160" t="str" cm="1">
        <f t="array" aca="1" ref="I75" ca="1">IFERROR(print_SF('EF Table_detail'!I73),"")</f>
        <v>1,250</v>
      </c>
      <c r="J75" s="151" t="str" cm="1">
        <f t="array" aca="1" ref="J75" ca="1">IFERROR(print_SF('EF Table_detail'!J73),"")</f>
        <v>526</v>
      </c>
      <c r="K75" s="162" t="str" cm="1">
        <f t="array" aca="1" ref="K75" ca="1">IFERROR(print_SF('EF Table_detail'!K73),"")</f>
        <v>815</v>
      </c>
      <c r="L75" s="157" t="str" cm="1">
        <f t="array" aca="1" ref="L75" ca="1">IFERROR(print_SF('EF Table_detail'!R73),"")</f>
        <v>1.83</v>
      </c>
      <c r="M75" s="163" t="str" cm="1">
        <f t="array" aca="1" ref="M75" ca="1">IFERROR(print_SF('EF Table_detail'!N73),"")</f>
        <v>1.74</v>
      </c>
      <c r="N75" s="152" t="str" cm="1">
        <f t="array" aca="1" ref="N75" ca="1">IFERROR(print_SF('EF Table_detail'!O73),"")</f>
        <v>0.714</v>
      </c>
      <c r="O75" s="166" t="str" cm="1">
        <f t="array" aca="1" ref="O75" ca="1">IFERROR(print_SF('EF Table_detail'!P73),"")</f>
        <v>1.13</v>
      </c>
      <c r="P75" s="165" t="str" cm="1">
        <f t="array" aca="1" ref="P75" ca="1">IFERROR(print_SF('EF Table_detail'!U73),"")</f>
        <v>1,230</v>
      </c>
      <c r="Q75" s="166" t="str" cm="1">
        <f t="array" aca="1" ref="Q75" ca="1">IFERROR(print_SF('EF Table_detail'!W73),"")</f>
        <v>1.70</v>
      </c>
      <c r="R75" s="177" t="str" cm="1">
        <f t="array" aca="1" ref="R75" ca="1">IFERROR(print_SF('EF Table_detail'!Y73),"")</f>
        <v>722</v>
      </c>
      <c r="S75" s="178" t="str">
        <f ca="1">'EF Table_detail'!Z73</f>
        <v>kg/m³</v>
      </c>
      <c r="T75" s="179" t="str">
        <f ca="1">'EF Table_detail'!AA73</f>
        <v xml:space="preserve">The NABERS rating tool will only include carbon storage where a material will be expected to last more than 20 years within the building and where it has been sourced from a sustainable forest. </v>
      </c>
      <c r="U75" s="180" t="str">
        <f ca="1">'EF Table_detail'!AB73</f>
        <v>Yes</v>
      </c>
      <c r="V75" s="140"/>
    </row>
    <row r="76" spans="1:22" ht="45" customHeight="1" x14ac:dyDescent="0.25">
      <c r="A76" s="147" t="str">
        <f>'EF Table_detail'!A74</f>
        <v>Ceilings &amp; walls</v>
      </c>
      <c r="B76" s="148" t="str">
        <f>'EF Table_detail'!B74</f>
        <v>Fibre cement sheet</v>
      </c>
      <c r="C76" s="149" t="str">
        <f>HYPERLINK("#"&amp;'EF Table_detail'!$C74&amp;"!A1",'EF Table_detail'!$C74)</f>
        <v>Fibre_Cement</v>
      </c>
      <c r="D76" s="150" t="str">
        <f ca="1">'EF Table_detail'!D74</f>
        <v>Board made from fibre cement including compressed sheet, flooring, cladding, lining and roofing boards. Thickness from 4 mm to 22 mm.</v>
      </c>
      <c r="E76" s="148" t="str">
        <f ca="1">'EF Table_detail'!F74</f>
        <v>m²</v>
      </c>
      <c r="F76" s="148" t="str">
        <f ca="1">'EF Table_detail'!G74</f>
        <v>Tier 2</v>
      </c>
      <c r="G76" s="159">
        <f ca="1">'EF Table_detail'!H74</f>
        <v>1.05</v>
      </c>
      <c r="H76" s="157" t="str" cm="1">
        <f t="array" aca="1" ref="H76" ca="1">IFERROR(print_SF('EF Table_detail'!M74),"")</f>
        <v>48.2</v>
      </c>
      <c r="I76" s="160" t="str" cm="1">
        <f t="array" aca="1" ref="I76" ca="1">IFERROR(print_SF('EF Table_detail'!I74),"")</f>
        <v>45.9</v>
      </c>
      <c r="J76" s="151" t="str" cm="1">
        <f t="array" aca="1" ref="J76" ca="1">IFERROR(print_SF('EF Table_detail'!J74),"")</f>
        <v>4.50</v>
      </c>
      <c r="K76" s="162" t="str" cm="1">
        <f t="array" aca="1" ref="K76" ca="1">IFERROR(print_SF('EF Table_detail'!K74),"")</f>
        <v>12.6</v>
      </c>
      <c r="L76" s="157" t="str" cm="1">
        <f t="array" aca="1" ref="L76" ca="1">IFERROR(print_SF('EF Table_detail'!R74),"")</f>
        <v>1.39</v>
      </c>
      <c r="M76" s="163" t="str" cm="1">
        <f t="array" aca="1" ref="M76" ca="1">IFERROR(print_SF('EF Table_detail'!N74),"")</f>
        <v>1.32</v>
      </c>
      <c r="N76" s="152" t="str" cm="1">
        <f t="array" aca="1" ref="N76" ca="1">IFERROR(print_SF('EF Table_detail'!O74),"")</f>
        <v>0.307</v>
      </c>
      <c r="O76" s="166" t="str" cm="1">
        <f t="array" aca="1" ref="O76" ca="1">IFERROR(print_SF('EF Table_detail'!P74),"")</f>
        <v>0.882</v>
      </c>
      <c r="P76" s="165" t="str" cm="1">
        <f t="array" aca="1" ref="P76" ca="1">IFERROR(print_SF('EF Table_detail'!U74),"")</f>
        <v>0.0251</v>
      </c>
      <c r="Q76" s="166" t="str" cm="1">
        <f t="array" aca="1" ref="Q76" ca="1">IFERROR(print_SF('EF Table_detail'!W74),"")</f>
        <v>0.00216</v>
      </c>
      <c r="R76" s="177" t="str" cm="1">
        <f t="array" aca="1" ref="R76" ca="1">IFERROR(print_SF('EF Table_detail'!Y74),"")</f>
        <v>14.2</v>
      </c>
      <c r="S76" s="178" t="str">
        <f ca="1">'EF Table_detail'!Z74</f>
        <v>kg/m²</v>
      </c>
      <c r="T76" s="179" t="str">
        <f ca="1">'EF Table_detail'!AA74</f>
        <v xml:space="preserve">Important to consider in the context of board thickness and size of sheet not cladding area (shape of sheet overlapping (i.e. when cladding) means area of sheet is more than area to be clad). Recommended to use kg CO2e/kg EF when thickness and mass is known. </v>
      </c>
      <c r="U76" s="180" t="str">
        <f ca="1">'EF Table_detail'!AB74</f>
        <v>No</v>
      </c>
      <c r="V76" s="140"/>
    </row>
    <row r="77" spans="1:22" ht="45" customHeight="1" x14ac:dyDescent="0.25">
      <c r="A77" s="147" t="str">
        <f>'EF Table_detail'!A75</f>
        <v>Ceilings &amp; walls</v>
      </c>
      <c r="B77" s="148" t="str">
        <f>'EF Table_detail'!B75</f>
        <v>Glass</v>
      </c>
      <c r="C77" s="149" t="str">
        <f>HYPERLINK("#"&amp;'EF Table_detail'!$C75&amp;"!A1",'EF Table_detail'!$C75)</f>
        <v>Glass</v>
      </c>
      <c r="D77" s="150" t="str">
        <f ca="1">'EF Table_detail'!D75</f>
        <v>Glass used in windows, doors, curtain wall purposes. Including single, double and triple glazing units.</v>
      </c>
      <c r="E77" s="148" t="str">
        <f ca="1">'EF Table_detail'!F75</f>
        <v>kg</v>
      </c>
      <c r="F77" s="148" t="str">
        <f ca="1">'EF Table_detail'!G75</f>
        <v>Tier 4</v>
      </c>
      <c r="G77" s="159">
        <f ca="1">'EF Table_detail'!H75</f>
        <v>1.2</v>
      </c>
      <c r="H77" s="157" t="str" cm="1">
        <f t="array" aca="1" ref="H77" ca="1">IFERROR(print_SF('EF Table_detail'!M75),"")</f>
        <v>2.38</v>
      </c>
      <c r="I77" s="160" t="str" cm="1">
        <f t="array" aca="1" ref="I77" ca="1">IFERROR(print_SF('EF Table_detail'!I75),"")</f>
        <v>1.98</v>
      </c>
      <c r="J77" s="151" t="str" cm="1">
        <f t="array" aca="1" ref="J77" ca="1">IFERROR(print_SF('EF Table_detail'!J75),"")</f>
        <v>1.10</v>
      </c>
      <c r="K77" s="162" t="str" cm="1">
        <f t="array" aca="1" ref="K77" ca="1">IFERROR(print_SF('EF Table_detail'!K75),"")</f>
        <v>1.66</v>
      </c>
      <c r="L77" s="157" t="str" cm="1">
        <f t="array" aca="1" ref="L77" ca="1">IFERROR(print_SF('EF Table_detail'!R75),"")</f>
        <v>2.38</v>
      </c>
      <c r="M77" s="163" t="str" cm="1">
        <f t="array" aca="1" ref="M77" ca="1">IFERROR(print_SF('EF Table_detail'!N75),"")</f>
        <v>1.98</v>
      </c>
      <c r="N77" s="152" t="str" cm="1">
        <f t="array" aca="1" ref="N77" ca="1">IFERROR(print_SF('EF Table_detail'!O75),"")</f>
        <v>1.10</v>
      </c>
      <c r="O77" s="166" t="str" cm="1">
        <f t="array" aca="1" ref="O77" ca="1">IFERROR(print_SF('EF Table_detail'!P75),"")</f>
        <v>1.66</v>
      </c>
      <c r="P77" s="165" t="str" cm="1">
        <f t="array" aca="1" ref="P77" ca="1">IFERROR(print_SF('EF Table_detail'!U75),"")</f>
        <v>0</v>
      </c>
      <c r="Q77" s="166" t="str" cm="1">
        <f t="array" aca="1" ref="Q77" ca="1">IFERROR(print_SF('EF Table_detail'!W75),"")</f>
        <v>0</v>
      </c>
      <c r="R77" s="177" t="str" cm="1">
        <f t="array" aca="1" ref="R77" ca="1">IFERROR(print_SF('EF Table_detail'!Y75),"")</f>
        <v>1.00</v>
      </c>
      <c r="S77" s="178" t="str">
        <f ca="1">'EF Table_detail'!Z75</f>
        <v>kg/kg</v>
      </c>
      <c r="T77" s="179" t="str">
        <f ca="1">'EF Table_detail'!AA75</f>
        <v/>
      </c>
      <c r="U77" s="180" t="str">
        <f ca="1">'EF Table_detail'!AB75</f>
        <v>No</v>
      </c>
      <c r="V77" s="140"/>
    </row>
    <row r="78" spans="1:22" ht="45" customHeight="1" x14ac:dyDescent="0.25">
      <c r="A78" s="147" t="str">
        <f>'EF Table_detail'!A76</f>
        <v>Pavers/tiles</v>
      </c>
      <c r="B78" s="148" t="str">
        <f>'EF Table_detail'!B76</f>
        <v>Concrete paver/tile</v>
      </c>
      <c r="C78" s="149" t="str">
        <f>HYPERLINK("#"&amp;'EF Table_detail'!$C76&amp;"!A1",'EF Table_detail'!$C76)</f>
        <v>Concrete_bricks</v>
      </c>
      <c r="D78" s="150" t="str">
        <f ca="1">'EF Table_detail'!D76</f>
        <v>Concrete brick, block and roof tiles i.e. cinder block or concrete finishing brick/tile used in masonry. Not including any core fill material or reinforcing.</v>
      </c>
      <c r="E78" s="148" t="str">
        <f ca="1">'EF Table_detail'!F76</f>
        <v>tonne</v>
      </c>
      <c r="F78" s="148" t="str">
        <f ca="1">'EF Table_detail'!G76</f>
        <v>Tier 3</v>
      </c>
      <c r="G78" s="159">
        <f ca="1">'EF Table_detail'!H76</f>
        <v>1.1000000000000001</v>
      </c>
      <c r="H78" s="157" t="str" cm="1">
        <f t="array" aca="1" ref="H78" ca="1">IFERROR(print_SF('EF Table_detail'!M76),"")</f>
        <v>264</v>
      </c>
      <c r="I78" s="160" t="str" cm="1">
        <f t="array" aca="1" ref="I78" ca="1">IFERROR(print_SF('EF Table_detail'!I76),"")</f>
        <v>240</v>
      </c>
      <c r="J78" s="151" t="str" cm="1">
        <f t="array" aca="1" ref="J78" ca="1">IFERROR(print_SF('EF Table_detail'!J76),"")</f>
        <v>112</v>
      </c>
      <c r="K78" s="162" t="str" cm="1">
        <f t="array" aca="1" ref="K78" ca="1">IFERROR(print_SF('EF Table_detail'!K76),"")</f>
        <v>159</v>
      </c>
      <c r="L78" s="157" t="str" cm="1">
        <f t="array" aca="1" ref="L78" ca="1">IFERROR(print_SF('EF Table_detail'!R76),"")</f>
        <v>0.264</v>
      </c>
      <c r="M78" s="163" t="str" cm="1">
        <f t="array" aca="1" ref="M78" ca="1">IFERROR(print_SF('EF Table_detail'!N76),"")</f>
        <v>0.240</v>
      </c>
      <c r="N78" s="152" t="str" cm="1">
        <f t="array" aca="1" ref="N78" ca="1">IFERROR(print_SF('EF Table_detail'!O76),"")</f>
        <v>0.112</v>
      </c>
      <c r="O78" s="166" t="str" cm="1">
        <f t="array" aca="1" ref="O78" ca="1">IFERROR(print_SF('EF Table_detail'!P76),"")</f>
        <v>0.159</v>
      </c>
      <c r="P78" s="165" t="str" cm="1">
        <f t="array" aca="1" ref="P78" ca="1">IFERROR(print_SF('EF Table_detail'!U76),"")</f>
        <v>0</v>
      </c>
      <c r="Q78" s="166" t="str" cm="1">
        <f t="array" aca="1" ref="Q78" ca="1">IFERROR(print_SF('EF Table_detail'!W76),"")</f>
        <v>0</v>
      </c>
      <c r="R78" s="177" t="str" cm="1">
        <f t="array" aca="1" ref="R78" ca="1">IFERROR(print_SF('EF Table_detail'!Y76),"")</f>
        <v>1,000</v>
      </c>
      <c r="S78" s="178" t="str">
        <f ca="1">'EF Table_detail'!Z76</f>
        <v>kg/tonne</v>
      </c>
      <c r="T78" s="179" t="str">
        <f ca="1">'EF Table_detail'!AA76</f>
        <v>Not including any core fill material or reinforcing.</v>
      </c>
      <c r="U78" s="180" t="str">
        <f ca="1">'EF Table_detail'!AB76</f>
        <v>No</v>
      </c>
      <c r="V78" s="140"/>
    </row>
    <row r="79" spans="1:22" ht="45" customHeight="1" x14ac:dyDescent="0.25">
      <c r="A79" s="147" t="str">
        <f>'EF Table_detail'!A77</f>
        <v>Pavers/tiles</v>
      </c>
      <c r="B79" s="148" t="str">
        <f>'EF Table_detail'!B77</f>
        <v>Ceramic paver/tile</v>
      </c>
      <c r="C79" s="149" t="str">
        <f>HYPERLINK("#"&amp;'EF Table_detail'!$C77&amp;"!A1",'EF Table_detail'!$C77)</f>
        <v>Pavers_ceramic</v>
      </c>
      <c r="D79" s="150" t="str">
        <f ca="1">'EF Table_detail'!D77</f>
        <v>Ceramic tiles (wall and floor) and pavers including porcelain tiles.</v>
      </c>
      <c r="E79" s="148" t="str">
        <f ca="1">'EF Table_detail'!F77</f>
        <v>kg</v>
      </c>
      <c r="F79" s="148" t="str">
        <f ca="1">'EF Table_detail'!G77</f>
        <v>Tier 4</v>
      </c>
      <c r="G79" s="159">
        <f ca="1">'EF Table_detail'!H77</f>
        <v>1.2</v>
      </c>
      <c r="H79" s="157" t="str" cm="1">
        <f t="array" aca="1" ref="H79" ca="1">IFERROR(print_SF('EF Table_detail'!M77),"")</f>
        <v>0.984</v>
      </c>
      <c r="I79" s="160" t="str" cm="1">
        <f t="array" aca="1" ref="I79" ca="1">IFERROR(print_SF('EF Table_detail'!I77),"")</f>
        <v>0.820</v>
      </c>
      <c r="J79" s="151" t="str" cm="1">
        <f t="array" aca="1" ref="J79" ca="1">IFERROR(print_SF('EF Table_detail'!J77),"")</f>
        <v>0.308</v>
      </c>
      <c r="K79" s="162" t="str" cm="1">
        <f t="array" aca="1" ref="K79" ca="1">IFERROR(print_SF('EF Table_detail'!K77),"")</f>
        <v>0.548</v>
      </c>
      <c r="L79" s="157" t="str" cm="1">
        <f t="array" aca="1" ref="L79" ca="1">IFERROR(print_SF('EF Table_detail'!R77),"")</f>
        <v>0.984</v>
      </c>
      <c r="M79" s="163" t="str" cm="1">
        <f t="array" aca="1" ref="M79" ca="1">IFERROR(print_SF('EF Table_detail'!N77),"")</f>
        <v>0.820</v>
      </c>
      <c r="N79" s="152" t="str" cm="1">
        <f t="array" aca="1" ref="N79" ca="1">IFERROR(print_SF('EF Table_detail'!O77),"")</f>
        <v>0.308</v>
      </c>
      <c r="O79" s="166" t="str" cm="1">
        <f t="array" aca="1" ref="O79" ca="1">IFERROR(print_SF('EF Table_detail'!P77),"")</f>
        <v>0.548</v>
      </c>
      <c r="P79" s="165" t="str" cm="1">
        <f t="array" aca="1" ref="P79" ca="1">IFERROR(print_SF('EF Table_detail'!U77),"")</f>
        <v>0</v>
      </c>
      <c r="Q79" s="166" t="str" cm="1">
        <f t="array" aca="1" ref="Q79" ca="1">IFERROR(print_SF('EF Table_detail'!W77),"")</f>
        <v>0</v>
      </c>
      <c r="R79" s="177" t="str" cm="1">
        <f t="array" aca="1" ref="R79" ca="1">IFERROR(print_SF('EF Table_detail'!Y77),"")</f>
        <v>1.00</v>
      </c>
      <c r="S79" s="178" t="str">
        <f ca="1">'EF Table_detail'!Z77</f>
        <v>kg/kg</v>
      </c>
      <c r="T79" s="179" t="str">
        <f ca="1">'EF Table_detail'!AA77</f>
        <v/>
      </c>
      <c r="U79" s="180" t="str">
        <f ca="1">'EF Table_detail'!AB77</f>
        <v>No</v>
      </c>
      <c r="V79" s="140"/>
    </row>
    <row r="80" spans="1:22" ht="45" customHeight="1" x14ac:dyDescent="0.25">
      <c r="A80" s="147" t="str">
        <f>'EF Table_detail'!A78</f>
        <v>Pavers/tiles</v>
      </c>
      <c r="B80" s="148" t="str">
        <f>'EF Table_detail'!B78</f>
        <v>Stone paver/tile</v>
      </c>
      <c r="C80" s="149" t="str">
        <f>HYPERLINK("#"&amp;'EF Table_detail'!$C78&amp;"!A1",'EF Table_detail'!$C78)</f>
        <v>Pavers_Stone</v>
      </c>
      <c r="D80" s="150" t="str">
        <f ca="1">'EF Table_detail'!D78</f>
        <v>Stone tiles (wall and floor) and pavers including porcelain tiles, represented by granite and limestone quarry operations and surface preparation with stabilisation as needed.</v>
      </c>
      <c r="E80" s="148" t="str">
        <f ca="1">'EF Table_detail'!F78</f>
        <v>tonne</v>
      </c>
      <c r="F80" s="148" t="str">
        <f ca="1">'EF Table_detail'!G78</f>
        <v>Tier 4</v>
      </c>
      <c r="G80" s="159">
        <f ca="1">'EF Table_detail'!H78</f>
        <v>1.2</v>
      </c>
      <c r="H80" s="157" t="str" cm="1">
        <f t="array" aca="1" ref="H80" ca="1">IFERROR(print_SF('EF Table_detail'!M78),"")</f>
        <v>542</v>
      </c>
      <c r="I80" s="160" t="str" cm="1">
        <f t="array" aca="1" ref="I80" ca="1">IFERROR(print_SF('EF Table_detail'!I78),"")</f>
        <v>452</v>
      </c>
      <c r="J80" s="151" t="str" cm="1">
        <f t="array" aca="1" ref="J80" ca="1">IFERROR(print_SF('EF Table_detail'!J78),"")</f>
        <v>67.1</v>
      </c>
      <c r="K80" s="162" t="str" cm="1">
        <f t="array" aca="1" ref="K80" ca="1">IFERROR(print_SF('EF Table_detail'!K78),"")</f>
        <v>239</v>
      </c>
      <c r="L80" s="157" t="str" cm="1">
        <f t="array" aca="1" ref="L80" ca="1">IFERROR(print_SF('EF Table_detail'!R78),"")</f>
        <v>0.542</v>
      </c>
      <c r="M80" s="163" t="str" cm="1">
        <f t="array" aca="1" ref="M80" ca="1">IFERROR(print_SF('EF Table_detail'!N78),"")</f>
        <v>0.452</v>
      </c>
      <c r="N80" s="152" t="str" cm="1">
        <f t="array" aca="1" ref="N80" ca="1">IFERROR(print_SF('EF Table_detail'!O78),"")</f>
        <v>0.0671</v>
      </c>
      <c r="O80" s="166" t="str" cm="1">
        <f t="array" aca="1" ref="O80" ca="1">IFERROR(print_SF('EF Table_detail'!P78),"")</f>
        <v>0.239</v>
      </c>
      <c r="P80" s="165" t="str" cm="1">
        <f t="array" aca="1" ref="P80" ca="1">IFERROR(print_SF('EF Table_detail'!U78),"")</f>
        <v>0</v>
      </c>
      <c r="Q80" s="166" t="str" cm="1">
        <f t="array" aca="1" ref="Q80" ca="1">IFERROR(print_SF('EF Table_detail'!W78),"")</f>
        <v>0</v>
      </c>
      <c r="R80" s="177" t="str" cm="1">
        <f t="array" aca="1" ref="R80" ca="1">IFERROR(print_SF('EF Table_detail'!Y78),"")</f>
        <v>1,000</v>
      </c>
      <c r="S80" s="178" t="str">
        <f ca="1">'EF Table_detail'!Z78</f>
        <v>kg/tonne</v>
      </c>
      <c r="T80" s="179" t="str">
        <f ca="1">'EF Table_detail'!AA78</f>
        <v/>
      </c>
      <c r="U80" s="180" t="str">
        <f ca="1">'EF Table_detail'!AB78</f>
        <v>No</v>
      </c>
      <c r="V80" s="140"/>
    </row>
    <row r="81" spans="1:22" ht="45" customHeight="1" x14ac:dyDescent="0.25">
      <c r="A81" s="147" t="str">
        <f>'EF Table_detail'!A79</f>
        <v>Floors</v>
      </c>
      <c r="B81" s="148" t="str">
        <f>'EF Table_detail'!B79</f>
        <v>Access flooring</v>
      </c>
      <c r="C81" s="149" t="str">
        <f>HYPERLINK("#"&amp;'EF Table_detail'!$C79&amp;"!A1",'EF Table_detail'!$C79)</f>
        <v>Access_floor</v>
      </c>
      <c r="D81" s="150" t="str">
        <f ca="1">'EF Table_detail'!D79</f>
        <v>Access floor (raised floor) including pedestal, base, componentry. Excluding finish top layer.</v>
      </c>
      <c r="E81" s="148" t="str">
        <f ca="1">'EF Table_detail'!F79</f>
        <v>m²</v>
      </c>
      <c r="F81" s="148" t="str">
        <f ca="1">'EF Table_detail'!G79</f>
        <v>Tier 3</v>
      </c>
      <c r="G81" s="159">
        <f ca="1">'EF Table_detail'!H79</f>
        <v>1.1000000000000001</v>
      </c>
      <c r="H81" s="157" t="str" cm="1">
        <f t="array" aca="1" ref="H81" ca="1">IFERROR(print_SF('EF Table_detail'!M79),"")</f>
        <v>83.6</v>
      </c>
      <c r="I81" s="160" t="str" cm="1">
        <f t="array" aca="1" ref="I81" ca="1">IFERROR(print_SF('EF Table_detail'!I79),"")</f>
        <v>76.0</v>
      </c>
      <c r="J81" s="151" t="str" cm="1">
        <f t="array" aca="1" ref="J81" ca="1">IFERROR(print_SF('EF Table_detail'!J79),"")</f>
        <v>19.0</v>
      </c>
      <c r="K81" s="162" t="str" cm="1">
        <f t="array" aca="1" ref="K81" ca="1">IFERROR(print_SF('EF Table_detail'!K79),"")</f>
        <v>38.2</v>
      </c>
      <c r="L81" s="157" t="str" cm="1">
        <f t="array" aca="1" ref="L81" ca="1">IFERROR(print_SF('EF Table_detail'!R79),"")</f>
        <v>1.42</v>
      </c>
      <c r="M81" s="163" t="str" cm="1">
        <f t="array" aca="1" ref="M81" ca="1">IFERROR(print_SF('EF Table_detail'!N79),"")</f>
        <v>1.29</v>
      </c>
      <c r="N81" s="152" t="str" cm="1">
        <f t="array" aca="1" ref="N81" ca="1">IFERROR(print_SF('EF Table_detail'!O79),"")</f>
        <v>0.306</v>
      </c>
      <c r="O81" s="166" t="str" cm="1">
        <f t="array" aca="1" ref="O81" ca="1">IFERROR(print_SF('EF Table_detail'!P79),"")</f>
        <v>0.826</v>
      </c>
      <c r="P81" s="165" t="str" cm="1">
        <f t="array" aca="1" ref="P81" ca="1">IFERROR(print_SF('EF Table_detail'!U79),"")</f>
        <v>0</v>
      </c>
      <c r="Q81" s="166" t="str" cm="1">
        <f t="array" aca="1" ref="Q81" ca="1">IFERROR(print_SF('EF Table_detail'!W79),"")</f>
        <v>0</v>
      </c>
      <c r="R81" s="177" t="str" cm="1">
        <f t="array" aca="1" ref="R81" ca="1">IFERROR(print_SF('EF Table_detail'!Y79),"")</f>
        <v>46.3</v>
      </c>
      <c r="S81" s="178" t="str">
        <f ca="1">'EF Table_detail'!Z79</f>
        <v>kg/m²</v>
      </c>
      <c r="T81" s="179" t="str">
        <f ca="1">'EF Table_detail'!AA79</f>
        <v/>
      </c>
      <c r="U81" s="180" t="str">
        <f ca="1">'EF Table_detail'!AB79</f>
        <v>No</v>
      </c>
      <c r="V81" s="140"/>
    </row>
    <row r="82" spans="1:22" ht="45" customHeight="1" x14ac:dyDescent="0.25">
      <c r="A82" s="147" t="str">
        <f>'EF Table_detail'!A80</f>
        <v>Floors</v>
      </c>
      <c r="B82" s="148" t="str">
        <f>'EF Table_detail'!B80</f>
        <v>Carpet flooring</v>
      </c>
      <c r="C82" s="149" t="str">
        <f>HYPERLINK("#"&amp;'EF Table_detail'!$C80&amp;"!A1",'EF Table_detail'!$C80)</f>
        <v>Carpet_flooring</v>
      </c>
      <c r="D82" s="150" t="str">
        <f ca="1">'EF Table_detail'!D80</f>
        <v>Carpet for flooring including carpet tiles.</v>
      </c>
      <c r="E82" s="148" t="str">
        <f ca="1">'EF Table_detail'!F80</f>
        <v>m²</v>
      </c>
      <c r="F82" s="148" t="str">
        <f ca="1">'EF Table_detail'!G80</f>
        <v>Tier 4</v>
      </c>
      <c r="G82" s="159">
        <f ca="1">'EF Table_detail'!H80</f>
        <v>1.2</v>
      </c>
      <c r="H82" s="157" t="str" cm="1">
        <f t="array" aca="1" ref="H82" ca="1">IFERROR(print_SF('EF Table_detail'!M80),"")</f>
        <v>34.2</v>
      </c>
      <c r="I82" s="160" t="str" cm="1">
        <f t="array" aca="1" ref="I82" ca="1">IFERROR(print_SF('EF Table_detail'!I80),"")</f>
        <v>28.5</v>
      </c>
      <c r="J82" s="151" t="str" cm="1">
        <f t="array" aca="1" ref="J82" ca="1">IFERROR(print_SF('EF Table_detail'!J80),"")</f>
        <v>4.10</v>
      </c>
      <c r="K82" s="162" t="str" cm="1">
        <f t="array" aca="1" ref="K82" ca="1">IFERROR(print_SF('EF Table_detail'!K80),"")</f>
        <v>13.3</v>
      </c>
      <c r="L82" s="157" t="str" cm="1">
        <f t="array" aca="1" ref="L82" ca="1">IFERROR(print_SF('EF Table_detail'!R80),"")</f>
        <v>13.3</v>
      </c>
      <c r="M82" s="163" t="str" cm="1">
        <f t="array" aca="1" ref="M82" ca="1">IFERROR(print_SF('EF Table_detail'!N80),"")</f>
        <v>11.1</v>
      </c>
      <c r="N82" s="152" t="str" cm="1">
        <f t="array" aca="1" ref="N82" ca="1">IFERROR(print_SF('EF Table_detail'!O80),"")</f>
        <v>1.34</v>
      </c>
      <c r="O82" s="166" t="str" cm="1">
        <f t="array" aca="1" ref="O82" ca="1">IFERROR(print_SF('EF Table_detail'!P80),"")</f>
        <v>4.13</v>
      </c>
      <c r="P82" s="165" t="str" cm="1">
        <f t="array" aca="1" ref="P82" ca="1">IFERROR(print_SF('EF Table_detail'!U80),"")</f>
        <v>0</v>
      </c>
      <c r="Q82" s="166" t="str" cm="1">
        <f t="array" aca="1" ref="Q82" ca="1">IFERROR(print_SF('EF Table_detail'!W80),"")</f>
        <v>0</v>
      </c>
      <c r="R82" s="177" t="str" cm="1">
        <f t="array" aca="1" ref="R82" ca="1">IFERROR(print_SF('EF Table_detail'!Y80),"")</f>
        <v>3.21</v>
      </c>
      <c r="S82" s="178" t="str">
        <f ca="1">'EF Table_detail'!Z80</f>
        <v>kg/m²</v>
      </c>
      <c r="T82" s="179" t="str">
        <f ca="1">'EF Table_detail'!AA80</f>
        <v>Numerous styles of carpet piles and thickness</v>
      </c>
      <c r="U82" s="180" t="str">
        <f ca="1">'EF Table_detail'!AB80</f>
        <v>No</v>
      </c>
      <c r="V82" s="140"/>
    </row>
    <row r="83" spans="1:22" ht="45" customHeight="1" x14ac:dyDescent="0.25">
      <c r="A83" s="147" t="str">
        <f>'EF Table_detail'!A81</f>
        <v>Floors</v>
      </c>
      <c r="B83" s="148" t="str">
        <f>'EF Table_detail'!B81</f>
        <v>Vinyl flooring</v>
      </c>
      <c r="C83" s="149" t="str">
        <f>HYPERLINK("#"&amp;'EF Table_detail'!$C81&amp;"!A1",'EF Table_detail'!$C81)</f>
        <v>Vinyl_flooring</v>
      </c>
      <c r="D83" s="150" t="str">
        <f ca="1">'EF Table_detail'!D81</f>
        <v>Vinyl flooring.</v>
      </c>
      <c r="E83" s="148" t="str">
        <f ca="1">'EF Table_detail'!F81</f>
        <v>m²</v>
      </c>
      <c r="F83" s="148" t="str">
        <f ca="1">'EF Table_detail'!G81</f>
        <v>Tier 3</v>
      </c>
      <c r="G83" s="159">
        <f ca="1">'EF Table_detail'!H81</f>
        <v>1.1000000000000001</v>
      </c>
      <c r="H83" s="157" t="str" cm="1">
        <f t="array" aca="1" ref="H83" ca="1">IFERROR(print_SF('EF Table_detail'!M81),"")</f>
        <v>37.8</v>
      </c>
      <c r="I83" s="160" t="str" cm="1">
        <f t="array" aca="1" ref="I83" ca="1">IFERROR(print_SF('EF Table_detail'!I81),"")</f>
        <v>34.4</v>
      </c>
      <c r="J83" s="151" t="str" cm="1">
        <f t="array" aca="1" ref="J83" ca="1">IFERROR(print_SF('EF Table_detail'!J81),"")</f>
        <v>5.63</v>
      </c>
      <c r="K83" s="162" t="str" cm="1">
        <f t="array" aca="1" ref="K83" ca="1">IFERROR(print_SF('EF Table_detail'!K81),"")</f>
        <v>15.9</v>
      </c>
      <c r="L83" s="157" t="str" cm="1">
        <f t="array" aca="1" ref="L83" ca="1">IFERROR(print_SF('EF Table_detail'!R81),"")</f>
        <v>8.64</v>
      </c>
      <c r="M83" s="163" t="str" cm="1">
        <f t="array" aca="1" ref="M83" ca="1">IFERROR(print_SF('EF Table_detail'!N81),"")</f>
        <v>7.85</v>
      </c>
      <c r="N83" s="152" t="str" cm="1">
        <f t="array" aca="1" ref="N83" ca="1">IFERROR(print_SF('EF Table_detail'!O81),"")</f>
        <v>0.868</v>
      </c>
      <c r="O83" s="166" t="str" cm="1">
        <f t="array" aca="1" ref="O83" ca="1">IFERROR(print_SF('EF Table_detail'!P81),"")</f>
        <v>3.12</v>
      </c>
      <c r="P83" s="165" t="str" cm="1">
        <f t="array" aca="1" ref="P83" ca="1">IFERROR(print_SF('EF Table_detail'!U81),"")</f>
        <v>0</v>
      </c>
      <c r="Q83" s="166" t="str" cm="1">
        <f t="array" aca="1" ref="Q83" ca="1">IFERROR(print_SF('EF Table_detail'!W81),"")</f>
        <v>0</v>
      </c>
      <c r="R83" s="177" t="str" cm="1">
        <f t="array" aca="1" ref="R83" ca="1">IFERROR(print_SF('EF Table_detail'!Y81),"")</f>
        <v>5.10</v>
      </c>
      <c r="S83" s="178" t="str">
        <f ca="1">'EF Table_detail'!Z81</f>
        <v>kg/m²</v>
      </c>
      <c r="T83" s="179" t="str">
        <f ca="1">'EF Table_detail'!AA81</f>
        <v/>
      </c>
      <c r="U83" s="180" t="str">
        <f ca="1">'EF Table_detail'!AB81</f>
        <v>No</v>
      </c>
      <c r="V83" s="140"/>
    </row>
    <row r="84" spans="1:22" ht="45" customHeight="1" x14ac:dyDescent="0.25">
      <c r="A84" s="147" t="str">
        <f>'EF Table_detail'!A82</f>
        <v>Floors</v>
      </c>
      <c r="B84" s="148" t="str">
        <f>'EF Table_detail'!B82</f>
        <v>Rubber flooring</v>
      </c>
      <c r="C84" s="149" t="str">
        <f>HYPERLINK("#"&amp;'EF Table_detail'!$C82&amp;"!A1",'EF Table_detail'!$C82)</f>
        <v>Rubber_flooring</v>
      </c>
      <c r="D84" s="150" t="str">
        <f ca="1">'EF Table_detail'!D82</f>
        <v>Rubber flooring.</v>
      </c>
      <c r="E84" s="148" t="str">
        <f ca="1">'EF Table_detail'!F82</f>
        <v>m²</v>
      </c>
      <c r="F84" s="148" t="str">
        <f ca="1">'EF Table_detail'!G82</f>
        <v>Tier 4</v>
      </c>
      <c r="G84" s="159">
        <f ca="1">'EF Table_detail'!H82</f>
        <v>1.2</v>
      </c>
      <c r="H84" s="157" t="str" cm="1">
        <f t="array" aca="1" ref="H84" ca="1">IFERROR(print_SF('EF Table_detail'!M82),"")</f>
        <v>19.5</v>
      </c>
      <c r="I84" s="160" t="str" cm="1">
        <f t="array" aca="1" ref="I84" ca="1">IFERROR(print_SF('EF Table_detail'!I82),"")</f>
        <v>16.2</v>
      </c>
      <c r="J84" s="151" t="str" cm="1">
        <f t="array" aca="1" ref="J84" ca="1">IFERROR(print_SF('EF Table_detail'!J82),"")</f>
        <v>0.378</v>
      </c>
      <c r="K84" s="162" t="str" cm="1">
        <f t="array" aca="1" ref="K84" ca="1">IFERROR(print_SF('EF Table_detail'!K82),"")</f>
        <v>8.69</v>
      </c>
      <c r="L84" s="157" t="str" cm="1">
        <f t="array" aca="1" ref="L84" ca="1">IFERROR(print_SF('EF Table_detail'!R82),"")</f>
        <v>10.2</v>
      </c>
      <c r="M84" s="163" t="str" cm="1">
        <f t="array" aca="1" ref="M84" ca="1">IFERROR(print_SF('EF Table_detail'!N82),"")</f>
        <v>8.54</v>
      </c>
      <c r="N84" s="152" t="str" cm="1">
        <f t="array" aca="1" ref="N84" ca="1">IFERROR(print_SF('EF Table_detail'!O82),"")</f>
        <v>0.430</v>
      </c>
      <c r="O84" s="166" t="str" cm="1">
        <f t="array" aca="1" ref="O84" ca="1">IFERROR(print_SF('EF Table_detail'!P82),"")</f>
        <v>3.94</v>
      </c>
      <c r="P84" s="165" t="str" cm="1">
        <f t="array" aca="1" ref="P84" ca="1">IFERROR(print_SF('EF Table_detail'!U82),"")</f>
        <v>0</v>
      </c>
      <c r="Q84" s="166" t="str" cm="1">
        <f t="array" aca="1" ref="Q84" ca="1">IFERROR(print_SF('EF Table_detail'!W82),"")</f>
        <v>0</v>
      </c>
      <c r="R84" s="177" t="str" cm="1">
        <f t="array" aca="1" ref="R84" ca="1">IFERROR(print_SF('EF Table_detail'!Y82),"")</f>
        <v>2.20</v>
      </c>
      <c r="S84" s="178" t="str">
        <f ca="1">'EF Table_detail'!Z82</f>
        <v>kg/m²</v>
      </c>
      <c r="T84" s="179" t="str">
        <f ca="1">'EF Table_detail'!AA82</f>
        <v/>
      </c>
      <c r="U84" s="180" t="str">
        <f ca="1">'EF Table_detail'!AB82</f>
        <v>No</v>
      </c>
      <c r="V84" s="140"/>
    </row>
    <row r="85" spans="1:22" ht="45" customHeight="1" x14ac:dyDescent="0.25">
      <c r="A85" s="147" t="str">
        <f>'EF Table_detail'!A83</f>
        <v>Floors</v>
      </c>
      <c r="B85" s="148" t="str">
        <f>'EF Table_detail'!B83</f>
        <v>Timber flooring</v>
      </c>
      <c r="C85" s="149" t="str">
        <f>HYPERLINK("#"&amp;'EF Table_detail'!$C83&amp;"!A1",'EF Table_detail'!$C83)</f>
        <v>Timber_hardwood</v>
      </c>
      <c r="D85" s="150" t="str">
        <f ca="1">'EF Table_detail'!D83</f>
        <v>Hardwood timber. Includes treated, untreated, dressed, and sawn products.</v>
      </c>
      <c r="E85" s="148" t="str">
        <f ca="1">'EF Table_detail'!F83</f>
        <v>m³</v>
      </c>
      <c r="F85" s="148" t="str">
        <f ca="1">'EF Table_detail'!G83</f>
        <v>Tier 2</v>
      </c>
      <c r="G85" s="159">
        <f ca="1">'EF Table_detail'!H83</f>
        <v>1.05</v>
      </c>
      <c r="H85" s="157" t="str" cm="1">
        <f t="array" aca="1" ref="H85" ca="1">IFERROR(print_SF('EF Table_detail'!M83),"")</f>
        <v>591</v>
      </c>
      <c r="I85" s="160" t="str" cm="1">
        <f t="array" aca="1" ref="I85" ca="1">IFERROR(print_SF('EF Table_detail'!I83),"")</f>
        <v>563</v>
      </c>
      <c r="J85" s="151" t="str" cm="1">
        <f t="array" aca="1" ref="J85" ca="1">IFERROR(print_SF('EF Table_detail'!J83),"")</f>
        <v>104</v>
      </c>
      <c r="K85" s="162" t="str" cm="1">
        <f t="array" aca="1" ref="K85" ca="1">IFERROR(print_SF('EF Table_detail'!K83),"")</f>
        <v>347</v>
      </c>
      <c r="L85" s="157" t="str" cm="1">
        <f t="array" aca="1" ref="L85" ca="1">IFERROR(print_SF('EF Table_detail'!R83),"")</f>
        <v>0.804</v>
      </c>
      <c r="M85" s="163" t="str" cm="1">
        <f t="array" aca="1" ref="M85" ca="1">IFERROR(print_SF('EF Table_detail'!N83),"")</f>
        <v>0.765</v>
      </c>
      <c r="N85" s="152" t="str" cm="1">
        <f t="array" aca="1" ref="N85" ca="1">IFERROR(print_SF('EF Table_detail'!O83),"")</f>
        <v>0.126</v>
      </c>
      <c r="O85" s="166" t="str" cm="1">
        <f t="array" aca="1" ref="O85" ca="1">IFERROR(print_SF('EF Table_detail'!P83),"")</f>
        <v>0.466</v>
      </c>
      <c r="P85" s="165" t="str" cm="1">
        <f t="array" aca="1" ref="P85" ca="1">IFERROR(print_SF('EF Table_detail'!U83),"")</f>
        <v>1,170</v>
      </c>
      <c r="Q85" s="166" t="str" cm="1">
        <f t="array" aca="1" ref="Q85" ca="1">IFERROR(print_SF('EF Table_detail'!W83),"")</f>
        <v>1.54</v>
      </c>
      <c r="R85" s="177" t="str" cm="1">
        <f t="array" aca="1" ref="R85" ca="1">IFERROR(print_SF('EF Table_detail'!Y83),"")</f>
        <v>744</v>
      </c>
      <c r="S85" s="178" t="str">
        <f ca="1">'EF Table_detail'!Z83</f>
        <v>kg/m³</v>
      </c>
      <c r="T85" s="179" t="str">
        <f ca="1">'EF Table_detail'!AA83</f>
        <v xml:space="preserve">The NABERS rating tool will only include carbon storage where a material will be expected to last more than 20 years within the building and where it has been sourced from a sustainable forest. </v>
      </c>
      <c r="U85" s="180" t="str">
        <f ca="1">'EF Table_detail'!AB83</f>
        <v>No</v>
      </c>
      <c r="V85" s="140"/>
    </row>
    <row r="86" spans="1:22" ht="45" customHeight="1" x14ac:dyDescent="0.25">
      <c r="A86" s="147" t="str">
        <f>'EF Table_detail'!A84</f>
        <v>Floors</v>
      </c>
      <c r="B86" s="148" t="str">
        <f>'EF Table_detail'!B84</f>
        <v>Laminate flooring</v>
      </c>
      <c r="C86" s="149" t="str">
        <f>HYPERLINK("#"&amp;'EF Table_detail'!$C84&amp;"!A1",'EF Table_detail'!$C84)</f>
        <v>Laminate_flooring</v>
      </c>
      <c r="D86" s="150" t="str">
        <f ca="1">'EF Table_detail'!D84</f>
        <v>Laminate flooring.</v>
      </c>
      <c r="E86" s="148" t="str">
        <f ca="1">'EF Table_detail'!F84</f>
        <v>m²</v>
      </c>
      <c r="F86" s="148" t="str">
        <f ca="1">'EF Table_detail'!G84</f>
        <v>Tier 4</v>
      </c>
      <c r="G86" s="159">
        <f ca="1">'EF Table_detail'!H84</f>
        <v>1.2</v>
      </c>
      <c r="H86" s="157" t="str" cm="1">
        <f t="array" aca="1" ref="H86" ca="1">IFERROR(print_SF('EF Table_detail'!M84),"")</f>
        <v>5.69</v>
      </c>
      <c r="I86" s="160" t="str" cm="1">
        <f t="array" aca="1" ref="I86" ca="1">IFERROR(print_SF('EF Table_detail'!I84),"")</f>
        <v>4.74</v>
      </c>
      <c r="J86" s="151" t="str" cm="1">
        <f t="array" aca="1" ref="J86" ca="1">IFERROR(print_SF('EF Table_detail'!J84),"")</f>
        <v>2.67</v>
      </c>
      <c r="K86" s="162" t="str" cm="1">
        <f t="array" aca="1" ref="K86" ca="1">IFERROR(print_SF('EF Table_detail'!K84),"")</f>
        <v>3.71</v>
      </c>
      <c r="L86" s="157" t="str" cm="1">
        <f t="array" aca="1" ref="L86" ca="1">IFERROR(print_SF('EF Table_detail'!R84),"")</f>
        <v>0.814</v>
      </c>
      <c r="M86" s="163" t="str" cm="1">
        <f t="array" aca="1" ref="M86" ca="1">IFERROR(print_SF('EF Table_detail'!N84),"")</f>
        <v>0.679</v>
      </c>
      <c r="N86" s="152" t="str" cm="1">
        <f t="array" aca="1" ref="N86" ca="1">IFERROR(print_SF('EF Table_detail'!O84),"")</f>
        <v>0.384</v>
      </c>
      <c r="O86" s="166" t="str" cm="1">
        <f t="array" aca="1" ref="O86" ca="1">IFERROR(print_SF('EF Table_detail'!P84),"")</f>
        <v>0.531</v>
      </c>
      <c r="P86" s="165" t="str" cm="1">
        <f t="array" aca="1" ref="P86" ca="1">IFERROR(print_SF('EF Table_detail'!U84),"")</f>
        <v>0</v>
      </c>
      <c r="Q86" s="166" t="str" cm="1">
        <f t="array" aca="1" ref="Q86" ca="1">IFERROR(print_SF('EF Table_detail'!W84),"")</f>
        <v>0</v>
      </c>
      <c r="R86" s="177" t="str" cm="1">
        <f t="array" aca="1" ref="R86" ca="1">IFERROR(print_SF('EF Table_detail'!Y84),"")</f>
        <v>6.98</v>
      </c>
      <c r="S86" s="178" t="str">
        <f ca="1">'EF Table_detail'!Z84</f>
        <v>kg/m²</v>
      </c>
      <c r="T86" s="179" t="str">
        <f ca="1">'EF Table_detail'!AA84</f>
        <v/>
      </c>
      <c r="U86" s="180" t="str">
        <f ca="1">'EF Table_detail'!AB84</f>
        <v>No</v>
      </c>
      <c r="V86" s="140"/>
    </row>
    <row r="87" spans="1:22" ht="45" customHeight="1" x14ac:dyDescent="0.25">
      <c r="A87" s="147" t="str">
        <f>'EF Table_detail'!A85</f>
        <v>Floors</v>
      </c>
      <c r="B87" s="148" t="str">
        <f>'EF Table_detail'!B85</f>
        <v>Hybrid flooring</v>
      </c>
      <c r="C87" s="149" t="str">
        <f>HYPERLINK("#"&amp;'EF Table_detail'!$C85&amp;"!A1",'EF Table_detail'!$C85)</f>
        <v>Hybrid_flooring</v>
      </c>
      <c r="D87" s="150" t="str">
        <f ca="1">'EF Table_detail'!D85</f>
        <v>Hybrid flooring.</v>
      </c>
      <c r="E87" s="148" t="str">
        <f ca="1">'EF Table_detail'!F85</f>
        <v>m²</v>
      </c>
      <c r="F87" s="148" t="str">
        <f ca="1">'EF Table_detail'!G85</f>
        <v>Tier 4</v>
      </c>
      <c r="G87" s="159">
        <f ca="1">'EF Table_detail'!H85</f>
        <v>1.2</v>
      </c>
      <c r="H87" s="157" t="str" cm="1">
        <f t="array" aca="1" ref="H87" ca="1">IFERROR(print_SF('EF Table_detail'!M85),"")</f>
        <v>15.6</v>
      </c>
      <c r="I87" s="160" t="str" cm="1">
        <f t="array" aca="1" ref="I87" ca="1">IFERROR(print_SF('EF Table_detail'!I85),"")</f>
        <v>13.0</v>
      </c>
      <c r="J87" s="151" t="str" cm="1">
        <f t="array" aca="1" ref="J87" ca="1">IFERROR(print_SF('EF Table_detail'!J85),"")</f>
        <v>13.0</v>
      </c>
      <c r="K87" s="162" t="str" cm="1">
        <f t="array" aca="1" ref="K87" ca="1">IFERROR(print_SF('EF Table_detail'!K85),"")</f>
        <v>13.0</v>
      </c>
      <c r="L87" s="157" t="str" cm="1">
        <f t="array" aca="1" ref="L87" ca="1">IFERROR(print_SF('EF Table_detail'!R85),"")</f>
        <v>1.82</v>
      </c>
      <c r="M87" s="163" t="str" cm="1">
        <f t="array" aca="1" ref="M87" ca="1">IFERROR(print_SF('EF Table_detail'!N85),"")</f>
        <v>1.52</v>
      </c>
      <c r="N87" s="152" t="str" cm="1">
        <f t="array" aca="1" ref="N87" ca="1">IFERROR(print_SF('EF Table_detail'!O85),"")</f>
        <v>1.52</v>
      </c>
      <c r="O87" s="166" t="str" cm="1">
        <f t="array" aca="1" ref="O87" ca="1">IFERROR(print_SF('EF Table_detail'!P85),"")</f>
        <v>1.52</v>
      </c>
      <c r="P87" s="165" t="str" cm="1">
        <f t="array" aca="1" ref="P87" ca="1">IFERROR(print_SF('EF Table_detail'!U85),"")</f>
        <v>0</v>
      </c>
      <c r="Q87" s="166" t="str" cm="1">
        <f t="array" aca="1" ref="Q87" ca="1">IFERROR(print_SF('EF Table_detail'!W85),"")</f>
        <v>0</v>
      </c>
      <c r="R87" s="177" t="str" cm="1">
        <f t="array" aca="1" ref="R87" ca="1">IFERROR(print_SF('EF Table_detail'!Y85),"")</f>
        <v>8.60</v>
      </c>
      <c r="S87" s="178" t="str">
        <f ca="1">'EF Table_detail'!Z85</f>
        <v>kg/m²</v>
      </c>
      <c r="T87" s="179" t="str">
        <f ca="1">'EF Table_detail'!AA85</f>
        <v/>
      </c>
      <c r="U87" s="180" t="str">
        <f ca="1">'EF Table_detail'!AB85</f>
        <v>No</v>
      </c>
      <c r="V87" s="140"/>
    </row>
    <row r="88" spans="1:22" ht="45" customHeight="1" x14ac:dyDescent="0.25">
      <c r="A88" s="147" t="str">
        <f>'EF Table_detail'!A86</f>
        <v>Floors</v>
      </c>
      <c r="B88" s="148" t="str">
        <f>'EF Table_detail'!B86</f>
        <v>Linoleum flooring</v>
      </c>
      <c r="C88" s="149" t="str">
        <f>HYPERLINK("#"&amp;'EF Table_detail'!$C86&amp;"!A1",'EF Table_detail'!$C86)</f>
        <v>Linoleum_flooring</v>
      </c>
      <c r="D88" s="150" t="str">
        <f ca="1">'EF Table_detail'!D86</f>
        <v>Linoleum flooring - made from various materials.</v>
      </c>
      <c r="E88" s="148" t="str">
        <f ca="1">'EF Table_detail'!F86</f>
        <v>m²</v>
      </c>
      <c r="F88" s="148" t="str">
        <f ca="1">'EF Table_detail'!G86</f>
        <v>Tier 3</v>
      </c>
      <c r="G88" s="159">
        <f ca="1">'EF Table_detail'!H86</f>
        <v>1.1000000000000001</v>
      </c>
      <c r="H88" s="157" t="str" cm="1">
        <f t="array" aca="1" ref="H88" ca="1">IFERROR(print_SF('EF Table_detail'!M86),"")</f>
        <v>3.99</v>
      </c>
      <c r="I88" s="160" t="str" cm="1">
        <f t="array" aca="1" ref="I88" ca="1">IFERROR(print_SF('EF Table_detail'!I86),"")</f>
        <v>3.63</v>
      </c>
      <c r="J88" s="151" t="str" cm="1">
        <f t="array" aca="1" ref="J88" ca="1">IFERROR(print_SF('EF Table_detail'!J86),"")</f>
        <v>3.60</v>
      </c>
      <c r="K88" s="162" t="str" cm="1">
        <f t="array" aca="1" ref="K88" ca="1">IFERROR(print_SF('EF Table_detail'!K86),"")</f>
        <v>3.61</v>
      </c>
      <c r="L88" s="157" t="str" cm="1">
        <f t="array" aca="1" ref="L88" ca="1">IFERROR(print_SF('EF Table_detail'!R86),"")</f>
        <v>1.72</v>
      </c>
      <c r="M88" s="163" t="str" cm="1">
        <f t="array" aca="1" ref="M88" ca="1">IFERROR(print_SF('EF Table_detail'!N86),"")</f>
        <v>1.56</v>
      </c>
      <c r="N88" s="152" t="str" cm="1">
        <f t="array" aca="1" ref="N88" ca="1">IFERROR(print_SF('EF Table_detail'!O86),"")</f>
        <v>1.23</v>
      </c>
      <c r="O88" s="166" t="str" cm="1">
        <f t="array" aca="1" ref="O88" ca="1">IFERROR(print_SF('EF Table_detail'!P86),"")</f>
        <v>1.34</v>
      </c>
      <c r="P88" s="165" t="str" cm="1">
        <f t="array" ref="P88">IFERROR(print_SF('EF Table_detail'!U86),"")</f>
        <v>0</v>
      </c>
      <c r="Q88" s="166" t="str" cm="1">
        <f t="array" ref="Q88">IFERROR(print_SF('EF Table_detail'!W86),"")</f>
        <v>0</v>
      </c>
      <c r="R88" s="177" t="str" cm="1">
        <f t="array" aca="1" ref="R88" ca="1">IFERROR(print_SF('EF Table_detail'!Y86),"")</f>
        <v>2.69</v>
      </c>
      <c r="S88" s="178" t="str">
        <f ca="1">'EF Table_detail'!Z86</f>
        <v>kg/m²</v>
      </c>
      <c r="T88" s="179" t="str">
        <f ca="1">'EF Table_detail'!AA86</f>
        <v xml:space="preserve">The NABERS rating tool will only include carbon storage where a material will be expected to last more than 20 years within the building and where it has been sourced from a sustainable forest. </v>
      </c>
      <c r="U88" s="180" t="str">
        <f ca="1">'EF Table_detail'!AB86</f>
        <v>No</v>
      </c>
      <c r="V88" s="140"/>
    </row>
    <row r="89" spans="1:22" ht="45" customHeight="1" x14ac:dyDescent="0.25">
      <c r="A89" s="147" t="str">
        <f>'EF Table_detail'!A87</f>
        <v>Floors</v>
      </c>
      <c r="B89" s="148" t="str">
        <f>'EF Table_detail'!B87</f>
        <v>Epoxy flooring</v>
      </c>
      <c r="C89" s="149" t="str">
        <f>HYPERLINK("#"&amp;'EF Table_detail'!$C87&amp;"!A1",'EF Table_detail'!$C87)</f>
        <v>Epoxy_flooring</v>
      </c>
      <c r="D89" s="150" t="str">
        <f ca="1">'EF Table_detail'!D87</f>
        <v xml:space="preserve">Epoxy flooring - for use on concrete flooring or similar. </v>
      </c>
      <c r="E89" s="148" t="str">
        <f ca="1">'EF Table_detail'!F87</f>
        <v>kg</v>
      </c>
      <c r="F89" s="148" t="str">
        <f ca="1">'EF Table_detail'!G87</f>
        <v>Tier 4</v>
      </c>
      <c r="G89" s="159">
        <f ca="1">'EF Table_detail'!H87</f>
        <v>1.2</v>
      </c>
      <c r="H89" s="157" t="str" cm="1">
        <f t="array" aca="1" ref="H89" ca="1">IFERROR(print_SF('EF Table_detail'!M87),"")</f>
        <v>3.84</v>
      </c>
      <c r="I89" s="160" t="str" cm="1">
        <f t="array" aca="1" ref="I89" ca="1">IFERROR(print_SF('EF Table_detail'!I87),"")</f>
        <v>3.20</v>
      </c>
      <c r="J89" s="151" t="str" cm="1">
        <f t="array" aca="1" ref="J89" ca="1">IFERROR(print_SF('EF Table_detail'!J87),"")</f>
        <v>2.45</v>
      </c>
      <c r="K89" s="162" t="str" cm="1">
        <f t="array" aca="1" ref="K89" ca="1">IFERROR(print_SF('EF Table_detail'!K87),"")</f>
        <v>2.80</v>
      </c>
      <c r="L89" s="157" t="str" cm="1">
        <f t="array" aca="1" ref="L89" ca="1">IFERROR(print_SF('EF Table_detail'!R87),"")</f>
        <v>3.84</v>
      </c>
      <c r="M89" s="163" t="str" cm="1">
        <f t="array" aca="1" ref="M89" ca="1">IFERROR(print_SF('EF Table_detail'!N87),"")</f>
        <v>3.20</v>
      </c>
      <c r="N89" s="152" t="str" cm="1">
        <f t="array" aca="1" ref="N89" ca="1">IFERROR(print_SF('EF Table_detail'!O87),"")</f>
        <v>2.45</v>
      </c>
      <c r="O89" s="166" t="str" cm="1">
        <f t="array" aca="1" ref="O89" ca="1">IFERROR(print_SF('EF Table_detail'!P87),"")</f>
        <v>2.80</v>
      </c>
      <c r="P89" s="165" t="str" cm="1">
        <f t="array" aca="1" ref="P89" ca="1">IFERROR(print_SF('EF Table_detail'!U87),"")</f>
        <v>0</v>
      </c>
      <c r="Q89" s="166" t="str" cm="1">
        <f t="array" aca="1" ref="Q89" ca="1">IFERROR(print_SF('EF Table_detail'!W87),"")</f>
        <v>0</v>
      </c>
      <c r="R89" s="177" t="str" cm="1">
        <f t="array" aca="1" ref="R89" ca="1">IFERROR(print_SF('EF Table_detail'!Y87),"")</f>
        <v>1.00</v>
      </c>
      <c r="S89" s="178" t="str">
        <f ca="1">'EF Table_detail'!Z87</f>
        <v>kg/kg</v>
      </c>
      <c r="T89" s="179" t="str">
        <f ca="1">'EF Table_detail'!AA87</f>
        <v/>
      </c>
      <c r="U89" s="180" t="str">
        <f ca="1">'EF Table_detail'!AB87</f>
        <v>No</v>
      </c>
      <c r="V89" s="140"/>
    </row>
    <row r="90" spans="1:22" ht="45" customHeight="1" x14ac:dyDescent="0.25">
      <c r="A90" s="147" t="str">
        <f>'EF Table_detail'!A88</f>
        <v>Roller doors</v>
      </c>
      <c r="B90" s="148" t="str">
        <f>'EF Table_detail'!B88</f>
        <v>Roller doors</v>
      </c>
      <c r="C90" s="149" t="str">
        <f>HYPERLINK("#"&amp;'EF Table_detail'!$C88&amp;"!A1",'EF Table_detail'!$C88)</f>
        <v>Roller_Door</v>
      </c>
      <c r="D90" s="150" t="str">
        <f ca="1">'EF Table_detail'!D88</f>
        <v>Roller door (i.e. sectional door or garage door) including all elements steel, electrical drives etc.</v>
      </c>
      <c r="E90" s="148" t="str">
        <f ca="1">'EF Table_detail'!F88</f>
        <v>m²</v>
      </c>
      <c r="F90" s="148" t="str">
        <f ca="1">'EF Table_detail'!G88</f>
        <v>Tier 4</v>
      </c>
      <c r="G90" s="159">
        <f ca="1">'EF Table_detail'!H88</f>
        <v>1.2</v>
      </c>
      <c r="H90" s="157" t="str" cm="1">
        <f t="array" aca="1" ref="H90" ca="1">IFERROR(print_SF('EF Table_detail'!M88),"")</f>
        <v>132</v>
      </c>
      <c r="I90" s="160" t="str" cm="1">
        <f t="array" aca="1" ref="I90" ca="1">IFERROR(print_SF('EF Table_detail'!I88),"")</f>
        <v>110</v>
      </c>
      <c r="J90" s="151" t="str" cm="1">
        <f t="array" aca="1" ref="J90" ca="1">IFERROR(print_SF('EF Table_detail'!J88),"")</f>
        <v>96.7</v>
      </c>
      <c r="K90" s="162" t="str" cm="1">
        <f t="array" aca="1" ref="K90" ca="1">IFERROR(print_SF('EF Table_detail'!K88),"")</f>
        <v>103</v>
      </c>
      <c r="L90" s="157" t="str" cm="1">
        <f t="array" aca="1" ref="L90" ca="1">IFERROR(print_SF('EF Table_detail'!R88),"")</f>
        <v>5.67</v>
      </c>
      <c r="M90" s="163" t="str" cm="1">
        <f t="array" aca="1" ref="M90" ca="1">IFERROR(print_SF('EF Table_detail'!N88),"")</f>
        <v>4.72</v>
      </c>
      <c r="N90" s="152" t="str" cm="1">
        <f t="array" aca="1" ref="N90" ca="1">IFERROR(print_SF('EF Table_detail'!O88),"")</f>
        <v>3.26</v>
      </c>
      <c r="O90" s="166" t="str" cm="1">
        <f t="array" aca="1" ref="O90" ca="1">IFERROR(print_SF('EF Table_detail'!P88),"")</f>
        <v>3.99</v>
      </c>
      <c r="P90" s="165" t="str" cm="1">
        <f t="array" aca="1" ref="P90" ca="1">IFERROR(print_SF('EF Table_detail'!U88),"")</f>
        <v>0</v>
      </c>
      <c r="Q90" s="166" t="str" cm="1">
        <f t="array" aca="1" ref="Q90" ca="1">IFERROR(print_SF('EF Table_detail'!W88),"")</f>
        <v>0</v>
      </c>
      <c r="R90" s="177" t="str" cm="1">
        <f t="array" aca="1" ref="R90" ca="1">IFERROR(print_SF('EF Table_detail'!Y88),"")</f>
        <v>25.9</v>
      </c>
      <c r="S90" s="178" t="str">
        <f ca="1">'EF Table_detail'!Z88</f>
        <v>kg/m²</v>
      </c>
      <c r="T90" s="179" t="str">
        <f ca="1">'EF Table_detail'!AA88</f>
        <v/>
      </c>
      <c r="U90" s="180" t="str">
        <f ca="1">'EF Table_detail'!AB88</f>
        <v>No</v>
      </c>
      <c r="V90" s="140"/>
    </row>
    <row r="91" spans="1:22" ht="45" customHeight="1" x14ac:dyDescent="0.25">
      <c r="A91" s="147" t="str">
        <f>'EF Table_detail'!A89</f>
        <v>Windows &amp; doors</v>
      </c>
      <c r="B91" s="148" t="str">
        <f>'EF Table_detail'!B89</f>
        <v>Window - aluminium frame - generic</v>
      </c>
      <c r="C91" s="149" t="str">
        <f>HYPERLINK("#"&amp;'EF Table_detail'!$C89&amp;"!A1",'EF Table_detail'!$C89)</f>
        <v>Window_doors_generic</v>
      </c>
      <c r="D91" s="150" t="str">
        <f ca="1">'EF Table_detail'!D89</f>
        <v>Represents a generic window or door as named in the material category. Includes key component materials. Square meter rate.</v>
      </c>
      <c r="E91" s="148" t="str">
        <f>'EF Table_detail'!F89</f>
        <v>m²</v>
      </c>
      <c r="F91" s="148" t="str">
        <f>'EF Table_detail'!G89</f>
        <v>Untiered</v>
      </c>
      <c r="G91" s="159">
        <f>'EF Table_detail'!H89</f>
        <v>1</v>
      </c>
      <c r="H91" s="157" t="str" cm="1">
        <f t="array" aca="1" ref="H91" ca="1">IFERROR(print_SF('EF Table_detail'!M89),"")</f>
        <v>255</v>
      </c>
      <c r="I91" s="160" t="str" cm="1">
        <f t="array" aca="1" ref="I91" ca="1">IFERROR(print_SF('EF Table_detail'!I89),"")</f>
        <v>255</v>
      </c>
      <c r="J91" s="151" t="str" cm="1">
        <f t="array" aca="1" ref="J91" ca="1">IFERROR(print_SF('EF Table_detail'!J89),"")</f>
        <v>46.7</v>
      </c>
      <c r="K91" s="162" t="str" cm="1">
        <f t="array" aca="1" ref="K91" ca="1">IFERROR(print_SF('EF Table_detail'!K89),"")</f>
        <v>159</v>
      </c>
      <c r="L91" s="157" t="str" cm="1">
        <f t="array" aca="1" ref="L91" ca="1">IFERROR(print_SF('EF Table_detail'!R89),"")</f>
        <v>11.1</v>
      </c>
      <c r="M91" s="163" t="str" cm="1">
        <f t="array" aca="1" ref="M91" ca="1">IFERROR(print_SF('EF Table_detail'!N89),"")</f>
        <v>11.1</v>
      </c>
      <c r="N91" s="152" t="str" cm="1">
        <f t="array" aca="1" ref="N91" ca="1">IFERROR(print_SF('EF Table_detail'!O89),"")</f>
        <v>2.03</v>
      </c>
      <c r="O91" s="166" t="str" cm="1">
        <f t="array" aca="1" ref="O91" ca="1">IFERROR(print_SF('EF Table_detail'!P89),"")</f>
        <v>6.93</v>
      </c>
      <c r="P91" s="165" t="str" cm="1">
        <f t="array" aca="1" ref="P91" ca="1">IFERROR(print_SF('EF Table_detail'!U89),"")</f>
        <v>0</v>
      </c>
      <c r="Q91" s="166" t="str" cm="1">
        <f t="array" aca="1" ref="Q91" ca="1">IFERROR(print_SF('EF Table_detail'!W89),"")</f>
        <v>0</v>
      </c>
      <c r="R91" s="177" t="str" cm="1">
        <f t="array" aca="1" ref="R91" ca="1">IFERROR(print_SF('EF Table_detail'!Y89),"")</f>
        <v>23.0</v>
      </c>
      <c r="S91" s="178" t="str">
        <f>'EF Table_detail'!Z89</f>
        <v>kg/m²</v>
      </c>
      <c r="T91" s="179" t="str">
        <f ca="1">'EF Table_detail'!AA89</f>
        <v/>
      </c>
      <c r="U91" s="180" t="str">
        <f ca="1">'EF Table_detail'!AB89</f>
        <v>No</v>
      </c>
      <c r="V91" s="140"/>
    </row>
    <row r="92" spans="1:22" ht="45" customHeight="1" x14ac:dyDescent="0.25">
      <c r="A92" s="147" t="str">
        <f>'EF Table_detail'!A90</f>
        <v>Windows &amp; doors</v>
      </c>
      <c r="B92" s="148" t="str">
        <f>'EF Table_detail'!B90</f>
        <v>Window - timber frame - generic</v>
      </c>
      <c r="C92" s="149" t="str">
        <f>HYPERLINK("#"&amp;'EF Table_detail'!$C90&amp;"!A1",'EF Table_detail'!$C90)</f>
        <v>Window_doors_generic</v>
      </c>
      <c r="D92" s="150" t="str">
        <f ca="1">'EF Table_detail'!D90</f>
        <v>Represents a generic window or door as named in the material category. Includes key component materials. Square meter rate.</v>
      </c>
      <c r="E92" s="148" t="str">
        <f>'EF Table_detail'!F90</f>
        <v>m²</v>
      </c>
      <c r="F92" s="148" t="str">
        <f>'EF Table_detail'!G90</f>
        <v>Untiered</v>
      </c>
      <c r="G92" s="159">
        <f>'EF Table_detail'!H90</f>
        <v>1</v>
      </c>
      <c r="H92" s="157" t="str" cm="1">
        <f t="array" aca="1" ref="H92" ca="1">IFERROR(print_SF('EF Table_detail'!M90),"")</f>
        <v>327</v>
      </c>
      <c r="I92" s="160" t="str" cm="1">
        <f t="array" aca="1" ref="I92" ca="1">IFERROR(print_SF('EF Table_detail'!I90),"")</f>
        <v>327</v>
      </c>
      <c r="J92" s="151" t="str" cm="1">
        <f t="array" aca="1" ref="J92" ca="1">IFERROR(print_SF('EF Table_detail'!J90),"")</f>
        <v>57.9</v>
      </c>
      <c r="K92" s="162" t="str" cm="1">
        <f t="array" aca="1" ref="K92" ca="1">IFERROR(print_SF('EF Table_detail'!K90),"")</f>
        <v>194</v>
      </c>
      <c r="L92" s="157" t="str" cm="1">
        <f t="array" aca="1" ref="L92" ca="1">IFERROR(print_SF('EF Table_detail'!R90),"")</f>
        <v>10.9</v>
      </c>
      <c r="M92" s="163" t="str" cm="1">
        <f t="array" aca="1" ref="M92" ca="1">IFERROR(print_SF('EF Table_detail'!N90),"")</f>
        <v>10.9</v>
      </c>
      <c r="N92" s="152" t="str" cm="1">
        <f t="array" aca="1" ref="N92" ca="1">IFERROR(print_SF('EF Table_detail'!O90),"")</f>
        <v>1.93</v>
      </c>
      <c r="O92" s="166" t="str" cm="1">
        <f t="array" aca="1" ref="O92" ca="1">IFERROR(print_SF('EF Table_detail'!P90),"")</f>
        <v>6.45</v>
      </c>
      <c r="P92" s="165" t="str" cm="1">
        <f t="array" aca="1" ref="P92" ca="1">IFERROR(print_SF('EF Table_detail'!U90),"")</f>
        <v>5.99</v>
      </c>
      <c r="Q92" s="166" t="str" cm="1">
        <f t="array" aca="1" ref="Q92" ca="1">IFERROR(print_SF('EF Table_detail'!W90),"")</f>
        <v>0.199</v>
      </c>
      <c r="R92" s="177" t="str" cm="1">
        <f t="array" aca="1" ref="R92" ca="1">IFERROR(print_SF('EF Table_detail'!Y90),"")</f>
        <v>30.1</v>
      </c>
      <c r="S92" s="178" t="str">
        <f>'EF Table_detail'!Z90</f>
        <v>kg/m²</v>
      </c>
      <c r="T92" s="179" t="str">
        <f ca="1">'EF Table_detail'!AA90</f>
        <v/>
      </c>
      <c r="U92" s="180" t="str">
        <f ca="1">'EF Table_detail'!AB90</f>
        <v>No</v>
      </c>
      <c r="V92" s="140"/>
    </row>
    <row r="93" spans="1:22" ht="45" customHeight="1" x14ac:dyDescent="0.25">
      <c r="A93" s="147" t="str">
        <f>'EF Table_detail'!A91</f>
        <v>Windows &amp; doors</v>
      </c>
      <c r="B93" s="148" t="str">
        <f>'EF Table_detail'!B91</f>
        <v>Door - timber with glazing - generic</v>
      </c>
      <c r="C93" s="149" t="str">
        <f>HYPERLINK("#"&amp;'EF Table_detail'!$C91&amp;"!A1",'EF Table_detail'!$C91)</f>
        <v>Window_doors_generic</v>
      </c>
      <c r="D93" s="150" t="str">
        <f ca="1">'EF Table_detail'!D91</f>
        <v>Represents a generic window or door as named in the material category. Includes key component materials. Square meter rate.</v>
      </c>
      <c r="E93" s="148" t="str">
        <f>'EF Table_detail'!F91</f>
        <v>m²</v>
      </c>
      <c r="F93" s="148" t="str">
        <f>'EF Table_detail'!G91</f>
        <v>Untiered</v>
      </c>
      <c r="G93" s="159">
        <f>'EF Table_detail'!H91</f>
        <v>1</v>
      </c>
      <c r="H93" s="157" t="str" cm="1">
        <f t="array" aca="1" ref="H93" ca="1">IFERROR(print_SF('EF Table_detail'!M91),"")</f>
        <v>78.4</v>
      </c>
      <c r="I93" s="160" t="str" cm="1">
        <f t="array" aca="1" ref="I93" ca="1">IFERROR(print_SF('EF Table_detail'!I91),"")</f>
        <v>78.4</v>
      </c>
      <c r="J93" s="151" t="str" cm="1">
        <f t="array" aca="1" ref="J93" ca="1">IFERROR(print_SF('EF Table_detail'!J91),"")</f>
        <v>35.0</v>
      </c>
      <c r="K93" s="162" t="str" cm="1">
        <f t="array" aca="1" ref="K93" ca="1">IFERROR(print_SF('EF Table_detail'!K91),"")</f>
        <v>54.5</v>
      </c>
      <c r="L93" s="157" t="str" cm="1">
        <f t="array" aca="1" ref="L93" ca="1">IFERROR(print_SF('EF Table_detail'!R91),"")</f>
        <v>1.85</v>
      </c>
      <c r="M93" s="163" t="str" cm="1">
        <f t="array" aca="1" ref="M93" ca="1">IFERROR(print_SF('EF Table_detail'!N91),"")</f>
        <v>1.85</v>
      </c>
      <c r="N93" s="152" t="str" cm="1">
        <f t="array" aca="1" ref="N93" ca="1">IFERROR(print_SF('EF Table_detail'!O91),"")</f>
        <v>0.825</v>
      </c>
      <c r="O93" s="166" t="str" cm="1">
        <f t="array" aca="1" ref="O93" ca="1">IFERROR(print_SF('EF Table_detail'!P91),"")</f>
        <v>1.28</v>
      </c>
      <c r="P93" s="165" t="str" cm="1">
        <f t="array" aca="1" ref="P93" ca="1">IFERROR(print_SF('EF Table_detail'!U91),"")</f>
        <v>27.4</v>
      </c>
      <c r="Q93" s="166" t="str" cm="1">
        <f t="array" aca="1" ref="Q93" ca="1">IFERROR(print_SF('EF Table_detail'!W91),"")</f>
        <v>0.646</v>
      </c>
      <c r="R93" s="177" t="str" cm="1">
        <f t="array" aca="1" ref="R93" ca="1">IFERROR(print_SF('EF Table_detail'!Y91),"")</f>
        <v>42.4</v>
      </c>
      <c r="S93" s="178" t="str">
        <f>'EF Table_detail'!Z91</f>
        <v>kg/m²</v>
      </c>
      <c r="T93" s="179" t="str">
        <f ca="1">'EF Table_detail'!AA91</f>
        <v/>
      </c>
      <c r="U93" s="180" t="str">
        <f ca="1">'EF Table_detail'!AB91</f>
        <v>No</v>
      </c>
      <c r="V93" s="140"/>
    </row>
    <row r="94" spans="1:22" ht="45" customHeight="1" x14ac:dyDescent="0.25">
      <c r="A94" s="147" t="str">
        <f>'EF Table_detail'!A92</f>
        <v>Windows &amp; doors</v>
      </c>
      <c r="B94" s="148" t="str">
        <f>'EF Table_detail'!B92</f>
        <v>Door - steel with glazing - generic</v>
      </c>
      <c r="C94" s="149" t="str">
        <f>HYPERLINK("#"&amp;'EF Table_detail'!$C92&amp;"!A1",'EF Table_detail'!$C92)</f>
        <v>Window_doors_generic</v>
      </c>
      <c r="D94" s="150" t="str">
        <f ca="1">'EF Table_detail'!D92</f>
        <v>Represents a generic window or door as named in the material category. Includes key component materials. Square meter rate.</v>
      </c>
      <c r="E94" s="148" t="str">
        <f>'EF Table_detail'!F92</f>
        <v>m²</v>
      </c>
      <c r="F94" s="148" t="str">
        <f>'EF Table_detail'!G92</f>
        <v>Untiered</v>
      </c>
      <c r="G94" s="159">
        <f>'EF Table_detail'!H92</f>
        <v>1</v>
      </c>
      <c r="H94" s="157" t="str" cm="1">
        <f t="array" aca="1" ref="H94" ca="1">IFERROR(print_SF('EF Table_detail'!M92),"")</f>
        <v>190</v>
      </c>
      <c r="I94" s="160" t="str" cm="1">
        <f t="array" aca="1" ref="I94" ca="1">IFERROR(print_SF('EF Table_detail'!I92),"")</f>
        <v>190</v>
      </c>
      <c r="J94" s="151" t="str" cm="1">
        <f t="array" aca="1" ref="J94" ca="1">IFERROR(print_SF('EF Table_detail'!J92),"")</f>
        <v>116</v>
      </c>
      <c r="K94" s="162" t="str" cm="1">
        <f t="array" aca="1" ref="K94" ca="1">IFERROR(print_SF('EF Table_detail'!K92),"")</f>
        <v>138</v>
      </c>
      <c r="L94" s="157" t="str" cm="1">
        <f t="array" aca="1" ref="L94" ca="1">IFERROR(print_SF('EF Table_detail'!R92),"")</f>
        <v>3.67</v>
      </c>
      <c r="M94" s="163" t="str" cm="1">
        <f t="array" aca="1" ref="M94" ca="1">IFERROR(print_SF('EF Table_detail'!N92),"")</f>
        <v>3.67</v>
      </c>
      <c r="N94" s="152" t="str" cm="1">
        <f t="array" aca="1" ref="N94" ca="1">IFERROR(print_SF('EF Table_detail'!O92),"")</f>
        <v>2.24</v>
      </c>
      <c r="O94" s="166" t="str" cm="1">
        <f t="array" aca="1" ref="O94" ca="1">IFERROR(print_SF('EF Table_detail'!P92),"")</f>
        <v>2.67</v>
      </c>
      <c r="P94" s="165" t="str" cm="1">
        <f t="array" aca="1" ref="P94" ca="1">IFERROR(print_SF('EF Table_detail'!U92),"")</f>
        <v>0</v>
      </c>
      <c r="Q94" s="166" t="str" cm="1">
        <f t="array" aca="1" ref="Q94" ca="1">IFERROR(print_SF('EF Table_detail'!W92),"")</f>
        <v>0</v>
      </c>
      <c r="R94" s="177" t="str" cm="1">
        <f t="array" aca="1" ref="R94" ca="1">IFERROR(print_SF('EF Table_detail'!Y92),"")</f>
        <v>51.7</v>
      </c>
      <c r="S94" s="178" t="str">
        <f>'EF Table_detail'!Z92</f>
        <v>kg/m²</v>
      </c>
      <c r="T94" s="179" t="str">
        <f ca="1">'EF Table_detail'!AA92</f>
        <v/>
      </c>
      <c r="U94" s="180" t="str">
        <f ca="1">'EF Table_detail'!AB92</f>
        <v>No</v>
      </c>
      <c r="V94" s="131"/>
    </row>
    <row r="95" spans="1:22" ht="45" customHeight="1" x14ac:dyDescent="0.25">
      <c r="A95" s="147" t="str">
        <f>'EF Table_detail'!A93</f>
        <v>Windows &amp; doors</v>
      </c>
      <c r="B95" s="148" t="str">
        <f>'EF Table_detail'!B93</f>
        <v>Door - fully glazed - minor aluminium frame - generic</v>
      </c>
      <c r="C95" s="149" t="str">
        <f>HYPERLINK("#"&amp;'EF Table_detail'!$C93&amp;"!A1",'EF Table_detail'!$C93)</f>
        <v>Window_doors_generic</v>
      </c>
      <c r="D95" s="150" t="str">
        <f ca="1">'EF Table_detail'!D93</f>
        <v>Represents a generic window or door as named in the material category. Includes key component materials. Square meter rate.</v>
      </c>
      <c r="E95" s="148" t="str">
        <f>'EF Table_detail'!F93</f>
        <v>m²</v>
      </c>
      <c r="F95" s="148" t="str">
        <f>'EF Table_detail'!G93</f>
        <v>Untiered</v>
      </c>
      <c r="G95" s="159">
        <f>'EF Table_detail'!H93</f>
        <v>1</v>
      </c>
      <c r="H95" s="157" t="str" cm="1">
        <f t="array" aca="1" ref="H95" ca="1">IFERROR(print_SF('EF Table_detail'!M93),"")</f>
        <v>322</v>
      </c>
      <c r="I95" s="160" t="str" cm="1">
        <f t="array" aca="1" ref="I95" ca="1">IFERROR(print_SF('EF Table_detail'!I93),"")</f>
        <v>322</v>
      </c>
      <c r="J95" s="151" t="str" cm="1">
        <f t="array" aca="1" ref="J95" ca="1">IFERROR(print_SF('EF Table_detail'!J93),"")</f>
        <v>76.4</v>
      </c>
      <c r="K95" s="162" t="str" cm="1">
        <f t="array" aca="1" ref="K95" ca="1">IFERROR(print_SF('EF Table_detail'!K93),"")</f>
        <v>199</v>
      </c>
      <c r="L95" s="157" t="str" cm="1">
        <f t="array" aca="1" ref="L95" ca="1">IFERROR(print_SF('EF Table_detail'!R93),"")</f>
        <v>7.32</v>
      </c>
      <c r="M95" s="163" t="str" cm="1">
        <f t="array" aca="1" ref="M95" ca="1">IFERROR(print_SF('EF Table_detail'!N93),"")</f>
        <v>7.32</v>
      </c>
      <c r="N95" s="152" t="str" cm="1">
        <f t="array" aca="1" ref="N95" ca="1">IFERROR(print_SF('EF Table_detail'!O93),"")</f>
        <v>1.74</v>
      </c>
      <c r="O95" s="166" t="str" cm="1">
        <f t="array" aca="1" ref="O95" ca="1">IFERROR(print_SF('EF Table_detail'!P93),"")</f>
        <v>4.53</v>
      </c>
      <c r="P95" s="165" t="str" cm="1">
        <f t="array" aca="1" ref="P95" ca="1">IFERROR(print_SF('EF Table_detail'!U93),"")</f>
        <v>0</v>
      </c>
      <c r="Q95" s="166" t="str" cm="1">
        <f t="array" aca="1" ref="Q95" ca="1">IFERROR(print_SF('EF Table_detail'!W93),"")</f>
        <v>0</v>
      </c>
      <c r="R95" s="177" t="str" cm="1">
        <f t="array" aca="1" ref="R95" ca="1">IFERROR(print_SF('EF Table_detail'!Y93),"")</f>
        <v>44.0</v>
      </c>
      <c r="S95" s="178" t="str">
        <f>'EF Table_detail'!Z93</f>
        <v>kg/m²</v>
      </c>
      <c r="T95" s="179" t="str">
        <f ca="1">'EF Table_detail'!AA93</f>
        <v/>
      </c>
      <c r="U95" s="180" t="str">
        <f ca="1">'EF Table_detail'!AB93</f>
        <v>No</v>
      </c>
      <c r="V95" s="131"/>
    </row>
    <row r="96" spans="1:22" ht="45" customHeight="1" x14ac:dyDescent="0.25">
      <c r="A96" s="147" t="str">
        <f>'EF Table_detail'!A94</f>
        <v>Windows &amp; doors</v>
      </c>
      <c r="B96" s="148" t="str">
        <f>'EF Table_detail'!B94</f>
        <v>Door - aluminium with glazing - generic</v>
      </c>
      <c r="C96" s="149" t="str">
        <f>HYPERLINK("#"&amp;'EF Table_detail'!$C94&amp;"!A1",'EF Table_detail'!$C94)</f>
        <v>Window_doors_generic</v>
      </c>
      <c r="D96" s="150" t="str">
        <f ca="1">'EF Table_detail'!D94</f>
        <v>Represents a generic window or door as named in the material category. Includes key component materials. Square meter rate.</v>
      </c>
      <c r="E96" s="148" t="str">
        <f>'EF Table_detail'!F94</f>
        <v>m²</v>
      </c>
      <c r="F96" s="148" t="str">
        <f>'EF Table_detail'!G94</f>
        <v>Untiered</v>
      </c>
      <c r="G96" s="159">
        <f>'EF Table_detail'!H94</f>
        <v>1</v>
      </c>
      <c r="H96" s="157" t="str" cm="1">
        <f t="array" aca="1" ref="H96" ca="1">IFERROR(print_SF('EF Table_detail'!M94),"")</f>
        <v>415</v>
      </c>
      <c r="I96" s="160" t="str" cm="1">
        <f t="array" aca="1" ref="I96" ca="1">IFERROR(print_SF('EF Table_detail'!I94),"")</f>
        <v>415</v>
      </c>
      <c r="J96" s="151" t="str" cm="1">
        <f t="array" aca="1" ref="J96" ca="1">IFERROR(print_SF('EF Table_detail'!J94),"")</f>
        <v>68.2</v>
      </c>
      <c r="K96" s="162" t="str" cm="1">
        <f t="array" aca="1" ref="K96" ca="1">IFERROR(print_SF('EF Table_detail'!K94),"")</f>
        <v>245</v>
      </c>
      <c r="L96" s="157" t="str" cm="1">
        <f t="array" aca="1" ref="L96" ca="1">IFERROR(print_SF('EF Table_detail'!R94),"")</f>
        <v>14.3</v>
      </c>
      <c r="M96" s="163" t="str" cm="1">
        <f t="array" aca="1" ref="M96" ca="1">IFERROR(print_SF('EF Table_detail'!N94),"")</f>
        <v>14.3</v>
      </c>
      <c r="N96" s="152" t="str" cm="1">
        <f t="array" aca="1" ref="N96" ca="1">IFERROR(print_SF('EF Table_detail'!O94),"")</f>
        <v>2.34</v>
      </c>
      <c r="O96" s="166" t="str" cm="1">
        <f t="array" aca="1" ref="O96" ca="1">IFERROR(print_SF('EF Table_detail'!P94),"")</f>
        <v>8.41</v>
      </c>
      <c r="P96" s="165" t="str" cm="1">
        <f t="array" aca="1" ref="P96" ca="1">IFERROR(print_SF('EF Table_detail'!U94),"")</f>
        <v>0</v>
      </c>
      <c r="Q96" s="166" t="str" cm="1">
        <f t="array" aca="1" ref="Q96" ca="1">IFERROR(print_SF('EF Table_detail'!W94),"")</f>
        <v>0</v>
      </c>
      <c r="R96" s="177" t="str" cm="1">
        <f t="array" aca="1" ref="R96" ca="1">IFERROR(print_SF('EF Table_detail'!Y94),"")</f>
        <v>29.1</v>
      </c>
      <c r="S96" s="178" t="str">
        <f>'EF Table_detail'!Z94</f>
        <v>kg/m²</v>
      </c>
      <c r="T96" s="179" t="str">
        <f ca="1">'EF Table_detail'!AA94</f>
        <v/>
      </c>
      <c r="U96" s="180" t="str">
        <f ca="1">'EF Table_detail'!AB94</f>
        <v>No</v>
      </c>
      <c r="V96" s="131"/>
    </row>
    <row r="97" spans="1:22" ht="45" customHeight="1" x14ac:dyDescent="0.25">
      <c r="A97" s="147" t="str">
        <f>'EF Table_detail'!A95</f>
        <v>Windows &amp; doors</v>
      </c>
      <c r="B97" s="148" t="str">
        <f>'EF Table_detail'!B95</f>
        <v>Door - timber solid - generic</v>
      </c>
      <c r="C97" s="149" t="str">
        <f>HYPERLINK("#"&amp;'EF Table_detail'!$C95&amp;"!A1",'EF Table_detail'!$C95)</f>
        <v>Window_doors_generic</v>
      </c>
      <c r="D97" s="150" t="str">
        <f ca="1">'EF Table_detail'!D95</f>
        <v>Represents a generic window or door as named in the material category. Includes key component materials. Square meter rate.</v>
      </c>
      <c r="E97" s="148" t="str">
        <f>'EF Table_detail'!F95</f>
        <v>m²</v>
      </c>
      <c r="F97" s="148" t="str">
        <f>'EF Table_detail'!G95</f>
        <v>Untiered</v>
      </c>
      <c r="G97" s="159">
        <f>'EF Table_detail'!H95</f>
        <v>1</v>
      </c>
      <c r="H97" s="157" t="str" cm="1">
        <f t="array" aca="1" ref="H97" ca="1">IFERROR(print_SF('EF Table_detail'!M95),"")</f>
        <v>117</v>
      </c>
      <c r="I97" s="160" t="str" cm="1">
        <f t="array" aca="1" ref="I97" ca="1">IFERROR(print_SF('EF Table_detail'!I95),"")</f>
        <v>117</v>
      </c>
      <c r="J97" s="151" t="str" cm="1">
        <f t="array" aca="1" ref="J97" ca="1">IFERROR(print_SF('EF Table_detail'!J95),"")</f>
        <v>62.3</v>
      </c>
      <c r="K97" s="162" t="str" cm="1">
        <f t="array" aca="1" ref="K97" ca="1">IFERROR(print_SF('EF Table_detail'!K95),"")</f>
        <v>82.8</v>
      </c>
      <c r="L97" s="157" t="str" cm="1">
        <f t="array" aca="1" ref="L97" ca="1">IFERROR(print_SF('EF Table_detail'!R95),"")</f>
        <v>1.89</v>
      </c>
      <c r="M97" s="163" t="str" cm="1">
        <f t="array" aca="1" ref="M97" ca="1">IFERROR(print_SF('EF Table_detail'!N95),"")</f>
        <v>1.89</v>
      </c>
      <c r="N97" s="152" t="str" cm="1">
        <f t="array" aca="1" ref="N97" ca="1">IFERROR(print_SF('EF Table_detail'!O95),"")</f>
        <v>1.00</v>
      </c>
      <c r="O97" s="166" t="str" cm="1">
        <f t="array" aca="1" ref="O97" ca="1">IFERROR(print_SF('EF Table_detail'!P95),"")</f>
        <v>1.34</v>
      </c>
      <c r="P97" s="165" t="str" cm="1">
        <f t="array" aca="1" ref="P97" ca="1">IFERROR(print_SF('EF Table_detail'!U95),"")</f>
        <v>68.8</v>
      </c>
      <c r="Q97" s="166" t="str" cm="1">
        <f t="array" aca="1" ref="Q97" ca="1">IFERROR(print_SF('EF Table_detail'!W95),"")</f>
        <v>1.11</v>
      </c>
      <c r="R97" s="177" t="str" cm="1">
        <f t="array" aca="1" ref="R97" ca="1">IFERROR(print_SF('EF Table_detail'!Y95),"")</f>
        <v>62.0</v>
      </c>
      <c r="S97" s="178" t="str">
        <f>'EF Table_detail'!Z95</f>
        <v>kg/m²</v>
      </c>
      <c r="T97" s="179" t="str">
        <f ca="1">'EF Table_detail'!AA95</f>
        <v/>
      </c>
      <c r="U97" s="180" t="str">
        <f ca="1">'EF Table_detail'!AB95</f>
        <v>No</v>
      </c>
      <c r="V97" s="131"/>
    </row>
    <row r="98" spans="1:22" ht="45" customHeight="1" x14ac:dyDescent="0.25">
      <c r="A98" s="147" t="str">
        <f>'EF Table_detail'!A96</f>
        <v>Windows &amp; doors</v>
      </c>
      <c r="B98" s="148" t="str">
        <f>'EF Table_detail'!B96</f>
        <v>Door - steel solid - generic</v>
      </c>
      <c r="C98" s="149" t="str">
        <f>HYPERLINK("#"&amp;'EF Table_detail'!$C96&amp;"!A1",'EF Table_detail'!$C96)</f>
        <v>Window_doors_generic</v>
      </c>
      <c r="D98" s="150" t="str">
        <f ca="1">'EF Table_detail'!D96</f>
        <v>Represents a generic window or door as named in the material category. Includes key component materials. Square meter rate.</v>
      </c>
      <c r="E98" s="148" t="str">
        <f>'EF Table_detail'!F96</f>
        <v>m²</v>
      </c>
      <c r="F98" s="148" t="str">
        <f>'EF Table_detail'!G96</f>
        <v>Untiered</v>
      </c>
      <c r="G98" s="159">
        <f>'EF Table_detail'!H96</f>
        <v>1</v>
      </c>
      <c r="H98" s="157" t="str" cm="1">
        <f t="array" aca="1" ref="H98" ca="1">IFERROR(print_SF('EF Table_detail'!M96),"")</f>
        <v>399</v>
      </c>
      <c r="I98" s="160" t="str" cm="1">
        <f t="array" aca="1" ref="I98" ca="1">IFERROR(print_SF('EF Table_detail'!I96),"")</f>
        <v>399</v>
      </c>
      <c r="J98" s="151" t="str" cm="1">
        <f t="array" aca="1" ref="J98" ca="1">IFERROR(print_SF('EF Table_detail'!J96),"")</f>
        <v>271</v>
      </c>
      <c r="K98" s="162" t="str" cm="1">
        <f t="array" aca="1" ref="K98" ca="1">IFERROR(print_SF('EF Table_detail'!K96),"")</f>
        <v>299</v>
      </c>
      <c r="L98" s="157" t="str" cm="1">
        <f t="array" aca="1" ref="L98" ca="1">IFERROR(print_SF('EF Table_detail'!R96),"")</f>
        <v>4.07</v>
      </c>
      <c r="M98" s="163" t="str" cm="1">
        <f t="array" aca="1" ref="M98" ca="1">IFERROR(print_SF('EF Table_detail'!N96),"")</f>
        <v>4.07</v>
      </c>
      <c r="N98" s="152" t="str" cm="1">
        <f t="array" aca="1" ref="N98" ca="1">IFERROR(print_SF('EF Table_detail'!O96),"")</f>
        <v>2.76</v>
      </c>
      <c r="O98" s="166" t="str" cm="1">
        <f t="array" aca="1" ref="O98" ca="1">IFERROR(print_SF('EF Table_detail'!P96),"")</f>
        <v>3.05</v>
      </c>
      <c r="P98" s="165" t="str" cm="1">
        <f t="array" aca="1" ref="P98" ca="1">IFERROR(print_SF('EF Table_detail'!U96),"")</f>
        <v>0</v>
      </c>
      <c r="Q98" s="166" t="str" cm="1">
        <f t="array" aca="1" ref="Q98" ca="1">IFERROR(print_SF('EF Table_detail'!W96),"")</f>
        <v>0</v>
      </c>
      <c r="R98" s="177" t="str" cm="1">
        <f t="array" aca="1" ref="R98" ca="1">IFERROR(print_SF('EF Table_detail'!Y96),"")</f>
        <v>98.0</v>
      </c>
      <c r="S98" s="178" t="str">
        <f>'EF Table_detail'!Z96</f>
        <v>kg/m²</v>
      </c>
      <c r="T98" s="179" t="str">
        <f ca="1">'EF Table_detail'!AA96</f>
        <v/>
      </c>
      <c r="U98" s="180" t="str">
        <f ca="1">'EF Table_detail'!AB96</f>
        <v>No</v>
      </c>
      <c r="V98" s="131"/>
    </row>
    <row r="99" spans="1:22" ht="45" customHeight="1" x14ac:dyDescent="0.25">
      <c r="A99" s="147" t="str">
        <f>'EF Table_detail'!A97</f>
        <v>Windows &amp; doors</v>
      </c>
      <c r="B99" s="148" t="str">
        <f>'EF Table_detail'!B97</f>
        <v>Revolving door - glass, aluminium, steel - generic</v>
      </c>
      <c r="C99" s="149" t="str">
        <f>HYPERLINK("#"&amp;'EF Table_detail'!$C97&amp;"!A1",'EF Table_detail'!$C97)</f>
        <v>Window_doors_generic</v>
      </c>
      <c r="D99" s="150" t="str">
        <f ca="1">'EF Table_detail'!D97</f>
        <v>Represents a generic window or door as named in the material category. Includes key component materials. Square meter rate.</v>
      </c>
      <c r="E99" s="148" t="str">
        <f>'EF Table_detail'!F97</f>
        <v>m²</v>
      </c>
      <c r="F99" s="148" t="str">
        <f>'EF Table_detail'!G97</f>
        <v>Untiered</v>
      </c>
      <c r="G99" s="159">
        <f>'EF Table_detail'!H97</f>
        <v>1</v>
      </c>
      <c r="H99" s="157" t="str" cm="1">
        <f t="array" aca="1" ref="H99" ca="1">IFERROR(print_SF('EF Table_detail'!M97),"")</f>
        <v>1,670</v>
      </c>
      <c r="I99" s="160" t="str" cm="1">
        <f t="array" aca="1" ref="I99" ca="1">IFERROR(print_SF('EF Table_detail'!I97),"")</f>
        <v>1,670</v>
      </c>
      <c r="J99" s="151" t="str" cm="1">
        <f t="array" aca="1" ref="J99" ca="1">IFERROR(print_SF('EF Table_detail'!J97),"")</f>
        <v>360</v>
      </c>
      <c r="K99" s="162" t="str" cm="1">
        <f t="array" aca="1" ref="K99" ca="1">IFERROR(print_SF('EF Table_detail'!K97),"")</f>
        <v>1,010</v>
      </c>
      <c r="L99" s="157" t="str" cm="1">
        <f t="array" aca="1" ref="L99" ca="1">IFERROR(print_SF('EF Table_detail'!R97),"")</f>
        <v>10.2</v>
      </c>
      <c r="M99" s="163" t="str" cm="1">
        <f t="array" aca="1" ref="M99" ca="1">IFERROR(print_SF('EF Table_detail'!N97),"")</f>
        <v>10.2</v>
      </c>
      <c r="N99" s="152" t="str" cm="1">
        <f t="array" aca="1" ref="N99" ca="1">IFERROR(print_SF('EF Table_detail'!O97),"")</f>
        <v>2.20</v>
      </c>
      <c r="O99" s="166" t="str" cm="1">
        <f t="array" aca="1" ref="O99" ca="1">IFERROR(print_SF('EF Table_detail'!P97),"")</f>
        <v>6.19</v>
      </c>
      <c r="P99" s="165" t="str" cm="1">
        <f t="array" aca="1" ref="P99" ca="1">IFERROR(print_SF('EF Table_detail'!U97),"")</f>
        <v>26.3</v>
      </c>
      <c r="Q99" s="166" t="str" cm="1">
        <f t="array" aca="1" ref="Q99" ca="1">IFERROR(print_SF('EF Table_detail'!W97),"")</f>
        <v>0.160</v>
      </c>
      <c r="R99" s="177" t="str" cm="1">
        <f t="array" aca="1" ref="R99" ca="1">IFERROR(print_SF('EF Table_detail'!Y97),"")</f>
        <v>164</v>
      </c>
      <c r="S99" s="178" t="str">
        <f>'EF Table_detail'!Z97</f>
        <v>kg/m²</v>
      </c>
      <c r="T99" s="179" t="str">
        <f ca="1">'EF Table_detail'!AA97</f>
        <v/>
      </c>
      <c r="U99" s="180" t="str">
        <f ca="1">'EF Table_detail'!AB97</f>
        <v>No</v>
      </c>
      <c r="V99" s="131"/>
    </row>
    <row r="100" spans="1:22" ht="45" customHeight="1" x14ac:dyDescent="0.25">
      <c r="A100" s="147" t="str">
        <f>'EF Table_detail'!A98</f>
        <v>Ceilings &amp; walls</v>
      </c>
      <c r="B100" s="148" t="str">
        <f>'EF Table_detail'!B98</f>
        <v>Wall system steel frame - 1 side plasterboard (92mm stud)</v>
      </c>
      <c r="C100" s="149" t="str">
        <f>HYPERLINK("#"&amp;'EF Table_detail'!$C98&amp;"!A1",'EF Table_detail'!$C98)</f>
        <v>Ceiling_Wall_generic</v>
      </c>
      <c r="D100" s="150" t="str">
        <f ca="1">'EF Table_detail'!D98</f>
        <v>Represents a generic wall or ceiling system as named in the material category. Includes framing and sheeting.</v>
      </c>
      <c r="E100" s="148" t="str">
        <f ca="1">'EF Table_detail'!F98</f>
        <v>m²</v>
      </c>
      <c r="F100" s="148" t="str">
        <f ca="1">'EF Table_detail'!G98</f>
        <v>Untiered</v>
      </c>
      <c r="G100" s="159">
        <f ca="1">'EF Table_detail'!H98</f>
        <v>1</v>
      </c>
      <c r="H100" s="157" t="str" cm="1">
        <f t="array" aca="1" ref="H100" ca="1">IFERROR(print_SF('EF Table_detail'!M98),"")</f>
        <v>15.0</v>
      </c>
      <c r="I100" s="160" t="str" cm="1">
        <f t="array" aca="1" ref="I100" ca="1">IFERROR(print_SF('EF Table_detail'!I98),"")</f>
        <v>15.0</v>
      </c>
      <c r="J100" s="151" t="str" cm="1">
        <f t="array" aca="1" ref="J100" ca="1">IFERROR(print_SF('EF Table_detail'!J98),"")</f>
        <v>8.31</v>
      </c>
      <c r="K100" s="162" t="str" cm="1">
        <f t="array" aca="1" ref="K100" ca="1">IFERROR(print_SF('EF Table_detail'!K98),"")</f>
        <v>10.6</v>
      </c>
      <c r="L100" s="157" t="str" cm="1">
        <f t="array" aca="1" ref="L100" ca="1">IFERROR(print_SF('EF Table_detail'!R98),"")</f>
        <v>1.02</v>
      </c>
      <c r="M100" s="163" t="str" cm="1">
        <f t="array" aca="1" ref="M100" ca="1">IFERROR(print_SF('EF Table_detail'!N98),"")</f>
        <v>1.02</v>
      </c>
      <c r="N100" s="152" t="str" cm="1">
        <f t="array" aca="1" ref="N100" ca="1">IFERROR(print_SF('EF Table_detail'!O98),"")</f>
        <v>0.567</v>
      </c>
      <c r="O100" s="166" t="str" cm="1">
        <f t="array" aca="1" ref="O100" ca="1">IFERROR(print_SF('EF Table_detail'!P98),"")</f>
        <v>0.720</v>
      </c>
      <c r="P100" s="165" t="str" cm="1">
        <f t="array" aca="1" ref="P100" ca="1">IFERROR(print_SF('EF Table_detail'!U98),"")</f>
        <v>0.496</v>
      </c>
      <c r="Q100" s="166" t="str" cm="1">
        <f t="array" aca="1" ref="Q100" ca="1">IFERROR(print_SF('EF Table_detail'!W98),"")</f>
        <v>0.0338</v>
      </c>
      <c r="R100" s="177" t="str" cm="1">
        <f t="array" aca="1" ref="R100" ca="1">IFERROR(print_SF('EF Table_detail'!Y98),"")</f>
        <v>14.7</v>
      </c>
      <c r="S100" s="178" t="str">
        <f ca="1">'EF Table_detail'!Z98</f>
        <v>kg/m²</v>
      </c>
      <c r="T100" s="179" t="str">
        <f ca="1">'EF Table_detail'!AA98</f>
        <v/>
      </c>
      <c r="U100" s="180" t="str">
        <f>'EF Table_detail'!AB98</f>
        <v>No</v>
      </c>
    </row>
    <row r="101" spans="1:22" ht="45" customHeight="1" x14ac:dyDescent="0.25">
      <c r="A101" s="147" t="str">
        <f>'EF Table_detail'!A99</f>
        <v>Ceilings &amp; walls</v>
      </c>
      <c r="B101" s="148" t="str">
        <f>'EF Table_detail'!B99</f>
        <v>Wall system steel frame - 2 sides plasterboard (92mm stud)</v>
      </c>
      <c r="C101" s="149" t="str">
        <f>HYPERLINK("#"&amp;'EF Table_detail'!$C99&amp;"!A1",'EF Table_detail'!$C99)</f>
        <v>Ceiling_Wall_generic</v>
      </c>
      <c r="D101" s="150" t="str">
        <f ca="1">'EF Table_detail'!D99</f>
        <v>Represents a generic wall or ceiling system as named in the material category. Includes framing and sheeting.</v>
      </c>
      <c r="E101" s="148" t="str">
        <f ca="1">'EF Table_detail'!F99</f>
        <v>m²</v>
      </c>
      <c r="F101" s="148" t="str">
        <f ca="1">'EF Table_detail'!G99</f>
        <v>Untiered</v>
      </c>
      <c r="G101" s="159">
        <f ca="1">'EF Table_detail'!H99</f>
        <v>1</v>
      </c>
      <c r="H101" s="157" t="str" cm="1">
        <f t="array" aca="1" ref="H101" ca="1">IFERROR(print_SF('EF Table_detail'!M99),"")</f>
        <v>20.8</v>
      </c>
      <c r="I101" s="160" t="str" cm="1">
        <f t="array" aca="1" ref="I101" ca="1">IFERROR(print_SF('EF Table_detail'!I99),"")</f>
        <v>20.8</v>
      </c>
      <c r="J101" s="151" t="str" cm="1">
        <f t="array" aca="1" ref="J101" ca="1">IFERROR(print_SF('EF Table_detail'!J99),"")</f>
        <v>10.5</v>
      </c>
      <c r="K101" s="162" t="str" cm="1">
        <f t="array" aca="1" ref="K101" ca="1">IFERROR(print_SF('EF Table_detail'!K99),"")</f>
        <v>14.3</v>
      </c>
      <c r="L101" s="157" t="str" cm="1">
        <f t="array" aca="1" ref="L101" ca="1">IFERROR(print_SF('EF Table_detail'!R99),"")</f>
        <v>0.770</v>
      </c>
      <c r="M101" s="163" t="str" cm="1">
        <f t="array" aca="1" ref="M101" ca="1">IFERROR(print_SF('EF Table_detail'!N99),"")</f>
        <v>0.770</v>
      </c>
      <c r="N101" s="152" t="str" cm="1">
        <f t="array" aca="1" ref="N101" ca="1">IFERROR(print_SF('EF Table_detail'!O99),"")</f>
        <v>0.387</v>
      </c>
      <c r="O101" s="166" t="str" cm="1">
        <f t="array" aca="1" ref="O101" ca="1">IFERROR(print_SF('EF Table_detail'!P99),"")</f>
        <v>0.530</v>
      </c>
      <c r="P101" s="165" t="str" cm="1">
        <f t="array" aca="1" ref="P101" ca="1">IFERROR(print_SF('EF Table_detail'!U99),"")</f>
        <v>0.991</v>
      </c>
      <c r="Q101" s="166" t="str" cm="1">
        <f t="array" aca="1" ref="Q101" ca="1">IFERROR(print_SF('EF Table_detail'!W99),"")</f>
        <v>0.0366</v>
      </c>
      <c r="R101" s="177" t="str" cm="1">
        <f t="array" aca="1" ref="R101" ca="1">IFERROR(print_SF('EF Table_detail'!Y99),"")</f>
        <v>27.1</v>
      </c>
      <c r="S101" s="178" t="str">
        <f ca="1">'EF Table_detail'!Z99</f>
        <v>kg/m²</v>
      </c>
      <c r="T101" s="179" t="str">
        <f ca="1">'EF Table_detail'!AA99</f>
        <v/>
      </c>
      <c r="U101" s="180" t="str">
        <f>'EF Table_detail'!AB99</f>
        <v>No</v>
      </c>
    </row>
    <row r="102" spans="1:22" ht="45" customHeight="1" x14ac:dyDescent="0.25">
      <c r="A102" s="147" t="str">
        <f>'EF Table_detail'!A100</f>
        <v>Ceilings &amp; walls</v>
      </c>
      <c r="B102" s="148" t="str">
        <f>'EF Table_detail'!B100</f>
        <v>Wall system steel frame - 2 sides plasterboard (150 mm stud)</v>
      </c>
      <c r="C102" s="149" t="str">
        <f>HYPERLINK("#"&amp;'EF Table_detail'!$C100&amp;"!A1",'EF Table_detail'!$C100)</f>
        <v>Ceiling_Wall_generic</v>
      </c>
      <c r="D102" s="150" t="str">
        <f ca="1">'EF Table_detail'!D100</f>
        <v>Represents a generic wall or ceiling system as named in the material category. Includes framing and sheeting.</v>
      </c>
      <c r="E102" s="148" t="str">
        <f ca="1">'EF Table_detail'!F100</f>
        <v>m²</v>
      </c>
      <c r="F102" s="148" t="str">
        <f ca="1">'EF Table_detail'!G100</f>
        <v>Untiered</v>
      </c>
      <c r="G102" s="159">
        <f ca="1">'EF Table_detail'!H100</f>
        <v>1</v>
      </c>
      <c r="H102" s="157" t="str" cm="1">
        <f t="array" aca="1" ref="H102" ca="1">IFERROR(print_SF('EF Table_detail'!M100),"")</f>
        <v>26.6</v>
      </c>
      <c r="I102" s="160" t="str" cm="1">
        <f t="array" aca="1" ref="I102" ca="1">IFERROR(print_SF('EF Table_detail'!I100),"")</f>
        <v>26.6</v>
      </c>
      <c r="J102" s="151" t="str" cm="1">
        <f t="array" aca="1" ref="J102" ca="1">IFERROR(print_SF('EF Table_detail'!J100),"")</f>
        <v>14.3</v>
      </c>
      <c r="K102" s="162" t="str" cm="1">
        <f t="array" aca="1" ref="K102" ca="1">IFERROR(print_SF('EF Table_detail'!K100),"")</f>
        <v>18.6</v>
      </c>
      <c r="L102" s="157" t="str" cm="1">
        <f t="array" aca="1" ref="L102" ca="1">IFERROR(print_SF('EF Table_detail'!R100),"")</f>
        <v>0.934</v>
      </c>
      <c r="M102" s="163" t="str" cm="1">
        <f t="array" aca="1" ref="M102" ca="1">IFERROR(print_SF('EF Table_detail'!N100),"")</f>
        <v>0.934</v>
      </c>
      <c r="N102" s="152" t="str" cm="1">
        <f t="array" aca="1" ref="N102" ca="1">IFERROR(print_SF('EF Table_detail'!O100),"")</f>
        <v>0.504</v>
      </c>
      <c r="O102" s="166" t="str" cm="1">
        <f t="array" aca="1" ref="O102" ca="1">IFERROR(print_SF('EF Table_detail'!P100),"")</f>
        <v>0.654</v>
      </c>
      <c r="P102" s="165" t="str" cm="1">
        <f t="array" aca="1" ref="P102" ca="1">IFERROR(print_SF('EF Table_detail'!U100),"")</f>
        <v>0.991</v>
      </c>
      <c r="Q102" s="166" t="str" cm="1">
        <f t="array" aca="1" ref="Q102" ca="1">IFERROR(print_SF('EF Table_detail'!W100),"")</f>
        <v>0.0348</v>
      </c>
      <c r="R102" s="177" t="str" cm="1">
        <f t="array" aca="1" ref="R102" ca="1">IFERROR(print_SF('EF Table_detail'!Y100),"")</f>
        <v>28.5</v>
      </c>
      <c r="S102" s="178" t="str">
        <f ca="1">'EF Table_detail'!Z100</f>
        <v>kg/m²</v>
      </c>
      <c r="T102" s="179" t="str">
        <f ca="1">'EF Table_detail'!AA100</f>
        <v/>
      </c>
      <c r="U102" s="180" t="str">
        <f>'EF Table_detail'!AB100</f>
        <v>No</v>
      </c>
    </row>
    <row r="103" spans="1:22" ht="45" customHeight="1" x14ac:dyDescent="0.25">
      <c r="A103" s="147" t="str">
        <f>'EF Table_detail'!A101</f>
        <v>Ceilings &amp; walls</v>
      </c>
      <c r="B103" s="148" t="str">
        <f>'EF Table_detail'!B101</f>
        <v>Wall system steel frame - 1 side plasterboard (150 mm stud)</v>
      </c>
      <c r="C103" s="149" t="str">
        <f>HYPERLINK("#"&amp;'EF Table_detail'!$C101&amp;"!A1",'EF Table_detail'!$C101)</f>
        <v>Ceiling_Wall_generic</v>
      </c>
      <c r="D103" s="150" t="str">
        <f ca="1">'EF Table_detail'!D101</f>
        <v>Represents a generic wall or ceiling system as named in the material category. Includes framing and sheeting.</v>
      </c>
      <c r="E103" s="148" t="str">
        <f ca="1">'EF Table_detail'!F101</f>
        <v>m²</v>
      </c>
      <c r="F103" s="148" t="str">
        <f ca="1">'EF Table_detail'!G101</f>
        <v>Untiered</v>
      </c>
      <c r="G103" s="159">
        <f ca="1">'EF Table_detail'!H101</f>
        <v>1</v>
      </c>
      <c r="H103" s="157" t="str" cm="1">
        <f t="array" aca="1" ref="H103" ca="1">IFERROR(print_SF('EF Table_detail'!M101),"")</f>
        <v>20.7</v>
      </c>
      <c r="I103" s="160" t="str" cm="1">
        <f t="array" aca="1" ref="I103" ca="1">IFERROR(print_SF('EF Table_detail'!I101),"")</f>
        <v>20.7</v>
      </c>
      <c r="J103" s="151" t="str" cm="1">
        <f t="array" aca="1" ref="J103" ca="1">IFERROR(print_SF('EF Table_detail'!J101),"")</f>
        <v>12.2</v>
      </c>
      <c r="K103" s="162" t="str" cm="1">
        <f t="array" aca="1" ref="K103" ca="1">IFERROR(print_SF('EF Table_detail'!K101),"")</f>
        <v>14.8</v>
      </c>
      <c r="L103" s="157" t="str" cm="1">
        <f t="array" aca="1" ref="L103" ca="1">IFERROR(print_SF('EF Table_detail'!R101),"")</f>
        <v>1.29</v>
      </c>
      <c r="M103" s="163" t="str" cm="1">
        <f t="array" aca="1" ref="M103" ca="1">IFERROR(print_SF('EF Table_detail'!N101),"")</f>
        <v>1.29</v>
      </c>
      <c r="N103" s="152" t="str" cm="1">
        <f t="array" aca="1" ref="N103" ca="1">IFERROR(print_SF('EF Table_detail'!O101),"")</f>
        <v>0.758</v>
      </c>
      <c r="O103" s="166" t="str" cm="1">
        <f t="array" aca="1" ref="O103" ca="1">IFERROR(print_SF('EF Table_detail'!P101),"")</f>
        <v>0.923</v>
      </c>
      <c r="P103" s="165" t="str" cm="1">
        <f t="array" aca="1" ref="P103" ca="1">IFERROR(print_SF('EF Table_detail'!U101),"")</f>
        <v>0.496</v>
      </c>
      <c r="Q103" s="166" t="str" cm="1">
        <f t="array" aca="1" ref="Q103" ca="1">IFERROR(print_SF('EF Table_detail'!W101),"")</f>
        <v>0.0308</v>
      </c>
      <c r="R103" s="177" t="str" cm="1">
        <f t="array" aca="1" ref="R103" ca="1">IFERROR(print_SF('EF Table_detail'!Y101),"")</f>
        <v>16.1</v>
      </c>
      <c r="S103" s="178" t="str">
        <f ca="1">'EF Table_detail'!Z101</f>
        <v>kg/m²</v>
      </c>
      <c r="T103" s="179" t="str">
        <f ca="1">'EF Table_detail'!AA101</f>
        <v/>
      </c>
      <c r="U103" s="180" t="str">
        <f>'EF Table_detail'!AB101</f>
        <v>No</v>
      </c>
    </row>
    <row r="104" spans="1:22" ht="45" customHeight="1" x14ac:dyDescent="0.25">
      <c r="A104" s="147" t="str">
        <f>'EF Table_detail'!A102</f>
        <v>Ceilings &amp; walls</v>
      </c>
      <c r="B104" s="148" t="str">
        <f>'EF Table_detail'!B102</f>
        <v xml:space="preserve">Wall system timber frame - 2 sides plasterboard </v>
      </c>
      <c r="C104" s="149" t="str">
        <f>HYPERLINK("#"&amp;'EF Table_detail'!$C102&amp;"!A1",'EF Table_detail'!$C102)</f>
        <v>Ceiling_Wall_generic</v>
      </c>
      <c r="D104" s="150" t="str">
        <f ca="1">'EF Table_detail'!D102</f>
        <v>Represents a generic wall or ceiling system as named in the material category. Includes framing and sheeting.</v>
      </c>
      <c r="E104" s="148" t="str">
        <f ca="1">'EF Table_detail'!F102</f>
        <v>m²</v>
      </c>
      <c r="F104" s="148" t="str">
        <f ca="1">'EF Table_detail'!G102</f>
        <v>Untiered</v>
      </c>
      <c r="G104" s="159">
        <f ca="1">'EF Table_detail'!H102</f>
        <v>1</v>
      </c>
      <c r="H104" s="157" t="str" cm="1">
        <f t="array" aca="1" ref="H104" ca="1">IFERROR(print_SF('EF Table_detail'!M102),"")</f>
        <v>15.0</v>
      </c>
      <c r="I104" s="160" t="str" cm="1">
        <f t="array" aca="1" ref="I104" ca="1">IFERROR(print_SF('EF Table_detail'!I102),"")</f>
        <v>15.0</v>
      </c>
      <c r="J104" s="151" t="str" cm="1">
        <f t="array" aca="1" ref="J104" ca="1">IFERROR(print_SF('EF Table_detail'!J102),"")</f>
        <v>5.40</v>
      </c>
      <c r="K104" s="162" t="str" cm="1">
        <f t="array" aca="1" ref="K104" ca="1">IFERROR(print_SF('EF Table_detail'!K102),"")</f>
        <v>9.44</v>
      </c>
      <c r="L104" s="157" t="str" cm="1">
        <f t="array" aca="1" ref="L104" ca="1">IFERROR(print_SF('EF Table_detail'!R102),"")</f>
        <v>0.500</v>
      </c>
      <c r="M104" s="163" t="str" cm="1">
        <f t="array" aca="1" ref="M104" ca="1">IFERROR(print_SF('EF Table_detail'!N102),"")</f>
        <v>0.500</v>
      </c>
      <c r="N104" s="152" t="str" cm="1">
        <f t="array" aca="1" ref="N104" ca="1">IFERROR(print_SF('EF Table_detail'!O102),"")</f>
        <v>0.180</v>
      </c>
      <c r="O104" s="166" t="str" cm="1">
        <f t="array" aca="1" ref="O104" ca="1">IFERROR(print_SF('EF Table_detail'!P102),"")</f>
        <v>0.315</v>
      </c>
      <c r="P104" s="165" t="str" cm="1">
        <f t="array" aca="1" ref="P104" ca="1">IFERROR(print_SF('EF Table_detail'!U102),"")</f>
        <v>9.43</v>
      </c>
      <c r="Q104" s="166" t="str" cm="1">
        <f t="array" aca="1" ref="Q104" ca="1">IFERROR(print_SF('EF Table_detail'!W102),"")</f>
        <v>0.315</v>
      </c>
      <c r="R104" s="177" t="str" cm="1">
        <f t="array" aca="1" ref="R104" ca="1">IFERROR(print_SF('EF Table_detail'!Y102),"")</f>
        <v>30.0</v>
      </c>
      <c r="S104" s="178" t="str">
        <f ca="1">'EF Table_detail'!Z102</f>
        <v>kg/m²</v>
      </c>
      <c r="T104" s="179" t="str">
        <f ca="1">'EF Table_detail'!AA102</f>
        <v/>
      </c>
      <c r="U104" s="180" t="str">
        <f>'EF Table_detail'!AB102</f>
        <v>No</v>
      </c>
    </row>
    <row r="105" spans="1:22" ht="45" customHeight="1" x14ac:dyDescent="0.25">
      <c r="A105" s="147" t="str">
        <f>'EF Table_detail'!A103</f>
        <v>Ceilings &amp; walls</v>
      </c>
      <c r="B105" s="148" t="str">
        <f>'EF Table_detail'!B103</f>
        <v xml:space="preserve">Wall system timber frame - 1 side plasterboard </v>
      </c>
      <c r="C105" s="149" t="str">
        <f>HYPERLINK("#"&amp;'EF Table_detail'!$C103&amp;"!A1",'EF Table_detail'!$C103)</f>
        <v>Ceiling_Wall_generic</v>
      </c>
      <c r="D105" s="150" t="str">
        <f ca="1">'EF Table_detail'!D103</f>
        <v>Represents a generic wall or ceiling system as named in the material category. Includes framing and sheeting.</v>
      </c>
      <c r="E105" s="148" t="str">
        <f ca="1">'EF Table_detail'!F103</f>
        <v>m²</v>
      </c>
      <c r="F105" s="148" t="str">
        <f ca="1">'EF Table_detail'!G103</f>
        <v>Untiered</v>
      </c>
      <c r="G105" s="159">
        <f ca="1">'EF Table_detail'!H103</f>
        <v>1</v>
      </c>
      <c r="H105" s="157" t="str" cm="1">
        <f t="array" aca="1" ref="H105" ca="1">IFERROR(print_SF('EF Table_detail'!M103),"")</f>
        <v>9.12</v>
      </c>
      <c r="I105" s="160" t="str" cm="1">
        <f t="array" aca="1" ref="I105" ca="1">IFERROR(print_SF('EF Table_detail'!I103),"")</f>
        <v>9.12</v>
      </c>
      <c r="J105" s="151" t="str" cm="1">
        <f t="array" aca="1" ref="J105" ca="1">IFERROR(print_SF('EF Table_detail'!J103),"")</f>
        <v>3.23</v>
      </c>
      <c r="K105" s="162" t="str" cm="1">
        <f t="array" aca="1" ref="K105" ca="1">IFERROR(print_SF('EF Table_detail'!K103),"")</f>
        <v>5.66</v>
      </c>
      <c r="L105" s="157" t="str" cm="1">
        <f t="array" aca="1" ref="L105" ca="1">IFERROR(print_SF('EF Table_detail'!R103),"")</f>
        <v>0.520</v>
      </c>
      <c r="M105" s="163" t="str" cm="1">
        <f t="array" aca="1" ref="M105" ca="1">IFERROR(print_SF('EF Table_detail'!N103),"")</f>
        <v>0.520</v>
      </c>
      <c r="N105" s="152" t="str" cm="1">
        <f t="array" aca="1" ref="N105" ca="1">IFERROR(print_SF('EF Table_detail'!O103),"")</f>
        <v>0.184</v>
      </c>
      <c r="O105" s="166" t="str" cm="1">
        <f t="array" aca="1" ref="O105" ca="1">IFERROR(print_SF('EF Table_detail'!P103),"")</f>
        <v>0.322</v>
      </c>
      <c r="P105" s="165" t="str" cm="1">
        <f t="array" aca="1" ref="P105" ca="1">IFERROR(print_SF('EF Table_detail'!U103),"")</f>
        <v>8.94</v>
      </c>
      <c r="Q105" s="166" t="str" cm="1">
        <f t="array" aca="1" ref="Q105" ca="1">IFERROR(print_SF('EF Table_detail'!W103),"")</f>
        <v>0.509</v>
      </c>
      <c r="R105" s="177" t="str" cm="1">
        <f t="array" aca="1" ref="R105" ca="1">IFERROR(print_SF('EF Table_detail'!Y103),"")</f>
        <v>17.6</v>
      </c>
      <c r="S105" s="178" t="str">
        <f ca="1">'EF Table_detail'!Z103</f>
        <v>kg/m²</v>
      </c>
      <c r="T105" s="179" t="str">
        <f ca="1">'EF Table_detail'!AA103</f>
        <v/>
      </c>
      <c r="U105" s="180" t="str">
        <f>'EF Table_detail'!AB103</f>
        <v>No</v>
      </c>
    </row>
    <row r="106" spans="1:22" ht="45" customHeight="1" x14ac:dyDescent="0.25">
      <c r="A106" s="147" t="str">
        <f>'EF Table_detail'!A104</f>
        <v>Ceilings &amp; walls</v>
      </c>
      <c r="B106" s="148" t="str">
        <f>'EF Table_detail'!B104</f>
        <v xml:space="preserve">AAC and steel based system - generic </v>
      </c>
      <c r="C106" s="149" t="str">
        <f>HYPERLINK("#"&amp;'EF Table_detail'!$C104&amp;"!A1",'EF Table_detail'!$C104)</f>
        <v>Ceiling_Wall_generic</v>
      </c>
      <c r="D106" s="150" t="str">
        <f ca="1">'EF Table_detail'!D104</f>
        <v>Represents a generic wall or ceiling system as named in the material category. Includes framing and sheeting.</v>
      </c>
      <c r="E106" s="148" t="str">
        <f ca="1">'EF Table_detail'!F104</f>
        <v>m²</v>
      </c>
      <c r="F106" s="148" t="str">
        <f ca="1">'EF Table_detail'!G104</f>
        <v>Untiered</v>
      </c>
      <c r="G106" s="159">
        <f ca="1">'EF Table_detail'!H104</f>
        <v>1</v>
      </c>
      <c r="H106" s="157" t="str" cm="1">
        <f t="array" aca="1" ref="H106" ca="1">IFERROR(print_SF('EF Table_detail'!M104),"")</f>
        <v>63.4</v>
      </c>
      <c r="I106" s="160" t="str" cm="1">
        <f t="array" aca="1" ref="I106" ca="1">IFERROR(print_SF('EF Table_detail'!I104),"")</f>
        <v>63.4</v>
      </c>
      <c r="J106" s="151" t="str" cm="1">
        <f t="array" aca="1" ref="J106" ca="1">IFERROR(print_SF('EF Table_detail'!J104),"")</f>
        <v>39.2</v>
      </c>
      <c r="K106" s="162" t="str" cm="1">
        <f t="array" aca="1" ref="K106" ca="1">IFERROR(print_SF('EF Table_detail'!K104),"")</f>
        <v>45.6</v>
      </c>
      <c r="L106" s="157" t="str" cm="1">
        <f t="array" aca="1" ref="L106" ca="1">IFERROR(print_SF('EF Table_detail'!R104),"")</f>
        <v>0.966</v>
      </c>
      <c r="M106" s="163" t="str" cm="1">
        <f t="array" aca="1" ref="M106" ca="1">IFERROR(print_SF('EF Table_detail'!N104),"")</f>
        <v>0.966</v>
      </c>
      <c r="N106" s="152" t="str" cm="1">
        <f t="array" aca="1" ref="N106" ca="1">IFERROR(print_SF('EF Table_detail'!O104),"")</f>
        <v>0.597</v>
      </c>
      <c r="O106" s="166" t="str" cm="1">
        <f t="array" aca="1" ref="O106" ca="1">IFERROR(print_SF('EF Table_detail'!P104),"")</f>
        <v>0.695</v>
      </c>
      <c r="P106" s="165" t="str" cm="1">
        <f t="array" aca="1" ref="P106" ca="1">IFERROR(print_SF('EF Table_detail'!U104),"")</f>
        <v>0</v>
      </c>
      <c r="Q106" s="166" t="str" cm="1">
        <f t="array" aca="1" ref="Q106" ca="1">IFERROR(print_SF('EF Table_detail'!W104),"")</f>
        <v>0</v>
      </c>
      <c r="R106" s="177" t="str" cm="1">
        <f t="array" aca="1" ref="R106" ca="1">IFERROR(print_SF('EF Table_detail'!Y104),"")</f>
        <v>65.6</v>
      </c>
      <c r="S106" s="178" t="str">
        <f ca="1">'EF Table_detail'!Z104</f>
        <v>kg/m²</v>
      </c>
      <c r="T106" s="179" t="str">
        <f ca="1">'EF Table_detail'!AA104</f>
        <v/>
      </c>
      <c r="U106" s="180" t="str">
        <f>'EF Table_detail'!AB104</f>
        <v>No</v>
      </c>
    </row>
    <row r="107" spans="1:22" ht="45" customHeight="1" x14ac:dyDescent="0.25">
      <c r="A107" s="147" t="str">
        <f>'EF Table_detail'!A105</f>
        <v>Ceilings &amp; walls</v>
      </c>
      <c r="B107" s="148" t="str">
        <f>'EF Table_detail'!B105</f>
        <v>Ceiling system steel frame suspended (plasterboard)</v>
      </c>
      <c r="C107" s="149" t="str">
        <f>HYPERLINK("#"&amp;'EF Table_detail'!$C105&amp;"!A1",'EF Table_detail'!$C105)</f>
        <v>Ceiling_Wall_generic</v>
      </c>
      <c r="D107" s="150" t="str">
        <f ca="1">'EF Table_detail'!D105</f>
        <v>Represents a generic wall or ceiling system as named in the material category. Includes framing and sheeting.</v>
      </c>
      <c r="E107" s="148" t="str">
        <f ca="1">'EF Table_detail'!F105</f>
        <v>m²</v>
      </c>
      <c r="F107" s="148" t="str">
        <f ca="1">'EF Table_detail'!G105</f>
        <v>Untiered</v>
      </c>
      <c r="G107" s="159">
        <f ca="1">'EF Table_detail'!H105</f>
        <v>1</v>
      </c>
      <c r="H107" s="157" t="str" cm="1">
        <f t="array" aca="1" ref="H107" ca="1">IFERROR(print_SF('EF Table_detail'!M105),"")</f>
        <v>10.7</v>
      </c>
      <c r="I107" s="160" t="str" cm="1">
        <f t="array" aca="1" ref="I107" ca="1">IFERROR(print_SF('EF Table_detail'!I105),"")</f>
        <v>10.7</v>
      </c>
      <c r="J107" s="151" t="str" cm="1">
        <f t="array" aca="1" ref="J107" ca="1">IFERROR(print_SF('EF Table_detail'!J105),"")</f>
        <v>5.44</v>
      </c>
      <c r="K107" s="162" t="str" cm="1">
        <f t="array" aca="1" ref="K107" ca="1">IFERROR(print_SF('EF Table_detail'!K105),"")</f>
        <v>7.39</v>
      </c>
      <c r="L107" s="157" t="str" cm="1">
        <f t="array" aca="1" ref="L107" ca="1">IFERROR(print_SF('EF Table_detail'!R105),"")</f>
        <v>0.788</v>
      </c>
      <c r="M107" s="163" t="str" cm="1">
        <f t="array" aca="1" ref="M107" ca="1">IFERROR(print_SF('EF Table_detail'!N105),"")</f>
        <v>0.788</v>
      </c>
      <c r="N107" s="152" t="str" cm="1">
        <f t="array" aca="1" ref="N107" ca="1">IFERROR(print_SF('EF Table_detail'!O105),"")</f>
        <v>0.400</v>
      </c>
      <c r="O107" s="166" t="str" cm="1">
        <f t="array" aca="1" ref="O107" ca="1">IFERROR(print_SF('EF Table_detail'!P105),"")</f>
        <v>0.543</v>
      </c>
      <c r="P107" s="165" t="str" cm="1">
        <f t="array" aca="1" ref="P107" ca="1">IFERROR(print_SF('EF Table_detail'!U105),"")</f>
        <v>0.496</v>
      </c>
      <c r="Q107" s="166" t="str" cm="1">
        <f t="array" aca="1" ref="Q107" ca="1">IFERROR(print_SF('EF Table_detail'!W105),"")</f>
        <v>0.0364</v>
      </c>
      <c r="R107" s="177" t="str" cm="1">
        <f t="array" aca="1" ref="R107" ca="1">IFERROR(print_SF('EF Table_detail'!Y105),"")</f>
        <v>13.6</v>
      </c>
      <c r="S107" s="178" t="str">
        <f ca="1">'EF Table_detail'!Z105</f>
        <v>kg/m²</v>
      </c>
      <c r="T107" s="179" t="str">
        <f ca="1">'EF Table_detail'!AA105</f>
        <v/>
      </c>
      <c r="U107" s="180" t="str">
        <f>'EF Table_detail'!AB105</f>
        <v>No</v>
      </c>
    </row>
    <row r="108" spans="1:22" ht="45" customHeight="1" x14ac:dyDescent="0.25">
      <c r="A108" s="147" t="str">
        <f>'EF Table_detail'!A106</f>
        <v>Ceilings &amp; walls</v>
      </c>
      <c r="B108" s="148" t="str">
        <f>'EF Table_detail'!B106</f>
        <v>Ceiling system steel frame suspended (fibre cement)</v>
      </c>
      <c r="C108" s="149" t="str">
        <f>HYPERLINK("#"&amp;'EF Table_detail'!$C106&amp;"!A1",'EF Table_detail'!$C106)</f>
        <v>Ceiling_Wall_generic</v>
      </c>
      <c r="D108" s="150" t="str">
        <f ca="1">'EF Table_detail'!D106</f>
        <v>Represents a generic wall or ceiling system as named in the material category. Includes framing and sheeting.</v>
      </c>
      <c r="E108" s="148" t="str">
        <f ca="1">'EF Table_detail'!F106</f>
        <v>m²</v>
      </c>
      <c r="F108" s="148" t="str">
        <f ca="1">'EF Table_detail'!G106</f>
        <v>Untiered</v>
      </c>
      <c r="G108" s="159">
        <f ca="1">'EF Table_detail'!H106</f>
        <v>1</v>
      </c>
      <c r="H108" s="157" t="str" cm="1">
        <f t="array" aca="1" ref="H108" ca="1">IFERROR(print_SF('EF Table_detail'!M106),"")</f>
        <v>19.9</v>
      </c>
      <c r="I108" s="160" t="str" cm="1">
        <f t="array" aca="1" ref="I108" ca="1">IFERROR(print_SF('EF Table_detail'!I106),"")</f>
        <v>19.9</v>
      </c>
      <c r="J108" s="151" t="str" cm="1">
        <f t="array" aca="1" ref="J108" ca="1">IFERROR(print_SF('EF Table_detail'!J106),"")</f>
        <v>6.59</v>
      </c>
      <c r="K108" s="162" t="str" cm="1">
        <f t="array" aca="1" ref="K108" ca="1">IFERROR(print_SF('EF Table_detail'!K106),"")</f>
        <v>13.1</v>
      </c>
      <c r="L108" s="157" t="str" cm="1">
        <f t="array" aca="1" ref="L108" ca="1">IFERROR(print_SF('EF Table_detail'!R106),"")</f>
        <v>1.66</v>
      </c>
      <c r="M108" s="163" t="str" cm="1">
        <f t="array" aca="1" ref="M108" ca="1">IFERROR(print_SF('EF Table_detail'!N106),"")</f>
        <v>1.66</v>
      </c>
      <c r="N108" s="152" t="str" cm="1">
        <f t="array" aca="1" ref="N108" ca="1">IFERROR(print_SF('EF Table_detail'!O106),"")</f>
        <v>0.549</v>
      </c>
      <c r="O108" s="166" t="str" cm="1">
        <f t="array" aca="1" ref="O108" ca="1">IFERROR(print_SF('EF Table_detail'!P106),"")</f>
        <v>1.10</v>
      </c>
      <c r="P108" s="165" t="str" cm="1">
        <f t="array" aca="1" ref="P108" ca="1">IFERROR(print_SF('EF Table_detail'!U106),"")</f>
        <v>0.0234</v>
      </c>
      <c r="Q108" s="166" t="str" cm="1">
        <f t="array" aca="1" ref="Q108" ca="1">IFERROR(print_SF('EF Table_detail'!W106),"")</f>
        <v>0.00195</v>
      </c>
      <c r="R108" s="177" t="str" cm="1">
        <f t="array" aca="1" ref="R108" ca="1">IFERROR(print_SF('EF Table_detail'!Y106),"")</f>
        <v>12.0</v>
      </c>
      <c r="S108" s="178" t="str">
        <f ca="1">'EF Table_detail'!Z106</f>
        <v>kg/m²</v>
      </c>
      <c r="T108" s="179" t="str">
        <f ca="1">'EF Table_detail'!AA106</f>
        <v/>
      </c>
      <c r="U108" s="180" t="str">
        <f>'EF Table_detail'!AB106</f>
        <v>No</v>
      </c>
    </row>
    <row r="109" spans="1:22" ht="45" customHeight="1" x14ac:dyDescent="0.25">
      <c r="A109" s="147" t="str">
        <f>'EF Table_detail'!A107</f>
        <v>Ceilings &amp; walls</v>
      </c>
      <c r="B109" s="148" t="str">
        <f>'EF Table_detail'!B107</f>
        <v>Ceiling system steel frame suspended (mineral tile)</v>
      </c>
      <c r="C109" s="149" t="str">
        <f>HYPERLINK("#"&amp;'EF Table_detail'!$C107&amp;"!A1",'EF Table_detail'!$C107)</f>
        <v>Ceiling_Wall_generic</v>
      </c>
      <c r="D109" s="150" t="str">
        <f ca="1">'EF Table_detail'!D107</f>
        <v>Represents a generic wall or ceiling system as named in the material category. Includes framing and sheeting.</v>
      </c>
      <c r="E109" s="148" t="str">
        <f ca="1">'EF Table_detail'!F107</f>
        <v>m²</v>
      </c>
      <c r="F109" s="148" t="str">
        <f ca="1">'EF Table_detail'!G107</f>
        <v>Untiered</v>
      </c>
      <c r="G109" s="159">
        <f ca="1">'EF Table_detail'!H107</f>
        <v>1</v>
      </c>
      <c r="H109" s="157" t="str" cm="1">
        <f t="array" aca="1" ref="H109" ca="1">IFERROR(print_SF('EF Table_detail'!M107),"")</f>
        <v>12.2</v>
      </c>
      <c r="I109" s="160" t="str" cm="1">
        <f t="array" aca="1" ref="I109" ca="1">IFERROR(print_SF('EF Table_detail'!I107),"")</f>
        <v>12.2</v>
      </c>
      <c r="J109" s="151" t="str" cm="1">
        <f t="array" aca="1" ref="J109" ca="1">IFERROR(print_SF('EF Table_detail'!J107),"")</f>
        <v>4.20</v>
      </c>
      <c r="K109" s="162" t="str" cm="1">
        <f t="array" aca="1" ref="K109" ca="1">IFERROR(print_SF('EF Table_detail'!K107),"")</f>
        <v>8.08</v>
      </c>
      <c r="L109" s="157" t="str" cm="1">
        <f t="array" aca="1" ref="L109" ca="1">IFERROR(print_SF('EF Table_detail'!R107),"")</f>
        <v>1.94</v>
      </c>
      <c r="M109" s="163" t="str" cm="1">
        <f t="array" aca="1" ref="M109" ca="1">IFERROR(print_SF('EF Table_detail'!N107),"")</f>
        <v>1.94</v>
      </c>
      <c r="N109" s="152" t="str" cm="1">
        <f t="array" aca="1" ref="N109" ca="1">IFERROR(print_SF('EF Table_detail'!O107),"")</f>
        <v>0.666</v>
      </c>
      <c r="O109" s="166" t="str" cm="1">
        <f t="array" aca="1" ref="O109" ca="1">IFERROR(print_SF('EF Table_detail'!P107),"")</f>
        <v>1.28</v>
      </c>
      <c r="P109" s="165" t="str" cm="1">
        <f t="array" aca="1" ref="P109" ca="1">IFERROR(print_SF('EF Table_detail'!U107),"")</f>
        <v>0</v>
      </c>
      <c r="Q109" s="166" t="str" cm="1">
        <f t="array" aca="1" ref="Q109" ca="1">IFERROR(print_SF('EF Table_detail'!W107),"")</f>
        <v>0</v>
      </c>
      <c r="R109" s="177" t="str" cm="1">
        <f t="array" aca="1" ref="R109" ca="1">IFERROR(print_SF('EF Table_detail'!Y107),"")</f>
        <v>6.30</v>
      </c>
      <c r="S109" s="178" t="str">
        <f ca="1">'EF Table_detail'!Z107</f>
        <v>kg/m²</v>
      </c>
      <c r="T109" s="179" t="str">
        <f ca="1">'EF Table_detail'!AA107</f>
        <v/>
      </c>
      <c r="U109" s="180" t="str">
        <f>'EF Table_detail'!AB107</f>
        <v>No</v>
      </c>
    </row>
    <row r="110" spans="1:22" ht="45" customHeight="1" x14ac:dyDescent="0.25">
      <c r="A110" s="147" t="str">
        <f>'EF Table_detail'!A108</f>
        <v>Ceilings &amp; walls</v>
      </c>
      <c r="B110" s="150" t="str">
        <f>'EF Table_detail'!B108</f>
        <v>Ceiling system aluminum frame suspended (powder coated aluminium)</v>
      </c>
      <c r="C110" s="149" t="str">
        <f>HYPERLINK("#"&amp;'EF Table_detail'!$C108&amp;"!A1",'EF Table_detail'!$C108)</f>
        <v>Ceiling_Wall_generic</v>
      </c>
      <c r="D110" s="150" t="str">
        <f ca="1">'EF Table_detail'!D108</f>
        <v>Represents a generic wall or ceiling system as named in the material category. Includes framing and sheeting.</v>
      </c>
      <c r="E110" s="148" t="str">
        <f ca="1">'EF Table_detail'!F108</f>
        <v>m²</v>
      </c>
      <c r="F110" s="148" t="str">
        <f ca="1">'EF Table_detail'!G108</f>
        <v>Untiered</v>
      </c>
      <c r="G110" s="159">
        <f ca="1">'EF Table_detail'!H108</f>
        <v>1</v>
      </c>
      <c r="H110" s="157" t="str" cm="1">
        <f t="array" aca="1" ref="H110" ca="1">IFERROR(print_SF('EF Table_detail'!M108),"")</f>
        <v>259</v>
      </c>
      <c r="I110" s="160" t="str" cm="1">
        <f t="array" aca="1" ref="I110" ca="1">IFERROR(print_SF('EF Table_detail'!I108),"")</f>
        <v>259</v>
      </c>
      <c r="J110" s="151" t="str" cm="1">
        <f t="array" aca="1" ref="J110" ca="1">IFERROR(print_SF('EF Table_detail'!J108),"")</f>
        <v>41.7</v>
      </c>
      <c r="K110" s="162" t="str" cm="1">
        <f t="array" aca="1" ref="K110" ca="1">IFERROR(print_SF('EF Table_detail'!K108),"")</f>
        <v>148</v>
      </c>
      <c r="L110" s="157" t="str" cm="1">
        <f t="array" aca="1" ref="L110" ca="1">IFERROR(print_SF('EF Table_detail'!R108),"")</f>
        <v>32.0</v>
      </c>
      <c r="M110" s="163" t="str" cm="1">
        <f t="array" aca="1" ref="M110" ca="1">IFERROR(print_SF('EF Table_detail'!N108),"")</f>
        <v>32.0</v>
      </c>
      <c r="N110" s="152" t="str" cm="1">
        <f t="array" aca="1" ref="N110" ca="1">IFERROR(print_SF('EF Table_detail'!O108),"")</f>
        <v>5.15</v>
      </c>
      <c r="O110" s="166" t="str" cm="1">
        <f t="array" aca="1" ref="O110" ca="1">IFERROR(print_SF('EF Table_detail'!P108),"")</f>
        <v>18.2</v>
      </c>
      <c r="P110" s="165" t="str" cm="1">
        <f t="array" aca="1" ref="P110" ca="1">IFERROR(print_SF('EF Table_detail'!U108),"")</f>
        <v>0</v>
      </c>
      <c r="Q110" s="166" t="str" cm="1">
        <f t="array" aca="1" ref="Q110" ca="1">IFERROR(print_SF('EF Table_detail'!W108),"")</f>
        <v>0</v>
      </c>
      <c r="R110" s="177" t="str" cm="1">
        <f t="array" aca="1" ref="R110" ca="1">IFERROR(print_SF('EF Table_detail'!Y108),"")</f>
        <v>8.10</v>
      </c>
      <c r="S110" s="178" t="str">
        <f ca="1">'EF Table_detail'!Z108</f>
        <v>kg/m²</v>
      </c>
      <c r="T110" s="179" t="str">
        <f ca="1">'EF Table_detail'!AA108</f>
        <v/>
      </c>
      <c r="U110" s="180" t="str">
        <f>'EF Table_detail'!AB108</f>
        <v>No</v>
      </c>
    </row>
    <row r="111" spans="1:22" ht="45" customHeight="1" x14ac:dyDescent="0.25">
      <c r="A111" s="147" t="str">
        <f>'EF Table_detail'!A109</f>
        <v>Curtain wall</v>
      </c>
      <c r="B111" s="148" t="str">
        <f>'EF Table_detail'!B109</f>
        <v>Aluminium unitised type 1: 100% DGU 8T-16-44.2</v>
      </c>
      <c r="C111" s="149" t="str">
        <f>HYPERLINK("#"&amp;'EF Table_detail'!$C109&amp;"!A1",'EF Table_detail'!$C109)</f>
        <v>Curtain_wall</v>
      </c>
      <c r="D111" s="150" t="str">
        <f ca="1">'EF Table_detail'!D109</f>
        <v>Represents a generic curtain wall as named in the material category. Includes glass, framing, spandrel/cladding material in one square meter rate.</v>
      </c>
      <c r="E111" s="148" t="str">
        <f ca="1">'EF Table_detail'!F109</f>
        <v>m²</v>
      </c>
      <c r="F111" s="148" t="str">
        <f ca="1">'EF Table_detail'!G109</f>
        <v>Untiered</v>
      </c>
      <c r="G111" s="159">
        <f ca="1">'EF Table_detail'!H109</f>
        <v>1</v>
      </c>
      <c r="H111" s="157" t="str" cm="1">
        <f t="array" aca="1" ref="H111" ca="1">IFERROR(print_SF('EF Table_detail'!M109),"")</f>
        <v>435</v>
      </c>
      <c r="I111" s="160" t="str" cm="1">
        <f t="array" aca="1" ref="I111" ca="1">IFERROR(print_SF('EF Table_detail'!I109),"")</f>
        <v>435</v>
      </c>
      <c r="J111" s="151" t="str" cm="1">
        <f t="array" aca="1" ref="J111" ca="1">IFERROR(print_SF('EF Table_detail'!J109),"")</f>
        <v>110</v>
      </c>
      <c r="K111" s="162" t="str" cm="1">
        <f t="array" aca="1" ref="K111" ca="1">IFERROR(print_SF('EF Table_detail'!K109),"")</f>
        <v>264</v>
      </c>
      <c r="L111" s="157" t="str" cm="1">
        <f t="array" aca="1" ref="L111" ca="1">IFERROR(print_SF('EF Table_detail'!R109),"")</f>
        <v>8.56</v>
      </c>
      <c r="M111" s="163" t="str" cm="1">
        <f t="array" aca="1" ref="M111" ca="1">IFERROR(print_SF('EF Table_detail'!N109),"")</f>
        <v>8.56</v>
      </c>
      <c r="N111" s="152" t="str" cm="1">
        <f t="array" aca="1" ref="N111" ca="1">IFERROR(print_SF('EF Table_detail'!O109),"")</f>
        <v>2.16</v>
      </c>
      <c r="O111" s="166" t="str" cm="1">
        <f t="array" aca="1" ref="O111" ca="1">IFERROR(print_SF('EF Table_detail'!P109),"")</f>
        <v>5.19</v>
      </c>
      <c r="P111" s="165" t="str" cm="1">
        <f t="array" aca="1" ref="P111" ca="1">IFERROR(print_SF('EF Table_detail'!U109),"")</f>
        <v>0</v>
      </c>
      <c r="Q111" s="166" t="str" cm="1">
        <f t="array" aca="1" ref="Q111" ca="1">IFERROR(print_SF('EF Table_detail'!W109),"")</f>
        <v>0</v>
      </c>
      <c r="R111" s="177" t="str" cm="1">
        <f t="array" aca="1" ref="R111" ca="1">IFERROR(print_SF('EF Table_detail'!Y109),"")</f>
        <v>50.8</v>
      </c>
      <c r="S111" s="178" t="str">
        <f ca="1">'EF Table_detail'!Z109</f>
        <v>kg/m²</v>
      </c>
      <c r="T111" s="179" t="str">
        <f ca="1">'EF Table_detail'!AA109</f>
        <v>Represents a system assembled off-site</v>
      </c>
      <c r="U111" s="180" t="str">
        <f ca="1">'EF Table_detail'!AB109</f>
        <v>No</v>
      </c>
    </row>
    <row r="112" spans="1:22" ht="45" customHeight="1" x14ac:dyDescent="0.25">
      <c r="A112" s="147" t="str">
        <f>'EF Table_detail'!A110</f>
        <v>Curtain wall</v>
      </c>
      <c r="B112" s="148" t="str">
        <f>'EF Table_detail'!B110</f>
        <v>Aluminium unitised type 2: aluminium cladding, 50% DGU 8T-16-44.2</v>
      </c>
      <c r="C112" s="149" t="str">
        <f>HYPERLINK("#"&amp;'EF Table_detail'!$C110&amp;"!A1",'EF Table_detail'!$C110)</f>
        <v>Curtain_wall</v>
      </c>
      <c r="D112" s="150" t="str">
        <f ca="1">'EF Table_detail'!D110</f>
        <v>Represents a generic curtain wall as named in the material category. Includes glass, framing, spandrel/cladding material in one square meter rate.</v>
      </c>
      <c r="E112" s="148" t="str">
        <f ca="1">'EF Table_detail'!F110</f>
        <v>m²</v>
      </c>
      <c r="F112" s="148" t="str">
        <f ca="1">'EF Table_detail'!G110</f>
        <v>Untiered</v>
      </c>
      <c r="G112" s="159">
        <f ca="1">'EF Table_detail'!H110</f>
        <v>1</v>
      </c>
      <c r="H112" s="157" t="str" cm="1">
        <f t="array" aca="1" ref="H112" ca="1">IFERROR(print_SF('EF Table_detail'!M110),"")</f>
        <v>656</v>
      </c>
      <c r="I112" s="160" t="str" cm="1">
        <f t="array" aca="1" ref="I112" ca="1">IFERROR(print_SF('EF Table_detail'!I110),"")</f>
        <v>656</v>
      </c>
      <c r="J112" s="151" t="str" cm="1">
        <f t="array" aca="1" ref="J112" ca="1">IFERROR(print_SF('EF Table_detail'!J110),"")</f>
        <v>129</v>
      </c>
      <c r="K112" s="162" t="str" cm="1">
        <f t="array" aca="1" ref="K112" ca="1">IFERROR(print_SF('EF Table_detail'!K110),"")</f>
        <v>382</v>
      </c>
      <c r="L112" s="157" t="str" cm="1">
        <f t="array" aca="1" ref="L112" ca="1">IFERROR(print_SF('EF Table_detail'!R110),"")</f>
        <v>16.9</v>
      </c>
      <c r="M112" s="163" t="str" cm="1">
        <f t="array" aca="1" ref="M112" ca="1">IFERROR(print_SF('EF Table_detail'!N110),"")</f>
        <v>16.9</v>
      </c>
      <c r="N112" s="152" t="str" cm="1">
        <f t="array" aca="1" ref="N112" ca="1">IFERROR(print_SF('EF Table_detail'!O110),"")</f>
        <v>3.33</v>
      </c>
      <c r="O112" s="166" t="str" cm="1">
        <f t="array" aca="1" ref="O112" ca="1">IFERROR(print_SF('EF Table_detail'!P110),"")</f>
        <v>9.88</v>
      </c>
      <c r="P112" s="165" t="str" cm="1">
        <f t="array" aca="1" ref="P112" ca="1">IFERROR(print_SF('EF Table_detail'!U110),"")</f>
        <v>0</v>
      </c>
      <c r="Q112" s="166" t="str" cm="1">
        <f t="array" aca="1" ref="Q112" ca="1">IFERROR(print_SF('EF Table_detail'!W110),"")</f>
        <v>0</v>
      </c>
      <c r="R112" s="177" t="str" cm="1">
        <f t="array" aca="1" ref="R112" ca="1">IFERROR(print_SF('EF Table_detail'!Y110),"")</f>
        <v>38.7</v>
      </c>
      <c r="S112" s="178" t="str">
        <f ca="1">'EF Table_detail'!Z110</f>
        <v>kg/m²</v>
      </c>
      <c r="T112" s="179" t="str">
        <f ca="1">'EF Table_detail'!AA110</f>
        <v>Represents a system assembled off-site</v>
      </c>
      <c r="U112" s="180" t="str">
        <f ca="1">'EF Table_detail'!AB110</f>
        <v>No</v>
      </c>
    </row>
    <row r="113" spans="1:21" ht="45" customHeight="1" x14ac:dyDescent="0.25">
      <c r="A113" s="147" t="str">
        <f>'EF Table_detail'!A111</f>
        <v>Curtain wall</v>
      </c>
      <c r="B113" s="148" t="str">
        <f>'EF Table_detail'!B111</f>
        <v>Aluminium unitised type 3: aluminium cladding with vertical fins, 50% DGU 8T-16-44.2</v>
      </c>
      <c r="C113" s="149" t="str">
        <f>HYPERLINK("#"&amp;'EF Table_detail'!$C111&amp;"!A1",'EF Table_detail'!$C111)</f>
        <v>Curtain_wall</v>
      </c>
      <c r="D113" s="150" t="str">
        <f ca="1">'EF Table_detail'!D111</f>
        <v>Represents a generic curtain wall as named in the material category. Includes glass, framing, spandrel/cladding material in one square meter rate.</v>
      </c>
      <c r="E113" s="148" t="str">
        <f ca="1">'EF Table_detail'!F111</f>
        <v>m²</v>
      </c>
      <c r="F113" s="148" t="str">
        <f ca="1">'EF Table_detail'!G111</f>
        <v>Untiered</v>
      </c>
      <c r="G113" s="159">
        <f ca="1">'EF Table_detail'!H111</f>
        <v>1</v>
      </c>
      <c r="H113" s="157" t="str" cm="1">
        <f t="array" aca="1" ref="H113" ca="1">IFERROR(print_SF('EF Table_detail'!M111),"")</f>
        <v>877</v>
      </c>
      <c r="I113" s="160" t="str" cm="1">
        <f t="array" aca="1" ref="I113" ca="1">IFERROR(print_SF('EF Table_detail'!I111),"")</f>
        <v>877</v>
      </c>
      <c r="J113" s="151" t="str" cm="1">
        <f t="array" aca="1" ref="J113" ca="1">IFERROR(print_SF('EF Table_detail'!J111),"")</f>
        <v>167</v>
      </c>
      <c r="K113" s="162" t="str" cm="1">
        <f t="array" aca="1" ref="K113" ca="1">IFERROR(print_SF('EF Table_detail'!K111),"")</f>
        <v>509</v>
      </c>
      <c r="L113" s="157" t="str" cm="1">
        <f t="array" aca="1" ref="L113" ca="1">IFERROR(print_SF('EF Table_detail'!R111),"")</f>
        <v>19.1</v>
      </c>
      <c r="M113" s="163" t="str" cm="1">
        <f t="array" aca="1" ref="M113" ca="1">IFERROR(print_SF('EF Table_detail'!N111),"")</f>
        <v>19.1</v>
      </c>
      <c r="N113" s="152" t="str" cm="1">
        <f t="array" aca="1" ref="N113" ca="1">IFERROR(print_SF('EF Table_detail'!O111),"")</f>
        <v>3.65</v>
      </c>
      <c r="O113" s="166" t="str" cm="1">
        <f t="array" aca="1" ref="O113" ca="1">IFERROR(print_SF('EF Table_detail'!P111),"")</f>
        <v>11.1</v>
      </c>
      <c r="P113" s="165" t="str" cm="1">
        <f t="array" aca="1" ref="P113" ca="1">IFERROR(print_SF('EF Table_detail'!U111),"")</f>
        <v>0</v>
      </c>
      <c r="Q113" s="166" t="str" cm="1">
        <f t="array" aca="1" ref="Q113" ca="1">IFERROR(print_SF('EF Table_detail'!W111),"")</f>
        <v>0</v>
      </c>
      <c r="R113" s="177" t="str" cm="1">
        <f t="array" aca="1" ref="R113" ca="1">IFERROR(print_SF('EF Table_detail'!Y111),"")</f>
        <v>45.8</v>
      </c>
      <c r="S113" s="178" t="str">
        <f ca="1">'EF Table_detail'!Z111</f>
        <v>kg/m²</v>
      </c>
      <c r="T113" s="179" t="str">
        <f ca="1">'EF Table_detail'!AA111</f>
        <v>Represents a system assembled off-site</v>
      </c>
      <c r="U113" s="180" t="str">
        <f ca="1">'EF Table_detail'!AB111</f>
        <v>No</v>
      </c>
    </row>
    <row r="114" spans="1:21" ht="45" customHeight="1" x14ac:dyDescent="0.25">
      <c r="A114" s="147" t="str">
        <f>'EF Table_detail'!A112</f>
        <v>Curtain wall</v>
      </c>
      <c r="B114" s="148" t="str">
        <f>'EF Table_detail'!B112</f>
        <v>Aluminium unitised type 4: aluminium cladding, 50% TGU 8T-16-6-16-44.2</v>
      </c>
      <c r="C114" s="149" t="str">
        <f>HYPERLINK("#"&amp;'EF Table_detail'!$C112&amp;"!A1",'EF Table_detail'!$C112)</f>
        <v>Curtain_wall</v>
      </c>
      <c r="D114" s="150" t="str">
        <f ca="1">'EF Table_detail'!D112</f>
        <v>Represents a generic curtain wall as named in the material category. Includes glass, framing, spandrel/cladding material in one square meter rate.</v>
      </c>
      <c r="E114" s="148" t="str">
        <f ca="1">'EF Table_detail'!F112</f>
        <v>m²</v>
      </c>
      <c r="F114" s="148" t="str">
        <f ca="1">'EF Table_detail'!G112</f>
        <v>Untiered</v>
      </c>
      <c r="G114" s="159">
        <f ca="1">'EF Table_detail'!H112</f>
        <v>1</v>
      </c>
      <c r="H114" s="157" t="str" cm="1">
        <f t="array" aca="1" ref="H114" ca="1">IFERROR(print_SF('EF Table_detail'!M112),"")</f>
        <v>664</v>
      </c>
      <c r="I114" s="160" t="str" cm="1">
        <f t="array" aca="1" ref="I114" ca="1">IFERROR(print_SF('EF Table_detail'!I112),"")</f>
        <v>664</v>
      </c>
      <c r="J114" s="151" t="str" cm="1">
        <f t="array" aca="1" ref="J114" ca="1">IFERROR(print_SF('EF Table_detail'!J112),"")</f>
        <v>138</v>
      </c>
      <c r="K114" s="162" t="str" cm="1">
        <f t="array" aca="1" ref="K114" ca="1">IFERROR(print_SF('EF Table_detail'!K112),"")</f>
        <v>390</v>
      </c>
      <c r="L114" s="157" t="str" cm="1">
        <f t="array" aca="1" ref="L114" ca="1">IFERROR(print_SF('EF Table_detail'!R112),"")</f>
        <v>14.3</v>
      </c>
      <c r="M114" s="163" t="str" cm="1">
        <f t="array" aca="1" ref="M114" ca="1">IFERROR(print_SF('EF Table_detail'!N112),"")</f>
        <v>14.3</v>
      </c>
      <c r="N114" s="152" t="str" cm="1">
        <f t="array" aca="1" ref="N114" ca="1">IFERROR(print_SF('EF Table_detail'!O112),"")</f>
        <v>2.97</v>
      </c>
      <c r="O114" s="166" t="str" cm="1">
        <f t="array" aca="1" ref="O114" ca="1">IFERROR(print_SF('EF Table_detail'!P112),"")</f>
        <v>8.40</v>
      </c>
      <c r="P114" s="165" t="str" cm="1">
        <f t="array" aca="1" ref="P114" ca="1">IFERROR(print_SF('EF Table_detail'!U112),"")</f>
        <v>0</v>
      </c>
      <c r="Q114" s="166" t="str" cm="1">
        <f t="array" aca="1" ref="Q114" ca="1">IFERROR(print_SF('EF Table_detail'!W112),"")</f>
        <v>0</v>
      </c>
      <c r="R114" s="177" t="str" cm="1">
        <f t="array" aca="1" ref="R114" ca="1">IFERROR(print_SF('EF Table_detail'!Y112),"")</f>
        <v>46.4</v>
      </c>
      <c r="S114" s="178" t="str">
        <f ca="1">'EF Table_detail'!Z112</f>
        <v>kg/m²</v>
      </c>
      <c r="T114" s="179" t="str">
        <f ca="1">'EF Table_detail'!AA112</f>
        <v>Represents a system assembled off-site</v>
      </c>
      <c r="U114" s="180" t="str">
        <f ca="1">'EF Table_detail'!AB112</f>
        <v>No</v>
      </c>
    </row>
    <row r="115" spans="1:21" ht="45" customHeight="1" x14ac:dyDescent="0.25">
      <c r="A115" s="147" t="str">
        <f>'EF Table_detail'!A113</f>
        <v>Curtain wall</v>
      </c>
      <c r="B115" s="148" t="str">
        <f>'EF Table_detail'!B113</f>
        <v>Aluminium unitised type 5: insulated shadow box, 50% DGU 8T-16-44.2</v>
      </c>
      <c r="C115" s="149" t="str">
        <f>HYPERLINK("#"&amp;'EF Table_detail'!$C113&amp;"!A1",'EF Table_detail'!$C113)</f>
        <v>Curtain_wall</v>
      </c>
      <c r="D115" s="150" t="str">
        <f ca="1">'EF Table_detail'!D113</f>
        <v>Represents a generic curtain wall as named in the material category. Includes glass, framing, spandrel/cladding material in one square meter rate.</v>
      </c>
      <c r="E115" s="148" t="str">
        <f ca="1">'EF Table_detail'!F113</f>
        <v>m²</v>
      </c>
      <c r="F115" s="148" t="str">
        <f ca="1">'EF Table_detail'!G113</f>
        <v>Untiered</v>
      </c>
      <c r="G115" s="159">
        <f ca="1">'EF Table_detail'!H113</f>
        <v>1</v>
      </c>
      <c r="H115" s="157" t="str" cm="1">
        <f t="array" aca="1" ref="H115" ca="1">IFERROR(print_SF('EF Table_detail'!M113),"")</f>
        <v>572</v>
      </c>
      <c r="I115" s="160" t="str" cm="1">
        <f t="array" aca="1" ref="I115" ca="1">IFERROR(print_SF('EF Table_detail'!I113),"")</f>
        <v>572</v>
      </c>
      <c r="J115" s="151" t="str" cm="1">
        <f t="array" aca="1" ref="J115" ca="1">IFERROR(print_SF('EF Table_detail'!J113),"")</f>
        <v>133</v>
      </c>
      <c r="K115" s="162" t="str" cm="1">
        <f t="array" aca="1" ref="K115" ca="1">IFERROR(print_SF('EF Table_detail'!K113),"")</f>
        <v>342</v>
      </c>
      <c r="L115" s="157" t="str" cm="1">
        <f t="array" aca="1" ref="L115" ca="1">IFERROR(print_SF('EF Table_detail'!R113),"")</f>
        <v>10.5</v>
      </c>
      <c r="M115" s="163" t="str" cm="1">
        <f t="array" aca="1" ref="M115" ca="1">IFERROR(print_SF('EF Table_detail'!N113),"")</f>
        <v>10.5</v>
      </c>
      <c r="N115" s="152" t="str" cm="1">
        <f t="array" aca="1" ref="N115" ca="1">IFERROR(print_SF('EF Table_detail'!O113),"")</f>
        <v>2.43</v>
      </c>
      <c r="O115" s="166" t="str" cm="1">
        <f t="array" aca="1" ref="O115" ca="1">IFERROR(print_SF('EF Table_detail'!P113),"")</f>
        <v>6.27</v>
      </c>
      <c r="P115" s="165" t="str" cm="1">
        <f t="array" aca="1" ref="P115" ca="1">IFERROR(print_SF('EF Table_detail'!U113),"")</f>
        <v>0</v>
      </c>
      <c r="Q115" s="166" t="str" cm="1">
        <f t="array" aca="1" ref="Q115" ca="1">IFERROR(print_SF('EF Table_detail'!W113),"")</f>
        <v>0</v>
      </c>
      <c r="R115" s="177" t="str" cm="1">
        <f t="array" aca="1" ref="R115" ca="1">IFERROR(print_SF('EF Table_detail'!Y113),"")</f>
        <v>54.5</v>
      </c>
      <c r="S115" s="178" t="str">
        <f ca="1">'EF Table_detail'!Z113</f>
        <v>kg/m²</v>
      </c>
      <c r="T115" s="179" t="str">
        <f ca="1">'EF Table_detail'!AA113</f>
        <v>Represents a system assembled off-site</v>
      </c>
      <c r="U115" s="180" t="str">
        <f ca="1">'EF Table_detail'!AB113</f>
        <v>No</v>
      </c>
    </row>
    <row r="116" spans="1:21" ht="45" customHeight="1" x14ac:dyDescent="0.25">
      <c r="A116" s="147" t="str">
        <f>'EF Table_detail'!A114</f>
        <v>Curtain wall</v>
      </c>
      <c r="B116" s="148" t="str">
        <f>'EF Table_detail'!B114</f>
        <v>Aluminium unitised type 6: GRC cladding, 50% DGU 8T-16-44.2</v>
      </c>
      <c r="C116" s="149" t="str">
        <f>HYPERLINK("#"&amp;'EF Table_detail'!$C114&amp;"!A1",'EF Table_detail'!$C114)</f>
        <v>Curtain_wall</v>
      </c>
      <c r="D116" s="150" t="str">
        <f ca="1">'EF Table_detail'!D114</f>
        <v>Represents a generic curtain wall as named in the material category. Includes glass, framing, spandrel/cladding material in one square meter rate.</v>
      </c>
      <c r="E116" s="148" t="str">
        <f ca="1">'EF Table_detail'!F114</f>
        <v>m²</v>
      </c>
      <c r="F116" s="148" t="str">
        <f ca="1">'EF Table_detail'!G114</f>
        <v>Untiered</v>
      </c>
      <c r="G116" s="159">
        <f ca="1">'EF Table_detail'!H114</f>
        <v>1</v>
      </c>
      <c r="H116" s="157" t="str" cm="1">
        <f t="array" aca="1" ref="H116" ca="1">IFERROR(print_SF('EF Table_detail'!M114),"")</f>
        <v>766</v>
      </c>
      <c r="I116" s="160" t="str" cm="1">
        <f t="array" aca="1" ref="I116" ca="1">IFERROR(print_SF('EF Table_detail'!I114),"")</f>
        <v>766</v>
      </c>
      <c r="J116" s="151" t="str" cm="1">
        <f t="array" aca="1" ref="J116" ca="1">IFERROR(print_SF('EF Table_detail'!J114),"")</f>
        <v>158</v>
      </c>
      <c r="K116" s="162" t="str" cm="1">
        <f t="array" aca="1" ref="K116" ca="1">IFERROR(print_SF('EF Table_detail'!K114),"")</f>
        <v>448</v>
      </c>
      <c r="L116" s="157" t="str" cm="1">
        <f t="array" aca="1" ref="L116" ca="1">IFERROR(print_SF('EF Table_detail'!R114),"")</f>
        <v>11.2</v>
      </c>
      <c r="M116" s="163" t="str" cm="1">
        <f t="array" aca="1" ref="M116" ca="1">IFERROR(print_SF('EF Table_detail'!N114),"")</f>
        <v>11.2</v>
      </c>
      <c r="N116" s="152" t="str" cm="1">
        <f t="array" aca="1" ref="N116" ca="1">IFERROR(print_SF('EF Table_detail'!O114),"")</f>
        <v>2.31</v>
      </c>
      <c r="O116" s="166" t="str" cm="1">
        <f t="array" aca="1" ref="O116" ca="1">IFERROR(print_SF('EF Table_detail'!P114),"")</f>
        <v>6.57</v>
      </c>
      <c r="P116" s="165" t="str" cm="1">
        <f t="array" aca="1" ref="P116" ca="1">IFERROR(print_SF('EF Table_detail'!U114),"")</f>
        <v>0</v>
      </c>
      <c r="Q116" s="166" t="str" cm="1">
        <f t="array" aca="1" ref="Q116" ca="1">IFERROR(print_SF('EF Table_detail'!W114),"")</f>
        <v>0</v>
      </c>
      <c r="R116" s="177" t="str" cm="1">
        <f t="array" aca="1" ref="R116" ca="1">IFERROR(print_SF('EF Table_detail'!Y114),"")</f>
        <v>68.2</v>
      </c>
      <c r="S116" s="178" t="str">
        <f ca="1">'EF Table_detail'!Z114</f>
        <v>kg/m²</v>
      </c>
      <c r="T116" s="179" t="str">
        <f ca="1">'EF Table_detail'!AA114</f>
        <v>Represents a system assembled off-site</v>
      </c>
      <c r="U116" s="180" t="str">
        <f ca="1">'EF Table_detail'!AB114</f>
        <v>No</v>
      </c>
    </row>
    <row r="117" spans="1:21" ht="45" customHeight="1" x14ac:dyDescent="0.25">
      <c r="A117" s="147" t="str">
        <f>'EF Table_detail'!A115</f>
        <v>Curtain wall</v>
      </c>
      <c r="B117" s="148" t="str">
        <f>'EF Table_detail'!B115</f>
        <v>Aluminium unitised type 7: opaque panel, 100% aluminium cladding</v>
      </c>
      <c r="C117" s="149" t="str">
        <f>HYPERLINK("#"&amp;'EF Table_detail'!$C115&amp;"!A1",'EF Table_detail'!$C115)</f>
        <v>Curtain_wall</v>
      </c>
      <c r="D117" s="150" t="str">
        <f ca="1">'EF Table_detail'!D115</f>
        <v>Represents a generic curtain wall as named in the material category. Includes glass, framing, spandrel/cladding material in one square meter rate.</v>
      </c>
      <c r="E117" s="148" t="str">
        <f ca="1">'EF Table_detail'!F115</f>
        <v>m²</v>
      </c>
      <c r="F117" s="148" t="str">
        <f ca="1">'EF Table_detail'!G115</f>
        <v>Untiered</v>
      </c>
      <c r="G117" s="159">
        <f ca="1">'EF Table_detail'!H115</f>
        <v>1</v>
      </c>
      <c r="H117" s="157" t="str" cm="1">
        <f t="array" aca="1" ref="H117" ca="1">IFERROR(print_SF('EF Table_detail'!M115),"")</f>
        <v>1,190</v>
      </c>
      <c r="I117" s="160" t="str" cm="1">
        <f t="array" aca="1" ref="I117" ca="1">IFERROR(print_SF('EF Table_detail'!I115),"")</f>
        <v>1,190</v>
      </c>
      <c r="J117" s="151" t="str" cm="1">
        <f t="array" aca="1" ref="J117" ca="1">IFERROR(print_SF('EF Table_detail'!J115),"")</f>
        <v>199</v>
      </c>
      <c r="K117" s="162" t="str" cm="1">
        <f t="array" aca="1" ref="K117" ca="1">IFERROR(print_SF('EF Table_detail'!K115),"")</f>
        <v>680</v>
      </c>
      <c r="L117" s="157" t="str" cm="1">
        <f t="array" aca="1" ref="L117" ca="1">IFERROR(print_SF('EF Table_detail'!R115),"")</f>
        <v>33.6</v>
      </c>
      <c r="M117" s="163" t="str" cm="1">
        <f t="array" aca="1" ref="M117" ca="1">IFERROR(print_SF('EF Table_detail'!N115),"")</f>
        <v>33.6</v>
      </c>
      <c r="N117" s="152" t="str" cm="1">
        <f t="array" aca="1" ref="N117" ca="1">IFERROR(print_SF('EF Table_detail'!O115),"")</f>
        <v>5.62</v>
      </c>
      <c r="O117" s="166" t="str" cm="1">
        <f t="array" aca="1" ref="O117" ca="1">IFERROR(print_SF('EF Table_detail'!P115),"")</f>
        <v>19.2</v>
      </c>
      <c r="P117" s="165" t="str" cm="1">
        <f t="array" aca="1" ref="P117" ca="1">IFERROR(print_SF('EF Table_detail'!U115),"")</f>
        <v>0</v>
      </c>
      <c r="Q117" s="166" t="str" cm="1">
        <f t="array" aca="1" ref="Q117" ca="1">IFERROR(print_SF('EF Table_detail'!W115),"")</f>
        <v>0</v>
      </c>
      <c r="R117" s="177" t="str" cm="1">
        <f t="array" aca="1" ref="R117" ca="1">IFERROR(print_SF('EF Table_detail'!Y115),"")</f>
        <v>35.4</v>
      </c>
      <c r="S117" s="178" t="str">
        <f ca="1">'EF Table_detail'!Z115</f>
        <v>kg/m²</v>
      </c>
      <c r="T117" s="179" t="str">
        <f ca="1">'EF Table_detail'!AA115</f>
        <v>Represents a system assembled off-site</v>
      </c>
      <c r="U117" s="180" t="str">
        <f ca="1">'EF Table_detail'!AB115</f>
        <v>No</v>
      </c>
    </row>
    <row r="118" spans="1:21" ht="45" customHeight="1" x14ac:dyDescent="0.25">
      <c r="A118" s="147" t="str">
        <f>'EF Table_detail'!A116</f>
        <v>Curtain wall</v>
      </c>
      <c r="B118" s="148" t="str">
        <f>'EF Table_detail'!B116</f>
        <v>Double skin type 1: deep cavity aluminium façade, 100% single + DGU 66.2 + 8T-16-44.2</v>
      </c>
      <c r="C118" s="149" t="str">
        <f>HYPERLINK("#"&amp;'EF Table_detail'!$C116&amp;"!A1",'EF Table_detail'!$C116)</f>
        <v>Curtain_wall</v>
      </c>
      <c r="D118" s="150" t="str">
        <f ca="1">'EF Table_detail'!D116</f>
        <v>Represents a generic curtain wall as named in the material category. Includes glass, framing, spandrel/cladding material in one square meter rate.</v>
      </c>
      <c r="E118" s="148" t="str">
        <f ca="1">'EF Table_detail'!F116</f>
        <v>m²</v>
      </c>
      <c r="F118" s="148" t="str">
        <f ca="1">'EF Table_detail'!G116</f>
        <v>Untiered</v>
      </c>
      <c r="G118" s="159">
        <f ca="1">'EF Table_detail'!H116</f>
        <v>1</v>
      </c>
      <c r="H118" s="157" t="str" cm="1">
        <f t="array" aca="1" ref="H118" ca="1">IFERROR(print_SF('EF Table_detail'!M116),"")</f>
        <v>1,300</v>
      </c>
      <c r="I118" s="160" t="str" cm="1">
        <f t="array" aca="1" ref="I118" ca="1">IFERROR(print_SF('EF Table_detail'!I116),"")</f>
        <v>1,300</v>
      </c>
      <c r="J118" s="151" t="str" cm="1">
        <f t="array" aca="1" ref="J118" ca="1">IFERROR(print_SF('EF Table_detail'!J116),"")</f>
        <v>363</v>
      </c>
      <c r="K118" s="162" t="str" cm="1">
        <f t="array" aca="1" ref="K118" ca="1">IFERROR(print_SF('EF Table_detail'!K116),"")</f>
        <v>802</v>
      </c>
      <c r="L118" s="157" t="str" cm="1">
        <f t="array" aca="1" ref="L118" ca="1">IFERROR(print_SF('EF Table_detail'!R116),"")</f>
        <v>9.70</v>
      </c>
      <c r="M118" s="163" t="str" cm="1">
        <f t="array" aca="1" ref="M118" ca="1">IFERROR(print_SF('EF Table_detail'!N116),"")</f>
        <v>9.70</v>
      </c>
      <c r="N118" s="152" t="str" cm="1">
        <f t="array" aca="1" ref="N118" ca="1">IFERROR(print_SF('EF Table_detail'!O116),"")</f>
        <v>2.70</v>
      </c>
      <c r="O118" s="166" t="str" cm="1">
        <f t="array" aca="1" ref="O118" ca="1">IFERROR(print_SF('EF Table_detail'!P116),"")</f>
        <v>5.96</v>
      </c>
      <c r="P118" s="165" t="str" cm="1">
        <f t="array" aca="1" ref="P118" ca="1">IFERROR(print_SF('EF Table_detail'!U116),"")</f>
        <v>0</v>
      </c>
      <c r="Q118" s="166" t="str" cm="1">
        <f t="array" aca="1" ref="Q118" ca="1">IFERROR(print_SF('EF Table_detail'!W116),"")</f>
        <v>0</v>
      </c>
      <c r="R118" s="177" t="str" cm="1">
        <f t="array" aca="1" ref="R118" ca="1">IFERROR(print_SF('EF Table_detail'!Y116),"")</f>
        <v>135</v>
      </c>
      <c r="S118" s="178" t="str">
        <f ca="1">'EF Table_detail'!Z116</f>
        <v>kg/m²</v>
      </c>
      <c r="T118" s="179" t="str">
        <f ca="1">'EF Table_detail'!AA116</f>
        <v>Represents a system assembled off-site</v>
      </c>
      <c r="U118" s="180" t="str">
        <f ca="1">'EF Table_detail'!AB116</f>
        <v>No</v>
      </c>
    </row>
    <row r="119" spans="1:21" ht="45" customHeight="1" x14ac:dyDescent="0.25">
      <c r="A119" s="147" t="str">
        <f>'EF Table_detail'!A117</f>
        <v>Curtain wall</v>
      </c>
      <c r="B119" s="148" t="str">
        <f>'EF Table_detail'!B117</f>
        <v>Double skin type 2: narrow cavity aluminium façade, 100% single + DGU 66.2 + 8T-16-44.2</v>
      </c>
      <c r="C119" s="149" t="str">
        <f>HYPERLINK("#"&amp;'EF Table_detail'!$C117&amp;"!A1",'EF Table_detail'!$C117)</f>
        <v>Curtain_wall</v>
      </c>
      <c r="D119" s="150" t="str">
        <f ca="1">'EF Table_detail'!D117</f>
        <v>Represents a generic curtain wall as named in the material category. Includes glass, framing, spandrel/cladding material in one square meter rate.</v>
      </c>
      <c r="E119" s="148" t="str">
        <f ca="1">'EF Table_detail'!F117</f>
        <v>m²</v>
      </c>
      <c r="F119" s="148" t="str">
        <f ca="1">'EF Table_detail'!G117</f>
        <v>Untiered</v>
      </c>
      <c r="G119" s="159">
        <f ca="1">'EF Table_detail'!H117</f>
        <v>1</v>
      </c>
      <c r="H119" s="157" t="str" cm="1">
        <f t="array" aca="1" ref="H119" ca="1">IFERROR(print_SF('EF Table_detail'!M117),"")</f>
        <v>674</v>
      </c>
      <c r="I119" s="160" t="str" cm="1">
        <f t="array" aca="1" ref="I119" ca="1">IFERROR(print_SF('EF Table_detail'!I117),"")</f>
        <v>674</v>
      </c>
      <c r="J119" s="151" t="str" cm="1">
        <f t="array" aca="1" ref="J119" ca="1">IFERROR(print_SF('EF Table_detail'!J117),"")</f>
        <v>179</v>
      </c>
      <c r="K119" s="162" t="str" cm="1">
        <f t="array" aca="1" ref="K119" ca="1">IFERROR(print_SF('EF Table_detail'!K117),"")</f>
        <v>412</v>
      </c>
      <c r="L119" s="157" t="str" cm="1">
        <f t="array" aca="1" ref="L119" ca="1">IFERROR(print_SF('EF Table_detail'!R117),"")</f>
        <v>7.74</v>
      </c>
      <c r="M119" s="163" t="str" cm="1">
        <f t="array" aca="1" ref="M119" ca="1">IFERROR(print_SF('EF Table_detail'!N117),"")</f>
        <v>7.74</v>
      </c>
      <c r="N119" s="152" t="str" cm="1">
        <f t="array" aca="1" ref="N119" ca="1">IFERROR(print_SF('EF Table_detail'!O117),"")</f>
        <v>2.06</v>
      </c>
      <c r="O119" s="166" t="str" cm="1">
        <f t="array" aca="1" ref="O119" ca="1">IFERROR(print_SF('EF Table_detail'!P117),"")</f>
        <v>4.73</v>
      </c>
      <c r="P119" s="165" t="str" cm="1">
        <f t="array" aca="1" ref="P119" ca="1">IFERROR(print_SF('EF Table_detail'!U117),"")</f>
        <v>0</v>
      </c>
      <c r="Q119" s="166" t="str" cm="1">
        <f t="array" aca="1" ref="Q119" ca="1">IFERROR(print_SF('EF Table_detail'!W117),"")</f>
        <v>0</v>
      </c>
      <c r="R119" s="177" t="str" cm="1">
        <f t="array" aca="1" ref="R119" ca="1">IFERROR(print_SF('EF Table_detail'!Y117),"")</f>
        <v>87.0</v>
      </c>
      <c r="S119" s="178" t="str">
        <f ca="1">'EF Table_detail'!Z117</f>
        <v>kg/m²</v>
      </c>
      <c r="T119" s="179" t="str">
        <f ca="1">'EF Table_detail'!AA117</f>
        <v>Represents a system assembled off-site</v>
      </c>
      <c r="U119" s="180" t="str">
        <f ca="1">'EF Table_detail'!AB117</f>
        <v>No</v>
      </c>
    </row>
    <row r="120" spans="1:21" ht="74.25" customHeight="1" x14ac:dyDescent="0.25">
      <c r="A120" s="147" t="str">
        <f>'EF Table_detail'!A118</f>
        <v>Lifts</v>
      </c>
      <c r="B120" s="148" t="str">
        <f>'EF Table_detail'!B118</f>
        <v>Category 5, 6 for high rise buildings (&gt;10 floors)</v>
      </c>
      <c r="C120" s="149" t="str">
        <f>HYPERLINK("#"&amp;'EF Table_detail'!$C118&amp;"!A1",'EF Table_detail'!$C118)</f>
        <v>Lift_Cat5_6</v>
      </c>
      <c r="D120" s="150" t="str">
        <f ca="1">'EF Table_detail'!D118</f>
        <v>Lift (elevator) classified as category 5 and 6 from ISO 25745. Typically used in high use environments, shopping centres, high-rise commercial.residential (10+ floors). Includes all elements of a lift installation i.e. lift cars, fittings, finishes, drive elements, electronics, guide rails, counterweights, ropes etc.</v>
      </c>
      <c r="E120" s="148" t="str">
        <f ca="1">'EF Table_detail'!F118</f>
        <v>#</v>
      </c>
      <c r="F120" s="148" t="str">
        <f ca="1">'EF Table_detail'!G118</f>
        <v>Tier 4</v>
      </c>
      <c r="G120" s="159">
        <f ca="1">'EF Table_detail'!H118</f>
        <v>1.2</v>
      </c>
      <c r="H120" s="157" t="str" cm="1">
        <f t="array" aca="1" ref="H120" ca="1">IFERROR(print_SF('EF Table_detail'!M118),"")</f>
        <v>3.11E+05</v>
      </c>
      <c r="I120" s="160" t="str" cm="1">
        <f t="array" aca="1" ref="I120" ca="1">IFERROR(print_SF('EF Table_detail'!I118),"")</f>
        <v>2.59E+05</v>
      </c>
      <c r="J120" s="151" t="str" cm="1">
        <f t="array" aca="1" ref="J120" ca="1">IFERROR(print_SF('EF Table_detail'!J118),"")</f>
        <v>99,900</v>
      </c>
      <c r="K120" s="162" t="str" cm="1">
        <f t="array" aca="1" ref="K120" ca="1">IFERROR(print_SF('EF Table_detail'!K118),"")</f>
        <v>1.67E+05</v>
      </c>
      <c r="L120" s="157" t="str" cm="1">
        <f t="array" aca="1" ref="L120" ca="1">IFERROR(print_SF('EF Table_detail'!R118),"")</f>
        <v>0</v>
      </c>
      <c r="M120" s="163" t="str" cm="1">
        <f t="array" aca="1" ref="M120" ca="1">IFERROR(print_SF('EF Table_detail'!N118),"")</f>
        <v>0</v>
      </c>
      <c r="N120" s="152" t="str" cm="1">
        <f t="array" aca="1" ref="N120" ca="1">IFERROR(print_SF('EF Table_detail'!O118),"")</f>
        <v>0</v>
      </c>
      <c r="O120" s="166" t="str" cm="1">
        <f t="array" aca="1" ref="O120" ca="1">IFERROR(print_SF('EF Table_detail'!P118),"")</f>
        <v>0</v>
      </c>
      <c r="P120" s="165" t="str" cm="1">
        <f t="array" aca="1" ref="P120" ca="1">IFERROR(print_SF('EF Table_detail'!U118),"")</f>
        <v>0</v>
      </c>
      <c r="Q120" s="166" t="str" cm="1">
        <f t="array" aca="1" ref="Q120" ca="1">IFERROR(print_SF('EF Table_detail'!W118),"")</f>
        <v>0</v>
      </c>
      <c r="R120" s="177" t="str" cm="1">
        <f t="array" aca="1" ref="R120" ca="1">IFERROR(print_SF('EF Table_detail'!Y118),"")</f>
        <v/>
      </c>
      <c r="S120" s="178" t="str">
        <f ca="1">'EF Table_detail'!Z118</f>
        <v>kg/#</v>
      </c>
      <c r="T120" s="179" t="str">
        <f ca="1">'EF Table_detail'!AA118</f>
        <v/>
      </c>
      <c r="U120" s="180" t="str">
        <f ca="1">'EF Table_detail'!AB118</f>
        <v>No</v>
      </c>
    </row>
    <row r="121" spans="1:21" ht="58.5" customHeight="1" x14ac:dyDescent="0.25">
      <c r="A121" s="147" t="str">
        <f>'EF Table_detail'!A119</f>
        <v>Lifts</v>
      </c>
      <c r="B121" s="148" t="str">
        <f>'EF Table_detail'!B119</f>
        <v>Category 3, 4 for medium rise buildings (4-10 floors)</v>
      </c>
      <c r="C121" s="149" t="str">
        <f>HYPERLINK("#"&amp;'EF Table_detail'!$C119&amp;"!A1",'EF Table_detail'!$C119)</f>
        <v>Lift_Cat3_4</v>
      </c>
      <c r="D121" s="150" t="str">
        <f ca="1">'EF Table_detail'!D119</f>
        <v>Lift (elevator) classified as category 3 and 4 from ISO 25745. Typically used in medium rise (4-10 floor). Includes all elements of a lift installation i.e. lift cars, fittings, finishes, drive elements, electronics, guide rails, counterweights, ropes etc.</v>
      </c>
      <c r="E121" s="148" t="str">
        <f ca="1">'EF Table_detail'!F119</f>
        <v>#</v>
      </c>
      <c r="F121" s="148" t="str">
        <f ca="1">'EF Table_detail'!G119</f>
        <v>Tier 4</v>
      </c>
      <c r="G121" s="159">
        <f ca="1">'EF Table_detail'!H119</f>
        <v>1.2</v>
      </c>
      <c r="H121" s="157" t="str" cm="1">
        <f t="array" aca="1" ref="H121" ca="1">IFERROR(print_SF('EF Table_detail'!M119),"")</f>
        <v>1.41E+05</v>
      </c>
      <c r="I121" s="160" t="str" cm="1">
        <f t="array" aca="1" ref="I121" ca="1">IFERROR(print_SF('EF Table_detail'!I119),"")</f>
        <v>1.17E+05</v>
      </c>
      <c r="J121" s="151" t="str" cm="1">
        <f t="array" aca="1" ref="J121" ca="1">IFERROR(print_SF('EF Table_detail'!J119),"")</f>
        <v>4,490</v>
      </c>
      <c r="K121" s="162" t="str" cm="1">
        <f t="array" aca="1" ref="K121" ca="1">IFERROR(print_SF('EF Table_detail'!K119),"")</f>
        <v>41,500</v>
      </c>
      <c r="L121" s="157" t="str" cm="1">
        <f t="array" aca="1" ref="L121" ca="1">IFERROR(print_SF('EF Table_detail'!R119),"")</f>
        <v>0</v>
      </c>
      <c r="M121" s="163" t="str" cm="1">
        <f t="array" aca="1" ref="M121" ca="1">IFERROR(print_SF('EF Table_detail'!N119),"")</f>
        <v>0</v>
      </c>
      <c r="N121" s="152" t="str" cm="1">
        <f t="array" aca="1" ref="N121" ca="1">IFERROR(print_SF('EF Table_detail'!O119),"")</f>
        <v>0</v>
      </c>
      <c r="O121" s="166" t="str" cm="1">
        <f t="array" aca="1" ref="O121" ca="1">IFERROR(print_SF('EF Table_detail'!P119),"")</f>
        <v>0</v>
      </c>
      <c r="P121" s="165" t="str" cm="1">
        <f t="array" aca="1" ref="P121" ca="1">IFERROR(print_SF('EF Table_detail'!U119),"")</f>
        <v>0</v>
      </c>
      <c r="Q121" s="166" t="str" cm="1">
        <f t="array" aca="1" ref="Q121" ca="1">IFERROR(print_SF('EF Table_detail'!W119),"")</f>
        <v>0</v>
      </c>
      <c r="R121" s="177" t="str" cm="1">
        <f t="array" aca="1" ref="R121" ca="1">IFERROR(print_SF('EF Table_detail'!Y119),"")</f>
        <v/>
      </c>
      <c r="S121" s="178" t="str">
        <f ca="1">'EF Table_detail'!Z119</f>
        <v>kg/#</v>
      </c>
      <c r="T121" s="179" t="str">
        <f ca="1">'EF Table_detail'!AA119</f>
        <v/>
      </c>
      <c r="U121" s="180" t="str">
        <f ca="1">'EF Table_detail'!AB119</f>
        <v>No</v>
      </c>
    </row>
    <row r="122" spans="1:21" ht="55.5" customHeight="1" x14ac:dyDescent="0.25">
      <c r="A122" s="147" t="str">
        <f>'EF Table_detail'!A120</f>
        <v>Lifts</v>
      </c>
      <c r="B122" s="148" t="str">
        <f>'EF Table_detail'!B120</f>
        <v>Category 1, 2 for low rise buildings (&lt;4 floors)</v>
      </c>
      <c r="C122" s="149" t="str">
        <f>HYPERLINK("#"&amp;'EF Table_detail'!$C120&amp;"!A1",'EF Table_detail'!$C120)</f>
        <v>Lift_Cat1_2</v>
      </c>
      <c r="D122" s="150" t="str">
        <f ca="1">'EF Table_detail'!D120</f>
        <v>Lift (elevator) classified as category 1 and 2 from ISO 25745. Typically used in low rise (less 4 floors) building. Includes all elements of a lift installation i.e. lift cars, fittings, finishes, drive elements, electronics, guide rails, counterweights, ropes etc.</v>
      </c>
      <c r="E122" s="148" t="str">
        <f ca="1">'EF Table_detail'!F120</f>
        <v>#</v>
      </c>
      <c r="F122" s="148" t="str">
        <f ca="1">'EF Table_detail'!G120</f>
        <v>Tier 4</v>
      </c>
      <c r="G122" s="159">
        <f ca="1">'EF Table_detail'!H120</f>
        <v>1.2</v>
      </c>
      <c r="H122" s="157" t="str" cm="1">
        <f t="array" aca="1" ref="H122" ca="1">IFERROR(print_SF('EF Table_detail'!M120),"")</f>
        <v>34,600</v>
      </c>
      <c r="I122" s="160" t="str" cm="1">
        <f t="array" aca="1" ref="I122" ca="1">IFERROR(print_SF('EF Table_detail'!I120),"")</f>
        <v>28,800</v>
      </c>
      <c r="J122" s="151" t="str" cm="1">
        <f t="array" aca="1" ref="J122" ca="1">IFERROR(print_SF('EF Table_detail'!J120),"")</f>
        <v>4,500</v>
      </c>
      <c r="K122" s="162" t="str" cm="1">
        <f t="array" aca="1" ref="K122" ca="1">IFERROR(print_SF('EF Table_detail'!K120),"")</f>
        <v>14,200</v>
      </c>
      <c r="L122" s="157" t="str" cm="1">
        <f t="array" aca="1" ref="L122" ca="1">IFERROR(print_SF('EF Table_detail'!R120),"")</f>
        <v>0</v>
      </c>
      <c r="M122" s="163" t="str" cm="1">
        <f t="array" aca="1" ref="M122" ca="1">IFERROR(print_SF('EF Table_detail'!N120),"")</f>
        <v>0</v>
      </c>
      <c r="N122" s="152" t="str" cm="1">
        <f t="array" aca="1" ref="N122" ca="1">IFERROR(print_SF('EF Table_detail'!O120),"")</f>
        <v>0</v>
      </c>
      <c r="O122" s="166" t="str" cm="1">
        <f t="array" aca="1" ref="O122" ca="1">IFERROR(print_SF('EF Table_detail'!P120),"")</f>
        <v>0</v>
      </c>
      <c r="P122" s="165" t="str" cm="1">
        <f t="array" aca="1" ref="P122" ca="1">IFERROR(print_SF('EF Table_detail'!U120),"")</f>
        <v>0</v>
      </c>
      <c r="Q122" s="166" t="str" cm="1">
        <f t="array" aca="1" ref="Q122" ca="1">IFERROR(print_SF('EF Table_detail'!W120),"")</f>
        <v>0</v>
      </c>
      <c r="R122" s="177" t="str" cm="1">
        <f t="array" aca="1" ref="R122" ca="1">IFERROR(print_SF('EF Table_detail'!Y120),"")</f>
        <v/>
      </c>
      <c r="S122" s="178" t="str">
        <f ca="1">'EF Table_detail'!Z120</f>
        <v>kg/#</v>
      </c>
      <c r="T122" s="179" t="str">
        <f ca="1">'EF Table_detail'!AA120</f>
        <v/>
      </c>
      <c r="U122" s="180" t="str">
        <f ca="1">'EF Table_detail'!AB120</f>
        <v>No</v>
      </c>
    </row>
    <row r="123" spans="1:21" ht="45" customHeight="1" x14ac:dyDescent="0.25">
      <c r="A123" s="147" t="str">
        <f>'EF Table_detail'!A121</f>
        <v>Escalator</v>
      </c>
      <c r="B123" s="148" t="str">
        <f>'EF Table_detail'!B121</f>
        <v>Escalator</v>
      </c>
      <c r="C123" s="149" t="str">
        <f>HYPERLINK("#"&amp;'EF Table_detail'!$C121&amp;"!A1",'EF Table_detail'!$C121)</f>
        <v>Escalator</v>
      </c>
      <c r="D123" s="150" t="str">
        <f ca="1">'EF Table_detail'!D121</f>
        <v xml:space="preserve">Escalator/travelator. Including all componentry (i.e. truss, stairs, rails and balustrade, drive train etc.) </v>
      </c>
      <c r="E123" s="148" t="str">
        <f ca="1">'EF Table_detail'!F121</f>
        <v>#</v>
      </c>
      <c r="F123" s="148" t="str">
        <f ca="1">'EF Table_detail'!G121</f>
        <v>Tier 4</v>
      </c>
      <c r="G123" s="159">
        <f ca="1">'EF Table_detail'!H121</f>
        <v>1.2</v>
      </c>
      <c r="H123" s="157" t="str" cm="1">
        <f t="array" aca="1" ref="H123" ca="1">IFERROR(print_SF('EF Table_detail'!M121),"")</f>
        <v>1.42E+05</v>
      </c>
      <c r="I123" s="160" t="str" cm="1">
        <f t="array" aca="1" ref="I123" ca="1">IFERROR(print_SF('EF Table_detail'!I121),"")</f>
        <v>1.18E+05</v>
      </c>
      <c r="J123" s="151" t="str" cm="1">
        <f t="array" aca="1" ref="J123" ca="1">IFERROR(print_SF('EF Table_detail'!J121),"")</f>
        <v>20,300</v>
      </c>
      <c r="K123" s="162" t="str" cm="1">
        <f t="array" aca="1" ref="K123" ca="1">IFERROR(print_SF('EF Table_detail'!K121),"")</f>
        <v>50,500</v>
      </c>
      <c r="L123" s="157" t="str" cm="1">
        <f t="array" aca="1" ref="L123" ca="1">IFERROR(print_SF('EF Table_detail'!R121),"")</f>
        <v>0</v>
      </c>
      <c r="M123" s="163" t="str" cm="1">
        <f t="array" aca="1" ref="M123" ca="1">IFERROR(print_SF('EF Table_detail'!N121),"")</f>
        <v>0</v>
      </c>
      <c r="N123" s="152" t="str" cm="1">
        <f t="array" aca="1" ref="N123" ca="1">IFERROR(print_SF('EF Table_detail'!O121),"")</f>
        <v>0</v>
      </c>
      <c r="O123" s="166" t="str" cm="1">
        <f t="array" aca="1" ref="O123" ca="1">IFERROR(print_SF('EF Table_detail'!P121),"")</f>
        <v>0</v>
      </c>
      <c r="P123" s="165" t="str" cm="1">
        <f t="array" aca="1" ref="P123" ca="1">IFERROR(print_SF('EF Table_detail'!U121),"")</f>
        <v>0</v>
      </c>
      <c r="Q123" s="166" t="str" cm="1">
        <f t="array" aca="1" ref="Q123" ca="1">IFERROR(print_SF('EF Table_detail'!W121),"")</f>
        <v>0</v>
      </c>
      <c r="R123" s="177" t="str" cm="1">
        <f t="array" aca="1" ref="R123" ca="1">IFERROR(print_SF('EF Table_detail'!Y121),"")</f>
        <v/>
      </c>
      <c r="S123" s="178">
        <f>'EF Table_detail'!Z121</f>
        <v>0</v>
      </c>
      <c r="T123" s="179" t="str">
        <f ca="1">'EF Table_detail'!AA121</f>
        <v/>
      </c>
      <c r="U123" s="180" t="str">
        <f ca="1">'EF Table_detail'!AB121</f>
        <v>No</v>
      </c>
    </row>
    <row r="124" spans="1:21" ht="45" customHeight="1" x14ac:dyDescent="0.25">
      <c r="A124" s="147" t="str">
        <f>'EF Table_detail'!A122</f>
        <v>Mechanical, electrical, and plumbing (MEP)</v>
      </c>
      <c r="B124" s="148" t="str">
        <f>'EF Table_detail'!B122</f>
        <v>Low or mid rise office, hotel or retail building (≤10 floors)</v>
      </c>
      <c r="C124" s="149" t="str">
        <f>HYPERLINK("#"&amp;'EF Table_detail'!$C122&amp;"!A1",'EF Table_detail'!$C122)</f>
        <v>Building_services</v>
      </c>
      <c r="D124" s="150" t="str">
        <f ca="1">'EF Table_detail'!D122</f>
        <v xml:space="preserve">Determination of a generic buildings services rate as named in the material category. Includes mechanical, electrical and heating, ventilation and air conditioning. </v>
      </c>
      <c r="E124" s="148" t="str">
        <f ca="1">'EF Table_detail'!F122</f>
        <v>m²</v>
      </c>
      <c r="F124" s="148" t="str">
        <f ca="1">'EF Table_detail'!G122</f>
        <v>Untiered</v>
      </c>
      <c r="G124" s="159">
        <f ca="1">'EF Table_detail'!H122</f>
        <v>1</v>
      </c>
      <c r="H124" s="157" t="str" cm="1">
        <f t="array" aca="1" ref="H124" ca="1">IFERROR(print_SF('EF Table_detail'!M122),"")</f>
        <v>67.0</v>
      </c>
      <c r="I124" s="160" t="str" cm="1">
        <f t="array" aca="1" ref="I124" ca="1">IFERROR(print_SF('EF Table_detail'!I122),"")</f>
        <v>67.0</v>
      </c>
      <c r="J124" s="151" t="str" cm="1">
        <f t="array" aca="1" ref="J124" ca="1">IFERROR(print_SF('EF Table_detail'!J122),"")</f>
        <v>41.3</v>
      </c>
      <c r="K124" s="162" t="str" cm="1">
        <f t="array" aca="1" ref="K124" ca="1">IFERROR(print_SF('EF Table_detail'!K122),"")</f>
        <v>55.3</v>
      </c>
      <c r="L124" s="157" t="str" cm="1">
        <f t="array" aca="1" ref="L124" ca="1">IFERROR(print_SF('EF Table_detail'!R122),"")</f>
        <v>3.11</v>
      </c>
      <c r="M124" s="163" t="str" cm="1">
        <f t="array" aca="1" ref="M124" ca="1">IFERROR(print_SF('EF Table_detail'!N122),"")</f>
        <v>3.11</v>
      </c>
      <c r="N124" s="152" t="str" cm="1">
        <f t="array" aca="1" ref="N124" ca="1">IFERROR(print_SF('EF Table_detail'!O122),"")</f>
        <v>2.77</v>
      </c>
      <c r="O124" s="166" t="str" cm="1">
        <f t="array" aca="1" ref="O124" ca="1">IFERROR(print_SF('EF Table_detail'!P122),"")</f>
        <v>2.95</v>
      </c>
      <c r="P124" s="165" t="str" cm="1">
        <f t="array" aca="1" ref="P124" ca="1">IFERROR(print_SF('EF Table_detail'!U122),"")</f>
        <v>0</v>
      </c>
      <c r="Q124" s="166" t="str" cm="1">
        <f t="array" aca="1" ref="Q124" ca="1">IFERROR(print_SF('EF Table_detail'!W122),"")</f>
        <v>0</v>
      </c>
      <c r="R124" s="177" t="str" cm="1">
        <f t="array" aca="1" ref="R124" ca="1">IFERROR(print_SF('EF Table_detail'!Y122),"")</f>
        <v>18.8</v>
      </c>
      <c r="S124" s="178" t="str">
        <f ca="1">'EF Table_detail'!Z122</f>
        <v>kg/m²</v>
      </c>
      <c r="T124" s="179" t="str">
        <f ca="1">'EF Table_detail'!AA122</f>
        <v>Building services includes electrical, mechanical and plumbing services in a building. It excludes transportation services i.e. lifts and escalators. It does not include use phase of these services i.e. electricity consumption of lighting of the building or leakage of refrigerants.</v>
      </c>
      <c r="U124" s="180" t="str">
        <f ca="1">'EF Table_detail'!AB122</f>
        <v>No</v>
      </c>
    </row>
    <row r="125" spans="1:21" ht="45" customHeight="1" x14ac:dyDescent="0.25">
      <c r="A125" s="147" t="str">
        <f>'EF Table_detail'!A123</f>
        <v>Mechanical, electrical, and plumbing (MEP)</v>
      </c>
      <c r="B125" s="148" t="str">
        <f>'EF Table_detail'!B123</f>
        <v>Residential building</v>
      </c>
      <c r="C125" s="149" t="str">
        <f>HYPERLINK("#"&amp;'EF Table_detail'!$C123&amp;"!A1",'EF Table_detail'!$C123)</f>
        <v>Building_services</v>
      </c>
      <c r="D125" s="150" t="str">
        <f ca="1">'EF Table_detail'!D123</f>
        <v xml:space="preserve">Determination of a generic buildings services rate as named in the material category. Includes mechanical, electrical and heating, ventilation and air conditioning. </v>
      </c>
      <c r="E125" s="148" t="str">
        <f ca="1">'EF Table_detail'!F123</f>
        <v>m²</v>
      </c>
      <c r="F125" s="148" t="str">
        <f ca="1">'EF Table_detail'!G123</f>
        <v>Untiered</v>
      </c>
      <c r="G125" s="159">
        <f ca="1">'EF Table_detail'!H123</f>
        <v>1</v>
      </c>
      <c r="H125" s="157" t="str" cm="1">
        <f t="array" aca="1" ref="H125" ca="1">IFERROR(print_SF('EF Table_detail'!M123),"")</f>
        <v>57.4</v>
      </c>
      <c r="I125" s="160" t="str" cm="1">
        <f t="array" aca="1" ref="I125" ca="1">IFERROR(print_SF('EF Table_detail'!I123),"")</f>
        <v>57.4</v>
      </c>
      <c r="J125" s="151" t="str" cm="1">
        <f t="array" aca="1" ref="J125" ca="1">IFERROR(print_SF('EF Table_detail'!J123),"")</f>
        <v>41.2</v>
      </c>
      <c r="K125" s="162" t="str" cm="1">
        <f t="array" aca="1" ref="K125" ca="1">IFERROR(print_SF('EF Table_detail'!K123),"")</f>
        <v>46.8</v>
      </c>
      <c r="L125" s="157" t="str" cm="1">
        <f t="array" aca="1" ref="L125" ca="1">IFERROR(print_SF('EF Table_detail'!R123),"")</f>
        <v>2.69</v>
      </c>
      <c r="M125" s="163" t="str" cm="1">
        <f t="array" aca="1" ref="M125" ca="1">IFERROR(print_SF('EF Table_detail'!N123),"")</f>
        <v>2.69</v>
      </c>
      <c r="N125" s="152" t="str" cm="1">
        <f t="array" aca="1" ref="N125" ca="1">IFERROR(print_SF('EF Table_detail'!O123),"")</f>
        <v>2.26</v>
      </c>
      <c r="O125" s="166" t="str" cm="1">
        <f t="array" aca="1" ref="O125" ca="1">IFERROR(print_SF('EF Table_detail'!P123),"")</f>
        <v>2.26</v>
      </c>
      <c r="P125" s="165" t="str" cm="1">
        <f t="array" aca="1" ref="P125" ca="1">IFERROR(print_SF('EF Table_detail'!U123),"")</f>
        <v>0</v>
      </c>
      <c r="Q125" s="166" t="str" cm="1">
        <f t="array" aca="1" ref="Q125" ca="1">IFERROR(print_SF('EF Table_detail'!W123),"")</f>
        <v>0</v>
      </c>
      <c r="R125" s="177" t="str" cm="1">
        <f t="array" aca="1" ref="R125" ca="1">IFERROR(print_SF('EF Table_detail'!Y123),"")</f>
        <v>20.7</v>
      </c>
      <c r="S125" s="178" t="str">
        <f ca="1">'EF Table_detail'!Z123</f>
        <v>kg/m²</v>
      </c>
      <c r="T125" s="179" t="str">
        <f ca="1">'EF Table_detail'!AA123</f>
        <v>Building services includes electrical, mechanical and plumbing services in a building. It excludes transportation services i.e. lifts and escalators. It does not include use phase of these services i.e. electricity consumption of lighting of the building or leakage of refrigerants.</v>
      </c>
      <c r="U125" s="180" t="str">
        <f ca="1">'EF Table_detail'!AB123</f>
        <v>No</v>
      </c>
    </row>
    <row r="126" spans="1:21" ht="45" customHeight="1" x14ac:dyDescent="0.25">
      <c r="A126" s="147" t="str">
        <f>'EF Table_detail'!A124</f>
        <v>Mechanical, electrical, and plumbing (MEP)</v>
      </c>
      <c r="B126" s="148" t="str">
        <f>'EF Table_detail'!B124</f>
        <v>Warehouse or industrial building</v>
      </c>
      <c r="C126" s="149" t="str">
        <f>HYPERLINK("#"&amp;'EF Table_detail'!$C124&amp;"!A1",'EF Table_detail'!$C124)</f>
        <v>Building_services</v>
      </c>
      <c r="D126" s="150" t="str">
        <f ca="1">'EF Table_detail'!D124</f>
        <v xml:space="preserve">Determination of a generic buildings services rate as named in the material category. Includes mechanical, electrical and heating, ventilation and air conditioning. </v>
      </c>
      <c r="E126" s="148" t="str">
        <f ca="1">'EF Table_detail'!F124</f>
        <v>m²</v>
      </c>
      <c r="F126" s="148" t="str">
        <f ca="1">'EF Table_detail'!G124</f>
        <v>Untiered</v>
      </c>
      <c r="G126" s="159">
        <f ca="1">'EF Table_detail'!H124</f>
        <v>1</v>
      </c>
      <c r="H126" s="157" t="str" cm="1">
        <f t="array" aca="1" ref="H126" ca="1">IFERROR(print_SF('EF Table_detail'!M124),"")</f>
        <v>13.4</v>
      </c>
      <c r="I126" s="160" t="str" cm="1">
        <f t="array" aca="1" ref="I126" ca="1">IFERROR(print_SF('EF Table_detail'!I124),"")</f>
        <v>13.4</v>
      </c>
      <c r="J126" s="151" t="str" cm="1">
        <f t="array" aca="1" ref="J126" ca="1">IFERROR(print_SF('EF Table_detail'!J124),"")</f>
        <v>11.8</v>
      </c>
      <c r="K126" s="162" t="str" cm="1">
        <f t="array" aca="1" ref="K126" ca="1">IFERROR(print_SF('EF Table_detail'!K124),"")</f>
        <v>12.6</v>
      </c>
      <c r="L126" s="157" t="str" cm="1">
        <f t="array" aca="1" ref="L126" ca="1">IFERROR(print_SF('EF Table_detail'!R124),"")</f>
        <v>2.77</v>
      </c>
      <c r="M126" s="163" t="str" cm="1">
        <f t="array" aca="1" ref="M126" ca="1">IFERROR(print_SF('EF Table_detail'!N124),"")</f>
        <v>2.77</v>
      </c>
      <c r="N126" s="152" t="str" cm="1">
        <f t="array" aca="1" ref="N126" ca="1">IFERROR(print_SF('EF Table_detail'!O124),"")</f>
        <v>1.59</v>
      </c>
      <c r="O126" s="166" t="str" cm="1">
        <f t="array" aca="1" ref="O126" ca="1">IFERROR(print_SF('EF Table_detail'!P124),"")</f>
        <v>2.18</v>
      </c>
      <c r="P126" s="165" t="str" cm="1">
        <f t="array" aca="1" ref="P126" ca="1">IFERROR(print_SF('EF Table_detail'!U124),"")</f>
        <v>0</v>
      </c>
      <c r="Q126" s="166" t="str" cm="1">
        <f t="array" aca="1" ref="Q126" ca="1">IFERROR(print_SF('EF Table_detail'!W124),"")</f>
        <v>0</v>
      </c>
      <c r="R126" s="177" t="str" cm="1">
        <f t="array" aca="1" ref="R126" ca="1">IFERROR(print_SF('EF Table_detail'!Y124),"")</f>
        <v>5.77</v>
      </c>
      <c r="S126" s="178" t="str">
        <f ca="1">'EF Table_detail'!Z124</f>
        <v>kg/m²</v>
      </c>
      <c r="T126" s="179" t="str">
        <f ca="1">'EF Table_detail'!AA124</f>
        <v>Building services includes electrical, mechanical and plumbing services in a building. It excludes transportation services i.e. lifts and escalators. It does not include use phase of these services i.e. electricity consumption of lighting of the building or leakage of refrigerants.</v>
      </c>
      <c r="U126" s="180" t="str">
        <f ca="1">'EF Table_detail'!AB124</f>
        <v>No</v>
      </c>
    </row>
    <row r="127" spans="1:21" ht="45" customHeight="1" x14ac:dyDescent="0.25">
      <c r="A127" s="147" t="str">
        <f>'EF Table_detail'!A125</f>
        <v>Mechanical, electrical, and plumbing (MEP)</v>
      </c>
      <c r="B127" s="148" t="str">
        <f>'EF Table_detail'!B125</f>
        <v>High rise office, hotel or retail building (&gt;10 floors)</v>
      </c>
      <c r="C127" s="149" t="str">
        <f>HYPERLINK("#"&amp;'EF Table_detail'!$C125&amp;"!A1",'EF Table_detail'!$C125)</f>
        <v>Building_services</v>
      </c>
      <c r="D127" s="150" t="str">
        <f ca="1">'EF Table_detail'!D125</f>
        <v xml:space="preserve">Determination of a generic buildings services rate as named in the material category. Includes mechanical, electrical and heating, ventilation and air conditioning. </v>
      </c>
      <c r="E127" s="148" t="str">
        <f ca="1">'EF Table_detail'!F125</f>
        <v>m²</v>
      </c>
      <c r="F127" s="148" t="str">
        <f ca="1">'EF Table_detail'!G125</f>
        <v>Untiered</v>
      </c>
      <c r="G127" s="159">
        <f ca="1">'EF Table_detail'!H125</f>
        <v>1</v>
      </c>
      <c r="H127" s="157" t="str" cm="1">
        <f t="array" aca="1" ref="H127" ca="1">IFERROR(print_SF('EF Table_detail'!M125),"")</f>
        <v>74.8</v>
      </c>
      <c r="I127" s="160" t="str" cm="1">
        <f t="array" aca="1" ref="I127" ca="1">IFERROR(print_SF('EF Table_detail'!I125),"")</f>
        <v>74.8</v>
      </c>
      <c r="J127" s="151" t="str" cm="1">
        <f t="array" aca="1" ref="J127" ca="1">IFERROR(print_SF('EF Table_detail'!J125),"")</f>
        <v>48.9</v>
      </c>
      <c r="K127" s="162" t="str" cm="1">
        <f t="array" aca="1" ref="K127" ca="1">IFERROR(print_SF('EF Table_detail'!K125),"")</f>
        <v>62.6</v>
      </c>
      <c r="L127" s="157" t="str" cm="1">
        <f t="array" aca="1" ref="L127" ca="1">IFERROR(print_SF('EF Table_detail'!R125),"")</f>
        <v>3.88</v>
      </c>
      <c r="M127" s="163" t="str" cm="1">
        <f t="array" aca="1" ref="M127" ca="1">IFERROR(print_SF('EF Table_detail'!N125),"")</f>
        <v>3.88</v>
      </c>
      <c r="N127" s="152" t="str" cm="1">
        <f t="array" aca="1" ref="N127" ca="1">IFERROR(print_SF('EF Table_detail'!O125),"")</f>
        <v>2.88</v>
      </c>
      <c r="O127" s="166" t="str" cm="1">
        <f t="array" aca="1" ref="O127" ca="1">IFERROR(print_SF('EF Table_detail'!P125),"")</f>
        <v>3.24</v>
      </c>
      <c r="P127" s="165" t="str" cm="1">
        <f t="array" aca="1" ref="P127" ca="1">IFERROR(print_SF('EF Table_detail'!U125),"")</f>
        <v>0</v>
      </c>
      <c r="Q127" s="166" t="str" cm="1">
        <f t="array" aca="1" ref="Q127" ca="1">IFERROR(print_SF('EF Table_detail'!W125),"")</f>
        <v>0</v>
      </c>
      <c r="R127" s="177" t="str" cm="1">
        <f t="array" aca="1" ref="R127" ca="1">IFERROR(print_SF('EF Table_detail'!Y125),"")</f>
        <v>19.3</v>
      </c>
      <c r="S127" s="178" t="str">
        <f ca="1">'EF Table_detail'!Z125</f>
        <v>kg/m²</v>
      </c>
      <c r="T127" s="179" t="str">
        <f ca="1">'EF Table_detail'!AA125</f>
        <v>Building services includes electrical, mechanical and plumbing services in a building. It excludes transportation services i.e. lifts and escalators. It does not include use phase of these services i.e. electricity consumption of lighting of the building or leakage of refrigerants.</v>
      </c>
      <c r="U127" s="180" t="str">
        <f ca="1">'EF Table_detail'!AB125</f>
        <v>No</v>
      </c>
    </row>
    <row r="128" spans="1:21" ht="45" customHeight="1" x14ac:dyDescent="0.25">
      <c r="A128" s="147" t="str">
        <f>'EF Table_detail'!A126</f>
        <v>Mechanical, electrical, and plumbing (MEP)</v>
      </c>
      <c r="B128" s="148" t="str">
        <f>'EF Table_detail'!B126</f>
        <v>Hospital or high services intensity building</v>
      </c>
      <c r="C128" s="149" t="str">
        <f>HYPERLINK("#"&amp;'EF Table_detail'!$C126&amp;"!A1",'EF Table_detail'!$C126)</f>
        <v>Building_services</v>
      </c>
      <c r="D128" s="150" t="str">
        <f ca="1">'EF Table_detail'!D126</f>
        <v xml:space="preserve">Determination of a generic buildings services rate as named in the material category. Includes mechanical, electrical and heating, ventilation and air conditioning. </v>
      </c>
      <c r="E128" s="148" t="str">
        <f ca="1">'EF Table_detail'!F126</f>
        <v>m²</v>
      </c>
      <c r="F128" s="148" t="str">
        <f ca="1">'EF Table_detail'!G126</f>
        <v>Untiered</v>
      </c>
      <c r="G128" s="159">
        <f ca="1">'EF Table_detail'!H126</f>
        <v>1</v>
      </c>
      <c r="H128" s="157" t="str" cm="1">
        <f t="array" aca="1" ref="H128" ca="1">IFERROR(print_SF('EF Table_detail'!M126),"")</f>
        <v>74.8</v>
      </c>
      <c r="I128" s="160" t="str" cm="1">
        <f t="array" aca="1" ref="I128" ca="1">IFERROR(print_SF('EF Table_detail'!I126),"")</f>
        <v>74.8</v>
      </c>
      <c r="J128" s="151" t="str" cm="1">
        <f t="array" aca="1" ref="J128" ca="1">IFERROR(print_SF('EF Table_detail'!J126),"")</f>
        <v>55.1</v>
      </c>
      <c r="K128" s="162" t="str" cm="1">
        <f t="array" aca="1" ref="K128" ca="1">IFERROR(print_SF('EF Table_detail'!K126),"")</f>
        <v>66.0</v>
      </c>
      <c r="L128" s="157" t="str" cm="1">
        <f t="array" aca="1" ref="L128" ca="1">IFERROR(print_SF('EF Table_detail'!R126),"")</f>
        <v>3.95</v>
      </c>
      <c r="M128" s="163" t="str" cm="1">
        <f t="array" aca="1" ref="M128" ca="1">IFERROR(print_SF('EF Table_detail'!N126),"")</f>
        <v>3.95</v>
      </c>
      <c r="N128" s="152" t="str" cm="1">
        <f t="array" aca="1" ref="N128" ca="1">IFERROR(print_SF('EF Table_detail'!O126),"")</f>
        <v>2.91</v>
      </c>
      <c r="O128" s="166" t="str" cm="1">
        <f t="array" aca="1" ref="O128" ca="1">IFERROR(print_SF('EF Table_detail'!P126),"")</f>
        <v>3.29</v>
      </c>
      <c r="P128" s="165" t="str" cm="1">
        <f t="array" aca="1" ref="P128" ca="1">IFERROR(print_SF('EF Table_detail'!U126),"")</f>
        <v>0</v>
      </c>
      <c r="Q128" s="166" t="str" cm="1">
        <f t="array" aca="1" ref="Q128" ca="1">IFERROR(print_SF('EF Table_detail'!W126),"")</f>
        <v>0</v>
      </c>
      <c r="R128" s="177" t="str" cm="1">
        <f t="array" aca="1" ref="R128" ca="1">IFERROR(print_SF('EF Table_detail'!Y126),"")</f>
        <v>20.1</v>
      </c>
      <c r="S128" s="178" t="str">
        <f ca="1">'EF Table_detail'!Z126</f>
        <v>kg/m²</v>
      </c>
      <c r="T128" s="179" t="str">
        <f ca="1">'EF Table_detail'!AA126</f>
        <v>Building services includes electrical, mechanical and plumbing services in a building. It excludes transportation services i.e. lifts and escalators. It does not include use phase of these services i.e. electricity consumption of lighting of the building or leakage of refrigerants.</v>
      </c>
      <c r="U128" s="180" t="str">
        <f ca="1">'EF Table_detail'!AB126</f>
        <v>No</v>
      </c>
    </row>
    <row r="129" spans="1:22" ht="45" customHeight="1" x14ac:dyDescent="0.25">
      <c r="A129" s="147" t="str">
        <f>'EF Table_detail'!A127</f>
        <v>Other</v>
      </c>
      <c r="B129" s="148" t="str">
        <f>'EF Table_detail'!B127</f>
        <v>Other</v>
      </c>
      <c r="C129" s="149" t="str">
        <f>HYPERLINK("#"&amp;'EF Table_detail'!$C127&amp;"!A1",'EF Table_detail'!$C127)</f>
        <v>Other</v>
      </c>
      <c r="D129" s="150" t="str">
        <f>'EF Table_detail'!D127</f>
        <v xml:space="preserve">Other/miscellaneous material </v>
      </c>
      <c r="E129" s="148" t="str">
        <f>'EF Table_detail'!F127</f>
        <v>kg</v>
      </c>
      <c r="F129" s="148" t="str">
        <f>'EF Table_detail'!G127</f>
        <v>Untiered</v>
      </c>
      <c r="G129" s="159">
        <f>'EF Table_detail'!H127</f>
        <v>1</v>
      </c>
      <c r="H129" s="158" t="str" cm="1">
        <f t="array" aca="1" ref="H129" ca="1">IFERROR(print_SF('EF Table_detail'!M127),"")</f>
        <v>4.76</v>
      </c>
      <c r="I129" s="171" t="str" cm="1">
        <f t="array" aca="1" ref="I129" ca="1">IFERROR(print_SF('EF Table_detail'!I127),"")</f>
        <v>4.76</v>
      </c>
      <c r="J129" s="167" t="str" cm="1">
        <f t="array" aca="1" ref="J129" ca="1">IFERROR(print_SF('EF Table_detail'!J127),"")</f>
        <v>1.17</v>
      </c>
      <c r="K129" s="172" t="str" cm="1">
        <f t="array" aca="1" ref="K129" ca="1">IFERROR(print_SF('EF Table_detail'!K127),"")</f>
        <v>2.94</v>
      </c>
      <c r="L129" s="158" t="str" cm="1">
        <f t="array" aca="1" ref="L129" ca="1">IFERROR(print_SF('EF Table_detail'!R127),"")</f>
        <v>4.76</v>
      </c>
      <c r="M129" s="173" t="str" cm="1">
        <f t="array" aca="1" ref="M129" ca="1">IFERROR(print_SF('EF Table_detail'!N127),"")</f>
        <v>4.76</v>
      </c>
      <c r="N129" s="168" t="str" cm="1">
        <f t="array" aca="1" ref="N129" ca="1">IFERROR(print_SF('EF Table_detail'!O127),"")</f>
        <v>1.17</v>
      </c>
      <c r="O129" s="169" t="str" cm="1">
        <f t="array" aca="1" ref="O129" ca="1">IFERROR(print_SF('EF Table_detail'!P127),"")</f>
        <v>2.94</v>
      </c>
      <c r="P129" s="186" t="str" cm="1">
        <f t="array" ref="P129">IFERROR(print_SF('EF Table_detail'!U127),"")</f>
        <v>0</v>
      </c>
      <c r="Q129" s="169" t="str" cm="1">
        <f t="array" ref="Q129">IFERROR(print_SF('EF Table_detail'!W127),"")</f>
        <v>0</v>
      </c>
      <c r="R129" s="181" t="str" cm="1">
        <f t="array" aca="1" ref="R129" ca="1">IFERROR(print_SF('EF Table_detail'!Y127),"")</f>
        <v>1.00</v>
      </c>
      <c r="S129" s="182" t="str">
        <f>'EF Table_detail'!Z127</f>
        <v>kg/kg</v>
      </c>
      <c r="T129" s="183">
        <f>'EF Table_detail'!AA127</f>
        <v>0</v>
      </c>
      <c r="U129" s="184">
        <f>'EF Table_detail'!AB127</f>
        <v>0</v>
      </c>
    </row>
    <row r="130" spans="1:22" x14ac:dyDescent="0.25">
      <c r="A130" s="129"/>
      <c r="B130" s="130"/>
      <c r="C130" s="130"/>
      <c r="D130" s="137"/>
      <c r="E130" s="130"/>
      <c r="F130" s="130"/>
      <c r="G130" s="130"/>
      <c r="H130" s="130"/>
      <c r="I130" s="130"/>
      <c r="J130" s="130"/>
      <c r="K130" s="130"/>
      <c r="L130" s="130"/>
      <c r="M130" s="130"/>
      <c r="N130" s="130"/>
      <c r="O130" s="130"/>
      <c r="P130" s="130"/>
      <c r="Q130" s="130"/>
      <c r="R130" s="130"/>
      <c r="S130" s="130"/>
      <c r="T130" s="137"/>
      <c r="U130" s="130"/>
    </row>
    <row r="133" spans="1:22" x14ac:dyDescent="0.25">
      <c r="A133" s="134"/>
      <c r="B133" s="135"/>
      <c r="C133" s="135"/>
      <c r="D133" s="144"/>
      <c r="E133" s="135"/>
      <c r="F133" s="135"/>
      <c r="G133" s="135"/>
      <c r="H133" s="135"/>
      <c r="I133" s="135"/>
      <c r="J133" s="135"/>
      <c r="K133" s="135"/>
      <c r="L133" s="135"/>
      <c r="M133" s="135"/>
      <c r="N133" s="135"/>
      <c r="O133" s="135"/>
      <c r="P133" s="135"/>
      <c r="Q133" s="135"/>
      <c r="R133" s="135"/>
      <c r="S133" s="135"/>
      <c r="T133" s="144"/>
      <c r="U133" s="135"/>
    </row>
    <row r="134" spans="1:22" s="142" customFormat="1" hidden="1" x14ac:dyDescent="0.25">
      <c r="A134" s="7" t="s">
        <v>5428</v>
      </c>
      <c r="B134" s="2"/>
      <c r="C134" s="2"/>
      <c r="D134" s="5">
        <v>3</v>
      </c>
      <c r="E134" s="2">
        <v>17</v>
      </c>
      <c r="F134" s="2">
        <v>9</v>
      </c>
      <c r="G134" s="2"/>
      <c r="H134" s="2"/>
      <c r="I134" s="2">
        <v>18</v>
      </c>
      <c r="J134" s="2">
        <v>19</v>
      </c>
      <c r="K134" s="2">
        <v>20</v>
      </c>
      <c r="L134" s="2"/>
      <c r="M134" s="2">
        <v>18</v>
      </c>
      <c r="N134" s="2">
        <v>19</v>
      </c>
      <c r="O134" s="2">
        <v>20</v>
      </c>
      <c r="P134" s="2">
        <v>20</v>
      </c>
      <c r="Q134" s="2">
        <v>20</v>
      </c>
      <c r="R134" s="2"/>
      <c r="S134" s="2"/>
      <c r="T134" s="5">
        <v>11</v>
      </c>
      <c r="U134" s="2">
        <v>20</v>
      </c>
      <c r="V134" s="141"/>
    </row>
    <row r="135" spans="1:22" s="142" customFormat="1" hidden="1" x14ac:dyDescent="0.25">
      <c r="A135" s="6" t="s">
        <v>5429</v>
      </c>
      <c r="B135" s="1"/>
      <c r="C135" s="1"/>
      <c r="D135" s="4">
        <v>2</v>
      </c>
      <c r="E135" s="1">
        <v>4</v>
      </c>
      <c r="F135" s="1">
        <v>2</v>
      </c>
      <c r="G135" s="1"/>
      <c r="H135" s="1"/>
      <c r="I135" s="1">
        <v>4</v>
      </c>
      <c r="J135" s="1">
        <v>4</v>
      </c>
      <c r="K135" s="1">
        <v>4</v>
      </c>
      <c r="L135" s="1"/>
      <c r="M135" s="1">
        <v>5</v>
      </c>
      <c r="N135" s="1">
        <v>5</v>
      </c>
      <c r="O135" s="1">
        <v>5</v>
      </c>
      <c r="P135" s="1">
        <v>6</v>
      </c>
      <c r="Q135" s="1">
        <v>7</v>
      </c>
      <c r="R135" s="1"/>
      <c r="S135" s="1"/>
      <c r="T135" s="4">
        <v>2</v>
      </c>
      <c r="U135" s="1">
        <v>3</v>
      </c>
      <c r="V135" s="141"/>
    </row>
    <row r="136" spans="1:22" hidden="1" x14ac:dyDescent="0.25">
      <c r="A136" s="193">
        <f>IF(A$9="EXCLUDE",0,1)</f>
        <v>1</v>
      </c>
      <c r="B136" s="193">
        <f t="shared" ref="B136:U136" si="0">IF(B$9="EXCLUDE",0,1)</f>
        <v>1</v>
      </c>
      <c r="C136" s="193">
        <f t="shared" si="0"/>
        <v>0</v>
      </c>
      <c r="D136" s="193">
        <f t="shared" si="0"/>
        <v>1</v>
      </c>
      <c r="E136" s="193">
        <f t="shared" si="0"/>
        <v>1</v>
      </c>
      <c r="F136" s="193">
        <f t="shared" si="0"/>
        <v>1</v>
      </c>
      <c r="G136" s="193">
        <f t="shared" si="0"/>
        <v>1</v>
      </c>
      <c r="H136" s="193">
        <f t="shared" si="0"/>
        <v>1</v>
      </c>
      <c r="I136" s="193">
        <f t="shared" si="0"/>
        <v>1</v>
      </c>
      <c r="J136" s="193">
        <f t="shared" si="0"/>
        <v>1</v>
      </c>
      <c r="K136" s="193">
        <f t="shared" si="0"/>
        <v>1</v>
      </c>
      <c r="L136" s="193">
        <f t="shared" si="0"/>
        <v>1</v>
      </c>
      <c r="M136" s="193">
        <f t="shared" si="0"/>
        <v>1</v>
      </c>
      <c r="N136" s="193">
        <f t="shared" si="0"/>
        <v>1</v>
      </c>
      <c r="O136" s="193">
        <f t="shared" si="0"/>
        <v>1</v>
      </c>
      <c r="P136" s="193">
        <f t="shared" si="0"/>
        <v>1</v>
      </c>
      <c r="Q136" s="193">
        <f t="shared" si="0"/>
        <v>1</v>
      </c>
      <c r="R136" s="193">
        <f t="shared" si="0"/>
        <v>1</v>
      </c>
      <c r="S136" s="193">
        <f t="shared" si="0"/>
        <v>1</v>
      </c>
      <c r="T136" s="193">
        <f>IF(T$9="EXCLUDE",0,1)</f>
        <v>0</v>
      </c>
      <c r="U136" s="193">
        <f t="shared" si="0"/>
        <v>1</v>
      </c>
    </row>
  </sheetData>
  <dataConsolidate/>
  <mergeCells count="5">
    <mergeCell ref="P6:Q6"/>
    <mergeCell ref="A3:C3"/>
    <mergeCell ref="H7:K7"/>
    <mergeCell ref="L7:O7"/>
    <mergeCell ref="H6:O6"/>
  </mergeCells>
  <conditionalFormatting sqref="R10:S129">
    <cfRule type="cellIs" dxfId="11" priority="1" operator="equal">
      <formula>"Mixed"</formula>
    </cfRule>
  </conditionalFormatting>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BCC8C-3A3B-487B-97DB-A90EF88FE91D}">
  <sheetPr codeName="Sheet42">
    <tabColor rgb="FF00CCFF"/>
  </sheetPr>
  <dimension ref="A1:V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9" width="14.453125" style="132" customWidth="1"/>
    <col min="10" max="10" width="13.26953125" style="132" customWidth="1"/>
    <col min="11" max="11" width="16.26953125" style="132" customWidth="1"/>
    <col min="12" max="15" width="9.1796875" style="132"/>
    <col min="16" max="16" width="13.81640625" style="132" customWidth="1"/>
    <col min="17" max="17" width="9.1796875" style="132"/>
    <col min="18" max="18" width="22.81640625" style="132" customWidth="1"/>
    <col min="19" max="19" width="43.54296875" style="132" customWidth="1"/>
    <col min="20" max="20" width="38.7265625" style="132" customWidth="1"/>
    <col min="21" max="21" width="41.453125" style="132" customWidth="1"/>
    <col min="22" max="22" width="36.7265625" style="132" customWidth="1"/>
    <col min="23" max="16384" width="9.1796875" style="132"/>
  </cols>
  <sheetData>
    <row r="1" spans="1:22" ht="13" x14ac:dyDescent="0.25">
      <c r="A1" s="202" t="str">
        <f>B16</f>
        <v>Plywood (all)</v>
      </c>
    </row>
    <row r="2" spans="1:22" ht="13" x14ac:dyDescent="0.25">
      <c r="A2" s="202"/>
      <c r="C2" s="202"/>
    </row>
    <row r="3" spans="1:22" ht="13" x14ac:dyDescent="0.3">
      <c r="A3" s="227" t="s">
        <v>5626</v>
      </c>
      <c r="B3" s="132" t="s">
        <v>5852</v>
      </c>
    </row>
    <row r="4" spans="1:22" ht="13" x14ac:dyDescent="0.25">
      <c r="A4" s="202"/>
    </row>
    <row r="5" spans="1:22" ht="92.25" customHeight="1" x14ac:dyDescent="0.3">
      <c r="A5" s="227" t="s">
        <v>5628</v>
      </c>
      <c r="B5" s="200" t="s">
        <v>5853</v>
      </c>
      <c r="E5" s="271"/>
    </row>
    <row r="6" spans="1:22" ht="13" x14ac:dyDescent="0.3">
      <c r="A6" s="227" t="s">
        <v>5630</v>
      </c>
      <c r="B6" s="132" t="s">
        <v>72</v>
      </c>
      <c r="D6" s="271"/>
    </row>
    <row r="7" spans="1:22" ht="13" x14ac:dyDescent="0.3">
      <c r="A7" s="227" t="s">
        <v>5631</v>
      </c>
      <c r="B7" s="201" t="s">
        <v>71</v>
      </c>
      <c r="K7" s="202" t="s">
        <v>5700</v>
      </c>
    </row>
    <row r="8" spans="1:22" ht="13" x14ac:dyDescent="0.3">
      <c r="A8" s="227" t="s">
        <v>5632</v>
      </c>
      <c r="B8" s="201" t="s">
        <v>72</v>
      </c>
    </row>
    <row r="9" spans="1:22" ht="13" x14ac:dyDescent="0.3">
      <c r="A9" s="227" t="s">
        <v>5633</v>
      </c>
      <c r="B9" s="202" t="s">
        <v>72</v>
      </c>
      <c r="S9" s="132" t="s">
        <v>146</v>
      </c>
      <c r="T9" s="132" t="s">
        <v>153</v>
      </c>
      <c r="U9" s="132" t="s">
        <v>147</v>
      </c>
      <c r="V9" s="132" t="s">
        <v>154</v>
      </c>
    </row>
    <row r="10" spans="1:22" ht="13" x14ac:dyDescent="0.3">
      <c r="A10" s="227"/>
      <c r="B10" s="202"/>
      <c r="L10" s="132" t="s">
        <v>5825</v>
      </c>
      <c r="M10" s="240">
        <f>P12</f>
        <v>0.30434782608695654</v>
      </c>
      <c r="O10" s="132" t="s">
        <v>5826</v>
      </c>
      <c r="P10" s="132">
        <v>1600000</v>
      </c>
      <c r="R10" s="132" t="s">
        <v>5827</v>
      </c>
      <c r="S10" s="132">
        <f>SUMIF(_xlfn.ANCHORARRAY($B$23),"*"&amp;"Global"&amp;"*",_xlfn.ANCHORARRAY(D$23))/COUNTIF(_xlfn.ANCHORARRAY($B$23),"*"&amp;"Global"&amp;"*")</f>
        <v>330.42127333333326</v>
      </c>
      <c r="T10" s="132">
        <f t="shared" ref="T10:V10" si="0">SUMIF(_xlfn.ANCHORARRAY($B$23),"*"&amp;"Global"&amp;"*",_xlfn.ANCHORARRAY(E$23))/COUNTIF(_xlfn.ANCHORARRAY($B$23),"*"&amp;"Global"&amp;"*")</f>
        <v>0.66521120454024829</v>
      </c>
      <c r="U10" s="132">
        <f t="shared" si="0"/>
        <v>800.83999999999992</v>
      </c>
      <c r="V10" s="132">
        <f t="shared" si="0"/>
        <v>1.5373544742867327</v>
      </c>
    </row>
    <row r="11" spans="1:22" ht="25.5" x14ac:dyDescent="0.3">
      <c r="A11" s="227" t="s">
        <v>5634</v>
      </c>
      <c r="B11" s="200" t="s">
        <v>5828</v>
      </c>
      <c r="L11" s="132" t="s">
        <v>5829</v>
      </c>
      <c r="M11" s="240">
        <f>1-M10</f>
        <v>0.69565217391304346</v>
      </c>
      <c r="O11" s="132" t="s">
        <v>5825</v>
      </c>
      <c r="P11" s="132">
        <v>700000</v>
      </c>
      <c r="R11" s="132" t="s">
        <v>5689</v>
      </c>
      <c r="S11" s="132">
        <f>SUMIF(_xlfn.ANCHORARRAY($B$23),"*"&amp;"FWPA"&amp;"*",_xlfn.ANCHORARRAY(D$23))/COUNTIF(_xlfn.ANCHORARRAY($B$23),"*"&amp;"FWPA"&amp;"*")</f>
        <v>571.47144902135847</v>
      </c>
      <c r="T11" s="132">
        <f t="shared" ref="T11:V11" si="1">SUMIF(_xlfn.ANCHORARRAY($B$23),"*"&amp;"FWPA"&amp;"*",_xlfn.ANCHORARRAY(E$23))/COUNTIF(_xlfn.ANCHORARRAY($B$23),"*"&amp;"FWPA"&amp;"*")</f>
        <v>1.1145759650211071</v>
      </c>
      <c r="U11" s="132">
        <f t="shared" si="1"/>
        <v>858.37159663865555</v>
      </c>
      <c r="V11" s="132">
        <f t="shared" si="1"/>
        <v>1.686666666666667</v>
      </c>
    </row>
    <row r="12" spans="1:22" x14ac:dyDescent="0.25">
      <c r="A12" s="228"/>
      <c r="P12" s="275">
        <f>P11/(P10+P11)</f>
        <v>0.30434782608695654</v>
      </c>
      <c r="R12" s="132" t="s">
        <v>5830</v>
      </c>
      <c r="S12" s="132">
        <f>SUMPRODUCT(S10:S11,$M$10:$M$11)</f>
        <v>498.10835207282906</v>
      </c>
      <c r="T12" s="132">
        <f t="shared" ref="T12:V12" si="2">SUMPRODUCT(T10:T11,$M$10:$M$11)</f>
        <v>0.97781277704867176</v>
      </c>
      <c r="U12" s="132">
        <f t="shared" si="2"/>
        <v>840.86198027036903</v>
      </c>
      <c r="V12" s="132">
        <f t="shared" si="2"/>
        <v>1.6412238255075566</v>
      </c>
    </row>
    <row r="13" spans="1:22" x14ac:dyDescent="0.25">
      <c r="A13" s="228"/>
    </row>
    <row r="14" spans="1:22" ht="13" x14ac:dyDescent="0.3">
      <c r="A14" s="227" t="s">
        <v>5635</v>
      </c>
      <c r="L14" s="202" t="s">
        <v>5831</v>
      </c>
    </row>
    <row r="15" spans="1:22" ht="13" x14ac:dyDescent="0.3">
      <c r="A15" s="227"/>
      <c r="B15" s="135"/>
      <c r="C15" s="135"/>
      <c r="D15" s="299" t="s">
        <v>77</v>
      </c>
      <c r="E15" s="300"/>
      <c r="F15" s="299" t="s">
        <v>5424</v>
      </c>
      <c r="G15" s="301"/>
      <c r="H15" s="135"/>
      <c r="L15" s="243" t="s">
        <v>5832</v>
      </c>
    </row>
    <row r="16" spans="1:22" ht="39" x14ac:dyDescent="0.25">
      <c r="A16" s="133"/>
      <c r="B16" s="319" t="s">
        <v>4644</v>
      </c>
      <c r="C16" s="311" t="s">
        <v>24</v>
      </c>
      <c r="D16" s="208" t="s">
        <v>146</v>
      </c>
      <c r="E16" s="209" t="s">
        <v>153</v>
      </c>
      <c r="F16" s="208" t="s">
        <v>147</v>
      </c>
      <c r="G16" s="208" t="s">
        <v>154</v>
      </c>
      <c r="H16" s="208" t="s">
        <v>5840</v>
      </c>
      <c r="I16" s="131"/>
      <c r="L16" s="132" t="s">
        <v>5834</v>
      </c>
    </row>
    <row r="17" spans="1:15" ht="13" x14ac:dyDescent="0.3">
      <c r="A17" s="133"/>
      <c r="B17" s="317"/>
      <c r="C17" s="206" t="s">
        <v>5636</v>
      </c>
      <c r="D17" s="207" t="str" cm="1">
        <f t="array" ref="D17">IF(AND(_xlfn.ANCHORARRAY(C23)=C23),C23,"Mixed")</f>
        <v>m³</v>
      </c>
      <c r="E17" s="207" t="s">
        <v>2774</v>
      </c>
      <c r="F17" s="207" t="str" cm="1">
        <f t="array" ref="F17">IF(AND(_xlfn.ANCHORARRAY(C23)=C23),C23,"Mixed")</f>
        <v>m³</v>
      </c>
      <c r="G17" s="207" t="s">
        <v>2774</v>
      </c>
      <c r="H17" s="325"/>
      <c r="I17" s="131"/>
      <c r="L17" s="243" t="s">
        <v>5835</v>
      </c>
    </row>
    <row r="18" spans="1:15" s="200" customFormat="1" ht="13" x14ac:dyDescent="0.3">
      <c r="A18" s="221"/>
      <c r="B18" s="214"/>
      <c r="C18" s="202" t="s">
        <v>5637</v>
      </c>
      <c r="D18" s="198">
        <f>MAX(_xlfn.ANCHORARRAY(D23))</f>
        <v>922.37450980392134</v>
      </c>
      <c r="E18" s="198">
        <f t="shared" ref="E18" si="3">MAX(_xlfn.ANCHORARRAY(E23))</f>
        <v>1.689694683908046</v>
      </c>
      <c r="F18" s="230">
        <f>VLOOKUP($D18,$D$23:$F$211,3,FALSE)</f>
        <v>920.72156862745078</v>
      </c>
      <c r="G18" s="230">
        <f>VLOOKUP($D18,$D$23:$G$211,4,FALSE)</f>
        <v>1.6866666666666668</v>
      </c>
      <c r="H18" s="322">
        <f>D18/E18</f>
        <v>545.88235294117635</v>
      </c>
      <c r="I18" s="131"/>
      <c r="J18" s="132"/>
      <c r="L18" s="200" t="s">
        <v>5836</v>
      </c>
    </row>
    <row r="19" spans="1:15" ht="13" x14ac:dyDescent="0.25">
      <c r="A19" s="133"/>
      <c r="B19" s="204"/>
      <c r="C19" s="202" t="s">
        <v>5638</v>
      </c>
      <c r="D19" s="198">
        <f>MIN(_xlfn.ANCHORARRAY(D23))</f>
        <v>234.72436666666658</v>
      </c>
      <c r="E19" s="198">
        <f t="shared" ref="E19:G19" si="4">MIN(_xlfn.ANCHORARRAY(E23))</f>
        <v>0.39582523889825749</v>
      </c>
      <c r="F19" s="198">
        <f t="shared" si="4"/>
        <v>522.70000000000005</v>
      </c>
      <c r="G19" s="198">
        <f t="shared" si="4"/>
        <v>1.2748780487804878</v>
      </c>
      <c r="H19" s="322">
        <f>D19/E19</f>
        <v>592.99999999999977</v>
      </c>
      <c r="I19" s="131"/>
    </row>
    <row r="20" spans="1:15" ht="13" x14ac:dyDescent="0.25">
      <c r="A20" s="133"/>
      <c r="B20" s="204"/>
      <c r="C20" s="245" t="s">
        <v>5837</v>
      </c>
      <c r="D20" s="198">
        <f>S12</f>
        <v>498.10835207282906</v>
      </c>
      <c r="E20" s="198">
        <f t="shared" ref="E20:G20" si="5">T12</f>
        <v>0.97781277704867176</v>
      </c>
      <c r="F20" s="198">
        <f t="shared" si="5"/>
        <v>840.86198027036903</v>
      </c>
      <c r="G20" s="198">
        <f t="shared" si="5"/>
        <v>1.6412238255075566</v>
      </c>
      <c r="H20" s="322">
        <f>D20/E20</f>
        <v>509.41076222819203</v>
      </c>
      <c r="I20" s="131"/>
    </row>
    <row r="21" spans="1:15" ht="13" x14ac:dyDescent="0.25">
      <c r="A21" s="133"/>
      <c r="B21" s="204"/>
      <c r="C21" s="202" t="s">
        <v>5639</v>
      </c>
      <c r="D21" s="198">
        <f>AVERAGE(_xlfn.ANCHORARRAY(D23))</f>
        <v>478.75984298750268</v>
      </c>
      <c r="E21" s="198">
        <f t="shared" ref="E21:G21" si="6">AVERAGE(_xlfn.ANCHORARRAY(E23))</f>
        <v>0.94174336483616128</v>
      </c>
      <c r="F21" s="198">
        <f t="shared" si="6"/>
        <v>836.24405946994182</v>
      </c>
      <c r="G21" s="198">
        <f t="shared" si="6"/>
        <v>1.6292389003666925</v>
      </c>
      <c r="H21" s="322">
        <f>D21/E21</f>
        <v>508.37612545408734</v>
      </c>
      <c r="I21" s="131"/>
      <c r="L21" s="200"/>
      <c r="M21" s="200"/>
      <c r="N21" s="200"/>
      <c r="O21" s="200"/>
    </row>
    <row r="22" spans="1:15" ht="13" x14ac:dyDescent="0.25">
      <c r="A22" s="133"/>
      <c r="B22" s="197" t="s">
        <v>5640</v>
      </c>
      <c r="D22" s="132"/>
      <c r="E22" s="132"/>
      <c r="F22" s="132"/>
      <c r="G22" s="132"/>
      <c r="H22" s="322"/>
      <c r="I22" s="131"/>
    </row>
    <row r="23" spans="1:15" x14ac:dyDescent="0.25">
      <c r="A23" s="133"/>
      <c r="B23" s="204" t="str" cm="1">
        <f t="array" ref="B23:B35">_xlfn.UNIQUE(_xlfn._xlws.FILTER('EPD List'!D:D,ISNUMBER(SEARCH(B16,'EPD List'!C:C)),0))</f>
        <v>plywood flooring, tongue and groove, A-bond, 25 mm (commercial), FWPA</v>
      </c>
      <c r="C23" s="132" t="str" cm="1">
        <f t="array" ref="C23:C35">_xlfn.IFNA(INDEX('EPD List'!$A:$AB,MATCH(_xlfn.ANCHORARRAY(B23),'EPD List'!$D:$D,0),MATCH(C$16,'EPD List'!$7:$7,0)),"")</f>
        <v>m³</v>
      </c>
      <c r="D23" s="198" cm="1">
        <f t="array" ref="D23:D35">_xlfn.IFNA(VALUE((INDEX('EPD List'!$A:$AD,MATCH(_xlfn.ANCHORARRAY($B23),'EPD List'!$D:$D,0),MATCH(D$16,'EPD List'!$7:$7,0)))),"")</f>
        <v>489.84000000000015</v>
      </c>
      <c r="E23" s="198" cm="1">
        <f t="array" ref="E23:E35">_xlfn.IFNA(VALUE((INDEX('EPD List'!$A:$AD,MATCH(_xlfn.ANCHORARRAY($B23),'EPD List'!$D:$D,0),MATCH(E$16,'EPD List'!$7:$7,0)))),"")</f>
        <v>0.9956097560975613</v>
      </c>
      <c r="F23" s="198" cm="1">
        <f t="array" ref="F23:F35">_xlfn.IFNA(VALUE((INDEX('EPD List'!$A:$AD,MATCH(_xlfn.ANCHORARRAY($B23),'EPD List'!$D:$D,0),MATCH(F$16,'EPD List'!$7:$7,0)))),"")</f>
        <v>829.84000000000015</v>
      </c>
      <c r="G23" s="198" cm="1">
        <f t="array" ref="G23:G35">_xlfn.IFNA(VALUE((INDEX('EPD List'!$A:$AD,MATCH(_xlfn.ANCHORARRAY($B23),'EPD List'!$D:$D,0),MATCH(G$16,'EPD List'!$7:$7,0)))),"")</f>
        <v>1.686666666666667</v>
      </c>
      <c r="H23" s="322" cm="1">
        <f t="array" ref="H23:H35">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492</v>
      </c>
      <c r="I23" s="131"/>
    </row>
    <row r="24" spans="1:15" x14ac:dyDescent="0.25">
      <c r="A24" s="133"/>
      <c r="B24" s="204" t="str">
        <v>plywood flooring, tongue and groove, A-bond, 15 mm (residential), FWPA</v>
      </c>
      <c r="C24" s="132" t="str">
        <v>m³</v>
      </c>
      <c r="D24" s="198">
        <v>469.42222222222227</v>
      </c>
      <c r="E24" s="198">
        <v>0.95153153153153158</v>
      </c>
      <c r="F24" s="198">
        <v>832.08888888888896</v>
      </c>
      <c r="G24" s="198">
        <v>1.6866666666666668</v>
      </c>
      <c r="H24" s="322">
        <v>493.33333333333337</v>
      </c>
      <c r="I24" s="131"/>
    </row>
    <row r="25" spans="1:15" x14ac:dyDescent="0.25">
      <c r="A25" s="133"/>
      <c r="B25" s="204" t="str">
        <v>Plywood, Global, SELEX Plywood products (CMPC) (Chile)</v>
      </c>
      <c r="C25" s="132" t="str">
        <v>m³</v>
      </c>
      <c r="D25" s="198">
        <v>328.85699999999997</v>
      </c>
      <c r="E25" s="198">
        <v>0.63855728155339797</v>
      </c>
      <c r="F25" s="198">
        <v>849.75</v>
      </c>
      <c r="G25" s="198">
        <v>1.65</v>
      </c>
      <c r="H25" s="322">
        <v>515</v>
      </c>
      <c r="I25" s="131"/>
    </row>
    <row r="26" spans="1:15" x14ac:dyDescent="0.25">
      <c r="A26" s="133"/>
      <c r="B26" s="204" t="str">
        <v>Plywood, Global, SELEX Plywood 9mm (CMPC) (Chile)</v>
      </c>
      <c r="C26" s="132" t="str">
        <v>m³</v>
      </c>
      <c r="D26" s="198">
        <v>270.85500000000002</v>
      </c>
      <c r="E26" s="198">
        <v>0.52593203883495132</v>
      </c>
      <c r="F26" s="198">
        <v>849.75</v>
      </c>
      <c r="G26" s="198">
        <v>1.65</v>
      </c>
      <c r="H26" s="322">
        <v>515</v>
      </c>
      <c r="I26" s="131"/>
    </row>
    <row r="27" spans="1:15" x14ac:dyDescent="0.25">
      <c r="A27" s="133"/>
      <c r="B27" s="204" t="str">
        <v>Plywood, Global, Plywood CHH Ply (Carter Holt Harvey) (New Zealand)</v>
      </c>
      <c r="C27" s="132" t="str">
        <v>m³</v>
      </c>
      <c r="D27" s="198">
        <v>234.72436666666658</v>
      </c>
      <c r="E27" s="198">
        <v>0.39582523889825749</v>
      </c>
      <c r="F27" s="198">
        <v>971.66666666666663</v>
      </c>
      <c r="G27" s="198">
        <v>1.6385609893198425</v>
      </c>
      <c r="H27" s="322">
        <v>593</v>
      </c>
      <c r="I27" s="131"/>
    </row>
    <row r="28" spans="1:15" x14ac:dyDescent="0.25">
      <c r="A28" s="133"/>
      <c r="B28" s="204" t="str">
        <v>Plywood, Global, Grupo Garnica Plywood (MADERAS) (Spain)</v>
      </c>
      <c r="C28" s="132" t="str">
        <v>m³</v>
      </c>
      <c r="D28" s="198">
        <v>368.16999999999996</v>
      </c>
      <c r="E28" s="198">
        <v>0.6694</v>
      </c>
      <c r="F28" s="198">
        <v>810.33333333333337</v>
      </c>
      <c r="G28" s="198">
        <v>1.4733333333333334</v>
      </c>
      <c r="H28" s="322">
        <v>550</v>
      </c>
      <c r="I28" s="131"/>
    </row>
    <row r="29" spans="1:15" x14ac:dyDescent="0.25">
      <c r="A29" s="133"/>
      <c r="B29" s="204" t="str">
        <v>Plywood, Global, Plywood C1D (Panguaneta) (Italy)</v>
      </c>
      <c r="C29" s="132" t="str">
        <v>m³</v>
      </c>
      <c r="D29" s="198">
        <v>449.5</v>
      </c>
      <c r="E29" s="198">
        <v>1.0963414634146342</v>
      </c>
      <c r="F29" s="198">
        <v>522.70000000000005</v>
      </c>
      <c r="G29" s="198">
        <v>1.2748780487804878</v>
      </c>
      <c r="H29" s="322">
        <v>410</v>
      </c>
      <c r="I29" s="131"/>
    </row>
    <row r="30" spans="1:15" x14ac:dyDescent="0.25">
      <c r="A30" s="133"/>
      <c r="B30" s="204" t="str">
        <v>Plywood, A-bond 17 mm (formwork),FWPA</v>
      </c>
      <c r="C30" s="132" t="str">
        <v>m³</v>
      </c>
      <c r="D30" s="198">
        <v>618.13725490196066</v>
      </c>
      <c r="E30" s="198">
        <v>1.200952380952381</v>
      </c>
      <c r="F30" s="198">
        <v>868.13725490196066</v>
      </c>
      <c r="G30" s="198">
        <v>1.6866666666666668</v>
      </c>
      <c r="H30" s="322">
        <v>514.7058823529411</v>
      </c>
      <c r="I30" s="131"/>
    </row>
    <row r="31" spans="1:15" x14ac:dyDescent="0.25">
      <c r="A31" s="133"/>
      <c r="B31" s="204" t="str">
        <v>Plywood, A-bond, 7 mm (bracing), FWPA</v>
      </c>
      <c r="C31" s="132" t="str">
        <v>m³</v>
      </c>
      <c r="D31" s="198">
        <v>499.85714285714289</v>
      </c>
      <c r="E31" s="198">
        <v>1.014202898550725</v>
      </c>
      <c r="F31" s="198">
        <v>831.28571428571433</v>
      </c>
      <c r="G31" s="198">
        <v>1.6866666666666668</v>
      </c>
      <c r="H31" s="322">
        <v>492.85714285714289</v>
      </c>
      <c r="I31" s="131"/>
    </row>
    <row r="32" spans="1:15" x14ac:dyDescent="0.25">
      <c r="A32" s="133"/>
      <c r="B32" s="204" t="str">
        <v>Plywood, A-bond, 9 mm (structural), FWPA</v>
      </c>
      <c r="C32" s="132" t="str">
        <v>m³</v>
      </c>
      <c r="D32" s="198">
        <v>478.75555555555565</v>
      </c>
      <c r="E32" s="198">
        <v>0.97045045045045042</v>
      </c>
      <c r="F32" s="198">
        <v>832.08888888888907</v>
      </c>
      <c r="G32" s="198">
        <v>1.6866666666666668</v>
      </c>
      <c r="H32" s="322">
        <v>493.33333333333343</v>
      </c>
      <c r="I32" s="131"/>
    </row>
    <row r="33" spans="1:9" x14ac:dyDescent="0.25">
      <c r="A33" s="133"/>
      <c r="B33" s="204" t="str">
        <v>Max variation of Formply A-bond 17mm FWPA, Australia</v>
      </c>
      <c r="C33" s="132" t="str">
        <v>m³</v>
      </c>
      <c r="D33" s="198">
        <v>922.37450980392134</v>
      </c>
      <c r="E33" s="198">
        <v>1.689694683908046</v>
      </c>
      <c r="F33" s="198">
        <v>920.72156862745078</v>
      </c>
      <c r="G33" s="198">
        <v>1.6866666666666668</v>
      </c>
      <c r="H33" s="322">
        <v>545.88235294117635</v>
      </c>
      <c r="I33" s="131"/>
    </row>
    <row r="34" spans="1:9" x14ac:dyDescent="0.25">
      <c r="A34" s="133"/>
      <c r="B34" s="204" t="str">
        <v>Plywood, , Min variation of Formply A-bond 15mm FWPA, Australia (FWPA) (Australia)</v>
      </c>
      <c r="C34" s="132" t="str">
        <v>m³</v>
      </c>
      <c r="D34" s="198">
        <v>467.36922055555556</v>
      </c>
      <c r="E34" s="198">
        <v>0.94737004166666661</v>
      </c>
      <c r="F34" s="198">
        <v>832.08888888888896</v>
      </c>
      <c r="G34" s="198">
        <v>1.6866666666666668</v>
      </c>
      <c r="H34" s="322">
        <v>493.33333333333337</v>
      </c>
      <c r="I34" s="131"/>
    </row>
    <row r="35" spans="1:9" x14ac:dyDescent="0.25">
      <c r="A35" s="133"/>
      <c r="B35" s="217" t="str">
        <v>Plywood, formply, B-bond, 17 mm (formwork) FWPA</v>
      </c>
      <c r="C35" s="218" t="str">
        <v>m³</v>
      </c>
      <c r="D35" s="219">
        <v>626.01568627450968</v>
      </c>
      <c r="E35" s="219">
        <v>1.1467959770114944</v>
      </c>
      <c r="F35" s="219">
        <v>920.72156862745078</v>
      </c>
      <c r="G35" s="219">
        <v>1.6866666666666668</v>
      </c>
      <c r="H35" s="323">
        <v>545.88235294117635</v>
      </c>
      <c r="I35" s="131"/>
    </row>
    <row r="36" spans="1:9" x14ac:dyDescent="0.25">
      <c r="B36" s="130"/>
      <c r="C36" s="130"/>
      <c r="D36" s="207"/>
      <c r="E36" s="207"/>
      <c r="F36" s="207"/>
      <c r="G36" s="207"/>
      <c r="H36" s="324"/>
    </row>
    <row r="37" spans="1:9" x14ac:dyDescent="0.25">
      <c r="H37" s="273"/>
    </row>
    <row r="90" spans="10:10" x14ac:dyDescent="0.25">
      <c r="J90" s="198"/>
    </row>
  </sheetData>
  <dataValidations count="1">
    <dataValidation type="list" allowBlank="1" showInputMessage="1" showErrorMessage="1" sqref="B6:B9" xr:uid="{BE36F7E9-BC1C-4509-8BF7-48D7A4DD3EA0}">
      <formula1>"Tier 1,Tier 2,Tier 3,Tier 4"</formula1>
    </dataValidation>
  </dataValidations>
  <hyperlinks>
    <hyperlink ref="L15" r:id="rId1" location="production-and-consumption-of-final-wood-products " xr:uid="{64E25081-653C-404A-A823-414B91565BDB}"/>
    <hyperlink ref="L17" r:id="rId2" location="overview-of-the-forestry-sector-202122" display="https://www.agriculture.gov.au/abares/research-topics/forests/forest-economics/forest-wood-products-statistics - overview-of-the-forestry-sector-202122" xr:uid="{B90428EB-2ED7-4249-8912-2B012720D4C5}"/>
  </hyperlinks>
  <pageMargins left="0.7" right="0.7" top="0.75" bottom="0.75" header="0.3" footer="0.3"/>
  <pageSetup paperSize="9" orientation="portrait" horizontalDpi="300" verticalDpi="300"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4A7B-E32A-4307-B8B5-D8B03587F413}">
  <sheetPr codeName="Sheet110">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Epoxy flooring</v>
      </c>
    </row>
    <row r="2" spans="1:8" ht="13" x14ac:dyDescent="0.25">
      <c r="A2" s="202"/>
      <c r="C2" s="202"/>
    </row>
    <row r="3" spans="1:8" ht="13" x14ac:dyDescent="0.3">
      <c r="A3" s="227" t="s">
        <v>5626</v>
      </c>
      <c r="B3" s="132" t="s">
        <v>5854</v>
      </c>
    </row>
    <row r="4" spans="1:8" ht="13" x14ac:dyDescent="0.25">
      <c r="A4" s="202"/>
    </row>
    <row r="5" spans="1:8" ht="92.25" customHeight="1" x14ac:dyDescent="0.3">
      <c r="A5" s="227" t="s">
        <v>5628</v>
      </c>
      <c r="B5" s="200" t="s">
        <v>5855</v>
      </c>
      <c r="D5" s="200"/>
      <c r="E5" s="271"/>
    </row>
    <row r="6" spans="1:8" ht="13" x14ac:dyDescent="0.3">
      <c r="A6" s="227" t="s">
        <v>5630</v>
      </c>
      <c r="B6" s="201" t="s">
        <v>74</v>
      </c>
      <c r="D6" s="132"/>
    </row>
    <row r="7" spans="1:8" ht="13" x14ac:dyDescent="0.3">
      <c r="A7" s="227" t="s">
        <v>5631</v>
      </c>
      <c r="B7" s="201" t="s">
        <v>71</v>
      </c>
    </row>
    <row r="8" spans="1:8" ht="13" x14ac:dyDescent="0.3">
      <c r="A8" s="227" t="s">
        <v>5632</v>
      </c>
      <c r="B8" s="201" t="s">
        <v>73</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0" t="s">
        <v>3534</v>
      </c>
      <c r="C16" s="311" t="s">
        <v>24</v>
      </c>
      <c r="D16" s="208" t="s">
        <v>146</v>
      </c>
      <c r="E16" s="209" t="s">
        <v>153</v>
      </c>
      <c r="F16" s="208" t="s">
        <v>147</v>
      </c>
      <c r="G16" s="208" t="s">
        <v>154</v>
      </c>
      <c r="H16" s="131"/>
    </row>
    <row r="17" spans="1:9" ht="13" x14ac:dyDescent="0.3">
      <c r="A17" s="133"/>
      <c r="B17" s="317"/>
      <c r="C17" s="206" t="s">
        <v>5636</v>
      </c>
      <c r="D17" s="207" t="str" cm="1">
        <f t="array" ref="D17">IF(AND(_xlfn.ANCHORARRAY(C23)=C23),C23,"Mixed")</f>
        <v>kg</v>
      </c>
      <c r="E17" s="207" t="s">
        <v>2774</v>
      </c>
      <c r="F17" s="207" t="str" cm="1">
        <f t="array" ref="F17">IF(AND(_xlfn.ANCHORARRAY(C23)=C23),C23,"Mixed")</f>
        <v>kg</v>
      </c>
      <c r="G17" s="318" t="s">
        <v>2774</v>
      </c>
      <c r="H17" s="131"/>
    </row>
    <row r="18" spans="1:9" s="200" customFormat="1" ht="13" x14ac:dyDescent="0.3">
      <c r="A18" s="221"/>
      <c r="B18" s="214"/>
      <c r="C18" s="202" t="s">
        <v>5637</v>
      </c>
      <c r="D18" s="198">
        <f>MAX(_xlfn.ANCHORARRAY(D23))</f>
        <v>3.20241</v>
      </c>
      <c r="E18" s="198">
        <f t="shared" ref="E18:G18" si="0">MAX(_xlfn.ANCHORARRAY(E23))</f>
        <v>3.20241</v>
      </c>
      <c r="F18" s="198">
        <f t="shared" si="0"/>
        <v>0</v>
      </c>
      <c r="G18" s="215">
        <f t="shared" si="0"/>
        <v>0</v>
      </c>
      <c r="H18" s="131"/>
      <c r="I18" s="132"/>
    </row>
    <row r="19" spans="1:9" ht="13" x14ac:dyDescent="0.25">
      <c r="A19" s="133"/>
      <c r="B19" s="204"/>
      <c r="C19" s="202" t="s">
        <v>5638</v>
      </c>
      <c r="D19" s="198">
        <f>MIN(_xlfn.ANCHORARRAY(D23))</f>
        <v>2.4475500000000001</v>
      </c>
      <c r="E19" s="198">
        <f t="shared" ref="E19:G19" si="1">MIN(_xlfn.ANCHORARRAY(E23))</f>
        <v>2.4475500000000001</v>
      </c>
      <c r="F19" s="198">
        <f t="shared" si="1"/>
        <v>0</v>
      </c>
      <c r="G19" s="215">
        <f t="shared" si="1"/>
        <v>0</v>
      </c>
      <c r="H19" s="131"/>
    </row>
    <row r="20" spans="1:9" ht="13" x14ac:dyDescent="0.25">
      <c r="A20" s="133"/>
      <c r="B20" s="204"/>
      <c r="C20" s="202" t="s">
        <v>5639</v>
      </c>
      <c r="D20" s="198">
        <f>AVERAGE(_xlfn.ANCHORARRAY(D23))</f>
        <v>2.8038686798679868</v>
      </c>
      <c r="E20" s="198">
        <f t="shared" ref="E20:G20" si="2">AVERAGE(_xlfn.ANCHORARRAY(E23))</f>
        <v>2.8038686798679868</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5">_xlfn.UNIQUE(_xlfn._xlws.FILTER('EPD List'!D:D,ISNUMBER(SEARCH(B16,'EPD List'!C:C)),0))</f>
        <v>Epoxy floor, , EFM-105 two component epoxy floor coating (PPG) (Global)</v>
      </c>
      <c r="C23" s="132" t="str" cm="1">
        <f t="array" ref="C23:C25">_xlfn.IFNA(INDEX('EPD List'!$A:$AB,MATCH(_xlfn.ANCHORARRAY(B23),'EPD List'!$D:$D,0),MATCH(C$16,'EPD List'!$7:$7,0)),"")</f>
        <v>kg</v>
      </c>
      <c r="D23" s="198" cm="1">
        <f t="array" ref="D23:D25">_xlfn.IFNA(VALUE((INDEX('EPD List'!$A:$AD,MATCH(_xlfn.ANCHORARRAY($B23),'EPD List'!$D:$D,0),MATCH(D$16,'EPD List'!$7:$7,0)))),"")</f>
        <v>2.7616460396039604</v>
      </c>
      <c r="E23" s="198" cm="1">
        <f t="array" ref="E23:E25">IFERROR(VALUE((INDEX('EPD List'!$A:$AD,MATCH(_xlfn.ANCHORARRAY($B23),'EPD List'!$D:$D,0),MATCH(E$16,'EPD List'!$7:$7,0)))),"")</f>
        <v>2.7616460396039604</v>
      </c>
      <c r="F23" s="198" cm="1">
        <f t="array" ref="F23:F25">_xlfn.IFNA(VALUE((INDEX('EPD List'!$A:$AD,MATCH(_xlfn.ANCHORARRAY($B23),'EPD List'!$D:$D,0),MATCH(F$16,'EPD List'!$7:$7,0)))),"")</f>
        <v>0</v>
      </c>
      <c r="G23" s="215" cm="1">
        <f t="array" ref="G23:G25">IFERROR(VALUE((INDEX('EPD List'!$A:$AD,MATCH(_xlfn.ANCHORARRAY($B23),'EPD List'!$D:$D,0),MATCH(G$16,'EPD List'!$7:$7,0)))),"")</f>
        <v>0</v>
      </c>
      <c r="H23" s="131"/>
    </row>
    <row r="24" spans="1:9" x14ac:dyDescent="0.25">
      <c r="A24" s="133"/>
      <c r="B24" s="204" t="str">
        <v>Epoxy floor, , Epoxy coatings Durofloor-11 (ISOMAT) (Global)</v>
      </c>
      <c r="C24" s="132" t="str">
        <v>kg</v>
      </c>
      <c r="D24" s="198">
        <v>2.4475500000000001</v>
      </c>
      <c r="E24" s="198">
        <v>2.4475500000000001</v>
      </c>
      <c r="F24" s="198">
        <v>0</v>
      </c>
      <c r="G24" s="215">
        <v>0</v>
      </c>
      <c r="H24" s="131"/>
    </row>
    <row r="25" spans="1:9" x14ac:dyDescent="0.25">
      <c r="A25" s="133"/>
      <c r="B25" s="217" t="str">
        <v>Epoxy floor, , MAPEPOXY L (MAPEI) (Global)</v>
      </c>
      <c r="C25" s="218" t="str">
        <v>kg</v>
      </c>
      <c r="D25" s="219">
        <v>3.20241</v>
      </c>
      <c r="E25" s="219">
        <v>3.20241</v>
      </c>
      <c r="F25" s="219">
        <v>0</v>
      </c>
      <c r="G25" s="220">
        <v>0</v>
      </c>
      <c r="H25" s="131"/>
    </row>
    <row r="26" spans="1:9" x14ac:dyDescent="0.25">
      <c r="B26" s="130"/>
      <c r="C26" s="130"/>
      <c r="D26" s="207"/>
      <c r="E26" s="207"/>
      <c r="F26" s="207"/>
      <c r="G26" s="207"/>
    </row>
    <row r="90" spans="9:9" x14ac:dyDescent="0.25">
      <c r="I90" s="198"/>
    </row>
  </sheetData>
  <dataValidations count="1">
    <dataValidation type="list" allowBlank="1" showInputMessage="1" showErrorMessage="1" sqref="B6:B9" xr:uid="{FB949A2B-9E33-4DA6-9954-3F5012C47DC4}">
      <formula1>"Tier 1,Tier 2,Tier 3,Tier 4"</formula1>
    </dataValidation>
  </dataValidations>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B826D-77F3-432A-9652-26CFA6B9CEBF}">
  <sheetPr codeName="Sheet85">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Escalator</v>
      </c>
    </row>
    <row r="2" spans="1:8" ht="13" x14ac:dyDescent="0.25">
      <c r="A2" s="202"/>
      <c r="C2" s="202"/>
    </row>
    <row r="3" spans="1:8" ht="13" x14ac:dyDescent="0.3">
      <c r="A3" s="227" t="s">
        <v>5626</v>
      </c>
      <c r="B3" s="132" t="s">
        <v>5856</v>
      </c>
    </row>
    <row r="4" spans="1:8" ht="13" x14ac:dyDescent="0.25">
      <c r="A4" s="202"/>
    </row>
    <row r="5" spans="1:8" ht="92.25" customHeight="1" x14ac:dyDescent="0.3">
      <c r="A5" s="227" t="s">
        <v>5628</v>
      </c>
      <c r="B5" s="200" t="s">
        <v>5857</v>
      </c>
      <c r="D5" s="200"/>
      <c r="E5" s="271"/>
    </row>
    <row r="6" spans="1:8" ht="13" x14ac:dyDescent="0.3">
      <c r="A6" s="227" t="s">
        <v>5630</v>
      </c>
      <c r="B6" s="201" t="s">
        <v>74</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3545</v>
      </c>
      <c r="C16" s="316" t="s">
        <v>24</v>
      </c>
      <c r="D16" s="314" t="s">
        <v>146</v>
      </c>
      <c r="E16" s="315" t="s">
        <v>153</v>
      </c>
      <c r="F16" s="314" t="s">
        <v>147</v>
      </c>
      <c r="G16" s="314" t="s">
        <v>154</v>
      </c>
      <c r="H16" s="131"/>
    </row>
    <row r="17" spans="1:9" ht="13" x14ac:dyDescent="0.3">
      <c r="A17" s="133"/>
      <c r="B17" s="211"/>
      <c r="C17" s="212" t="s">
        <v>5636</v>
      </c>
      <c r="D17" s="196" t="str" cm="1">
        <f t="array" ref="D17">IF(AND(_xlfn.ANCHORARRAY(C23)=C23),C23,"Mixed")</f>
        <v>#</v>
      </c>
      <c r="E17" s="196" t="s">
        <v>2774</v>
      </c>
      <c r="F17" s="196" t="str" cm="1">
        <f t="array" ref="F17">IF(AND(_xlfn.ANCHORARRAY(C23)=C23),C23,"Mixed")</f>
        <v>#</v>
      </c>
      <c r="G17" s="213" t="s">
        <v>2774</v>
      </c>
      <c r="H17" s="131"/>
    </row>
    <row r="18" spans="1:9" s="200" customFormat="1" ht="13" x14ac:dyDescent="0.3">
      <c r="A18" s="221"/>
      <c r="B18" s="214"/>
      <c r="C18" s="202" t="s">
        <v>5637</v>
      </c>
      <c r="D18" s="198">
        <f>MAX(_xlfn.ANCHORARRAY(D23))</f>
        <v>118165.77</v>
      </c>
      <c r="E18" s="198">
        <f t="shared" ref="E18:G18" si="0">MAX(_xlfn.ANCHORARRAY(E23))</f>
        <v>0</v>
      </c>
      <c r="F18" s="198">
        <f t="shared" si="0"/>
        <v>0</v>
      </c>
      <c r="G18" s="215">
        <f t="shared" si="0"/>
        <v>0</v>
      </c>
      <c r="H18" s="131"/>
      <c r="I18" s="132"/>
    </row>
    <row r="19" spans="1:9" ht="13" x14ac:dyDescent="0.25">
      <c r="A19" s="133"/>
      <c r="B19" s="204"/>
      <c r="C19" s="202" t="s">
        <v>5638</v>
      </c>
      <c r="D19" s="198">
        <f>MIN(_xlfn.ANCHORARRAY(D23))</f>
        <v>20319.099999999999</v>
      </c>
      <c r="E19" s="198">
        <f t="shared" ref="E19:G19" si="1">MIN(_xlfn.ANCHORARRAY(E23))</f>
        <v>0</v>
      </c>
      <c r="F19" s="198">
        <f t="shared" si="1"/>
        <v>0</v>
      </c>
      <c r="G19" s="215">
        <f t="shared" si="1"/>
        <v>0</v>
      </c>
      <c r="H19" s="131"/>
    </row>
    <row r="20" spans="1:9" ht="13" x14ac:dyDescent="0.25">
      <c r="A20" s="133"/>
      <c r="B20" s="204"/>
      <c r="C20" s="202" t="s">
        <v>5639</v>
      </c>
      <c r="D20" s="198">
        <f>AVERAGE(_xlfn.ANCHORARRAY(D23))</f>
        <v>50510.063000000002</v>
      </c>
      <c r="E20" s="198">
        <f t="shared" ref="E20:G20" si="2">AVERAGE(_xlfn.ANCHORARRAY(E23))</f>
        <v>0</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7">_xlfn.UNIQUE(_xlfn._xlws.FILTER('EPD List'!D:D,ISNUMBER(SEARCH(B16,'EPD List'!C:C)),0))</f>
        <v>Escalator, , TravelMaster 140T (KONE) (Global)</v>
      </c>
      <c r="C23" s="132" t="str" cm="1">
        <f t="array" ref="C23:C27">_xlfn.IFNA(INDEX('EPD List'!$A:$AB,MATCH(_xlfn.ANCHORARRAY(B23),'EPD List'!$D:$D,0),MATCH(C$16,'EPD List'!$7:$7,0)),"")</f>
        <v>#</v>
      </c>
      <c r="D23" s="198" cm="1">
        <f t="array" ref="D23:D27">_xlfn.IFNA(VALUE((INDEX('EPD List'!$A:$AD,MATCH(_xlfn.ANCHORARRAY($B23),'EPD List'!$D:$D,0),MATCH(D$16,'EPD List'!$7:$7,0)))),"")</f>
        <v>118165.77</v>
      </c>
      <c r="E23" s="198" cm="1">
        <f t="array" ref="E23:E27">IFERROR(VALUE((INDEX('EPD List'!$A:$AD,MATCH(_xlfn.ANCHORARRAY($B23),'EPD List'!$D:$D,0),MATCH(E$16,'EPD List'!$7:$7,0)))),"")</f>
        <v>0</v>
      </c>
      <c r="F23" s="198" cm="1">
        <f t="array" ref="F23:F27">_xlfn.IFNA(VALUE((INDEX('EPD List'!$A:$AD,MATCH(_xlfn.ANCHORARRAY($B23),'EPD List'!$D:$D,0),MATCH(F$16,'EPD List'!$7:$7,0)))),"")</f>
        <v>0</v>
      </c>
      <c r="G23" s="215" cm="1">
        <f t="array" ref="G23:G27">IFERROR(VALUE((INDEX('EPD List'!$A:$AD,MATCH(_xlfn.ANCHORARRAY($B23),'EPD List'!$D:$D,0),MATCH(G$16,'EPD List'!$7:$7,0)))),"")</f>
        <v>0</v>
      </c>
      <c r="H23" s="131"/>
    </row>
    <row r="24" spans="1:9" x14ac:dyDescent="0.25">
      <c r="A24" s="133"/>
      <c r="B24" s="204" t="str">
        <v>Escalator, , TravelMaster 110 (KONE) (Global)</v>
      </c>
      <c r="C24" s="132" t="str">
        <v>#</v>
      </c>
      <c r="D24" s="198">
        <v>35061.642</v>
      </c>
      <c r="E24" s="198">
        <v>0</v>
      </c>
      <c r="F24" s="198">
        <v>0</v>
      </c>
      <c r="G24" s="215">
        <v>0</v>
      </c>
      <c r="H24" s="131"/>
    </row>
    <row r="25" spans="1:9" x14ac:dyDescent="0.25">
      <c r="A25" s="133"/>
      <c r="B25" s="204" t="str">
        <v>Escalator, , OTIS Link Escalator (OTIS) (Global)</v>
      </c>
      <c r="C25" s="132" t="str">
        <v>#</v>
      </c>
      <c r="D25" s="198">
        <v>20319.099999999999</v>
      </c>
      <c r="E25" s="198">
        <v>0</v>
      </c>
      <c r="F25" s="198">
        <v>0</v>
      </c>
      <c r="G25" s="215">
        <v>0</v>
      </c>
      <c r="H25" s="131"/>
    </row>
    <row r="26" spans="1:9" x14ac:dyDescent="0.25">
      <c r="A26" s="133"/>
      <c r="B26" s="204" t="str">
        <v>Escalator, , TravelMaster 110T (KONE) (Global)</v>
      </c>
      <c r="C26" s="132" t="str">
        <v>#</v>
      </c>
      <c r="D26" s="198">
        <v>37764.633000000002</v>
      </c>
      <c r="E26" s="198">
        <v>0</v>
      </c>
      <c r="F26" s="198">
        <v>0</v>
      </c>
      <c r="G26" s="215">
        <v>0</v>
      </c>
      <c r="H26" s="131"/>
    </row>
    <row r="27" spans="1:9" x14ac:dyDescent="0.25">
      <c r="A27" s="133"/>
      <c r="B27" s="217" t="str">
        <v>Escalator, , TransitMaster 120 (KONE) (Global)</v>
      </c>
      <c r="C27" s="218" t="str">
        <v>#</v>
      </c>
      <c r="D27" s="219">
        <v>41239.17</v>
      </c>
      <c r="E27" s="219">
        <v>0</v>
      </c>
      <c r="F27" s="219">
        <v>0</v>
      </c>
      <c r="G27" s="220">
        <v>0</v>
      </c>
      <c r="H27" s="131"/>
    </row>
    <row r="28" spans="1:9" x14ac:dyDescent="0.25">
      <c r="B28" s="130"/>
      <c r="C28" s="130"/>
      <c r="D28" s="207"/>
      <c r="E28" s="207"/>
      <c r="F28" s="207"/>
      <c r="G28" s="207"/>
    </row>
    <row r="90" spans="9:9" x14ac:dyDescent="0.25">
      <c r="I90" s="198"/>
    </row>
  </sheetData>
  <dataValidations count="1">
    <dataValidation type="list" allowBlank="1" showInputMessage="1" showErrorMessage="1" sqref="B6:B9" xr:uid="{11034BEC-E394-4406-A5E2-047247D9BA5B}">
      <formula1>"Tier 1,Tier 2,Tier 3,Tier 4"</formula1>
    </dataValidation>
  </dataValidations>
  <pageMargins left="0.7" right="0.7" top="0.75" bottom="0.75" header="0.3" footer="0.3"/>
  <pageSetup paperSize="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DE3D6-3F6C-4B6E-860A-78E904BCDF11}">
  <sheetPr codeName="Sheet36">
    <tabColor rgb="FF00CCFF"/>
  </sheetPr>
  <dimension ref="A1:I50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272" customWidth="1"/>
    <col min="9" max="16384" width="9.1796875" style="132"/>
  </cols>
  <sheetData>
    <row r="1" spans="1:9" ht="13" x14ac:dyDescent="0.25">
      <c r="A1" s="202" t="str">
        <f>B16</f>
        <v>Fibre cement</v>
      </c>
    </row>
    <row r="2" spans="1:9" ht="13" x14ac:dyDescent="0.25">
      <c r="A2" s="202"/>
    </row>
    <row r="3" spans="1:9" ht="13" x14ac:dyDescent="0.3">
      <c r="A3" s="227" t="s">
        <v>5626</v>
      </c>
      <c r="B3" s="132" t="s">
        <v>5858</v>
      </c>
    </row>
    <row r="4" spans="1:9" ht="13" x14ac:dyDescent="0.25">
      <c r="A4" s="202"/>
    </row>
    <row r="5" spans="1:9" ht="73.5" customHeight="1" x14ac:dyDescent="0.3">
      <c r="A5" s="227" t="s">
        <v>5628</v>
      </c>
      <c r="B5" s="200" t="s">
        <v>5859</v>
      </c>
      <c r="C5" s="271"/>
    </row>
    <row r="6" spans="1:9" ht="13" x14ac:dyDescent="0.3">
      <c r="A6" s="227" t="s">
        <v>5630</v>
      </c>
      <c r="B6" s="132" t="s">
        <v>72</v>
      </c>
      <c r="D6" s="271"/>
    </row>
    <row r="7" spans="1:9" ht="13" x14ac:dyDescent="0.3">
      <c r="A7" s="227" t="s">
        <v>5631</v>
      </c>
      <c r="B7" s="201" t="s">
        <v>71</v>
      </c>
    </row>
    <row r="8" spans="1:9" ht="13" x14ac:dyDescent="0.3">
      <c r="A8" s="227" t="s">
        <v>5632</v>
      </c>
      <c r="B8" s="201" t="s">
        <v>72</v>
      </c>
    </row>
    <row r="9" spans="1:9" ht="13" x14ac:dyDescent="0.3">
      <c r="A9" s="227" t="s">
        <v>5633</v>
      </c>
      <c r="B9" s="202" t="s">
        <v>72</v>
      </c>
    </row>
    <row r="10" spans="1:9" ht="13" x14ac:dyDescent="0.3">
      <c r="A10" s="227"/>
      <c r="B10" s="202"/>
    </row>
    <row r="11" spans="1:9" ht="25.5" x14ac:dyDescent="0.3">
      <c r="A11" s="227" t="s">
        <v>5634</v>
      </c>
      <c r="B11" s="200" t="s">
        <v>5860</v>
      </c>
    </row>
    <row r="12" spans="1:9" x14ac:dyDescent="0.25">
      <c r="A12" s="228"/>
    </row>
    <row r="13" spans="1:9" x14ac:dyDescent="0.25">
      <c r="A13" s="228"/>
    </row>
    <row r="14" spans="1:9" ht="13" x14ac:dyDescent="0.3">
      <c r="A14" s="227" t="s">
        <v>5635</v>
      </c>
    </row>
    <row r="15" spans="1:9" ht="13" x14ac:dyDescent="0.3">
      <c r="A15" s="227"/>
      <c r="B15" s="135"/>
      <c r="C15" s="135"/>
      <c r="D15" s="299" t="s">
        <v>77</v>
      </c>
      <c r="E15" s="300"/>
      <c r="F15" s="299" t="s">
        <v>5424</v>
      </c>
      <c r="G15" s="301"/>
      <c r="H15" s="332"/>
    </row>
    <row r="16" spans="1:9" ht="39" x14ac:dyDescent="0.25">
      <c r="A16" s="133"/>
      <c r="B16" s="319" t="s">
        <v>3561</v>
      </c>
      <c r="C16" s="311" t="s">
        <v>24</v>
      </c>
      <c r="D16" s="208" t="s">
        <v>146</v>
      </c>
      <c r="E16" s="209" t="s">
        <v>153</v>
      </c>
      <c r="F16" s="208" t="s">
        <v>147</v>
      </c>
      <c r="G16" s="208" t="s">
        <v>154</v>
      </c>
      <c r="H16" s="331" t="str">
        <f>"Density "&amp;E17&amp;"/"&amp;D17</f>
        <v>Density kg/m²</v>
      </c>
      <c r="I16" s="131"/>
    </row>
    <row r="17" spans="1:9" ht="13" x14ac:dyDescent="0.3">
      <c r="A17" s="133"/>
      <c r="B17" s="317"/>
      <c r="C17" s="206" t="s">
        <v>5636</v>
      </c>
      <c r="D17" s="207" t="str" cm="1">
        <f t="array" ref="D17">IF(AND(_xlfn.ANCHORARRAY(C23)=C23),C23,"Mixed")</f>
        <v>m²</v>
      </c>
      <c r="E17" s="207" t="s">
        <v>2774</v>
      </c>
      <c r="F17" s="207" t="str" cm="1">
        <f t="array" ref="F17">IF(AND(_xlfn.ANCHORARRAY(C23)=C23),C23,"Mixed")</f>
        <v>m²</v>
      </c>
      <c r="G17" s="207" t="s">
        <v>2774</v>
      </c>
      <c r="H17" s="333" t="str">
        <f>IFERROR(D17/E17,"")</f>
        <v/>
      </c>
      <c r="I17" s="131"/>
    </row>
    <row r="18" spans="1:9" s="200" customFormat="1" ht="13" x14ac:dyDescent="0.3">
      <c r="A18" s="221"/>
      <c r="B18" s="214"/>
      <c r="C18" s="202" t="s">
        <v>5637</v>
      </c>
      <c r="D18" s="198">
        <f t="shared" ref="D18:G18" si="0">MAX(_xlfn.ANCHORARRAY(D23))</f>
        <v>45.9</v>
      </c>
      <c r="E18" s="198">
        <f t="shared" si="0"/>
        <v>1.3237797062469794</v>
      </c>
      <c r="F18" s="198">
        <f t="shared" si="0"/>
        <v>4.4999999999999998E-2</v>
      </c>
      <c r="G18" s="198">
        <f t="shared" si="0"/>
        <v>8.3333333333333332E-3</v>
      </c>
      <c r="H18" s="327">
        <f>IFERROR(D18/E18,"")</f>
        <v>34.673442857142859</v>
      </c>
      <c r="I18" s="222"/>
    </row>
    <row r="19" spans="1:9" ht="13" x14ac:dyDescent="0.25">
      <c r="A19" s="133"/>
      <c r="B19" s="204"/>
      <c r="C19" s="202" t="s">
        <v>5638</v>
      </c>
      <c r="D19" s="198">
        <f>MIN(_xlfn.ANCHORARRAY(D23))</f>
        <v>4.5</v>
      </c>
      <c r="E19" s="198">
        <f t="shared" ref="E19:G19" si="1">MIN(_xlfn.ANCHORARRAY(E23))</f>
        <v>0.30722992282728107</v>
      </c>
      <c r="F19" s="198">
        <f t="shared" si="1"/>
        <v>0</v>
      </c>
      <c r="G19" s="198">
        <f t="shared" si="1"/>
        <v>0</v>
      </c>
      <c r="H19" s="327">
        <f t="shared" ref="H19:H82" si="2">IFERROR(D19/E19,"")</f>
        <v>14.647010807374437</v>
      </c>
      <c r="I19" s="131"/>
    </row>
    <row r="20" spans="1:9" ht="13" x14ac:dyDescent="0.25">
      <c r="A20" s="133"/>
      <c r="B20" s="204"/>
      <c r="C20" s="202" t="s">
        <v>5639</v>
      </c>
      <c r="D20" s="198">
        <f>AVERAGE(_xlfn.ANCHORARRAY(D23))</f>
        <v>12.552791365384612</v>
      </c>
      <c r="E20" s="198">
        <f t="shared" ref="E20:G20" si="3">AVERAGE(_xlfn.ANCHORARRAY(E23))</f>
        <v>0.88234625259968424</v>
      </c>
      <c r="F20" s="198">
        <f t="shared" si="3"/>
        <v>2.5096153846153844E-2</v>
      </c>
      <c r="G20" s="198">
        <f t="shared" si="3"/>
        <v>2.1621040967168626E-3</v>
      </c>
      <c r="H20" s="327">
        <f t="shared" si="2"/>
        <v>14.226604723939079</v>
      </c>
      <c r="I20" s="329"/>
    </row>
    <row r="21" spans="1:9" ht="13" x14ac:dyDescent="0.25">
      <c r="A21" s="133"/>
      <c r="B21" s="204"/>
      <c r="C21" s="202"/>
      <c r="H21" s="327" t="str">
        <f t="shared" si="2"/>
        <v/>
      </c>
      <c r="I21" s="131"/>
    </row>
    <row r="22" spans="1:9" ht="13" x14ac:dyDescent="0.25">
      <c r="A22" s="133"/>
      <c r="B22" s="197" t="s">
        <v>5640</v>
      </c>
      <c r="D22" s="132"/>
      <c r="E22" s="132"/>
      <c r="F22" s="132"/>
      <c r="G22" s="132"/>
      <c r="H22" s="327" t="str">
        <f t="shared" si="2"/>
        <v/>
      </c>
      <c r="I22" s="131"/>
    </row>
    <row r="23" spans="1:9" x14ac:dyDescent="0.25">
      <c r="A23" s="133"/>
      <c r="B23" s="204" t="str" cm="1">
        <f t="array" ref="B23:B74">_xlfn.UNIQUE(_xlfn._xlws.FILTER('EPD List'!D:D,ISNUMBER(SEARCH(B16,'EPD List'!C:C)),0))</f>
        <v>Fibre cement board, , Hardie™ Flex Sheet, 4.5 mm thick (James Hardie Australia Pty Ltd) (Australia)</v>
      </c>
      <c r="C23" s="132" t="str" cm="1">
        <f t="array" ref="C23:C74">_xlfn.IFNA(INDEX('EPD List'!$A:$AB,MATCH(_xlfn.ANCHORARRAY(B23),'EPD List'!$D:$D,0),MATCH(C$16,'EPD List'!$7:$7,0)),"")</f>
        <v>m²</v>
      </c>
      <c r="D23" s="198" cm="1">
        <f t="array" ref="D23:D74">_xlfn.IFNA(VALUE((INDEX('EPD List'!$A:$AD,MATCH(_xlfn.ANCHORARRAY($B23),'EPD List'!$D:$D,0),MATCH(D$16,'EPD List'!$7:$7,0)))),"")</f>
        <v>4.9007860000000001</v>
      </c>
      <c r="E23" s="198" cm="1">
        <f t="array" ref="E23:E74">_xlfn.IFNA(VALUE((INDEX('EPD List'!$A:$AD,MATCH(_xlfn.ANCHORARRAY($B23),'EPD List'!$D:$D,0),MATCH(E$16,'EPD List'!$7:$7,0)))),"")</f>
        <v>0.90755296296296295</v>
      </c>
      <c r="F23" s="198" cm="1">
        <f t="array" ref="F23:F74">_xlfn.IFNA(VALUE((INDEX('EPD List'!$A:$AD,MATCH(_xlfn.ANCHORARRAY($B23),'EPD List'!$D:$D,0),MATCH(F$16,'EPD List'!$7:$7,0)))),"")</f>
        <v>0</v>
      </c>
      <c r="G23" s="198" cm="1">
        <f t="array" ref="G23:G74">_xlfn.IFNA(VALUE((INDEX('EPD List'!$A:$AD,MATCH(_xlfn.ANCHORARRAY($B23),'EPD List'!$D:$D,0),MATCH(G$16,'EPD List'!$7:$7,0)))),"")</f>
        <v>0</v>
      </c>
      <c r="H23" s="327">
        <f t="shared" si="2"/>
        <v>5.4</v>
      </c>
      <c r="I23" s="131"/>
    </row>
    <row r="24" spans="1:9" x14ac:dyDescent="0.25">
      <c r="A24" s="133"/>
      <c r="B24" s="204" t="str">
        <v>Fibre cement board, , Hardie™ Flex Sheet, 6 mm thick (James Hardie Australia Pty Ltd) (Australia)</v>
      </c>
      <c r="C24" s="132" t="str">
        <v>m²</v>
      </c>
      <c r="D24" s="198">
        <v>6.8911099999999994</v>
      </c>
      <c r="E24" s="198">
        <v>0.95709861111111105</v>
      </c>
      <c r="F24" s="198">
        <v>0</v>
      </c>
      <c r="G24" s="198">
        <v>0</v>
      </c>
      <c r="H24" s="327">
        <f t="shared" si="2"/>
        <v>7.2</v>
      </c>
      <c r="I24" s="131"/>
    </row>
    <row r="25" spans="1:9" x14ac:dyDescent="0.25">
      <c r="A25" s="133"/>
      <c r="B25" s="204" t="str">
        <v>Fibre cement board, , Hardie™ Flex Eaves Lining, 4.5 mm thick (James Hardie Australia Pty Ltd) (Australia)</v>
      </c>
      <c r="C25" s="132" t="str">
        <v>m²</v>
      </c>
      <c r="D25" s="198">
        <v>4.850778</v>
      </c>
      <c r="E25" s="198">
        <v>0.89829222222222205</v>
      </c>
      <c r="F25" s="198">
        <v>0</v>
      </c>
      <c r="G25" s="198">
        <v>0</v>
      </c>
      <c r="H25" s="327">
        <f t="shared" si="2"/>
        <v>5.4000000000000012</v>
      </c>
      <c r="I25" s="131"/>
    </row>
    <row r="26" spans="1:9" x14ac:dyDescent="0.25">
      <c r="A26" s="133"/>
      <c r="B26" s="204" t="str">
        <v>Fibre cement board, , EasyLap™ Panel, 9 mm thick (James Hardie Australia Pty Ltd) (Australia)</v>
      </c>
      <c r="C26" s="132" t="str">
        <v>m²</v>
      </c>
      <c r="D26" s="198">
        <v>9.9514999999999993</v>
      </c>
      <c r="E26" s="198">
        <v>0.90140398550724632</v>
      </c>
      <c r="F26" s="198">
        <v>0</v>
      </c>
      <c r="G26" s="198">
        <v>0</v>
      </c>
      <c r="H26" s="327">
        <f t="shared" si="2"/>
        <v>11.04</v>
      </c>
      <c r="I26" s="131"/>
    </row>
    <row r="27" spans="1:9" x14ac:dyDescent="0.25">
      <c r="A27" s="133"/>
      <c r="B27" s="204" t="str">
        <v>Fibre cement board, , Hardie™ Plank Weatherboard, 7.5 mm thick (James Hardie Australia Pty Ltd) (Australia)</v>
      </c>
      <c r="C27" s="132" t="str">
        <v>m²</v>
      </c>
      <c r="D27" s="198">
        <v>7.9513100000000003</v>
      </c>
      <c r="E27" s="198">
        <v>0.88347888888888881</v>
      </c>
      <c r="F27" s="198">
        <v>0</v>
      </c>
      <c r="G27" s="198">
        <v>0</v>
      </c>
      <c r="H27" s="327">
        <f t="shared" si="2"/>
        <v>9.0000000000000018</v>
      </c>
      <c r="I27" s="131"/>
    </row>
    <row r="28" spans="1:9" x14ac:dyDescent="0.25">
      <c r="A28" s="133"/>
      <c r="B28" s="204" t="str">
        <v>Fibre cement board, , ExoTec™ Façade Panel, 9 mm thick (James Hardie Australia Pty Ltd) (Australia)</v>
      </c>
      <c r="C28" s="132" t="str">
        <v>m²</v>
      </c>
      <c r="D28" s="198">
        <v>12.302230000000002</v>
      </c>
      <c r="E28" s="198">
        <v>0.89797299270073005</v>
      </c>
      <c r="F28" s="198">
        <v>0</v>
      </c>
      <c r="G28" s="198">
        <v>0</v>
      </c>
      <c r="H28" s="327">
        <f t="shared" si="2"/>
        <v>13.7</v>
      </c>
      <c r="I28" s="131"/>
    </row>
    <row r="29" spans="1:9" x14ac:dyDescent="0.25">
      <c r="A29" s="133"/>
      <c r="B29" s="204" t="str">
        <v>Fibre cement board, , AxonTM Panel, 9 mm thick (James Hardie Australia Pty Ltd) (Australia)</v>
      </c>
      <c r="C29" s="132" t="str">
        <v>m²</v>
      </c>
      <c r="D29" s="198">
        <v>9.791599999999999</v>
      </c>
      <c r="E29" s="198">
        <v>0.95996078431372556</v>
      </c>
      <c r="F29" s="198">
        <v>0</v>
      </c>
      <c r="G29" s="198">
        <v>0</v>
      </c>
      <c r="H29" s="327">
        <f t="shared" si="2"/>
        <v>10.199999999999998</v>
      </c>
      <c r="I29" s="131"/>
    </row>
    <row r="30" spans="1:9" x14ac:dyDescent="0.25">
      <c r="A30" s="133"/>
      <c r="B30" s="204" t="str">
        <v>Fibre cement board, , StriaTM Cladding, 14 mm thick (James Hardie Australia Pty Ltd) (Australia)</v>
      </c>
      <c r="C30" s="132" t="str">
        <v>m²</v>
      </c>
      <c r="D30" s="198">
        <v>16.30236</v>
      </c>
      <c r="E30" s="198">
        <v>1.0585948051948053</v>
      </c>
      <c r="F30" s="198">
        <v>0</v>
      </c>
      <c r="G30" s="198">
        <v>0</v>
      </c>
      <c r="H30" s="327">
        <f t="shared" si="2"/>
        <v>15.399999999999999</v>
      </c>
      <c r="I30" s="131"/>
    </row>
    <row r="31" spans="1:9" x14ac:dyDescent="0.25">
      <c r="A31" s="133"/>
      <c r="B31" s="204" t="str">
        <v>Fibre cement board, , Linea™ Weatherboards, 16 mm thick (James Hardie Australia Pty Ltd) (Australia)</v>
      </c>
      <c r="C31" s="132" t="str">
        <v>m²</v>
      </c>
      <c r="D31" s="198">
        <v>17.10249</v>
      </c>
      <c r="E31" s="198">
        <v>0.97173238636363635</v>
      </c>
      <c r="F31" s="198">
        <v>0</v>
      </c>
      <c r="G31" s="198">
        <v>0</v>
      </c>
      <c r="H31" s="327">
        <f t="shared" si="2"/>
        <v>17.600000000000001</v>
      </c>
      <c r="I31" s="131"/>
    </row>
    <row r="32" spans="1:9" x14ac:dyDescent="0.25">
      <c r="A32" s="133"/>
      <c r="B32" s="204" t="str">
        <v>Fibre cement board, , Linea™ Oblique™ Weatherboards, 14 mm thick (James Hardie Australia Pty Ltd) (Australia)</v>
      </c>
      <c r="C32" s="132" t="str">
        <v>m²</v>
      </c>
      <c r="D32" s="198">
        <v>15.202169999999999</v>
      </c>
      <c r="E32" s="198">
        <v>0.98972460937500006</v>
      </c>
      <c r="F32" s="198">
        <v>0</v>
      </c>
      <c r="G32" s="198">
        <v>0</v>
      </c>
      <c r="H32" s="327">
        <f t="shared" si="2"/>
        <v>15.359999999999998</v>
      </c>
      <c r="I32" s="131"/>
    </row>
    <row r="33" spans="1:9" x14ac:dyDescent="0.25">
      <c r="A33" s="133"/>
      <c r="B33" s="204" t="str">
        <v>Fibre cement board, , Hardie™ Panel Compressed Sheet, 18 mm thick (James Hardie Australia Pty Ltd) (Australia)</v>
      </c>
      <c r="C33" s="132" t="str">
        <v>m²</v>
      </c>
      <c r="D33" s="198">
        <v>32.505400000000002</v>
      </c>
      <c r="E33" s="198">
        <v>1.0485612903225805</v>
      </c>
      <c r="F33" s="198">
        <v>0</v>
      </c>
      <c r="G33" s="198">
        <v>0</v>
      </c>
      <c r="H33" s="327">
        <f t="shared" si="2"/>
        <v>31.000000000000007</v>
      </c>
      <c r="I33" s="131"/>
    </row>
    <row r="34" spans="1:9" x14ac:dyDescent="0.25">
      <c r="A34" s="133"/>
      <c r="B34" s="204" t="str">
        <v>Fibre cement board, , Secura™ Interior Flooring, 19 mm thick (James Hardie Australia Pty Ltd) (Australia)</v>
      </c>
      <c r="C34" s="132" t="str">
        <v>m²</v>
      </c>
      <c r="D34" s="198">
        <v>18.402629999999998</v>
      </c>
      <c r="E34" s="198">
        <v>0.88474182692307679</v>
      </c>
      <c r="F34" s="198">
        <v>0</v>
      </c>
      <c r="G34" s="198">
        <v>0</v>
      </c>
      <c r="H34" s="327">
        <f t="shared" si="2"/>
        <v>20.8</v>
      </c>
      <c r="I34" s="131"/>
    </row>
    <row r="35" spans="1:9" x14ac:dyDescent="0.25">
      <c r="A35" s="133"/>
      <c r="B35" s="204" t="str">
        <v>Fibre cement board, , Villaboard™ Lining, 6 mm thick (James Hardie Australia Pty Ltd) (Australia)</v>
      </c>
      <c r="C35" s="132" t="str">
        <v>m²</v>
      </c>
      <c r="D35" s="198">
        <v>6.2209509999999995</v>
      </c>
      <c r="E35" s="198">
        <v>0.86402097222222218</v>
      </c>
      <c r="F35" s="198">
        <v>0</v>
      </c>
      <c r="G35" s="198">
        <v>0</v>
      </c>
      <c r="H35" s="327">
        <f t="shared" si="2"/>
        <v>7.1999999999999993</v>
      </c>
      <c r="I35" s="131"/>
    </row>
    <row r="36" spans="1:9" x14ac:dyDescent="0.25">
      <c r="A36" s="133"/>
      <c r="B36" s="204" t="str">
        <v>Fibre cement board, , Villaboard™ Lining, 9 mm thick (James Hardie Australia Pty Ltd) (Australia)</v>
      </c>
      <c r="C36" s="132" t="str">
        <v>m²</v>
      </c>
      <c r="D36" s="198">
        <v>9.2914199999999987</v>
      </c>
      <c r="E36" s="198">
        <v>0.86031666666666651</v>
      </c>
      <c r="F36" s="198">
        <v>0</v>
      </c>
      <c r="G36" s="198">
        <v>0</v>
      </c>
      <c r="H36" s="327">
        <f t="shared" si="2"/>
        <v>10.8</v>
      </c>
      <c r="I36" s="131"/>
    </row>
    <row r="37" spans="1:9" x14ac:dyDescent="0.25">
      <c r="A37" s="133"/>
      <c r="B37" s="204" t="str">
        <v>Fibre cement board, , HomeRAB™ Pre-Cladding, 4.5 mm thick (James Hardie Australia Pty Ltd) (Australia)</v>
      </c>
      <c r="C37" s="132" t="str">
        <v>m²</v>
      </c>
      <c r="D37" s="198">
        <v>5.2408280000000005</v>
      </c>
      <c r="E37" s="198">
        <v>0.97052370370370367</v>
      </c>
      <c r="F37" s="198">
        <v>0</v>
      </c>
      <c r="G37" s="198">
        <v>0</v>
      </c>
      <c r="H37" s="327">
        <f t="shared" si="2"/>
        <v>5.4</v>
      </c>
      <c r="I37" s="131"/>
    </row>
    <row r="38" spans="1:9" x14ac:dyDescent="0.25">
      <c r="A38" s="133"/>
      <c r="B38" s="204" t="str">
        <v>Fibre cement board, , RAB™ Board, 6 mm thick (James Hardie Australia Pty Ltd) (Australia)</v>
      </c>
      <c r="C38" s="132" t="str">
        <v>m²</v>
      </c>
      <c r="D38" s="198">
        <v>6.9611000000000001</v>
      </c>
      <c r="E38" s="198">
        <v>0.96681944444444445</v>
      </c>
      <c r="F38" s="198">
        <v>0</v>
      </c>
      <c r="G38" s="198">
        <v>0</v>
      </c>
      <c r="H38" s="327">
        <f t="shared" si="2"/>
        <v>7.2</v>
      </c>
      <c r="I38" s="131"/>
    </row>
    <row r="39" spans="1:9" x14ac:dyDescent="0.25">
      <c r="A39" s="133"/>
      <c r="B39" s="204" t="str">
        <v>Fibre cement board, , RAB™ Board, 9 mm thick (James Hardie Australia Pty Ltd) (Australia)</v>
      </c>
      <c r="C39" s="132" t="str">
        <v>m²</v>
      </c>
      <c r="D39" s="198">
        <v>10.401670000000001</v>
      </c>
      <c r="E39" s="198">
        <v>0.96311759259259255</v>
      </c>
      <c r="F39" s="198">
        <v>0</v>
      </c>
      <c r="G39" s="198">
        <v>0</v>
      </c>
      <c r="H39" s="327">
        <f t="shared" si="2"/>
        <v>10.8</v>
      </c>
      <c r="I39" s="131"/>
    </row>
    <row r="40" spans="1:9" x14ac:dyDescent="0.25">
      <c r="A40" s="133"/>
      <c r="B40" s="204" t="str">
        <v>Fibre cement board, , Hardie™ Ceramic Tile Underlay, 6 mm thick (James Hardie Australia Pty Ltd) (Australia)</v>
      </c>
      <c r="C40" s="132" t="str">
        <v>m²</v>
      </c>
      <c r="D40" s="198">
        <v>4.8505379999999994</v>
      </c>
      <c r="E40" s="198">
        <v>0.67368583333333332</v>
      </c>
      <c r="F40" s="198">
        <v>0</v>
      </c>
      <c r="G40" s="198">
        <v>0</v>
      </c>
      <c r="H40" s="327">
        <f t="shared" si="2"/>
        <v>7.1999999999999993</v>
      </c>
      <c r="I40" s="131"/>
    </row>
    <row r="41" spans="1:9" x14ac:dyDescent="0.25">
      <c r="A41" s="133"/>
      <c r="B41" s="204" t="str">
        <v>Fibre cement board, , Hardie™ Groove Lining, 7.5 mm thick (James Hardie Australia Pty Ltd) (Australia)</v>
      </c>
      <c r="C41" s="132" t="str">
        <v>m²</v>
      </c>
      <c r="D41" s="198">
        <v>8.1512799999999999</v>
      </c>
      <c r="E41" s="198">
        <v>0.90569777777777782</v>
      </c>
      <c r="F41" s="198">
        <v>0</v>
      </c>
      <c r="G41" s="198">
        <v>0</v>
      </c>
      <c r="H41" s="327">
        <f t="shared" si="2"/>
        <v>9</v>
      </c>
      <c r="I41" s="131"/>
    </row>
    <row r="42" spans="1:9" x14ac:dyDescent="0.25">
      <c r="A42" s="133"/>
      <c r="B42" s="204" t="str">
        <v>Fibre cement, Flooring, Secura™ Interior Flooring 19mm</v>
      </c>
      <c r="C42" s="132" t="str">
        <v>m²</v>
      </c>
      <c r="D42" s="198">
        <v>18.399999999999999</v>
      </c>
      <c r="E42" s="198">
        <v>0.88461538461538447</v>
      </c>
      <c r="F42" s="198">
        <v>4.4999999999999998E-2</v>
      </c>
      <c r="G42" s="198">
        <v>2.1634615384615381E-3</v>
      </c>
      <c r="H42" s="327">
        <f t="shared" si="2"/>
        <v>20.8</v>
      </c>
      <c r="I42" s="131"/>
    </row>
    <row r="43" spans="1:9" x14ac:dyDescent="0.25">
      <c r="A43" s="133"/>
      <c r="B43" s="204" t="str">
        <v>Fibre cement, Flooring, Secura™ Interior Flooring 22mm</v>
      </c>
      <c r="C43" s="132" t="str">
        <v>m²</v>
      </c>
      <c r="D43" s="198">
        <v>21.6</v>
      </c>
      <c r="E43" s="198">
        <v>0.89626556016597514</v>
      </c>
      <c r="F43" s="198">
        <v>4.4999999999999998E-2</v>
      </c>
      <c r="G43" s="198">
        <v>1.867219917012448E-3</v>
      </c>
      <c r="H43" s="327">
        <f t="shared" si="2"/>
        <v>24.1</v>
      </c>
      <c r="I43" s="131"/>
    </row>
    <row r="44" spans="1:9" x14ac:dyDescent="0.25">
      <c r="A44" s="133"/>
      <c r="B44" s="204" t="str">
        <v>Fibre cement, Lining, Secura™ Exterior Flooring 22mm</v>
      </c>
      <c r="C44" s="132" t="str">
        <v>m²</v>
      </c>
      <c r="D44" s="198">
        <v>21.7</v>
      </c>
      <c r="E44" s="198">
        <v>0.90041493775933601</v>
      </c>
      <c r="F44" s="198">
        <v>4.4999999999999998E-2</v>
      </c>
      <c r="G44" s="198">
        <v>1.867219917012448E-3</v>
      </c>
      <c r="H44" s="327">
        <f t="shared" si="2"/>
        <v>24.1</v>
      </c>
      <c r="I44" s="131"/>
    </row>
    <row r="45" spans="1:9" x14ac:dyDescent="0.25">
      <c r="A45" s="133"/>
      <c r="B45" s="204" t="str">
        <v>Fibre cement, Flooring, Secura™ Exterior Flooring 19mm</v>
      </c>
      <c r="C45" s="132" t="str">
        <v>m²</v>
      </c>
      <c r="D45" s="198">
        <v>18.7</v>
      </c>
      <c r="E45" s="198">
        <v>0.89903846153846145</v>
      </c>
      <c r="F45" s="198">
        <v>4.4999999999999998E-2</v>
      </c>
      <c r="G45" s="198">
        <v>2.1634615384615381E-3</v>
      </c>
      <c r="H45" s="327">
        <f t="shared" si="2"/>
        <v>20.8</v>
      </c>
      <c r="I45" s="131"/>
    </row>
    <row r="46" spans="1:9" x14ac:dyDescent="0.25">
      <c r="A46" s="133"/>
      <c r="B46" s="204" t="str">
        <v>Fibre cement, Cladding, Hardie™ Fine Texture Cladding 8.5mm</v>
      </c>
      <c r="C46" s="132" t="str">
        <v>m²</v>
      </c>
      <c r="D46" s="198">
        <v>7.51</v>
      </c>
      <c r="E46" s="198">
        <v>0.73627450980392162</v>
      </c>
      <c r="F46" s="198">
        <v>4.4999999999999998E-2</v>
      </c>
      <c r="G46" s="198">
        <v>4.4117647058823529E-3</v>
      </c>
      <c r="H46" s="327">
        <f t="shared" si="2"/>
        <v>10.199999999999999</v>
      </c>
      <c r="I46" s="131"/>
    </row>
    <row r="47" spans="1:9" x14ac:dyDescent="0.25">
      <c r="A47" s="133"/>
      <c r="B47" s="204" t="str">
        <v>Fibre cement, Cladding, Hardie™ Plank Weatherboards 7.5mm</v>
      </c>
      <c r="C47" s="132" t="str">
        <v>m²</v>
      </c>
      <c r="D47" s="198">
        <v>6.86</v>
      </c>
      <c r="E47" s="198">
        <v>0.76222222222222213</v>
      </c>
      <c r="F47" s="198">
        <v>4.4999999999999998E-2</v>
      </c>
      <c r="G47" s="198">
        <v>5.0000000000000001E-3</v>
      </c>
      <c r="H47" s="327">
        <f t="shared" si="2"/>
        <v>9.0000000000000018</v>
      </c>
      <c r="I47" s="131"/>
    </row>
    <row r="48" spans="1:9" x14ac:dyDescent="0.25">
      <c r="A48" s="133"/>
      <c r="B48" s="204" t="str">
        <v>Fibre cement, Flooring, Hardie™ Deck 19mm</v>
      </c>
      <c r="C48" s="132" t="str">
        <v>m²</v>
      </c>
      <c r="D48" s="198">
        <v>25.2</v>
      </c>
      <c r="E48" s="198">
        <v>1.3237797062469794</v>
      </c>
      <c r="F48" s="198">
        <v>4.4999999999999998E-2</v>
      </c>
      <c r="G48" s="198">
        <v>2.3638923325838917E-3</v>
      </c>
      <c r="H48" s="327">
        <f t="shared" si="2"/>
        <v>19.0364</v>
      </c>
      <c r="I48" s="131"/>
    </row>
    <row r="49" spans="1:9" x14ac:dyDescent="0.25">
      <c r="A49" s="133"/>
      <c r="B49" s="204" t="str">
        <v>Fibre cement, Cladding, EasyLap™ Panel 8.5mm</v>
      </c>
      <c r="C49" s="132" t="str">
        <v>m²</v>
      </c>
      <c r="D49" s="198">
        <v>8</v>
      </c>
      <c r="E49" s="198">
        <v>0.78431372549019618</v>
      </c>
      <c r="F49" s="198">
        <v>4.4999999999999998E-2</v>
      </c>
      <c r="G49" s="198">
        <v>4.4117647058823529E-3</v>
      </c>
      <c r="H49" s="327">
        <f t="shared" si="2"/>
        <v>10.199999999999999</v>
      </c>
      <c r="I49" s="131"/>
    </row>
    <row r="50" spans="1:9" x14ac:dyDescent="0.25">
      <c r="A50" s="133"/>
      <c r="B50" s="204" t="str">
        <v>Fibre cement, Cladding, PrimeLine™ Weatherboards 9mm</v>
      </c>
      <c r="C50" s="132" t="str">
        <v>m²</v>
      </c>
      <c r="D50" s="198">
        <v>9.8499999999999979</v>
      </c>
      <c r="E50" s="198">
        <v>0.91203703703703698</v>
      </c>
      <c r="F50" s="198">
        <v>4.4999999999999998E-2</v>
      </c>
      <c r="G50" s="198">
        <v>4.1666666666666666E-3</v>
      </c>
      <c r="H50" s="327">
        <f t="shared" si="2"/>
        <v>10.799999999999999</v>
      </c>
      <c r="I50" s="131"/>
    </row>
    <row r="51" spans="1:9" x14ac:dyDescent="0.25">
      <c r="A51" s="133"/>
      <c r="B51" s="204" t="str">
        <v>Fibre cement, Cladding, ExoTec™ Façade Panel 9mm</v>
      </c>
      <c r="C51" s="132" t="str">
        <v>m²</v>
      </c>
      <c r="D51" s="198">
        <v>12.3</v>
      </c>
      <c r="E51" s="198">
        <v>0.89781021897810231</v>
      </c>
      <c r="F51" s="198">
        <v>4.4999999999999998E-2</v>
      </c>
      <c r="G51" s="198">
        <v>3.2846715328467154E-3</v>
      </c>
      <c r="H51" s="327">
        <f t="shared" si="2"/>
        <v>13.7</v>
      </c>
      <c r="I51" s="131"/>
    </row>
    <row r="52" spans="1:9" x14ac:dyDescent="0.25">
      <c r="A52" s="133"/>
      <c r="B52" s="204" t="str">
        <v>Fibre cement, Lining, Villaboard™ Lining 9mm</v>
      </c>
      <c r="C52" s="132" t="str">
        <v>m²</v>
      </c>
      <c r="D52" s="198">
        <v>8.65</v>
      </c>
      <c r="E52" s="198">
        <v>0.80092592592592593</v>
      </c>
      <c r="F52" s="198">
        <v>4.4999999999999998E-2</v>
      </c>
      <c r="G52" s="198">
        <v>4.1666666666666666E-3</v>
      </c>
      <c r="H52" s="327">
        <f t="shared" si="2"/>
        <v>10.8</v>
      </c>
      <c r="I52" s="131"/>
    </row>
    <row r="53" spans="1:9" x14ac:dyDescent="0.25">
      <c r="A53" s="133"/>
      <c r="B53" s="204" t="str">
        <v>Fibre cement, Cladding, Linea™ Weatherboards 16mm</v>
      </c>
      <c r="C53" s="132" t="str">
        <v>m²</v>
      </c>
      <c r="D53" s="198">
        <v>15.599999999999998</v>
      </c>
      <c r="E53" s="198">
        <v>0.88636363636363624</v>
      </c>
      <c r="F53" s="198">
        <v>4.4999999999999998E-2</v>
      </c>
      <c r="G53" s="198">
        <v>2.5568181818181814E-3</v>
      </c>
      <c r="H53" s="327">
        <f t="shared" si="2"/>
        <v>17.600000000000001</v>
      </c>
      <c r="I53" s="131"/>
    </row>
    <row r="54" spans="1:9" x14ac:dyDescent="0.25">
      <c r="A54" s="133"/>
      <c r="B54" s="204" t="str">
        <v>Fibre cement, Lining, Versilux™ Lining 6mm</v>
      </c>
      <c r="C54" s="132" t="str">
        <v>m²</v>
      </c>
      <c r="D54" s="198">
        <v>5.62</v>
      </c>
      <c r="E54" s="198">
        <v>0.78055555555555567</v>
      </c>
      <c r="F54" s="198">
        <v>4.4999999999999998E-2</v>
      </c>
      <c r="G54" s="198">
        <v>6.2499999999999995E-3</v>
      </c>
      <c r="H54" s="327">
        <f t="shared" si="2"/>
        <v>7.1999999999999993</v>
      </c>
      <c r="I54" s="131"/>
    </row>
    <row r="55" spans="1:9" x14ac:dyDescent="0.25">
      <c r="A55" s="133"/>
      <c r="B55" s="204" t="str">
        <v>Fibre cement, Compressed sheet, Hardie™ Panel Compressed Sheet 24mm</v>
      </c>
      <c r="C55" s="132" t="str">
        <v>m²</v>
      </c>
      <c r="D55" s="198">
        <v>45.9</v>
      </c>
      <c r="E55" s="198">
        <v>1.1140776699029125</v>
      </c>
      <c r="F55" s="198">
        <v>4.4999999999999998E-2</v>
      </c>
      <c r="G55" s="198">
        <v>1.0922330097087377E-3</v>
      </c>
      <c r="H55" s="327">
        <f t="shared" si="2"/>
        <v>41.2</v>
      </c>
      <c r="I55" s="131"/>
    </row>
    <row r="56" spans="1:9" x14ac:dyDescent="0.25">
      <c r="A56" s="133"/>
      <c r="B56" s="204" t="str">
        <v>Fibre cement, Lining, Versilux™ Lining 9 mm</v>
      </c>
      <c r="C56" s="132" t="str">
        <v>m²</v>
      </c>
      <c r="D56" s="198">
        <v>8.68</v>
      </c>
      <c r="E56" s="198">
        <v>0.80370370370370359</v>
      </c>
      <c r="F56" s="198">
        <v>4.4999999999999998E-2</v>
      </c>
      <c r="G56" s="198">
        <v>4.1666666666666666E-3</v>
      </c>
      <c r="H56" s="327">
        <f t="shared" si="2"/>
        <v>10.8</v>
      </c>
      <c r="I56" s="131"/>
    </row>
    <row r="57" spans="1:9" x14ac:dyDescent="0.25">
      <c r="A57" s="133"/>
      <c r="B57" s="204" t="str">
        <v>Fibre cement, Compressed sheet, Hardie™ Panel Compressed Sheet 18mm</v>
      </c>
      <c r="C57" s="132" t="str">
        <v>m²</v>
      </c>
      <c r="D57" s="198">
        <v>32.5</v>
      </c>
      <c r="E57" s="198">
        <v>1.0483870967741935</v>
      </c>
      <c r="F57" s="198">
        <v>4.4999999999999998E-2</v>
      </c>
      <c r="G57" s="198">
        <v>1.4516129032258063E-3</v>
      </c>
      <c r="H57" s="327">
        <f t="shared" si="2"/>
        <v>31</v>
      </c>
      <c r="I57" s="131"/>
    </row>
    <row r="58" spans="1:9" x14ac:dyDescent="0.25">
      <c r="A58" s="133"/>
      <c r="B58" s="204" t="str">
        <v>Fibre cement, Compressed sheet, Hardie™ Panel Compressed Sheet 15mm</v>
      </c>
      <c r="C58" s="132" t="str">
        <v>m²</v>
      </c>
      <c r="D58" s="198">
        <v>27.9</v>
      </c>
      <c r="E58" s="198">
        <v>1.0772200772200773</v>
      </c>
      <c r="F58" s="198">
        <v>4.4999999999999998E-2</v>
      </c>
      <c r="G58" s="198">
        <v>1.7374517374517376E-3</v>
      </c>
      <c r="H58" s="327">
        <f t="shared" si="2"/>
        <v>25.9</v>
      </c>
      <c r="I58" s="131"/>
    </row>
    <row r="59" spans="1:9" x14ac:dyDescent="0.25">
      <c r="A59" s="133"/>
      <c r="B59" s="204" t="str">
        <v>Fibre cement, Lining, Villaboard™ Lining 6mm</v>
      </c>
      <c r="C59" s="132" t="str">
        <v>m²</v>
      </c>
      <c r="D59" s="198">
        <v>5.71</v>
      </c>
      <c r="E59" s="198">
        <v>0.79305555555555551</v>
      </c>
      <c r="F59" s="198">
        <v>4.4999999999999998E-2</v>
      </c>
      <c r="G59" s="198">
        <v>6.2499999999999995E-3</v>
      </c>
      <c r="H59" s="327">
        <f t="shared" si="2"/>
        <v>7.2</v>
      </c>
      <c r="I59" s="131"/>
    </row>
    <row r="60" spans="1:9" x14ac:dyDescent="0.25">
      <c r="A60" s="133"/>
      <c r="B60" s="204" t="str">
        <v>Fibre cement, Cladding, Axon™ Cladding 9mm</v>
      </c>
      <c r="C60" s="132" t="str">
        <v>m²</v>
      </c>
      <c r="D60" s="198">
        <v>9.7899999999999991</v>
      </c>
      <c r="E60" s="198">
        <v>0.95980392156862748</v>
      </c>
      <c r="F60" s="198">
        <v>4.4999999999999998E-2</v>
      </c>
      <c r="G60" s="198">
        <v>4.4117647058823529E-3</v>
      </c>
      <c r="H60" s="327">
        <f t="shared" si="2"/>
        <v>10.199999999999999</v>
      </c>
      <c r="I60" s="131"/>
    </row>
    <row r="61" spans="1:9" x14ac:dyDescent="0.25">
      <c r="A61" s="133"/>
      <c r="B61" s="204" t="str">
        <v>Fibre cement, Flooring, Hardie™ Groove Lining 7.5mm</v>
      </c>
      <c r="C61" s="132" t="str">
        <v>m²</v>
      </c>
      <c r="D61" s="198">
        <v>8.15</v>
      </c>
      <c r="E61" s="198">
        <v>0.4070941584389709</v>
      </c>
      <c r="F61" s="198">
        <v>4.4999999999999998E-2</v>
      </c>
      <c r="G61" s="198">
        <v>2.2477591570249922E-3</v>
      </c>
      <c r="H61" s="327">
        <f t="shared" si="2"/>
        <v>20.019938461538498</v>
      </c>
      <c r="I61" s="131"/>
    </row>
    <row r="62" spans="1:9" x14ac:dyDescent="0.25">
      <c r="A62" s="133"/>
      <c r="B62" s="204" t="str">
        <v>Fibre cement, Cladding, Hardie™ Flex Eaves Lining 4.5mm</v>
      </c>
      <c r="C62" s="132" t="str">
        <v>m²</v>
      </c>
      <c r="D62" s="198">
        <v>4.5</v>
      </c>
      <c r="E62" s="198">
        <v>0.83333333333333326</v>
      </c>
      <c r="F62" s="198">
        <v>4.4999999999999998E-2</v>
      </c>
      <c r="G62" s="198">
        <v>8.3333333333333332E-3</v>
      </c>
      <c r="H62" s="327">
        <f t="shared" si="2"/>
        <v>5.4</v>
      </c>
      <c r="I62" s="131"/>
    </row>
    <row r="63" spans="1:9" x14ac:dyDescent="0.25">
      <c r="A63" s="133"/>
      <c r="B63" s="204" t="str">
        <v>Fibre cement, Cladding, Hardie™ Flex Sheet 6mm</v>
      </c>
      <c r="C63" s="132" t="str">
        <v>m²</v>
      </c>
      <c r="D63" s="198">
        <v>6.62</v>
      </c>
      <c r="E63" s="198">
        <v>0.9194444444444444</v>
      </c>
      <c r="F63" s="198">
        <v>4.4999999999999998E-2</v>
      </c>
      <c r="G63" s="198">
        <v>6.2499999999999995E-3</v>
      </c>
      <c r="H63" s="327">
        <f t="shared" si="2"/>
        <v>7.2</v>
      </c>
      <c r="I63" s="131"/>
    </row>
    <row r="64" spans="1:9" x14ac:dyDescent="0.25">
      <c r="A64" s="133"/>
      <c r="B64" s="204" t="str">
        <v>Fibre cement, Cladding, Hardie™ Flex Sheet 4.5mm</v>
      </c>
      <c r="C64" s="132" t="str">
        <v>m²</v>
      </c>
      <c r="D64" s="198">
        <v>4.62</v>
      </c>
      <c r="E64" s="198">
        <v>0.8555555555555554</v>
      </c>
      <c r="F64" s="198">
        <v>4.4999999999999998E-2</v>
      </c>
      <c r="G64" s="198">
        <v>8.3333333333333332E-3</v>
      </c>
      <c r="H64" s="327">
        <f t="shared" si="2"/>
        <v>5.4000000000000012</v>
      </c>
      <c r="I64" s="131"/>
    </row>
    <row r="65" spans="1:9" x14ac:dyDescent="0.25">
      <c r="A65" s="133"/>
      <c r="B65" s="204" t="str">
        <v>Fibre cement, Cladding, Stria™ Cladding 14mm</v>
      </c>
      <c r="C65" s="132" t="str">
        <v>m²</v>
      </c>
      <c r="D65" s="198">
        <v>14.899999999999999</v>
      </c>
      <c r="E65" s="198">
        <v>0.96753246753246747</v>
      </c>
      <c r="F65" s="198">
        <v>4.4999999999999998E-2</v>
      </c>
      <c r="G65" s="198">
        <v>2.9220779220779218E-3</v>
      </c>
      <c r="H65" s="327">
        <f t="shared" si="2"/>
        <v>15.4</v>
      </c>
      <c r="I65" s="131"/>
    </row>
    <row r="66" spans="1:9" x14ac:dyDescent="0.25">
      <c r="A66" s="133"/>
      <c r="B66" s="204" t="str">
        <v>Fibre cement, Cladding, HardieTM ObliqueTM Cladding 14mm</v>
      </c>
      <c r="C66" s="132" t="str">
        <v>m²</v>
      </c>
      <c r="D66" s="198">
        <v>15</v>
      </c>
      <c r="E66" s="198">
        <v>0.9765625</v>
      </c>
      <c r="F66" s="198">
        <v>4.4999999999999998E-2</v>
      </c>
      <c r="G66" s="198">
        <v>2.9296875E-3</v>
      </c>
      <c r="H66" s="327">
        <f t="shared" si="2"/>
        <v>15.36</v>
      </c>
      <c r="I66" s="131"/>
    </row>
    <row r="67" spans="1:9" x14ac:dyDescent="0.25">
      <c r="A67" s="133"/>
      <c r="B67" s="204" t="str">
        <v>Fibre cement, Flooring, RAB™ Board 6mm</v>
      </c>
      <c r="C67" s="132" t="str">
        <v>m²</v>
      </c>
      <c r="D67" s="198">
        <v>6.9599999999999991</v>
      </c>
      <c r="E67" s="198">
        <v>0.35942530087171065</v>
      </c>
      <c r="F67" s="198">
        <v>4.4999999999999998E-2</v>
      </c>
      <c r="G67" s="198">
        <v>2.323870479773991E-3</v>
      </c>
      <c r="H67" s="327">
        <f t="shared" si="2"/>
        <v>19.364246153846096</v>
      </c>
      <c r="I67" s="131"/>
    </row>
    <row r="68" spans="1:9" x14ac:dyDescent="0.25">
      <c r="A68" s="133"/>
      <c r="B68" s="204" t="str">
        <v>Fibre cement, Flooring, Ceramic Tire Underlay 6mm</v>
      </c>
      <c r="C68" s="132" t="str">
        <v>m²</v>
      </c>
      <c r="D68" s="198">
        <v>6.05</v>
      </c>
      <c r="E68" s="198">
        <v>0.30722992282728107</v>
      </c>
      <c r="F68" s="198">
        <v>4.4999999999999998E-2</v>
      </c>
      <c r="G68" s="198">
        <v>2.2851812441698591E-3</v>
      </c>
      <c r="H68" s="327">
        <f t="shared" si="2"/>
        <v>19.692092307692299</v>
      </c>
      <c r="I68" s="131"/>
    </row>
    <row r="69" spans="1:9" x14ac:dyDescent="0.25">
      <c r="A69" s="133"/>
      <c r="B69" s="204" t="str">
        <v>Fibre cement, Cladding, Matrix™ Cladding 8mm</v>
      </c>
      <c r="C69" s="132" t="str">
        <v>m²</v>
      </c>
      <c r="D69" s="198">
        <v>8.7100000000000009</v>
      </c>
      <c r="E69" s="198">
        <v>0.90729166666666683</v>
      </c>
      <c r="F69" s="198">
        <v>4.4999999999999998E-2</v>
      </c>
      <c r="G69" s="198">
        <v>4.6874999999999998E-3</v>
      </c>
      <c r="H69" s="327">
        <f t="shared" si="2"/>
        <v>9.6</v>
      </c>
      <c r="I69" s="131"/>
    </row>
    <row r="70" spans="1:9" x14ac:dyDescent="0.25">
      <c r="A70" s="133"/>
      <c r="B70" s="204" t="str">
        <v>Fibre cement, Lining, Versilux™ Lining 4.5mm</v>
      </c>
      <c r="C70" s="132" t="str">
        <v>m²</v>
      </c>
      <c r="D70" s="198">
        <v>4.67</v>
      </c>
      <c r="E70" s="198">
        <v>0.8648148148148147</v>
      </c>
      <c r="F70" s="198">
        <v>4.4999999999999998E-2</v>
      </c>
      <c r="G70" s="198">
        <v>8.3333333333333332E-3</v>
      </c>
      <c r="H70" s="327">
        <f t="shared" si="2"/>
        <v>5.4</v>
      </c>
      <c r="I70" s="131"/>
    </row>
    <row r="71" spans="1:9" x14ac:dyDescent="0.25">
      <c r="A71" s="133"/>
      <c r="B71" s="204" t="str">
        <v>Fibre cement, , Natural coloured 8mm (Valcan) (UK)</v>
      </c>
      <c r="C71" s="132" t="str">
        <v>m²</v>
      </c>
      <c r="D71" s="198">
        <v>10.8</v>
      </c>
      <c r="E71" s="198">
        <v>0.75</v>
      </c>
      <c r="F71" s="198">
        <v>0</v>
      </c>
      <c r="G71" s="198">
        <v>0</v>
      </c>
      <c r="H71" s="327">
        <f t="shared" si="2"/>
        <v>14.4</v>
      </c>
      <c r="I71" s="131"/>
    </row>
    <row r="72" spans="1:9" x14ac:dyDescent="0.25">
      <c r="A72" s="133"/>
      <c r="B72" s="204" t="str">
        <v>Fibre cement, , Natural coloured 10mm (Valcan) (UK)</v>
      </c>
      <c r="C72" s="132" t="str">
        <v>m²</v>
      </c>
      <c r="D72" s="198">
        <v>13.5</v>
      </c>
      <c r="E72" s="198">
        <v>0.75</v>
      </c>
      <c r="F72" s="198">
        <v>0</v>
      </c>
      <c r="G72" s="198">
        <v>0</v>
      </c>
      <c r="H72" s="327">
        <f t="shared" si="2"/>
        <v>18</v>
      </c>
      <c r="I72" s="131"/>
    </row>
    <row r="73" spans="1:9" x14ac:dyDescent="0.25">
      <c r="A73" s="133"/>
      <c r="B73" s="204" t="str">
        <v>Fibre cement, , Natural coloured 12mm, painted (Valcan) (UK)</v>
      </c>
      <c r="C73" s="132" t="str">
        <v>m²</v>
      </c>
      <c r="D73" s="198">
        <v>18.100000000000001</v>
      </c>
      <c r="E73" s="198">
        <v>0.83796296296296302</v>
      </c>
      <c r="F73" s="198">
        <v>0</v>
      </c>
      <c r="G73" s="198">
        <v>0</v>
      </c>
      <c r="H73" s="327">
        <f t="shared" si="2"/>
        <v>21.6</v>
      </c>
      <c r="I73" s="131"/>
    </row>
    <row r="74" spans="1:9" x14ac:dyDescent="0.25">
      <c r="A74" s="133"/>
      <c r="B74" s="217" t="str">
        <v>Fibre cement board, , Fibre cement Products Ceminseal Compressed sheet - 15mm (Cemintel) (Australia)</v>
      </c>
      <c r="C74" s="218" t="str">
        <v>m²</v>
      </c>
      <c r="D74" s="219">
        <v>12.422999999999998</v>
      </c>
      <c r="E74" s="219">
        <v>1.3215957446808508</v>
      </c>
      <c r="F74" s="219">
        <v>0</v>
      </c>
      <c r="G74" s="219">
        <v>0</v>
      </c>
      <c r="H74" s="328">
        <f t="shared" si="2"/>
        <v>9.4</v>
      </c>
      <c r="I74" s="131"/>
    </row>
    <row r="75" spans="1:9" x14ac:dyDescent="0.25">
      <c r="B75" s="130"/>
      <c r="C75" s="130"/>
      <c r="D75" s="207"/>
      <c r="E75" s="207"/>
      <c r="F75" s="207"/>
      <c r="G75" s="207"/>
      <c r="H75" s="330" t="str">
        <f t="shared" si="2"/>
        <v/>
      </c>
    </row>
    <row r="76" spans="1:9" x14ac:dyDescent="0.25">
      <c r="H76" s="272" t="str">
        <f t="shared" si="2"/>
        <v/>
      </c>
    </row>
    <row r="77" spans="1:9" x14ac:dyDescent="0.25">
      <c r="H77" s="272" t="str">
        <f t="shared" si="2"/>
        <v/>
      </c>
    </row>
    <row r="78" spans="1:9" x14ac:dyDescent="0.25">
      <c r="H78" s="272" t="str">
        <f t="shared" si="2"/>
        <v/>
      </c>
    </row>
    <row r="79" spans="1:9" x14ac:dyDescent="0.25">
      <c r="H79" s="272" t="str">
        <f t="shared" si="2"/>
        <v/>
      </c>
    </row>
    <row r="80" spans="1:9" x14ac:dyDescent="0.25">
      <c r="H80" s="272" t="str">
        <f t="shared" si="2"/>
        <v/>
      </c>
    </row>
    <row r="81" spans="8:9" x14ac:dyDescent="0.25">
      <c r="H81" s="272" t="str">
        <f t="shared" si="2"/>
        <v/>
      </c>
    </row>
    <row r="82" spans="8:9" x14ac:dyDescent="0.25">
      <c r="H82" s="272" t="str">
        <f t="shared" si="2"/>
        <v/>
      </c>
    </row>
    <row r="83" spans="8:9" x14ac:dyDescent="0.25">
      <c r="H83" s="272" t="str">
        <f t="shared" ref="H83:H146" si="4">IFERROR(D83/E83,"")</f>
        <v/>
      </c>
    </row>
    <row r="84" spans="8:9" x14ac:dyDescent="0.25">
      <c r="H84" s="272" t="str">
        <f t="shared" si="4"/>
        <v/>
      </c>
    </row>
    <row r="85" spans="8:9" x14ac:dyDescent="0.25">
      <c r="H85" s="272" t="str">
        <f t="shared" si="4"/>
        <v/>
      </c>
    </row>
    <row r="86" spans="8:9" x14ac:dyDescent="0.25">
      <c r="H86" s="272" t="str">
        <f t="shared" si="4"/>
        <v/>
      </c>
    </row>
    <row r="87" spans="8:9" x14ac:dyDescent="0.25">
      <c r="H87" s="272" t="str">
        <f t="shared" si="4"/>
        <v/>
      </c>
    </row>
    <row r="88" spans="8:9" x14ac:dyDescent="0.25">
      <c r="H88" s="272" t="str">
        <f t="shared" si="4"/>
        <v/>
      </c>
    </row>
    <row r="89" spans="8:9" x14ac:dyDescent="0.25">
      <c r="H89" s="272" t="str">
        <f t="shared" si="4"/>
        <v/>
      </c>
    </row>
    <row r="90" spans="8:9" x14ac:dyDescent="0.25">
      <c r="H90" s="272" t="str">
        <f t="shared" si="4"/>
        <v/>
      </c>
      <c r="I90" s="198"/>
    </row>
    <row r="91" spans="8:9" x14ac:dyDescent="0.25">
      <c r="H91" s="272" t="str">
        <f t="shared" si="4"/>
        <v/>
      </c>
    </row>
    <row r="92" spans="8:9" x14ac:dyDescent="0.25">
      <c r="H92" s="272" t="str">
        <f t="shared" si="4"/>
        <v/>
      </c>
    </row>
    <row r="93" spans="8:9" x14ac:dyDescent="0.25">
      <c r="H93" s="272" t="str">
        <f t="shared" si="4"/>
        <v/>
      </c>
    </row>
    <row r="94" spans="8:9" x14ac:dyDescent="0.25">
      <c r="H94" s="272" t="str">
        <f t="shared" si="4"/>
        <v/>
      </c>
    </row>
    <row r="95" spans="8:9" x14ac:dyDescent="0.25">
      <c r="H95" s="272" t="str">
        <f t="shared" si="4"/>
        <v/>
      </c>
    </row>
    <row r="96" spans="8:9" x14ac:dyDescent="0.25">
      <c r="H96" s="272" t="str">
        <f t="shared" si="4"/>
        <v/>
      </c>
    </row>
    <row r="97" spans="8:8" x14ac:dyDescent="0.25">
      <c r="H97" s="272" t="str">
        <f t="shared" si="4"/>
        <v/>
      </c>
    </row>
    <row r="98" spans="8:8" x14ac:dyDescent="0.25">
      <c r="H98" s="272" t="str">
        <f t="shared" si="4"/>
        <v/>
      </c>
    </row>
    <row r="99" spans="8:8" x14ac:dyDescent="0.25">
      <c r="H99" s="272" t="str">
        <f t="shared" si="4"/>
        <v/>
      </c>
    </row>
    <row r="100" spans="8:8" x14ac:dyDescent="0.25">
      <c r="H100" s="272" t="str">
        <f t="shared" si="4"/>
        <v/>
      </c>
    </row>
    <row r="101" spans="8:8" x14ac:dyDescent="0.25">
      <c r="H101" s="272" t="str">
        <f t="shared" si="4"/>
        <v/>
      </c>
    </row>
    <row r="102" spans="8:8" x14ac:dyDescent="0.25">
      <c r="H102" s="272" t="str">
        <f t="shared" si="4"/>
        <v/>
      </c>
    </row>
    <row r="103" spans="8:8" x14ac:dyDescent="0.25">
      <c r="H103" s="272" t="str">
        <f t="shared" si="4"/>
        <v/>
      </c>
    </row>
    <row r="104" spans="8:8" x14ac:dyDescent="0.25">
      <c r="H104" s="272" t="str">
        <f t="shared" si="4"/>
        <v/>
      </c>
    </row>
    <row r="105" spans="8:8" x14ac:dyDescent="0.25">
      <c r="H105" s="272" t="str">
        <f t="shared" si="4"/>
        <v/>
      </c>
    </row>
    <row r="106" spans="8:8" x14ac:dyDescent="0.25">
      <c r="H106" s="272" t="str">
        <f t="shared" si="4"/>
        <v/>
      </c>
    </row>
    <row r="107" spans="8:8" x14ac:dyDescent="0.25">
      <c r="H107" s="272" t="str">
        <f t="shared" si="4"/>
        <v/>
      </c>
    </row>
    <row r="108" spans="8:8" x14ac:dyDescent="0.25">
      <c r="H108" s="272" t="str">
        <f t="shared" si="4"/>
        <v/>
      </c>
    </row>
    <row r="109" spans="8:8" x14ac:dyDescent="0.25">
      <c r="H109" s="272" t="str">
        <f t="shared" si="4"/>
        <v/>
      </c>
    </row>
    <row r="110" spans="8:8" x14ac:dyDescent="0.25">
      <c r="H110" s="272" t="str">
        <f t="shared" si="4"/>
        <v/>
      </c>
    </row>
    <row r="111" spans="8:8" x14ac:dyDescent="0.25">
      <c r="H111" s="272" t="str">
        <f t="shared" si="4"/>
        <v/>
      </c>
    </row>
    <row r="112" spans="8:8" x14ac:dyDescent="0.25">
      <c r="H112" s="272" t="str">
        <f t="shared" si="4"/>
        <v/>
      </c>
    </row>
    <row r="113" spans="8:8" x14ac:dyDescent="0.25">
      <c r="H113" s="272" t="str">
        <f t="shared" si="4"/>
        <v/>
      </c>
    </row>
    <row r="114" spans="8:8" x14ac:dyDescent="0.25">
      <c r="H114" s="272" t="str">
        <f t="shared" si="4"/>
        <v/>
      </c>
    </row>
    <row r="115" spans="8:8" x14ac:dyDescent="0.25">
      <c r="H115" s="272" t="str">
        <f t="shared" si="4"/>
        <v/>
      </c>
    </row>
    <row r="116" spans="8:8" x14ac:dyDescent="0.25">
      <c r="H116" s="272" t="str">
        <f t="shared" si="4"/>
        <v/>
      </c>
    </row>
    <row r="117" spans="8:8" x14ac:dyDescent="0.25">
      <c r="H117" s="272" t="str">
        <f t="shared" si="4"/>
        <v/>
      </c>
    </row>
    <row r="118" spans="8:8" x14ac:dyDescent="0.25">
      <c r="H118" s="272" t="str">
        <f t="shared" si="4"/>
        <v/>
      </c>
    </row>
    <row r="119" spans="8:8" x14ac:dyDescent="0.25">
      <c r="H119" s="272" t="str">
        <f t="shared" si="4"/>
        <v/>
      </c>
    </row>
    <row r="120" spans="8:8" x14ac:dyDescent="0.25">
      <c r="H120" s="272" t="str">
        <f t="shared" si="4"/>
        <v/>
      </c>
    </row>
    <row r="121" spans="8:8" x14ac:dyDescent="0.25">
      <c r="H121" s="272" t="str">
        <f t="shared" si="4"/>
        <v/>
      </c>
    </row>
    <row r="122" spans="8:8" x14ac:dyDescent="0.25">
      <c r="H122" s="272" t="str">
        <f t="shared" si="4"/>
        <v/>
      </c>
    </row>
    <row r="123" spans="8:8" x14ac:dyDescent="0.25">
      <c r="H123" s="272" t="str">
        <f t="shared" si="4"/>
        <v/>
      </c>
    </row>
    <row r="124" spans="8:8" x14ac:dyDescent="0.25">
      <c r="H124" s="272" t="str">
        <f t="shared" si="4"/>
        <v/>
      </c>
    </row>
    <row r="125" spans="8:8" x14ac:dyDescent="0.25">
      <c r="H125" s="272" t="str">
        <f t="shared" si="4"/>
        <v/>
      </c>
    </row>
    <row r="126" spans="8:8" x14ac:dyDescent="0.25">
      <c r="H126" s="272" t="str">
        <f t="shared" si="4"/>
        <v/>
      </c>
    </row>
    <row r="127" spans="8:8" x14ac:dyDescent="0.25">
      <c r="H127" s="272" t="str">
        <f t="shared" si="4"/>
        <v/>
      </c>
    </row>
    <row r="128" spans="8:8" x14ac:dyDescent="0.25">
      <c r="H128" s="272" t="str">
        <f t="shared" si="4"/>
        <v/>
      </c>
    </row>
    <row r="129" spans="8:8" x14ac:dyDescent="0.25">
      <c r="H129" s="272" t="str">
        <f t="shared" si="4"/>
        <v/>
      </c>
    </row>
    <row r="130" spans="8:8" x14ac:dyDescent="0.25">
      <c r="H130" s="272" t="str">
        <f t="shared" si="4"/>
        <v/>
      </c>
    </row>
    <row r="131" spans="8:8" x14ac:dyDescent="0.25">
      <c r="H131" s="272" t="str">
        <f t="shared" si="4"/>
        <v/>
      </c>
    </row>
    <row r="132" spans="8:8" x14ac:dyDescent="0.25">
      <c r="H132" s="272" t="str">
        <f t="shared" si="4"/>
        <v/>
      </c>
    </row>
    <row r="133" spans="8:8" x14ac:dyDescent="0.25">
      <c r="H133" s="272" t="str">
        <f t="shared" si="4"/>
        <v/>
      </c>
    </row>
    <row r="134" spans="8:8" x14ac:dyDescent="0.25">
      <c r="H134" s="272" t="str">
        <f t="shared" si="4"/>
        <v/>
      </c>
    </row>
    <row r="135" spans="8:8" x14ac:dyDescent="0.25">
      <c r="H135" s="272" t="str">
        <f t="shared" si="4"/>
        <v/>
      </c>
    </row>
    <row r="136" spans="8:8" x14ac:dyDescent="0.25">
      <c r="H136" s="272" t="str">
        <f t="shared" si="4"/>
        <v/>
      </c>
    </row>
    <row r="137" spans="8:8" x14ac:dyDescent="0.25">
      <c r="H137" s="272" t="str">
        <f t="shared" si="4"/>
        <v/>
      </c>
    </row>
    <row r="138" spans="8:8" x14ac:dyDescent="0.25">
      <c r="H138" s="272" t="str">
        <f t="shared" si="4"/>
        <v/>
      </c>
    </row>
    <row r="139" spans="8:8" x14ac:dyDescent="0.25">
      <c r="H139" s="272" t="str">
        <f t="shared" si="4"/>
        <v/>
      </c>
    </row>
    <row r="140" spans="8:8" x14ac:dyDescent="0.25">
      <c r="H140" s="272" t="str">
        <f t="shared" si="4"/>
        <v/>
      </c>
    </row>
    <row r="141" spans="8:8" x14ac:dyDescent="0.25">
      <c r="H141" s="272" t="str">
        <f t="shared" si="4"/>
        <v/>
      </c>
    </row>
    <row r="142" spans="8:8" x14ac:dyDescent="0.25">
      <c r="H142" s="272" t="str">
        <f t="shared" si="4"/>
        <v/>
      </c>
    </row>
    <row r="143" spans="8:8" x14ac:dyDescent="0.25">
      <c r="H143" s="272" t="str">
        <f t="shared" si="4"/>
        <v/>
      </c>
    </row>
    <row r="144" spans="8:8" x14ac:dyDescent="0.25">
      <c r="H144" s="272" t="str">
        <f t="shared" si="4"/>
        <v/>
      </c>
    </row>
    <row r="145" spans="8:8" x14ac:dyDescent="0.25">
      <c r="H145" s="272" t="str">
        <f t="shared" si="4"/>
        <v/>
      </c>
    </row>
    <row r="146" spans="8:8" x14ac:dyDescent="0.25">
      <c r="H146" s="272" t="str">
        <f t="shared" si="4"/>
        <v/>
      </c>
    </row>
    <row r="147" spans="8:8" x14ac:dyDescent="0.25">
      <c r="H147" s="272" t="str">
        <f t="shared" ref="H147:H210" si="5">IFERROR(D147/E147,"")</f>
        <v/>
      </c>
    </row>
    <row r="148" spans="8:8" x14ac:dyDescent="0.25">
      <c r="H148" s="272" t="str">
        <f t="shared" si="5"/>
        <v/>
      </c>
    </row>
    <row r="149" spans="8:8" x14ac:dyDescent="0.25">
      <c r="H149" s="272" t="str">
        <f t="shared" si="5"/>
        <v/>
      </c>
    </row>
    <row r="150" spans="8:8" x14ac:dyDescent="0.25">
      <c r="H150" s="272" t="str">
        <f t="shared" si="5"/>
        <v/>
      </c>
    </row>
    <row r="151" spans="8:8" x14ac:dyDescent="0.25">
      <c r="H151" s="272" t="str">
        <f t="shared" si="5"/>
        <v/>
      </c>
    </row>
    <row r="152" spans="8:8" x14ac:dyDescent="0.25">
      <c r="H152" s="272" t="str">
        <f t="shared" si="5"/>
        <v/>
      </c>
    </row>
    <row r="153" spans="8:8" x14ac:dyDescent="0.25">
      <c r="H153" s="272" t="str">
        <f t="shared" si="5"/>
        <v/>
      </c>
    </row>
    <row r="154" spans="8:8" x14ac:dyDescent="0.25">
      <c r="H154" s="272" t="str">
        <f t="shared" si="5"/>
        <v/>
      </c>
    </row>
    <row r="155" spans="8:8" x14ac:dyDescent="0.25">
      <c r="H155" s="272" t="str">
        <f t="shared" si="5"/>
        <v/>
      </c>
    </row>
    <row r="156" spans="8:8" x14ac:dyDescent="0.25">
      <c r="H156" s="272" t="str">
        <f t="shared" si="5"/>
        <v/>
      </c>
    </row>
    <row r="157" spans="8:8" x14ac:dyDescent="0.25">
      <c r="H157" s="272" t="str">
        <f t="shared" si="5"/>
        <v/>
      </c>
    </row>
    <row r="158" spans="8:8" x14ac:dyDescent="0.25">
      <c r="H158" s="272" t="str">
        <f t="shared" si="5"/>
        <v/>
      </c>
    </row>
    <row r="159" spans="8:8" x14ac:dyDescent="0.25">
      <c r="H159" s="272" t="str">
        <f t="shared" si="5"/>
        <v/>
      </c>
    </row>
    <row r="160" spans="8:8" x14ac:dyDescent="0.25">
      <c r="H160" s="272" t="str">
        <f t="shared" si="5"/>
        <v/>
      </c>
    </row>
    <row r="161" spans="8:8" x14ac:dyDescent="0.25">
      <c r="H161" s="272" t="str">
        <f t="shared" si="5"/>
        <v/>
      </c>
    </row>
    <row r="162" spans="8:8" x14ac:dyDescent="0.25">
      <c r="H162" s="272" t="str">
        <f t="shared" si="5"/>
        <v/>
      </c>
    </row>
    <row r="163" spans="8:8" x14ac:dyDescent="0.25">
      <c r="H163" s="272" t="str">
        <f t="shared" si="5"/>
        <v/>
      </c>
    </row>
    <row r="164" spans="8:8" x14ac:dyDescent="0.25">
      <c r="H164" s="272" t="str">
        <f t="shared" si="5"/>
        <v/>
      </c>
    </row>
    <row r="165" spans="8:8" x14ac:dyDescent="0.25">
      <c r="H165" s="272" t="str">
        <f t="shared" si="5"/>
        <v/>
      </c>
    </row>
    <row r="166" spans="8:8" x14ac:dyDescent="0.25">
      <c r="H166" s="272" t="str">
        <f t="shared" si="5"/>
        <v/>
      </c>
    </row>
    <row r="167" spans="8:8" x14ac:dyDescent="0.25">
      <c r="H167" s="272" t="str">
        <f t="shared" si="5"/>
        <v/>
      </c>
    </row>
    <row r="168" spans="8:8" x14ac:dyDescent="0.25">
      <c r="H168" s="272" t="str">
        <f t="shared" si="5"/>
        <v/>
      </c>
    </row>
    <row r="169" spans="8:8" x14ac:dyDescent="0.25">
      <c r="H169" s="272" t="str">
        <f t="shared" si="5"/>
        <v/>
      </c>
    </row>
    <row r="170" spans="8:8" x14ac:dyDescent="0.25">
      <c r="H170" s="272" t="str">
        <f t="shared" si="5"/>
        <v/>
      </c>
    </row>
    <row r="171" spans="8:8" x14ac:dyDescent="0.25">
      <c r="H171" s="272" t="str">
        <f t="shared" si="5"/>
        <v/>
      </c>
    </row>
    <row r="172" spans="8:8" x14ac:dyDescent="0.25">
      <c r="H172" s="272" t="str">
        <f t="shared" si="5"/>
        <v/>
      </c>
    </row>
    <row r="173" spans="8:8" x14ac:dyDescent="0.25">
      <c r="H173" s="272" t="str">
        <f t="shared" si="5"/>
        <v/>
      </c>
    </row>
    <row r="174" spans="8:8" x14ac:dyDescent="0.25">
      <c r="H174" s="272" t="str">
        <f t="shared" si="5"/>
        <v/>
      </c>
    </row>
    <row r="175" spans="8:8" x14ac:dyDescent="0.25">
      <c r="H175" s="272" t="str">
        <f t="shared" si="5"/>
        <v/>
      </c>
    </row>
    <row r="176" spans="8:8" x14ac:dyDescent="0.25">
      <c r="H176" s="272" t="str">
        <f t="shared" si="5"/>
        <v/>
      </c>
    </row>
    <row r="177" spans="8:8" x14ac:dyDescent="0.25">
      <c r="H177" s="272" t="str">
        <f t="shared" si="5"/>
        <v/>
      </c>
    </row>
    <row r="178" spans="8:8" x14ac:dyDescent="0.25">
      <c r="H178" s="272" t="str">
        <f t="shared" si="5"/>
        <v/>
      </c>
    </row>
    <row r="179" spans="8:8" x14ac:dyDescent="0.25">
      <c r="H179" s="272" t="str">
        <f t="shared" si="5"/>
        <v/>
      </c>
    </row>
    <row r="180" spans="8:8" x14ac:dyDescent="0.25">
      <c r="H180" s="272" t="str">
        <f t="shared" si="5"/>
        <v/>
      </c>
    </row>
    <row r="181" spans="8:8" x14ac:dyDescent="0.25">
      <c r="H181" s="272" t="str">
        <f t="shared" si="5"/>
        <v/>
      </c>
    </row>
    <row r="182" spans="8:8" x14ac:dyDescent="0.25">
      <c r="H182" s="272" t="str">
        <f t="shared" si="5"/>
        <v/>
      </c>
    </row>
    <row r="183" spans="8:8" x14ac:dyDescent="0.25">
      <c r="H183" s="272" t="str">
        <f t="shared" si="5"/>
        <v/>
      </c>
    </row>
    <row r="184" spans="8:8" x14ac:dyDescent="0.25">
      <c r="H184" s="272" t="str">
        <f t="shared" si="5"/>
        <v/>
      </c>
    </row>
    <row r="185" spans="8:8" x14ac:dyDescent="0.25">
      <c r="H185" s="272" t="str">
        <f t="shared" si="5"/>
        <v/>
      </c>
    </row>
    <row r="186" spans="8:8" x14ac:dyDescent="0.25">
      <c r="H186" s="272" t="str">
        <f t="shared" si="5"/>
        <v/>
      </c>
    </row>
    <row r="187" spans="8:8" x14ac:dyDescent="0.25">
      <c r="H187" s="272" t="str">
        <f t="shared" si="5"/>
        <v/>
      </c>
    </row>
    <row r="188" spans="8:8" x14ac:dyDescent="0.25">
      <c r="H188" s="272" t="str">
        <f t="shared" si="5"/>
        <v/>
      </c>
    </row>
    <row r="189" spans="8:8" x14ac:dyDescent="0.25">
      <c r="H189" s="272" t="str">
        <f t="shared" si="5"/>
        <v/>
      </c>
    </row>
    <row r="190" spans="8:8" x14ac:dyDescent="0.25">
      <c r="H190" s="272" t="str">
        <f t="shared" si="5"/>
        <v/>
      </c>
    </row>
    <row r="191" spans="8:8" x14ac:dyDescent="0.25">
      <c r="H191" s="272" t="str">
        <f t="shared" si="5"/>
        <v/>
      </c>
    </row>
    <row r="192" spans="8:8" x14ac:dyDescent="0.25">
      <c r="H192" s="272" t="str">
        <f t="shared" si="5"/>
        <v/>
      </c>
    </row>
    <row r="193" spans="8:8" x14ac:dyDescent="0.25">
      <c r="H193" s="272" t="str">
        <f t="shared" si="5"/>
        <v/>
      </c>
    </row>
    <row r="194" spans="8:8" x14ac:dyDescent="0.25">
      <c r="H194" s="272" t="str">
        <f t="shared" si="5"/>
        <v/>
      </c>
    </row>
    <row r="195" spans="8:8" x14ac:dyDescent="0.25">
      <c r="H195" s="272" t="str">
        <f t="shared" si="5"/>
        <v/>
      </c>
    </row>
    <row r="196" spans="8:8" x14ac:dyDescent="0.25">
      <c r="H196" s="272" t="str">
        <f t="shared" si="5"/>
        <v/>
      </c>
    </row>
    <row r="197" spans="8:8" x14ac:dyDescent="0.25">
      <c r="H197" s="272" t="str">
        <f t="shared" si="5"/>
        <v/>
      </c>
    </row>
    <row r="198" spans="8:8" x14ac:dyDescent="0.25">
      <c r="H198" s="272" t="str">
        <f t="shared" si="5"/>
        <v/>
      </c>
    </row>
    <row r="199" spans="8:8" x14ac:dyDescent="0.25">
      <c r="H199" s="272" t="str">
        <f t="shared" si="5"/>
        <v/>
      </c>
    </row>
    <row r="200" spans="8:8" x14ac:dyDescent="0.25">
      <c r="H200" s="272" t="str">
        <f t="shared" si="5"/>
        <v/>
      </c>
    </row>
    <row r="201" spans="8:8" x14ac:dyDescent="0.25">
      <c r="H201" s="272" t="str">
        <f t="shared" si="5"/>
        <v/>
      </c>
    </row>
    <row r="202" spans="8:8" x14ac:dyDescent="0.25">
      <c r="H202" s="272" t="str">
        <f t="shared" si="5"/>
        <v/>
      </c>
    </row>
    <row r="203" spans="8:8" x14ac:dyDescent="0.25">
      <c r="H203" s="272" t="str">
        <f t="shared" si="5"/>
        <v/>
      </c>
    </row>
    <row r="204" spans="8:8" x14ac:dyDescent="0.25">
      <c r="H204" s="272" t="str">
        <f t="shared" si="5"/>
        <v/>
      </c>
    </row>
    <row r="205" spans="8:8" x14ac:dyDescent="0.25">
      <c r="H205" s="272" t="str">
        <f t="shared" si="5"/>
        <v/>
      </c>
    </row>
    <row r="206" spans="8:8" x14ac:dyDescent="0.25">
      <c r="H206" s="272" t="str">
        <f t="shared" si="5"/>
        <v/>
      </c>
    </row>
    <row r="207" spans="8:8" x14ac:dyDescent="0.25">
      <c r="H207" s="272" t="str">
        <f t="shared" si="5"/>
        <v/>
      </c>
    </row>
    <row r="208" spans="8:8" x14ac:dyDescent="0.25">
      <c r="H208" s="272" t="str">
        <f t="shared" si="5"/>
        <v/>
      </c>
    </row>
    <row r="209" spans="8:8" x14ac:dyDescent="0.25">
      <c r="H209" s="272" t="str">
        <f t="shared" si="5"/>
        <v/>
      </c>
    </row>
    <row r="210" spans="8:8" x14ac:dyDescent="0.25">
      <c r="H210" s="272" t="str">
        <f t="shared" si="5"/>
        <v/>
      </c>
    </row>
    <row r="211" spans="8:8" x14ac:dyDescent="0.25">
      <c r="H211" s="272" t="str">
        <f t="shared" ref="H211:H274" si="6">IFERROR(D211/E211,"")</f>
        <v/>
      </c>
    </row>
    <row r="212" spans="8:8" x14ac:dyDescent="0.25">
      <c r="H212" s="272" t="str">
        <f t="shared" si="6"/>
        <v/>
      </c>
    </row>
    <row r="213" spans="8:8" x14ac:dyDescent="0.25">
      <c r="H213" s="272" t="str">
        <f t="shared" si="6"/>
        <v/>
      </c>
    </row>
    <row r="214" spans="8:8" x14ac:dyDescent="0.25">
      <c r="H214" s="272" t="str">
        <f t="shared" si="6"/>
        <v/>
      </c>
    </row>
    <row r="215" spans="8:8" x14ac:dyDescent="0.25">
      <c r="H215" s="272" t="str">
        <f t="shared" si="6"/>
        <v/>
      </c>
    </row>
    <row r="216" spans="8:8" x14ac:dyDescent="0.25">
      <c r="H216" s="272" t="str">
        <f t="shared" si="6"/>
        <v/>
      </c>
    </row>
    <row r="217" spans="8:8" x14ac:dyDescent="0.25">
      <c r="H217" s="272" t="str">
        <f t="shared" si="6"/>
        <v/>
      </c>
    </row>
    <row r="218" spans="8:8" x14ac:dyDescent="0.25">
      <c r="H218" s="272" t="str">
        <f t="shared" si="6"/>
        <v/>
      </c>
    </row>
    <row r="219" spans="8:8" x14ac:dyDescent="0.25">
      <c r="H219" s="272" t="str">
        <f t="shared" si="6"/>
        <v/>
      </c>
    </row>
    <row r="220" spans="8:8" x14ac:dyDescent="0.25">
      <c r="H220" s="272" t="str">
        <f t="shared" si="6"/>
        <v/>
      </c>
    </row>
    <row r="221" spans="8:8" x14ac:dyDescent="0.25">
      <c r="H221" s="272" t="str">
        <f t="shared" si="6"/>
        <v/>
      </c>
    </row>
    <row r="222" spans="8:8" x14ac:dyDescent="0.25">
      <c r="H222" s="272" t="str">
        <f t="shared" si="6"/>
        <v/>
      </c>
    </row>
    <row r="223" spans="8:8" x14ac:dyDescent="0.25">
      <c r="H223" s="272" t="str">
        <f t="shared" si="6"/>
        <v/>
      </c>
    </row>
    <row r="224" spans="8:8" x14ac:dyDescent="0.25">
      <c r="H224" s="272" t="str">
        <f t="shared" si="6"/>
        <v/>
      </c>
    </row>
    <row r="225" spans="8:8" x14ac:dyDescent="0.25">
      <c r="H225" s="272" t="str">
        <f t="shared" si="6"/>
        <v/>
      </c>
    </row>
    <row r="226" spans="8:8" x14ac:dyDescent="0.25">
      <c r="H226" s="272" t="str">
        <f t="shared" si="6"/>
        <v/>
      </c>
    </row>
    <row r="227" spans="8:8" x14ac:dyDescent="0.25">
      <c r="H227" s="272" t="str">
        <f t="shared" si="6"/>
        <v/>
      </c>
    </row>
    <row r="228" spans="8:8" x14ac:dyDescent="0.25">
      <c r="H228" s="272" t="str">
        <f t="shared" si="6"/>
        <v/>
      </c>
    </row>
    <row r="229" spans="8:8" x14ac:dyDescent="0.25">
      <c r="H229" s="272" t="str">
        <f t="shared" si="6"/>
        <v/>
      </c>
    </row>
    <row r="230" spans="8:8" x14ac:dyDescent="0.25">
      <c r="H230" s="272" t="str">
        <f t="shared" si="6"/>
        <v/>
      </c>
    </row>
    <row r="231" spans="8:8" x14ac:dyDescent="0.25">
      <c r="H231" s="272" t="str">
        <f t="shared" si="6"/>
        <v/>
      </c>
    </row>
    <row r="232" spans="8:8" x14ac:dyDescent="0.25">
      <c r="H232" s="272" t="str">
        <f t="shared" si="6"/>
        <v/>
      </c>
    </row>
    <row r="233" spans="8:8" x14ac:dyDescent="0.25">
      <c r="H233" s="272" t="str">
        <f t="shared" si="6"/>
        <v/>
      </c>
    </row>
    <row r="234" spans="8:8" x14ac:dyDescent="0.25">
      <c r="H234" s="272" t="str">
        <f t="shared" si="6"/>
        <v/>
      </c>
    </row>
    <row r="235" spans="8:8" x14ac:dyDescent="0.25">
      <c r="H235" s="272" t="str">
        <f t="shared" si="6"/>
        <v/>
      </c>
    </row>
    <row r="236" spans="8:8" x14ac:dyDescent="0.25">
      <c r="H236" s="272" t="str">
        <f t="shared" si="6"/>
        <v/>
      </c>
    </row>
    <row r="237" spans="8:8" x14ac:dyDescent="0.25">
      <c r="H237" s="272" t="str">
        <f t="shared" si="6"/>
        <v/>
      </c>
    </row>
    <row r="238" spans="8:8" x14ac:dyDescent="0.25">
      <c r="H238" s="272" t="str">
        <f t="shared" si="6"/>
        <v/>
      </c>
    </row>
    <row r="239" spans="8:8" x14ac:dyDescent="0.25">
      <c r="H239" s="272" t="str">
        <f t="shared" si="6"/>
        <v/>
      </c>
    </row>
    <row r="240" spans="8:8" x14ac:dyDescent="0.25">
      <c r="H240" s="272" t="str">
        <f t="shared" si="6"/>
        <v/>
      </c>
    </row>
    <row r="241" spans="8:8" x14ac:dyDescent="0.25">
      <c r="H241" s="272" t="str">
        <f t="shared" si="6"/>
        <v/>
      </c>
    </row>
    <row r="242" spans="8:8" x14ac:dyDescent="0.25">
      <c r="H242" s="272" t="str">
        <f t="shared" si="6"/>
        <v/>
      </c>
    </row>
    <row r="243" spans="8:8" x14ac:dyDescent="0.25">
      <c r="H243" s="272" t="str">
        <f t="shared" si="6"/>
        <v/>
      </c>
    </row>
    <row r="244" spans="8:8" x14ac:dyDescent="0.25">
      <c r="H244" s="272" t="str">
        <f t="shared" si="6"/>
        <v/>
      </c>
    </row>
    <row r="245" spans="8:8" x14ac:dyDescent="0.25">
      <c r="H245" s="272" t="str">
        <f t="shared" si="6"/>
        <v/>
      </c>
    </row>
    <row r="246" spans="8:8" x14ac:dyDescent="0.25">
      <c r="H246" s="272" t="str">
        <f t="shared" si="6"/>
        <v/>
      </c>
    </row>
    <row r="247" spans="8:8" x14ac:dyDescent="0.25">
      <c r="H247" s="272" t="str">
        <f t="shared" si="6"/>
        <v/>
      </c>
    </row>
    <row r="248" spans="8:8" x14ac:dyDescent="0.25">
      <c r="H248" s="272" t="str">
        <f t="shared" si="6"/>
        <v/>
      </c>
    </row>
    <row r="249" spans="8:8" x14ac:dyDescent="0.25">
      <c r="H249" s="272" t="str">
        <f t="shared" si="6"/>
        <v/>
      </c>
    </row>
    <row r="250" spans="8:8" x14ac:dyDescent="0.25">
      <c r="H250" s="272" t="str">
        <f t="shared" si="6"/>
        <v/>
      </c>
    </row>
    <row r="251" spans="8:8" x14ac:dyDescent="0.25">
      <c r="H251" s="272" t="str">
        <f t="shared" si="6"/>
        <v/>
      </c>
    </row>
    <row r="252" spans="8:8" x14ac:dyDescent="0.25">
      <c r="H252" s="272" t="str">
        <f t="shared" si="6"/>
        <v/>
      </c>
    </row>
    <row r="253" spans="8:8" x14ac:dyDescent="0.25">
      <c r="H253" s="272" t="str">
        <f t="shared" si="6"/>
        <v/>
      </c>
    </row>
    <row r="254" spans="8:8" x14ac:dyDescent="0.25">
      <c r="H254" s="272" t="str">
        <f t="shared" si="6"/>
        <v/>
      </c>
    </row>
    <row r="255" spans="8:8" x14ac:dyDescent="0.25">
      <c r="H255" s="272" t="str">
        <f t="shared" si="6"/>
        <v/>
      </c>
    </row>
    <row r="256" spans="8:8" x14ac:dyDescent="0.25">
      <c r="H256" s="272" t="str">
        <f t="shared" si="6"/>
        <v/>
      </c>
    </row>
    <row r="257" spans="8:8" x14ac:dyDescent="0.25">
      <c r="H257" s="272" t="str">
        <f t="shared" si="6"/>
        <v/>
      </c>
    </row>
    <row r="258" spans="8:8" x14ac:dyDescent="0.25">
      <c r="H258" s="272" t="str">
        <f t="shared" si="6"/>
        <v/>
      </c>
    </row>
    <row r="259" spans="8:8" x14ac:dyDescent="0.25">
      <c r="H259" s="272" t="str">
        <f t="shared" si="6"/>
        <v/>
      </c>
    </row>
    <row r="260" spans="8:8" x14ac:dyDescent="0.25">
      <c r="H260" s="272" t="str">
        <f t="shared" si="6"/>
        <v/>
      </c>
    </row>
    <row r="261" spans="8:8" x14ac:dyDescent="0.25">
      <c r="H261" s="272" t="str">
        <f t="shared" si="6"/>
        <v/>
      </c>
    </row>
    <row r="262" spans="8:8" x14ac:dyDescent="0.25">
      <c r="H262" s="272" t="str">
        <f t="shared" si="6"/>
        <v/>
      </c>
    </row>
    <row r="263" spans="8:8" x14ac:dyDescent="0.25">
      <c r="H263" s="272" t="str">
        <f t="shared" si="6"/>
        <v/>
      </c>
    </row>
    <row r="264" spans="8:8" x14ac:dyDescent="0.25">
      <c r="H264" s="272" t="str">
        <f t="shared" si="6"/>
        <v/>
      </c>
    </row>
    <row r="265" spans="8:8" x14ac:dyDescent="0.25">
      <c r="H265" s="272" t="str">
        <f t="shared" si="6"/>
        <v/>
      </c>
    </row>
    <row r="266" spans="8:8" x14ac:dyDescent="0.25">
      <c r="H266" s="272" t="str">
        <f t="shared" si="6"/>
        <v/>
      </c>
    </row>
    <row r="267" spans="8:8" x14ac:dyDescent="0.25">
      <c r="H267" s="272" t="str">
        <f t="shared" si="6"/>
        <v/>
      </c>
    </row>
    <row r="268" spans="8:8" x14ac:dyDescent="0.25">
      <c r="H268" s="272" t="str">
        <f t="shared" si="6"/>
        <v/>
      </c>
    </row>
    <row r="269" spans="8:8" x14ac:dyDescent="0.25">
      <c r="H269" s="272" t="str">
        <f t="shared" si="6"/>
        <v/>
      </c>
    </row>
    <row r="270" spans="8:8" x14ac:dyDescent="0.25">
      <c r="H270" s="272" t="str">
        <f t="shared" si="6"/>
        <v/>
      </c>
    </row>
    <row r="271" spans="8:8" x14ac:dyDescent="0.25">
      <c r="H271" s="272" t="str">
        <f t="shared" si="6"/>
        <v/>
      </c>
    </row>
    <row r="272" spans="8:8" x14ac:dyDescent="0.25">
      <c r="H272" s="272" t="str">
        <f t="shared" si="6"/>
        <v/>
      </c>
    </row>
    <row r="273" spans="8:8" x14ac:dyDescent="0.25">
      <c r="H273" s="272" t="str">
        <f t="shared" si="6"/>
        <v/>
      </c>
    </row>
    <row r="274" spans="8:8" x14ac:dyDescent="0.25">
      <c r="H274" s="272" t="str">
        <f t="shared" si="6"/>
        <v/>
      </c>
    </row>
    <row r="275" spans="8:8" x14ac:dyDescent="0.25">
      <c r="H275" s="272" t="str">
        <f t="shared" ref="H275:H338" si="7">IFERROR(D275/E275,"")</f>
        <v/>
      </c>
    </row>
    <row r="276" spans="8:8" x14ac:dyDescent="0.25">
      <c r="H276" s="272" t="str">
        <f t="shared" si="7"/>
        <v/>
      </c>
    </row>
    <row r="277" spans="8:8" x14ac:dyDescent="0.25">
      <c r="H277" s="272" t="str">
        <f t="shared" si="7"/>
        <v/>
      </c>
    </row>
    <row r="278" spans="8:8" x14ac:dyDescent="0.25">
      <c r="H278" s="272" t="str">
        <f t="shared" si="7"/>
        <v/>
      </c>
    </row>
    <row r="279" spans="8:8" x14ac:dyDescent="0.25">
      <c r="H279" s="272" t="str">
        <f t="shared" si="7"/>
        <v/>
      </c>
    </row>
    <row r="280" spans="8:8" x14ac:dyDescent="0.25">
      <c r="H280" s="272" t="str">
        <f t="shared" si="7"/>
        <v/>
      </c>
    </row>
    <row r="281" spans="8:8" x14ac:dyDescent="0.25">
      <c r="H281" s="272" t="str">
        <f t="shared" si="7"/>
        <v/>
      </c>
    </row>
    <row r="282" spans="8:8" x14ac:dyDescent="0.25">
      <c r="H282" s="272" t="str">
        <f t="shared" si="7"/>
        <v/>
      </c>
    </row>
    <row r="283" spans="8:8" x14ac:dyDescent="0.25">
      <c r="H283" s="272" t="str">
        <f t="shared" si="7"/>
        <v/>
      </c>
    </row>
    <row r="284" spans="8:8" x14ac:dyDescent="0.25">
      <c r="H284" s="272" t="str">
        <f t="shared" si="7"/>
        <v/>
      </c>
    </row>
    <row r="285" spans="8:8" x14ac:dyDescent="0.25">
      <c r="H285" s="272" t="str">
        <f t="shared" si="7"/>
        <v/>
      </c>
    </row>
    <row r="286" spans="8:8" x14ac:dyDescent="0.25">
      <c r="H286" s="272" t="str">
        <f t="shared" si="7"/>
        <v/>
      </c>
    </row>
    <row r="287" spans="8:8" x14ac:dyDescent="0.25">
      <c r="H287" s="272" t="str">
        <f t="shared" si="7"/>
        <v/>
      </c>
    </row>
    <row r="288" spans="8:8" x14ac:dyDescent="0.25">
      <c r="H288" s="272" t="str">
        <f t="shared" si="7"/>
        <v/>
      </c>
    </row>
    <row r="289" spans="8:8" x14ac:dyDescent="0.25">
      <c r="H289" s="272" t="str">
        <f t="shared" si="7"/>
        <v/>
      </c>
    </row>
    <row r="290" spans="8:8" x14ac:dyDescent="0.25">
      <c r="H290" s="272" t="str">
        <f t="shared" si="7"/>
        <v/>
      </c>
    </row>
    <row r="291" spans="8:8" x14ac:dyDescent="0.25">
      <c r="H291" s="272" t="str">
        <f t="shared" si="7"/>
        <v/>
      </c>
    </row>
    <row r="292" spans="8:8" x14ac:dyDescent="0.25">
      <c r="H292" s="272" t="str">
        <f t="shared" si="7"/>
        <v/>
      </c>
    </row>
    <row r="293" spans="8:8" x14ac:dyDescent="0.25">
      <c r="H293" s="272" t="str">
        <f t="shared" si="7"/>
        <v/>
      </c>
    </row>
    <row r="294" spans="8:8" x14ac:dyDescent="0.25">
      <c r="H294" s="272" t="str">
        <f t="shared" si="7"/>
        <v/>
      </c>
    </row>
    <row r="295" spans="8:8" x14ac:dyDescent="0.25">
      <c r="H295" s="272" t="str">
        <f t="shared" si="7"/>
        <v/>
      </c>
    </row>
    <row r="296" spans="8:8" x14ac:dyDescent="0.25">
      <c r="H296" s="272" t="str">
        <f t="shared" si="7"/>
        <v/>
      </c>
    </row>
    <row r="297" spans="8:8" x14ac:dyDescent="0.25">
      <c r="H297" s="272" t="str">
        <f t="shared" si="7"/>
        <v/>
      </c>
    </row>
    <row r="298" spans="8:8" x14ac:dyDescent="0.25">
      <c r="H298" s="272" t="str">
        <f t="shared" si="7"/>
        <v/>
      </c>
    </row>
    <row r="299" spans="8:8" x14ac:dyDescent="0.25">
      <c r="H299" s="272" t="str">
        <f t="shared" si="7"/>
        <v/>
      </c>
    </row>
    <row r="300" spans="8:8" x14ac:dyDescent="0.25">
      <c r="H300" s="272" t="str">
        <f t="shared" si="7"/>
        <v/>
      </c>
    </row>
    <row r="301" spans="8:8" x14ac:dyDescent="0.25">
      <c r="H301" s="272" t="str">
        <f t="shared" si="7"/>
        <v/>
      </c>
    </row>
    <row r="302" spans="8:8" x14ac:dyDescent="0.25">
      <c r="H302" s="272" t="str">
        <f t="shared" si="7"/>
        <v/>
      </c>
    </row>
    <row r="303" spans="8:8" x14ac:dyDescent="0.25">
      <c r="H303" s="272" t="str">
        <f t="shared" si="7"/>
        <v/>
      </c>
    </row>
    <row r="304" spans="8:8" x14ac:dyDescent="0.25">
      <c r="H304" s="272" t="str">
        <f t="shared" si="7"/>
        <v/>
      </c>
    </row>
    <row r="305" spans="8:8" x14ac:dyDescent="0.25">
      <c r="H305" s="272" t="str">
        <f t="shared" si="7"/>
        <v/>
      </c>
    </row>
    <row r="306" spans="8:8" x14ac:dyDescent="0.25">
      <c r="H306" s="272" t="str">
        <f t="shared" si="7"/>
        <v/>
      </c>
    </row>
    <row r="307" spans="8:8" x14ac:dyDescent="0.25">
      <c r="H307" s="272" t="str">
        <f t="shared" si="7"/>
        <v/>
      </c>
    </row>
    <row r="308" spans="8:8" x14ac:dyDescent="0.25">
      <c r="H308" s="272" t="str">
        <f t="shared" si="7"/>
        <v/>
      </c>
    </row>
    <row r="309" spans="8:8" x14ac:dyDescent="0.25">
      <c r="H309" s="272" t="str">
        <f t="shared" si="7"/>
        <v/>
      </c>
    </row>
    <row r="310" spans="8:8" x14ac:dyDescent="0.25">
      <c r="H310" s="272" t="str">
        <f t="shared" si="7"/>
        <v/>
      </c>
    </row>
    <row r="311" spans="8:8" x14ac:dyDescent="0.25">
      <c r="H311" s="272" t="str">
        <f t="shared" si="7"/>
        <v/>
      </c>
    </row>
    <row r="312" spans="8:8" x14ac:dyDescent="0.25">
      <c r="H312" s="272" t="str">
        <f t="shared" si="7"/>
        <v/>
      </c>
    </row>
    <row r="313" spans="8:8" x14ac:dyDescent="0.25">
      <c r="H313" s="272" t="str">
        <f t="shared" si="7"/>
        <v/>
      </c>
    </row>
    <row r="314" spans="8:8" x14ac:dyDescent="0.25">
      <c r="H314" s="272" t="str">
        <f t="shared" si="7"/>
        <v/>
      </c>
    </row>
    <row r="315" spans="8:8" x14ac:dyDescent="0.25">
      <c r="H315" s="272" t="str">
        <f t="shared" si="7"/>
        <v/>
      </c>
    </row>
    <row r="316" spans="8:8" x14ac:dyDescent="0.25">
      <c r="H316" s="272" t="str">
        <f t="shared" si="7"/>
        <v/>
      </c>
    </row>
    <row r="317" spans="8:8" x14ac:dyDescent="0.25">
      <c r="H317" s="272" t="str">
        <f t="shared" si="7"/>
        <v/>
      </c>
    </row>
    <row r="318" spans="8:8" x14ac:dyDescent="0.25">
      <c r="H318" s="272" t="str">
        <f t="shared" si="7"/>
        <v/>
      </c>
    </row>
    <row r="319" spans="8:8" x14ac:dyDescent="0.25">
      <c r="H319" s="272" t="str">
        <f t="shared" si="7"/>
        <v/>
      </c>
    </row>
    <row r="320" spans="8:8" x14ac:dyDescent="0.25">
      <c r="H320" s="272" t="str">
        <f t="shared" si="7"/>
        <v/>
      </c>
    </row>
    <row r="321" spans="8:8" x14ac:dyDescent="0.25">
      <c r="H321" s="272" t="str">
        <f t="shared" si="7"/>
        <v/>
      </c>
    </row>
    <row r="322" spans="8:8" x14ac:dyDescent="0.25">
      <c r="H322" s="272" t="str">
        <f t="shared" si="7"/>
        <v/>
      </c>
    </row>
    <row r="323" spans="8:8" x14ac:dyDescent="0.25">
      <c r="H323" s="272" t="str">
        <f t="shared" si="7"/>
        <v/>
      </c>
    </row>
    <row r="324" spans="8:8" x14ac:dyDescent="0.25">
      <c r="H324" s="272" t="str">
        <f t="shared" si="7"/>
        <v/>
      </c>
    </row>
    <row r="325" spans="8:8" x14ac:dyDescent="0.25">
      <c r="H325" s="272" t="str">
        <f t="shared" si="7"/>
        <v/>
      </c>
    </row>
    <row r="326" spans="8:8" x14ac:dyDescent="0.25">
      <c r="H326" s="272" t="str">
        <f t="shared" si="7"/>
        <v/>
      </c>
    </row>
    <row r="327" spans="8:8" x14ac:dyDescent="0.25">
      <c r="H327" s="272" t="str">
        <f t="shared" si="7"/>
        <v/>
      </c>
    </row>
    <row r="328" spans="8:8" x14ac:dyDescent="0.25">
      <c r="H328" s="272" t="str">
        <f t="shared" si="7"/>
        <v/>
      </c>
    </row>
    <row r="329" spans="8:8" x14ac:dyDescent="0.25">
      <c r="H329" s="272" t="str">
        <f t="shared" si="7"/>
        <v/>
      </c>
    </row>
    <row r="330" spans="8:8" x14ac:dyDescent="0.25">
      <c r="H330" s="272" t="str">
        <f t="shared" si="7"/>
        <v/>
      </c>
    </row>
    <row r="331" spans="8:8" x14ac:dyDescent="0.25">
      <c r="H331" s="272" t="str">
        <f t="shared" si="7"/>
        <v/>
      </c>
    </row>
    <row r="332" spans="8:8" x14ac:dyDescent="0.25">
      <c r="H332" s="272" t="str">
        <f t="shared" si="7"/>
        <v/>
      </c>
    </row>
    <row r="333" spans="8:8" x14ac:dyDescent="0.25">
      <c r="H333" s="272" t="str">
        <f t="shared" si="7"/>
        <v/>
      </c>
    </row>
    <row r="334" spans="8:8" x14ac:dyDescent="0.25">
      <c r="H334" s="272" t="str">
        <f t="shared" si="7"/>
        <v/>
      </c>
    </row>
    <row r="335" spans="8:8" x14ac:dyDescent="0.25">
      <c r="H335" s="272" t="str">
        <f t="shared" si="7"/>
        <v/>
      </c>
    </row>
    <row r="336" spans="8:8" x14ac:dyDescent="0.25">
      <c r="H336" s="272" t="str">
        <f t="shared" si="7"/>
        <v/>
      </c>
    </row>
    <row r="337" spans="8:8" x14ac:dyDescent="0.25">
      <c r="H337" s="272" t="str">
        <f t="shared" si="7"/>
        <v/>
      </c>
    </row>
    <row r="338" spans="8:8" x14ac:dyDescent="0.25">
      <c r="H338" s="272" t="str">
        <f t="shared" si="7"/>
        <v/>
      </c>
    </row>
    <row r="339" spans="8:8" x14ac:dyDescent="0.25">
      <c r="H339" s="272" t="str">
        <f t="shared" ref="H339:H402" si="8">IFERROR(D339/E339,"")</f>
        <v/>
      </c>
    </row>
    <row r="340" spans="8:8" x14ac:dyDescent="0.25">
      <c r="H340" s="272" t="str">
        <f t="shared" si="8"/>
        <v/>
      </c>
    </row>
    <row r="341" spans="8:8" x14ac:dyDescent="0.25">
      <c r="H341" s="272" t="str">
        <f t="shared" si="8"/>
        <v/>
      </c>
    </row>
    <row r="342" spans="8:8" x14ac:dyDescent="0.25">
      <c r="H342" s="272" t="str">
        <f t="shared" si="8"/>
        <v/>
      </c>
    </row>
    <row r="343" spans="8:8" x14ac:dyDescent="0.25">
      <c r="H343" s="272" t="str">
        <f t="shared" si="8"/>
        <v/>
      </c>
    </row>
    <row r="344" spans="8:8" x14ac:dyDescent="0.25">
      <c r="H344" s="272" t="str">
        <f t="shared" si="8"/>
        <v/>
      </c>
    </row>
    <row r="345" spans="8:8" x14ac:dyDescent="0.25">
      <c r="H345" s="272" t="str">
        <f t="shared" si="8"/>
        <v/>
      </c>
    </row>
    <row r="346" spans="8:8" x14ac:dyDescent="0.25">
      <c r="H346" s="272" t="str">
        <f t="shared" si="8"/>
        <v/>
      </c>
    </row>
    <row r="347" spans="8:8" x14ac:dyDescent="0.25">
      <c r="H347" s="272" t="str">
        <f t="shared" si="8"/>
        <v/>
      </c>
    </row>
    <row r="348" spans="8:8" x14ac:dyDescent="0.25">
      <c r="H348" s="272" t="str">
        <f t="shared" si="8"/>
        <v/>
      </c>
    </row>
    <row r="349" spans="8:8" x14ac:dyDescent="0.25">
      <c r="H349" s="272" t="str">
        <f t="shared" si="8"/>
        <v/>
      </c>
    </row>
    <row r="350" spans="8:8" x14ac:dyDescent="0.25">
      <c r="H350" s="272" t="str">
        <f t="shared" si="8"/>
        <v/>
      </c>
    </row>
    <row r="351" spans="8:8" x14ac:dyDescent="0.25">
      <c r="H351" s="272" t="str">
        <f t="shared" si="8"/>
        <v/>
      </c>
    </row>
    <row r="352" spans="8:8" x14ac:dyDescent="0.25">
      <c r="H352" s="272" t="str">
        <f t="shared" si="8"/>
        <v/>
      </c>
    </row>
    <row r="353" spans="8:8" x14ac:dyDescent="0.25">
      <c r="H353" s="272" t="str">
        <f t="shared" si="8"/>
        <v/>
      </c>
    </row>
    <row r="354" spans="8:8" x14ac:dyDescent="0.25">
      <c r="H354" s="272" t="str">
        <f t="shared" si="8"/>
        <v/>
      </c>
    </row>
    <row r="355" spans="8:8" x14ac:dyDescent="0.25">
      <c r="H355" s="272" t="str">
        <f t="shared" si="8"/>
        <v/>
      </c>
    </row>
    <row r="356" spans="8:8" x14ac:dyDescent="0.25">
      <c r="H356" s="272" t="str">
        <f t="shared" si="8"/>
        <v/>
      </c>
    </row>
    <row r="357" spans="8:8" x14ac:dyDescent="0.25">
      <c r="H357" s="272" t="str">
        <f t="shared" si="8"/>
        <v/>
      </c>
    </row>
    <row r="358" spans="8:8" x14ac:dyDescent="0.25">
      <c r="H358" s="272" t="str">
        <f t="shared" si="8"/>
        <v/>
      </c>
    </row>
    <row r="359" spans="8:8" x14ac:dyDescent="0.25">
      <c r="H359" s="272" t="str">
        <f t="shared" si="8"/>
        <v/>
      </c>
    </row>
    <row r="360" spans="8:8" x14ac:dyDescent="0.25">
      <c r="H360" s="272" t="str">
        <f t="shared" si="8"/>
        <v/>
      </c>
    </row>
    <row r="361" spans="8:8" x14ac:dyDescent="0.25">
      <c r="H361" s="272" t="str">
        <f t="shared" si="8"/>
        <v/>
      </c>
    </row>
    <row r="362" spans="8:8" x14ac:dyDescent="0.25">
      <c r="H362" s="272" t="str">
        <f t="shared" si="8"/>
        <v/>
      </c>
    </row>
    <row r="363" spans="8:8" x14ac:dyDescent="0.25">
      <c r="H363" s="272" t="str">
        <f t="shared" si="8"/>
        <v/>
      </c>
    </row>
    <row r="364" spans="8:8" x14ac:dyDescent="0.25">
      <c r="H364" s="272" t="str">
        <f t="shared" si="8"/>
        <v/>
      </c>
    </row>
    <row r="365" spans="8:8" x14ac:dyDescent="0.25">
      <c r="H365" s="272" t="str">
        <f t="shared" si="8"/>
        <v/>
      </c>
    </row>
    <row r="366" spans="8:8" x14ac:dyDescent="0.25">
      <c r="H366" s="272" t="str">
        <f t="shared" si="8"/>
        <v/>
      </c>
    </row>
    <row r="367" spans="8:8" x14ac:dyDescent="0.25">
      <c r="H367" s="272" t="str">
        <f t="shared" si="8"/>
        <v/>
      </c>
    </row>
    <row r="368" spans="8:8" x14ac:dyDescent="0.25">
      <c r="H368" s="272" t="str">
        <f t="shared" si="8"/>
        <v/>
      </c>
    </row>
    <row r="369" spans="8:8" x14ac:dyDescent="0.25">
      <c r="H369" s="272" t="str">
        <f t="shared" si="8"/>
        <v/>
      </c>
    </row>
    <row r="370" spans="8:8" x14ac:dyDescent="0.25">
      <c r="H370" s="272" t="str">
        <f t="shared" si="8"/>
        <v/>
      </c>
    </row>
    <row r="371" spans="8:8" x14ac:dyDescent="0.25">
      <c r="H371" s="272" t="str">
        <f t="shared" si="8"/>
        <v/>
      </c>
    </row>
    <row r="372" spans="8:8" x14ac:dyDescent="0.25">
      <c r="H372" s="272" t="str">
        <f t="shared" si="8"/>
        <v/>
      </c>
    </row>
    <row r="373" spans="8:8" x14ac:dyDescent="0.25">
      <c r="H373" s="272" t="str">
        <f t="shared" si="8"/>
        <v/>
      </c>
    </row>
    <row r="374" spans="8:8" x14ac:dyDescent="0.25">
      <c r="H374" s="272" t="str">
        <f t="shared" si="8"/>
        <v/>
      </c>
    </row>
    <row r="375" spans="8:8" x14ac:dyDescent="0.25">
      <c r="H375" s="272" t="str">
        <f t="shared" si="8"/>
        <v/>
      </c>
    </row>
    <row r="376" spans="8:8" x14ac:dyDescent="0.25">
      <c r="H376" s="272" t="str">
        <f t="shared" si="8"/>
        <v/>
      </c>
    </row>
    <row r="377" spans="8:8" x14ac:dyDescent="0.25">
      <c r="H377" s="272" t="str">
        <f t="shared" si="8"/>
        <v/>
      </c>
    </row>
    <row r="378" spans="8:8" x14ac:dyDescent="0.25">
      <c r="H378" s="272" t="str">
        <f t="shared" si="8"/>
        <v/>
      </c>
    </row>
    <row r="379" spans="8:8" x14ac:dyDescent="0.25">
      <c r="H379" s="272" t="str">
        <f t="shared" si="8"/>
        <v/>
      </c>
    </row>
    <row r="380" spans="8:8" x14ac:dyDescent="0.25">
      <c r="H380" s="272" t="str">
        <f t="shared" si="8"/>
        <v/>
      </c>
    </row>
    <row r="381" spans="8:8" x14ac:dyDescent="0.25">
      <c r="H381" s="272" t="str">
        <f t="shared" si="8"/>
        <v/>
      </c>
    </row>
    <row r="382" spans="8:8" x14ac:dyDescent="0.25">
      <c r="H382" s="272" t="str">
        <f t="shared" si="8"/>
        <v/>
      </c>
    </row>
    <row r="383" spans="8:8" x14ac:dyDescent="0.25">
      <c r="H383" s="272" t="str">
        <f t="shared" si="8"/>
        <v/>
      </c>
    </row>
    <row r="384" spans="8:8" x14ac:dyDescent="0.25">
      <c r="H384" s="272" t="str">
        <f t="shared" si="8"/>
        <v/>
      </c>
    </row>
    <row r="385" spans="8:8" x14ac:dyDescent="0.25">
      <c r="H385" s="272" t="str">
        <f t="shared" si="8"/>
        <v/>
      </c>
    </row>
    <row r="386" spans="8:8" x14ac:dyDescent="0.25">
      <c r="H386" s="272" t="str">
        <f t="shared" si="8"/>
        <v/>
      </c>
    </row>
    <row r="387" spans="8:8" x14ac:dyDescent="0.25">
      <c r="H387" s="272" t="str">
        <f t="shared" si="8"/>
        <v/>
      </c>
    </row>
    <row r="388" spans="8:8" x14ac:dyDescent="0.25">
      <c r="H388" s="272" t="str">
        <f t="shared" si="8"/>
        <v/>
      </c>
    </row>
    <row r="389" spans="8:8" x14ac:dyDescent="0.25">
      <c r="H389" s="272" t="str">
        <f t="shared" si="8"/>
        <v/>
      </c>
    </row>
    <row r="390" spans="8:8" x14ac:dyDescent="0.25">
      <c r="H390" s="272" t="str">
        <f t="shared" si="8"/>
        <v/>
      </c>
    </row>
    <row r="391" spans="8:8" x14ac:dyDescent="0.25">
      <c r="H391" s="272" t="str">
        <f t="shared" si="8"/>
        <v/>
      </c>
    </row>
    <row r="392" spans="8:8" x14ac:dyDescent="0.25">
      <c r="H392" s="272" t="str">
        <f t="shared" si="8"/>
        <v/>
      </c>
    </row>
    <row r="393" spans="8:8" x14ac:dyDescent="0.25">
      <c r="H393" s="272" t="str">
        <f t="shared" si="8"/>
        <v/>
      </c>
    </row>
    <row r="394" spans="8:8" x14ac:dyDescent="0.25">
      <c r="H394" s="272" t="str">
        <f t="shared" si="8"/>
        <v/>
      </c>
    </row>
    <row r="395" spans="8:8" x14ac:dyDescent="0.25">
      <c r="H395" s="272" t="str">
        <f t="shared" si="8"/>
        <v/>
      </c>
    </row>
    <row r="396" spans="8:8" x14ac:dyDescent="0.25">
      <c r="H396" s="272" t="str">
        <f t="shared" si="8"/>
        <v/>
      </c>
    </row>
    <row r="397" spans="8:8" x14ac:dyDescent="0.25">
      <c r="H397" s="272" t="str">
        <f t="shared" si="8"/>
        <v/>
      </c>
    </row>
    <row r="398" spans="8:8" x14ac:dyDescent="0.25">
      <c r="H398" s="272" t="str">
        <f t="shared" si="8"/>
        <v/>
      </c>
    </row>
    <row r="399" spans="8:8" x14ac:dyDescent="0.25">
      <c r="H399" s="272" t="str">
        <f t="shared" si="8"/>
        <v/>
      </c>
    </row>
    <row r="400" spans="8:8" x14ac:dyDescent="0.25">
      <c r="H400" s="272" t="str">
        <f t="shared" si="8"/>
        <v/>
      </c>
    </row>
    <row r="401" spans="8:8" x14ac:dyDescent="0.25">
      <c r="H401" s="272" t="str">
        <f t="shared" si="8"/>
        <v/>
      </c>
    </row>
    <row r="402" spans="8:8" x14ac:dyDescent="0.25">
      <c r="H402" s="272" t="str">
        <f t="shared" si="8"/>
        <v/>
      </c>
    </row>
    <row r="403" spans="8:8" x14ac:dyDescent="0.25">
      <c r="H403" s="272" t="str">
        <f t="shared" ref="H403:H466" si="9">IFERROR(D403/E403,"")</f>
        <v/>
      </c>
    </row>
    <row r="404" spans="8:8" x14ac:dyDescent="0.25">
      <c r="H404" s="272" t="str">
        <f t="shared" si="9"/>
        <v/>
      </c>
    </row>
    <row r="405" spans="8:8" x14ac:dyDescent="0.25">
      <c r="H405" s="272" t="str">
        <f t="shared" si="9"/>
        <v/>
      </c>
    </row>
    <row r="406" spans="8:8" x14ac:dyDescent="0.25">
      <c r="H406" s="272" t="str">
        <f t="shared" si="9"/>
        <v/>
      </c>
    </row>
    <row r="407" spans="8:8" x14ac:dyDescent="0.25">
      <c r="H407" s="272" t="str">
        <f t="shared" si="9"/>
        <v/>
      </c>
    </row>
    <row r="408" spans="8:8" x14ac:dyDescent="0.25">
      <c r="H408" s="272" t="str">
        <f t="shared" si="9"/>
        <v/>
      </c>
    </row>
    <row r="409" spans="8:8" x14ac:dyDescent="0.25">
      <c r="H409" s="272" t="str">
        <f t="shared" si="9"/>
        <v/>
      </c>
    </row>
    <row r="410" spans="8:8" x14ac:dyDescent="0.25">
      <c r="H410" s="272" t="str">
        <f t="shared" si="9"/>
        <v/>
      </c>
    </row>
    <row r="411" spans="8:8" x14ac:dyDescent="0.25">
      <c r="H411" s="272" t="str">
        <f t="shared" si="9"/>
        <v/>
      </c>
    </row>
    <row r="412" spans="8:8" x14ac:dyDescent="0.25">
      <c r="H412" s="272" t="str">
        <f t="shared" si="9"/>
        <v/>
      </c>
    </row>
    <row r="413" spans="8:8" x14ac:dyDescent="0.25">
      <c r="H413" s="272" t="str">
        <f t="shared" si="9"/>
        <v/>
      </c>
    </row>
    <row r="414" spans="8:8" x14ac:dyDescent="0.25">
      <c r="H414" s="272" t="str">
        <f t="shared" si="9"/>
        <v/>
      </c>
    </row>
    <row r="415" spans="8:8" x14ac:dyDescent="0.25">
      <c r="H415" s="272" t="str">
        <f t="shared" si="9"/>
        <v/>
      </c>
    </row>
    <row r="416" spans="8:8" x14ac:dyDescent="0.25">
      <c r="H416" s="272" t="str">
        <f t="shared" si="9"/>
        <v/>
      </c>
    </row>
    <row r="417" spans="8:8" x14ac:dyDescent="0.25">
      <c r="H417" s="272" t="str">
        <f t="shared" si="9"/>
        <v/>
      </c>
    </row>
    <row r="418" spans="8:8" x14ac:dyDescent="0.25">
      <c r="H418" s="272" t="str">
        <f t="shared" si="9"/>
        <v/>
      </c>
    </row>
    <row r="419" spans="8:8" x14ac:dyDescent="0.25">
      <c r="H419" s="272" t="str">
        <f t="shared" si="9"/>
        <v/>
      </c>
    </row>
    <row r="420" spans="8:8" x14ac:dyDescent="0.25">
      <c r="H420" s="272" t="str">
        <f t="shared" si="9"/>
        <v/>
      </c>
    </row>
    <row r="421" spans="8:8" x14ac:dyDescent="0.25">
      <c r="H421" s="272" t="str">
        <f t="shared" si="9"/>
        <v/>
      </c>
    </row>
    <row r="422" spans="8:8" x14ac:dyDescent="0.25">
      <c r="H422" s="272" t="str">
        <f t="shared" si="9"/>
        <v/>
      </c>
    </row>
    <row r="423" spans="8:8" x14ac:dyDescent="0.25">
      <c r="H423" s="272" t="str">
        <f t="shared" si="9"/>
        <v/>
      </c>
    </row>
    <row r="424" spans="8:8" x14ac:dyDescent="0.25">
      <c r="H424" s="272" t="str">
        <f t="shared" si="9"/>
        <v/>
      </c>
    </row>
    <row r="425" spans="8:8" x14ac:dyDescent="0.25">
      <c r="H425" s="272" t="str">
        <f t="shared" si="9"/>
        <v/>
      </c>
    </row>
    <row r="426" spans="8:8" x14ac:dyDescent="0.25">
      <c r="H426" s="272" t="str">
        <f t="shared" si="9"/>
        <v/>
      </c>
    </row>
    <row r="427" spans="8:8" x14ac:dyDescent="0.25">
      <c r="H427" s="272" t="str">
        <f t="shared" si="9"/>
        <v/>
      </c>
    </row>
    <row r="428" spans="8:8" x14ac:dyDescent="0.25">
      <c r="H428" s="272" t="str">
        <f t="shared" si="9"/>
        <v/>
      </c>
    </row>
    <row r="429" spans="8:8" x14ac:dyDescent="0.25">
      <c r="H429" s="272" t="str">
        <f t="shared" si="9"/>
        <v/>
      </c>
    </row>
    <row r="430" spans="8:8" x14ac:dyDescent="0.25">
      <c r="H430" s="272" t="str">
        <f t="shared" si="9"/>
        <v/>
      </c>
    </row>
    <row r="431" spans="8:8" x14ac:dyDescent="0.25">
      <c r="H431" s="272" t="str">
        <f t="shared" si="9"/>
        <v/>
      </c>
    </row>
    <row r="432" spans="8:8" x14ac:dyDescent="0.25">
      <c r="H432" s="272" t="str">
        <f t="shared" si="9"/>
        <v/>
      </c>
    </row>
    <row r="433" spans="8:8" x14ac:dyDescent="0.25">
      <c r="H433" s="272" t="str">
        <f t="shared" si="9"/>
        <v/>
      </c>
    </row>
    <row r="434" spans="8:8" x14ac:dyDescent="0.25">
      <c r="H434" s="272" t="str">
        <f t="shared" si="9"/>
        <v/>
      </c>
    </row>
    <row r="435" spans="8:8" x14ac:dyDescent="0.25">
      <c r="H435" s="272" t="str">
        <f t="shared" si="9"/>
        <v/>
      </c>
    </row>
    <row r="436" spans="8:8" x14ac:dyDescent="0.25">
      <c r="H436" s="272" t="str">
        <f t="shared" si="9"/>
        <v/>
      </c>
    </row>
    <row r="437" spans="8:8" x14ac:dyDescent="0.25">
      <c r="H437" s="272" t="str">
        <f t="shared" si="9"/>
        <v/>
      </c>
    </row>
    <row r="438" spans="8:8" x14ac:dyDescent="0.25">
      <c r="H438" s="272" t="str">
        <f t="shared" si="9"/>
        <v/>
      </c>
    </row>
    <row r="439" spans="8:8" x14ac:dyDescent="0.25">
      <c r="H439" s="272" t="str">
        <f t="shared" si="9"/>
        <v/>
      </c>
    </row>
    <row r="440" spans="8:8" x14ac:dyDescent="0.25">
      <c r="H440" s="272" t="str">
        <f t="shared" si="9"/>
        <v/>
      </c>
    </row>
    <row r="441" spans="8:8" x14ac:dyDescent="0.25">
      <c r="H441" s="272" t="str">
        <f t="shared" si="9"/>
        <v/>
      </c>
    </row>
    <row r="442" spans="8:8" x14ac:dyDescent="0.25">
      <c r="H442" s="272" t="str">
        <f t="shared" si="9"/>
        <v/>
      </c>
    </row>
    <row r="443" spans="8:8" x14ac:dyDescent="0.25">
      <c r="H443" s="272" t="str">
        <f t="shared" si="9"/>
        <v/>
      </c>
    </row>
    <row r="444" spans="8:8" x14ac:dyDescent="0.25">
      <c r="H444" s="272" t="str">
        <f t="shared" si="9"/>
        <v/>
      </c>
    </row>
    <row r="445" spans="8:8" x14ac:dyDescent="0.25">
      <c r="H445" s="272" t="str">
        <f t="shared" si="9"/>
        <v/>
      </c>
    </row>
    <row r="446" spans="8:8" x14ac:dyDescent="0.25">
      <c r="H446" s="272" t="str">
        <f t="shared" si="9"/>
        <v/>
      </c>
    </row>
    <row r="447" spans="8:8" x14ac:dyDescent="0.25">
      <c r="H447" s="272" t="str">
        <f t="shared" si="9"/>
        <v/>
      </c>
    </row>
    <row r="448" spans="8:8" x14ac:dyDescent="0.25">
      <c r="H448" s="272" t="str">
        <f t="shared" si="9"/>
        <v/>
      </c>
    </row>
    <row r="449" spans="8:8" x14ac:dyDescent="0.25">
      <c r="H449" s="272" t="str">
        <f t="shared" si="9"/>
        <v/>
      </c>
    </row>
    <row r="450" spans="8:8" x14ac:dyDescent="0.25">
      <c r="H450" s="272" t="str">
        <f t="shared" si="9"/>
        <v/>
      </c>
    </row>
    <row r="451" spans="8:8" x14ac:dyDescent="0.25">
      <c r="H451" s="272" t="str">
        <f t="shared" si="9"/>
        <v/>
      </c>
    </row>
    <row r="452" spans="8:8" x14ac:dyDescent="0.25">
      <c r="H452" s="272" t="str">
        <f t="shared" si="9"/>
        <v/>
      </c>
    </row>
    <row r="453" spans="8:8" x14ac:dyDescent="0.25">
      <c r="H453" s="272" t="str">
        <f t="shared" si="9"/>
        <v/>
      </c>
    </row>
    <row r="454" spans="8:8" x14ac:dyDescent="0.25">
      <c r="H454" s="272" t="str">
        <f t="shared" si="9"/>
        <v/>
      </c>
    </row>
    <row r="455" spans="8:8" x14ac:dyDescent="0.25">
      <c r="H455" s="272" t="str">
        <f t="shared" si="9"/>
        <v/>
      </c>
    </row>
    <row r="456" spans="8:8" x14ac:dyDescent="0.25">
      <c r="H456" s="272" t="str">
        <f t="shared" si="9"/>
        <v/>
      </c>
    </row>
    <row r="457" spans="8:8" x14ac:dyDescent="0.25">
      <c r="H457" s="272" t="str">
        <f t="shared" si="9"/>
        <v/>
      </c>
    </row>
    <row r="458" spans="8:8" x14ac:dyDescent="0.25">
      <c r="H458" s="272" t="str">
        <f t="shared" si="9"/>
        <v/>
      </c>
    </row>
    <row r="459" spans="8:8" x14ac:dyDescent="0.25">
      <c r="H459" s="272" t="str">
        <f t="shared" si="9"/>
        <v/>
      </c>
    </row>
    <row r="460" spans="8:8" x14ac:dyDescent="0.25">
      <c r="H460" s="272" t="str">
        <f t="shared" si="9"/>
        <v/>
      </c>
    </row>
    <row r="461" spans="8:8" x14ac:dyDescent="0.25">
      <c r="H461" s="272" t="str">
        <f t="shared" si="9"/>
        <v/>
      </c>
    </row>
    <row r="462" spans="8:8" x14ac:dyDescent="0.25">
      <c r="H462" s="272" t="str">
        <f t="shared" si="9"/>
        <v/>
      </c>
    </row>
    <row r="463" spans="8:8" x14ac:dyDescent="0.25">
      <c r="H463" s="272" t="str">
        <f t="shared" si="9"/>
        <v/>
      </c>
    </row>
    <row r="464" spans="8:8" x14ac:dyDescent="0.25">
      <c r="H464" s="272" t="str">
        <f t="shared" si="9"/>
        <v/>
      </c>
    </row>
    <row r="465" spans="8:8" x14ac:dyDescent="0.25">
      <c r="H465" s="272" t="str">
        <f t="shared" si="9"/>
        <v/>
      </c>
    </row>
    <row r="466" spans="8:8" x14ac:dyDescent="0.25">
      <c r="H466" s="272" t="str">
        <f t="shared" si="9"/>
        <v/>
      </c>
    </row>
    <row r="467" spans="8:8" x14ac:dyDescent="0.25">
      <c r="H467" s="272" t="str">
        <f t="shared" ref="H467:H500" si="10">IFERROR(D467/E467,"")</f>
        <v/>
      </c>
    </row>
    <row r="468" spans="8:8" x14ac:dyDescent="0.25">
      <c r="H468" s="272" t="str">
        <f t="shared" si="10"/>
        <v/>
      </c>
    </row>
    <row r="469" spans="8:8" x14ac:dyDescent="0.25">
      <c r="H469" s="272" t="str">
        <f t="shared" si="10"/>
        <v/>
      </c>
    </row>
    <row r="470" spans="8:8" x14ac:dyDescent="0.25">
      <c r="H470" s="272" t="str">
        <f t="shared" si="10"/>
        <v/>
      </c>
    </row>
    <row r="471" spans="8:8" x14ac:dyDescent="0.25">
      <c r="H471" s="272" t="str">
        <f t="shared" si="10"/>
        <v/>
      </c>
    </row>
    <row r="472" spans="8:8" x14ac:dyDescent="0.25">
      <c r="H472" s="272" t="str">
        <f t="shared" si="10"/>
        <v/>
      </c>
    </row>
    <row r="473" spans="8:8" x14ac:dyDescent="0.25">
      <c r="H473" s="272" t="str">
        <f t="shared" si="10"/>
        <v/>
      </c>
    </row>
    <row r="474" spans="8:8" x14ac:dyDescent="0.25">
      <c r="H474" s="272" t="str">
        <f t="shared" si="10"/>
        <v/>
      </c>
    </row>
    <row r="475" spans="8:8" x14ac:dyDescent="0.25">
      <c r="H475" s="272" t="str">
        <f t="shared" si="10"/>
        <v/>
      </c>
    </row>
    <row r="476" spans="8:8" x14ac:dyDescent="0.25">
      <c r="H476" s="272" t="str">
        <f t="shared" si="10"/>
        <v/>
      </c>
    </row>
    <row r="477" spans="8:8" x14ac:dyDescent="0.25">
      <c r="H477" s="272" t="str">
        <f t="shared" si="10"/>
        <v/>
      </c>
    </row>
    <row r="478" spans="8:8" x14ac:dyDescent="0.25">
      <c r="H478" s="272" t="str">
        <f t="shared" si="10"/>
        <v/>
      </c>
    </row>
    <row r="479" spans="8:8" x14ac:dyDescent="0.25">
      <c r="H479" s="272" t="str">
        <f t="shared" si="10"/>
        <v/>
      </c>
    </row>
    <row r="480" spans="8:8" x14ac:dyDescent="0.25">
      <c r="H480" s="272" t="str">
        <f t="shared" si="10"/>
        <v/>
      </c>
    </row>
    <row r="481" spans="8:8" x14ac:dyDescent="0.25">
      <c r="H481" s="272" t="str">
        <f t="shared" si="10"/>
        <v/>
      </c>
    </row>
    <row r="482" spans="8:8" x14ac:dyDescent="0.25">
      <c r="H482" s="272" t="str">
        <f t="shared" si="10"/>
        <v/>
      </c>
    </row>
    <row r="483" spans="8:8" x14ac:dyDescent="0.25">
      <c r="H483" s="272" t="str">
        <f t="shared" si="10"/>
        <v/>
      </c>
    </row>
    <row r="484" spans="8:8" x14ac:dyDescent="0.25">
      <c r="H484" s="272" t="str">
        <f t="shared" si="10"/>
        <v/>
      </c>
    </row>
    <row r="485" spans="8:8" x14ac:dyDescent="0.25">
      <c r="H485" s="272" t="str">
        <f t="shared" si="10"/>
        <v/>
      </c>
    </row>
    <row r="486" spans="8:8" x14ac:dyDescent="0.25">
      <c r="H486" s="272" t="str">
        <f t="shared" si="10"/>
        <v/>
      </c>
    </row>
    <row r="487" spans="8:8" x14ac:dyDescent="0.25">
      <c r="H487" s="272" t="str">
        <f t="shared" si="10"/>
        <v/>
      </c>
    </row>
    <row r="488" spans="8:8" x14ac:dyDescent="0.25">
      <c r="H488" s="272" t="str">
        <f t="shared" si="10"/>
        <v/>
      </c>
    </row>
    <row r="489" spans="8:8" x14ac:dyDescent="0.25">
      <c r="H489" s="272" t="str">
        <f t="shared" si="10"/>
        <v/>
      </c>
    </row>
    <row r="490" spans="8:8" x14ac:dyDescent="0.25">
      <c r="H490" s="272" t="str">
        <f t="shared" si="10"/>
        <v/>
      </c>
    </row>
    <row r="491" spans="8:8" x14ac:dyDescent="0.25">
      <c r="H491" s="272" t="str">
        <f t="shared" si="10"/>
        <v/>
      </c>
    </row>
    <row r="492" spans="8:8" x14ac:dyDescent="0.25">
      <c r="H492" s="272" t="str">
        <f t="shared" si="10"/>
        <v/>
      </c>
    </row>
    <row r="493" spans="8:8" x14ac:dyDescent="0.25">
      <c r="H493" s="272" t="str">
        <f t="shared" si="10"/>
        <v/>
      </c>
    </row>
    <row r="494" spans="8:8" x14ac:dyDescent="0.25">
      <c r="H494" s="272" t="str">
        <f t="shared" si="10"/>
        <v/>
      </c>
    </row>
    <row r="495" spans="8:8" x14ac:dyDescent="0.25">
      <c r="H495" s="272" t="str">
        <f t="shared" si="10"/>
        <v/>
      </c>
    </row>
    <row r="496" spans="8:8" x14ac:dyDescent="0.25">
      <c r="H496" s="272" t="str">
        <f t="shared" si="10"/>
        <v/>
      </c>
    </row>
    <row r="497" spans="8:8" x14ac:dyDescent="0.25">
      <c r="H497" s="272" t="str">
        <f t="shared" si="10"/>
        <v/>
      </c>
    </row>
    <row r="498" spans="8:8" x14ac:dyDescent="0.25">
      <c r="H498" s="272" t="str">
        <f t="shared" si="10"/>
        <v/>
      </c>
    </row>
    <row r="499" spans="8:8" x14ac:dyDescent="0.25">
      <c r="H499" s="272" t="str">
        <f t="shared" si="10"/>
        <v/>
      </c>
    </row>
    <row r="500" spans="8:8" x14ac:dyDescent="0.25">
      <c r="H500" s="272" t="str">
        <f t="shared" si="10"/>
        <v/>
      </c>
    </row>
  </sheetData>
  <dataValidations count="1">
    <dataValidation type="list" allowBlank="1" showInputMessage="1" showErrorMessage="1" sqref="B6:B9" xr:uid="{0E9914FD-BB06-40EF-B8A0-175A2DA6F318}">
      <formula1>"Tier 1,Tier 2,Tier 3,Tier 4"</formula1>
    </dataValidation>
  </dataValidations>
  <pageMargins left="0.7" right="0.7" top="0.75" bottom="0.75" header="0.3" footer="0.3"/>
  <pageSetup paperSize="9"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92A5C-478F-46EE-9A91-C5A53B0DE32E}">
  <sheetPr codeName="Sheet30">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16384" width="9.1796875" style="132"/>
  </cols>
  <sheetData>
    <row r="1" spans="1:8" ht="13" x14ac:dyDescent="0.25">
      <c r="A1" s="202" t="str">
        <f>B16</f>
        <v>Engineered fill</v>
      </c>
    </row>
    <row r="2" spans="1:8" ht="13" x14ac:dyDescent="0.25">
      <c r="A2" s="202"/>
    </row>
    <row r="3" spans="1:8" ht="13" x14ac:dyDescent="0.3">
      <c r="A3" s="227" t="s">
        <v>5626</v>
      </c>
      <c r="B3" s="132" t="s">
        <v>5861</v>
      </c>
    </row>
    <row r="4" spans="1:8" ht="13" x14ac:dyDescent="0.25">
      <c r="A4" s="202"/>
    </row>
    <row r="5" spans="1:8" ht="73.5" customHeight="1" x14ac:dyDescent="0.3">
      <c r="A5" s="227" t="s">
        <v>5628</v>
      </c>
      <c r="B5" s="200" t="s">
        <v>5862</v>
      </c>
    </row>
    <row r="6" spans="1:8" ht="13" x14ac:dyDescent="0.3">
      <c r="A6" s="227" t="s">
        <v>5630</v>
      </c>
      <c r="B6" s="132" t="s">
        <v>72</v>
      </c>
    </row>
    <row r="7" spans="1:8" ht="13" x14ac:dyDescent="0.3">
      <c r="A7" s="227" t="s">
        <v>5631</v>
      </c>
      <c r="B7" s="201" t="s">
        <v>71</v>
      </c>
    </row>
    <row r="8" spans="1:8" ht="13" x14ac:dyDescent="0.3">
      <c r="A8" s="227" t="s">
        <v>5632</v>
      </c>
      <c r="B8" s="201" t="s">
        <v>73</v>
      </c>
    </row>
    <row r="9" spans="1:8" ht="13" x14ac:dyDescent="0.3">
      <c r="A9" s="227" t="s">
        <v>5633</v>
      </c>
      <c r="B9" s="202" t="s">
        <v>73</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3507</v>
      </c>
      <c r="C16" s="311" t="s">
        <v>24</v>
      </c>
      <c r="D16" s="208" t="s">
        <v>146</v>
      </c>
      <c r="E16" s="209" t="s">
        <v>153</v>
      </c>
      <c r="F16" s="208" t="s">
        <v>147</v>
      </c>
      <c r="G16" s="208" t="s">
        <v>154</v>
      </c>
      <c r="H16" s="131"/>
    </row>
    <row r="17" spans="1:8" ht="13" x14ac:dyDescent="0.3">
      <c r="A17" s="133"/>
      <c r="B17" s="317"/>
      <c r="C17" s="206" t="s">
        <v>5636</v>
      </c>
      <c r="D17" s="207" t="str" cm="1">
        <f t="array" ref="D17">IF(AND(_xlfn.ANCHORARRAY(C23)=C23),C23,"Mixed")</f>
        <v>tonne</v>
      </c>
      <c r="E17" s="207" t="s">
        <v>2774</v>
      </c>
      <c r="F17" s="207" t="str" cm="1">
        <f t="array" ref="F17">IF(AND(_xlfn.ANCHORARRAY(C23)=C23),C23,"Mixed")</f>
        <v>tonne</v>
      </c>
      <c r="G17" s="318" t="s">
        <v>2774</v>
      </c>
      <c r="H17" s="131"/>
    </row>
    <row r="18" spans="1:8" s="200" customFormat="1" ht="13" x14ac:dyDescent="0.3">
      <c r="A18" s="221"/>
      <c r="B18" s="214"/>
      <c r="C18" s="202" t="s">
        <v>5637</v>
      </c>
      <c r="D18" s="198">
        <f t="shared" ref="D18:G18" si="0">MAX(_xlfn.ANCHORARRAY(D23))</f>
        <v>9.24</v>
      </c>
      <c r="E18" s="198">
        <f t="shared" si="0"/>
        <v>9.2399999999999999E-3</v>
      </c>
      <c r="F18" s="198">
        <f t="shared" si="0"/>
        <v>0</v>
      </c>
      <c r="G18" s="215">
        <f t="shared" si="0"/>
        <v>0</v>
      </c>
      <c r="H18" s="131"/>
    </row>
    <row r="19" spans="1:8" ht="13" x14ac:dyDescent="0.25">
      <c r="A19" s="133"/>
      <c r="B19" s="204"/>
      <c r="C19" s="202" t="s">
        <v>5638</v>
      </c>
      <c r="D19" s="198">
        <f>MIN(_xlfn.ANCHORARRAY(D23))</f>
        <v>3.26</v>
      </c>
      <c r="E19" s="198">
        <f t="shared" ref="E19:G19" si="1">MIN(_xlfn.ANCHORARRAY(E23))</f>
        <v>3.2599999999999999E-3</v>
      </c>
      <c r="F19" s="198">
        <f t="shared" si="1"/>
        <v>0</v>
      </c>
      <c r="G19" s="215">
        <f t="shared" si="1"/>
        <v>0</v>
      </c>
      <c r="H19" s="131"/>
    </row>
    <row r="20" spans="1:8" ht="13" x14ac:dyDescent="0.25">
      <c r="A20" s="133"/>
      <c r="B20" s="204"/>
      <c r="C20" s="202" t="s">
        <v>5639</v>
      </c>
      <c r="D20" s="198">
        <f>AVERAGE(_xlfn.ANCHORARRAY(D23))</f>
        <v>6.6602367000000013</v>
      </c>
      <c r="E20" s="198">
        <f t="shared" ref="E20:G20" si="2">AVERAGE(_xlfn.ANCHORARRAY(E23))</f>
        <v>6.6602366999999997E-3</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32">_xlfn.UNIQUE(_xlfn._xlws.FILTER('EPD List'!D:D,ISNUMBER(SEARCH(B16,'EPD List'!C:C)),0))</f>
        <v>Aggregate, , Aggregates (BCG) (Australia)</v>
      </c>
      <c r="C23" s="132" t="str" cm="1">
        <f t="array" ref="C23:C32">_xlfn.IFNA(INDEX('EPD List'!$A:$AB,MATCH(_xlfn.ANCHORARRAY(B23),'EPD List'!$D:$D,0),MATCH(C$16,'EPD List'!$7:$7,0)),"")</f>
        <v>tonne</v>
      </c>
      <c r="D23" s="198" cm="1">
        <f t="array" ref="D23:D32">_xlfn.IFNA(VALUE((INDEX('EPD List'!$A:$AD,MATCH(_xlfn.ANCHORARRAY($B23),'EPD List'!$D:$D,0),MATCH(D$16,'EPD List'!$7:$7,0)))),"")</f>
        <v>4.9623670000000004</v>
      </c>
      <c r="E23" s="198" cm="1">
        <f t="array" ref="E23:E32">_xlfn.IFNA(VALUE((INDEX('EPD List'!$A:$AD,MATCH(_xlfn.ANCHORARRAY($B23),'EPD List'!$D:$D,0),MATCH(E$16,'EPD List'!$7:$7,0)))),"")</f>
        <v>4.9623670000000005E-3</v>
      </c>
      <c r="F23" s="198" cm="1">
        <f t="array" ref="F23:F32">_xlfn.IFNA(VALUE((INDEX('EPD List'!$A:$AD,MATCH(_xlfn.ANCHORARRAY($B23),'EPD List'!$D:$D,0),MATCH(F$16,'EPD List'!$7:$7,0)))),"")</f>
        <v>0</v>
      </c>
      <c r="G23" s="215" cm="1">
        <f t="array" ref="G23:G32">_xlfn.IFNA(VALUE((INDEX('EPD List'!$A:$AD,MATCH(_xlfn.ANCHORARRAY($B23),'EPD List'!$D:$D,0),MATCH(G$16,'EPD List'!$7:$7,0)))),"")</f>
        <v>0</v>
      </c>
      <c r="H23" s="131"/>
    </row>
    <row r="24" spans="1:8" x14ac:dyDescent="0.25">
      <c r="A24" s="133"/>
      <c r="B24" s="204" t="str">
        <v>Aggregate, , Tylden quarry products (Fulton Hogan) (Australia)</v>
      </c>
      <c r="C24" s="132" t="str">
        <v>tonne</v>
      </c>
      <c r="D24" s="198">
        <v>5.0999999999999996</v>
      </c>
      <c r="E24" s="198">
        <v>5.0999999999999995E-3</v>
      </c>
      <c r="F24" s="198">
        <v>0</v>
      </c>
      <c r="G24" s="215">
        <v>0</v>
      </c>
      <c r="H24" s="131"/>
    </row>
    <row r="25" spans="1:8" x14ac:dyDescent="0.25">
      <c r="A25" s="133"/>
      <c r="B25" s="204" t="str">
        <v>Aggregate, , Tynong quarry products (Fulton Hogan) (Australia)</v>
      </c>
      <c r="C25" s="132" t="str">
        <v>tonne</v>
      </c>
      <c r="D25" s="198">
        <v>7.8</v>
      </c>
      <c r="E25" s="198">
        <v>7.7999999999999996E-3</v>
      </c>
      <c r="F25" s="198">
        <v>0</v>
      </c>
      <c r="G25" s="215">
        <v>0</v>
      </c>
      <c r="H25" s="131"/>
    </row>
    <row r="26" spans="1:8" x14ac:dyDescent="0.25">
      <c r="A26" s="133"/>
      <c r="B26" s="204" t="str">
        <v>Aggregate, , Ballast (Holcim) (Australia)</v>
      </c>
      <c r="C26" s="132" t="str">
        <v>tonne</v>
      </c>
      <c r="D26" s="198">
        <v>7.81</v>
      </c>
      <c r="E26" s="198">
        <v>7.8099999999999992E-3</v>
      </c>
      <c r="F26" s="198">
        <v>0</v>
      </c>
      <c r="G26" s="215">
        <v>0</v>
      </c>
      <c r="H26" s="131"/>
    </row>
    <row r="27" spans="1:8" x14ac:dyDescent="0.25">
      <c r="A27" s="133"/>
      <c r="B27" s="204" t="str">
        <v>Aggregate, , Other
Aggregates (Holcim) (Australia)</v>
      </c>
      <c r="C27" s="132" t="str">
        <v>tonne</v>
      </c>
      <c r="D27" s="198">
        <v>6.12</v>
      </c>
      <c r="E27" s="198">
        <v>6.1200000000000004E-3</v>
      </c>
      <c r="F27" s="198">
        <v>0</v>
      </c>
      <c r="G27" s="215">
        <v>0</v>
      </c>
      <c r="H27" s="131"/>
    </row>
    <row r="28" spans="1:8" x14ac:dyDescent="0.25">
      <c r="A28" s="133"/>
      <c r="B28" s="204" t="str">
        <v>Aggregate, , Other
Roadbase (Holcim) (Australia)</v>
      </c>
      <c r="C28" s="132" t="str">
        <v>tonne</v>
      </c>
      <c r="D28" s="198">
        <v>9.24</v>
      </c>
      <c r="E28" s="198">
        <v>9.2399999999999999E-3</v>
      </c>
      <c r="F28" s="198">
        <v>0</v>
      </c>
      <c r="G28" s="215">
        <v>0</v>
      </c>
      <c r="H28" s="131"/>
    </row>
    <row r="29" spans="1:8" x14ac:dyDescent="0.25">
      <c r="A29" s="133"/>
      <c r="B29" s="204" t="str">
        <v>Aggregate, , Asphalt
Aggregates (Holcim) (Australia)</v>
      </c>
      <c r="C29" s="132" t="str">
        <v>tonne</v>
      </c>
      <c r="D29" s="198">
        <v>8.16</v>
      </c>
      <c r="E29" s="198">
        <v>8.1600000000000006E-3</v>
      </c>
      <c r="F29" s="198">
        <v>0</v>
      </c>
      <c r="G29" s="215">
        <v>0</v>
      </c>
      <c r="H29" s="131"/>
    </row>
    <row r="30" spans="1:8" x14ac:dyDescent="0.25">
      <c r="A30" s="133"/>
      <c r="B30" s="204" t="str">
        <v>Aggregate, , Sealing
Aggregates (Holcim) (Australia)</v>
      </c>
      <c r="C30" s="132" t="str">
        <v>tonne</v>
      </c>
      <c r="D30" s="198">
        <v>7.98</v>
      </c>
      <c r="E30" s="198">
        <v>7.980000000000001E-3</v>
      </c>
      <c r="F30" s="198">
        <v>0</v>
      </c>
      <c r="G30" s="215">
        <v>0</v>
      </c>
      <c r="H30" s="131"/>
    </row>
    <row r="31" spans="1:8" x14ac:dyDescent="0.25">
      <c r="A31" s="133"/>
      <c r="B31" s="204" t="str">
        <v>Aggregate, , Concrete
Aggregates (Holcim) (Australia)</v>
      </c>
      <c r="C31" s="132" t="str">
        <v>tonne</v>
      </c>
      <c r="D31" s="198">
        <v>6.17</v>
      </c>
      <c r="E31" s="198">
        <v>6.1700000000000001E-3</v>
      </c>
      <c r="F31" s="198">
        <v>0</v>
      </c>
      <c r="G31" s="215">
        <v>0</v>
      </c>
      <c r="H31" s="131"/>
    </row>
    <row r="32" spans="1:8" x14ac:dyDescent="0.25">
      <c r="A32" s="133"/>
      <c r="B32" s="217" t="str">
        <v>Aggregate, , Customer
Spec.
Roadbase (Holcim) (Australia)</v>
      </c>
      <c r="C32" s="218" t="str">
        <v>tonne</v>
      </c>
      <c r="D32" s="219">
        <v>3.26</v>
      </c>
      <c r="E32" s="219">
        <v>3.2599999999999999E-3</v>
      </c>
      <c r="F32" s="219">
        <v>0</v>
      </c>
      <c r="G32" s="220">
        <v>0</v>
      </c>
      <c r="H32" s="131"/>
    </row>
    <row r="33" spans="2:7" x14ac:dyDescent="0.25">
      <c r="B33" s="130"/>
      <c r="C33" s="130"/>
      <c r="D33" s="207"/>
      <c r="E33" s="207"/>
      <c r="F33" s="207"/>
      <c r="G33" s="207"/>
    </row>
    <row r="90" spans="9:9" x14ac:dyDescent="0.25">
      <c r="I90" s="198"/>
    </row>
  </sheetData>
  <dataValidations count="1">
    <dataValidation type="list" allowBlank="1" showInputMessage="1" showErrorMessage="1" sqref="B6:B9" xr:uid="{98968BC5-823E-4342-BAF7-D725DBCE5C5E}">
      <formula1>"Tier 1,Tier 2,Tier 3,Tier 4"</formula1>
    </dataValidation>
  </dataValidations>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C3968-2E19-4A69-B4D5-4F520D84AC2B}">
  <sheetPr codeName="Sheet88">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GRC</v>
      </c>
    </row>
    <row r="2" spans="1:8" ht="13" x14ac:dyDescent="0.25">
      <c r="A2" s="202"/>
      <c r="C2" s="202"/>
    </row>
    <row r="3" spans="1:8" ht="13" x14ac:dyDescent="0.3">
      <c r="A3" s="227" t="s">
        <v>5626</v>
      </c>
      <c r="B3" s="132" t="s">
        <v>5863</v>
      </c>
    </row>
    <row r="4" spans="1:8" ht="13" x14ac:dyDescent="0.25">
      <c r="A4" s="202"/>
    </row>
    <row r="5" spans="1:8" ht="92.25" customHeight="1" x14ac:dyDescent="0.3">
      <c r="A5" s="227" t="s">
        <v>5628</v>
      </c>
      <c r="B5" s="200" t="s">
        <v>5864</v>
      </c>
      <c r="D5" s="200"/>
      <c r="E5" s="271"/>
    </row>
    <row r="6" spans="1:8" ht="13" x14ac:dyDescent="0.3">
      <c r="A6" s="227" t="s">
        <v>5630</v>
      </c>
      <c r="B6" s="201" t="s">
        <v>74</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3782</v>
      </c>
      <c r="C16" s="316" t="s">
        <v>24</v>
      </c>
      <c r="D16" s="314" t="s">
        <v>146</v>
      </c>
      <c r="E16" s="315" t="s">
        <v>153</v>
      </c>
      <c r="F16" s="314" t="s">
        <v>147</v>
      </c>
      <c r="G16" s="314" t="s">
        <v>154</v>
      </c>
      <c r="H16" s="131"/>
    </row>
    <row r="17" spans="1:9" ht="13" x14ac:dyDescent="0.3">
      <c r="A17" s="133"/>
      <c r="B17" s="211"/>
      <c r="C17" s="212" t="s">
        <v>5636</v>
      </c>
      <c r="D17" s="196" t="str" cm="1">
        <f t="array" ref="D17">IF(AND(_xlfn.ANCHORARRAY(C23)=C23),C23,"Mixed")</f>
        <v>tonne</v>
      </c>
      <c r="E17" s="196" t="s">
        <v>2774</v>
      </c>
      <c r="F17" s="196" t="str" cm="1">
        <f t="array" ref="F17">IF(AND(_xlfn.ANCHORARRAY(C23)=C23),C23,"Mixed")</f>
        <v>tonne</v>
      </c>
      <c r="G17" s="213" t="s">
        <v>2774</v>
      </c>
      <c r="H17" s="131"/>
    </row>
    <row r="18" spans="1:9" s="200" customFormat="1" ht="13" x14ac:dyDescent="0.3">
      <c r="A18" s="221"/>
      <c r="B18" s="214"/>
      <c r="C18" s="202" t="s">
        <v>5637</v>
      </c>
      <c r="D18" s="198">
        <f>MAX(_xlfn.ANCHORARRAY(D23))</f>
        <v>723.9</v>
      </c>
      <c r="E18" s="198">
        <f t="shared" ref="E18:G18" si="0">MAX(_xlfn.ANCHORARRAY(E23))</f>
        <v>0.72389999999999999</v>
      </c>
      <c r="F18" s="198">
        <f t="shared" si="0"/>
        <v>0</v>
      </c>
      <c r="G18" s="215">
        <f t="shared" si="0"/>
        <v>0</v>
      </c>
      <c r="H18" s="131"/>
      <c r="I18" s="132"/>
    </row>
    <row r="19" spans="1:9" ht="13" x14ac:dyDescent="0.25">
      <c r="A19" s="133"/>
      <c r="B19" s="204"/>
      <c r="C19" s="202" t="s">
        <v>5638</v>
      </c>
      <c r="D19" s="198">
        <f>MIN(_xlfn.ANCHORARRAY(D23))</f>
        <v>407.69230769230768</v>
      </c>
      <c r="E19" s="198">
        <f t="shared" ref="E19:G19" si="1">MIN(_xlfn.ANCHORARRAY(E23))</f>
        <v>0.40769230769230769</v>
      </c>
      <c r="F19" s="198">
        <f t="shared" si="1"/>
        <v>0</v>
      </c>
      <c r="G19" s="215">
        <f t="shared" si="1"/>
        <v>0</v>
      </c>
      <c r="H19" s="131"/>
    </row>
    <row r="20" spans="1:9" ht="13" x14ac:dyDescent="0.25">
      <c r="A20" s="133"/>
      <c r="B20" s="204"/>
      <c r="C20" s="202" t="s">
        <v>5639</v>
      </c>
      <c r="D20" s="198">
        <f>AVERAGE(_xlfn.ANCHORARRAY(D23))</f>
        <v>544.47016317016312</v>
      </c>
      <c r="E20" s="198">
        <f t="shared" ref="E20:G20" si="2">AVERAGE(_xlfn.ANCHORARRAY(E23))</f>
        <v>0.54447016317016317</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5">_xlfn.UNIQUE(_xlfn._xlws.FILTER('EPD List'!D:D,ISNUMBER(SEARCH(B16,'EPD List'!C:C)),0))</f>
        <v>GRC, , Plain GRC façade panels (Ibstock telling) (Global)</v>
      </c>
      <c r="C23" s="132" t="str" cm="1">
        <f t="array" ref="C23:C25">_xlfn.IFNA(INDEX('EPD List'!$A:$AB,MATCH(_xlfn.ANCHORARRAY(B23),'EPD List'!$D:$D,0),MATCH(C$16,'EPD List'!$7:$7,0)),"")</f>
        <v>tonne</v>
      </c>
      <c r="D23" s="198" cm="1">
        <f t="array" ref="D23:D25">_xlfn.IFNA(VALUE((INDEX('EPD List'!$A:$AD,MATCH(_xlfn.ANCHORARRAY($B23),'EPD List'!$D:$D,0),MATCH(D$16,'EPD List'!$7:$7,0)))),"")</f>
        <v>407.69230769230768</v>
      </c>
      <c r="E23" s="198" cm="1">
        <f t="array" ref="E23:E25">IFERROR(VALUE((INDEX('EPD List'!$A:$AD,MATCH(_xlfn.ANCHORARRAY($B23),'EPD List'!$D:$D,0),MATCH(E$16,'EPD List'!$7:$7,0)))),"")</f>
        <v>0.40769230769230769</v>
      </c>
      <c r="F23" s="198" cm="1">
        <f t="array" ref="F23:F25">_xlfn.IFNA(VALUE((INDEX('EPD List'!$A:$AD,MATCH(_xlfn.ANCHORARRAY($B23),'EPD List'!$D:$D,0),MATCH(F$16,'EPD List'!$7:$7,0)))),"")</f>
        <v>0</v>
      </c>
      <c r="G23" s="215" cm="1">
        <f t="array" ref="G23:G25">IFERROR(VALUE((INDEX('EPD List'!$A:$AD,MATCH(_xlfn.ANCHORARRAY($B23),'EPD List'!$D:$D,0),MATCH(G$16,'EPD List'!$7:$7,0)))),"")</f>
        <v>0</v>
      </c>
      <c r="H23" s="131"/>
    </row>
    <row r="24" spans="1:9" x14ac:dyDescent="0.25">
      <c r="A24" s="133"/>
      <c r="B24" s="204" t="str">
        <v>GRC, , Concrete skin and oko skin glass fibre reinforced concrete (Reider Smart Elements GmbH) (Global)</v>
      </c>
      <c r="C24" s="132" t="str">
        <v>tonne</v>
      </c>
      <c r="D24" s="198">
        <v>723.9</v>
      </c>
      <c r="E24" s="198">
        <v>0.72389999999999999</v>
      </c>
      <c r="F24" s="198">
        <v>0</v>
      </c>
      <c r="G24" s="215">
        <v>0</v>
      </c>
      <c r="H24" s="131"/>
    </row>
    <row r="25" spans="1:9" x14ac:dyDescent="0.25">
      <c r="A25" s="133"/>
      <c r="B25" s="217" t="str">
        <v>GRC, , Brick faced GRC façade panels (12 mm) (Ibstock telling) (Global)</v>
      </c>
      <c r="C25" s="218" t="str">
        <v>tonne</v>
      </c>
      <c r="D25" s="219">
        <v>501.81818181818181</v>
      </c>
      <c r="E25" s="219">
        <v>0.50181818181818183</v>
      </c>
      <c r="F25" s="219">
        <v>0</v>
      </c>
      <c r="G25" s="220">
        <v>0</v>
      </c>
      <c r="H25" s="131"/>
    </row>
    <row r="26" spans="1:9" x14ac:dyDescent="0.25">
      <c r="B26" s="130"/>
      <c r="C26" s="130"/>
      <c r="D26" s="207"/>
      <c r="E26" s="207"/>
      <c r="F26" s="207"/>
      <c r="G26" s="207"/>
    </row>
    <row r="90" spans="9:9" x14ac:dyDescent="0.25">
      <c r="I90" s="198"/>
    </row>
  </sheetData>
  <dataValidations count="1">
    <dataValidation type="list" allowBlank="1" showInputMessage="1" showErrorMessage="1" sqref="B6:B9" xr:uid="{B48B8FD4-9C2A-42D8-BD7B-2F3C2AB4A6E4}">
      <formula1>"Tier 1,Tier 2,Tier 3,Tier 4"</formula1>
    </dataValidation>
  </dataValidations>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0632A-F4F6-4AA4-979D-570795C9B771}">
  <sheetPr codeName="Sheet93">
    <tabColor rgb="FF00CCFF"/>
  </sheetPr>
  <dimension ref="A1:I90"/>
  <sheetViews>
    <sheetView workbookViewId="0"/>
  </sheetViews>
  <sheetFormatPr defaultColWidth="9.1796875" defaultRowHeight="12.5" x14ac:dyDescent="0.25"/>
  <cols>
    <col min="1" max="1" width="31.179687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Glass</v>
      </c>
    </row>
    <row r="2" spans="1:8" ht="13" x14ac:dyDescent="0.25">
      <c r="A2" s="202"/>
      <c r="C2" s="202"/>
    </row>
    <row r="3" spans="1:8" ht="13" x14ac:dyDescent="0.3">
      <c r="A3" s="227" t="s">
        <v>5626</v>
      </c>
      <c r="B3" s="132" t="s">
        <v>5865</v>
      </c>
    </row>
    <row r="4" spans="1:8" ht="13" x14ac:dyDescent="0.25">
      <c r="A4" s="202"/>
    </row>
    <row r="5" spans="1:8" ht="92.25" customHeight="1" x14ac:dyDescent="0.3">
      <c r="A5" s="227" t="s">
        <v>5628</v>
      </c>
      <c r="B5" s="200" t="s">
        <v>5866</v>
      </c>
      <c r="D5" s="200"/>
      <c r="E5" s="271"/>
    </row>
    <row r="6" spans="1:8" ht="13" x14ac:dyDescent="0.3">
      <c r="A6" s="227" t="s">
        <v>5630</v>
      </c>
      <c r="B6" s="201" t="s">
        <v>74</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3628</v>
      </c>
      <c r="C16" s="311" t="s">
        <v>24</v>
      </c>
      <c r="D16" s="208" t="s">
        <v>146</v>
      </c>
      <c r="E16" s="209" t="s">
        <v>153</v>
      </c>
      <c r="F16" s="208" t="s">
        <v>147</v>
      </c>
      <c r="G16" s="208" t="s">
        <v>154</v>
      </c>
      <c r="H16" s="131"/>
    </row>
    <row r="17" spans="1:9" ht="13" x14ac:dyDescent="0.3">
      <c r="A17" s="133"/>
      <c r="B17" s="317"/>
      <c r="C17" s="206" t="s">
        <v>5636</v>
      </c>
      <c r="D17" s="207" t="str" cm="1">
        <f t="array" ref="D17">IF(AND(_xlfn.ANCHORARRAY(C23)=C23),C23,"Mixed")</f>
        <v>kg</v>
      </c>
      <c r="E17" s="207" t="s">
        <v>2774</v>
      </c>
      <c r="F17" s="207" t="str" cm="1">
        <f t="array" ref="F17">IF(AND(_xlfn.ANCHORARRAY(C23)=C23),C23,"Mixed")</f>
        <v>kg</v>
      </c>
      <c r="G17" s="318" t="s">
        <v>2774</v>
      </c>
      <c r="H17" s="131"/>
    </row>
    <row r="18" spans="1:9" s="200" customFormat="1" ht="13" x14ac:dyDescent="0.3">
      <c r="A18" s="221"/>
      <c r="B18" s="214"/>
      <c r="C18" s="202" t="s">
        <v>5637</v>
      </c>
      <c r="D18" s="198">
        <f>MAX(_xlfn.ANCHORARRAY(D23))</f>
        <v>1.9807692307692308</v>
      </c>
      <c r="E18" s="198">
        <f t="shared" ref="E18:G18" si="0">MAX(_xlfn.ANCHORARRAY(E23))</f>
        <v>1.9807692307692308</v>
      </c>
      <c r="F18" s="198">
        <f t="shared" si="0"/>
        <v>0</v>
      </c>
      <c r="G18" s="215">
        <f t="shared" si="0"/>
        <v>0</v>
      </c>
      <c r="H18" s="131"/>
      <c r="I18" s="132"/>
    </row>
    <row r="19" spans="1:9" ht="13" x14ac:dyDescent="0.25">
      <c r="A19" s="133"/>
      <c r="B19" s="204"/>
      <c r="C19" s="202" t="s">
        <v>5638</v>
      </c>
      <c r="D19" s="198">
        <f>MIN(_xlfn.ANCHORARRAY(D23))</f>
        <v>1.1000000000000001</v>
      </c>
      <c r="E19" s="198">
        <f t="shared" ref="E19:G19" si="1">MIN(_xlfn.ANCHORARRAY(E23))</f>
        <v>1.1000000000000001</v>
      </c>
      <c r="F19" s="198">
        <f t="shared" si="1"/>
        <v>0</v>
      </c>
      <c r="G19" s="215">
        <f t="shared" si="1"/>
        <v>0</v>
      </c>
      <c r="H19" s="131"/>
    </row>
    <row r="20" spans="1:9" ht="13" x14ac:dyDescent="0.25">
      <c r="A20" s="133"/>
      <c r="B20" s="204"/>
      <c r="C20" s="202" t="s">
        <v>5639</v>
      </c>
      <c r="D20" s="198">
        <f>AVERAGE(_xlfn.ANCHORARRAY(D23))</f>
        <v>1.6598576059412267</v>
      </c>
      <c r="E20" s="198">
        <f t="shared" ref="E20:G20" si="2">AVERAGE(_xlfn.ANCHORARRAY(E23))</f>
        <v>1.6598576059412267</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82">_xlfn.UNIQUE(_xlfn._xlws.FILTER('EPD List'!D:D,ISNUMBER(SEARCH(B16,'EPD List'!C:C)),0))</f>
        <v>Float Glass, Glazing glass, Unprocessed flat glass (Guardian Glass) (Global)</v>
      </c>
      <c r="C23" s="132" t="str" cm="1">
        <f t="array" ref="C23:C82">_xlfn.IFNA(INDEX('EPD List'!$A:$AB,MATCH(_xlfn.ANCHORARRAY(B23),'EPD List'!$D:$D,0),MATCH(C$16,'EPD List'!$7:$7,0)),"")</f>
        <v>kg</v>
      </c>
      <c r="D23" s="198" cm="1">
        <f t="array" ref="D23:D82">_xlfn.IFNA(VALUE((INDEX('EPD List'!$A:$AD,MATCH(_xlfn.ANCHORARRAY($B23),'EPD List'!$D:$D,0),MATCH(D$16,'EPD List'!$7:$7,0)))),"")</f>
        <v>1.1000000000000001</v>
      </c>
      <c r="E23" s="198" cm="1">
        <f t="array" ref="E23:E82">IFERROR(VALUE((INDEX('EPD List'!$A:$AD,MATCH(_xlfn.ANCHORARRAY($B23),'EPD List'!$D:$D,0),MATCH(E$16,'EPD List'!$7:$7,0)))),"")</f>
        <v>1.1000000000000001</v>
      </c>
      <c r="F23" s="198" cm="1">
        <f t="array" ref="F23:F82">_xlfn.IFNA(VALUE((INDEX('EPD List'!$A:$AD,MATCH(_xlfn.ANCHORARRAY($B23),'EPD List'!$D:$D,0),MATCH(F$16,'EPD List'!$7:$7,0)))),"")</f>
        <v>0</v>
      </c>
      <c r="G23" s="215" cm="1">
        <f t="array" ref="G23:G82">IFERROR(VALUE((INDEX('EPD List'!$A:$AD,MATCH(_xlfn.ANCHORARRAY($B23),'EPD List'!$D:$D,0),MATCH(G$16,'EPD List'!$7:$7,0)))),"")</f>
        <v>0</v>
      </c>
      <c r="H23" s="131"/>
    </row>
    <row r="24" spans="1:9" x14ac:dyDescent="0.25">
      <c r="A24" s="133"/>
      <c r="B24" s="204" t="str">
        <v>Float Glass, Glazing glass, Processed glass products heat treated (Guardian Glass) (Global)</v>
      </c>
      <c r="C24" s="132" t="str">
        <v>kg</v>
      </c>
      <c r="D24" s="198">
        <v>1.3</v>
      </c>
      <c r="E24" s="198">
        <v>1.3</v>
      </c>
      <c r="F24" s="198">
        <v>0</v>
      </c>
      <c r="G24" s="215">
        <v>0</v>
      </c>
      <c r="H24" s="131"/>
    </row>
    <row r="25" spans="1:9" x14ac:dyDescent="0.25">
      <c r="A25" s="133"/>
      <c r="B25" s="204" t="str">
        <v>Double glazing, Glazing glass, Pilkington Suncool Optilam™ range  (4/16/6.8) (Pilkington Group Limited) (Europe)</v>
      </c>
      <c r="C25" s="132" t="str">
        <v>kg</v>
      </c>
      <c r="D25" s="198">
        <v>1.9653846153846155</v>
      </c>
      <c r="E25" s="198">
        <v>1.9653846153846155</v>
      </c>
      <c r="F25" s="198">
        <v>0</v>
      </c>
      <c r="G25" s="215">
        <v>0</v>
      </c>
      <c r="H25" s="131"/>
    </row>
    <row r="26" spans="1:9" x14ac:dyDescent="0.25">
      <c r="A26" s="133"/>
      <c r="B26" s="204" t="str">
        <v>Double glazing, Glazing glass, Pilkington Optilam™ Therm range  (4/16/6.8) (Pilkington Group Limited) (Europe)</v>
      </c>
      <c r="C26" s="132" t="str">
        <v>kg</v>
      </c>
      <c r="D26" s="198">
        <v>1.9653846153846155</v>
      </c>
      <c r="E26" s="198">
        <v>1.9653846153846155</v>
      </c>
      <c r="F26" s="198">
        <v>0</v>
      </c>
      <c r="G26" s="215">
        <v>0</v>
      </c>
      <c r="H26" s="131"/>
    </row>
    <row r="27" spans="1:9" x14ac:dyDescent="0.25">
      <c r="A27" s="133"/>
      <c r="B27" s="204" t="str">
        <v>Double glazing, Glazing glass, Pilkington Optilam K Glass™ S range  (4/16/6.8) (Pilkington Group Limited) (Europe)</v>
      </c>
      <c r="C27" s="132" t="str">
        <v>kg</v>
      </c>
      <c r="D27" s="198">
        <v>1.9653846153846155</v>
      </c>
      <c r="E27" s="198">
        <v>1.9653846153846155</v>
      </c>
      <c r="F27" s="198">
        <v>0</v>
      </c>
      <c r="G27" s="215">
        <v>0</v>
      </c>
      <c r="H27" s="131"/>
    </row>
    <row r="28" spans="1:9" x14ac:dyDescent="0.25">
      <c r="A28" s="133"/>
      <c r="B28" s="204" t="str">
        <v>Double glazing, Glazing glass, Pilkington Mirropane Optilam™ Chrome range  (4/16/6.8) (Pilkington Group Limited) (Europe)</v>
      </c>
      <c r="C28" s="132" t="str">
        <v>kg</v>
      </c>
      <c r="D28" s="198">
        <v>1.9653846153846155</v>
      </c>
      <c r="E28" s="198">
        <v>1.9653846153846155</v>
      </c>
      <c r="F28" s="198">
        <v>0</v>
      </c>
      <c r="G28" s="215">
        <v>0</v>
      </c>
      <c r="H28" s="131"/>
    </row>
    <row r="29" spans="1:9" x14ac:dyDescent="0.25">
      <c r="A29" s="133"/>
      <c r="B29" s="204" t="str">
        <v>Double glazing, Glazing glass, Pilkington Spandrel Glass Laminated range  (4/16/6.8) (Pilkington Group Limited) (Europe)</v>
      </c>
      <c r="C29" s="132" t="str">
        <v>kg</v>
      </c>
      <c r="D29" s="198">
        <v>1.9653846153846155</v>
      </c>
      <c r="E29" s="198">
        <v>1.9653846153846155</v>
      </c>
      <c r="F29" s="198">
        <v>0</v>
      </c>
      <c r="G29" s="215">
        <v>0</v>
      </c>
      <c r="H29" s="131"/>
    </row>
    <row r="30" spans="1:9" x14ac:dyDescent="0.25">
      <c r="A30" s="133"/>
      <c r="B30" s="204" t="str">
        <v>Double glazing, Glazing glass, Pilkington Optifloat™ Clear and Tinted  (4/16/6.8) (Pilkington Group Limited) (Europe)</v>
      </c>
      <c r="C30" s="132" t="str">
        <v>kg</v>
      </c>
      <c r="D30" s="198">
        <v>1.9653846153846155</v>
      </c>
      <c r="E30" s="198">
        <v>1.9653846153846155</v>
      </c>
      <c r="F30" s="198">
        <v>0</v>
      </c>
      <c r="G30" s="215">
        <v>0</v>
      </c>
      <c r="H30" s="131"/>
    </row>
    <row r="31" spans="1:9" x14ac:dyDescent="0.25">
      <c r="A31" s="133"/>
      <c r="B31" s="204" t="str">
        <v>Triple glazing, Glazing glass, Pilkington Suncool™ range (6/12/6/12/8.8) (Pilkington Group Limited) (Europe)</v>
      </c>
      <c r="C31" s="132" t="str">
        <v>kg</v>
      </c>
      <c r="D31" s="198">
        <v>1.9807692307692308</v>
      </c>
      <c r="E31" s="198">
        <v>1.9807692307692308</v>
      </c>
      <c r="F31" s="198">
        <v>0</v>
      </c>
      <c r="G31" s="215">
        <v>0</v>
      </c>
      <c r="H31" s="131"/>
    </row>
    <row r="32" spans="1:9" x14ac:dyDescent="0.25">
      <c r="A32" s="133"/>
      <c r="B32" s="204" t="str">
        <v>Triple glazing, Glazing glass, Pilkington Optitherm™ range (6/12/6/12/8.8) (Pilkington Group Limited) (Europe)</v>
      </c>
      <c r="C32" s="132" t="str">
        <v>kg</v>
      </c>
      <c r="D32" s="198">
        <v>1.9807692307692308</v>
      </c>
      <c r="E32" s="198">
        <v>1.9807692307692308</v>
      </c>
      <c r="F32" s="198">
        <v>0</v>
      </c>
      <c r="G32" s="215">
        <v>0</v>
      </c>
      <c r="H32" s="131"/>
    </row>
    <row r="33" spans="1:8" x14ac:dyDescent="0.25">
      <c r="A33" s="133"/>
      <c r="B33" s="204" t="str">
        <v>Triple glazing, Glazing glass, Pilkington K Glass™ S range (6/12/6/12/8.8) (Pilkington Group Limited) (Europe)</v>
      </c>
      <c r="C33" s="132" t="str">
        <v>kg</v>
      </c>
      <c r="D33" s="198">
        <v>1.9807692307692308</v>
      </c>
      <c r="E33" s="198">
        <v>1.9807692307692308</v>
      </c>
      <c r="F33" s="198">
        <v>0</v>
      </c>
      <c r="G33" s="215">
        <v>0</v>
      </c>
      <c r="H33" s="131"/>
    </row>
    <row r="34" spans="1:8" x14ac:dyDescent="0.25">
      <c r="A34" s="133"/>
      <c r="B34" s="204" t="str">
        <v>Triple glazing, Glazing glass, Pilkington Mirropane™ Chrome range (6/12/6/12/8.8) (Pilkington Group Limited) (Europe)</v>
      </c>
      <c r="C34" s="132" t="str">
        <v>kg</v>
      </c>
      <c r="D34" s="198">
        <v>1.9807692307692308</v>
      </c>
      <c r="E34" s="198">
        <v>1.9807692307692308</v>
      </c>
      <c r="F34" s="198">
        <v>0</v>
      </c>
      <c r="G34" s="215">
        <v>0</v>
      </c>
      <c r="H34" s="131"/>
    </row>
    <row r="35" spans="1:8" x14ac:dyDescent="0.25">
      <c r="A35" s="133"/>
      <c r="B35" s="204" t="str">
        <v>Triple glazing, Glazing glass, Pilkington Spandrel Glass Coated range (6/12/6/12/8.8) (Pilkington Group Limited) (Europe)</v>
      </c>
      <c r="C35" s="132" t="str">
        <v>kg</v>
      </c>
      <c r="D35" s="198">
        <v>1.9807692307692308</v>
      </c>
      <c r="E35" s="198">
        <v>1.9807692307692308</v>
      </c>
      <c r="F35" s="198">
        <v>0</v>
      </c>
      <c r="G35" s="215">
        <v>0</v>
      </c>
      <c r="H35" s="131"/>
    </row>
    <row r="36" spans="1:8" x14ac:dyDescent="0.25">
      <c r="A36" s="133"/>
      <c r="B36" s="204" t="str">
        <v>Triple glazing, Glazing glass, Pilkington Suncool Optilam™ range (6/12/6/12/8.8) (Pilkington Group Limited) (Europe)</v>
      </c>
      <c r="C36" s="132" t="str">
        <v>kg</v>
      </c>
      <c r="D36" s="198">
        <v>1.9807692307692308</v>
      </c>
      <c r="E36" s="198">
        <v>1.9807692307692308</v>
      </c>
      <c r="F36" s="198">
        <v>0</v>
      </c>
      <c r="G36" s="215">
        <v>0</v>
      </c>
      <c r="H36" s="131"/>
    </row>
    <row r="37" spans="1:8" x14ac:dyDescent="0.25">
      <c r="A37" s="133"/>
      <c r="B37" s="204" t="str">
        <v>Triple glazing, Glazing glass, Pilkington Optilam™ Therm range  (6/12/6/12/8.8) (Pilkington Group Limited) (Europe)</v>
      </c>
      <c r="C37" s="132" t="str">
        <v>kg</v>
      </c>
      <c r="D37" s="198">
        <v>1.9807692307692308</v>
      </c>
      <c r="E37" s="198">
        <v>1.9807692307692308</v>
      </c>
      <c r="F37" s="198">
        <v>0</v>
      </c>
      <c r="G37" s="215">
        <v>0</v>
      </c>
      <c r="H37" s="131"/>
    </row>
    <row r="38" spans="1:8" x14ac:dyDescent="0.25">
      <c r="A38" s="133"/>
      <c r="B38" s="204" t="str">
        <v>Triple glazing, Glazing glass, Pilkington Optilam K Glass™ S range  (6/12/6/12/8.8) (Pilkington Group Limited) (Europe)</v>
      </c>
      <c r="C38" s="132" t="str">
        <v>kg</v>
      </c>
      <c r="D38" s="198">
        <v>1.9807692307692308</v>
      </c>
      <c r="E38" s="198">
        <v>1.9807692307692308</v>
      </c>
      <c r="F38" s="198">
        <v>0</v>
      </c>
      <c r="G38" s="215">
        <v>0</v>
      </c>
      <c r="H38" s="131"/>
    </row>
    <row r="39" spans="1:8" x14ac:dyDescent="0.25">
      <c r="A39" s="133"/>
      <c r="B39" s="204" t="str">
        <v>Triple glazing, Glazing glass, Pilkington Mirropane Optilam™ Chrome (6/12/6/12/8.8) (Pilkington Group Limited) (Europe)</v>
      </c>
      <c r="C39" s="132" t="str">
        <v>kg</v>
      </c>
      <c r="D39" s="198">
        <v>1.9807692307692308</v>
      </c>
      <c r="E39" s="198">
        <v>1.9807692307692308</v>
      </c>
      <c r="F39" s="198">
        <v>0</v>
      </c>
      <c r="G39" s="215">
        <v>0</v>
      </c>
      <c r="H39" s="131"/>
    </row>
    <row r="40" spans="1:8" x14ac:dyDescent="0.25">
      <c r="A40" s="133"/>
      <c r="B40" s="204" t="str">
        <v>Triple glazing, Glazing glass, Pilkington Optifloat™ T (6/12/6/12/8.8) (Pilkington Group Limited) (Europe)</v>
      </c>
      <c r="C40" s="132" t="str">
        <v>kg</v>
      </c>
      <c r="D40" s="198">
        <v>1.9807692307692308</v>
      </c>
      <c r="E40" s="198">
        <v>1.9807692307692308</v>
      </c>
      <c r="F40" s="198">
        <v>0</v>
      </c>
      <c r="G40" s="215">
        <v>0</v>
      </c>
      <c r="H40" s="131"/>
    </row>
    <row r="41" spans="1:8" x14ac:dyDescent="0.25">
      <c r="A41" s="133"/>
      <c r="B41" s="204" t="str">
        <v>Triple glazing, Glazing glass, Pilkington Optiwhite™ T (6/12/6/12/8.8) (Pilkington Group Limited) (Europe)</v>
      </c>
      <c r="C41" s="132" t="str">
        <v>kg</v>
      </c>
      <c r="D41" s="198">
        <v>1.9807692307692308</v>
      </c>
      <c r="E41" s="198">
        <v>1.9807692307692308</v>
      </c>
      <c r="F41" s="198">
        <v>0</v>
      </c>
      <c r="G41" s="215">
        <v>0</v>
      </c>
      <c r="H41" s="131"/>
    </row>
    <row r="42" spans="1:8" x14ac:dyDescent="0.25">
      <c r="A42" s="133"/>
      <c r="B42" s="204" t="str">
        <v>Float Glass, Glazing glass, Average float glass 3mm thick (Asahi - India Glass Ltd) (Global)</v>
      </c>
      <c r="C42" s="132" t="str">
        <v>kg</v>
      </c>
      <c r="D42" s="198">
        <v>1.2893333333333332</v>
      </c>
      <c r="E42" s="198">
        <v>1.2893333333333332</v>
      </c>
      <c r="F42" s="198">
        <v>0</v>
      </c>
      <c r="G42" s="215">
        <v>0</v>
      </c>
      <c r="H42" s="131"/>
    </row>
    <row r="43" spans="1:8" x14ac:dyDescent="0.25">
      <c r="A43" s="133"/>
      <c r="B43" s="204" t="str">
        <v>Float Glass, Glazing glass, Average float glass 4mm thick (Asahi - India Glass Ltd) (Global)</v>
      </c>
      <c r="C43" s="132" t="str">
        <v>kg</v>
      </c>
      <c r="D43" s="198">
        <v>1.29</v>
      </c>
      <c r="E43" s="198">
        <v>1.29</v>
      </c>
      <c r="F43" s="198">
        <v>0</v>
      </c>
      <c r="G43" s="215">
        <v>0</v>
      </c>
      <c r="H43" s="131"/>
    </row>
    <row r="44" spans="1:8" x14ac:dyDescent="0.25">
      <c r="A44" s="133"/>
      <c r="B44" s="204" t="str">
        <v>Float Glass, Glazing glass, Average float glass 3.5mm thick (Asahi - India Glass Ltd) (Global)</v>
      </c>
      <c r="C44" s="132" t="str">
        <v>kg</v>
      </c>
      <c r="D44" s="198">
        <v>1.2914285714285716</v>
      </c>
      <c r="E44" s="198">
        <v>1.2914285714285716</v>
      </c>
      <c r="F44" s="198">
        <v>0</v>
      </c>
      <c r="G44" s="215">
        <v>0</v>
      </c>
      <c r="H44" s="131"/>
    </row>
    <row r="45" spans="1:8" x14ac:dyDescent="0.25">
      <c r="A45" s="133"/>
      <c r="B45" s="204" t="str">
        <v>Float Glass, Glazing glass, Average float glass 5mm thick (Asahi - India Glass Ltd) (Global)</v>
      </c>
      <c r="C45" s="132" t="str">
        <v>kg</v>
      </c>
      <c r="D45" s="198">
        <v>1.288</v>
      </c>
      <c r="E45" s="198">
        <v>1.288</v>
      </c>
      <c r="F45" s="198">
        <v>0</v>
      </c>
      <c r="G45" s="215">
        <v>0</v>
      </c>
      <c r="H45" s="131"/>
    </row>
    <row r="46" spans="1:8" x14ac:dyDescent="0.25">
      <c r="A46" s="133"/>
      <c r="B46" s="204" t="str">
        <v>Float Glass, Glazing glass, Average float glass 6mm thick (Asahi - India Glass Ltd) (Global)</v>
      </c>
      <c r="C46" s="132" t="str">
        <v>kg</v>
      </c>
      <c r="D46" s="198">
        <v>1.2866666666666666</v>
      </c>
      <c r="E46" s="198">
        <v>1.2866666666666666</v>
      </c>
      <c r="F46" s="198">
        <v>0</v>
      </c>
      <c r="G46" s="215">
        <v>0</v>
      </c>
      <c r="H46" s="131"/>
    </row>
    <row r="47" spans="1:8" x14ac:dyDescent="0.25">
      <c r="A47" s="133"/>
      <c r="B47" s="204" t="str">
        <v>Float Glass, Glazing glass, Average float glass 8mm thick (Asahi - India Glass Ltd) (Global)</v>
      </c>
      <c r="C47" s="132" t="str">
        <v>kg</v>
      </c>
      <c r="D47" s="198">
        <v>1.29</v>
      </c>
      <c r="E47" s="198">
        <v>1.29</v>
      </c>
      <c r="F47" s="198">
        <v>0</v>
      </c>
      <c r="G47" s="215">
        <v>0</v>
      </c>
      <c r="H47" s="131"/>
    </row>
    <row r="48" spans="1:8" x14ac:dyDescent="0.25">
      <c r="A48" s="133"/>
      <c r="B48" s="204" t="str">
        <v>Float Glass, Glazing glass, Average float glass 10mm thick (Asahi - India Glass Ltd) (Global)</v>
      </c>
      <c r="C48" s="132" t="str">
        <v>kg</v>
      </c>
      <c r="D48" s="198">
        <v>1.288</v>
      </c>
      <c r="E48" s="198">
        <v>1.288</v>
      </c>
      <c r="F48" s="198">
        <v>0</v>
      </c>
      <c r="G48" s="215">
        <v>0</v>
      </c>
      <c r="H48" s="131"/>
    </row>
    <row r="49" spans="1:8" x14ac:dyDescent="0.25">
      <c r="A49" s="133"/>
      <c r="B49" s="204" t="str">
        <v>Float Glass, Glazing glass, Average float glass 12mm thick (Asahi - India Glass Ltd) (Global)</v>
      </c>
      <c r="C49" s="132" t="str">
        <v>kg</v>
      </c>
      <c r="D49" s="198">
        <v>1.29</v>
      </c>
      <c r="E49" s="198">
        <v>1.29</v>
      </c>
      <c r="F49" s="198">
        <v>0</v>
      </c>
      <c r="G49" s="215">
        <v>0</v>
      </c>
      <c r="H49" s="131"/>
    </row>
    <row r="50" spans="1:8" x14ac:dyDescent="0.25">
      <c r="A50" s="133"/>
      <c r="B50" s="204" t="str">
        <v>Float Glass, Glazing glass, Laminated float glass 1mm (Pilkington Group Limited) (Global)</v>
      </c>
      <c r="C50" s="132" t="str">
        <v>kg</v>
      </c>
      <c r="D50" s="198">
        <v>1.468</v>
      </c>
      <c r="E50" s="198">
        <v>1.468</v>
      </c>
      <c r="F50" s="198">
        <v>0</v>
      </c>
      <c r="G50" s="215">
        <v>0</v>
      </c>
      <c r="H50" s="131"/>
    </row>
    <row r="51" spans="1:8" x14ac:dyDescent="0.25">
      <c r="A51" s="133"/>
      <c r="B51" s="204" t="str">
        <v>Float Glass, Glazing glass, Guardian glass wet coated glass (Guardian Glass) (North America)</v>
      </c>
      <c r="C51" s="132" t="str">
        <v>kg</v>
      </c>
      <c r="D51" s="198">
        <v>1.3699999999999999</v>
      </c>
      <c r="E51" s="198">
        <v>1.3699999999999999</v>
      </c>
      <c r="F51" s="198">
        <v>0</v>
      </c>
      <c r="G51" s="215">
        <v>0</v>
      </c>
      <c r="H51" s="131"/>
    </row>
    <row r="52" spans="1:8" x14ac:dyDescent="0.25">
      <c r="A52" s="133"/>
      <c r="B52" s="204" t="str">
        <v>Float Glass, Glazing glass, Guardian glass heat treated glass (Guardian Glass) (North America)</v>
      </c>
      <c r="C52" s="132" t="str">
        <v>kg</v>
      </c>
      <c r="D52" s="198">
        <v>1.3</v>
      </c>
      <c r="E52" s="198">
        <v>1.3</v>
      </c>
      <c r="F52" s="198">
        <v>0</v>
      </c>
      <c r="G52" s="215">
        <v>0</v>
      </c>
      <c r="H52" s="131"/>
    </row>
    <row r="53" spans="1:8" x14ac:dyDescent="0.25">
      <c r="A53" s="133"/>
      <c r="B53" s="204" t="str">
        <v>Float Glass, Glazing glass, Guardian glass processed glass AME &amp; I region (coated glass) (Guardian Glass) (Global)</v>
      </c>
      <c r="C53" s="132" t="str">
        <v>kg</v>
      </c>
      <c r="D53" s="198">
        <v>1.425</v>
      </c>
      <c r="E53" s="198">
        <v>1.425</v>
      </c>
      <c r="F53" s="198">
        <v>0</v>
      </c>
      <c r="G53" s="215">
        <v>0</v>
      </c>
      <c r="H53" s="131"/>
    </row>
    <row r="54" spans="1:8" x14ac:dyDescent="0.25">
      <c r="A54" s="133"/>
      <c r="B54" s="204" t="str">
        <v>Double glazing, Glazing glass, Climalit 4-16-4 (Saint-Gobain) (Global)</v>
      </c>
      <c r="C54" s="132" t="str">
        <v>kg</v>
      </c>
      <c r="D54" s="198">
        <v>1.5693999999999999</v>
      </c>
      <c r="E54" s="198">
        <v>1.5693999999999999</v>
      </c>
      <c r="F54" s="198">
        <v>0</v>
      </c>
      <c r="G54" s="215">
        <v>0</v>
      </c>
      <c r="H54" s="131"/>
    </row>
    <row r="55" spans="1:8" x14ac:dyDescent="0.25">
      <c r="A55" s="133"/>
      <c r="B55" s="204" t="str">
        <v>Double glazing, Glazing glass, Climalit 4-16-44.1 (Saint-Gobain) (Global)</v>
      </c>
      <c r="C55" s="132" t="str">
        <v>kg</v>
      </c>
      <c r="D55" s="198">
        <v>1.3460395480225986</v>
      </c>
      <c r="E55" s="198">
        <v>1.3460395480225986</v>
      </c>
      <c r="F55" s="198">
        <v>0</v>
      </c>
      <c r="G55" s="215">
        <v>0</v>
      </c>
      <c r="H55" s="131"/>
    </row>
    <row r="56" spans="1:8" x14ac:dyDescent="0.25">
      <c r="A56" s="133"/>
      <c r="B56" s="204" t="str">
        <v>Double glazing, Glazing glass, Climalit 4-16-33.1 (Saint-Gobain) (Global)</v>
      </c>
      <c r="C56" s="132" t="str">
        <v>kg</v>
      </c>
      <c r="D56" s="198">
        <v>1.6314645669291339</v>
      </c>
      <c r="E56" s="198">
        <v>1.6314645669291339</v>
      </c>
      <c r="F56" s="198">
        <v>0</v>
      </c>
      <c r="G56" s="215">
        <v>0</v>
      </c>
      <c r="H56" s="131"/>
    </row>
    <row r="57" spans="1:8" x14ac:dyDescent="0.25">
      <c r="A57" s="133"/>
      <c r="B57" s="204" t="str">
        <v>Double glazing, Glazing glass, Pilkington Suncool™ range  (4/16/6.8) (Pilkington Group Limited) (Europe)</v>
      </c>
      <c r="C57" s="132" t="str">
        <v>kg</v>
      </c>
      <c r="D57" s="198">
        <v>1.5354838709677421</v>
      </c>
      <c r="E57" s="198">
        <v>1.5354838709677421</v>
      </c>
      <c r="F57" s="198">
        <v>0</v>
      </c>
      <c r="G57" s="215">
        <v>0</v>
      </c>
      <c r="H57" s="131"/>
    </row>
    <row r="58" spans="1:8" x14ac:dyDescent="0.25">
      <c r="A58" s="133"/>
      <c r="B58" s="204" t="str">
        <v>Double glazing, Glazing glass, Pilkington Optitherm™ range  (4/16/6.8) (Pilkington Group Limited) (Europe)</v>
      </c>
      <c r="C58" s="132" t="str">
        <v>kg</v>
      </c>
      <c r="D58" s="198">
        <v>1.5354838709677421</v>
      </c>
      <c r="E58" s="198">
        <v>1.5354838709677421</v>
      </c>
      <c r="F58" s="198">
        <v>0</v>
      </c>
      <c r="G58" s="215">
        <v>0</v>
      </c>
      <c r="H58" s="131"/>
    </row>
    <row r="59" spans="1:8" x14ac:dyDescent="0.25">
      <c r="A59" s="133"/>
      <c r="B59" s="204" t="str">
        <v>Double glazing, Glazing glass, Pilkington K Glass™ S range  (4/16/6.8) (Pilkington Group Limited) (Europe)</v>
      </c>
      <c r="C59" s="132" t="str">
        <v>kg</v>
      </c>
      <c r="D59" s="198">
        <v>1.5354838709677421</v>
      </c>
      <c r="E59" s="198">
        <v>1.5354838709677421</v>
      </c>
      <c r="F59" s="198">
        <v>0</v>
      </c>
      <c r="G59" s="215">
        <v>0</v>
      </c>
      <c r="H59" s="131"/>
    </row>
    <row r="60" spans="1:8" x14ac:dyDescent="0.25">
      <c r="A60" s="133"/>
      <c r="B60" s="204" t="str">
        <v>Double glazing, Glazing glass, Pilkington Mirropane™ Chrome range  (4/16/6.8) (Pilkington Group Limited) (Europe)</v>
      </c>
      <c r="C60" s="132" t="str">
        <v>kg</v>
      </c>
      <c r="D60" s="198">
        <v>1.5354838709677421</v>
      </c>
      <c r="E60" s="198">
        <v>1.5354838709677421</v>
      </c>
      <c r="F60" s="198">
        <v>0</v>
      </c>
      <c r="G60" s="215">
        <v>0</v>
      </c>
      <c r="H60" s="131"/>
    </row>
    <row r="61" spans="1:8" x14ac:dyDescent="0.25">
      <c r="A61" s="133"/>
      <c r="B61" s="204" t="str">
        <v>Double glazing, Glazing glass, Pilkington Spandrel Glass Coated range  (4/16/6.8) (Pilkington Group Limited) (Europe)</v>
      </c>
      <c r="C61" s="132" t="str">
        <v>kg</v>
      </c>
      <c r="D61" s="198">
        <v>1.5354838709677421</v>
      </c>
      <c r="E61" s="198">
        <v>1.5354838709677421</v>
      </c>
      <c r="F61" s="198">
        <v>0</v>
      </c>
      <c r="G61" s="215">
        <v>0</v>
      </c>
      <c r="H61" s="131"/>
    </row>
    <row r="62" spans="1:8" x14ac:dyDescent="0.25">
      <c r="A62" s="133"/>
      <c r="B62" s="204" t="str">
        <v>Double glazing, Glazing glass, Pilkington Optifloat™ Clear and Tinted   (4/16/6.8) (Pilkington Group Limited) (Europe)</v>
      </c>
      <c r="C62" s="132" t="str">
        <v>kg</v>
      </c>
      <c r="D62" s="198">
        <v>1.5354838709677421</v>
      </c>
      <c r="E62" s="198">
        <v>1.5354838709677421</v>
      </c>
      <c r="F62" s="198">
        <v>0</v>
      </c>
      <c r="G62" s="215">
        <v>0</v>
      </c>
      <c r="H62" s="131"/>
    </row>
    <row r="63" spans="1:8" x14ac:dyDescent="0.25">
      <c r="A63" s="133"/>
      <c r="B63" s="204" t="str">
        <v>Float Glass, Glazing glass, Magnetron coated glass on SGG PLANILUX 6 mm (Saint-Gobain India Private Limited) (India)</v>
      </c>
      <c r="C63" s="132" t="str">
        <v>kg</v>
      </c>
      <c r="D63" s="198">
        <v>1.4033333333333333</v>
      </c>
      <c r="E63" s="198">
        <v>1.4033333333333333</v>
      </c>
      <c r="F63" s="198">
        <v>0</v>
      </c>
      <c r="G63" s="215">
        <v>0</v>
      </c>
      <c r="H63" s="131"/>
    </row>
    <row r="64" spans="1:8" x14ac:dyDescent="0.25">
      <c r="A64" s="133"/>
      <c r="B64" s="204" t="str">
        <v>Triple glazing, Glazing glass, Pilkington Suncool™ range  (4/12/4/12/4) (Pilkington Group Limited) (Europe)</v>
      </c>
      <c r="C64" s="132" t="str">
        <v>kg</v>
      </c>
      <c r="D64" s="198">
        <v>1.5433677419354837</v>
      </c>
      <c r="E64" s="198">
        <v>1.5433677419354837</v>
      </c>
      <c r="F64" s="198">
        <v>0</v>
      </c>
      <c r="G64" s="215">
        <v>0</v>
      </c>
      <c r="H64" s="131"/>
    </row>
    <row r="65" spans="1:8" x14ac:dyDescent="0.25">
      <c r="A65" s="133"/>
      <c r="B65" s="204" t="str">
        <v>Triple glazing, Glazing glass, Pilkington Optitherm™ range  (4/12/4/12/4) (Pilkington Group Limited) (Europe)</v>
      </c>
      <c r="C65" s="132" t="str">
        <v>kg</v>
      </c>
      <c r="D65" s="198">
        <v>1.5433677419354837</v>
      </c>
      <c r="E65" s="198">
        <v>1.5433677419354837</v>
      </c>
      <c r="F65" s="198">
        <v>0</v>
      </c>
      <c r="G65" s="215">
        <v>0</v>
      </c>
      <c r="H65" s="131"/>
    </row>
    <row r="66" spans="1:8" x14ac:dyDescent="0.25">
      <c r="A66" s="133"/>
      <c r="B66" s="204" t="str">
        <v>Triple glazing, Glazing glass, Pilkington K Glass™ S range  (4/12/4/12/4) (Pilkington Group Limited) (Europe)</v>
      </c>
      <c r="C66" s="132" t="str">
        <v>kg</v>
      </c>
      <c r="D66" s="198">
        <v>1.5433677419354837</v>
      </c>
      <c r="E66" s="198">
        <v>1.5433677419354837</v>
      </c>
      <c r="F66" s="198">
        <v>0</v>
      </c>
      <c r="G66" s="215">
        <v>0</v>
      </c>
      <c r="H66" s="131"/>
    </row>
    <row r="67" spans="1:8" x14ac:dyDescent="0.25">
      <c r="A67" s="133"/>
      <c r="B67" s="204" t="str">
        <v>Triple glazing, Glazing glass, Pilkington Mirropane™ Chrome range  (4/12/4/12/4) (Pilkington Group Limited) (Europe)</v>
      </c>
      <c r="C67" s="132" t="str">
        <v>kg</v>
      </c>
      <c r="D67" s="198">
        <v>1.5433677419354837</v>
      </c>
      <c r="E67" s="198">
        <v>1.5433677419354837</v>
      </c>
      <c r="F67" s="198">
        <v>0</v>
      </c>
      <c r="G67" s="215">
        <v>0</v>
      </c>
      <c r="H67" s="131"/>
    </row>
    <row r="68" spans="1:8" x14ac:dyDescent="0.25">
      <c r="A68" s="133"/>
      <c r="B68" s="204" t="str">
        <v>Triple glazing, Glazing glass, Pilkington Spandrel Glass Coated range  (4/12/4/12/4) (Pilkington Group Limited) (Europe)</v>
      </c>
      <c r="C68" s="132" t="str">
        <v>kg</v>
      </c>
      <c r="D68" s="198">
        <v>1.5433677419354837</v>
      </c>
      <c r="E68" s="198">
        <v>1.5433677419354837</v>
      </c>
      <c r="F68" s="198">
        <v>0</v>
      </c>
      <c r="G68" s="215">
        <v>0</v>
      </c>
      <c r="H68" s="131"/>
    </row>
    <row r="69" spans="1:8" x14ac:dyDescent="0.25">
      <c r="A69" s="133"/>
      <c r="B69" s="204" t="str">
        <v>Triple glazing, Glazing glass, Pilkington Optifloat™ Clear and Tinted  (4/12/4/12/4) (Pilkington Group Limited) (Europe)</v>
      </c>
      <c r="C69" s="132" t="str">
        <v>kg</v>
      </c>
      <c r="D69" s="198">
        <v>1.5433677419354837</v>
      </c>
      <c r="E69" s="198">
        <v>1.5433677419354837</v>
      </c>
      <c r="F69" s="198">
        <v>0</v>
      </c>
      <c r="G69" s="215">
        <v>0</v>
      </c>
      <c r="H69" s="131"/>
    </row>
    <row r="70" spans="1:8" x14ac:dyDescent="0.25">
      <c r="A70" s="133"/>
      <c r="B70" s="204" t="str">
        <v>Float Glass, Glazing glass, Magnetron coated glass On SGG PARSOL 4 mm (Saint-Gobain India Private Limited) (India)</v>
      </c>
      <c r="C70" s="132" t="str">
        <v>kg</v>
      </c>
      <c r="D70" s="198">
        <v>1.5741199999999997</v>
      </c>
      <c r="E70" s="198">
        <v>1.5741199999999997</v>
      </c>
      <c r="F70" s="198">
        <v>0</v>
      </c>
      <c r="G70" s="215">
        <v>0</v>
      </c>
      <c r="H70" s="131"/>
    </row>
    <row r="71" spans="1:8" x14ac:dyDescent="0.25">
      <c r="A71" s="133"/>
      <c r="B71" s="204" t="str">
        <v>Double glazing, Glazing glass, Pilkington Activ™ range (4/16/4) (Pilkington Group Limited) (Europe)</v>
      </c>
      <c r="C71" s="132" t="str">
        <v>kg</v>
      </c>
      <c r="D71" s="198">
        <v>1.8761904761904762</v>
      </c>
      <c r="E71" s="198">
        <v>1.8761904761904762</v>
      </c>
      <c r="F71" s="198">
        <v>0</v>
      </c>
      <c r="G71" s="215">
        <v>0</v>
      </c>
      <c r="H71" s="131"/>
    </row>
    <row r="72" spans="1:8" x14ac:dyDescent="0.25">
      <c r="A72" s="133"/>
      <c r="B72" s="204" t="str">
        <v>Double glazing, Glazing glass, Pilkington K Glass™ range  (4/16/4) (Pilkington Group Limited) (Europe)</v>
      </c>
      <c r="C72" s="132" t="str">
        <v>kg</v>
      </c>
      <c r="D72" s="198">
        <v>1.8761904761904762</v>
      </c>
      <c r="E72" s="198">
        <v>1.8761904761904762</v>
      </c>
      <c r="F72" s="198">
        <v>0</v>
      </c>
      <c r="G72" s="215">
        <v>0</v>
      </c>
      <c r="H72" s="131"/>
    </row>
    <row r="73" spans="1:8" x14ac:dyDescent="0.25">
      <c r="A73" s="133"/>
      <c r="B73" s="204" t="str">
        <v>Double glazing, Glazing glass, NSG TEC™ range  (4/16/4) (Pilkington Group Limited) (Europe)</v>
      </c>
      <c r="C73" s="132" t="str">
        <v>kg</v>
      </c>
      <c r="D73" s="198">
        <v>1.8761904761904762</v>
      </c>
      <c r="E73" s="198">
        <v>1.8761904761904762</v>
      </c>
      <c r="F73" s="198">
        <v>0</v>
      </c>
      <c r="G73" s="215">
        <v>0</v>
      </c>
      <c r="H73" s="131"/>
    </row>
    <row r="74" spans="1:8" x14ac:dyDescent="0.25">
      <c r="A74" s="133"/>
      <c r="B74" s="204" t="str">
        <v>Double glazing, Glazing glass, Pilkington OptiView™ range  (4/16/4) (Pilkington Group Limited) (Europe)</v>
      </c>
      <c r="C74" s="132" t="str">
        <v>kg</v>
      </c>
      <c r="D74" s="198">
        <v>1.8761904761904762</v>
      </c>
      <c r="E74" s="198">
        <v>1.8761904761904762</v>
      </c>
      <c r="F74" s="198">
        <v>0</v>
      </c>
      <c r="G74" s="215">
        <v>0</v>
      </c>
      <c r="H74" s="131"/>
    </row>
    <row r="75" spans="1:8" x14ac:dyDescent="0.25">
      <c r="A75" s="133"/>
      <c r="B75" s="204" t="str">
        <v>Double glazing, Glazing glass, Pilkington OptiShower™ range  (4/16/4) (Pilkington Group Limited) (Europe)</v>
      </c>
      <c r="C75" s="132" t="str">
        <v>kg</v>
      </c>
      <c r="D75" s="198">
        <v>1.8761904761904762</v>
      </c>
      <c r="E75" s="198">
        <v>1.8761904761904762</v>
      </c>
      <c r="F75" s="198">
        <v>0</v>
      </c>
      <c r="G75" s="215">
        <v>0</v>
      </c>
      <c r="H75" s="131"/>
    </row>
    <row r="76" spans="1:8" x14ac:dyDescent="0.25">
      <c r="A76" s="133"/>
      <c r="B76" s="204" t="str">
        <v>Double glazing, Glazing glass, Pilkington K Glass™ OW range  (4/16/4) (Pilkington Group Limited) (Europe)</v>
      </c>
      <c r="C76" s="132" t="str">
        <v>kg</v>
      </c>
      <c r="D76" s="198">
        <v>1.8761904761904762</v>
      </c>
      <c r="E76" s="198">
        <v>1.8761904761904762</v>
      </c>
      <c r="F76" s="198">
        <v>0</v>
      </c>
      <c r="G76" s="215">
        <v>0</v>
      </c>
      <c r="H76" s="131"/>
    </row>
    <row r="77" spans="1:8" x14ac:dyDescent="0.25">
      <c r="A77" s="133"/>
      <c r="B77" s="204" t="str">
        <v>Double glazing, Glazing glass, Pilkington OptiView™ OW range  (4/16/4) (Pilkington Group Limited) (Europe)</v>
      </c>
      <c r="C77" s="132" t="str">
        <v>kg</v>
      </c>
      <c r="D77" s="198">
        <v>1.8761904761904762</v>
      </c>
      <c r="E77" s="198">
        <v>1.8761904761904762</v>
      </c>
      <c r="F77" s="198">
        <v>0</v>
      </c>
      <c r="G77" s="215">
        <v>0</v>
      </c>
      <c r="H77" s="131"/>
    </row>
    <row r="78" spans="1:8" x14ac:dyDescent="0.25">
      <c r="A78" s="133"/>
      <c r="B78" s="204" t="str">
        <v>Double glazing, Glazing glass, Pilkington OptiShower™ OW range  (4/16/4) (Pilkington Group Limited) (Europe)</v>
      </c>
      <c r="C78" s="132" t="str">
        <v>kg</v>
      </c>
      <c r="D78" s="198">
        <v>1.8761904761904762</v>
      </c>
      <c r="E78" s="198">
        <v>1.8761904761904762</v>
      </c>
      <c r="F78" s="198">
        <v>0</v>
      </c>
      <c r="G78" s="215">
        <v>0</v>
      </c>
      <c r="H78" s="131"/>
    </row>
    <row r="79" spans="1:8" x14ac:dyDescent="0.25">
      <c r="A79" s="133"/>
      <c r="B79" s="204" t="str">
        <v>Double glazing, Glazing glass, Pilkington Anti-condensation Glass  (4/16/4) (Pilkington Group Limited) (Europe)</v>
      </c>
      <c r="C79" s="132" t="str">
        <v>kg</v>
      </c>
      <c r="D79" s="198">
        <v>1.8761904761904762</v>
      </c>
      <c r="E79" s="198">
        <v>1.8761904761904762</v>
      </c>
      <c r="F79" s="198">
        <v>0</v>
      </c>
      <c r="G79" s="215">
        <v>0</v>
      </c>
      <c r="H79" s="131"/>
    </row>
    <row r="80" spans="1:8" x14ac:dyDescent="0.25">
      <c r="A80" s="133"/>
      <c r="B80" s="204" t="str">
        <v>Double glazing, Glazing glass, Pilkington Optifloat™ Clear and Tinted   (4/16/4) (Pilkington Group Limited) (Europe)</v>
      </c>
      <c r="C80" s="132" t="str">
        <v>kg</v>
      </c>
      <c r="D80" s="198">
        <v>1.8761904761904762</v>
      </c>
      <c r="E80" s="198">
        <v>1.8761904761904762</v>
      </c>
      <c r="F80" s="198">
        <v>0</v>
      </c>
      <c r="G80" s="215">
        <v>0</v>
      </c>
      <c r="H80" s="131"/>
    </row>
    <row r="81" spans="1:9" x14ac:dyDescent="0.25">
      <c r="A81" s="133"/>
      <c r="B81" s="204" t="str">
        <v>Float Glass, Glazing glass, Magnetron coated glass on SGG PARSOL 6 mm (Saint-Gobain India Private Limited) (India)</v>
      </c>
      <c r="C81" s="132" t="str">
        <v>kg</v>
      </c>
      <c r="D81" s="198">
        <v>1.5047866666666667</v>
      </c>
      <c r="E81" s="198">
        <v>1.5047866666666667</v>
      </c>
      <c r="F81" s="198">
        <v>0</v>
      </c>
      <c r="G81" s="215">
        <v>0</v>
      </c>
      <c r="H81" s="131"/>
    </row>
    <row r="82" spans="1:9" x14ac:dyDescent="0.25">
      <c r="A82" s="133"/>
      <c r="B82" s="217" t="str">
        <v>Float Glass, Glazing glass, Magnetron coated glass on SGG PARSOL 8 mm (Saint-Gobain India Private Limited) (India)</v>
      </c>
      <c r="C82" s="218" t="str">
        <v>kg</v>
      </c>
      <c r="D82" s="219">
        <v>1.4701000000000002</v>
      </c>
      <c r="E82" s="219">
        <v>1.4701000000000002</v>
      </c>
      <c r="F82" s="219">
        <v>0</v>
      </c>
      <c r="G82" s="220">
        <v>0</v>
      </c>
      <c r="H82" s="131"/>
    </row>
    <row r="83" spans="1:9" x14ac:dyDescent="0.25">
      <c r="B83" s="130"/>
      <c r="C83" s="130"/>
      <c r="D83" s="207"/>
      <c r="E83" s="207"/>
      <c r="F83" s="207"/>
      <c r="G83" s="207"/>
    </row>
    <row r="90" spans="1:9" x14ac:dyDescent="0.25">
      <c r="I90" s="198"/>
    </row>
  </sheetData>
  <dataValidations disablePrompts="1" count="1">
    <dataValidation type="list" allowBlank="1" showInputMessage="1" showErrorMessage="1" sqref="B6:B9" xr:uid="{24BA5DD4-6A83-4123-AA76-4CE55A0F88A0}">
      <formula1>"Tier 1,Tier 2,Tier 3,Tier 4"</formula1>
    </dataValidation>
  </dataValidations>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4A8BE-44CE-47D4-9845-5748BBB850AA}">
  <sheetPr codeName="Sheet98">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Hybrid flooring</v>
      </c>
    </row>
    <row r="2" spans="1:8" ht="13" x14ac:dyDescent="0.25">
      <c r="A2" s="202"/>
      <c r="C2" s="202"/>
    </row>
    <row r="3" spans="1:8" ht="13" x14ac:dyDescent="0.3">
      <c r="A3" s="227" t="s">
        <v>5626</v>
      </c>
      <c r="B3" s="132" t="s">
        <v>5867</v>
      </c>
    </row>
    <row r="4" spans="1:8" ht="13" x14ac:dyDescent="0.25">
      <c r="A4" s="202"/>
    </row>
    <row r="5" spans="1:8" ht="92.25" customHeight="1" x14ac:dyDescent="0.3">
      <c r="A5" s="227" t="s">
        <v>5628</v>
      </c>
      <c r="B5" s="200" t="s">
        <v>5868</v>
      </c>
      <c r="D5" s="200"/>
      <c r="E5" s="271"/>
    </row>
    <row r="6" spans="1:8" ht="13" x14ac:dyDescent="0.3">
      <c r="A6" s="227" t="s">
        <v>5630</v>
      </c>
      <c r="B6" s="201" t="s">
        <v>74</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3804</v>
      </c>
      <c r="C16" s="316" t="s">
        <v>24</v>
      </c>
      <c r="D16" s="314" t="s">
        <v>146</v>
      </c>
      <c r="E16" s="315" t="s">
        <v>153</v>
      </c>
      <c r="F16" s="314" t="s">
        <v>147</v>
      </c>
      <c r="G16" s="314" t="s">
        <v>154</v>
      </c>
      <c r="H16" s="131"/>
    </row>
    <row r="17" spans="1:9" ht="13" x14ac:dyDescent="0.3">
      <c r="A17" s="133"/>
      <c r="B17" s="211"/>
      <c r="C17" s="212" t="s">
        <v>5636</v>
      </c>
      <c r="D17" s="196" t="str" cm="1">
        <f t="array" ref="D17">IF(AND(_xlfn.ANCHORARRAY(C23)=C23),C23,"Mixed")</f>
        <v>m²</v>
      </c>
      <c r="E17" s="196" t="s">
        <v>2774</v>
      </c>
      <c r="F17" s="196" t="str" cm="1">
        <f t="array" ref="F17">IF(AND(_xlfn.ANCHORARRAY(C23)=C23),C23,"Mixed")</f>
        <v>m²</v>
      </c>
      <c r="G17" s="213" t="s">
        <v>2774</v>
      </c>
      <c r="H17" s="131"/>
    </row>
    <row r="18" spans="1:9" s="200" customFormat="1" ht="13" x14ac:dyDescent="0.3">
      <c r="A18" s="221"/>
      <c r="B18" s="214"/>
      <c r="C18" s="202" t="s">
        <v>5637</v>
      </c>
      <c r="D18" s="198">
        <f>MAX(_xlfn.ANCHORARRAY(D23))</f>
        <v>13.032</v>
      </c>
      <c r="E18" s="198">
        <f t="shared" ref="E18:G18" si="0">MAX(_xlfn.ANCHORARRAY(E23))</f>
        <v>1.5153488372093022</v>
      </c>
      <c r="F18" s="198">
        <f t="shared" si="0"/>
        <v>0</v>
      </c>
      <c r="G18" s="215">
        <f t="shared" si="0"/>
        <v>0</v>
      </c>
      <c r="H18" s="131"/>
      <c r="I18" s="132"/>
    </row>
    <row r="19" spans="1:9" ht="13" x14ac:dyDescent="0.25">
      <c r="A19" s="133"/>
      <c r="B19" s="204"/>
      <c r="C19" s="202" t="s">
        <v>5638</v>
      </c>
      <c r="D19" s="198">
        <f>MIN(_xlfn.ANCHORARRAY(D23))</f>
        <v>13.032</v>
      </c>
      <c r="E19" s="198">
        <f t="shared" ref="E19:G19" si="1">MIN(_xlfn.ANCHORARRAY(E23))</f>
        <v>1.5153488372093022</v>
      </c>
      <c r="F19" s="198">
        <f t="shared" si="1"/>
        <v>0</v>
      </c>
      <c r="G19" s="215">
        <f t="shared" si="1"/>
        <v>0</v>
      </c>
      <c r="H19" s="131"/>
    </row>
    <row r="20" spans="1:9" ht="13" x14ac:dyDescent="0.25">
      <c r="A20" s="133"/>
      <c r="B20" s="204"/>
      <c r="C20" s="202" t="s">
        <v>5639</v>
      </c>
      <c r="D20" s="198">
        <f>AVERAGE(_xlfn.ANCHORARRAY(D23))</f>
        <v>13.032</v>
      </c>
      <c r="E20" s="198">
        <f t="shared" ref="E20:G20" si="2">AVERAGE(_xlfn.ANCHORARRAY(E23))</f>
        <v>1.5153488372093022</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17" t="str" cm="1">
        <f t="array" ref="B23">_xlfn.UNIQUE(_xlfn._xlws.FILTER('EPD List'!D:D,ISNUMBER(SEARCH(B16,'EPD List'!C:C)),0))</f>
        <v>Hybrid floor, , Maxwear (Golvabia) (Sweden)</v>
      </c>
      <c r="C23" s="218" t="str" cm="1">
        <f t="array" ref="C23">_xlfn.IFNA(INDEX('EPD List'!$A:$AB,MATCH(_xlfn.ANCHORARRAY(B23),'EPD List'!$D:$D,0),MATCH(C$16,'EPD List'!$7:$7,0)),"")</f>
        <v>m²</v>
      </c>
      <c r="D23" s="219" cm="1">
        <f t="array" ref="D23">_xlfn.IFNA(VALUE((INDEX('EPD List'!$A:$AD,MATCH(_xlfn.ANCHORARRAY($B23),'EPD List'!$D:$D,0),MATCH(D$16,'EPD List'!$7:$7,0)))),"")</f>
        <v>13.032</v>
      </c>
      <c r="E23" s="219" cm="1">
        <f t="array" ref="E23">IFERROR(VALUE((INDEX('EPD List'!$A:$AD,MATCH(_xlfn.ANCHORARRAY($B23),'EPD List'!$D:$D,0),MATCH(E$16,'EPD List'!$7:$7,0)))),"")</f>
        <v>1.5153488372093022</v>
      </c>
      <c r="F23" s="219" cm="1">
        <f t="array" ref="F23">_xlfn.IFNA(VALUE((INDEX('EPD List'!$A:$AD,MATCH(_xlfn.ANCHORARRAY($B23),'EPD List'!$D:$D,0),MATCH(F$16,'EPD List'!$7:$7,0)))),"")</f>
        <v>0</v>
      </c>
      <c r="G23" s="220" cm="1">
        <f t="array" ref="G23">IFERROR(VALUE((INDEX('EPD List'!$A:$AD,MATCH(_xlfn.ANCHORARRAY($B23),'EPD List'!$D:$D,0),MATCH(G$16,'EPD List'!$7:$7,0)))),"")</f>
        <v>0</v>
      </c>
      <c r="H23" s="131"/>
    </row>
    <row r="24" spans="1:9" x14ac:dyDescent="0.25">
      <c r="B24" s="130"/>
      <c r="C24" s="130"/>
      <c r="D24" s="207"/>
      <c r="E24" s="207"/>
      <c r="F24" s="207"/>
      <c r="G24" s="207"/>
    </row>
    <row r="90" spans="9:9" x14ac:dyDescent="0.25">
      <c r="I90" s="198"/>
    </row>
  </sheetData>
  <dataValidations count="1">
    <dataValidation type="list" allowBlank="1" showInputMessage="1" showErrorMessage="1" sqref="B6:B9" xr:uid="{5E30F37C-8A00-4406-B9BD-570A71020E41}">
      <formula1>"Tier 1,Tier 2,Tier 3,Tier 4"</formula1>
    </dataValidation>
  </dataValidations>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AC31-3850-43B8-84C3-42E5BAD5AB3B}">
  <sheetPr codeName="Sheet97">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Laminate flooring</v>
      </c>
    </row>
    <row r="2" spans="1:8" ht="13" x14ac:dyDescent="0.25">
      <c r="A2" s="202"/>
      <c r="C2" s="202"/>
    </row>
    <row r="3" spans="1:8" ht="13" x14ac:dyDescent="0.3">
      <c r="A3" s="227" t="s">
        <v>5626</v>
      </c>
      <c r="B3" s="132" t="s">
        <v>5869</v>
      </c>
    </row>
    <row r="4" spans="1:8" ht="13" x14ac:dyDescent="0.25">
      <c r="A4" s="202"/>
    </row>
    <row r="5" spans="1:8" ht="92.25" customHeight="1" x14ac:dyDescent="0.3">
      <c r="A5" s="227" t="s">
        <v>5628</v>
      </c>
      <c r="B5" s="200" t="s">
        <v>5870</v>
      </c>
      <c r="D5" s="200"/>
      <c r="E5" s="271"/>
    </row>
    <row r="6" spans="1:8" ht="13" x14ac:dyDescent="0.3">
      <c r="A6" s="227" t="s">
        <v>5630</v>
      </c>
      <c r="B6" s="201" t="s">
        <v>74</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3810</v>
      </c>
      <c r="C16" s="311" t="s">
        <v>24</v>
      </c>
      <c r="D16" s="208" t="s">
        <v>146</v>
      </c>
      <c r="E16" s="209" t="s">
        <v>153</v>
      </c>
      <c r="F16" s="208" t="s">
        <v>147</v>
      </c>
      <c r="G16" s="208" t="s">
        <v>154</v>
      </c>
      <c r="H16" s="131"/>
    </row>
    <row r="17" spans="1:9" ht="13" x14ac:dyDescent="0.3">
      <c r="A17" s="133"/>
      <c r="B17" s="317"/>
      <c r="C17" s="206" t="s">
        <v>5636</v>
      </c>
      <c r="D17" s="207" t="str" cm="1">
        <f t="array" ref="D17">IF(AND(_xlfn.ANCHORARRAY(C23)=C23),C23,"Mixed")</f>
        <v>m²</v>
      </c>
      <c r="E17" s="207" t="s">
        <v>2774</v>
      </c>
      <c r="F17" s="207" t="str" cm="1">
        <f t="array" ref="F17">IF(AND(_xlfn.ANCHORARRAY(C23)=C23),C23,"Mixed")</f>
        <v>m²</v>
      </c>
      <c r="G17" s="318" t="s">
        <v>2774</v>
      </c>
      <c r="H17" s="131"/>
    </row>
    <row r="18" spans="1:9" s="200" customFormat="1" ht="13" x14ac:dyDescent="0.3">
      <c r="A18" s="221"/>
      <c r="B18" s="214"/>
      <c r="C18" s="202" t="s">
        <v>5637</v>
      </c>
      <c r="D18" s="198">
        <f>MAX(_xlfn.ANCHORARRAY(D23))</f>
        <v>4.7433000000000005</v>
      </c>
      <c r="E18" s="198">
        <f t="shared" ref="E18:G18" si="0">MAX(_xlfn.ANCHORARRAY(E23))</f>
        <v>0.67858369098712457</v>
      </c>
      <c r="F18" s="198">
        <f t="shared" si="0"/>
        <v>0</v>
      </c>
      <c r="G18" s="215">
        <f t="shared" si="0"/>
        <v>0</v>
      </c>
      <c r="H18" s="131"/>
      <c r="I18" s="132"/>
    </row>
    <row r="19" spans="1:9" ht="13" x14ac:dyDescent="0.25">
      <c r="A19" s="133"/>
      <c r="B19" s="204"/>
      <c r="C19" s="202" t="s">
        <v>5638</v>
      </c>
      <c r="D19" s="198">
        <f>MIN(_xlfn.ANCHORARRAY(D23))</f>
        <v>2.66934</v>
      </c>
      <c r="E19" s="198">
        <f t="shared" ref="E19:G19" si="1">MIN(_xlfn.ANCHORARRAY(E23))</f>
        <v>0.38352586206896544</v>
      </c>
      <c r="F19" s="198">
        <f t="shared" si="1"/>
        <v>0</v>
      </c>
      <c r="G19" s="215">
        <f t="shared" si="1"/>
        <v>0</v>
      </c>
      <c r="H19" s="131"/>
    </row>
    <row r="20" spans="1:9" ht="13" x14ac:dyDescent="0.25">
      <c r="A20" s="133"/>
      <c r="B20" s="204"/>
      <c r="C20" s="202" t="s">
        <v>5639</v>
      </c>
      <c r="D20" s="198">
        <f>AVERAGE(_xlfn.ANCHORARRAY(D23))</f>
        <v>3.7063200000000003</v>
      </c>
      <c r="E20" s="198">
        <f t="shared" ref="E20:G20" si="2">AVERAGE(_xlfn.ANCHORARRAY(E23))</f>
        <v>0.531054776528045</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4">_xlfn.UNIQUE(_xlfn._xlws.FILTER('EPD List'!D:D,ISNUMBER(SEARCH(B16,'EPD List'!C:C)),0))</f>
        <v>Laminate floor, , Laminate flooring (Kronospan) (Turkey)</v>
      </c>
      <c r="C23" s="132" t="str" cm="1">
        <f t="array" ref="C23:C24">_xlfn.IFNA(INDEX('EPD List'!$A:$AB,MATCH(_xlfn.ANCHORARRAY(B23),'EPD List'!$D:$D,0),MATCH(C$16,'EPD List'!$7:$7,0)),"")</f>
        <v>m²</v>
      </c>
      <c r="D23" s="198" cm="1">
        <f t="array" ref="D23:D24">_xlfn.IFNA(VALUE((INDEX('EPD List'!$A:$AD,MATCH(_xlfn.ANCHORARRAY($B23),'EPD List'!$D:$D,0),MATCH(D$16,'EPD List'!$7:$7,0)))),"")</f>
        <v>2.66934</v>
      </c>
      <c r="E23" s="198" cm="1">
        <f t="array" ref="E23:E24">IFERROR(VALUE((INDEX('EPD List'!$A:$AD,MATCH(_xlfn.ANCHORARRAY($B23),'EPD List'!$D:$D,0),MATCH(E$16,'EPD List'!$7:$7,0)))),"")</f>
        <v>0.38352586206896544</v>
      </c>
      <c r="F23" s="198" cm="1">
        <f t="array" ref="F23:F24">_xlfn.IFNA(VALUE((INDEX('EPD List'!$A:$AD,MATCH(_xlfn.ANCHORARRAY($B23),'EPD List'!$D:$D,0),MATCH(F$16,'EPD List'!$7:$7,0)))),"")</f>
        <v>0</v>
      </c>
      <c r="G23" s="215" cm="1">
        <f t="array" ref="G23:G24">IFERROR(VALUE((INDEX('EPD List'!$A:$AD,MATCH(_xlfn.ANCHORARRAY($B23),'EPD List'!$D:$D,0),MATCH(G$16,'EPD List'!$7:$7,0)))),"")</f>
        <v>0</v>
      </c>
      <c r="H23" s="131"/>
    </row>
    <row r="24" spans="1:9" x14ac:dyDescent="0.25">
      <c r="A24" s="133"/>
      <c r="B24" s="217" t="str">
        <v>Laminate floor, , Laminate flooring (Peli Parke) (Global)</v>
      </c>
      <c r="C24" s="218" t="str">
        <v>m²</v>
      </c>
      <c r="D24" s="219">
        <v>4.7433000000000005</v>
      </c>
      <c r="E24" s="219">
        <v>0.67858369098712457</v>
      </c>
      <c r="F24" s="219">
        <v>0</v>
      </c>
      <c r="G24" s="220">
        <v>0</v>
      </c>
      <c r="H24" s="131"/>
    </row>
    <row r="25" spans="1:9" x14ac:dyDescent="0.25">
      <c r="B25" s="130"/>
      <c r="C25" s="130"/>
      <c r="D25" s="207"/>
      <c r="E25" s="207"/>
      <c r="F25" s="207"/>
      <c r="G25" s="207"/>
    </row>
    <row r="90" spans="9:9" x14ac:dyDescent="0.25">
      <c r="I90" s="198"/>
    </row>
  </sheetData>
  <dataValidations count="1">
    <dataValidation type="list" allowBlank="1" showInputMessage="1" showErrorMessage="1" sqref="B6:B9" xr:uid="{5545F1F7-7F5C-48C6-8182-CBDC8CF7065F}">
      <formula1>"Tier 1,Tier 2,Tier 3,Tier 4"</formula1>
    </dataValidation>
  </dataValidations>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C1731-98D0-4846-93DA-BEB48F30302D}">
  <sheetPr codeName="Sheet82">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Category 1, 2 for low rise buildings (&lt;4 floors)</v>
      </c>
    </row>
    <row r="2" spans="1:8" ht="13" x14ac:dyDescent="0.25">
      <c r="A2" s="202"/>
      <c r="C2" s="202"/>
    </row>
    <row r="3" spans="1:8" ht="25" x14ac:dyDescent="0.3">
      <c r="A3" s="227" t="s">
        <v>5626</v>
      </c>
      <c r="B3" s="143" t="s">
        <v>5871</v>
      </c>
    </row>
    <row r="4" spans="1:8" ht="13" x14ac:dyDescent="0.25">
      <c r="A4" s="202"/>
    </row>
    <row r="5" spans="1:8" ht="92.25" customHeight="1" x14ac:dyDescent="0.3">
      <c r="A5" s="227" t="s">
        <v>5628</v>
      </c>
      <c r="B5" s="200" t="s">
        <v>5872</v>
      </c>
      <c r="D5" s="200"/>
      <c r="E5" s="271"/>
    </row>
    <row r="6" spans="1:8" ht="13" x14ac:dyDescent="0.3">
      <c r="A6" s="227" t="s">
        <v>5630</v>
      </c>
      <c r="B6" s="132" t="s">
        <v>73</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3330</v>
      </c>
      <c r="C16" s="311" t="s">
        <v>24</v>
      </c>
      <c r="D16" s="208" t="s">
        <v>146</v>
      </c>
      <c r="E16" s="209" t="s">
        <v>153</v>
      </c>
      <c r="F16" s="208" t="s">
        <v>147</v>
      </c>
      <c r="G16" s="208" t="s">
        <v>154</v>
      </c>
      <c r="H16" s="131"/>
    </row>
    <row r="17" spans="1:9" ht="13" x14ac:dyDescent="0.3">
      <c r="A17" s="133"/>
      <c r="B17" s="317"/>
      <c r="C17" s="206" t="s">
        <v>5636</v>
      </c>
      <c r="D17" s="207" t="str" cm="1">
        <f t="array" ref="D17">IF(AND(_xlfn.ANCHORARRAY(C23)=C23),C23,"Mixed")</f>
        <v>#</v>
      </c>
      <c r="E17" s="207" t="s">
        <v>2774</v>
      </c>
      <c r="F17" s="207" t="str" cm="1">
        <f t="array" ref="F17">IF(AND(_xlfn.ANCHORARRAY(C23)=C23),C23,"Mixed")</f>
        <v>#</v>
      </c>
      <c r="G17" s="318" t="s">
        <v>2774</v>
      </c>
      <c r="H17" s="131"/>
    </row>
    <row r="18" spans="1:9" s="200" customFormat="1" ht="13" x14ac:dyDescent="0.3">
      <c r="A18" s="221"/>
      <c r="B18" s="214"/>
      <c r="C18" s="202" t="s">
        <v>5637</v>
      </c>
      <c r="D18" s="198">
        <f>MAX(_xlfn.ANCHORARRAY(D23))</f>
        <v>28801.149000000001</v>
      </c>
      <c r="E18" s="198">
        <f t="shared" ref="E18:G18" si="0">MAX(_xlfn.ANCHORARRAY(E23))</f>
        <v>0</v>
      </c>
      <c r="F18" s="198">
        <f t="shared" si="0"/>
        <v>0</v>
      </c>
      <c r="G18" s="215">
        <f t="shared" si="0"/>
        <v>0</v>
      </c>
      <c r="H18" s="131"/>
      <c r="I18" s="132"/>
    </row>
    <row r="19" spans="1:9" ht="13" x14ac:dyDescent="0.25">
      <c r="A19" s="133"/>
      <c r="B19" s="204"/>
      <c r="C19" s="202" t="s">
        <v>5638</v>
      </c>
      <c r="D19" s="198">
        <f>MIN(_xlfn.ANCHORARRAY(D23))</f>
        <v>4496.6500000000005</v>
      </c>
      <c r="E19" s="198">
        <f t="shared" ref="E19:G19" si="1">MIN(_xlfn.ANCHORARRAY(E23))</f>
        <v>0</v>
      </c>
      <c r="F19" s="198">
        <f t="shared" si="1"/>
        <v>0</v>
      </c>
      <c r="G19" s="215">
        <f t="shared" si="1"/>
        <v>0</v>
      </c>
      <c r="H19" s="131"/>
    </row>
    <row r="20" spans="1:9" ht="13" x14ac:dyDescent="0.25">
      <c r="A20" s="133"/>
      <c r="B20" s="204"/>
      <c r="C20" s="202" t="s">
        <v>5639</v>
      </c>
      <c r="D20" s="198">
        <f>AVERAGE(_xlfn.ANCHORARRAY(D23))</f>
        <v>14157.740250000001</v>
      </c>
      <c r="E20" s="198">
        <f t="shared" ref="E20:G20" si="2">AVERAGE(_xlfn.ANCHORARRAY(E23))</f>
        <v>0</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6">_xlfn.UNIQUE(_xlfn._xlws.FILTER('EPD List'!D:D,ISNUMBER(SEARCH(B16,'EPD List'!C:C)),0))</f>
        <v>Lift, , KONE Monospace 300 DX (Usage Cat. 1/2) (KONE) (Global)</v>
      </c>
      <c r="C23" s="132" t="str" cm="1">
        <f t="array" ref="C23:C26">_xlfn.IFNA(INDEX('EPD List'!$A:$AB,MATCH(_xlfn.ANCHORARRAY(B23),'EPD List'!$D:$D,0),MATCH(C$16,'EPD List'!$7:$7,0)),"")</f>
        <v>#</v>
      </c>
      <c r="D23" s="198" cm="1">
        <f t="array" ref="D23:D26">_xlfn.IFNA(VALUE((INDEX('EPD List'!$A:$AD,MATCH(_xlfn.ANCHORARRAY($B23),'EPD List'!$D:$D,0),MATCH(D$16,'EPD List'!$7:$7,0)))),"")</f>
        <v>16456.740000000002</v>
      </c>
      <c r="E23" s="198" cm="1">
        <f t="array" ref="E23:E26">IFERROR(VALUE((INDEX('EPD List'!$A:$AD,MATCH(_xlfn.ANCHORARRAY($B23),'EPD List'!$D:$D,0),MATCH(E$16,'EPD List'!$7:$7,0)))),"")</f>
        <v>0</v>
      </c>
      <c r="F23" s="198" cm="1">
        <f t="array" ref="F23:F26">_xlfn.IFNA(VALUE((INDEX('EPD List'!$A:$AD,MATCH(_xlfn.ANCHORARRAY($B23),'EPD List'!$D:$D,0),MATCH(F$16,'EPD List'!$7:$7,0)))),"")</f>
        <v>0</v>
      </c>
      <c r="G23" s="215" cm="1">
        <f t="array" ref="G23:G26">IFERROR(VALUE((INDEX('EPD List'!$A:$AD,MATCH(_xlfn.ANCHORARRAY($B23),'EPD List'!$D:$D,0),MATCH(G$16,'EPD List'!$7:$7,0)))),"")</f>
        <v>0</v>
      </c>
      <c r="H23" s="131"/>
    </row>
    <row r="24" spans="1:9" x14ac:dyDescent="0.25">
      <c r="A24" s="133"/>
      <c r="B24" s="204" t="str">
        <v>Lift, , TK Elevator (Usage Cat. 1/2) (TK Elevator GmbH) (Europe)</v>
      </c>
      <c r="C24" s="132" t="str">
        <v>#</v>
      </c>
      <c r="D24" s="198">
        <v>4496.6500000000005</v>
      </c>
      <c r="E24" s="198">
        <v>0</v>
      </c>
      <c r="F24" s="198">
        <v>0</v>
      </c>
      <c r="G24" s="215">
        <v>0</v>
      </c>
      <c r="H24" s="131"/>
    </row>
    <row r="25" spans="1:9" x14ac:dyDescent="0.25">
      <c r="A25" s="133"/>
      <c r="B25" s="204" t="str">
        <v>Lift, , KONE Monospace 500 DX (Usage Cat. 1/2) (KONE) (Global)</v>
      </c>
      <c r="C25" s="132" t="str">
        <v>#</v>
      </c>
      <c r="D25" s="198">
        <v>28801.149000000001</v>
      </c>
      <c r="E25" s="198">
        <v>0</v>
      </c>
      <c r="F25" s="198">
        <v>0</v>
      </c>
      <c r="G25" s="215">
        <v>0</v>
      </c>
      <c r="H25" s="131"/>
    </row>
    <row r="26" spans="1:9" x14ac:dyDescent="0.25">
      <c r="A26" s="133"/>
      <c r="B26" s="217" t="str">
        <v>Lift, , OTIS GEN2 LIFE (Usage Cat. 1/2) (OTIS) (Europe)</v>
      </c>
      <c r="C26" s="218" t="str">
        <v>#</v>
      </c>
      <c r="D26" s="219">
        <v>6876.4219999999996</v>
      </c>
      <c r="E26" s="219">
        <v>0</v>
      </c>
      <c r="F26" s="219">
        <v>0</v>
      </c>
      <c r="G26" s="220">
        <v>0</v>
      </c>
      <c r="H26" s="131"/>
    </row>
    <row r="27" spans="1:9" x14ac:dyDescent="0.25">
      <c r="B27" s="130"/>
      <c r="C27" s="130"/>
      <c r="D27" s="207"/>
      <c r="E27" s="207"/>
      <c r="F27" s="207"/>
      <c r="G27" s="207"/>
    </row>
    <row r="90" spans="9:9" x14ac:dyDescent="0.25">
      <c r="I90" s="198"/>
    </row>
  </sheetData>
  <dataValidations count="1">
    <dataValidation type="list" allowBlank="1" showInputMessage="1" showErrorMessage="1" sqref="B6:B9" xr:uid="{A1B78B3A-09AD-484A-97DB-35663A2A5D27}">
      <formula1>"Tier 1,Tier 2,Tier 3,Tier 4"</formula1>
    </dataValidation>
  </dataValidation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4BC0F-4A5A-46EA-B5AA-247112EEBE52}">
  <sheetPr codeName="Sheet86">
    <tabColor theme="0"/>
  </sheetPr>
  <dimension ref="A1:AC131"/>
  <sheetViews>
    <sheetView topLeftCell="D1" zoomScale="80" zoomScaleNormal="80" workbookViewId="0">
      <selection activeCell="E30" sqref="E30"/>
    </sheetView>
  </sheetViews>
  <sheetFormatPr defaultColWidth="9.1796875" defaultRowHeight="12.5" x14ac:dyDescent="0.25"/>
  <cols>
    <col min="1" max="1" width="20.7265625" customWidth="1"/>
    <col min="2" max="2" width="35.7265625" customWidth="1"/>
    <col min="3" max="3" width="27.7265625" bestFit="1" customWidth="1"/>
    <col min="4" max="4" width="60.7265625" style="18" customWidth="1"/>
    <col min="5" max="5" width="27.7265625" customWidth="1"/>
    <col min="6" max="6" width="12.7265625" customWidth="1"/>
    <col min="7" max="7" width="10.7265625" customWidth="1"/>
    <col min="8" max="8" width="16.26953125" bestFit="1" customWidth="1"/>
    <col min="9" max="9" width="11.81640625" bestFit="1" customWidth="1"/>
    <col min="10" max="10" width="10.81640625" bestFit="1" customWidth="1"/>
    <col min="11" max="11" width="11.81640625" bestFit="1" customWidth="1"/>
    <col min="12" max="12" width="13.453125" customWidth="1"/>
    <col min="13" max="13" width="13.1796875" bestFit="1" customWidth="1"/>
    <col min="14" max="15" width="10" bestFit="1" customWidth="1"/>
    <col min="16" max="16" width="9.54296875" style="37" bestFit="1" customWidth="1"/>
    <col min="17" max="18" width="13.1796875" style="37" bestFit="1" customWidth="1"/>
    <col min="19" max="19" width="4.7265625" customWidth="1"/>
    <col min="20" max="21" width="20" customWidth="1"/>
    <col min="22" max="23" width="17.26953125" customWidth="1"/>
    <col min="24" max="24" width="3.81640625" customWidth="1"/>
    <col min="25" max="26" width="14.453125" customWidth="1"/>
    <col min="27" max="27" width="86.453125" style="18" customWidth="1"/>
    <col min="28" max="28" width="14.453125" customWidth="1"/>
  </cols>
  <sheetData>
    <row r="1" spans="1:29" ht="15.75" customHeight="1" x14ac:dyDescent="0.25">
      <c r="B1" s="18"/>
      <c r="C1" s="18"/>
      <c r="E1" s="18"/>
      <c r="F1" s="18"/>
      <c r="G1" s="18"/>
      <c r="H1" s="18"/>
      <c r="I1" s="18"/>
      <c r="J1" s="18"/>
      <c r="K1" s="18"/>
      <c r="L1" s="18"/>
      <c r="M1" s="18"/>
      <c r="N1" s="18"/>
      <c r="O1" s="18"/>
      <c r="P1" s="18"/>
      <c r="Q1" s="38"/>
      <c r="R1" s="38"/>
      <c r="S1" s="18"/>
      <c r="T1" s="18"/>
      <c r="U1" s="18"/>
      <c r="V1" s="18"/>
      <c r="W1" s="18"/>
      <c r="X1" s="18"/>
      <c r="Y1" s="18"/>
      <c r="Z1" s="18"/>
      <c r="AB1" s="18"/>
    </row>
    <row r="2" spans="1:29" ht="15.75" customHeight="1" x14ac:dyDescent="0.25">
      <c r="B2" s="28"/>
      <c r="C2" s="28"/>
      <c r="D2" s="28"/>
      <c r="E2" s="28"/>
      <c r="F2" s="13"/>
      <c r="G2" s="13"/>
      <c r="H2" s="13"/>
      <c r="I2" s="433" t="s">
        <v>5430</v>
      </c>
      <c r="J2" s="434"/>
      <c r="K2" s="434"/>
      <c r="L2" s="434"/>
      <c r="M2" s="434"/>
      <c r="N2" s="434"/>
      <c r="O2" s="434"/>
      <c r="P2" s="434"/>
      <c r="Q2" s="434"/>
      <c r="R2" s="434"/>
      <c r="S2" s="434"/>
      <c r="T2" s="434"/>
      <c r="U2" s="434"/>
      <c r="V2" s="434"/>
      <c r="W2" s="434"/>
      <c r="X2" s="434"/>
      <c r="Y2" s="434"/>
      <c r="Z2" s="434"/>
      <c r="AA2" s="434"/>
      <c r="AB2" s="435"/>
    </row>
    <row r="3" spans="1:29" ht="30" customHeight="1" x14ac:dyDescent="0.25">
      <c r="I3" s="436" t="s">
        <v>77</v>
      </c>
      <c r="J3" s="437"/>
      <c r="K3" s="437"/>
      <c r="L3" s="437"/>
      <c r="M3" s="437"/>
      <c r="N3" s="437"/>
      <c r="O3" s="437"/>
      <c r="P3" s="437"/>
      <c r="Q3" s="437"/>
      <c r="R3" s="438"/>
      <c r="S3" s="34"/>
      <c r="T3" s="436" t="s">
        <v>5424</v>
      </c>
      <c r="U3" s="437"/>
      <c r="V3" s="437"/>
      <c r="W3" s="438"/>
      <c r="X3" s="18"/>
      <c r="Y3" s="436" t="s">
        <v>5431</v>
      </c>
      <c r="Z3" s="437"/>
      <c r="AA3" s="437"/>
      <c r="AB3" s="438"/>
    </row>
    <row r="4" spans="1:29" ht="15.75" customHeight="1" x14ac:dyDescent="0.25">
      <c r="I4" s="436" t="s">
        <v>5432</v>
      </c>
      <c r="J4" s="437"/>
      <c r="K4" s="437"/>
      <c r="L4" s="437"/>
      <c r="M4" s="438"/>
      <c r="N4" s="437" t="s">
        <v>5433</v>
      </c>
      <c r="O4" s="437"/>
      <c r="P4" s="437"/>
      <c r="Q4" s="437"/>
      <c r="R4" s="438"/>
      <c r="S4" s="34"/>
      <c r="T4" s="436" t="s">
        <v>5432</v>
      </c>
      <c r="U4" s="437"/>
      <c r="V4" s="436" t="s">
        <v>5433</v>
      </c>
      <c r="W4" s="438"/>
      <c r="X4" s="34"/>
      <c r="Y4" s="21"/>
      <c r="AB4" s="22"/>
    </row>
    <row r="5" spans="1:29" ht="45" customHeight="1" x14ac:dyDescent="0.25">
      <c r="A5" s="88" t="s">
        <v>5434</v>
      </c>
      <c r="B5" s="89" t="s">
        <v>5435</v>
      </c>
      <c r="C5" s="89" t="s">
        <v>5436</v>
      </c>
      <c r="D5" s="90" t="s">
        <v>5437</v>
      </c>
      <c r="E5" s="89" t="s">
        <v>5438</v>
      </c>
      <c r="F5" s="90" t="s">
        <v>24</v>
      </c>
      <c r="G5" s="90" t="s">
        <v>26</v>
      </c>
      <c r="H5" s="91" t="s">
        <v>28</v>
      </c>
      <c r="I5" s="92" t="s">
        <v>32</v>
      </c>
      <c r="J5" s="93" t="s">
        <v>34</v>
      </c>
      <c r="K5" s="93" t="s">
        <v>36</v>
      </c>
      <c r="L5" s="94" t="s">
        <v>5439</v>
      </c>
      <c r="M5" s="91" t="s">
        <v>30</v>
      </c>
      <c r="N5" s="92" t="s">
        <v>32</v>
      </c>
      <c r="O5" s="93" t="s">
        <v>34</v>
      </c>
      <c r="P5" s="93" t="s">
        <v>36</v>
      </c>
      <c r="Q5" s="95" t="s">
        <v>5439</v>
      </c>
      <c r="R5" s="96" t="s">
        <v>30</v>
      </c>
      <c r="S5" s="8"/>
      <c r="T5" s="118" t="s">
        <v>32</v>
      </c>
      <c r="U5" s="119" t="s">
        <v>36</v>
      </c>
      <c r="V5" s="118" t="s">
        <v>32</v>
      </c>
      <c r="W5" s="120" t="s">
        <v>36</v>
      </c>
      <c r="X5" s="8"/>
      <c r="Y5" s="92" t="s">
        <v>5440</v>
      </c>
      <c r="Z5" s="90" t="s">
        <v>5441</v>
      </c>
      <c r="AA5" s="90" t="s">
        <v>5442</v>
      </c>
      <c r="AB5" s="117" t="s">
        <v>5443</v>
      </c>
    </row>
    <row r="6" spans="1:29" s="10" customFormat="1" ht="120" customHeight="1" x14ac:dyDescent="0.25">
      <c r="A6" s="10" t="s">
        <v>5444</v>
      </c>
      <c r="B6" s="10" t="s">
        <v>5445</v>
      </c>
      <c r="C6" s="10" t="s">
        <v>5446</v>
      </c>
      <c r="D6" s="10" t="s">
        <v>96</v>
      </c>
      <c r="E6" s="10" t="s">
        <v>5446</v>
      </c>
      <c r="F6" s="10" t="s">
        <v>24</v>
      </c>
      <c r="G6" s="10" t="s">
        <v>26</v>
      </c>
      <c r="H6" s="10" t="s">
        <v>28</v>
      </c>
      <c r="I6" s="122" t="s">
        <v>5447</v>
      </c>
      <c r="J6" s="121" t="s">
        <v>5448</v>
      </c>
      <c r="K6" s="121" t="s">
        <v>5449</v>
      </c>
      <c r="L6" s="125" t="s">
        <v>5450</v>
      </c>
      <c r="M6" s="122" t="s">
        <v>5451</v>
      </c>
      <c r="N6" s="122" t="s">
        <v>5452</v>
      </c>
      <c r="O6" s="121" t="s">
        <v>5453</v>
      </c>
      <c r="P6" s="123" t="s">
        <v>5454</v>
      </c>
      <c r="Q6" s="124" t="s">
        <v>5455</v>
      </c>
      <c r="R6" s="126" t="s">
        <v>5456</v>
      </c>
      <c r="S6" s="97"/>
      <c r="T6" s="122" t="s">
        <v>5457</v>
      </c>
      <c r="U6" s="121" t="s">
        <v>5458</v>
      </c>
      <c r="V6" s="122" t="s">
        <v>5459</v>
      </c>
      <c r="W6" s="123" t="s">
        <v>5460</v>
      </c>
      <c r="X6" s="97"/>
      <c r="Y6" s="127" t="s">
        <v>5461</v>
      </c>
      <c r="Z6" s="128" t="s">
        <v>5441</v>
      </c>
      <c r="AA6" s="115" t="s">
        <v>5446</v>
      </c>
      <c r="AB6" s="115" t="s">
        <v>5462</v>
      </c>
      <c r="AC6" s="116"/>
    </row>
    <row r="7" spans="1:29" ht="45" customHeight="1" x14ac:dyDescent="0.25">
      <c r="A7" s="31" t="s">
        <v>5463</v>
      </c>
      <c r="B7" s="31" t="s">
        <v>2763</v>
      </c>
      <c r="C7" s="30" t="s">
        <v>5464</v>
      </c>
      <c r="D7" s="31" t="str" cm="1">
        <f t="array" aca="1" ref="D7" ca="1">INDIRECT(""&amp;$C7&amp;"!R"&amp;D$130&amp;"C"&amp;D$131,FALSE)</f>
        <v xml:space="preserve">Any concrete mix with a strength rating of 10 MPa or lower. </v>
      </c>
      <c r="E7" s="39" t="str">
        <f t="shared" ref="E7:E38" si="0">HYPERLINK("#"&amp;C7&amp;"!A1",C7)</f>
        <v>Concrete_10MPa</v>
      </c>
      <c r="F7" s="30" t="str" cm="1">
        <f t="array" aca="1" ref="F7" ca="1">INDIRECT(""&amp;$C7&amp;"!R"&amp;F$130&amp;"C"&amp;F$131,FALSE)</f>
        <v>m³</v>
      </c>
      <c r="G7" s="30" t="str" cm="1">
        <f t="array" aca="1" ref="G7" ca="1">INDIRECT(""&amp;$C7&amp;"!R"&amp;G$130&amp;"C"&amp;G$131,FALSE)</f>
        <v>Tier 3</v>
      </c>
      <c r="H7" s="32">
        <f ca="1">INDEX(Methodology!$B$26:$D$31,MATCH('EF Table_detail'!$G7,Methodology!$B$26:$B$31,0),MATCH('EF Table_detail'!$H$5,Methodology!$B$26:$D$26,0))</f>
        <v>1.1000000000000001</v>
      </c>
      <c r="I7" s="98" cm="1">
        <f t="array" aca="1" ref="I7" ca="1">INDIRECT(""&amp;$C7&amp;"!R"&amp;I$130&amp;"C"&amp;I$131,FALSE)</f>
        <v>248.18700000000001</v>
      </c>
      <c r="J7" s="99" cm="1">
        <f t="array" aca="1" ref="J7" ca="1">INDIRECT(""&amp;$C7&amp;"!R"&amp;J$130&amp;"C"&amp;J$131,FALSE)</f>
        <v>141.56505999999999</v>
      </c>
      <c r="K7" s="100" cm="1">
        <f t="array" aca="1" ref="K7" ca="1">INDIRECT(""&amp;$C7&amp;"!R"&amp;K$130&amp;"C"&amp;K$131,FALSE)</f>
        <v>181.26921999999999</v>
      </c>
      <c r="L7" s="101">
        <f ca="1">$K7*(1+INDEX(Methodology!$B$26:$E$31,MATCH($G7,Methodology!$B$26:$B$31,0),MATCH(M$5,Methodology!$B$26:$E$26,0)))</f>
        <v>199.396142</v>
      </c>
      <c r="M7" s="102">
        <f ca="1">$I7*(1+INDEX(Methodology!$B$26:$E$31,MATCH($G7,Methodology!$B$26:$B$31,0),MATCH(M$5,Methodology!$B$26:$E$26,0)))</f>
        <v>273.00570000000005</v>
      </c>
      <c r="N7" s="99" cm="1">
        <f t="array" aca="1" ref="N7" ca="1">INDIRECT(""&amp;$C7&amp;"!R"&amp;N$130&amp;"C"&amp;N$131,FALSE)</f>
        <v>0.10341125</v>
      </c>
      <c r="O7" s="99" cm="1">
        <f t="array" aca="1" ref="O7" ca="1">INDIRECT(""&amp;$C7&amp;"!R"&amp;O$130&amp;"C"&amp;O$131,FALSE)</f>
        <v>5.8985441666666666E-2</v>
      </c>
      <c r="P7" s="100" cm="1">
        <f t="array" aca="1" ref="P7" ca="1">INDIRECT(""&amp;$C7&amp;"!R"&amp;P$130&amp;"C"&amp;P$131,FALSE)</f>
        <v>7.5528841666666666E-2</v>
      </c>
      <c r="Q7" s="101">
        <f ca="1">$P7*(1+INDEX(Methodology!$B$26:$E$31,MATCH($G7,Methodology!$B$26:$B$31,0),MATCH(R$5,Methodology!$B$26:$E$26,0)))</f>
        <v>8.3081725833333342E-2</v>
      </c>
      <c r="R7" s="102">
        <f ca="1">$N7*(1+INDEX(Methodology!$B$26:$E$31,MATCH($G7,Methodology!$B$26:$B$31,0),MATCH(R$5,Methodology!$B$26:$E$26,0)))</f>
        <v>0.113752375</v>
      </c>
      <c r="S7" s="103"/>
      <c r="T7" s="104" cm="1">
        <f t="array" aca="1" ref="T7" ca="1">INDIRECT(""&amp;$C7&amp;"!R"&amp;T$130&amp;"C"&amp;T$131,FALSE)</f>
        <v>0</v>
      </c>
      <c r="U7" s="105" cm="1">
        <f t="array" aca="1" ref="U7" ca="1">INDIRECT(""&amp;$C7&amp;"!R"&amp;U$130&amp;"C"&amp;U$131,FALSE)</f>
        <v>0</v>
      </c>
      <c r="V7" s="104" cm="1">
        <f t="array" aca="1" ref="V7" ca="1">INDIRECT(""&amp;$C7&amp;"!R"&amp;V$130&amp;"C"&amp;V$131,FALSE)</f>
        <v>0</v>
      </c>
      <c r="W7" s="106" cm="1">
        <f t="array" aca="1" ref="W7" ca="1">INDIRECT(""&amp;$C7&amp;"!R"&amp;W$130&amp;"C"&amp;W$131,FALSE)</f>
        <v>0</v>
      </c>
      <c r="X7" s="103"/>
      <c r="Y7" s="104">
        <f t="shared" ref="Y7:Y31" ca="1" si="1">IFERROR(K7/P7,"")</f>
        <v>2400</v>
      </c>
      <c r="Z7" s="29" t="str">
        <f t="shared" ref="Z7:Z31" ca="1" si="2">"kg/"&amp;F7</f>
        <v>kg/m³</v>
      </c>
      <c r="AA7" s="35" t="str" cm="1">
        <f t="array" aca="1" ref="AA7" ca="1">IF(INDIRECT(""&amp;$C7&amp;"!R"&amp;AA$130&amp;"C"&amp;AA$131,FALSE)=0,"",INDIRECT(""&amp;$C7&amp;"!R"&amp;AA$130&amp;"C"&amp;AA$131,FALSE))</f>
        <v/>
      </c>
      <c r="AB7" s="36" t="str" cm="1">
        <f t="array" aca="1" ref="AB7" ca="1">IFERROR(IF(INDIRECT(""&amp;$C7&amp;"!R"&amp;AB$130&amp;"C"&amp;AB$131,FALSE)="Average (weighted)","Yes","No"),"")</f>
        <v>No</v>
      </c>
    </row>
    <row r="8" spans="1:29" ht="45" customHeight="1" x14ac:dyDescent="0.25">
      <c r="A8" s="9" t="s">
        <v>5463</v>
      </c>
      <c r="B8" s="9" t="s">
        <v>158</v>
      </c>
      <c r="C8" s="14" t="s">
        <v>5465</v>
      </c>
      <c r="D8" s="31" t="str" cm="1">
        <f t="array" aca="1" ref="D8" ca="1">INDIRECT(""&amp;$C8&amp;"!R"&amp;D$130&amp;"C"&amp;D$131,FALSE)</f>
        <v>Any concrete mix with a strength rating of 20 MPa or lower, and greater than 10MPa.</v>
      </c>
      <c r="E8" s="39" t="str">
        <f t="shared" si="0"/>
        <v>Concrete_20MPa</v>
      </c>
      <c r="F8" s="14" t="str" cm="1">
        <f t="array" aca="1" ref="F8" ca="1">INDIRECT(""&amp;$C8&amp;"!R"&amp;F$130&amp;"C"&amp;F$131,FALSE)</f>
        <v>m³</v>
      </c>
      <c r="G8" s="14" t="str" cm="1">
        <f t="array" aca="1" ref="G8" ca="1">INDIRECT(""&amp;$C8&amp;"!R"&amp;G$130&amp;"C"&amp;G$131,FALSE)</f>
        <v>Tier 1</v>
      </c>
      <c r="H8" s="32">
        <f ca="1">INDEX(Methodology!$B$26:$D$31,MATCH('EF Table_detail'!$G8,Methodology!$B$26:$B$31,0),MATCH('EF Table_detail'!$H$5,Methodology!$B$26:$D$26,0))</f>
        <v>1.02</v>
      </c>
      <c r="I8" s="98" cm="1">
        <f t="array" aca="1" ref="I8" ca="1">INDIRECT(""&amp;$C8&amp;"!R"&amp;I$130&amp;"C"&amp;I$131,FALSE)</f>
        <v>364.12599999999998</v>
      </c>
      <c r="J8" s="99" cm="1">
        <f t="array" aca="1" ref="J8" ca="1">INDIRECT(""&amp;$C8&amp;"!R"&amp;J$130&amp;"C"&amp;J$131,FALSE)</f>
        <v>136.11000000000001</v>
      </c>
      <c r="K8" s="100" cm="1">
        <f t="array" aca="1" ref="K8" ca="1">INDIRECT(""&amp;$C8&amp;"!R"&amp;K$130&amp;"C"&amp;K$131,FALSE)</f>
        <v>200.53203081915123</v>
      </c>
      <c r="L8" s="101">
        <f ca="1">$K8*(1+INDEX(Methodology!$B$26:$E$31,MATCH($G8,Methodology!$B$26:$B$31,0),MATCH(M$5,Methodology!$B$26:$E$26,0)))</f>
        <v>204.54267143553426</v>
      </c>
      <c r="M8" s="102">
        <f ca="1">$I8*(1+INDEX(Methodology!$B$26:$E$31,MATCH($G8,Methodology!$B$26:$B$31,0),MATCH(M$5,Methodology!$B$26:$E$26,0)))</f>
        <v>371.40852000000001</v>
      </c>
      <c r="N8" s="99" cm="1">
        <f t="array" aca="1" ref="N8" ca="1">INDIRECT(""&amp;$C8&amp;"!R"&amp;N$130&amp;"C"&amp;N$131,FALSE)</f>
        <v>0.15171916666666668</v>
      </c>
      <c r="O8" s="99" cm="1">
        <f t="array" aca="1" ref="O8" ca="1">INDIRECT(""&amp;$C8&amp;"!R"&amp;O$130&amp;"C"&amp;O$131,FALSE)</f>
        <v>5.6712499999999999E-2</v>
      </c>
      <c r="P8" s="100" cm="1">
        <f t="array" aca="1" ref="P8" ca="1">INDIRECT(""&amp;$C8&amp;"!R"&amp;P$130&amp;"C"&amp;P$131,FALSE)</f>
        <v>8.3564187307725704E-2</v>
      </c>
      <c r="Q8" s="101">
        <f ca="1">$P8*(1+INDEX(Methodology!$B$26:$E$31,MATCH($G8,Methodology!$B$26:$B$31,0),MATCH(R$5,Methodology!$B$26:$E$26,0)))</f>
        <v>8.5235471053880213E-2</v>
      </c>
      <c r="R8" s="102">
        <f ca="1">$N8*(1+INDEX(Methodology!$B$26:$E$31,MATCH($G8,Methodology!$B$26:$B$31,0),MATCH(R$5,Methodology!$B$26:$E$26,0)))</f>
        <v>0.15475355000000002</v>
      </c>
      <c r="S8" s="103"/>
      <c r="T8" s="107" cm="1">
        <f t="array" aca="1" ref="T8" ca="1">INDIRECT(""&amp;$C8&amp;"!R"&amp;T$130&amp;"C"&amp;T$131,FALSE)</f>
        <v>0</v>
      </c>
      <c r="U8" s="108" cm="1">
        <f t="array" aca="1" ref="U8" ca="1">INDIRECT(""&amp;$C8&amp;"!R"&amp;U$130&amp;"C"&amp;U$131,FALSE)</f>
        <v>0</v>
      </c>
      <c r="V8" s="107" cm="1">
        <f t="array" aca="1" ref="V8" ca="1">INDIRECT(""&amp;$C8&amp;"!R"&amp;V$130&amp;"C"&amp;V$131,FALSE)</f>
        <v>0</v>
      </c>
      <c r="W8" s="109" cm="1">
        <f t="array" aca="1" ref="W8" ca="1">INDIRECT(""&amp;$C8&amp;"!R"&amp;W$130&amp;"C"&amp;W$131,FALSE)</f>
        <v>0</v>
      </c>
      <c r="X8" s="103"/>
      <c r="Y8" s="107">
        <f t="shared" ca="1" si="1"/>
        <v>2399.7365053128638</v>
      </c>
      <c r="Z8" s="29" t="str">
        <f t="shared" ca="1" si="2"/>
        <v>kg/m³</v>
      </c>
      <c r="AA8" s="35" t="str" cm="1">
        <f t="array" aca="1" ref="AA8" ca="1">IF(INDIRECT(""&amp;$C8&amp;"!R"&amp;AA$130&amp;"C"&amp;AA$131,FALSE)=0,"",INDIRECT(""&amp;$C8&amp;"!R"&amp;AA$130&amp;"C"&amp;AA$131,FALSE))</f>
        <v/>
      </c>
      <c r="AB8" s="36" t="str" cm="1">
        <f t="array" aca="1" ref="AB8" ca="1">IFERROR(IF(INDIRECT(""&amp;$C8&amp;"!R"&amp;AB$130&amp;"C"&amp;AB$131,FALSE)="Average (weighted)","Yes","No"),"")</f>
        <v>No</v>
      </c>
    </row>
    <row r="9" spans="1:29" ht="45" customHeight="1" x14ac:dyDescent="0.25">
      <c r="A9" s="9" t="s">
        <v>5463</v>
      </c>
      <c r="B9" s="9" t="s">
        <v>535</v>
      </c>
      <c r="C9" s="14" t="s">
        <v>5466</v>
      </c>
      <c r="D9" s="31" t="str" cm="1">
        <f t="array" aca="1" ref="D9" ca="1">INDIRECT(""&amp;$C9&amp;"!R"&amp;D$130&amp;"C"&amp;D$131,FALSE)</f>
        <v>Any concrete mix with a strength rating of 25 MPa or lower, and greater than 20 MPa.</v>
      </c>
      <c r="E9" s="39" t="str">
        <f t="shared" si="0"/>
        <v>Concrete_25MPa</v>
      </c>
      <c r="F9" s="14" t="str" cm="1">
        <f t="array" aca="1" ref="F9" ca="1">INDIRECT(""&amp;$C9&amp;"!R"&amp;F$130&amp;"C"&amp;F$131,FALSE)</f>
        <v>m³</v>
      </c>
      <c r="G9" s="14" t="str" cm="1">
        <f t="array" aca="1" ref="G9" ca="1">INDIRECT(""&amp;$C9&amp;"!R"&amp;G$130&amp;"C"&amp;G$131,FALSE)</f>
        <v>Tier 1</v>
      </c>
      <c r="H9" s="32">
        <f ca="1">INDEX(Methodology!$B$26:$D$31,MATCH('EF Table_detail'!$G9,Methodology!$B$26:$B$31,0),MATCH('EF Table_detail'!$H$5,Methodology!$B$26:$D$26,0))</f>
        <v>1.02</v>
      </c>
      <c r="I9" s="98" cm="1">
        <f t="array" aca="1" ref="I9" ca="1">INDIRECT(""&amp;$C9&amp;"!R"&amp;I$130&amp;"C"&amp;I$131,FALSE)</f>
        <v>417.41917303129998</v>
      </c>
      <c r="J9" s="99" cm="1">
        <f t="array" aca="1" ref="J9" ca="1">INDIRECT(""&amp;$C9&amp;"!R"&amp;J$130&amp;"C"&amp;J$131,FALSE)</f>
        <v>149.12</v>
      </c>
      <c r="K9" s="100" cm="1">
        <f t="array" aca="1" ref="K9" ca="1">INDIRECT(""&amp;$C9&amp;"!R"&amp;K$130&amp;"C"&amp;K$131,FALSE)</f>
        <v>221.67393745895504</v>
      </c>
      <c r="L9" s="101">
        <f ca="1">$K9*(1+INDEX(Methodology!$B$26:$E$31,MATCH($G9,Methodology!$B$26:$B$31,0),MATCH(M$5,Methodology!$B$26:$E$26,0)))</f>
        <v>226.10741620813414</v>
      </c>
      <c r="M9" s="102">
        <f ca="1">$I9*(1+INDEX(Methodology!$B$26:$E$31,MATCH($G9,Methodology!$B$26:$B$31,0),MATCH(M$5,Methodology!$B$26:$E$26,0)))</f>
        <v>425.76755649192597</v>
      </c>
      <c r="N9" s="99" cm="1">
        <f t="array" aca="1" ref="N9" ca="1">INDIRECT(""&amp;$C9&amp;"!R"&amp;N$130&amp;"C"&amp;N$131,FALSE)</f>
        <v>0.17392465542970834</v>
      </c>
      <c r="O9" s="99" cm="1">
        <f t="array" aca="1" ref="O9" ca="1">INDIRECT(""&amp;$C9&amp;"!R"&amp;O$130&amp;"C"&amp;O$131,FALSE)</f>
        <v>6.2133333333333332E-2</v>
      </c>
      <c r="P9" s="100" cm="1">
        <f t="array" aca="1" ref="P9" ca="1">INDIRECT(""&amp;$C9&amp;"!R"&amp;P$130&amp;"C"&amp;P$131,FALSE)</f>
        <v>9.2390198831598824E-2</v>
      </c>
      <c r="Q9" s="101">
        <f ca="1">$P9*(1+INDEX(Methodology!$B$26:$E$31,MATCH($G9,Methodology!$B$26:$B$31,0),MATCH(R$5,Methodology!$B$26:$E$26,0)))</f>
        <v>9.4238002808230803E-2</v>
      </c>
      <c r="R9" s="102">
        <f ca="1">$N9*(1+INDEX(Methodology!$B$26:$E$31,MATCH($G9,Methodology!$B$26:$B$31,0),MATCH(R$5,Methodology!$B$26:$E$26,0)))</f>
        <v>0.1774031485383025</v>
      </c>
      <c r="S9" s="103"/>
      <c r="T9" s="107" cm="1">
        <f t="array" aca="1" ref="T9" ca="1">INDIRECT(""&amp;$C9&amp;"!R"&amp;T$130&amp;"C"&amp;T$131,FALSE)</f>
        <v>0</v>
      </c>
      <c r="U9" s="108" cm="1">
        <f t="array" aca="1" ref="U9" ca="1">INDIRECT(""&amp;$C9&amp;"!R"&amp;U$130&amp;"C"&amp;U$131,FALSE)</f>
        <v>0</v>
      </c>
      <c r="V9" s="107" cm="1">
        <f t="array" aca="1" ref="V9" ca="1">INDIRECT(""&amp;$C9&amp;"!R"&amp;V$130&amp;"C"&amp;V$131,FALSE)</f>
        <v>0</v>
      </c>
      <c r="W9" s="109" cm="1">
        <f t="array" aca="1" ref="W9" ca="1">INDIRECT(""&amp;$C9&amp;"!R"&amp;W$130&amp;"C"&amp;W$131,FALSE)</f>
        <v>0</v>
      </c>
      <c r="X9" s="103"/>
      <c r="Y9" s="107">
        <f t="shared" ca="1" si="1"/>
        <v>2399.323091218841</v>
      </c>
      <c r="Z9" s="29" t="str">
        <f t="shared" ca="1" si="2"/>
        <v>kg/m³</v>
      </c>
      <c r="AA9" s="35" t="str" cm="1">
        <f t="array" aca="1" ref="AA9" ca="1">IF(INDIRECT(""&amp;$C9&amp;"!R"&amp;AA$130&amp;"C"&amp;AA$131,FALSE)=0,"",INDIRECT(""&amp;$C9&amp;"!R"&amp;AA$130&amp;"C"&amp;AA$131,FALSE))</f>
        <v/>
      </c>
      <c r="AB9" s="36" t="str" cm="1">
        <f t="array" aca="1" ref="AB9" ca="1">IFERROR(IF(INDIRECT(""&amp;$C9&amp;"!R"&amp;AB$130&amp;"C"&amp;AB$131,FALSE)="Average (weighted)","Yes","No"),"")</f>
        <v>No</v>
      </c>
    </row>
    <row r="10" spans="1:29" ht="45" customHeight="1" x14ac:dyDescent="0.25">
      <c r="A10" s="9" t="s">
        <v>5463</v>
      </c>
      <c r="B10" s="9" t="s">
        <v>940</v>
      </c>
      <c r="C10" s="14" t="s">
        <v>5467</v>
      </c>
      <c r="D10" s="31" t="str" cm="1">
        <f t="array" aca="1" ref="D10" ca="1">INDIRECT(""&amp;$C10&amp;"!R"&amp;D$130&amp;"C"&amp;D$131,FALSE)</f>
        <v>Any concrete mix with a strength rating of 32 MPa or lower, and greater than 25 MPa.</v>
      </c>
      <c r="E10" s="39" t="str">
        <f t="shared" si="0"/>
        <v>Concrete_32MPa</v>
      </c>
      <c r="F10" s="14" t="str" cm="1">
        <f t="array" aca="1" ref="F10" ca="1">INDIRECT(""&amp;$C10&amp;"!R"&amp;F$130&amp;"C"&amp;F$131,FALSE)</f>
        <v>m³</v>
      </c>
      <c r="G10" s="14" t="str" cm="1">
        <f t="array" aca="1" ref="G10" ca="1">INDIRECT(""&amp;$C10&amp;"!R"&amp;G$130&amp;"C"&amp;G$131,FALSE)</f>
        <v>Tier 1</v>
      </c>
      <c r="H10" s="32">
        <f ca="1">INDEX(Methodology!$B$26:$D$31,MATCH('EF Table_detail'!$G10,Methodology!$B$26:$B$31,0),MATCH('EF Table_detail'!$H$5,Methodology!$B$26:$D$26,0))</f>
        <v>1.02</v>
      </c>
      <c r="I10" s="98" cm="1">
        <f t="array" aca="1" ref="I10" ca="1">INDIRECT(""&amp;$C10&amp;"!R"&amp;I$130&amp;"C"&amp;I$131,FALSE)</f>
        <v>459.166</v>
      </c>
      <c r="J10" s="99" cm="1">
        <f t="array" aca="1" ref="J10" ca="1">INDIRECT(""&amp;$C10&amp;"!R"&amp;J$130&amp;"C"&amp;J$131,FALSE)</f>
        <v>167.14</v>
      </c>
      <c r="K10" s="100" cm="1">
        <f t="array" aca="1" ref="K10" ca="1">INDIRECT(""&amp;$C10&amp;"!R"&amp;K$130&amp;"C"&amp;K$131,FALSE)</f>
        <v>249.30771031917359</v>
      </c>
      <c r="L10" s="101">
        <f ca="1">$K10*(1+INDEX(Methodology!$B$26:$E$31,MATCH($G10,Methodology!$B$26:$B$31,0),MATCH(M$5,Methodology!$B$26:$E$26,0)))</f>
        <v>254.29386452555707</v>
      </c>
      <c r="M10" s="102">
        <f ca="1">$I10*(1+INDEX(Methodology!$B$26:$E$31,MATCH($G10,Methodology!$B$26:$B$31,0),MATCH(M$5,Methodology!$B$26:$E$26,0)))</f>
        <v>468.34931999999998</v>
      </c>
      <c r="N10" s="99" cm="1">
        <f t="array" aca="1" ref="N10" ca="1">INDIRECT(""&amp;$C10&amp;"!R"&amp;N$130&amp;"C"&amp;N$131,FALSE)</f>
        <v>0.19131916666666668</v>
      </c>
      <c r="O10" s="99" cm="1">
        <f t="array" aca="1" ref="O10" ca="1">INDIRECT(""&amp;$C10&amp;"!R"&amp;O$130&amp;"C"&amp;O$131,FALSE)</f>
        <v>6.9641666666666657E-2</v>
      </c>
      <c r="P10" s="100" cm="1">
        <f t="array" aca="1" ref="P10" ca="1">INDIRECT(""&amp;$C10&amp;"!R"&amp;P$130&amp;"C"&amp;P$131,FALSE)</f>
        <v>0.10389864664109499</v>
      </c>
      <c r="Q10" s="101">
        <f ca="1">$P10*(1+INDEX(Methodology!$B$26:$E$31,MATCH($G10,Methodology!$B$26:$B$31,0),MATCH(R$5,Methodology!$B$26:$E$26,0)))</f>
        <v>0.10597661957391689</v>
      </c>
      <c r="R10" s="102">
        <f ca="1">$N10*(1+INDEX(Methodology!$B$26:$E$31,MATCH($G10,Methodology!$B$26:$B$31,0),MATCH(R$5,Methodology!$B$26:$E$26,0)))</f>
        <v>0.19514555000000003</v>
      </c>
      <c r="S10" s="103"/>
      <c r="T10" s="107" cm="1">
        <f t="array" aca="1" ref="T10" ca="1">INDIRECT(""&amp;$C10&amp;"!R"&amp;T$130&amp;"C"&amp;T$131,FALSE)</f>
        <v>0</v>
      </c>
      <c r="U10" s="108" cm="1">
        <f t="array" aca="1" ref="U10" ca="1">INDIRECT(""&amp;$C10&amp;"!R"&amp;U$130&amp;"C"&amp;U$131,FALSE)</f>
        <v>0</v>
      </c>
      <c r="V10" s="107" cm="1">
        <f t="array" aca="1" ref="V10" ca="1">INDIRECT(""&amp;$C10&amp;"!R"&amp;V$130&amp;"C"&amp;V$131,FALSE)</f>
        <v>0</v>
      </c>
      <c r="W10" s="109" cm="1">
        <f t="array" aca="1" ref="W10" ca="1">INDIRECT(""&amp;$C10&amp;"!R"&amp;W$130&amp;"C"&amp;W$131,FALSE)</f>
        <v>0</v>
      </c>
      <c r="X10" s="103"/>
      <c r="Y10" s="107">
        <f t="shared" ca="1" si="1"/>
        <v>2399.5279859647853</v>
      </c>
      <c r="Z10" s="29" t="str">
        <f t="shared" ca="1" si="2"/>
        <v>kg/m³</v>
      </c>
      <c r="AA10" s="35" t="str" cm="1">
        <f t="array" aca="1" ref="AA10" ca="1">IF(INDIRECT(""&amp;$C10&amp;"!R"&amp;AA$130&amp;"C"&amp;AA$131,FALSE)=0,"",INDIRECT(""&amp;$C10&amp;"!R"&amp;AA$130&amp;"C"&amp;AA$131,FALSE))</f>
        <v/>
      </c>
      <c r="AB10" s="36" t="str" cm="1">
        <f t="array" aca="1" ref="AB10" ca="1">IFERROR(IF(INDIRECT(""&amp;$C10&amp;"!R"&amp;AB$130&amp;"C"&amp;AB$131,FALSE)="Average (weighted)","Yes","No"),"")</f>
        <v>No</v>
      </c>
    </row>
    <row r="11" spans="1:29" ht="45" customHeight="1" x14ac:dyDescent="0.25">
      <c r="A11" s="9" t="s">
        <v>5463</v>
      </c>
      <c r="B11" s="9" t="s">
        <v>1451</v>
      </c>
      <c r="C11" s="14" t="s">
        <v>5468</v>
      </c>
      <c r="D11" s="31" t="str" cm="1">
        <f t="array" aca="1" ref="D11" ca="1">INDIRECT(""&amp;$C11&amp;"!R"&amp;D$130&amp;"C"&amp;D$131,FALSE)</f>
        <v>Any concrete mix with a strength rating of 40 MPa or lower, and greater than 32 MPa.</v>
      </c>
      <c r="E11" s="39" t="str">
        <f t="shared" si="0"/>
        <v>Concrete_40MPa</v>
      </c>
      <c r="F11" s="14" t="str" cm="1">
        <f t="array" aca="1" ref="F11" ca="1">INDIRECT(""&amp;$C11&amp;"!R"&amp;F$130&amp;"C"&amp;F$131,FALSE)</f>
        <v>m³</v>
      </c>
      <c r="G11" s="14" t="str" cm="1">
        <f t="array" aca="1" ref="G11" ca="1">INDIRECT(""&amp;$C11&amp;"!R"&amp;G$130&amp;"C"&amp;G$131,FALSE)</f>
        <v>Tier 1</v>
      </c>
      <c r="H11" s="32">
        <f ca="1">INDEX(Methodology!$B$26:$D$31,MATCH('EF Table_detail'!$G11,Methodology!$B$26:$B$31,0),MATCH('EF Table_detail'!$H$5,Methodology!$B$26:$D$26,0))</f>
        <v>1.02</v>
      </c>
      <c r="I11" s="98" cm="1">
        <f t="array" aca="1" ref="I11" ca="1">INDIRECT(""&amp;$C11&amp;"!R"&amp;I$130&amp;"C"&amp;I$131,FALSE)</f>
        <v>545.20299999999997</v>
      </c>
      <c r="J11" s="99" cm="1">
        <f t="array" aca="1" ref="J11" ca="1">INDIRECT(""&amp;$C11&amp;"!R"&amp;J$130&amp;"C"&amp;J$131,FALSE)</f>
        <v>198</v>
      </c>
      <c r="K11" s="100" cm="1">
        <f t="array" aca="1" ref="K11" ca="1">INDIRECT(""&amp;$C11&amp;"!R"&amp;K$130&amp;"C"&amp;K$131,FALSE)</f>
        <v>305.39750692508125</v>
      </c>
      <c r="L11" s="101">
        <f ca="1">$K11*(1+INDEX(Methodology!$B$26:$E$31,MATCH($G11,Methodology!$B$26:$B$31,0),MATCH(M$5,Methodology!$B$26:$E$26,0)))</f>
        <v>311.50545706358287</v>
      </c>
      <c r="M11" s="102">
        <f ca="1">$I11*(1+INDEX(Methodology!$B$26:$E$31,MATCH($G11,Methodology!$B$26:$B$31,0),MATCH(M$5,Methodology!$B$26:$E$26,0)))</f>
        <v>556.10705999999993</v>
      </c>
      <c r="N11" s="99" cm="1">
        <f t="array" aca="1" ref="N11" ca="1">INDIRECT(""&amp;$C11&amp;"!R"&amp;N$130&amp;"C"&amp;N$131,FALSE)</f>
        <v>0.22716791666666666</v>
      </c>
      <c r="O11" s="99" cm="1">
        <f t="array" aca="1" ref="O11" ca="1">INDIRECT(""&amp;$C11&amp;"!R"&amp;O$130&amp;"C"&amp;O$131,FALSE)</f>
        <v>8.2500000000000004E-2</v>
      </c>
      <c r="P11" s="100" cm="1">
        <f t="array" aca="1" ref="P11" ca="1">INDIRECT(""&amp;$C11&amp;"!R"&amp;P$130&amp;"C"&amp;P$131,FALSE)</f>
        <v>0.12724896121878382</v>
      </c>
      <c r="Q11" s="101">
        <f ca="1">$P11*(1+INDEX(Methodology!$B$26:$E$31,MATCH($G11,Methodology!$B$26:$B$31,0),MATCH(R$5,Methodology!$B$26:$E$26,0)))</f>
        <v>0.12979394044315951</v>
      </c>
      <c r="R11" s="102">
        <f ca="1">$N11*(1+INDEX(Methodology!$B$26:$E$31,MATCH($G11,Methodology!$B$26:$B$31,0),MATCH(R$5,Methodology!$B$26:$E$26,0)))</f>
        <v>0.23171127499999999</v>
      </c>
      <c r="S11" s="103"/>
      <c r="T11" s="107" cm="1">
        <f t="array" aca="1" ref="T11" ca="1">INDIRECT(""&amp;$C11&amp;"!R"&amp;T$130&amp;"C"&amp;T$131,FALSE)</f>
        <v>0</v>
      </c>
      <c r="U11" s="108" cm="1">
        <f t="array" aca="1" ref="U11" ca="1">INDIRECT(""&amp;$C11&amp;"!R"&amp;U$130&amp;"C"&amp;U$131,FALSE)</f>
        <v>0</v>
      </c>
      <c r="V11" s="107" cm="1">
        <f t="array" aca="1" ref="V11" ca="1">INDIRECT(""&amp;$C11&amp;"!R"&amp;V$130&amp;"C"&amp;V$131,FALSE)</f>
        <v>0</v>
      </c>
      <c r="W11" s="109" cm="1">
        <f t="array" aca="1" ref="W11" ca="1">INDIRECT(""&amp;$C11&amp;"!R"&amp;W$130&amp;"C"&amp;W$131,FALSE)</f>
        <v>0</v>
      </c>
      <c r="X11" s="103"/>
      <c r="Y11" s="107">
        <f t="shared" ca="1" si="1"/>
        <v>2400.0000000000005</v>
      </c>
      <c r="Z11" s="29" t="str">
        <f t="shared" ca="1" si="2"/>
        <v>kg/m³</v>
      </c>
      <c r="AA11" s="35" t="str" cm="1">
        <f t="array" aca="1" ref="AA11" ca="1">IF(INDIRECT(""&amp;$C11&amp;"!R"&amp;AA$130&amp;"C"&amp;AA$131,FALSE)=0,"",INDIRECT(""&amp;$C11&amp;"!R"&amp;AA$130&amp;"C"&amp;AA$131,FALSE))</f>
        <v/>
      </c>
      <c r="AB11" s="36" t="str" cm="1">
        <f t="array" aca="1" ref="AB11" ca="1">IFERROR(IF(INDIRECT(""&amp;$C11&amp;"!R"&amp;AB$130&amp;"C"&amp;AB$131,FALSE)="Average (weighted)","Yes","No"),"")</f>
        <v>No</v>
      </c>
    </row>
    <row r="12" spans="1:29" ht="45" customHeight="1" x14ac:dyDescent="0.25">
      <c r="A12" s="9" t="s">
        <v>5463</v>
      </c>
      <c r="B12" s="9" t="s">
        <v>2057</v>
      </c>
      <c r="C12" s="14" t="s">
        <v>5469</v>
      </c>
      <c r="D12" s="31" t="str" cm="1">
        <f t="array" aca="1" ref="D12" ca="1">INDIRECT(""&amp;$C12&amp;"!R"&amp;D$130&amp;"C"&amp;D$131,FALSE)</f>
        <v>Any concrete mix with a strength rating of 50 MPa or lower, and greater than 40 MPa.</v>
      </c>
      <c r="E12" s="39" t="str">
        <f t="shared" si="0"/>
        <v>Concrete_50MPa</v>
      </c>
      <c r="F12" s="14" t="str" cm="1">
        <f t="array" aca="1" ref="F12" ca="1">INDIRECT(""&amp;$C12&amp;"!R"&amp;F$130&amp;"C"&amp;F$131,FALSE)</f>
        <v>m³</v>
      </c>
      <c r="G12" s="14" t="str" cm="1">
        <f t="array" aca="1" ref="G12" ca="1">INDIRECT(""&amp;$C12&amp;"!R"&amp;G$130&amp;"C"&amp;G$131,FALSE)</f>
        <v>Tier 1</v>
      </c>
      <c r="H12" s="32">
        <f ca="1">INDEX(Methodology!$B$26:$D$31,MATCH('EF Table_detail'!$G12,Methodology!$B$26:$B$31,0),MATCH('EF Table_detail'!$H$5,Methodology!$B$26:$D$26,0))</f>
        <v>1.02</v>
      </c>
      <c r="I12" s="98" cm="1">
        <f t="array" aca="1" ref="I12" ca="1">INDIRECT(""&amp;$C12&amp;"!R"&amp;I$130&amp;"C"&amp;I$131,FALSE)</f>
        <v>609.23299999999995</v>
      </c>
      <c r="J12" s="99" cm="1">
        <f t="array" aca="1" ref="J12" ca="1">INDIRECT(""&amp;$C12&amp;"!R"&amp;J$130&amp;"C"&amp;J$131,FALSE)</f>
        <v>101</v>
      </c>
      <c r="K12" s="100" cm="1">
        <f t="array" aca="1" ref="K12" ca="1">INDIRECT(""&amp;$C12&amp;"!R"&amp;K$130&amp;"C"&amp;K$131,FALSE)</f>
        <v>354.0975183898617</v>
      </c>
      <c r="L12" s="101">
        <f ca="1">$K12*(1+INDEX(Methodology!$B$26:$E$31,MATCH($G12,Methodology!$B$26:$B$31,0),MATCH(M$5,Methodology!$B$26:$E$26,0)))</f>
        <v>361.17946875765892</v>
      </c>
      <c r="M12" s="102">
        <f ca="1">$I12*(1+INDEX(Methodology!$B$26:$E$31,MATCH($G12,Methodology!$B$26:$B$31,0),MATCH(M$5,Methodology!$B$26:$E$26,0)))</f>
        <v>621.41765999999996</v>
      </c>
      <c r="N12" s="99" cm="1">
        <f t="array" aca="1" ref="N12" ca="1">INDIRECT(""&amp;$C12&amp;"!R"&amp;N$130&amp;"C"&amp;N$131,FALSE)</f>
        <v>0.25384708333333333</v>
      </c>
      <c r="O12" s="99" cm="1">
        <f t="array" aca="1" ref="O12" ca="1">INDIRECT(""&amp;$C12&amp;"!R"&amp;O$130&amp;"C"&amp;O$131,FALSE)</f>
        <v>4.2083333333333334E-2</v>
      </c>
      <c r="P12" s="100" cm="1">
        <f t="array" aca="1" ref="P12" ca="1">INDIRECT(""&amp;$C12&amp;"!R"&amp;P$130&amp;"C"&amp;P$131,FALSE)</f>
        <v>0.14760461461395208</v>
      </c>
      <c r="Q12" s="101">
        <f ca="1">$P12*(1+INDEX(Methodology!$B$26:$E$31,MATCH($G12,Methodology!$B$26:$B$31,0),MATCH(R$5,Methodology!$B$26:$E$26,0)))</f>
        <v>0.15055670690623113</v>
      </c>
      <c r="R12" s="102">
        <f ca="1">$N12*(1+INDEX(Methodology!$B$26:$E$31,MATCH($G12,Methodology!$B$26:$B$31,0),MATCH(R$5,Methodology!$B$26:$E$26,0)))</f>
        <v>0.258924025</v>
      </c>
      <c r="S12" s="103"/>
      <c r="T12" s="107" cm="1">
        <f t="array" aca="1" ref="T12" ca="1">INDIRECT(""&amp;$C12&amp;"!R"&amp;T$130&amp;"C"&amp;T$131,FALSE)</f>
        <v>0</v>
      </c>
      <c r="U12" s="108" cm="1">
        <f t="array" aca="1" ref="U12" ca="1">INDIRECT(""&amp;$C12&amp;"!R"&amp;U$130&amp;"C"&amp;U$131,FALSE)</f>
        <v>0</v>
      </c>
      <c r="V12" s="107" cm="1">
        <f t="array" aca="1" ref="V12" ca="1">INDIRECT(""&amp;$C12&amp;"!R"&amp;V$130&amp;"C"&amp;V$131,FALSE)</f>
        <v>0</v>
      </c>
      <c r="W12" s="109" cm="1">
        <f t="array" aca="1" ref="W12" ca="1">INDIRECT(""&amp;$C12&amp;"!R"&amp;W$130&amp;"C"&amp;W$131,FALSE)</f>
        <v>0</v>
      </c>
      <c r="X12" s="103"/>
      <c r="Y12" s="107">
        <f t="shared" ca="1" si="1"/>
        <v>2398.9596755899206</v>
      </c>
      <c r="Z12" s="29" t="str">
        <f t="shared" ca="1" si="2"/>
        <v>kg/m³</v>
      </c>
      <c r="AA12" s="35" t="str" cm="1">
        <f t="array" aca="1" ref="AA12" ca="1">IF(INDIRECT(""&amp;$C12&amp;"!R"&amp;AA$130&amp;"C"&amp;AA$131,FALSE)=0,"",INDIRECT(""&amp;$C12&amp;"!R"&amp;AA$130&amp;"C"&amp;AA$131,FALSE))</f>
        <v/>
      </c>
      <c r="AB12" s="36" t="str" cm="1">
        <f t="array" aca="1" ref="AB12" ca="1">IFERROR(IF(INDIRECT(""&amp;$C12&amp;"!R"&amp;AB$130&amp;"C"&amp;AB$131,FALSE)="Average (weighted)","Yes","No"),"")</f>
        <v>No</v>
      </c>
    </row>
    <row r="13" spans="1:29" ht="45" customHeight="1" x14ac:dyDescent="0.25">
      <c r="A13" s="9" t="s">
        <v>5463</v>
      </c>
      <c r="B13" s="9" t="s">
        <v>2540</v>
      </c>
      <c r="C13" s="14" t="s">
        <v>5470</v>
      </c>
      <c r="D13" s="31" t="str" cm="1">
        <f t="array" aca="1" ref="D13" ca="1">INDIRECT(""&amp;$C13&amp;"!R"&amp;D$130&amp;"C"&amp;D$131,FALSE)</f>
        <v>Any concrete mix with a strength rating of 65 MPa or lower, and greater than 50 MPa.</v>
      </c>
      <c r="E13" s="39" t="str">
        <f t="shared" si="0"/>
        <v>Concrete_65MPa</v>
      </c>
      <c r="F13" s="14" t="str" cm="1">
        <f t="array" aca="1" ref="F13" ca="1">INDIRECT(""&amp;$C13&amp;"!R"&amp;F$130&amp;"C"&amp;F$131,FALSE)</f>
        <v>m³</v>
      </c>
      <c r="G13" s="14" t="str" cm="1">
        <f t="array" aca="1" ref="G13" ca="1">INDIRECT(""&amp;$C13&amp;"!R"&amp;G$130&amp;"C"&amp;G$131,FALSE)</f>
        <v>Tier 2</v>
      </c>
      <c r="H13" s="32">
        <f ca="1">INDEX(Methodology!$B$26:$D$31,MATCH('EF Table_detail'!$G13,Methodology!$B$26:$B$31,0),MATCH('EF Table_detail'!$H$5,Methodology!$B$26:$D$26,0))</f>
        <v>1.05</v>
      </c>
      <c r="I13" s="98" cm="1">
        <f t="array" aca="1" ref="I13" ca="1">INDIRECT(""&amp;$C13&amp;"!R"&amp;I$130&amp;"C"&amp;I$131,FALSE)</f>
        <v>609.23299999999995</v>
      </c>
      <c r="J13" s="99" cm="1">
        <f t="array" aca="1" ref="J13" ca="1">INDIRECT(""&amp;$C13&amp;"!R"&amp;J$130&amp;"C"&amp;J$131,FALSE)</f>
        <v>274</v>
      </c>
      <c r="K13" s="100" cm="1">
        <f t="array" aca="1" ref="K13" ca="1">INDIRECT(""&amp;$C13&amp;"!R"&amp;K$130&amp;"C"&amp;K$131,FALSE)</f>
        <v>401.63281005168693</v>
      </c>
      <c r="L13" s="101">
        <f ca="1">$K13*(1+INDEX(Methodology!$B$26:$E$31,MATCH($G13,Methodology!$B$26:$B$31,0),MATCH(M$5,Methodology!$B$26:$E$26,0)))</f>
        <v>421.71445055427131</v>
      </c>
      <c r="M13" s="102">
        <f ca="1">$I13*(1+INDEX(Methodology!$B$26:$E$31,MATCH($G13,Methodology!$B$26:$B$31,0),MATCH(M$5,Methodology!$B$26:$E$26,0)))</f>
        <v>639.69465000000002</v>
      </c>
      <c r="N13" s="99" cm="1">
        <f t="array" aca="1" ref="N13" ca="1">INDIRECT(""&amp;$C13&amp;"!R"&amp;N$130&amp;"C"&amp;N$131,FALSE)</f>
        <v>0.25384708333333333</v>
      </c>
      <c r="O13" s="99" cm="1">
        <f t="array" aca="1" ref="O13" ca="1">INDIRECT(""&amp;$C13&amp;"!R"&amp;O$130&amp;"C"&amp;O$131,FALSE)</f>
        <v>0.11416666666666667</v>
      </c>
      <c r="P13" s="100" cm="1">
        <f t="array" aca="1" ref="P13" ca="1">INDIRECT(""&amp;$C13&amp;"!R"&amp;P$130&amp;"C"&amp;P$131,FALSE)</f>
        <v>0.16738806066779308</v>
      </c>
      <c r="Q13" s="101">
        <f ca="1">$P13*(1+INDEX(Methodology!$B$26:$E$31,MATCH($G13,Methodology!$B$26:$B$31,0),MATCH(R$5,Methodology!$B$26:$E$26,0)))</f>
        <v>0.17575746370118273</v>
      </c>
      <c r="R13" s="102">
        <f ca="1">$N13*(1+INDEX(Methodology!$B$26:$E$31,MATCH($G13,Methodology!$B$26:$B$31,0),MATCH(R$5,Methodology!$B$26:$E$26,0)))</f>
        <v>0.26653943750000003</v>
      </c>
      <c r="S13" s="103"/>
      <c r="T13" s="107" cm="1">
        <f t="array" aca="1" ref="T13" ca="1">INDIRECT(""&amp;$C13&amp;"!R"&amp;T$130&amp;"C"&amp;T$131,FALSE)</f>
        <v>0</v>
      </c>
      <c r="U13" s="108" cm="1">
        <f t="array" aca="1" ref="U13" ca="1">INDIRECT(""&amp;$C13&amp;"!R"&amp;U$130&amp;"C"&amp;U$131,FALSE)</f>
        <v>0</v>
      </c>
      <c r="V13" s="107" cm="1">
        <f t="array" aca="1" ref="V13" ca="1">INDIRECT(""&amp;$C13&amp;"!R"&amp;V$130&amp;"C"&amp;V$131,FALSE)</f>
        <v>0</v>
      </c>
      <c r="W13" s="109" cm="1">
        <f t="array" aca="1" ref="W13" ca="1">INDIRECT(""&amp;$C13&amp;"!R"&amp;W$130&amp;"C"&amp;W$131,FALSE)</f>
        <v>0</v>
      </c>
      <c r="X13" s="103"/>
      <c r="Y13" s="107">
        <f t="shared" ca="1" si="1"/>
        <v>2399.4113346518066</v>
      </c>
      <c r="Z13" s="29" t="str">
        <f t="shared" ca="1" si="2"/>
        <v>kg/m³</v>
      </c>
      <c r="AA13" s="35" t="str" cm="1">
        <f t="array" aca="1" ref="AA13" ca="1">IF(INDIRECT(""&amp;$C13&amp;"!R"&amp;AA$130&amp;"C"&amp;AA$131,FALSE)=0,"",INDIRECT(""&amp;$C13&amp;"!R"&amp;AA$130&amp;"C"&amp;AA$131,FALSE))</f>
        <v>Maximum of data source falls below the maximum for 50 MPa. Likely due to a limited source of market coverage at this strength rating. The max from 50 MPa has been used.</v>
      </c>
      <c r="AB13" s="36" t="str" cm="1">
        <f t="array" aca="1" ref="AB13" ca="1">IFERROR(IF(INDIRECT(""&amp;$C13&amp;"!R"&amp;AB$130&amp;"C"&amp;AB$131,FALSE)="Average (weighted)","Yes","No"),"")</f>
        <v>No</v>
      </c>
    </row>
    <row r="14" spans="1:29" ht="45" customHeight="1" x14ac:dyDescent="0.25">
      <c r="A14" s="9" t="s">
        <v>5463</v>
      </c>
      <c r="B14" s="9" t="s">
        <v>2657</v>
      </c>
      <c r="C14" s="14" t="s">
        <v>5471</v>
      </c>
      <c r="D14" s="31" t="str" cm="1">
        <f t="array" aca="1" ref="D14" ca="1">INDIRECT(""&amp;$C14&amp;"!R"&amp;D$130&amp;"C"&amp;D$131,FALSE)</f>
        <v>Any concrete mix with a strength rating of 80 MPa or lower, and greater than 65 MPa.</v>
      </c>
      <c r="E14" s="39" t="str">
        <f t="shared" si="0"/>
        <v>Concrete_80MPa</v>
      </c>
      <c r="F14" s="14" t="str" cm="1">
        <f t="array" aca="1" ref="F14" ca="1">INDIRECT(""&amp;$C14&amp;"!R"&amp;F$130&amp;"C"&amp;F$131,FALSE)</f>
        <v>m³</v>
      </c>
      <c r="G14" s="14" t="str" cm="1">
        <f t="array" aca="1" ref="G14" ca="1">INDIRECT(""&amp;$C14&amp;"!R"&amp;G$130&amp;"C"&amp;G$131,FALSE)</f>
        <v>Tier 2</v>
      </c>
      <c r="H14" s="32">
        <f ca="1">INDEX(Methodology!$B$26:$D$31,MATCH('EF Table_detail'!$G14,Methodology!$B$26:$B$31,0),MATCH('EF Table_detail'!$H$5,Methodology!$B$26:$D$26,0))</f>
        <v>1.05</v>
      </c>
      <c r="I14" s="98" cm="1">
        <f t="array" aca="1" ref="I14" ca="1">INDIRECT(""&amp;$C14&amp;"!R"&amp;I$130&amp;"C"&amp;I$131,FALSE)</f>
        <v>657</v>
      </c>
      <c r="J14" s="99" cm="1">
        <f t="array" aca="1" ref="J14" ca="1">INDIRECT(""&amp;$C14&amp;"!R"&amp;J$130&amp;"C"&amp;J$131,FALSE)</f>
        <v>301</v>
      </c>
      <c r="K14" s="100" cm="1">
        <f t="array" aca="1" ref="K14" ca="1">INDIRECT(""&amp;$C14&amp;"!R"&amp;K$130&amp;"C"&amp;K$131,FALSE)</f>
        <v>424.60448463242341</v>
      </c>
      <c r="L14" s="101">
        <f ca="1">$K14*(1+INDEX(Methodology!$B$26:$E$31,MATCH($G14,Methodology!$B$26:$B$31,0),MATCH(M$5,Methodology!$B$26:$E$26,0)))</f>
        <v>445.83470886404461</v>
      </c>
      <c r="M14" s="102">
        <f ca="1">$I14*(1+INDEX(Methodology!$B$26:$E$31,MATCH($G14,Methodology!$B$26:$B$31,0),MATCH(M$5,Methodology!$B$26:$E$26,0)))</f>
        <v>689.85</v>
      </c>
      <c r="N14" s="99" cm="1">
        <f t="array" aca="1" ref="N14" ca="1">INDIRECT(""&amp;$C14&amp;"!R"&amp;N$130&amp;"C"&amp;N$131,FALSE)</f>
        <v>0.27374999999999999</v>
      </c>
      <c r="O14" s="99" cm="1">
        <f t="array" aca="1" ref="O14" ca="1">INDIRECT(""&amp;$C14&amp;"!R"&amp;O$130&amp;"C"&amp;O$131,FALSE)</f>
        <v>0.12541666666666668</v>
      </c>
      <c r="P14" s="100" cm="1">
        <f t="array" aca="1" ref="P14" ca="1">INDIRECT(""&amp;$C14&amp;"!R"&amp;P$130&amp;"C"&amp;P$131,FALSE)</f>
        <v>0.17696782550816678</v>
      </c>
      <c r="Q14" s="101">
        <f ca="1">$P14*(1+INDEX(Methodology!$B$26:$E$31,MATCH($G14,Methodology!$B$26:$B$31,0),MATCH(R$5,Methodology!$B$26:$E$26,0)))</f>
        <v>0.18581621678357513</v>
      </c>
      <c r="R14" s="102">
        <f ca="1">$N14*(1+INDEX(Methodology!$B$26:$E$31,MATCH($G14,Methodology!$B$26:$B$31,0),MATCH(R$5,Methodology!$B$26:$E$26,0)))</f>
        <v>0.28743750000000001</v>
      </c>
      <c r="S14" s="103"/>
      <c r="T14" s="107" cm="1">
        <f t="array" aca="1" ref="T14" ca="1">INDIRECT(""&amp;$C14&amp;"!R"&amp;T$130&amp;"C"&amp;T$131,FALSE)</f>
        <v>0</v>
      </c>
      <c r="U14" s="108" cm="1">
        <f t="array" aca="1" ref="U14" ca="1">INDIRECT(""&amp;$C14&amp;"!R"&amp;U$130&amp;"C"&amp;U$131,FALSE)</f>
        <v>0</v>
      </c>
      <c r="V14" s="107" cm="1">
        <f t="array" aca="1" ref="V14" ca="1">INDIRECT(""&amp;$C14&amp;"!R"&amp;V$130&amp;"C"&amp;V$131,FALSE)</f>
        <v>0</v>
      </c>
      <c r="W14" s="109" cm="1">
        <f t="array" aca="1" ref="W14" ca="1">INDIRECT(""&amp;$C14&amp;"!R"&amp;W$130&amp;"C"&amp;W$131,FALSE)</f>
        <v>0</v>
      </c>
      <c r="X14" s="103"/>
      <c r="Y14" s="107">
        <f t="shared" ca="1" si="1"/>
        <v>2399.3315361883597</v>
      </c>
      <c r="Z14" s="29" t="str">
        <f t="shared" ca="1" si="2"/>
        <v>kg/m³</v>
      </c>
      <c r="AA14" s="35" t="str" cm="1">
        <f t="array" aca="1" ref="AA14" ca="1">IF(INDIRECT(""&amp;$C14&amp;"!R"&amp;AA$130&amp;"C"&amp;AA$131,FALSE)=0,"",INDIRECT(""&amp;$C14&amp;"!R"&amp;AA$130&amp;"C"&amp;AA$131,FALSE))</f>
        <v>Maximum of data source falls below the maximum for 50 MPa. Likely due to a limited source of market coverage at this strength rating. The max from 50 MPa has been used.</v>
      </c>
      <c r="AB14" s="36" t="str" cm="1">
        <f t="array" aca="1" ref="AB14" ca="1">IFERROR(IF(INDIRECT(""&amp;$C14&amp;"!R"&amp;AB$130&amp;"C"&amp;AB$131,FALSE)="Average (weighted)","Yes","No"),"")</f>
        <v>No</v>
      </c>
    </row>
    <row r="15" spans="1:29" ht="45" customHeight="1" x14ac:dyDescent="0.25">
      <c r="A15" s="9" t="s">
        <v>5463</v>
      </c>
      <c r="B15" s="9" t="s">
        <v>2751</v>
      </c>
      <c r="C15" s="14" t="s">
        <v>5472</v>
      </c>
      <c r="D15" s="31" t="str" cm="1">
        <f t="array" aca="1" ref="D15" ca="1">INDIRECT(""&amp;$C15&amp;"!R"&amp;D$130&amp;"C"&amp;D$131,FALSE)</f>
        <v>Any concrete mix with a strength rating above 80 MPa.</v>
      </c>
      <c r="E15" s="39" t="str">
        <f t="shared" si="0"/>
        <v>Concrete_80upMPa</v>
      </c>
      <c r="F15" s="14" t="str" cm="1">
        <f t="array" aca="1" ref="F15" ca="1">INDIRECT(""&amp;$C15&amp;"!R"&amp;F$130&amp;"C"&amp;F$131,FALSE)</f>
        <v>m³</v>
      </c>
      <c r="G15" s="14" t="str" cm="1">
        <f t="array" aca="1" ref="G15" ca="1">INDIRECT(""&amp;$C15&amp;"!R"&amp;G$130&amp;"C"&amp;G$131,FALSE)</f>
        <v>Tier 3</v>
      </c>
      <c r="H15" s="32">
        <f ca="1">INDEX(Methodology!$B$26:$D$31,MATCH('EF Table_detail'!$G15,Methodology!$B$26:$B$31,0),MATCH('EF Table_detail'!$H$5,Methodology!$B$26:$D$26,0))</f>
        <v>1.1000000000000001</v>
      </c>
      <c r="I15" s="98" cm="1">
        <f t="array" aca="1" ref="I15" ca="1">INDIRECT(""&amp;$C15&amp;"!R"&amp;I$130&amp;"C"&amp;I$131,FALSE)</f>
        <v>710</v>
      </c>
      <c r="J15" s="99" cm="1">
        <f t="array" aca="1" ref="J15" ca="1">INDIRECT(""&amp;$C15&amp;"!R"&amp;J$130&amp;"C"&amp;J$131,FALSE)</f>
        <v>437.76799999999997</v>
      </c>
      <c r="K15" s="100" cm="1">
        <f t="array" aca="1" ref="K15" ca="1">INDIRECT(""&amp;$C15&amp;"!R"&amp;K$130&amp;"C"&amp;K$131,FALSE)</f>
        <v>561.221</v>
      </c>
      <c r="L15" s="101">
        <f ca="1">$K15*(1+INDEX(Methodology!$B$26:$E$31,MATCH($G15,Methodology!$B$26:$B$31,0),MATCH(M$5,Methodology!$B$26:$E$26,0)))</f>
        <v>617.34310000000005</v>
      </c>
      <c r="M15" s="102">
        <f ca="1">$I15*(1+INDEX(Methodology!$B$26:$E$31,MATCH($G15,Methodology!$B$26:$B$31,0),MATCH(M$5,Methodology!$B$26:$E$26,0)))</f>
        <v>781.00000000000011</v>
      </c>
      <c r="N15" s="99" cm="1">
        <f t="array" aca="1" ref="N15" ca="1">INDIRECT(""&amp;$C15&amp;"!R"&amp;N$130&amp;"C"&amp;N$131,FALSE)</f>
        <v>0.29583333333333334</v>
      </c>
      <c r="O15" s="99" cm="1">
        <f t="array" aca="1" ref="O15" ca="1">INDIRECT(""&amp;$C15&amp;"!R"&amp;O$130&amp;"C"&amp;O$131,FALSE)</f>
        <v>0.18362751677852349</v>
      </c>
      <c r="P15" s="100" cm="1">
        <f t="array" aca="1" ref="P15" ca="1">INDIRECT(""&amp;$C15&amp;"!R"&amp;P$130&amp;"C"&amp;P$131,FALSE)</f>
        <v>0.23399510626398209</v>
      </c>
      <c r="Q15" s="101">
        <f ca="1">$P15*(1+INDEX(Methodology!$B$26:$E$31,MATCH($G15,Methodology!$B$26:$B$31,0),MATCH(R$5,Methodology!$B$26:$E$26,0)))</f>
        <v>0.25739461689038035</v>
      </c>
      <c r="R15" s="102">
        <f ca="1">$N15*(1+INDEX(Methodology!$B$26:$E$31,MATCH($G15,Methodology!$B$26:$B$31,0),MATCH(R$5,Methodology!$B$26:$E$26,0)))</f>
        <v>0.32541666666666669</v>
      </c>
      <c r="S15" s="103"/>
      <c r="T15" s="107" cm="1">
        <f t="array" aca="1" ref="T15" ca="1">INDIRECT(""&amp;$C15&amp;"!R"&amp;T$130&amp;"C"&amp;T$131,FALSE)</f>
        <v>0</v>
      </c>
      <c r="U15" s="108" cm="1">
        <f t="array" aca="1" ref="U15" ca="1">INDIRECT(""&amp;$C15&amp;"!R"&amp;U$130&amp;"C"&amp;U$131,FALSE)</f>
        <v>0</v>
      </c>
      <c r="V15" s="107" cm="1">
        <f t="array" aca="1" ref="V15" ca="1">INDIRECT(""&amp;$C15&amp;"!R"&amp;V$130&amp;"C"&amp;V$131,FALSE)</f>
        <v>0</v>
      </c>
      <c r="W15" s="109" cm="1">
        <f t="array" aca="1" ref="W15" ca="1">INDIRECT(""&amp;$C15&amp;"!R"&amp;W$130&amp;"C"&amp;W$131,FALSE)</f>
        <v>0</v>
      </c>
      <c r="X15" s="103"/>
      <c r="Y15" s="107">
        <f t="shared" ca="1" si="1"/>
        <v>2398.4305012210693</v>
      </c>
      <c r="Z15" s="29" t="str">
        <f t="shared" ca="1" si="2"/>
        <v>kg/m³</v>
      </c>
      <c r="AA15" s="35" t="str" cm="1">
        <f t="array" aca="1" ref="AA15" ca="1">IF(INDIRECT(""&amp;$C15&amp;"!R"&amp;AA$130&amp;"C"&amp;AA$131,FALSE)=0,"",INDIRECT(""&amp;$C15&amp;"!R"&amp;AA$130&amp;"C"&amp;AA$131,FALSE))</f>
        <v>Maximum of data source falls below the maximum for 50 MPa. Likely due to a limited source of market coverage at this strength rating. The max from 50 MPa has been used.</v>
      </c>
      <c r="AB15" s="36" t="str" cm="1">
        <f t="array" aca="1" ref="AB15" ca="1">IFERROR(IF(INDIRECT(""&amp;$C15&amp;"!R"&amp;AB$130&amp;"C"&amp;AB$131,FALSE)="Average (weighted)","Yes","No"),"")</f>
        <v>No</v>
      </c>
    </row>
    <row r="16" spans="1:29" ht="45" customHeight="1" x14ac:dyDescent="0.25">
      <c r="A16" s="9" t="s">
        <v>5463</v>
      </c>
      <c r="B16" s="9" t="s">
        <v>5473</v>
      </c>
      <c r="C16" s="14" t="s">
        <v>5467</v>
      </c>
      <c r="D16" s="31" t="str" cm="1">
        <f t="array" aca="1" ref="D16" ca="1">INDIRECT(""&amp;$C16&amp;"!R"&amp;D$130&amp;"C"&amp;D$131,FALSE)</f>
        <v>Any concrete mix with a strength rating of 32 MPa or lower, and greater than 25 MPa.</v>
      </c>
      <c r="E16" s="39" t="str">
        <f t="shared" si="0"/>
        <v>Concrete_32MPa</v>
      </c>
      <c r="F16" s="14" t="str" cm="1">
        <f t="array" aca="1" ref="F16" ca="1">INDIRECT(""&amp;$C16&amp;"!R"&amp;F$130&amp;"C"&amp;F$131,FALSE)</f>
        <v>m³</v>
      </c>
      <c r="G16" s="14" t="str" cm="1">
        <f t="array" aca="1" ref="G16" ca="1">INDIRECT(""&amp;$C16&amp;"!R"&amp;G$130&amp;"C"&amp;G$131,FALSE)</f>
        <v>Tier 1</v>
      </c>
      <c r="H16" s="32">
        <f ca="1">INDEX(Methodology!$B$26:$D$31,MATCH('EF Table_detail'!$G16,Methodology!$B$26:$B$31,0),MATCH('EF Table_detail'!$H$5,Methodology!$B$26:$D$26,0))</f>
        <v>1.02</v>
      </c>
      <c r="I16" s="98" cm="1">
        <f t="array" aca="1" ref="I16" ca="1">INDIRECT(""&amp;$C16&amp;"!R"&amp;I$130&amp;"C"&amp;I$131,FALSE)</f>
        <v>459.166</v>
      </c>
      <c r="J16" s="99" cm="1">
        <f t="array" aca="1" ref="J16" ca="1">INDIRECT(""&amp;$C16&amp;"!R"&amp;J$130&amp;"C"&amp;J$131,FALSE)</f>
        <v>167.14</v>
      </c>
      <c r="K16" s="100" cm="1">
        <f t="array" aca="1" ref="K16" ca="1">INDIRECT(""&amp;$C16&amp;"!R"&amp;K$130&amp;"C"&amp;K$131,FALSE)</f>
        <v>249.30771031917359</v>
      </c>
      <c r="L16" s="101">
        <f ca="1">$K16*(1+INDEX(Methodology!$B$26:$E$31,MATCH($G16,Methodology!$B$26:$B$31,0),MATCH(M$5,Methodology!$B$26:$E$26,0)))</f>
        <v>254.29386452555707</v>
      </c>
      <c r="M16" s="102">
        <f ca="1">$I16*(1+INDEX(Methodology!$B$26:$E$31,MATCH($G16,Methodology!$B$26:$B$31,0),MATCH(M$5,Methodology!$B$26:$E$26,0)))</f>
        <v>468.34931999999998</v>
      </c>
      <c r="N16" s="99" cm="1">
        <f t="array" aca="1" ref="N16" ca="1">INDIRECT(""&amp;$C16&amp;"!R"&amp;N$130&amp;"C"&amp;N$131,FALSE)</f>
        <v>0.19131916666666668</v>
      </c>
      <c r="O16" s="99" cm="1">
        <f t="array" aca="1" ref="O16" ca="1">INDIRECT(""&amp;$C16&amp;"!R"&amp;O$130&amp;"C"&amp;O$131,FALSE)</f>
        <v>6.9641666666666657E-2</v>
      </c>
      <c r="P16" s="100" cm="1">
        <f t="array" aca="1" ref="P16" ca="1">INDIRECT(""&amp;$C16&amp;"!R"&amp;P$130&amp;"C"&amp;P$131,FALSE)</f>
        <v>0.10389864664109499</v>
      </c>
      <c r="Q16" s="101">
        <f ca="1">$P16*(1+INDEX(Methodology!$B$26:$E$31,MATCH($G16,Methodology!$B$26:$B$31,0),MATCH(R$5,Methodology!$B$26:$E$26,0)))</f>
        <v>0.10597661957391689</v>
      </c>
      <c r="R16" s="102">
        <f ca="1">$N16*(1+INDEX(Methodology!$B$26:$E$31,MATCH($G16,Methodology!$B$26:$B$31,0),MATCH(R$5,Methodology!$B$26:$E$26,0)))</f>
        <v>0.19514555000000003</v>
      </c>
      <c r="S16" s="103"/>
      <c r="T16" s="107" cm="1">
        <f t="array" aca="1" ref="T16" ca="1">INDIRECT(""&amp;$C16&amp;"!R"&amp;T$130&amp;"C"&amp;T$131,FALSE)</f>
        <v>0</v>
      </c>
      <c r="U16" s="108" cm="1">
        <f t="array" aca="1" ref="U16" ca="1">INDIRECT(""&amp;$C16&amp;"!R"&amp;U$130&amp;"C"&amp;U$131,FALSE)</f>
        <v>0</v>
      </c>
      <c r="V16" s="107" cm="1">
        <f t="array" aca="1" ref="V16" ca="1">INDIRECT(""&amp;$C16&amp;"!R"&amp;V$130&amp;"C"&amp;V$131,FALSE)</f>
        <v>0</v>
      </c>
      <c r="W16" s="109" cm="1">
        <f t="array" aca="1" ref="W16" ca="1">INDIRECT(""&amp;$C16&amp;"!R"&amp;W$130&amp;"C"&amp;W$131,FALSE)</f>
        <v>0</v>
      </c>
      <c r="X16" s="103"/>
      <c r="Y16" s="107">
        <f t="shared" ref="Y16" ca="1" si="3">IFERROR(K16/P16,"")</f>
        <v>2399.5279859647853</v>
      </c>
      <c r="Z16" s="29" t="str">
        <f t="shared" ref="Z16" ca="1" si="4">"kg/"&amp;F16</f>
        <v>kg/m³</v>
      </c>
      <c r="AA16" s="35" t="str" cm="1">
        <f t="array" aca="1" ref="AA16" ca="1">IF(INDIRECT(""&amp;$C16&amp;"!R"&amp;AA$130&amp;"C"&amp;AA$131,FALSE)=0,"",INDIRECT(""&amp;$C16&amp;"!R"&amp;AA$130&amp;"C"&amp;AA$131,FALSE))</f>
        <v/>
      </c>
      <c r="AB16" s="36" t="str" cm="1">
        <f t="array" aca="1" ref="AB16" ca="1">IFERROR(IF(INDIRECT(""&amp;$C16&amp;"!R"&amp;AB$130&amp;"C"&amp;AB$131,FALSE)="Average (weighted)","Yes","No"),"")</f>
        <v>No</v>
      </c>
    </row>
    <row r="17" spans="1:28" ht="45" customHeight="1" x14ac:dyDescent="0.25">
      <c r="A17" s="9" t="s">
        <v>5474</v>
      </c>
      <c r="B17" s="12" t="s">
        <v>5475</v>
      </c>
      <c r="C17" s="11" t="s">
        <v>5476</v>
      </c>
      <c r="D17" s="31" t="str" cm="1">
        <f t="array" aca="1" ref="D17" ca="1">INDIRECT(""&amp;$C17&amp;"!R"&amp;D$130&amp;"C"&amp;D$131,FALSE)</f>
        <v>Any precast concrete panel including reinforcing steel (i.e. wall, deck, or balcony panel).</v>
      </c>
      <c r="E17" s="39" t="str">
        <f t="shared" si="0"/>
        <v>Concrete_precast_panel</v>
      </c>
      <c r="F17" s="14" t="str" cm="1">
        <f t="array" aca="1" ref="F17" ca="1">INDIRECT(""&amp;$C17&amp;"!R"&amp;F$130&amp;"C"&amp;F$131,FALSE)</f>
        <v>tonne</v>
      </c>
      <c r="G17" s="14" t="str" cm="1">
        <f t="array" aca="1" ref="G17" ca="1">INDIRECT(""&amp;$C17&amp;"!R"&amp;G$130&amp;"C"&amp;G$131,FALSE)</f>
        <v>Untiered</v>
      </c>
      <c r="H17" s="32">
        <f ca="1">INDEX(Methodology!$B$26:$D$31,MATCH('EF Table_detail'!$G17,Methodology!$B$26:$B$31,0),MATCH('EF Table_detail'!$H$5,Methodology!$B$26:$D$26,0))</f>
        <v>1</v>
      </c>
      <c r="I17" s="98" cm="1">
        <f t="array" aca="1" ref="I17" ca="1">INDIRECT(""&amp;$C17&amp;"!R"&amp;I$130&amp;"C"&amp;I$131,FALSE)</f>
        <v>439.03559663287507</v>
      </c>
      <c r="J17" s="99" cm="1">
        <f t="array" aca="1" ref="J17" ca="1">INDIRECT(""&amp;$C17&amp;"!R"&amp;J$130&amp;"C"&amp;J$131,FALSE)</f>
        <v>69.349183916666675</v>
      </c>
      <c r="K17" s="100" cm="1">
        <f t="array" aca="1" ref="K17" ca="1">INDIRECT(""&amp;$C17&amp;"!R"&amp;K$130&amp;"C"&amp;K$131,FALSE)</f>
        <v>232.96106649034476</v>
      </c>
      <c r="L17" s="101">
        <f ca="1">$K17*(1+INDEX(Methodology!$B$26:$E$31,MATCH($G17,Methodology!$B$26:$B$31,0),MATCH(M$5,Methodology!$B$26:$E$26,0)))</f>
        <v>232.96106649034476</v>
      </c>
      <c r="M17" s="102">
        <f ca="1">$I17*(1+INDEX(Methodology!$B$26:$E$31,MATCH($G17,Methodology!$B$26:$B$31,0),MATCH(M$5,Methodology!$B$26:$E$26,0)))</f>
        <v>439.03559663287507</v>
      </c>
      <c r="N17" s="99" cm="1">
        <f t="array" aca="1" ref="N17" ca="1">INDIRECT(""&amp;$C17&amp;"!R"&amp;N$130&amp;"C"&amp;N$131,FALSE)</f>
        <v>0.43903559663287506</v>
      </c>
      <c r="O17" s="99" cm="1">
        <f t="array" aca="1" ref="O17" ca="1">INDIRECT(""&amp;$C17&amp;"!R"&amp;O$130&amp;"C"&amp;O$131,FALSE)</f>
        <v>6.9349183916666682E-2</v>
      </c>
      <c r="P17" s="100" cm="1">
        <f t="array" aca="1" ref="P17" ca="1">INDIRECT(""&amp;$C17&amp;"!R"&amp;P$130&amp;"C"&amp;P$131,FALSE)</f>
        <v>0.23296106649034476</v>
      </c>
      <c r="Q17" s="101">
        <f ca="1">$P17*(1+INDEX(Methodology!$B$26:$E$31,MATCH($G17,Methodology!$B$26:$B$31,0),MATCH(R$5,Methodology!$B$26:$E$26,0)))</f>
        <v>0.23296106649034476</v>
      </c>
      <c r="R17" s="102">
        <f ca="1">$N17*(1+INDEX(Methodology!$B$26:$E$31,MATCH($G17,Methodology!$B$26:$B$31,0),MATCH(R$5,Methodology!$B$26:$E$26,0)))</f>
        <v>0.43903559663287506</v>
      </c>
      <c r="S17" s="103"/>
      <c r="T17" s="107" cm="1">
        <f t="array" aca="1" ref="T17" ca="1">INDIRECT(""&amp;$C17&amp;"!R"&amp;T$130&amp;"C"&amp;T$131,FALSE)</f>
        <v>0</v>
      </c>
      <c r="U17" s="108" cm="1">
        <f t="array" aca="1" ref="U17" ca="1">INDIRECT(""&amp;$C17&amp;"!R"&amp;U$130&amp;"C"&amp;U$131,FALSE)</f>
        <v>0</v>
      </c>
      <c r="V17" s="107" cm="1">
        <f t="array" aca="1" ref="V17" ca="1">INDIRECT(""&amp;$C17&amp;"!R"&amp;V$130&amp;"C"&amp;V$131,FALSE)</f>
        <v>0</v>
      </c>
      <c r="W17" s="109" cm="1">
        <f t="array" aca="1" ref="W17" ca="1">INDIRECT(""&amp;$C17&amp;"!R"&amp;W$130&amp;"C"&amp;W$131,FALSE)</f>
        <v>0</v>
      </c>
      <c r="X17" s="103"/>
      <c r="Y17" s="107">
        <f t="shared" ca="1" si="1"/>
        <v>1000</v>
      </c>
      <c r="Z17" s="29" t="str">
        <f t="shared" ca="1" si="2"/>
        <v>kg/tonne</v>
      </c>
      <c r="AA17" s="35" t="str" cm="1">
        <f t="array" aca="1" ref="AA17" ca="1">IF(INDIRECT(""&amp;$C17&amp;"!R"&amp;AA$130&amp;"C"&amp;AA$131,FALSE)=0,"",INDIRECT(""&amp;$C17&amp;"!R"&amp;AA$130&amp;"C"&amp;AA$131,FALSE))</f>
        <v>Includes steel reinforcing.</v>
      </c>
      <c r="AB17" s="36" t="str" cm="1">
        <f t="array" aca="1" ref="AB17" ca="1">IFERROR(IF(INDIRECT(""&amp;$C17&amp;"!R"&amp;AB$130&amp;"C"&amp;AB$131,FALSE)="Average (weighted)","Yes","No"),"")</f>
        <v>No</v>
      </c>
    </row>
    <row r="18" spans="1:28" ht="45" customHeight="1" x14ac:dyDescent="0.25">
      <c r="A18" s="9" t="s">
        <v>5474</v>
      </c>
      <c r="B18" s="12" t="s">
        <v>5477</v>
      </c>
      <c r="C18" s="11" t="s">
        <v>5478</v>
      </c>
      <c r="D18" s="31" t="str" cm="1">
        <f t="array" aca="1" ref="D18" ca="1">INDIRECT(""&amp;$C18&amp;"!R"&amp;D$130&amp;"C"&amp;D$131,FALSE)</f>
        <v>Precast hollowcore concrete slabs including reinforcing steel.</v>
      </c>
      <c r="E18" s="39" t="str">
        <f t="shared" si="0"/>
        <v>Concrete_hollowcore</v>
      </c>
      <c r="F18" s="14" t="str" cm="1">
        <f t="array" aca="1" ref="F18" ca="1">INDIRECT(""&amp;$C18&amp;"!R"&amp;F$130&amp;"C"&amp;F$131,FALSE)</f>
        <v>m³</v>
      </c>
      <c r="G18" s="14" t="str" cm="1">
        <f t="array" aca="1" ref="G18" ca="1">INDIRECT(""&amp;$C18&amp;"!R"&amp;G$130&amp;"C"&amp;G$131,FALSE)</f>
        <v>Tier 4</v>
      </c>
      <c r="H18" s="32">
        <f ca="1">INDEX(Methodology!$B$26:$D$31,MATCH('EF Table_detail'!$G18,Methodology!$B$26:$B$31,0),MATCH('EF Table_detail'!$H$5,Methodology!$B$26:$D$26,0))</f>
        <v>1.2</v>
      </c>
      <c r="I18" s="98" cm="1">
        <f t="array" aca="1" ref="I18" ca="1">INDIRECT(""&amp;$C18&amp;"!R"&amp;I$130&amp;"C"&amp;I$131,FALSE)</f>
        <v>357</v>
      </c>
      <c r="J18" s="99" cm="1">
        <f t="array" aca="1" ref="J18" ca="1">INDIRECT(""&amp;$C18&amp;"!R"&amp;J$130&amp;"C"&amp;J$131,FALSE)</f>
        <v>317</v>
      </c>
      <c r="K18" s="100" cm="1">
        <f t="array" aca="1" ref="K18" ca="1">INDIRECT(""&amp;$C18&amp;"!R"&amp;K$130&amp;"C"&amp;K$131,FALSE)</f>
        <v>338.5</v>
      </c>
      <c r="L18" s="101">
        <f ca="1">$K18*(1+INDEX(Methodology!$B$26:$E$31,MATCH($G18,Methodology!$B$26:$B$31,0),MATCH(M$5,Methodology!$B$26:$E$26,0)))</f>
        <v>406.2</v>
      </c>
      <c r="M18" s="102">
        <f ca="1">$I18*(1+INDEX(Methodology!$B$26:$E$31,MATCH($G18,Methodology!$B$26:$B$31,0),MATCH(M$5,Methodology!$B$26:$E$26,0)))</f>
        <v>428.4</v>
      </c>
      <c r="N18" s="99" cm="1">
        <f t="array" aca="1" ref="N18" ca="1">INDIRECT(""&amp;$C18&amp;"!R"&amp;N$130&amp;"C"&amp;N$131,FALSE)</f>
        <v>0.24203389830508473</v>
      </c>
      <c r="O18" s="99" cm="1">
        <f t="array" aca="1" ref="O18" ca="1">INDIRECT(""&amp;$C18&amp;"!R"&amp;O$130&amp;"C"&amp;O$131,FALSE)</f>
        <v>0.21491525423728813</v>
      </c>
      <c r="P18" s="100" cm="1">
        <f t="array" aca="1" ref="P18" ca="1">INDIRECT(""&amp;$C18&amp;"!R"&amp;P$130&amp;"C"&amp;P$131,FALSE)</f>
        <v>0.2294915254237288</v>
      </c>
      <c r="Q18" s="101">
        <f ca="1">$P18*(1+INDEX(Methodology!$B$26:$E$31,MATCH($G18,Methodology!$B$26:$B$31,0),MATCH(R$5,Methodology!$B$26:$E$26,0)))</f>
        <v>0.27538983050847454</v>
      </c>
      <c r="R18" s="102">
        <f ca="1">$N18*(1+INDEX(Methodology!$B$26:$E$31,MATCH($G18,Methodology!$B$26:$B$31,0),MATCH(R$5,Methodology!$B$26:$E$26,0)))</f>
        <v>0.29044067796610168</v>
      </c>
      <c r="S18" s="103"/>
      <c r="T18" s="107" cm="1">
        <f t="array" aca="1" ref="T18" ca="1">INDIRECT(""&amp;$C18&amp;"!R"&amp;T$130&amp;"C"&amp;T$131,FALSE)</f>
        <v>0</v>
      </c>
      <c r="U18" s="108" cm="1">
        <f t="array" aca="1" ref="U18" ca="1">INDIRECT(""&amp;$C18&amp;"!R"&amp;U$130&amp;"C"&amp;U$131,FALSE)</f>
        <v>0</v>
      </c>
      <c r="V18" s="107" cm="1">
        <f t="array" aca="1" ref="V18" ca="1">INDIRECT(""&amp;$C18&amp;"!R"&amp;V$130&amp;"C"&amp;V$131,FALSE)</f>
        <v>0</v>
      </c>
      <c r="W18" s="109" cm="1">
        <f t="array" aca="1" ref="W18" ca="1">INDIRECT(""&amp;$C18&amp;"!R"&amp;W$130&amp;"C"&amp;W$131,FALSE)</f>
        <v>0</v>
      </c>
      <c r="X18" s="103"/>
      <c r="Y18" s="107">
        <f t="shared" ca="1" si="1"/>
        <v>1475</v>
      </c>
      <c r="Z18" s="29" t="str">
        <f t="shared" ca="1" si="2"/>
        <v>kg/m³</v>
      </c>
      <c r="AA18" s="35" t="str" cm="1">
        <f t="array" aca="1" ref="AA18" ca="1">IF(INDIRECT(""&amp;$C18&amp;"!R"&amp;AA$130&amp;"C"&amp;AA$131,FALSE)=0,"",INDIRECT(""&amp;$C18&amp;"!R"&amp;AA$130&amp;"C"&amp;AA$131,FALSE))</f>
        <v>Declared unit is per cubic meters of slab including hollows/voids</v>
      </c>
      <c r="AB18" s="36" t="str" cm="1">
        <f t="array" aca="1" ref="AB18" ca="1">IFERROR(IF(INDIRECT(""&amp;$C18&amp;"!R"&amp;AB$130&amp;"C"&amp;AB$131,FALSE)="Average (weighted)","Yes","No"),"")</f>
        <v>No</v>
      </c>
    </row>
    <row r="19" spans="1:28" ht="45" customHeight="1" x14ac:dyDescent="0.25">
      <c r="A19" s="9" t="s">
        <v>5479</v>
      </c>
      <c r="B19" s="12" t="s">
        <v>5480</v>
      </c>
      <c r="C19" s="11" t="s">
        <v>5481</v>
      </c>
      <c r="D19" s="31" t="str" cm="1">
        <f t="array" aca="1" ref="D19" ca="1">INDIRECT(""&amp;$C19&amp;"!R"&amp;D$130&amp;"C"&amp;D$131,FALSE)</f>
        <v>Concrete brick, block and roof tiles i.e. cinder block or concrete finishing brick/tile used in masonry. Not including any core fill material or reinforcing.</v>
      </c>
      <c r="E19" s="39" t="str">
        <f t="shared" si="0"/>
        <v>Concrete_bricks</v>
      </c>
      <c r="F19" s="14" t="str" cm="1">
        <f t="array" aca="1" ref="F19" ca="1">INDIRECT(""&amp;$C19&amp;"!R"&amp;F$130&amp;"C"&amp;F$131,FALSE)</f>
        <v>tonne</v>
      </c>
      <c r="G19" s="14" t="str" cm="1">
        <f t="array" aca="1" ref="G19" ca="1">INDIRECT(""&amp;$C19&amp;"!R"&amp;G$130&amp;"C"&amp;G$131,FALSE)</f>
        <v>Tier 3</v>
      </c>
      <c r="H19" s="32">
        <f ca="1">INDEX(Methodology!$B$26:$D$31,MATCH('EF Table_detail'!$G19,Methodology!$B$26:$B$31,0),MATCH('EF Table_detail'!$H$5,Methodology!$B$26:$D$26,0))</f>
        <v>1.1000000000000001</v>
      </c>
      <c r="I19" s="98" cm="1">
        <f t="array" aca="1" ref="I19" ca="1">INDIRECT(""&amp;$C19&amp;"!R"&amp;I$130&amp;"C"&amp;I$131,FALSE)</f>
        <v>240.39</v>
      </c>
      <c r="J19" s="99" cm="1">
        <f t="array" aca="1" ref="J19" ca="1">INDIRECT(""&amp;$C19&amp;"!R"&amp;J$130&amp;"C"&amp;J$131,FALSE)</f>
        <v>111.67</v>
      </c>
      <c r="K19" s="100" cm="1">
        <f t="array" aca="1" ref="K19" ca="1">INDIRECT(""&amp;$C19&amp;"!R"&amp;K$130&amp;"C"&amp;K$131,FALSE)</f>
        <v>158.68923076923076</v>
      </c>
      <c r="L19" s="101">
        <f ca="1">$K19*(1+INDEX(Methodology!$B$26:$E$31,MATCH($G19,Methodology!$B$26:$B$31,0),MATCH(M$5,Methodology!$B$26:$E$26,0)))</f>
        <v>174.55815384615386</v>
      </c>
      <c r="M19" s="102">
        <f ca="1">$I19*(1+INDEX(Methodology!$B$26:$E$31,MATCH($G19,Methodology!$B$26:$B$31,0),MATCH(M$5,Methodology!$B$26:$E$26,0)))</f>
        <v>264.42900000000003</v>
      </c>
      <c r="N19" s="99" cm="1">
        <f t="array" aca="1" ref="N19" ca="1">INDIRECT(""&amp;$C19&amp;"!R"&amp;N$130&amp;"C"&amp;N$131,FALSE)</f>
        <v>0.24038999999999999</v>
      </c>
      <c r="O19" s="99" cm="1">
        <f t="array" aca="1" ref="O19" ca="1">INDIRECT(""&amp;$C19&amp;"!R"&amp;O$130&amp;"C"&amp;O$131,FALSE)</f>
        <v>0.11167000000000001</v>
      </c>
      <c r="P19" s="100" cm="1">
        <f t="array" aca="1" ref="P19" ca="1">INDIRECT(""&amp;$C19&amp;"!R"&amp;P$130&amp;"C"&amp;P$131,FALSE)</f>
        <v>0.1586892307692308</v>
      </c>
      <c r="Q19" s="101">
        <f ca="1">$P19*(1+INDEX(Methodology!$B$26:$E$31,MATCH($G19,Methodology!$B$26:$B$31,0),MATCH(R$5,Methodology!$B$26:$E$26,0)))</f>
        <v>0.17455815384615389</v>
      </c>
      <c r="R19" s="102">
        <f ca="1">$N19*(1+INDEX(Methodology!$B$26:$E$31,MATCH($G19,Methodology!$B$26:$B$31,0),MATCH(R$5,Methodology!$B$26:$E$26,0)))</f>
        <v>0.26442900000000003</v>
      </c>
      <c r="S19" s="103"/>
      <c r="T19" s="107" cm="1">
        <f t="array" aca="1" ref="T19" ca="1">INDIRECT(""&amp;$C19&amp;"!R"&amp;T$130&amp;"C"&amp;T$131,FALSE)</f>
        <v>0</v>
      </c>
      <c r="U19" s="108" cm="1">
        <f t="array" aca="1" ref="U19" ca="1">INDIRECT(""&amp;$C19&amp;"!R"&amp;U$130&amp;"C"&amp;U$131,FALSE)</f>
        <v>0</v>
      </c>
      <c r="V19" s="107" cm="1">
        <f t="array" aca="1" ref="V19" ca="1">INDIRECT(""&amp;$C19&amp;"!R"&amp;V$130&amp;"C"&amp;V$131,FALSE)</f>
        <v>0</v>
      </c>
      <c r="W19" s="109" cm="1">
        <f t="array" aca="1" ref="W19" ca="1">INDIRECT(""&amp;$C19&amp;"!R"&amp;W$130&amp;"C"&amp;W$131,FALSE)</f>
        <v>0</v>
      </c>
      <c r="X19" s="103"/>
      <c r="Y19" s="107">
        <f t="shared" ca="1" si="1"/>
        <v>999.99999999999977</v>
      </c>
      <c r="Z19" s="29" t="str">
        <f t="shared" ca="1" si="2"/>
        <v>kg/tonne</v>
      </c>
      <c r="AA19" s="35" t="str" cm="1">
        <f t="array" aca="1" ref="AA19" ca="1">IF(INDIRECT(""&amp;$C19&amp;"!R"&amp;AA$130&amp;"C"&amp;AA$131,FALSE)=0,"",INDIRECT(""&amp;$C19&amp;"!R"&amp;AA$130&amp;"C"&amp;AA$131,FALSE))</f>
        <v>Not including any core fill material or reinforcing.</v>
      </c>
      <c r="AB19" s="36" t="str" cm="1">
        <f t="array" aca="1" ref="AB19" ca="1">IFERROR(IF(INDIRECT(""&amp;$C19&amp;"!R"&amp;AB$130&amp;"C"&amp;AB$131,FALSE)="Average (weighted)","Yes","No"),"")</f>
        <v>No</v>
      </c>
    </row>
    <row r="20" spans="1:28" ht="45" customHeight="1" x14ac:dyDescent="0.25">
      <c r="A20" s="9" t="s">
        <v>5479</v>
      </c>
      <c r="B20" s="12" t="s">
        <v>5482</v>
      </c>
      <c r="C20" s="11" t="s">
        <v>5483</v>
      </c>
      <c r="D20" s="31" t="str" cm="1">
        <f t="array" aca="1" ref="D20" ca="1">INDIRECT(""&amp;$C20&amp;"!R"&amp;D$130&amp;"C"&amp;D$131,FALSE)</f>
        <v>Autoclaved Aerated Concrete (AAC) blocks without reinforcing or fill.</v>
      </c>
      <c r="E20" s="39" t="str">
        <f t="shared" si="0"/>
        <v>AAC_block</v>
      </c>
      <c r="F20" s="14" t="str" cm="1">
        <f t="array" aca="1" ref="F20" ca="1">INDIRECT(""&amp;$C20&amp;"!R"&amp;F$130&amp;"C"&amp;F$131,FALSE)</f>
        <v>m³</v>
      </c>
      <c r="G20" s="14" t="str" cm="1">
        <f t="array" aca="1" ref="G20" ca="1">INDIRECT(""&amp;$C20&amp;"!R"&amp;G$130&amp;"C"&amp;G$131,FALSE)</f>
        <v>Tier 4</v>
      </c>
      <c r="H20" s="32">
        <f ca="1">INDEX(Methodology!$B$26:$D$31,MATCH('EF Table_detail'!$G20,Methodology!$B$26:$B$31,0),MATCH('EF Table_detail'!$H$5,Methodology!$B$26:$D$26,0))</f>
        <v>1.2</v>
      </c>
      <c r="I20" s="98" cm="1">
        <f t="array" aca="1" ref="I20" ca="1">INDIRECT(""&amp;$C20&amp;"!R"&amp;I$130&amp;"C"&amp;I$131,FALSE)</f>
        <v>232</v>
      </c>
      <c r="J20" s="99" cm="1">
        <f t="array" aca="1" ref="J20" ca="1">INDIRECT(""&amp;$C20&amp;"!R"&amp;J$130&amp;"C"&amp;J$131,FALSE)</f>
        <v>150.24699999999999</v>
      </c>
      <c r="K20" s="100" cm="1">
        <f t="array" aca="1" ref="K20" ca="1">INDIRECT(""&amp;$C20&amp;"!R"&amp;K$130&amp;"C"&amp;K$131,FALSE)</f>
        <v>190.06174999999999</v>
      </c>
      <c r="L20" s="101">
        <f ca="1">$K20*(1+INDEX(Methodology!$B$26:$E$31,MATCH($G20,Methodology!$B$26:$B$31,0),MATCH(M$5,Methodology!$B$26:$E$26,0)))</f>
        <v>228.07409999999999</v>
      </c>
      <c r="M20" s="102">
        <f ca="1">$I20*(1+INDEX(Methodology!$B$26:$E$31,MATCH($G20,Methodology!$B$26:$B$31,0),MATCH(M$5,Methodology!$B$26:$E$26,0)))</f>
        <v>278.39999999999998</v>
      </c>
      <c r="N20" s="99" cm="1">
        <f t="array" aca="1" ref="N20" ca="1">INDIRECT(""&amp;$C20&amp;"!R"&amp;N$130&amp;"C"&amp;N$131,FALSE)</f>
        <v>0.60333333333333339</v>
      </c>
      <c r="O20" s="99" cm="1">
        <f t="array" aca="1" ref="O20" ca="1">INDIRECT(""&amp;$C20&amp;"!R"&amp;O$130&amp;"C"&amp;O$131,FALSE)</f>
        <v>0.33388222222222219</v>
      </c>
      <c r="P20" s="100" cm="1">
        <f t="array" aca="1" ref="P20" ca="1">INDIRECT(""&amp;$C20&amp;"!R"&amp;P$130&amp;"C"&amp;P$131,FALSE)</f>
        <v>0.43690805555555556</v>
      </c>
      <c r="Q20" s="101">
        <f ca="1">$P20*(1+INDEX(Methodology!$B$26:$E$31,MATCH($G20,Methodology!$B$26:$B$31,0),MATCH(R$5,Methodology!$B$26:$E$26,0)))</f>
        <v>0.52428966666666665</v>
      </c>
      <c r="R20" s="102">
        <f ca="1">$N20*(1+INDEX(Methodology!$B$26:$E$31,MATCH($G20,Methodology!$B$26:$B$31,0),MATCH(R$5,Methodology!$B$26:$E$26,0)))</f>
        <v>0.72400000000000009</v>
      </c>
      <c r="S20" s="103"/>
      <c r="T20" s="107" cm="1">
        <f t="array" aca="1" ref="T20" ca="1">INDIRECT(""&amp;$C20&amp;"!R"&amp;T$130&amp;"C"&amp;T$131,FALSE)</f>
        <v>0</v>
      </c>
      <c r="U20" s="108" cm="1">
        <f t="array" aca="1" ref="U20" ca="1">INDIRECT(""&amp;$C20&amp;"!R"&amp;U$130&amp;"C"&amp;U$131,FALSE)</f>
        <v>0</v>
      </c>
      <c r="V20" s="107" cm="1">
        <f t="array" aca="1" ref="V20" ca="1">INDIRECT(""&amp;$C20&amp;"!R"&amp;V$130&amp;"C"&amp;V$131,FALSE)</f>
        <v>0</v>
      </c>
      <c r="W20" s="109" cm="1">
        <f t="array" aca="1" ref="W20" ca="1">INDIRECT(""&amp;$C20&amp;"!R"&amp;W$130&amp;"C"&amp;W$131,FALSE)</f>
        <v>0</v>
      </c>
      <c r="X20" s="103"/>
      <c r="Y20" s="107">
        <f t="shared" ca="1" si="1"/>
        <v>435.01543993810037</v>
      </c>
      <c r="Z20" s="29" t="str">
        <f t="shared" ca="1" si="2"/>
        <v>kg/m³</v>
      </c>
      <c r="AA20" s="35" t="str" cm="1">
        <f t="array" aca="1" ref="AA20" ca="1">IF(INDIRECT(""&amp;$C20&amp;"!R"&amp;AA$130&amp;"C"&amp;AA$131,FALSE)=0,"",INDIRECT(""&amp;$C20&amp;"!R"&amp;AA$130&amp;"C"&amp;AA$131,FALSE))</f>
        <v/>
      </c>
      <c r="AB20" s="36" t="str" cm="1">
        <f t="array" aca="1" ref="AB20" ca="1">IFERROR(IF(INDIRECT(""&amp;$C20&amp;"!R"&amp;AB$130&amp;"C"&amp;AB$131,FALSE)="Average (weighted)","Yes","No"),"")</f>
        <v>No</v>
      </c>
    </row>
    <row r="21" spans="1:28" ht="45" customHeight="1" x14ac:dyDescent="0.25">
      <c r="A21" s="9" t="s">
        <v>5484</v>
      </c>
      <c r="B21" s="12" t="s">
        <v>5485</v>
      </c>
      <c r="C21" s="11" t="s">
        <v>5486</v>
      </c>
      <c r="D21" s="31" t="str" cm="1">
        <f t="array" aca="1" ref="D21" ca="1">INDIRECT(""&amp;$C21&amp;"!R"&amp;D$130&amp;"C"&amp;D$131,FALSE)</f>
        <v>Steel used to reinforce concrete structures as named in the material category.</v>
      </c>
      <c r="E21" s="39" t="str">
        <f t="shared" si="0"/>
        <v>Reinforcing_steel</v>
      </c>
      <c r="F21" s="14" t="str" cm="1">
        <f t="array" aca="1" ref="F21" ca="1">INDIRECT(""&amp;$C21&amp;"!R"&amp;F$130&amp;"C"&amp;F$131,FALSE)</f>
        <v>tonne</v>
      </c>
      <c r="G21" s="14" t="str" cm="1">
        <f t="array" aca="1" ref="G21" ca="1">INDIRECT(""&amp;$C21&amp;"!R"&amp;G$130&amp;"C"&amp;G$131,FALSE)</f>
        <v>Tier 2</v>
      </c>
      <c r="H21" s="32">
        <f ca="1">INDEX(Methodology!$B$26:$D$31,MATCH('EF Table_detail'!$G21,Methodology!$B$26:$B$31,0),MATCH('EF Table_detail'!$H$5,Methodology!$B$26:$D$26,0))</f>
        <v>1.05</v>
      </c>
      <c r="I21" s="98" cm="1">
        <f t="array" aca="1" ref="I21" ca="1">INDIRECT(""&amp;$C21&amp;"!R"&amp;I$130&amp;"C"&amp;I$131,FALSE)</f>
        <v>3480.3890000000001</v>
      </c>
      <c r="J21" s="99" cm="1">
        <f t="array" aca="1" ref="J21" ca="1">INDIRECT(""&amp;$C21&amp;"!R"&amp;J$130&amp;"C"&amp;J$131,FALSE)</f>
        <v>309</v>
      </c>
      <c r="K21" s="100" cm="1">
        <f t="array" aca="1" ref="K21" ca="1">INDIRECT(""&amp;$C21&amp;"!R"&amp;K$130&amp;"C"&amp;K$131,FALSE)</f>
        <v>1602.0663825042723</v>
      </c>
      <c r="L21" s="101">
        <f ca="1">$K21*(1+INDEX(Methodology!$B$26:$E$31,MATCH($G21,Methodology!$B$26:$B$31,0),MATCH(M$5,Methodology!$B$26:$E$26,0)))</f>
        <v>1682.1697016294859</v>
      </c>
      <c r="M21" s="102">
        <f ca="1">$I21*(1+INDEX(Methodology!$B$26:$E$31,MATCH($G21,Methodology!$B$26:$B$31,0),MATCH(M$5,Methodology!$B$26:$E$26,0)))</f>
        <v>3654.4084500000004</v>
      </c>
      <c r="N21" s="99" cm="1">
        <f t="array" aca="1" ref="N21" ca="1">INDIRECT(""&amp;$C21&amp;"!R"&amp;N$130&amp;"C"&amp;N$131,FALSE)</f>
        <v>3.4803890000000002</v>
      </c>
      <c r="O21" s="99" cm="1">
        <f t="array" aca="1" ref="O21" ca="1">INDIRECT(""&amp;$C21&amp;"!R"&amp;O$130&amp;"C"&amp;O$131,FALSE)</f>
        <v>0.309</v>
      </c>
      <c r="P21" s="100" cm="1">
        <f t="array" aca="1" ref="P21" ca="1">INDIRECT(""&amp;$C21&amp;"!R"&amp;P$130&amp;"C"&amp;P$131,FALSE)</f>
        <v>1.6020663825042725</v>
      </c>
      <c r="Q21" s="101">
        <f ca="1">$P21*(1+INDEX(Methodology!$B$26:$E$31,MATCH($G21,Methodology!$B$26:$B$31,0),MATCH(R$5,Methodology!$B$26:$E$26,0)))</f>
        <v>1.6821697016294861</v>
      </c>
      <c r="R21" s="102">
        <f ca="1">$N21*(1+INDEX(Methodology!$B$26:$E$31,MATCH($G21,Methodology!$B$26:$B$31,0),MATCH(R$5,Methodology!$B$26:$E$26,0)))</f>
        <v>3.6544084500000005</v>
      </c>
      <c r="S21" s="103"/>
      <c r="T21" s="107" cm="1">
        <f t="array" aca="1" ref="T21" ca="1">INDIRECT(""&amp;$C21&amp;"!R"&amp;T$130&amp;"C"&amp;T$131,FALSE)</f>
        <v>0</v>
      </c>
      <c r="U21" s="108" cm="1">
        <f t="array" aca="1" ref="U21" ca="1">INDIRECT(""&amp;$C21&amp;"!R"&amp;U$130&amp;"C"&amp;U$131,FALSE)</f>
        <v>0</v>
      </c>
      <c r="V21" s="107" cm="1">
        <f t="array" aca="1" ref="V21" ca="1">INDIRECT(""&amp;$C21&amp;"!R"&amp;V$130&amp;"C"&amp;V$131,FALSE)</f>
        <v>0</v>
      </c>
      <c r="W21" s="109" cm="1">
        <f t="array" aca="1" ref="W21" ca="1">INDIRECT(""&amp;$C21&amp;"!R"&amp;W$130&amp;"C"&amp;W$131,FALSE)</f>
        <v>0</v>
      </c>
      <c r="X21" s="103"/>
      <c r="Y21" s="107">
        <f t="shared" ca="1" si="1"/>
        <v>999.99999999999989</v>
      </c>
      <c r="Z21" s="29" t="str">
        <f t="shared" ca="1" si="2"/>
        <v>kg/tonne</v>
      </c>
      <c r="AA21" s="35" t="str" cm="1">
        <f t="array" aca="1" ref="AA21" ca="1">IF(INDIRECT(""&amp;$C21&amp;"!R"&amp;AA$130&amp;"C"&amp;AA$131,FALSE)=0,"",INDIRECT(""&amp;$C21&amp;"!R"&amp;AA$130&amp;"C"&amp;AA$131,FALSE))</f>
        <v>Broad definition of reinforcing steel that includes a mixture of reinforcing bars, mesh, fibre, cages and strand products</v>
      </c>
      <c r="AB21" s="36" t="str" cm="1">
        <f t="array" aca="1" ref="AB21" ca="1">IFERROR(IF(INDIRECT(""&amp;$C21&amp;"!R"&amp;AB$130&amp;"C"&amp;AB$131,FALSE)="Average (weighted)","Yes","No"),"")</f>
        <v>Yes</v>
      </c>
    </row>
    <row r="22" spans="1:28" ht="45" customHeight="1" x14ac:dyDescent="0.25">
      <c r="A22" s="9" t="s">
        <v>5484</v>
      </c>
      <c r="B22" s="12" t="s">
        <v>5487</v>
      </c>
      <c r="C22" s="11" t="s">
        <v>5486</v>
      </c>
      <c r="D22" s="31" t="str" cm="1">
        <f t="array" aca="1" ref="D22" ca="1">INDIRECT(""&amp;$C22&amp;"!R"&amp;D$130&amp;"C"&amp;D$131,FALSE)</f>
        <v>Steel used to reinforce concrete structures as named in the material category.</v>
      </c>
      <c r="E22" s="39" t="str">
        <f t="shared" si="0"/>
        <v>Reinforcing_steel</v>
      </c>
      <c r="F22" s="14" t="str" cm="1">
        <f t="array" aca="1" ref="F22" ca="1">INDIRECT(""&amp;$C22&amp;"!R"&amp;F$130&amp;"C"&amp;F$131,FALSE)</f>
        <v>tonne</v>
      </c>
      <c r="G22" s="14" t="str" cm="1">
        <f t="array" aca="1" ref="G22" ca="1">INDIRECT(""&amp;$C22&amp;"!R"&amp;G$130&amp;"C"&amp;G$131,FALSE)</f>
        <v>Tier 2</v>
      </c>
      <c r="H22" s="32">
        <f ca="1">INDEX(Methodology!$B$26:$D$31,MATCH('EF Table_detail'!$G22,Methodology!$B$26:$B$31,0),MATCH('EF Table_detail'!$H$5,Methodology!$B$26:$D$26,0))</f>
        <v>1.05</v>
      </c>
      <c r="I22" s="98" cm="1">
        <f t="array" aca="1" ref="I22" ca="1">INDIRECT(""&amp;$C22&amp;"!R"&amp;I$130&amp;"C"&amp;I$131,FALSE)</f>
        <v>3480.3890000000001</v>
      </c>
      <c r="J22" s="99" cm="1">
        <f t="array" aca="1" ref="J22" ca="1">INDIRECT(""&amp;$C22&amp;"!R"&amp;J$130&amp;"C"&amp;J$131,FALSE)</f>
        <v>309</v>
      </c>
      <c r="K22" s="100" cm="1">
        <f t="array" aca="1" ref="K22" ca="1">INDIRECT(""&amp;$C22&amp;"!R"&amp;K$130&amp;"C"&amp;K$131,FALSE)</f>
        <v>1602.0663825042723</v>
      </c>
      <c r="L22" s="101">
        <f ca="1">$K22*(1+INDEX(Methodology!$B$26:$E$31,MATCH($G22,Methodology!$B$26:$B$31,0),MATCH(M$5,Methodology!$B$26:$E$26,0)))</f>
        <v>1682.1697016294859</v>
      </c>
      <c r="M22" s="102">
        <f ca="1">$I22*(1+INDEX(Methodology!$B$26:$E$31,MATCH($G22,Methodology!$B$26:$B$31,0),MATCH(M$5,Methodology!$B$26:$E$26,0)))</f>
        <v>3654.4084500000004</v>
      </c>
      <c r="N22" s="99" cm="1">
        <f t="array" aca="1" ref="N22" ca="1">INDIRECT(""&amp;$C22&amp;"!R"&amp;N$130&amp;"C"&amp;N$131,FALSE)</f>
        <v>3.4803890000000002</v>
      </c>
      <c r="O22" s="99" cm="1">
        <f t="array" aca="1" ref="O22" ca="1">INDIRECT(""&amp;$C22&amp;"!R"&amp;O$130&amp;"C"&amp;O$131,FALSE)</f>
        <v>0.309</v>
      </c>
      <c r="P22" s="100" cm="1">
        <f t="array" aca="1" ref="P22" ca="1">INDIRECT(""&amp;$C22&amp;"!R"&amp;P$130&amp;"C"&amp;P$131,FALSE)</f>
        <v>1.6020663825042725</v>
      </c>
      <c r="Q22" s="101">
        <f ca="1">$P22*(1+INDEX(Methodology!$B$26:$E$31,MATCH($G22,Methodology!$B$26:$B$31,0),MATCH(R$5,Methodology!$B$26:$E$26,0)))</f>
        <v>1.6821697016294861</v>
      </c>
      <c r="R22" s="102">
        <f ca="1">$N22*(1+INDEX(Methodology!$B$26:$E$31,MATCH($G22,Methodology!$B$26:$B$31,0),MATCH(R$5,Methodology!$B$26:$E$26,0)))</f>
        <v>3.6544084500000005</v>
      </c>
      <c r="S22" s="103"/>
      <c r="T22" s="107" cm="1">
        <f t="array" aca="1" ref="T22" ca="1">INDIRECT(""&amp;$C22&amp;"!R"&amp;T$130&amp;"C"&amp;T$131,FALSE)</f>
        <v>0</v>
      </c>
      <c r="U22" s="108" cm="1">
        <f t="array" aca="1" ref="U22" ca="1">INDIRECT(""&amp;$C22&amp;"!R"&amp;U$130&amp;"C"&amp;U$131,FALSE)</f>
        <v>0</v>
      </c>
      <c r="V22" s="107" cm="1">
        <f t="array" aca="1" ref="V22" ca="1">INDIRECT(""&amp;$C22&amp;"!R"&amp;V$130&amp;"C"&amp;V$131,FALSE)</f>
        <v>0</v>
      </c>
      <c r="W22" s="109" cm="1">
        <f t="array" aca="1" ref="W22" ca="1">INDIRECT(""&amp;$C22&amp;"!R"&amp;W$130&amp;"C"&amp;W$131,FALSE)</f>
        <v>0</v>
      </c>
      <c r="X22" s="103"/>
      <c r="Y22" s="107">
        <f t="shared" ca="1" si="1"/>
        <v>999.99999999999989</v>
      </c>
      <c r="Z22" s="29" t="str">
        <f t="shared" ca="1" si="2"/>
        <v>kg/tonne</v>
      </c>
      <c r="AA22" s="35" t="str" cm="1">
        <f t="array" aca="1" ref="AA22" ca="1">IF(INDIRECT(""&amp;$C22&amp;"!R"&amp;AA$130&amp;"C"&amp;AA$131,FALSE)=0,"",INDIRECT(""&amp;$C22&amp;"!R"&amp;AA$130&amp;"C"&amp;AA$131,FALSE))</f>
        <v>Broad definition of reinforcing steel that includes a mixture of reinforcing bars, mesh, fibre, cages and strand products</v>
      </c>
      <c r="AB22" s="36" t="str" cm="1">
        <f t="array" aca="1" ref="AB22" ca="1">IFERROR(IF(INDIRECT(""&amp;$C22&amp;"!R"&amp;AB$130&amp;"C"&amp;AB$131,FALSE)="Average (weighted)","Yes","No"),"")</f>
        <v>Yes</v>
      </c>
    </row>
    <row r="23" spans="1:28" ht="45" customHeight="1" x14ac:dyDescent="0.25">
      <c r="A23" s="9" t="s">
        <v>5488</v>
      </c>
      <c r="B23" s="12" t="s">
        <v>5489</v>
      </c>
      <c r="C23" s="11" t="s">
        <v>5490</v>
      </c>
      <c r="D23" s="31" t="str" cm="1">
        <f t="array" aca="1" ref="D23" ca="1">INDIRECT(""&amp;$C23&amp;"!R"&amp;D$130&amp;"C"&amp;D$131,FALSE)</f>
        <v>Steel used for structural purposes (unpainted, not galvanised) that has undergone hot-rolled steel production route. Including beams, columns, angles, flange channels, hollow sections.</v>
      </c>
      <c r="E23" s="39" t="str">
        <f t="shared" si="0"/>
        <v>Structural_steel_hot</v>
      </c>
      <c r="F23" s="14" t="str" cm="1">
        <f t="array" aca="1" ref="F23" ca="1">INDIRECT(""&amp;$C23&amp;"!R"&amp;F$130&amp;"C"&amp;F$131,FALSE)</f>
        <v>tonne</v>
      </c>
      <c r="G23" s="14" t="str" cm="1">
        <f t="array" aca="1" ref="G23" ca="1">INDIRECT(""&amp;$C23&amp;"!R"&amp;G$130&amp;"C"&amp;G$131,FALSE)</f>
        <v>Tier 2</v>
      </c>
      <c r="H23" s="32">
        <f ca="1">INDEX(Methodology!$B$26:$D$31,MATCH('EF Table_detail'!$G23,Methodology!$B$26:$B$31,0),MATCH('EF Table_detail'!$H$5,Methodology!$B$26:$D$26,0))</f>
        <v>1.05</v>
      </c>
      <c r="I23" s="98" cm="1">
        <f t="array" aca="1" ref="I23" ca="1">INDIRECT(""&amp;$C23&amp;"!R"&amp;I$130&amp;"C"&amp;I$131,FALSE)</f>
        <v>3720</v>
      </c>
      <c r="J23" s="99" cm="1">
        <f t="array" aca="1" ref="J23" ca="1">INDIRECT(""&amp;$C23&amp;"!R"&amp;J$130&amp;"C"&amp;J$131,FALSE)</f>
        <v>558</v>
      </c>
      <c r="K23" s="100" cm="1">
        <f t="array" aca="1" ref="K23" ca="1">INDIRECT(""&amp;$C23&amp;"!R"&amp;K$130&amp;"C"&amp;K$131,FALSE)</f>
        <v>2271.2871539720372</v>
      </c>
      <c r="L23" s="101">
        <f ca="1">$K23*(1+INDEX(Methodology!$B$26:$E$31,MATCH($G23,Methodology!$B$26:$B$31,0),MATCH(M$5,Methodology!$B$26:$E$26,0)))</f>
        <v>2384.8515116706394</v>
      </c>
      <c r="M23" s="102">
        <f ca="1">$I23*(1+INDEX(Methodology!$B$26:$E$31,MATCH($G23,Methodology!$B$26:$B$31,0),MATCH(M$5,Methodology!$B$26:$E$26,0)))</f>
        <v>3906</v>
      </c>
      <c r="N23" s="99" cm="1">
        <f t="array" aca="1" ref="N23" ca="1">INDIRECT(""&amp;$C23&amp;"!R"&amp;N$130&amp;"C"&amp;N$131,FALSE)</f>
        <v>3.72</v>
      </c>
      <c r="O23" s="99" cm="1">
        <f t="array" aca="1" ref="O23" ca="1">INDIRECT(""&amp;$C23&amp;"!R"&amp;O$130&amp;"C"&amp;O$131,FALSE)</f>
        <v>0.55800000000000005</v>
      </c>
      <c r="P23" s="100" cm="1">
        <f t="array" aca="1" ref="P23" ca="1">INDIRECT(""&amp;$C23&amp;"!R"&amp;P$130&amp;"C"&amp;P$131,FALSE)</f>
        <v>2.2712871539720374</v>
      </c>
      <c r="Q23" s="101">
        <f ca="1">$P23*(1+INDEX(Methodology!$B$26:$E$31,MATCH($G23,Methodology!$B$26:$B$31,0),MATCH(R$5,Methodology!$B$26:$E$26,0)))</f>
        <v>2.3848515116706395</v>
      </c>
      <c r="R23" s="102">
        <f ca="1">$N23*(1+INDEX(Methodology!$B$26:$E$31,MATCH($G23,Methodology!$B$26:$B$31,0),MATCH(R$5,Methodology!$B$26:$E$26,0)))</f>
        <v>3.9060000000000006</v>
      </c>
      <c r="S23" s="103"/>
      <c r="T23" s="107" cm="1">
        <f t="array" aca="1" ref="T23" ca="1">INDIRECT(""&amp;$C23&amp;"!R"&amp;T$130&amp;"C"&amp;T$131,FALSE)</f>
        <v>0</v>
      </c>
      <c r="U23" s="108" cm="1">
        <f t="array" aca="1" ref="U23" ca="1">INDIRECT(""&amp;$C23&amp;"!R"&amp;U$130&amp;"C"&amp;U$131,FALSE)</f>
        <v>0</v>
      </c>
      <c r="V23" s="107" cm="1">
        <f t="array" aca="1" ref="V23" ca="1">INDIRECT(""&amp;$C23&amp;"!R"&amp;V$130&amp;"C"&amp;V$131,FALSE)</f>
        <v>0</v>
      </c>
      <c r="W23" s="109" cm="1">
        <f t="array" aca="1" ref="W23" ca="1">INDIRECT(""&amp;$C23&amp;"!R"&amp;W$130&amp;"C"&amp;W$131,FALSE)</f>
        <v>0</v>
      </c>
      <c r="X23" s="103"/>
      <c r="Y23" s="107">
        <f t="shared" ca="1" si="1"/>
        <v>999.99999999999989</v>
      </c>
      <c r="Z23" s="29" t="str">
        <f t="shared" ca="1" si="2"/>
        <v>kg/tonne</v>
      </c>
      <c r="AA23" s="35" t="str" cm="1">
        <f t="array" aca="1" ref="AA23" ca="1">IF(INDIRECT(""&amp;$C23&amp;"!R"&amp;AA$130&amp;"C"&amp;AA$131,FALSE)=0,"",INDIRECT(""&amp;$C23&amp;"!R"&amp;AA$130&amp;"C"&amp;AA$131,FALSE))</f>
        <v/>
      </c>
      <c r="AB23" s="36" t="str" cm="1">
        <f t="array" aca="1" ref="AB23" ca="1">IFERROR(IF(INDIRECT(""&amp;$C23&amp;"!R"&amp;AB$130&amp;"C"&amp;AB$131,FALSE)="Average (weighted)","Yes","No"),"")</f>
        <v>Yes</v>
      </c>
    </row>
    <row r="24" spans="1:28" ht="45" customHeight="1" x14ac:dyDescent="0.25">
      <c r="A24" s="17" t="s">
        <v>5488</v>
      </c>
      <c r="B24" s="12" t="s">
        <v>5491</v>
      </c>
      <c r="C24" s="11" t="s">
        <v>5492</v>
      </c>
      <c r="D24" s="31" t="str" cm="1">
        <f t="array" aca="1" ref="D24" ca="1">INDIRECT(""&amp;$C24&amp;"!R"&amp;D$130&amp;"C"&amp;D$131,FALSE)</f>
        <v>Steel used for structural purposes that has undergone cold-rolled steel production route.</v>
      </c>
      <c r="E24" s="39" t="str">
        <f t="shared" si="0"/>
        <v>Structural_steel_cold</v>
      </c>
      <c r="F24" s="14" t="str" cm="1">
        <f t="array" aca="1" ref="F24" ca="1">INDIRECT(""&amp;$C24&amp;"!R"&amp;F$130&amp;"C"&amp;F$131,FALSE)</f>
        <v>tonne</v>
      </c>
      <c r="G24" s="14" t="str" cm="1">
        <f t="array" aca="1" ref="G24" ca="1">INDIRECT(""&amp;$C24&amp;"!R"&amp;G$130&amp;"C"&amp;G$131,FALSE)</f>
        <v>Tier 2</v>
      </c>
      <c r="H24" s="32">
        <f ca="1">INDEX(Methodology!$B$26:$D$31,MATCH('EF Table_detail'!$G24,Methodology!$B$26:$B$31,0),MATCH('EF Table_detail'!$H$5,Methodology!$B$26:$D$26,0))</f>
        <v>1.05</v>
      </c>
      <c r="I24" s="98" cm="1">
        <f t="array" aca="1" ref="I24" ca="1">INDIRECT(""&amp;$C24&amp;"!R"&amp;I$130&amp;"C"&amp;I$131,FALSE)</f>
        <v>3860</v>
      </c>
      <c r="J24" s="99" cm="1">
        <f t="array" aca="1" ref="J24" ca="1">INDIRECT(""&amp;$C24&amp;"!R"&amp;J$130&amp;"C"&amp;J$131,FALSE)</f>
        <v>2725.7525083612036</v>
      </c>
      <c r="K24" s="100" cm="1">
        <f t="array" aca="1" ref="K24" ca="1">INDIRECT(""&amp;$C24&amp;"!R"&amp;K$130&amp;"C"&amp;K$131,FALSE)</f>
        <v>3012.9821218000197</v>
      </c>
      <c r="L24" s="101">
        <f ca="1">$K24*(1+INDEX(Methodology!$B$26:$E$31,MATCH($G24,Methodology!$B$26:$B$31,0),MATCH(M$5,Methodology!$B$26:$E$26,0)))</f>
        <v>3163.6312278900209</v>
      </c>
      <c r="M24" s="102">
        <f ca="1">$I24*(1+INDEX(Methodology!$B$26:$E$31,MATCH($G24,Methodology!$B$26:$B$31,0),MATCH(M$5,Methodology!$B$26:$E$26,0)))</f>
        <v>4053</v>
      </c>
      <c r="N24" s="99" cm="1">
        <f t="array" aca="1" ref="N24" ca="1">INDIRECT(""&amp;$C24&amp;"!R"&amp;N$130&amp;"C"&amp;N$131,FALSE)</f>
        <v>3.86</v>
      </c>
      <c r="O24" s="99" cm="1">
        <f t="array" aca="1" ref="O24" ca="1">INDIRECT(""&amp;$C24&amp;"!R"&amp;O$130&amp;"C"&amp;O$131,FALSE)</f>
        <v>2.7257525083612038</v>
      </c>
      <c r="P24" s="100" cm="1">
        <f t="array" aca="1" ref="P24" ca="1">INDIRECT(""&amp;$C24&amp;"!R"&amp;P$130&amp;"C"&amp;P$131,FALSE)</f>
        <v>3.0129821218000203</v>
      </c>
      <c r="Q24" s="101">
        <f ca="1">$P24*(1+INDEX(Methodology!$B$26:$E$31,MATCH($G24,Methodology!$B$26:$B$31,0),MATCH(R$5,Methodology!$B$26:$E$26,0)))</f>
        <v>3.1636312278900216</v>
      </c>
      <c r="R24" s="102">
        <f ca="1">$N24*(1+INDEX(Methodology!$B$26:$E$31,MATCH($G24,Methodology!$B$26:$B$31,0),MATCH(R$5,Methodology!$B$26:$E$26,0)))</f>
        <v>4.0529999999999999</v>
      </c>
      <c r="S24" s="103"/>
      <c r="T24" s="107" cm="1">
        <f t="array" aca="1" ref="T24" ca="1">INDIRECT(""&amp;$C24&amp;"!R"&amp;T$130&amp;"C"&amp;T$131,FALSE)</f>
        <v>0</v>
      </c>
      <c r="U24" s="108" cm="1">
        <f t="array" aca="1" ref="U24" ca="1">INDIRECT(""&amp;$C24&amp;"!R"&amp;U$130&amp;"C"&amp;U$131,FALSE)</f>
        <v>0</v>
      </c>
      <c r="V24" s="107" cm="1">
        <f t="array" aca="1" ref="V24" ca="1">INDIRECT(""&amp;$C24&amp;"!R"&amp;V$130&amp;"C"&amp;V$131,FALSE)</f>
        <v>0</v>
      </c>
      <c r="W24" s="109" cm="1">
        <f t="array" aca="1" ref="W24" ca="1">INDIRECT(""&amp;$C24&amp;"!R"&amp;W$130&amp;"C"&amp;W$131,FALSE)</f>
        <v>0</v>
      </c>
      <c r="X24" s="103"/>
      <c r="Y24" s="107">
        <f t="shared" ca="1" si="1"/>
        <v>999.99999999999977</v>
      </c>
      <c r="Z24" s="29" t="str">
        <f t="shared" ca="1" si="2"/>
        <v>kg/tonne</v>
      </c>
      <c r="AA24" s="35" t="str" cm="1">
        <f t="array" aca="1" ref="AA24" ca="1">IF(INDIRECT(""&amp;$C24&amp;"!R"&amp;AA$130&amp;"C"&amp;AA$131,FALSE)=0,"",INDIRECT(""&amp;$C24&amp;"!R"&amp;AA$130&amp;"C"&amp;AA$131,FALSE))</f>
        <v/>
      </c>
      <c r="AB24" s="36" t="str" cm="1">
        <f t="array" aca="1" ref="AB24" ca="1">IFERROR(IF(INDIRECT(""&amp;$C24&amp;"!R"&amp;AB$130&amp;"C"&amp;AB$131,FALSE)="Average (weighted)","Yes","No"),"")</f>
        <v>No</v>
      </c>
    </row>
    <row r="25" spans="1:28" ht="45" customHeight="1" x14ac:dyDescent="0.25">
      <c r="A25" s="17" t="s">
        <v>5488</v>
      </c>
      <c r="B25" s="12" t="s">
        <v>5493</v>
      </c>
      <c r="C25" s="11" t="s">
        <v>5492</v>
      </c>
      <c r="D25" s="31" t="str" cm="1">
        <f t="array" aca="1" ref="D25" ca="1">INDIRECT(""&amp;$C25&amp;"!R"&amp;D$130&amp;"C"&amp;D$131,FALSE)</f>
        <v>Steel used for structural purposes that has undergone cold-rolled steel production route.</v>
      </c>
      <c r="E25" s="39" t="str">
        <f t="shared" si="0"/>
        <v>Structural_steel_cold</v>
      </c>
      <c r="F25" s="14" t="str" cm="1">
        <f t="array" aca="1" ref="F25" ca="1">INDIRECT(""&amp;$C25&amp;"!R"&amp;F$130&amp;"C"&amp;F$131,FALSE)</f>
        <v>tonne</v>
      </c>
      <c r="G25" s="14" t="str" cm="1">
        <f t="array" aca="1" ref="G25" ca="1">INDIRECT(""&amp;$C25&amp;"!R"&amp;G$130&amp;"C"&amp;G$131,FALSE)</f>
        <v>Tier 2</v>
      </c>
      <c r="H25" s="32">
        <f ca="1">INDEX(Methodology!$B$26:$D$31,MATCH('EF Table_detail'!$G25,Methodology!$B$26:$B$31,0),MATCH('EF Table_detail'!$H$5,Methodology!$B$26:$D$26,0))</f>
        <v>1.05</v>
      </c>
      <c r="I25" s="98" cm="1">
        <f t="array" aca="1" ref="I25" ca="1">INDIRECT(""&amp;$C25&amp;"!R"&amp;I$130&amp;"C"&amp;I$131,FALSE)</f>
        <v>3860</v>
      </c>
      <c r="J25" s="99" cm="1">
        <f t="array" aca="1" ref="J25" ca="1">INDIRECT(""&amp;$C25&amp;"!R"&amp;J$130&amp;"C"&amp;J$131,FALSE)</f>
        <v>2725.7525083612036</v>
      </c>
      <c r="K25" s="100" cm="1">
        <f t="array" aca="1" ref="K25" ca="1">INDIRECT(""&amp;$C25&amp;"!R"&amp;K$130&amp;"C"&amp;K$131,FALSE)</f>
        <v>3012.9821218000197</v>
      </c>
      <c r="L25" s="101">
        <f ca="1">$K25*(1+INDEX(Methodology!$B$26:$E$31,MATCH($G25,Methodology!$B$26:$B$31,0),MATCH(M$5,Methodology!$B$26:$E$26,0)))</f>
        <v>3163.6312278900209</v>
      </c>
      <c r="M25" s="102">
        <f ca="1">$I25*(1+INDEX(Methodology!$B$26:$E$31,MATCH($G25,Methodology!$B$26:$B$31,0),MATCH(M$5,Methodology!$B$26:$E$26,0)))</f>
        <v>4053</v>
      </c>
      <c r="N25" s="99" cm="1">
        <f t="array" aca="1" ref="N25" ca="1">INDIRECT(""&amp;$C25&amp;"!R"&amp;N$130&amp;"C"&amp;N$131,FALSE)</f>
        <v>3.86</v>
      </c>
      <c r="O25" s="99" cm="1">
        <f t="array" aca="1" ref="O25" ca="1">INDIRECT(""&amp;$C25&amp;"!R"&amp;O$130&amp;"C"&amp;O$131,FALSE)</f>
        <v>2.7257525083612038</v>
      </c>
      <c r="P25" s="100" cm="1">
        <f t="array" aca="1" ref="P25" ca="1">INDIRECT(""&amp;$C25&amp;"!R"&amp;P$130&amp;"C"&amp;P$131,FALSE)</f>
        <v>3.0129821218000203</v>
      </c>
      <c r="Q25" s="101">
        <f ca="1">$P25*(1+INDEX(Methodology!$B$26:$E$31,MATCH($G25,Methodology!$B$26:$B$31,0),MATCH(R$5,Methodology!$B$26:$E$26,0)))</f>
        <v>3.1636312278900216</v>
      </c>
      <c r="R25" s="102">
        <f ca="1">$N25*(1+INDEX(Methodology!$B$26:$E$31,MATCH($G25,Methodology!$B$26:$B$31,0),MATCH(R$5,Methodology!$B$26:$E$26,0)))</f>
        <v>4.0529999999999999</v>
      </c>
      <c r="S25" s="103"/>
      <c r="T25" s="107" cm="1">
        <f t="array" aca="1" ref="T25" ca="1">INDIRECT(""&amp;$C25&amp;"!R"&amp;T$130&amp;"C"&amp;T$131,FALSE)</f>
        <v>0</v>
      </c>
      <c r="U25" s="108" cm="1">
        <f t="array" aca="1" ref="U25" ca="1">INDIRECT(""&amp;$C25&amp;"!R"&amp;U$130&amp;"C"&amp;U$131,FALSE)</f>
        <v>0</v>
      </c>
      <c r="V25" s="107" cm="1">
        <f t="array" aca="1" ref="V25" ca="1">INDIRECT(""&amp;$C25&amp;"!R"&amp;V$130&amp;"C"&amp;V$131,FALSE)</f>
        <v>0</v>
      </c>
      <c r="W25" s="109" cm="1">
        <f t="array" aca="1" ref="W25" ca="1">INDIRECT(""&amp;$C25&amp;"!R"&amp;W$130&amp;"C"&amp;W$131,FALSE)</f>
        <v>0</v>
      </c>
      <c r="X25" s="103"/>
      <c r="Y25" s="107">
        <f t="shared" ca="1" si="1"/>
        <v>999.99999999999977</v>
      </c>
      <c r="Z25" s="29" t="str">
        <f t="shared" ca="1" si="2"/>
        <v>kg/tonne</v>
      </c>
      <c r="AA25" s="35" t="str" cm="1">
        <f t="array" aca="1" ref="AA25" ca="1">IF(INDIRECT(""&amp;$C25&amp;"!R"&amp;AA$130&amp;"C"&amp;AA$131,FALSE)=0,"",INDIRECT(""&amp;$C25&amp;"!R"&amp;AA$130&amp;"C"&amp;AA$131,FALSE))</f>
        <v/>
      </c>
      <c r="AB25" s="36" t="str" cm="1">
        <f t="array" aca="1" ref="AB25" ca="1">IFERROR(IF(INDIRECT(""&amp;$C25&amp;"!R"&amp;AB$130&amp;"C"&amp;AB$131,FALSE)="Average (weighted)","Yes","No"),"")</f>
        <v>No</v>
      </c>
    </row>
    <row r="26" spans="1:28" ht="45" customHeight="1" x14ac:dyDescent="0.25">
      <c r="A26" s="17" t="s">
        <v>5488</v>
      </c>
      <c r="B26" s="12" t="s">
        <v>5494</v>
      </c>
      <c r="C26" s="11" t="s">
        <v>5495</v>
      </c>
      <c r="D26" s="31" t="str" cm="1">
        <f t="array" aca="1" ref="D26" ca="1">INDIRECT(""&amp;$C26&amp;"!R"&amp;D$130&amp;"C"&amp;D$131,FALSE)</f>
        <v>Steel (galvanised) used for structural purposes that has undergone hot-rolled steel production route. Including beams, columns, angles, flange channels, hollow sections.</v>
      </c>
      <c r="E26" s="39" t="str">
        <f t="shared" si="0"/>
        <v>Structural_steel_hot_gal</v>
      </c>
      <c r="F26" s="14" t="str" cm="1">
        <f t="array" aca="1" ref="F26" ca="1">INDIRECT(""&amp;$C26&amp;"!R"&amp;F$130&amp;"C"&amp;F$131,FALSE)</f>
        <v>tonne</v>
      </c>
      <c r="G26" s="14" t="str" cm="1">
        <f t="array" aca="1" ref="G26" ca="1">INDIRECT(""&amp;$C26&amp;"!R"&amp;G$130&amp;"C"&amp;G$131,FALSE)</f>
        <v>Tier 1</v>
      </c>
      <c r="H26" s="32">
        <f ca="1">INDEX(Methodology!$B$26:$D$31,MATCH('EF Table_detail'!$G26,Methodology!$B$26:$B$31,0),MATCH('EF Table_detail'!$H$5,Methodology!$B$26:$D$26,0))</f>
        <v>1.02</v>
      </c>
      <c r="I26" s="98" cm="1">
        <f t="array" aca="1" ref="I26" ca="1">INDIRECT(""&amp;$C26&amp;"!R"&amp;I$130&amp;"C"&amp;I$131,FALSE)</f>
        <v>4104.5668959775567</v>
      </c>
      <c r="J26" s="99" cm="1">
        <f t="array" aca="1" ref="J26" ca="1">INDIRECT(""&amp;$C26&amp;"!R"&amp;J$130&amp;"C"&amp;J$131,FALSE)</f>
        <v>580.79142122444239</v>
      </c>
      <c r="K26" s="100" cm="1">
        <f t="array" aca="1" ref="K26" ca="1">INDIRECT(""&amp;$C26&amp;"!R"&amp;K$130&amp;"C"&amp;K$131,FALSE)</f>
        <v>2399.3937650847065</v>
      </c>
      <c r="L26" s="101">
        <f ca="1">$K26*(1+INDEX(Methodology!$B$26:$E$31,MATCH($G26,Methodology!$B$26:$B$31,0),MATCH(M$5,Methodology!$B$26:$E$26,0)))</f>
        <v>2447.3816403864007</v>
      </c>
      <c r="M26" s="102">
        <f ca="1">$I26*(1+INDEX(Methodology!$B$26:$E$31,MATCH($G26,Methodology!$B$26:$B$31,0),MATCH(M$5,Methodology!$B$26:$E$26,0)))</f>
        <v>4186.6582338971075</v>
      </c>
      <c r="N26" s="99" cm="1">
        <f t="array" aca="1" ref="N26" ca="1">INDIRECT(""&amp;$C26&amp;"!R"&amp;N$130&amp;"C"&amp;N$131,FALSE)</f>
        <v>4.1045668959775563</v>
      </c>
      <c r="O26" s="99" cm="1">
        <f t="array" aca="1" ref="O26" ca="1">INDIRECT(""&amp;$C26&amp;"!R"&amp;O$130&amp;"C"&amp;O$131,FALSE)</f>
        <v>0.58079142122444238</v>
      </c>
      <c r="P26" s="100" cm="1">
        <f t="array" aca="1" ref="P26" ca="1">INDIRECT(""&amp;$C26&amp;"!R"&amp;P$130&amp;"C"&amp;P$131,FALSE)</f>
        <v>2.3993937650847066</v>
      </c>
      <c r="Q26" s="101">
        <f ca="1">$P26*(1+INDEX(Methodology!$B$26:$E$31,MATCH($G26,Methodology!$B$26:$B$31,0),MATCH(R$5,Methodology!$B$26:$E$26,0)))</f>
        <v>2.4473816403864008</v>
      </c>
      <c r="R26" s="102">
        <f ca="1">$N26*(1+INDEX(Methodology!$B$26:$E$31,MATCH($G26,Methodology!$B$26:$B$31,0),MATCH(R$5,Methodology!$B$26:$E$26,0)))</f>
        <v>4.1866582338971075</v>
      </c>
      <c r="S26" s="103"/>
      <c r="T26" s="107" cm="1">
        <f t="array" aca="1" ref="T26" ca="1">INDIRECT(""&amp;$C26&amp;"!R"&amp;T$130&amp;"C"&amp;T$131,FALSE)</f>
        <v>0</v>
      </c>
      <c r="U26" s="108" cm="1">
        <f t="array" aca="1" ref="U26" ca="1">INDIRECT(""&amp;$C26&amp;"!R"&amp;U$130&amp;"C"&amp;U$131,FALSE)</f>
        <v>0</v>
      </c>
      <c r="V26" s="107" cm="1">
        <f t="array" aca="1" ref="V26" ca="1">INDIRECT(""&amp;$C26&amp;"!R"&amp;V$130&amp;"C"&amp;V$131,FALSE)</f>
        <v>0</v>
      </c>
      <c r="W26" s="109" cm="1">
        <f t="array" aca="1" ref="W26" ca="1">INDIRECT(""&amp;$C26&amp;"!R"&amp;W$130&amp;"C"&amp;W$131,FALSE)</f>
        <v>0</v>
      </c>
      <c r="X26" s="103"/>
      <c r="Y26" s="107">
        <f t="shared" ca="1" si="1"/>
        <v>1000</v>
      </c>
      <c r="Z26" s="29" t="str">
        <f t="shared" ca="1" si="2"/>
        <v>kg/tonne</v>
      </c>
      <c r="AA26" s="35" t="str" cm="1">
        <f t="array" aca="1" ref="AA26" ca="1">IF(INDIRECT(""&amp;$C26&amp;"!R"&amp;AA$130&amp;"C"&amp;AA$131,FALSE)=0,"",INDIRECT(""&amp;$C26&amp;"!R"&amp;AA$130&amp;"C"&amp;AA$131,FALSE))</f>
        <v/>
      </c>
      <c r="AB26" s="36" t="str" cm="1">
        <f t="array" aca="1" ref="AB26" ca="1">IFERROR(IF(INDIRECT(""&amp;$C26&amp;"!R"&amp;AB$130&amp;"C"&amp;AB$131,FALSE)="Average (weighted)","Yes","No"),"")</f>
        <v>No</v>
      </c>
    </row>
    <row r="27" spans="1:28" ht="45" customHeight="1" x14ac:dyDescent="0.25">
      <c r="A27" s="9" t="s">
        <v>5488</v>
      </c>
      <c r="B27" s="12" t="s">
        <v>5496</v>
      </c>
      <c r="C27" s="11" t="s">
        <v>5497</v>
      </c>
      <c r="D27" s="31" t="str" cm="1">
        <f t="array" aca="1" ref="D27" ca="1">INDIRECT(""&amp;$C27&amp;"!R"&amp;D$130&amp;"C"&amp;D$131,FALSE)</f>
        <v>Steel (painted) used for structural purposes that has undergone hot-rolled steel production route. Including beams, columns, angles, flange channels, hollow sections.</v>
      </c>
      <c r="E27" s="39" t="str">
        <f t="shared" si="0"/>
        <v>Structural_steel_hot_painted</v>
      </c>
      <c r="F27" s="14" t="str" cm="1">
        <f t="array" aca="1" ref="F27" ca="1">INDIRECT(""&amp;$C27&amp;"!R"&amp;F$130&amp;"C"&amp;F$131,FALSE)</f>
        <v>tonne</v>
      </c>
      <c r="G27" s="14" t="str" cm="1">
        <f t="array" aca="1" ref="G27" ca="1">INDIRECT(""&amp;$C27&amp;"!R"&amp;G$130&amp;"C"&amp;G$131,FALSE)</f>
        <v>Tier 2</v>
      </c>
      <c r="H27" s="32">
        <f ca="1">INDEX(Methodology!$B$26:$D$31,MATCH('EF Table_detail'!$G27,Methodology!$B$26:$B$31,0),MATCH('EF Table_detail'!$H$5,Methodology!$B$26:$D$26,0))</f>
        <v>1.05</v>
      </c>
      <c r="I27" s="98" cm="1">
        <f t="array" aca="1" ref="I27" ca="1">INDIRECT(""&amp;$C27&amp;"!R"&amp;I$130&amp;"C"&amp;I$131,FALSE)</f>
        <v>4134.7215319598754</v>
      </c>
      <c r="J27" s="99" cm="1">
        <f t="array" aca="1" ref="J27" ca="1">INDIRECT(""&amp;$C27&amp;"!R"&amp;J$130&amp;"C"&amp;J$131,FALSE)</f>
        <v>580.39700174711106</v>
      </c>
      <c r="K27" s="100" cm="1">
        <f t="array" aca="1" ref="K27" ca="1">INDIRECT(""&amp;$C27&amp;"!R"&amp;K$130&amp;"C"&amp;K$131,FALSE)</f>
        <v>2411.0081005887796</v>
      </c>
      <c r="L27" s="101">
        <f ca="1">$K27*(1+INDEX(Methodology!$B$26:$E$31,MATCH($G27,Methodology!$B$26:$B$31,0),MATCH(M$5,Methodology!$B$26:$E$26,0)))</f>
        <v>2531.5585056182185</v>
      </c>
      <c r="M27" s="102">
        <f ca="1">$I27*(1+INDEX(Methodology!$B$26:$E$31,MATCH($G27,Methodology!$B$26:$B$31,0),MATCH(M$5,Methodology!$B$26:$E$26,0)))</f>
        <v>4341.4576085578692</v>
      </c>
      <c r="N27" s="99" cm="1">
        <f t="array" aca="1" ref="N27" ca="1">INDIRECT(""&amp;$C27&amp;"!R"&amp;N$130&amp;"C"&amp;N$131,FALSE)</f>
        <v>4.1347215319598751</v>
      </c>
      <c r="O27" s="99" cm="1">
        <f t="array" aca="1" ref="O27" ca="1">INDIRECT(""&amp;$C27&amp;"!R"&amp;O$130&amp;"C"&amp;O$131,FALSE)</f>
        <v>0.58039700174711106</v>
      </c>
      <c r="P27" s="100" cm="1">
        <f t="array" aca="1" ref="P27" ca="1">INDIRECT(""&amp;$C27&amp;"!R"&amp;P$130&amp;"C"&amp;P$131,FALSE)</f>
        <v>2.4110081005887798</v>
      </c>
      <c r="Q27" s="101">
        <f ca="1">$P27*(1+INDEX(Methodology!$B$26:$E$31,MATCH($G27,Methodology!$B$26:$B$31,0),MATCH(R$5,Methodology!$B$26:$E$26,0)))</f>
        <v>2.5315585056182188</v>
      </c>
      <c r="R27" s="102">
        <f ca="1">$N27*(1+INDEX(Methodology!$B$26:$E$31,MATCH($G27,Methodology!$B$26:$B$31,0),MATCH(R$5,Methodology!$B$26:$E$26,0)))</f>
        <v>4.3414576085578691</v>
      </c>
      <c r="S27" s="103"/>
      <c r="T27" s="107" cm="1">
        <f t="array" aca="1" ref="T27" ca="1">INDIRECT(""&amp;$C27&amp;"!R"&amp;T$130&amp;"C"&amp;T$131,FALSE)</f>
        <v>0</v>
      </c>
      <c r="U27" s="108" cm="1">
        <f t="array" aca="1" ref="U27" ca="1">INDIRECT(""&amp;$C27&amp;"!R"&amp;U$130&amp;"C"&amp;U$131,FALSE)</f>
        <v>0</v>
      </c>
      <c r="V27" s="107" cm="1">
        <f t="array" aca="1" ref="V27" ca="1">INDIRECT(""&amp;$C27&amp;"!R"&amp;V$130&amp;"C"&amp;V$131,FALSE)</f>
        <v>0</v>
      </c>
      <c r="W27" s="109" cm="1">
        <f t="array" aca="1" ref="W27" ca="1">INDIRECT(""&amp;$C27&amp;"!R"&amp;W$130&amp;"C"&amp;W$131,FALSE)</f>
        <v>0</v>
      </c>
      <c r="X27" s="103"/>
      <c r="Y27" s="107">
        <f t="shared" ca="1" si="1"/>
        <v>999.99999999999989</v>
      </c>
      <c r="Z27" s="29" t="str">
        <f t="shared" ca="1" si="2"/>
        <v>kg/tonne</v>
      </c>
      <c r="AA27" s="35" t="str" cm="1">
        <f t="array" aca="1" ref="AA27" ca="1">IF(INDIRECT(""&amp;$C27&amp;"!R"&amp;AA$130&amp;"C"&amp;AA$131,FALSE)=0,"",INDIRECT(""&amp;$C27&amp;"!R"&amp;AA$130&amp;"C"&amp;AA$131,FALSE))</f>
        <v>Three layers of paint (primer epoxy and hardtop)</v>
      </c>
      <c r="AB27" s="36" t="str" cm="1">
        <f t="array" aca="1" ref="AB27" ca="1">IFERROR(IF(INDIRECT(""&amp;$C27&amp;"!R"&amp;AB$130&amp;"C"&amp;AB$131,FALSE)="Average (weighted)","Yes","No"),"")</f>
        <v>No</v>
      </c>
    </row>
    <row r="28" spans="1:28" ht="45" customHeight="1" x14ac:dyDescent="0.25">
      <c r="A28" s="9" t="s">
        <v>4838</v>
      </c>
      <c r="B28" s="12" t="s">
        <v>4839</v>
      </c>
      <c r="C28" s="11" t="s">
        <v>5498</v>
      </c>
      <c r="D28" s="31" t="str" cm="1">
        <f t="array" aca="1" ref="D28" ca="1">INDIRECT(""&amp;$C28&amp;"!R"&amp;D$130&amp;"C"&amp;D$131,FALSE)</f>
        <v>All stainless steel.</v>
      </c>
      <c r="E28" s="39" t="str">
        <f t="shared" si="0"/>
        <v>Stainless_steel</v>
      </c>
      <c r="F28" s="14" t="str" cm="1">
        <f t="array" aca="1" ref="F28" ca="1">INDIRECT(""&amp;$C28&amp;"!R"&amp;F$130&amp;"C"&amp;F$131,FALSE)</f>
        <v>tonne</v>
      </c>
      <c r="G28" s="14" t="str" cm="1">
        <f t="array" aca="1" ref="G28" ca="1">INDIRECT(""&amp;$C28&amp;"!R"&amp;G$130&amp;"C"&amp;G$131,FALSE)</f>
        <v>Tier 4</v>
      </c>
      <c r="H28" s="32">
        <f ca="1">INDEX(Methodology!$B$26:$D$31,MATCH('EF Table_detail'!$G28,Methodology!$B$26:$B$31,0),MATCH('EF Table_detail'!$H$5,Methodology!$B$26:$D$26,0))</f>
        <v>1.2</v>
      </c>
      <c r="I28" s="98" cm="1">
        <f t="array" aca="1" ref="I28" ca="1">INDIRECT(""&amp;$C28&amp;"!R"&amp;I$130&amp;"C"&amp;I$131,FALSE)</f>
        <v>4990</v>
      </c>
      <c r="J28" s="99" cm="1">
        <f t="array" aca="1" ref="J28" ca="1">INDIRECT(""&amp;$C28&amp;"!R"&amp;J$130&amp;"C"&amp;J$131,FALSE)</f>
        <v>2800</v>
      </c>
      <c r="K28" s="100" cm="1">
        <f t="array" aca="1" ref="K28" ca="1">INDIRECT(""&amp;$C28&amp;"!R"&amp;K$130&amp;"C"&amp;K$131,FALSE)</f>
        <v>3509.000833333333</v>
      </c>
      <c r="L28" s="101">
        <f ca="1">$K28*(1+INDEX(Methodology!$B$26:$E$31,MATCH($G28,Methodology!$B$26:$B$31,0),MATCH(M$5,Methodology!$B$26:$E$26,0)))</f>
        <v>4210.8009999999995</v>
      </c>
      <c r="M28" s="102">
        <f ca="1">$I28*(1+INDEX(Methodology!$B$26:$E$31,MATCH($G28,Methodology!$B$26:$B$31,0),MATCH(M$5,Methodology!$B$26:$E$26,0)))</f>
        <v>5988</v>
      </c>
      <c r="N28" s="99" cm="1">
        <f t="array" aca="1" ref="N28" ca="1">INDIRECT(""&amp;$C28&amp;"!R"&amp;N$130&amp;"C"&amp;N$131,FALSE)</f>
        <v>4.99</v>
      </c>
      <c r="O28" s="99" cm="1">
        <f t="array" aca="1" ref="O28" ca="1">INDIRECT(""&amp;$C28&amp;"!R"&amp;O$130&amp;"C"&amp;O$131,FALSE)</f>
        <v>2.8</v>
      </c>
      <c r="P28" s="100" cm="1">
        <f t="array" aca="1" ref="P28" ca="1">INDIRECT(""&amp;$C28&amp;"!R"&amp;P$130&amp;"C"&amp;P$131,FALSE)</f>
        <v>3.5090008333333329</v>
      </c>
      <c r="Q28" s="101">
        <f ca="1">$P28*(1+INDEX(Methodology!$B$26:$E$31,MATCH($G28,Methodology!$B$26:$B$31,0),MATCH(R$5,Methodology!$B$26:$E$26,0)))</f>
        <v>4.2108009999999991</v>
      </c>
      <c r="R28" s="102">
        <f ca="1">$N28*(1+INDEX(Methodology!$B$26:$E$31,MATCH($G28,Methodology!$B$26:$B$31,0),MATCH(R$5,Methodology!$B$26:$E$26,0)))</f>
        <v>5.9880000000000004</v>
      </c>
      <c r="S28" s="103"/>
      <c r="T28" s="107" cm="1">
        <f t="array" aca="1" ref="T28" ca="1">INDIRECT(""&amp;$C28&amp;"!R"&amp;T$130&amp;"C"&amp;T$131,FALSE)</f>
        <v>0</v>
      </c>
      <c r="U28" s="108" cm="1">
        <f t="array" aca="1" ref="U28" ca="1">INDIRECT(""&amp;$C28&amp;"!R"&amp;U$130&amp;"C"&amp;U$131,FALSE)</f>
        <v>0</v>
      </c>
      <c r="V28" s="107" cm="1">
        <f t="array" aca="1" ref="V28" ca="1">INDIRECT(""&amp;$C28&amp;"!R"&amp;V$130&amp;"C"&amp;V$131,FALSE)</f>
        <v>0</v>
      </c>
      <c r="W28" s="109" cm="1">
        <f t="array" aca="1" ref="W28" ca="1">INDIRECT(""&amp;$C28&amp;"!R"&amp;W$130&amp;"C"&amp;W$131,FALSE)</f>
        <v>0</v>
      </c>
      <c r="X28" s="103"/>
      <c r="Y28" s="107">
        <f t="shared" ca="1" si="1"/>
        <v>1000</v>
      </c>
      <c r="Z28" s="29" t="str">
        <f t="shared" ca="1" si="2"/>
        <v>kg/tonne</v>
      </c>
      <c r="AA28" s="35" t="str" cm="1">
        <f t="array" aca="1" ref="AA28" ca="1">IF(INDIRECT(""&amp;$C28&amp;"!R"&amp;AA$130&amp;"C"&amp;AA$131,FALSE)=0,"",INDIRECT(""&amp;$C28&amp;"!R"&amp;AA$130&amp;"C"&amp;AA$131,FALSE))</f>
        <v/>
      </c>
      <c r="AB28" s="36" t="str" cm="1">
        <f t="array" aca="1" ref="AB28" ca="1">IFERROR(IF(INDIRECT(""&amp;$C28&amp;"!R"&amp;AB$130&amp;"C"&amp;AB$131,FALSE)="Average (weighted)","Yes","No"),"")</f>
        <v>No</v>
      </c>
    </row>
    <row r="29" spans="1:28" ht="45" customHeight="1" x14ac:dyDescent="0.25">
      <c r="A29" s="9" t="s">
        <v>5499</v>
      </c>
      <c r="B29" s="17" t="s">
        <v>4768</v>
      </c>
      <c r="C29" s="16" t="s">
        <v>5500</v>
      </c>
      <c r="D29" s="31" t="str" cm="1">
        <f t="array" aca="1" ref="D29" ca="1">INDIRECT(""&amp;$C29&amp;"!R"&amp;D$130&amp;"C"&amp;D$131,FALSE)</f>
        <v>Softwood timber. Most common species radiata pine. Includes treated, untreated, surfaced, and sawn products.</v>
      </c>
      <c r="E29" s="39" t="str">
        <f t="shared" si="0"/>
        <v>Timber_softwood</v>
      </c>
      <c r="F29" s="14" t="str" cm="1">
        <f t="array" aca="1" ref="F29" ca="1">INDIRECT(""&amp;$C29&amp;"!R"&amp;F$130&amp;"C"&amp;F$131,FALSE)</f>
        <v>m³</v>
      </c>
      <c r="G29" s="14" t="str" cm="1">
        <f t="array" aca="1" ref="G29" ca="1">INDIRECT(""&amp;$C29&amp;"!R"&amp;G$130&amp;"C"&amp;G$131,FALSE)</f>
        <v>Tier 2</v>
      </c>
      <c r="H29" s="32">
        <f ca="1">INDEX(Methodology!$B$26:$D$31,MATCH('EF Table_detail'!$G29,Methodology!$B$26:$B$31,0),MATCH('EF Table_detail'!$H$5,Methodology!$B$26:$D$26,0))</f>
        <v>1.05</v>
      </c>
      <c r="I29" s="98" cm="1">
        <f t="array" aca="1" ref="I29" ca="1">INDIRECT(""&amp;$C29&amp;"!R"&amp;I$130&amp;"C"&amp;I$131,FALSE)</f>
        <v>332.10566666666671</v>
      </c>
      <c r="J29" s="99" cm="1">
        <f t="array" aca="1" ref="J29" ca="1">INDIRECT(""&amp;$C29&amp;"!R"&amp;J$130&amp;"C"&amp;J$131,FALSE)</f>
        <v>112.72666666666669</v>
      </c>
      <c r="K29" s="100" cm="1">
        <f t="array" aca="1" ref="K29" ca="1">INDIRECT(""&amp;$C29&amp;"!R"&amp;K$130&amp;"C"&amp;K$131,FALSE)</f>
        <v>188.12604014652021</v>
      </c>
      <c r="L29" s="101">
        <f ca="1">$K29*(1+INDEX(Methodology!$B$26:$E$31,MATCH($G29,Methodology!$B$26:$B$31,0),MATCH(M$5,Methodology!$B$26:$E$26,0)))</f>
        <v>197.53234215384623</v>
      </c>
      <c r="M29" s="102">
        <f ca="1">$I29*(1+INDEX(Methodology!$B$26:$E$31,MATCH($G29,Methodology!$B$26:$B$31,0),MATCH(M$5,Methodology!$B$26:$E$26,0)))</f>
        <v>348.71095000000008</v>
      </c>
      <c r="N29" s="99" cm="1">
        <f t="array" aca="1" ref="N29" ca="1">INDIRECT(""&amp;$C29&amp;"!R"&amp;N$130&amp;"C"&amp;N$131,FALSE)</f>
        <v>0.60273260738052037</v>
      </c>
      <c r="O29" s="99" cm="1">
        <f t="array" aca="1" ref="O29" ca="1">INDIRECT(""&amp;$C29&amp;"!R"&amp;O$130&amp;"C"&amp;O$131,FALSE)</f>
        <v>0.20458560193587449</v>
      </c>
      <c r="P29" s="100" cm="1">
        <f t="array" aca="1" ref="P29" ca="1">INDIRECT(""&amp;$C29&amp;"!R"&amp;P$130&amp;"C"&amp;P$131,FALSE)</f>
        <v>0.36568651497281479</v>
      </c>
      <c r="Q29" s="101">
        <f ca="1">$P29*(1+INDEX(Methodology!$B$26:$E$31,MATCH($G29,Methodology!$B$26:$B$31,0),MATCH(R$5,Methodology!$B$26:$E$26,0)))</f>
        <v>0.38397084072145554</v>
      </c>
      <c r="R29" s="102">
        <f ca="1">$N29*(1+INDEX(Methodology!$B$26:$E$31,MATCH($G29,Methodology!$B$26:$B$31,0),MATCH(R$5,Methodology!$B$26:$E$26,0)))</f>
        <v>0.6328692377495464</v>
      </c>
      <c r="S29" s="103"/>
      <c r="T29" s="107" cm="1">
        <f t="array" aca="1" ref="T29" ca="1">INDIRECT(""&amp;$C29&amp;"!R"&amp;T$130&amp;"C"&amp;T$131,FALSE)</f>
        <v>888.94666666666672</v>
      </c>
      <c r="U29" s="108" cm="1">
        <f t="array" aca="1" ref="U29" ca="1">INDIRECT(""&amp;$C29&amp;"!R"&amp;U$130&amp;"C"&amp;U$131,FALSE)</f>
        <v>857.20070120355842</v>
      </c>
      <c r="V29" s="107" cm="1">
        <f t="array" aca="1" ref="V29" ca="1">INDIRECT(""&amp;$C29&amp;"!R"&amp;V$130&amp;"C"&amp;V$131,FALSE)</f>
        <v>1.6133333333333335</v>
      </c>
      <c r="W29" s="109" cm="1">
        <f t="array" aca="1" ref="W29" ca="1">INDIRECT(""&amp;$C29&amp;"!R"&amp;W$130&amp;"C"&amp;W$131,FALSE)</f>
        <v>1.6356775141083113</v>
      </c>
      <c r="X29" s="103"/>
      <c r="Y29" s="107">
        <f t="shared" ca="1" si="1"/>
        <v>514.44620581785887</v>
      </c>
      <c r="Z29" s="29" t="str">
        <f t="shared" ca="1" si="2"/>
        <v>kg/m³</v>
      </c>
      <c r="AA29" s="35" t="str" cm="1">
        <f t="array" aca="1" ref="AA29" ca="1">IF(INDIRECT(""&amp;$C29&amp;"!R"&amp;AA$130&amp;"C"&amp;AA$131,FALSE)=0,"",INDIRECT(""&amp;$C29&amp;"!R"&amp;AA$130&amp;"C"&amp;AA$131,FALSE))</f>
        <v xml:space="preserve">The NABERS rating tool will only include carbon storage where a material will be expected to last more than 20 years within the building and where it has been sourced from a sustainable forest. </v>
      </c>
      <c r="AB29" s="36" t="str" cm="1">
        <f t="array" aca="1" ref="AB29" ca="1">IFERROR(IF(INDIRECT(""&amp;$C29&amp;"!R"&amp;AB$130&amp;"C"&amp;AB$131,FALSE)="Average (weighted)","Yes","No"),"")</f>
        <v>Yes</v>
      </c>
    </row>
    <row r="30" spans="1:28" ht="45" customHeight="1" x14ac:dyDescent="0.25">
      <c r="A30" s="9" t="s">
        <v>5499</v>
      </c>
      <c r="B30" s="17" t="s">
        <v>4749</v>
      </c>
      <c r="C30" s="16" t="s">
        <v>5501</v>
      </c>
      <c r="D30" s="31" t="str" cm="1">
        <f t="array" aca="1" ref="D30" ca="1">INDIRECT(""&amp;$C30&amp;"!R"&amp;D$130&amp;"C"&amp;D$131,FALSE)</f>
        <v>Hardwood timber. Includes treated, untreated, dressed, and sawn products.</v>
      </c>
      <c r="E30" s="39" t="str">
        <f t="shared" si="0"/>
        <v>Timber_hardwood</v>
      </c>
      <c r="F30" s="14" t="str" cm="1">
        <f t="array" aca="1" ref="F30" ca="1">INDIRECT(""&amp;$C30&amp;"!R"&amp;F$130&amp;"C"&amp;F$131,FALSE)</f>
        <v>m³</v>
      </c>
      <c r="G30" s="14" t="str" cm="1">
        <f t="array" aca="1" ref="G30" ca="1">INDIRECT(""&amp;$C30&amp;"!R"&amp;G$130&amp;"C"&amp;G$131,FALSE)</f>
        <v>Tier 2</v>
      </c>
      <c r="H30" s="32">
        <f ca="1">INDEX(Methodology!$B$26:$D$31,MATCH('EF Table_detail'!$G30,Methodology!$B$26:$B$31,0),MATCH('EF Table_detail'!$H$5,Methodology!$B$26:$D$26,0))</f>
        <v>1.05</v>
      </c>
      <c r="I30" s="98" cm="1">
        <f t="array" aca="1" ref="I30" ca="1">INDIRECT(""&amp;$C30&amp;"!R"&amp;I$130&amp;"C"&amp;I$131,FALSE)</f>
        <v>562.50380000000018</v>
      </c>
      <c r="J30" s="99" cm="1">
        <f t="array" aca="1" ref="J30" ca="1">INDIRECT(""&amp;$C30&amp;"!R"&amp;J$130&amp;"C"&amp;J$131,FALSE)</f>
        <v>104.25999999999999</v>
      </c>
      <c r="K30" s="100" cm="1">
        <f t="array" aca="1" ref="K30" ca="1">INDIRECT(""&amp;$C30&amp;"!R"&amp;K$130&amp;"C"&amp;K$131,FALSE)</f>
        <v>346.88262000000003</v>
      </c>
      <c r="L30" s="101">
        <f ca="1">$K30*(1+INDEX(Methodology!$B$26:$E$31,MATCH($G30,Methodology!$B$26:$B$31,0),MATCH(M$5,Methodology!$B$26:$E$26,0)))</f>
        <v>364.22675100000004</v>
      </c>
      <c r="M30" s="102">
        <f ca="1">$I30*(1+INDEX(Methodology!$B$26:$E$31,MATCH($G30,Methodology!$B$26:$B$31,0),MATCH(M$5,Methodology!$B$26:$E$26,0)))</f>
        <v>590.62899000000027</v>
      </c>
      <c r="N30" s="99" cm="1">
        <f t="array" aca="1" ref="N30" ca="1">INDIRECT(""&amp;$C30&amp;"!R"&amp;N$130&amp;"C"&amp;N$131,FALSE)</f>
        <v>0.7653112925170068</v>
      </c>
      <c r="O30" s="99" cm="1">
        <f t="array" aca="1" ref="O30" ca="1">INDIRECT(""&amp;$C30&amp;"!R"&amp;O$130&amp;"C"&amp;O$131,FALSE)</f>
        <v>0.12561445783132519</v>
      </c>
      <c r="P30" s="100" cm="1">
        <f t="array" aca="1" ref="P30" ca="1">INDIRECT(""&amp;$C30&amp;"!R"&amp;P$130&amp;"C"&amp;P$131,FALSE)</f>
        <v>0.46607131305283916</v>
      </c>
      <c r="Q30" s="101">
        <f ca="1">$P30*(1+INDEX(Methodology!$B$26:$E$31,MATCH($G30,Methodology!$B$26:$B$31,0),MATCH(R$5,Methodology!$B$26:$E$26,0)))</f>
        <v>0.48937487870548113</v>
      </c>
      <c r="R30" s="102">
        <f ca="1">$N30*(1+INDEX(Methodology!$B$26:$E$31,MATCH($G30,Methodology!$B$26:$B$31,0),MATCH(R$5,Methodology!$B$26:$E$26,0)))</f>
        <v>0.8035768571428572</v>
      </c>
      <c r="S30" s="103"/>
      <c r="T30" s="107" cm="1">
        <f t="array" aca="1" ref="T30" ca="1">INDIRECT(""&amp;$C30&amp;"!R"&amp;T$130&amp;"C"&amp;T$131,FALSE)</f>
        <v>1212.75</v>
      </c>
      <c r="U30" s="108" cm="1">
        <f t="array" aca="1" ref="U30" ca="1">INDIRECT(""&amp;$C30&amp;"!R"&amp;U$130&amp;"C"&amp;U$131,FALSE)</f>
        <v>1165.5515384615383</v>
      </c>
      <c r="V30" s="107" cm="1">
        <f t="array" aca="1" ref="V30" ca="1">INDIRECT(""&amp;$C30&amp;"!R"&amp;V$130&amp;"C"&amp;V$131,FALSE)</f>
        <v>1.65</v>
      </c>
      <c r="W30" s="109" cm="1">
        <f t="array" aca="1" ref="W30" ca="1">INDIRECT(""&amp;$C30&amp;"!R"&amp;W$130&amp;"C"&amp;W$131,FALSE)</f>
        <v>1.5428205128205132</v>
      </c>
      <c r="X30" s="103"/>
      <c r="Y30" s="107">
        <f t="shared" ca="1" si="1"/>
        <v>744.26940746012713</v>
      </c>
      <c r="Z30" s="29" t="str">
        <f t="shared" ca="1" si="2"/>
        <v>kg/m³</v>
      </c>
      <c r="AA30" s="35" t="str" cm="1">
        <f t="array" aca="1" ref="AA30" ca="1">IF(INDIRECT(""&amp;$C30&amp;"!R"&amp;AA$130&amp;"C"&amp;AA$131,FALSE)=0,"",INDIRECT(""&amp;$C30&amp;"!R"&amp;AA$130&amp;"C"&amp;AA$131,FALSE))</f>
        <v xml:space="preserve">The NABERS rating tool will only include carbon storage where a material will be expected to last more than 20 years within the building and where it has been sourced from a sustainable forest. </v>
      </c>
      <c r="AB30" s="36" t="str" cm="1">
        <f t="array" aca="1" ref="AB30" ca="1">IFERROR(IF(INDIRECT(""&amp;$C30&amp;"!R"&amp;AB$130&amp;"C"&amp;AB$131,FALSE)="Average (weighted)","Yes","No"),"")</f>
        <v>No</v>
      </c>
    </row>
    <row r="31" spans="1:28" ht="45" customHeight="1" x14ac:dyDescent="0.25">
      <c r="A31" s="9" t="s">
        <v>5499</v>
      </c>
      <c r="B31" s="12" t="s">
        <v>5502</v>
      </c>
      <c r="C31" s="16" t="s">
        <v>5501</v>
      </c>
      <c r="D31" s="31" t="str" cm="1">
        <f t="array" aca="1" ref="D31" ca="1">INDIRECT(""&amp;$C31&amp;"!R"&amp;D$130&amp;"C"&amp;D$131,FALSE)</f>
        <v>Hardwood timber. Includes treated, untreated, dressed, and sawn products.</v>
      </c>
      <c r="E31" s="39" t="str">
        <f t="shared" si="0"/>
        <v>Timber_hardwood</v>
      </c>
      <c r="F31" s="14" t="str" cm="1">
        <f t="array" aca="1" ref="F31" ca="1">INDIRECT(""&amp;$C31&amp;"!R"&amp;F$130&amp;"C"&amp;F$131,FALSE)</f>
        <v>m³</v>
      </c>
      <c r="G31" s="14" t="str" cm="1">
        <f t="array" aca="1" ref="G31" ca="1">INDIRECT(""&amp;$C31&amp;"!R"&amp;G$130&amp;"C"&amp;G$131,FALSE)</f>
        <v>Tier 2</v>
      </c>
      <c r="H31" s="32">
        <f ca="1">INDEX(Methodology!$B$26:$D$31,MATCH('EF Table_detail'!$G31,Methodology!$B$26:$B$31,0),MATCH('EF Table_detail'!$H$5,Methodology!$B$26:$D$26,0))</f>
        <v>1.05</v>
      </c>
      <c r="I31" s="98" cm="1">
        <f t="array" aca="1" ref="I31" ca="1">INDIRECT(""&amp;$C31&amp;"!R"&amp;I$130&amp;"C"&amp;I$131,FALSE)</f>
        <v>562.50380000000018</v>
      </c>
      <c r="J31" s="99" cm="1">
        <f t="array" aca="1" ref="J31" ca="1">INDIRECT(""&amp;$C31&amp;"!R"&amp;J$130&amp;"C"&amp;J$131,FALSE)</f>
        <v>104.25999999999999</v>
      </c>
      <c r="K31" s="100" cm="1">
        <f t="array" aca="1" ref="K31" ca="1">INDIRECT(""&amp;$C31&amp;"!R"&amp;K$130&amp;"C"&amp;K$131,FALSE)</f>
        <v>346.88262000000003</v>
      </c>
      <c r="L31" s="101">
        <f ca="1">$K31*(1+INDEX(Methodology!$B$26:$E$31,MATCH($G31,Methodology!$B$26:$B$31,0),MATCH(M$5,Methodology!$B$26:$E$26,0)))</f>
        <v>364.22675100000004</v>
      </c>
      <c r="M31" s="102">
        <f ca="1">$I31*(1+INDEX(Methodology!$B$26:$E$31,MATCH($G31,Methodology!$B$26:$B$31,0),MATCH(M$5,Methodology!$B$26:$E$26,0)))</f>
        <v>590.62899000000027</v>
      </c>
      <c r="N31" s="99" cm="1">
        <f t="array" aca="1" ref="N31" ca="1">INDIRECT(""&amp;$C31&amp;"!R"&amp;N$130&amp;"C"&amp;N$131,FALSE)</f>
        <v>0.7653112925170068</v>
      </c>
      <c r="O31" s="99" cm="1">
        <f t="array" aca="1" ref="O31" ca="1">INDIRECT(""&amp;$C31&amp;"!R"&amp;O$130&amp;"C"&amp;O$131,FALSE)</f>
        <v>0.12561445783132519</v>
      </c>
      <c r="P31" s="100" cm="1">
        <f t="array" aca="1" ref="P31" ca="1">INDIRECT(""&amp;$C31&amp;"!R"&amp;P$130&amp;"C"&amp;P$131,FALSE)</f>
        <v>0.46607131305283916</v>
      </c>
      <c r="Q31" s="101">
        <f ca="1">$P31*(1+INDEX(Methodology!$B$26:$E$31,MATCH($G31,Methodology!$B$26:$B$31,0),MATCH(R$5,Methodology!$B$26:$E$26,0)))</f>
        <v>0.48937487870548113</v>
      </c>
      <c r="R31" s="102">
        <f ca="1">$N31*(1+INDEX(Methodology!$B$26:$E$31,MATCH($G31,Methodology!$B$26:$B$31,0),MATCH(R$5,Methodology!$B$26:$E$26,0)))</f>
        <v>0.8035768571428572</v>
      </c>
      <c r="S31" s="103"/>
      <c r="T31" s="107" cm="1">
        <f t="array" aca="1" ref="T31" ca="1">INDIRECT(""&amp;$C31&amp;"!R"&amp;T$130&amp;"C"&amp;T$131,FALSE)</f>
        <v>1212.75</v>
      </c>
      <c r="U31" s="108" cm="1">
        <f t="array" aca="1" ref="U31" ca="1">INDIRECT(""&amp;$C31&amp;"!R"&amp;U$130&amp;"C"&amp;U$131,FALSE)</f>
        <v>1165.5515384615383</v>
      </c>
      <c r="V31" s="107" cm="1">
        <f t="array" aca="1" ref="V31" ca="1">INDIRECT(""&amp;$C31&amp;"!R"&amp;V$130&amp;"C"&amp;V$131,FALSE)</f>
        <v>1.65</v>
      </c>
      <c r="W31" s="109" cm="1">
        <f t="array" aca="1" ref="W31" ca="1">INDIRECT(""&amp;$C31&amp;"!R"&amp;W$130&amp;"C"&amp;W$131,FALSE)</f>
        <v>1.5428205128205132</v>
      </c>
      <c r="X31" s="103"/>
      <c r="Y31" s="107">
        <f t="shared" ca="1" si="1"/>
        <v>744.26940746012713</v>
      </c>
      <c r="Z31" s="29" t="str">
        <f t="shared" ca="1" si="2"/>
        <v>kg/m³</v>
      </c>
      <c r="AA31" s="35" t="str" cm="1">
        <f t="array" aca="1" ref="AA31" ca="1">IF(INDIRECT(""&amp;$C31&amp;"!R"&amp;AA$130&amp;"C"&amp;AA$131,FALSE)=0,"",INDIRECT(""&amp;$C31&amp;"!R"&amp;AA$130&amp;"C"&amp;AA$131,FALSE))</f>
        <v xml:space="preserve">The NABERS rating tool will only include carbon storage where a material will be expected to last more than 20 years within the building and where it has been sourced from a sustainable forest. </v>
      </c>
      <c r="AB31" s="36" t="str" cm="1">
        <f t="array" aca="1" ref="AB31" ca="1">IFERROR(IF(INDIRECT(""&amp;$C31&amp;"!R"&amp;AB$130&amp;"C"&amp;AB$131,FALSE)="Average (weighted)","Yes","No"),"")</f>
        <v>No</v>
      </c>
    </row>
    <row r="32" spans="1:28" ht="45" customHeight="1" x14ac:dyDescent="0.25">
      <c r="A32" s="17" t="s">
        <v>5503</v>
      </c>
      <c r="B32" s="17" t="s">
        <v>4643</v>
      </c>
      <c r="C32" s="16" t="s">
        <v>5504</v>
      </c>
      <c r="D32" s="31" t="str" cm="1">
        <f t="array" aca="1" ref="D32" ca="1">INDIRECT(""&amp;$C32&amp;"!R"&amp;D$130&amp;"C"&amp;D$131,FALSE)</f>
        <v xml:space="preserve">Plywood timber for bracing, structural (walling, flooring), formwork purposes. </v>
      </c>
      <c r="E32" s="39" t="str">
        <f t="shared" si="0"/>
        <v>Eng_Timber_Plywood</v>
      </c>
      <c r="F32" s="14" t="str" cm="1">
        <f t="array" aca="1" ref="F32" ca="1">INDIRECT(""&amp;$C32&amp;"!R"&amp;F$130&amp;"C"&amp;F$131,FALSE)</f>
        <v>m³</v>
      </c>
      <c r="G32" s="14" t="str" cm="1">
        <f t="array" aca="1" ref="G32" ca="1">INDIRECT(""&amp;$C32&amp;"!R"&amp;G$130&amp;"C"&amp;G$131,FALSE)</f>
        <v>Tier 2</v>
      </c>
      <c r="H32" s="32">
        <f ca="1">INDEX(Methodology!$B$26:$D$31,MATCH('EF Table_detail'!$G32,Methodology!$B$26:$B$31,0),MATCH('EF Table_detail'!$H$5,Methodology!$B$26:$D$26,0))</f>
        <v>1.05</v>
      </c>
      <c r="I32" s="98" cm="1">
        <f t="array" aca="1" ref="I32" ca="1">INDIRECT(""&amp;$C32&amp;"!R"&amp;I$130&amp;"C"&amp;I$131,FALSE)</f>
        <v>922.37450980392134</v>
      </c>
      <c r="J32" s="99" cm="1">
        <f t="array" aca="1" ref="J32" ca="1">INDIRECT(""&amp;$C32&amp;"!R"&amp;J$130&amp;"C"&amp;J$131,FALSE)</f>
        <v>234.72436666666658</v>
      </c>
      <c r="K32" s="100" cm="1">
        <f t="array" aca="1" ref="K32" ca="1">INDIRECT(""&amp;$C32&amp;"!R"&amp;K$130&amp;"C"&amp;K$131,FALSE)</f>
        <v>498.10835207282906</v>
      </c>
      <c r="L32" s="101">
        <f ca="1">$K32*(1+INDEX(Methodology!$B$26:$E$31,MATCH($G32,Methodology!$B$26:$B$31,0),MATCH(M$5,Methodology!$B$26:$E$26,0)))</f>
        <v>523.01376967647059</v>
      </c>
      <c r="M32" s="102">
        <f ca="1">$I32*(1+INDEX(Methodology!$B$26:$E$31,MATCH($G32,Methodology!$B$26:$B$31,0),MATCH(M$5,Methodology!$B$26:$E$26,0)))</f>
        <v>968.49323529411743</v>
      </c>
      <c r="N32" s="99" cm="1">
        <f t="array" aca="1" ref="N32" ca="1">INDIRECT(""&amp;$C32&amp;"!R"&amp;N$130&amp;"C"&amp;N$131,FALSE)</f>
        <v>1.689694683908046</v>
      </c>
      <c r="O32" s="99" cm="1">
        <f t="array" aca="1" ref="O32" ca="1">INDIRECT(""&amp;$C32&amp;"!R"&amp;O$130&amp;"C"&amp;O$131,FALSE)</f>
        <v>0.39582523889825749</v>
      </c>
      <c r="P32" s="100" cm="1">
        <f t="array" aca="1" ref="P32" ca="1">INDIRECT(""&amp;$C32&amp;"!R"&amp;P$130&amp;"C"&amp;P$131,FALSE)</f>
        <v>0.97781277704867176</v>
      </c>
      <c r="Q32" s="101">
        <f ca="1">$P32*(1+INDEX(Methodology!$B$26:$E$31,MATCH($G32,Methodology!$B$26:$B$31,0),MATCH(R$5,Methodology!$B$26:$E$26,0)))</f>
        <v>1.0267034159011055</v>
      </c>
      <c r="R32" s="102">
        <f ca="1">$N32*(1+INDEX(Methodology!$B$26:$E$31,MATCH($G32,Methodology!$B$26:$B$31,0),MATCH(R$5,Methodology!$B$26:$E$26,0)))</f>
        <v>1.7741794181034485</v>
      </c>
      <c r="S32" s="103"/>
      <c r="T32" s="107" cm="1">
        <f t="array" aca="1" ref="T32" ca="1">INDIRECT(""&amp;$C32&amp;"!R"&amp;T$130&amp;"C"&amp;T$131,FALSE)</f>
        <v>920.72156862745078</v>
      </c>
      <c r="U32" s="108" cm="1">
        <f t="array" aca="1" ref="U32" ca="1">INDIRECT(""&amp;$C32&amp;"!R"&amp;U$130&amp;"C"&amp;U$131,FALSE)</f>
        <v>840.86198027036903</v>
      </c>
      <c r="V32" s="107" cm="1">
        <f t="array" aca="1" ref="V32" ca="1">INDIRECT(""&amp;$C32&amp;"!R"&amp;V$130&amp;"C"&amp;V$131,FALSE)</f>
        <v>1.6866666666666668</v>
      </c>
      <c r="W32" s="109" cm="1">
        <f t="array" aca="1" ref="W32" ca="1">INDIRECT(""&amp;$C32&amp;"!R"&amp;W$130&amp;"C"&amp;W$131,FALSE)</f>
        <v>1.6412238255075566</v>
      </c>
      <c r="X32" s="103"/>
      <c r="Y32" s="107">
        <f t="shared" ref="Y32:Y57" ca="1" si="5">IFERROR(K32/P32,"")</f>
        <v>509.41076222819203</v>
      </c>
      <c r="Z32" s="29" t="str">
        <f t="shared" ref="Z32:Z57" ca="1" si="6">"kg/"&amp;F32</f>
        <v>kg/m³</v>
      </c>
      <c r="AA32" s="35" t="str" cm="1">
        <f t="array" aca="1" ref="AA32" ca="1">IF(INDIRECT(""&amp;$C32&amp;"!R"&amp;AA$130&amp;"C"&amp;AA$131,FALSE)=0,"",INDIRECT(""&amp;$C32&amp;"!R"&amp;AA$130&amp;"C"&amp;AA$131,FALSE))</f>
        <v xml:space="preserve">The NABERS rating tool will only include carbon storage where a material will be expected to last more than 20 years within the building and where it has been sourced from a sustainable forest. </v>
      </c>
      <c r="AB32" s="36" t="str" cm="1">
        <f t="array" aca="1" ref="AB32" ca="1">IFERROR(IF(INDIRECT(""&amp;$C32&amp;"!R"&amp;AB$130&amp;"C"&amp;AB$131,FALSE)="Average (weighted)","Yes","No"),"")</f>
        <v>Yes</v>
      </c>
    </row>
    <row r="33" spans="1:28" ht="45" customHeight="1" x14ac:dyDescent="0.25">
      <c r="A33" s="17" t="s">
        <v>5503</v>
      </c>
      <c r="B33" s="17" t="s">
        <v>3491</v>
      </c>
      <c r="C33" s="16" t="s">
        <v>5505</v>
      </c>
      <c r="D33" s="31" t="str" cm="1">
        <f t="array" aca="1" ref="D33" ca="1">INDIRECT(""&amp;$C33&amp;"!R"&amp;D$130&amp;"C"&amp;D$131,FALSE)</f>
        <v xml:space="preserve">Particleboard including walling and flooring applications </v>
      </c>
      <c r="E33" s="39" t="str">
        <f t="shared" si="0"/>
        <v>Eng_Timber_Particleboard</v>
      </c>
      <c r="F33" s="14" t="str" cm="1">
        <f t="array" aca="1" ref="F33" ca="1">INDIRECT(""&amp;$C33&amp;"!R"&amp;F$130&amp;"C"&amp;F$131,FALSE)</f>
        <v>m³</v>
      </c>
      <c r="G33" s="14" t="str" cm="1">
        <f t="array" aca="1" ref="G33" ca="1">INDIRECT(""&amp;$C33&amp;"!R"&amp;G$130&amp;"C"&amp;G$131,FALSE)</f>
        <v>Tier 2</v>
      </c>
      <c r="H33" s="32">
        <f ca="1">INDEX(Methodology!$B$26:$D$31,MATCH('EF Table_detail'!$G33,Methodology!$B$26:$B$31,0),MATCH('EF Table_detail'!$H$5,Methodology!$B$26:$D$26,0))</f>
        <v>1.05</v>
      </c>
      <c r="I33" s="98" cm="1">
        <f t="array" aca="1" ref="I33" ca="1">INDIRECT(""&amp;$C33&amp;"!R"&amp;I$130&amp;"C"&amp;I$131,FALSE)</f>
        <v>838.40526315789725</v>
      </c>
      <c r="J33" s="99" cm="1">
        <f t="array" aca="1" ref="J33" ca="1">INDIRECT(""&amp;$C33&amp;"!R"&amp;J$130&amp;"C"&amp;J$131,FALSE)</f>
        <v>322.23199999999997</v>
      </c>
      <c r="K33" s="100" cm="1">
        <f t="array" aca="1" ref="K33" ca="1">INDIRECT(""&amp;$C33&amp;"!R"&amp;K$130&amp;"C"&amp;K$131,FALSE)</f>
        <v>650.4555120047271</v>
      </c>
      <c r="L33" s="101">
        <f ca="1">$K33*(1+INDEX(Methodology!$B$26:$E$31,MATCH($G33,Methodology!$B$26:$B$31,0),MATCH(M$5,Methodology!$B$26:$E$26,0)))</f>
        <v>682.9782876049635</v>
      </c>
      <c r="M33" s="102">
        <f ca="1">$I33*(1+INDEX(Methodology!$B$26:$E$31,MATCH($G33,Methodology!$B$26:$B$31,0),MATCH(M$5,Methodology!$B$26:$E$26,0)))</f>
        <v>880.3255263157921</v>
      </c>
      <c r="N33" s="99" cm="1">
        <f t="array" aca="1" ref="N33" ca="1">INDIRECT(""&amp;$C33&amp;"!R"&amp;N$130&amp;"C"&amp;N$131,FALSE)</f>
        <v>1.1713014705882387</v>
      </c>
      <c r="O33" s="99" cm="1">
        <f t="array" aca="1" ref="O33" ca="1">INDIRECT(""&amp;$C33&amp;"!R"&amp;O$130&amp;"C"&amp;O$131,FALSE)</f>
        <v>0.48823030303030324</v>
      </c>
      <c r="P33" s="100" cm="1">
        <f t="array" aca="1" ref="P33" ca="1">INDIRECT(""&amp;$C33&amp;"!R"&amp;P$130&amp;"C"&amp;P$131,FALSE)</f>
        <v>0.91538767270543819</v>
      </c>
      <c r="Q33" s="101">
        <f ca="1">$P33*(1+INDEX(Methodology!$B$26:$E$31,MATCH($G33,Methodology!$B$26:$B$31,0),MATCH(R$5,Methodology!$B$26:$E$26,0)))</f>
        <v>0.96115705634071014</v>
      </c>
      <c r="R33" s="102">
        <f ca="1">$N33*(1+INDEX(Methodology!$B$26:$E$31,MATCH($G33,Methodology!$B$26:$B$31,0),MATCH(R$5,Methodology!$B$26:$E$26,0)))</f>
        <v>1.2298665441176508</v>
      </c>
      <c r="S33" s="103"/>
      <c r="T33" s="107" cm="1">
        <f t="array" aca="1" ref="T33" ca="1">INDIRECT(""&amp;$C33&amp;"!R"&amp;T$130&amp;"C"&amp;T$131,FALSE)</f>
        <v>1181.05263157895</v>
      </c>
      <c r="U33" s="108" cm="1">
        <f t="array" aca="1" ref="U33" ca="1">INDIRECT(""&amp;$C33&amp;"!R"&amp;U$130&amp;"C"&amp;U$131,FALSE)</f>
        <v>1138.6264018306642</v>
      </c>
      <c r="V33" s="107" cm="1">
        <f t="array" aca="1" ref="V33" ca="1">INDIRECT(""&amp;$C33&amp;"!R"&amp;V$130&amp;"C"&amp;V$131,FALSE)</f>
        <v>1.6500000000000037</v>
      </c>
      <c r="W33" s="109" cm="1">
        <f t="array" aca="1" ref="W33" ca="1">INDIRECT(""&amp;$C33&amp;"!R"&amp;W$130&amp;"C"&amp;W$131,FALSE)</f>
        <v>1.6195940801364037</v>
      </c>
      <c r="X33" s="103"/>
      <c r="Y33" s="107">
        <f t="shared" ca="1" si="5"/>
        <v>710.57927848459963</v>
      </c>
      <c r="Z33" s="29" t="str">
        <f t="shared" ca="1" si="6"/>
        <v>kg/m³</v>
      </c>
      <c r="AA33" s="35" t="str" cm="1">
        <f t="array" aca="1" ref="AA33" ca="1">IF(INDIRECT(""&amp;$C33&amp;"!R"&amp;AA$130&amp;"C"&amp;AA$131,FALSE)=0,"",INDIRECT(""&amp;$C33&amp;"!R"&amp;AA$130&amp;"C"&amp;AA$131,FALSE))</f>
        <v xml:space="preserve">The NABERS rating tool will only include carbon storage where a material will be expected to last more than 20 years within the building and where it has been sourced from a sustainable forest. </v>
      </c>
      <c r="AB33" s="36" t="str" cm="1">
        <f t="array" aca="1" ref="AB33" ca="1">IFERROR(IF(INDIRECT(""&amp;$C33&amp;"!R"&amp;AB$130&amp;"C"&amp;AB$131,FALSE)="Average (weighted)","Yes","No"),"")</f>
        <v>Yes</v>
      </c>
    </row>
    <row r="34" spans="1:28" ht="45" customHeight="1" x14ac:dyDescent="0.25">
      <c r="A34" s="17" t="s">
        <v>5503</v>
      </c>
      <c r="B34" s="17" t="s">
        <v>5506</v>
      </c>
      <c r="C34" s="16" t="s">
        <v>5507</v>
      </c>
      <c r="D34" s="31" t="str" cm="1">
        <f t="array" aca="1" ref="D34" ca="1">INDIRECT(""&amp;$C34&amp;"!R"&amp;D$130&amp;"C"&amp;D$131,FALSE)</f>
        <v>Softwood glue laminated timber (GLT) or cross laminated timber (CLT) including treated and untreated.</v>
      </c>
      <c r="E34" s="39" t="str">
        <f t="shared" si="0"/>
        <v>Eng_Timber_GLT_CLT_Soft</v>
      </c>
      <c r="F34" s="14" t="str" cm="1">
        <f t="array" aca="1" ref="F34" ca="1">INDIRECT(""&amp;$C34&amp;"!R"&amp;F$130&amp;"C"&amp;F$131,FALSE)</f>
        <v>m³</v>
      </c>
      <c r="G34" s="14" t="str" cm="1">
        <f t="array" aca="1" ref="G34" ca="1">INDIRECT(""&amp;$C34&amp;"!R"&amp;G$130&amp;"C"&amp;G$131,FALSE)</f>
        <v>Tier 2</v>
      </c>
      <c r="H34" s="32">
        <f ca="1">INDEX(Methodology!$B$26:$D$31,MATCH('EF Table_detail'!$G34,Methodology!$B$26:$B$31,0),MATCH('EF Table_detail'!$H$5,Methodology!$B$26:$D$26,0))</f>
        <v>1.05</v>
      </c>
      <c r="I34" s="98" cm="1">
        <f t="array" aca="1" ref="I34" ca="1">INDIRECT(""&amp;$C34&amp;"!R"&amp;I$130&amp;"C"&amp;I$131,FALSE)</f>
        <v>538.5</v>
      </c>
      <c r="J34" s="99" cm="1">
        <f t="array" aca="1" ref="J34" ca="1">INDIRECT(""&amp;$C34&amp;"!R"&amp;J$130&amp;"C"&amp;J$131,FALSE)</f>
        <v>53.799999999999955</v>
      </c>
      <c r="K34" s="100" cm="1">
        <f t="array" aca="1" ref="K34" ca="1">INDIRECT(""&amp;$C34&amp;"!R"&amp;K$130&amp;"C"&amp;K$131,FALSE)</f>
        <v>242.32947936507941</v>
      </c>
      <c r="L34" s="101">
        <f ca="1">$K34*(1+INDEX(Methodology!$B$26:$E$31,MATCH($G34,Methodology!$B$26:$B$31,0),MATCH(M$5,Methodology!$B$26:$E$26,0)))</f>
        <v>254.44595333333339</v>
      </c>
      <c r="M34" s="102">
        <f ca="1">$I34*(1+INDEX(Methodology!$B$26:$E$31,MATCH($G34,Methodology!$B$26:$B$31,0),MATCH(M$5,Methodology!$B$26:$E$26,0)))</f>
        <v>565.42500000000007</v>
      </c>
      <c r="N34" s="99" cm="1">
        <f t="array" aca="1" ref="N34" ca="1">INDIRECT(""&amp;$C34&amp;"!R"&amp;N$130&amp;"C"&amp;N$131,FALSE)</f>
        <v>1.1966666666666668</v>
      </c>
      <c r="O34" s="99" cm="1">
        <f t="array" aca="1" ref="O34" ca="1">INDIRECT(""&amp;$C34&amp;"!R"&amp;O$130&amp;"C"&amp;O$131,FALSE)</f>
        <v>0.11446808510638307</v>
      </c>
      <c r="P34" s="100" cm="1">
        <f t="array" aca="1" ref="P34" ca="1">INDIRECT(""&amp;$C34&amp;"!R"&amp;P$130&amp;"C"&amp;P$131,FALSE)</f>
        <v>0.46743021850341537</v>
      </c>
      <c r="Q34" s="101">
        <f ca="1">$P34*(1+INDEX(Methodology!$B$26:$E$31,MATCH($G34,Methodology!$B$26:$B$31,0),MATCH(R$5,Methodology!$B$26:$E$26,0)))</f>
        <v>0.49080172942858619</v>
      </c>
      <c r="R34" s="102">
        <f ca="1">$N34*(1+INDEX(Methodology!$B$26:$E$31,MATCH($G34,Methodology!$B$26:$B$31,0),MATCH(R$5,Methodology!$B$26:$E$26,0)))</f>
        <v>1.2565000000000002</v>
      </c>
      <c r="S34" s="103"/>
      <c r="T34" s="107" cm="1">
        <f t="array" aca="1" ref="T34" ca="1">INDIRECT(""&amp;$C34&amp;"!R"&amp;T$130&amp;"C"&amp;T$131,FALSE)</f>
        <v>709.5</v>
      </c>
      <c r="U34" s="108" cm="1">
        <f t="array" aca="1" ref="U34" ca="1">INDIRECT(""&amp;$C34&amp;"!R"&amp;U$130&amp;"C"&amp;U$131,FALSE)</f>
        <v>822.67620634920627</v>
      </c>
      <c r="V34" s="107" cm="1">
        <f t="array" aca="1" ref="V34" ca="1">INDIRECT(""&amp;$C34&amp;"!R"&amp;V$130&amp;"C"&amp;V$131,FALSE)</f>
        <v>1.5766666666666667</v>
      </c>
      <c r="W34" s="109" cm="1">
        <f t="array" aca="1" ref="W34" ca="1">INDIRECT(""&amp;$C34&amp;"!R"&amp;W$130&amp;"C"&amp;W$131,FALSE)</f>
        <v>1.612589412360689</v>
      </c>
      <c r="X34" s="103"/>
      <c r="Y34" s="107">
        <f t="shared" ca="1" si="5"/>
        <v>518.42921097603107</v>
      </c>
      <c r="Z34" s="29" t="str">
        <f t="shared" ca="1" si="6"/>
        <v>kg/m³</v>
      </c>
      <c r="AA34" s="35" t="str" cm="1">
        <f t="array" aca="1" ref="AA34" ca="1">IF(INDIRECT(""&amp;$C34&amp;"!R"&amp;AA$130&amp;"C"&amp;AA$131,FALSE)=0,"",INDIRECT(""&amp;$C34&amp;"!R"&amp;AA$130&amp;"C"&amp;AA$131,FALSE))</f>
        <v xml:space="preserve">The NABERS rating tool will only include carbon storage where a material will be expected to last more than 20 years within the building and where it has been sourced from a sustainable forest. </v>
      </c>
      <c r="AB34" s="36" t="str" cm="1">
        <f t="array" aca="1" ref="AB34" ca="1">IFERROR(IF(INDIRECT(""&amp;$C34&amp;"!R"&amp;AB$130&amp;"C"&amp;AB$131,FALSE)="Average (weighted)","Yes","No"),"")</f>
        <v>Yes</v>
      </c>
    </row>
    <row r="35" spans="1:28" ht="45" customHeight="1" x14ac:dyDescent="0.25">
      <c r="A35" s="17" t="s">
        <v>5503</v>
      </c>
      <c r="B35" s="17" t="s">
        <v>5508</v>
      </c>
      <c r="C35" s="16" t="s">
        <v>5509</v>
      </c>
      <c r="D35" s="31" t="str" cm="1">
        <f t="array" aca="1" ref="D35" ca="1">INDIRECT(""&amp;$C35&amp;"!R"&amp;D$130&amp;"C"&amp;D$131,FALSE)</f>
        <v>Hardwood glue laminated timber (GLT) or cross laminated timber (CLT) including treated and untreated.</v>
      </c>
      <c r="E35" s="39" t="str">
        <f t="shared" si="0"/>
        <v>Eng_Timber_GLT_CLT_Hard</v>
      </c>
      <c r="F35" s="14" t="str" cm="1">
        <f t="array" aca="1" ref="F35" ca="1">INDIRECT(""&amp;$C35&amp;"!R"&amp;F$130&amp;"C"&amp;F$131,FALSE)</f>
        <v>m³</v>
      </c>
      <c r="G35" s="14" t="str" cm="1">
        <f t="array" aca="1" ref="G35" ca="1">INDIRECT(""&amp;$C35&amp;"!R"&amp;G$130&amp;"C"&amp;G$131,FALSE)</f>
        <v>Tier 3</v>
      </c>
      <c r="H35" s="32">
        <f ca="1">INDEX(Methodology!$B$26:$D$31,MATCH('EF Table_detail'!$G35,Methodology!$B$26:$B$31,0),MATCH('EF Table_detail'!$H$5,Methodology!$B$26:$D$26,0))</f>
        <v>1.1000000000000001</v>
      </c>
      <c r="I35" s="98" cm="1">
        <f t="array" aca="1" ref="I35" ca="1">INDIRECT(""&amp;$C35&amp;"!R"&amp;I$130&amp;"C"&amp;I$131,FALSE)</f>
        <v>764.76066666666645</v>
      </c>
      <c r="J35" s="99" cm="1">
        <f t="array" aca="1" ref="J35" ca="1">INDIRECT(""&amp;$C35&amp;"!R"&amp;J$130&amp;"C"&amp;J$131,FALSE)</f>
        <v>626.6866666666665</v>
      </c>
      <c r="K35" s="100" cm="1">
        <f t="array" aca="1" ref="K35" ca="1">INDIRECT(""&amp;$C35&amp;"!R"&amp;K$130&amp;"C"&amp;K$131,FALSE)</f>
        <v>690.27799999999991</v>
      </c>
      <c r="L35" s="101">
        <f ca="1">$K35*(1+INDEX(Methodology!$B$26:$E$31,MATCH($G35,Methodology!$B$26:$B$31,0),MATCH(M$5,Methodology!$B$26:$E$26,0)))</f>
        <v>759.30579999999998</v>
      </c>
      <c r="M35" s="102">
        <f ca="1">$I35*(1+INDEX(Methodology!$B$26:$E$31,MATCH($G35,Methodology!$B$26:$B$31,0),MATCH(M$5,Methodology!$B$26:$E$26,0)))</f>
        <v>841.23673333333318</v>
      </c>
      <c r="N35" s="99" cm="1">
        <f t="array" aca="1" ref="N35" ca="1">INDIRECT(""&amp;$C35&amp;"!R"&amp;N$130&amp;"C"&amp;N$131,FALSE)</f>
        <v>1.1346597428288818</v>
      </c>
      <c r="O35" s="99" cm="1">
        <f t="array" aca="1" ref="O35" ca="1">INDIRECT(""&amp;$C35&amp;"!R"&amp;O$130&amp;"C"&amp;O$131,FALSE)</f>
        <v>0.92980217606330329</v>
      </c>
      <c r="P35" s="100" cm="1">
        <f t="array" aca="1" ref="P35" ca="1">INDIRECT(""&amp;$C35&amp;"!R"&amp;P$130&amp;"C"&amp;P$131,FALSE)</f>
        <v>1.0241513353115723</v>
      </c>
      <c r="Q35" s="101">
        <f ca="1">$P35*(1+INDEX(Methodology!$B$26:$E$31,MATCH($G35,Methodology!$B$26:$B$31,0),MATCH(R$5,Methodology!$B$26:$E$26,0)))</f>
        <v>1.1265664688427297</v>
      </c>
      <c r="R35" s="102">
        <f ca="1">$N35*(1+INDEX(Methodology!$B$26:$E$31,MATCH($G35,Methodology!$B$26:$B$31,0),MATCH(R$5,Methodology!$B$26:$E$26,0)))</f>
        <v>1.2481257171117701</v>
      </c>
      <c r="S35" s="103"/>
      <c r="T35" s="107" cm="1">
        <f t="array" aca="1" ref="T35" ca="1">INDIRECT(""&amp;$C35&amp;"!R"&amp;T$130&amp;"C"&amp;T$131,FALSE)</f>
        <v>1087.3866666666665</v>
      </c>
      <c r="U35" s="108" cm="1">
        <f t="array" aca="1" ref="U35" ca="1">INDIRECT(""&amp;$C35&amp;"!R"&amp;U$130&amp;"C"&amp;U$131,FALSE)</f>
        <v>1087.3866666666665</v>
      </c>
      <c r="V35" s="107" cm="1">
        <f t="array" aca="1" ref="V35" ca="1">INDIRECT(""&amp;$C35&amp;"!R"&amp;V$130&amp;"C"&amp;V$131,FALSE)</f>
        <v>1.6133333333333331</v>
      </c>
      <c r="W35" s="109" cm="1">
        <f t="array" aca="1" ref="W35" ca="1">INDIRECT(""&amp;$C35&amp;"!R"&amp;W$130&amp;"C"&amp;W$131,FALSE)</f>
        <v>1.6133333333333331</v>
      </c>
      <c r="X35" s="103"/>
      <c r="Y35" s="107">
        <f t="shared" ca="1" si="5"/>
        <v>674.00000000000011</v>
      </c>
      <c r="Z35" s="29" t="str">
        <f t="shared" ca="1" si="6"/>
        <v>kg/m³</v>
      </c>
      <c r="AA35" s="35" t="str" cm="1">
        <f t="array" aca="1" ref="AA35" ca="1">IF(INDIRECT(""&amp;$C35&amp;"!R"&amp;AA$130&amp;"C"&amp;AA$131,FALSE)=0,"",INDIRECT(""&amp;$C35&amp;"!R"&amp;AA$130&amp;"C"&amp;AA$131,FALSE))</f>
        <v xml:space="preserve">The NABERS rating tool will only include carbon storage where a material will be expected to last more than 20 years within the building and where it has been sourced from a sustainable forest. </v>
      </c>
      <c r="AB35" s="36" t="str" cm="1">
        <f t="array" aca="1" ref="AB35" ca="1">IFERROR(IF(INDIRECT(""&amp;$C35&amp;"!R"&amp;AB$130&amp;"C"&amp;AB$131,FALSE)="Average (weighted)","Yes","No"),"")</f>
        <v>Yes</v>
      </c>
    </row>
    <row r="36" spans="1:28" ht="45" customHeight="1" x14ac:dyDescent="0.25">
      <c r="A36" s="17" t="s">
        <v>5503</v>
      </c>
      <c r="B36" s="17" t="s">
        <v>3825</v>
      </c>
      <c r="C36" s="16" t="s">
        <v>5510</v>
      </c>
      <c r="D36" s="31" t="str" cm="1">
        <f t="array" aca="1" ref="D36" ca="1">INDIRECT(""&amp;$C36&amp;"!R"&amp;D$130&amp;"C"&amp;D$131,FALSE)</f>
        <v>Laminated veneer timber (LVL) including treated and untreated.</v>
      </c>
      <c r="E36" s="39" t="str">
        <f t="shared" si="0"/>
        <v>Eng_Timber_LVL</v>
      </c>
      <c r="F36" s="14" t="str" cm="1">
        <f t="array" aca="1" ref="F36" ca="1">INDIRECT(""&amp;$C36&amp;"!R"&amp;F$130&amp;"C"&amp;F$131,FALSE)</f>
        <v>m³</v>
      </c>
      <c r="G36" s="14" t="str" cm="1">
        <f t="array" aca="1" ref="G36" ca="1">INDIRECT(""&amp;$C36&amp;"!R"&amp;G$130&amp;"C"&amp;G$131,FALSE)</f>
        <v>Tier 3</v>
      </c>
      <c r="H36" s="32">
        <f ca="1">INDEX(Methodology!$B$26:$D$31,MATCH('EF Table_detail'!$G36,Methodology!$B$26:$B$31,0),MATCH('EF Table_detail'!$H$5,Methodology!$B$26:$D$26,0))</f>
        <v>1.1000000000000001</v>
      </c>
      <c r="I36" s="98" cm="1">
        <f t="array" aca="1" ref="I36" ca="1">INDIRECT(""&amp;$C36&amp;"!R"&amp;I$130&amp;"C"&amp;I$131,FALSE)</f>
        <v>401.66666666666663</v>
      </c>
      <c r="J36" s="99" cm="1">
        <f t="array" aca="1" ref="J36" ca="1">INDIRECT(""&amp;$C36&amp;"!R"&amp;J$130&amp;"C"&amp;J$131,FALSE)</f>
        <v>94.399999999999977</v>
      </c>
      <c r="K36" s="100" cm="1">
        <f t="array" aca="1" ref="K36" ca="1">INDIRECT(""&amp;$C36&amp;"!R"&amp;K$130&amp;"C"&amp;K$131,FALSE)</f>
        <v>297.66999760315014</v>
      </c>
      <c r="L36" s="101">
        <f ca="1">$K36*(1+INDEX(Methodology!$B$26:$E$31,MATCH($G36,Methodology!$B$26:$B$31,0),MATCH(M$5,Methodology!$B$26:$E$26,0)))</f>
        <v>327.4369973634652</v>
      </c>
      <c r="M36" s="102">
        <f ca="1">$I36*(1+INDEX(Methodology!$B$26:$E$31,MATCH($G36,Methodology!$B$26:$B$31,0),MATCH(M$5,Methodology!$B$26:$E$26,0)))</f>
        <v>441.83333333333331</v>
      </c>
      <c r="N36" s="99" cm="1">
        <f t="array" aca="1" ref="N36" ca="1">INDIRECT(""&amp;$C36&amp;"!R"&amp;N$130&amp;"C"&amp;N$131,FALSE)</f>
        <v>0.91287878787878773</v>
      </c>
      <c r="O36" s="99" cm="1">
        <f t="array" aca="1" ref="O36" ca="1">INDIRECT(""&amp;$C36&amp;"!R"&amp;O$130&amp;"C"&amp;O$131,FALSE)</f>
        <v>0.15500821018062383</v>
      </c>
      <c r="P36" s="100" cm="1">
        <f t="array" aca="1" ref="P36" ca="1">INDIRECT(""&amp;$C36&amp;"!R"&amp;P$130&amp;"C"&amp;P$131,FALSE)</f>
        <v>0.58664175572335553</v>
      </c>
      <c r="Q36" s="101">
        <f ca="1">$P36*(1+INDEX(Methodology!$B$26:$E$31,MATCH($G36,Methodology!$B$26:$B$31,0),MATCH(R$5,Methodology!$B$26:$E$26,0)))</f>
        <v>0.64530593129569114</v>
      </c>
      <c r="R36" s="102">
        <f ca="1">$N36*(1+INDEX(Methodology!$B$26:$E$31,MATCH($G36,Methodology!$B$26:$B$31,0),MATCH(R$5,Methodology!$B$26:$E$26,0)))</f>
        <v>1.0041666666666667</v>
      </c>
      <c r="S36" s="103"/>
      <c r="T36" s="107" cm="1">
        <f t="array" aca="1" ref="T36" ca="1">INDIRECT(""&amp;$C36&amp;"!R"&amp;T$130&amp;"C"&amp;T$131,FALSE)</f>
        <v>784.66666666666663</v>
      </c>
      <c r="U36" s="108" cm="1">
        <f t="array" aca="1" ref="U36" ca="1">INDIRECT(""&amp;$C36&amp;"!R"&amp;U$130&amp;"C"&amp;U$131,FALSE)</f>
        <v>843.3290348399247</v>
      </c>
      <c r="V36" s="107" cm="1">
        <f t="array" aca="1" ref="V36" ca="1">INDIRECT(""&amp;$C36&amp;"!R"&amp;V$130&amp;"C"&amp;V$131,FALSE)</f>
        <v>1.5385620915032678</v>
      </c>
      <c r="W36" s="109" cm="1">
        <f t="array" aca="1" ref="W36" ca="1">INDIRECT(""&amp;$C36&amp;"!R"&amp;W$130&amp;"C"&amp;W$131,FALSE)</f>
        <v>1.6041169987856072</v>
      </c>
      <c r="X36" s="103"/>
      <c r="Y36" s="107">
        <f t="shared" ca="1" si="5"/>
        <v>507.41358708111346</v>
      </c>
      <c r="Z36" s="29" t="str">
        <f t="shared" ca="1" si="6"/>
        <v>kg/m³</v>
      </c>
      <c r="AA36" s="35" t="str" cm="1">
        <f t="array" aca="1" ref="AA36" ca="1">IF(INDIRECT(""&amp;$C36&amp;"!R"&amp;AA$130&amp;"C"&amp;AA$131,FALSE)=0,"",INDIRECT(""&amp;$C36&amp;"!R"&amp;AA$130&amp;"C"&amp;AA$131,FALSE))</f>
        <v xml:space="preserve">The NABERS rating tool will only include carbon storage where a material will be expected to last more than 20 years within the building and where it has been sourced from a sustainable forest. </v>
      </c>
      <c r="AB36" s="36" t="str" cm="1">
        <f t="array" aca="1" ref="AB36" ca="1">IFERROR(IF(INDIRECT(""&amp;$C36&amp;"!R"&amp;AB$130&amp;"C"&amp;AB$131,FALSE)="Average (weighted)","Yes","No"),"")</f>
        <v>No</v>
      </c>
    </row>
    <row r="37" spans="1:28" ht="45" customHeight="1" x14ac:dyDescent="0.25">
      <c r="A37" s="17" t="s">
        <v>5503</v>
      </c>
      <c r="B37" s="17" t="s">
        <v>4350</v>
      </c>
      <c r="C37" s="16" t="s">
        <v>5511</v>
      </c>
      <c r="D37" s="31" t="str" cm="1">
        <f t="array" aca="1" ref="D37" ca="1">INDIRECT(""&amp;$C37&amp;"!R"&amp;D$130&amp;"C"&amp;D$131,FALSE)</f>
        <v>Oriented strand board (OSB).</v>
      </c>
      <c r="E37" s="39" t="str">
        <f t="shared" si="0"/>
        <v>Eng_Timber_OSB</v>
      </c>
      <c r="F37" s="14" t="str" cm="1">
        <f t="array" aca="1" ref="F37" ca="1">INDIRECT(""&amp;$C37&amp;"!R"&amp;F$130&amp;"C"&amp;F$131,FALSE)</f>
        <v>m³</v>
      </c>
      <c r="G37" s="14" t="str" cm="1">
        <f t="array" aca="1" ref="G37" ca="1">INDIRECT(""&amp;$C37&amp;"!R"&amp;G$130&amp;"C"&amp;G$131,FALSE)</f>
        <v>Tier 4</v>
      </c>
      <c r="H37" s="32">
        <f ca="1">INDEX(Methodology!$B$26:$D$31,MATCH('EF Table_detail'!$G37,Methodology!$B$26:$B$31,0),MATCH('EF Table_detail'!$H$5,Methodology!$B$26:$D$26,0))</f>
        <v>1.2</v>
      </c>
      <c r="I37" s="98" cm="1">
        <f t="array" aca="1" ref="I37" ca="1">INDIRECT(""&amp;$C37&amp;"!R"&amp;I$130&amp;"C"&amp;I$131,FALSE)</f>
        <v>384.37333333333322</v>
      </c>
      <c r="J37" s="99" cm="1">
        <f t="array" aca="1" ref="J37" ca="1">INDIRECT(""&amp;$C37&amp;"!R"&amp;J$130&amp;"C"&amp;J$131,FALSE)</f>
        <v>101.17899999999997</v>
      </c>
      <c r="K37" s="100" cm="1">
        <f t="array" aca="1" ref="K37" ca="1">INDIRECT(""&amp;$C37&amp;"!R"&amp;K$130&amp;"C"&amp;K$131,FALSE)</f>
        <v>193.82668666666666</v>
      </c>
      <c r="L37" s="101">
        <f ca="1">$K37*(1+INDEX(Methodology!$B$26:$E$31,MATCH($G37,Methodology!$B$26:$B$31,0),MATCH(M$5,Methodology!$B$26:$E$26,0)))</f>
        <v>232.59202399999998</v>
      </c>
      <c r="M37" s="102">
        <f ca="1">$I37*(1+INDEX(Methodology!$B$26:$E$31,MATCH($G37,Methodology!$B$26:$B$31,0),MATCH(M$5,Methodology!$B$26:$E$26,0)))</f>
        <v>461.24799999999982</v>
      </c>
      <c r="N37" s="99" cm="1">
        <f t="array" aca="1" ref="N37" ca="1">INDIRECT(""&amp;$C37&amp;"!R"&amp;N$130&amp;"C"&amp;N$131,FALSE)</f>
        <v>0.63955629506378253</v>
      </c>
      <c r="O37" s="99" cm="1">
        <f t="array" aca="1" ref="O37" ca="1">INDIRECT(""&amp;$C37&amp;"!R"&amp;O$130&amp;"C"&amp;O$131,FALSE)</f>
        <v>0.1646420967741935</v>
      </c>
      <c r="P37" s="100" cm="1">
        <f t="array" aca="1" ref="P37" ca="1">INDIRECT(""&amp;$C37&amp;"!R"&amp;P$130&amp;"C"&amp;P$131,FALSE)</f>
        <v>0.3179215149565966</v>
      </c>
      <c r="Q37" s="101">
        <f ca="1">$P37*(1+INDEX(Methodology!$B$26:$E$31,MATCH($G37,Methodology!$B$26:$B$31,0),MATCH(R$5,Methodology!$B$26:$E$26,0)))</f>
        <v>0.38150581794791588</v>
      </c>
      <c r="R37" s="102">
        <f ca="1">$N37*(1+INDEX(Methodology!$B$26:$E$31,MATCH($G37,Methodology!$B$26:$B$31,0),MATCH(R$5,Methodology!$B$26:$E$26,0)))</f>
        <v>0.76746755407653899</v>
      </c>
      <c r="S37" s="103"/>
      <c r="T37" s="107" cm="1">
        <f t="array" aca="1" ref="T37" ca="1">INDIRECT(""&amp;$C37&amp;"!R"&amp;T$130&amp;"C"&amp;T$131,FALSE)</f>
        <v>1041.3333333333333</v>
      </c>
      <c r="U37" s="108" cm="1">
        <f t="array" aca="1" ref="U37" ca="1">INDIRECT(""&amp;$C37&amp;"!R"&amp;U$130&amp;"C"&amp;U$131,FALSE)</f>
        <v>1017.2066666666667</v>
      </c>
      <c r="V37" s="107" cm="1">
        <f t="array" aca="1" ref="V37" ca="1">INDIRECT(""&amp;$C37&amp;"!R"&amp;V$130&amp;"C"&amp;V$131,FALSE)</f>
        <v>1.732667775929007</v>
      </c>
      <c r="W37" s="109" cm="1">
        <f t="array" aca="1" ref="W37" ca="1">INDIRECT(""&amp;$C37&amp;"!R"&amp;W$130&amp;"C"&amp;W$131,FALSE)</f>
        <v>1.6634528303093599</v>
      </c>
      <c r="X37" s="103"/>
      <c r="Y37" s="107">
        <f t="shared" ca="1" si="5"/>
        <v>609.66835381722547</v>
      </c>
      <c r="Z37" s="29" t="str">
        <f t="shared" ca="1" si="6"/>
        <v>kg/m³</v>
      </c>
      <c r="AA37" s="35" t="str" cm="1">
        <f t="array" aca="1" ref="AA37" ca="1">IF(INDIRECT(""&amp;$C37&amp;"!R"&amp;AA$130&amp;"C"&amp;AA$131,FALSE)=0,"",INDIRECT(""&amp;$C37&amp;"!R"&amp;AA$130&amp;"C"&amp;AA$131,FALSE))</f>
        <v xml:space="preserve">The NABERS rating tool will only include carbon storage where a material will be expected to last more than 20 years within the building and where it has been sourced from a sustainable forest. </v>
      </c>
      <c r="AB37" s="36" t="str" cm="1">
        <f t="array" aca="1" ref="AB37" ca="1">IFERROR(IF(INDIRECT(""&amp;$C37&amp;"!R"&amp;AB$130&amp;"C"&amp;AB$131,FALSE)="Average (weighted)","Yes","No"),"")</f>
        <v>No</v>
      </c>
    </row>
    <row r="38" spans="1:28" ht="45" customHeight="1" x14ac:dyDescent="0.25">
      <c r="A38" s="17" t="s">
        <v>5503</v>
      </c>
      <c r="B38" s="17" t="s">
        <v>3883</v>
      </c>
      <c r="C38" s="16" t="s">
        <v>5512</v>
      </c>
      <c r="D38" s="31" t="str" cm="1">
        <f t="array" aca="1" ref="D38" ca="1">INDIRECT(""&amp;$C38&amp;"!R"&amp;D$130&amp;"C"&amp;D$131,FALSE)</f>
        <v>Medium density fibreboard (MDF) for decorative purposes (i.e. finished wall panel including coating).</v>
      </c>
      <c r="E38" s="39" t="str">
        <f t="shared" si="0"/>
        <v>Eng_Timber_MDF</v>
      </c>
      <c r="F38" s="14" t="str" cm="1">
        <f t="array" aca="1" ref="F38" ca="1">INDIRECT(""&amp;$C38&amp;"!R"&amp;F$130&amp;"C"&amp;F$131,FALSE)</f>
        <v>m³</v>
      </c>
      <c r="G38" s="14" t="str" cm="1">
        <f t="array" aca="1" ref="G38" ca="1">INDIRECT(""&amp;$C38&amp;"!R"&amp;G$130&amp;"C"&amp;G$131,FALSE)</f>
        <v>Tier 2</v>
      </c>
      <c r="H38" s="32">
        <f ca="1">INDEX(Methodology!$B$26:$D$31,MATCH('EF Table_detail'!$G38,Methodology!$B$26:$B$31,0),MATCH('EF Table_detail'!$H$5,Methodology!$B$26:$D$26,0))</f>
        <v>1.05</v>
      </c>
      <c r="I38" s="98" cm="1">
        <f t="array" aca="1" ref="I38" ca="1">INDIRECT(""&amp;$C38&amp;"!R"&amp;I$130&amp;"C"&amp;I$131,FALSE)</f>
        <v>1254.1817045454538</v>
      </c>
      <c r="J38" s="99" cm="1">
        <f t="array" aca="1" ref="J38" ca="1">INDIRECT(""&amp;$C38&amp;"!R"&amp;J$130&amp;"C"&amp;J$131,FALSE)</f>
        <v>525.92916666666667</v>
      </c>
      <c r="K38" s="100" cm="1">
        <f t="array" aca="1" ref="K38" ca="1">INDIRECT(""&amp;$C38&amp;"!R"&amp;K$130&amp;"C"&amp;K$131,FALSE)</f>
        <v>814.83092926189238</v>
      </c>
      <c r="L38" s="101">
        <f ca="1">$K38*(1+INDEX(Methodology!$B$26:$E$31,MATCH($G38,Methodology!$B$26:$B$31,0),MATCH(M$5,Methodology!$B$26:$E$26,0)))</f>
        <v>855.57247572498704</v>
      </c>
      <c r="M38" s="102">
        <f ca="1">$I38*(1+INDEX(Methodology!$B$26:$E$31,MATCH($G38,Methodology!$B$26:$B$31,0),MATCH(M$5,Methodology!$B$26:$E$26,0)))</f>
        <v>1316.8907897727265</v>
      </c>
      <c r="N38" s="99" cm="1">
        <f t="array" aca="1" ref="N38" ca="1">INDIRECT(""&amp;$C38&amp;"!R"&amp;N$130&amp;"C"&amp;N$131,FALSE)</f>
        <v>1.7419190340909083</v>
      </c>
      <c r="O38" s="99" cm="1">
        <f t="array" aca="1" ref="O38" ca="1">INDIRECT(""&amp;$C38&amp;"!R"&amp;O$130&amp;"C"&amp;O$131,FALSE)</f>
        <v>0.71360809588421525</v>
      </c>
      <c r="P38" s="100" cm="1">
        <f t="array" aca="1" ref="P38" ca="1">INDIRECT(""&amp;$C38&amp;"!R"&amp;P$130&amp;"C"&amp;P$131,FALSE)</f>
        <v>1.1293175241149223</v>
      </c>
      <c r="Q38" s="101">
        <f ca="1">$P38*(1+INDEX(Methodology!$B$26:$E$31,MATCH($G38,Methodology!$B$26:$B$31,0),MATCH(R$5,Methodology!$B$26:$E$26,0)))</f>
        <v>1.1857834003206684</v>
      </c>
      <c r="R38" s="102">
        <f ca="1">$N38*(1+INDEX(Methodology!$B$26:$E$31,MATCH($G38,Methodology!$B$26:$B$31,0),MATCH(R$5,Methodology!$B$26:$E$26,0)))</f>
        <v>1.8290149857954539</v>
      </c>
      <c r="S38" s="103"/>
      <c r="T38" s="107" cm="1">
        <f t="array" aca="1" ref="T38" ca="1">INDIRECT(""&amp;$C38&amp;"!R"&amp;T$130&amp;"C"&amp;T$131,FALSE)</f>
        <v>1227.5999999999997</v>
      </c>
      <c r="U38" s="108" cm="1">
        <f t="array" aca="1" ref="U38" ca="1">INDIRECT(""&amp;$C38&amp;"!R"&amp;U$130&amp;"C"&amp;U$131,FALSE)</f>
        <v>1232.1414855072464</v>
      </c>
      <c r="V38" s="107" cm="1">
        <f t="array" aca="1" ref="V38" ca="1">INDIRECT(""&amp;$C38&amp;"!R"&amp;V$130&amp;"C"&amp;V$131,FALSE)</f>
        <v>1.7049999999999996</v>
      </c>
      <c r="W38" s="109" cm="1">
        <f t="array" aca="1" ref="W38" ca="1">INDIRECT(""&amp;$C38&amp;"!R"&amp;W$130&amp;"C"&amp;W$131,FALSE)</f>
        <v>1.7022101449275362</v>
      </c>
      <c r="X38" s="103"/>
      <c r="Y38" s="107">
        <f t="shared" ref="Y38" ca="1" si="7">IFERROR(K38/P38,"")</f>
        <v>721.52509091763022</v>
      </c>
      <c r="Z38" s="29" t="str">
        <f t="shared" ref="Z38" ca="1" si="8">"kg/"&amp;F38</f>
        <v>kg/m³</v>
      </c>
      <c r="AA38" s="35" t="str" cm="1">
        <f t="array" aca="1" ref="AA38" ca="1">IF(INDIRECT(""&amp;$C38&amp;"!R"&amp;AA$130&amp;"C"&amp;AA$131,FALSE)=0,"",INDIRECT(""&amp;$C38&amp;"!R"&amp;AA$130&amp;"C"&amp;AA$131,FALSE))</f>
        <v xml:space="preserve">The NABERS rating tool will only include carbon storage where a material will be expected to last more than 20 years within the building and where it has been sourced from a sustainable forest. </v>
      </c>
      <c r="AB38" s="36" t="str" cm="1">
        <f t="array" aca="1" ref="AB38" ca="1">IFERROR(IF(INDIRECT(""&amp;$C38&amp;"!R"&amp;AB$130&amp;"C"&amp;AB$131,FALSE)="Average (weighted)","Yes","No"),"")</f>
        <v>Yes</v>
      </c>
    </row>
    <row r="39" spans="1:28" ht="45" customHeight="1" x14ac:dyDescent="0.25">
      <c r="A39" s="17" t="s">
        <v>5513</v>
      </c>
      <c r="B39" s="17" t="s">
        <v>3396</v>
      </c>
      <c r="C39" s="16" t="s">
        <v>5514</v>
      </c>
      <c r="D39" s="31" t="str" cm="1">
        <f t="array" aca="1" ref="D39" ca="1">INDIRECT(""&amp;$C39&amp;"!R"&amp;D$130&amp;"C"&amp;D$131,FALSE)</f>
        <v>Masonry bricks made from clay, including fired, perforated, engineering, and facing bricks.</v>
      </c>
      <c r="E39" s="39" t="str">
        <f t="shared" ref="E39:E70" si="9">HYPERLINK("#"&amp;C39&amp;"!A1",C39)</f>
        <v>Clay_bricks</v>
      </c>
      <c r="F39" s="14" t="str" cm="1">
        <f t="array" aca="1" ref="F39" ca="1">INDIRECT(""&amp;$C39&amp;"!R"&amp;F$130&amp;"C"&amp;F$131,FALSE)</f>
        <v>tonne</v>
      </c>
      <c r="G39" s="14" t="str" cm="1">
        <f t="array" aca="1" ref="G39" ca="1">INDIRECT(""&amp;$C39&amp;"!R"&amp;G$130&amp;"C"&amp;G$131,FALSE)</f>
        <v>Tier 4</v>
      </c>
      <c r="H39" s="32">
        <f ca="1">INDEX(Methodology!$B$26:$D$31,MATCH('EF Table_detail'!$G39,Methodology!$B$26:$B$31,0),MATCH('EF Table_detail'!$H$5,Methodology!$B$26:$D$26,0))</f>
        <v>1.2</v>
      </c>
      <c r="I39" s="98" cm="1">
        <f t="array" aca="1" ref="I39" ca="1">INDIRECT(""&amp;$C39&amp;"!R"&amp;I$130&amp;"C"&amp;I$131,FALSE)</f>
        <v>387</v>
      </c>
      <c r="J39" s="99" cm="1">
        <f t="array" aca="1" ref="J39" ca="1">INDIRECT(""&amp;$C39&amp;"!R"&amp;J$130&amp;"C"&amp;J$131,FALSE)</f>
        <v>47.832090000000001</v>
      </c>
      <c r="K39" s="100" cm="1">
        <f t="array" aca="1" ref="K39" ca="1">INDIRECT(""&amp;$C39&amp;"!R"&amp;K$130&amp;"C"&amp;K$131,FALSE)</f>
        <v>183.57397378787871</v>
      </c>
      <c r="L39" s="101">
        <f ca="1">$K39*(1+INDEX(Methodology!$B$26:$E$31,MATCH($G39,Methodology!$B$26:$B$31,0),MATCH(M$5,Methodology!$B$26:$E$26,0)))</f>
        <v>220.28876854545445</v>
      </c>
      <c r="M39" s="102">
        <f ca="1">$I39*(1+INDEX(Methodology!$B$26:$E$31,MATCH($G39,Methodology!$B$26:$B$31,0),MATCH(M$5,Methodology!$B$26:$E$26,0)))</f>
        <v>464.4</v>
      </c>
      <c r="N39" s="99" cm="1">
        <f t="array" aca="1" ref="N39" ca="1">INDIRECT(""&amp;$C39&amp;"!R"&amp;N$130&amp;"C"&amp;N$131,FALSE)</f>
        <v>0.38700000000000001</v>
      </c>
      <c r="O39" s="99" cm="1">
        <f t="array" aca="1" ref="O39" ca="1">INDIRECT(""&amp;$C39&amp;"!R"&amp;O$130&amp;"C"&amp;O$131,FALSE)</f>
        <v>4.7832090000000001E-2</v>
      </c>
      <c r="P39" s="100" cm="1">
        <f t="array" aca="1" ref="P39" ca="1">INDIRECT(""&amp;$C39&amp;"!R"&amp;P$130&amp;"C"&amp;P$131,FALSE)</f>
        <v>0.18357397378787882</v>
      </c>
      <c r="Q39" s="101">
        <f ca="1">$P39*(1+INDEX(Methodology!$B$26:$E$31,MATCH($G39,Methodology!$B$26:$B$31,0),MATCH(R$5,Methodology!$B$26:$E$26,0)))</f>
        <v>0.22028876854545457</v>
      </c>
      <c r="R39" s="102">
        <f ca="1">$N39*(1+INDEX(Methodology!$B$26:$E$31,MATCH($G39,Methodology!$B$26:$B$31,0),MATCH(R$5,Methodology!$B$26:$E$26,0)))</f>
        <v>0.46439999999999998</v>
      </c>
      <c r="S39" s="103"/>
      <c r="T39" s="107" cm="1">
        <f t="array" aca="1" ref="T39" ca="1">INDIRECT(""&amp;$C39&amp;"!R"&amp;T$130&amp;"C"&amp;T$131,FALSE)</f>
        <v>0</v>
      </c>
      <c r="U39" s="108" cm="1">
        <f t="array" aca="1" ref="U39" ca="1">INDIRECT(""&amp;$C39&amp;"!R"&amp;U$130&amp;"C"&amp;U$131,FALSE)</f>
        <v>0</v>
      </c>
      <c r="V39" s="107" cm="1">
        <f t="array" aca="1" ref="V39" ca="1">INDIRECT(""&amp;$C39&amp;"!R"&amp;V$130&amp;"C"&amp;V$131,FALSE)</f>
        <v>0</v>
      </c>
      <c r="W39" s="109" cm="1">
        <f t="array" aca="1" ref="W39" ca="1">INDIRECT(""&amp;$C39&amp;"!R"&amp;W$130&amp;"C"&amp;W$131,FALSE)</f>
        <v>0</v>
      </c>
      <c r="X39" s="103"/>
      <c r="Y39" s="107">
        <f t="shared" ca="1" si="5"/>
        <v>999.99999999999943</v>
      </c>
      <c r="Z39" s="29" t="str">
        <f t="shared" ca="1" si="6"/>
        <v>kg/tonne</v>
      </c>
      <c r="AA39" s="35" t="str" cm="1">
        <f t="array" aca="1" ref="AA39" ca="1">IF(INDIRECT(""&amp;$C39&amp;"!R"&amp;AA$130&amp;"C"&amp;AA$131,FALSE)=0,"",INDIRECT(""&amp;$C39&amp;"!R"&amp;AA$130&amp;"C"&amp;AA$131,FALSE))</f>
        <v/>
      </c>
      <c r="AB39" s="36" t="str" cm="1">
        <f t="array" aca="1" ref="AB39" ca="1">IFERROR(IF(INDIRECT(""&amp;$C39&amp;"!R"&amp;AB$130&amp;"C"&amp;AB$131,FALSE)="Average (weighted)","Yes","No"),"")</f>
        <v>No</v>
      </c>
    </row>
    <row r="40" spans="1:28" ht="45" customHeight="1" x14ac:dyDescent="0.25">
      <c r="A40" s="17" t="s">
        <v>5513</v>
      </c>
      <c r="B40" s="17" t="s">
        <v>5515</v>
      </c>
      <c r="C40" s="11" t="s">
        <v>5481</v>
      </c>
      <c r="D40" s="31" t="str" cm="1">
        <f t="array" aca="1" ref="D40" ca="1">INDIRECT(""&amp;$C40&amp;"!R"&amp;D$130&amp;"C"&amp;D$131,FALSE)</f>
        <v>Concrete brick, block and roof tiles i.e. cinder block or concrete finishing brick/tile used in masonry. Not including any core fill material or reinforcing.</v>
      </c>
      <c r="E40" s="39" t="str">
        <f t="shared" si="9"/>
        <v>Concrete_bricks</v>
      </c>
      <c r="F40" s="14" t="str" cm="1">
        <f t="array" aca="1" ref="F40" ca="1">INDIRECT(""&amp;$C40&amp;"!R"&amp;F$130&amp;"C"&amp;F$131,FALSE)</f>
        <v>tonne</v>
      </c>
      <c r="G40" s="14" t="str" cm="1">
        <f t="array" aca="1" ref="G40" ca="1">INDIRECT(""&amp;$C40&amp;"!R"&amp;G$130&amp;"C"&amp;G$131,FALSE)</f>
        <v>Tier 3</v>
      </c>
      <c r="H40" s="32">
        <f ca="1">INDEX(Methodology!$B$26:$D$31,MATCH('EF Table_detail'!$G40,Methodology!$B$26:$B$31,0),MATCH('EF Table_detail'!$H$5,Methodology!$B$26:$D$26,0))</f>
        <v>1.1000000000000001</v>
      </c>
      <c r="I40" s="98" cm="1">
        <f t="array" aca="1" ref="I40" ca="1">INDIRECT(""&amp;$C40&amp;"!R"&amp;I$130&amp;"C"&amp;I$131,FALSE)</f>
        <v>240.39</v>
      </c>
      <c r="J40" s="99" cm="1">
        <f t="array" aca="1" ref="J40" ca="1">INDIRECT(""&amp;$C40&amp;"!R"&amp;J$130&amp;"C"&amp;J$131,FALSE)</f>
        <v>111.67</v>
      </c>
      <c r="K40" s="100" cm="1">
        <f t="array" aca="1" ref="K40" ca="1">INDIRECT(""&amp;$C40&amp;"!R"&amp;K$130&amp;"C"&amp;K$131,FALSE)</f>
        <v>158.68923076923076</v>
      </c>
      <c r="L40" s="101">
        <f ca="1">$K40*(1+INDEX(Methodology!$B$26:$E$31,MATCH($G40,Methodology!$B$26:$B$31,0),MATCH(M$5,Methodology!$B$26:$E$26,0)))</f>
        <v>174.55815384615386</v>
      </c>
      <c r="M40" s="102">
        <f ca="1">$I40*(1+INDEX(Methodology!$B$26:$E$31,MATCH($G40,Methodology!$B$26:$B$31,0),MATCH(M$5,Methodology!$B$26:$E$26,0)))</f>
        <v>264.42900000000003</v>
      </c>
      <c r="N40" s="99" cm="1">
        <f t="array" aca="1" ref="N40" ca="1">INDIRECT(""&amp;$C40&amp;"!R"&amp;N$130&amp;"C"&amp;N$131,FALSE)</f>
        <v>0.24038999999999999</v>
      </c>
      <c r="O40" s="99" cm="1">
        <f t="array" aca="1" ref="O40" ca="1">INDIRECT(""&amp;$C40&amp;"!R"&amp;O$130&amp;"C"&amp;O$131,FALSE)</f>
        <v>0.11167000000000001</v>
      </c>
      <c r="P40" s="100" cm="1">
        <f t="array" aca="1" ref="P40" ca="1">INDIRECT(""&amp;$C40&amp;"!R"&amp;P$130&amp;"C"&amp;P$131,FALSE)</f>
        <v>0.1586892307692308</v>
      </c>
      <c r="Q40" s="101">
        <f ca="1">$P40*(1+INDEX(Methodology!$B$26:$E$31,MATCH($G40,Methodology!$B$26:$B$31,0),MATCH(R$5,Methodology!$B$26:$E$26,0)))</f>
        <v>0.17455815384615389</v>
      </c>
      <c r="R40" s="102">
        <f ca="1">$N40*(1+INDEX(Methodology!$B$26:$E$31,MATCH($G40,Methodology!$B$26:$B$31,0),MATCH(R$5,Methodology!$B$26:$E$26,0)))</f>
        <v>0.26442900000000003</v>
      </c>
      <c r="S40" s="103"/>
      <c r="T40" s="107" cm="1">
        <f t="array" aca="1" ref="T40" ca="1">INDIRECT(""&amp;$C40&amp;"!R"&amp;T$130&amp;"C"&amp;T$131,FALSE)</f>
        <v>0</v>
      </c>
      <c r="U40" s="108" cm="1">
        <f t="array" aca="1" ref="U40" ca="1">INDIRECT(""&amp;$C40&amp;"!R"&amp;U$130&amp;"C"&amp;U$131,FALSE)</f>
        <v>0</v>
      </c>
      <c r="V40" s="107" cm="1">
        <f t="array" aca="1" ref="V40" ca="1">INDIRECT(""&amp;$C40&amp;"!R"&amp;V$130&amp;"C"&amp;V$131,FALSE)</f>
        <v>0</v>
      </c>
      <c r="W40" s="109" cm="1">
        <f t="array" aca="1" ref="W40" ca="1">INDIRECT(""&amp;$C40&amp;"!R"&amp;W$130&amp;"C"&amp;W$131,FALSE)</f>
        <v>0</v>
      </c>
      <c r="X40" s="103"/>
      <c r="Y40" s="107">
        <f t="shared" ca="1" si="5"/>
        <v>999.99999999999977</v>
      </c>
      <c r="Z40" s="29" t="str">
        <f t="shared" ca="1" si="6"/>
        <v>kg/tonne</v>
      </c>
      <c r="AA40" s="35" t="str" cm="1">
        <f t="array" aca="1" ref="AA40" ca="1">IF(INDIRECT(""&amp;$C40&amp;"!R"&amp;AA$130&amp;"C"&amp;AA$131,FALSE)=0,"",INDIRECT(""&amp;$C40&amp;"!R"&amp;AA$130&amp;"C"&amp;AA$131,FALSE))</f>
        <v>Not including any core fill material or reinforcing.</v>
      </c>
      <c r="AB40" s="36" t="str" cm="1">
        <f t="array" aca="1" ref="AB40" ca="1">IFERROR(IF(INDIRECT(""&amp;$C40&amp;"!R"&amp;AB$130&amp;"C"&amp;AB$131,FALSE)="Average (weighted)","Yes","No"),"")</f>
        <v>No</v>
      </c>
    </row>
    <row r="41" spans="1:28" ht="45" customHeight="1" x14ac:dyDescent="0.25">
      <c r="A41" s="17" t="s">
        <v>5513</v>
      </c>
      <c r="B41" s="17" t="s">
        <v>5173</v>
      </c>
      <c r="C41" s="16" t="s">
        <v>5516</v>
      </c>
      <c r="D41" s="31" t="str" cm="1">
        <f t="array" aca="1" ref="D41" ca="1">INDIRECT(""&amp;$C41&amp;"!R"&amp;D$130&amp;"C"&amp;D$131,FALSE)</f>
        <v>Stone tiles (wall and floor) and pavers including porcelain tiles, represented by granite and limestone quarry operations and surface preparation with stabilisation as needed.</v>
      </c>
      <c r="E41" s="39" t="str">
        <f t="shared" si="9"/>
        <v>Pavers_Stone</v>
      </c>
      <c r="F41" s="14" t="str" cm="1">
        <f t="array" aca="1" ref="F41" ca="1">INDIRECT(""&amp;$C41&amp;"!R"&amp;F$130&amp;"C"&amp;F$131,FALSE)</f>
        <v>tonne</v>
      </c>
      <c r="G41" s="14" t="str" cm="1">
        <f t="array" aca="1" ref="G41" ca="1">INDIRECT(""&amp;$C41&amp;"!R"&amp;G$130&amp;"C"&amp;G$131,FALSE)</f>
        <v>Tier 4</v>
      </c>
      <c r="H41" s="32">
        <f ca="1">INDEX(Methodology!$B$26:$D$31,MATCH('EF Table_detail'!$G41,Methodology!$B$26:$B$31,0),MATCH('EF Table_detail'!$H$5,Methodology!$B$26:$D$26,0))</f>
        <v>1.2</v>
      </c>
      <c r="I41" s="98" cm="1">
        <f t="array" aca="1" ref="I41" ca="1">INDIRECT(""&amp;$C41&amp;"!R"&amp;I$130&amp;"C"&amp;I$131,FALSE)</f>
        <v>451.85185185185185</v>
      </c>
      <c r="J41" s="99" cm="1">
        <f t="array" aca="1" ref="J41" ca="1">INDIRECT(""&amp;$C41&amp;"!R"&amp;J$130&amp;"C"&amp;J$131,FALSE)</f>
        <v>67.104439999999997</v>
      </c>
      <c r="K41" s="100" cm="1">
        <f t="array" aca="1" ref="K41" ca="1">INDIRECT(""&amp;$C41&amp;"!R"&amp;K$130&amp;"C"&amp;K$131,FALSE)</f>
        <v>238.98309387205384</v>
      </c>
      <c r="L41" s="101">
        <f ca="1">$K41*(1+INDEX(Methodology!$B$26:$E$31,MATCH($G41,Methodology!$B$26:$B$31,0),MATCH(M$5,Methodology!$B$26:$E$26,0)))</f>
        <v>286.77971264646459</v>
      </c>
      <c r="M41" s="102">
        <f ca="1">$I41*(1+INDEX(Methodology!$B$26:$E$31,MATCH($G41,Methodology!$B$26:$B$31,0),MATCH(M$5,Methodology!$B$26:$E$26,0)))</f>
        <v>542.22222222222217</v>
      </c>
      <c r="N41" s="99" cm="1">
        <f t="array" aca="1" ref="N41" ca="1">INDIRECT(""&amp;$C41&amp;"!R"&amp;N$130&amp;"C"&amp;N$131,FALSE)</f>
        <v>0.45185185185185184</v>
      </c>
      <c r="O41" s="99" cm="1">
        <f t="array" aca="1" ref="O41" ca="1">INDIRECT(""&amp;$C41&amp;"!R"&amp;O$130&amp;"C"&amp;O$131,FALSE)</f>
        <v>6.7104439999999987E-2</v>
      </c>
      <c r="P41" s="100" cm="1">
        <f t="array" aca="1" ref="P41" ca="1">INDIRECT(""&amp;$C41&amp;"!R"&amp;P$130&amp;"C"&amp;P$131,FALSE)</f>
        <v>0.23898309387205385</v>
      </c>
      <c r="Q41" s="101">
        <f ca="1">$P41*(1+INDEX(Methodology!$B$26:$E$31,MATCH($G41,Methodology!$B$26:$B$31,0),MATCH(R$5,Methodology!$B$26:$E$26,0)))</f>
        <v>0.28677971264646462</v>
      </c>
      <c r="R41" s="102">
        <f ca="1">$N41*(1+INDEX(Methodology!$B$26:$E$31,MATCH($G41,Methodology!$B$26:$B$31,0),MATCH(R$5,Methodology!$B$26:$E$26,0)))</f>
        <v>0.54222222222222216</v>
      </c>
      <c r="S41" s="103"/>
      <c r="T41" s="107" cm="1">
        <f t="array" aca="1" ref="T41" ca="1">INDIRECT(""&amp;$C41&amp;"!R"&amp;T$130&amp;"C"&amp;T$131,FALSE)</f>
        <v>0</v>
      </c>
      <c r="U41" s="108" cm="1">
        <f t="array" aca="1" ref="U41" ca="1">INDIRECT(""&amp;$C41&amp;"!R"&amp;U$130&amp;"C"&amp;U$131,FALSE)</f>
        <v>0</v>
      </c>
      <c r="V41" s="107" cm="1">
        <f t="array" aca="1" ref="V41" ca="1">INDIRECT(""&amp;$C41&amp;"!R"&amp;V$130&amp;"C"&amp;V$131,FALSE)</f>
        <v>0</v>
      </c>
      <c r="W41" s="109" cm="1">
        <f t="array" aca="1" ref="W41" ca="1">INDIRECT(""&amp;$C41&amp;"!R"&amp;W$130&amp;"C"&amp;W$131,FALSE)</f>
        <v>0</v>
      </c>
      <c r="X41" s="103"/>
      <c r="Y41" s="107">
        <f t="shared" ca="1" si="5"/>
        <v>1000</v>
      </c>
      <c r="Z41" s="29" t="str">
        <f t="shared" ca="1" si="6"/>
        <v>kg/tonne</v>
      </c>
      <c r="AA41" s="35" t="str" cm="1">
        <f t="array" aca="1" ref="AA41" ca="1">IF(INDIRECT(""&amp;$C41&amp;"!R"&amp;AA$130&amp;"C"&amp;AA$131,FALSE)=0,"",INDIRECT(""&amp;$C41&amp;"!R"&amp;AA$130&amp;"C"&amp;AA$131,FALSE))</f>
        <v/>
      </c>
      <c r="AB41" s="36" t="str" cm="1">
        <f t="array" aca="1" ref="AB41" ca="1">IFERROR(IF(INDIRECT(""&amp;$C41&amp;"!R"&amp;AB$130&amp;"C"&amp;AB$131,FALSE)="Average (weighted)","Yes","No"),"")</f>
        <v>No</v>
      </c>
    </row>
    <row r="42" spans="1:28" ht="45" customHeight="1" x14ac:dyDescent="0.25">
      <c r="A42" s="17" t="s">
        <v>3505</v>
      </c>
      <c r="B42" s="17" t="s">
        <v>5517</v>
      </c>
      <c r="C42" s="16" t="s">
        <v>5518</v>
      </c>
      <c r="D42" s="31" t="str" cm="1">
        <f t="array" aca="1" ref="D42" ca="1">INDIRECT(""&amp;$C42&amp;"!R"&amp;D$130&amp;"C"&amp;D$131,FALSE)</f>
        <v>Various aggregates used as fill including quarry products, road base and ballast of differing size distributions.</v>
      </c>
      <c r="E42" s="39" t="str">
        <f t="shared" si="9"/>
        <v>Fill_base_quarry</v>
      </c>
      <c r="F42" s="14" t="str" cm="1">
        <f t="array" aca="1" ref="F42" ca="1">INDIRECT(""&amp;$C42&amp;"!R"&amp;F$130&amp;"C"&amp;F$131,FALSE)</f>
        <v>tonne</v>
      </c>
      <c r="G42" s="14" t="str" cm="1">
        <f t="array" aca="1" ref="G42" ca="1">INDIRECT(""&amp;$C42&amp;"!R"&amp;G$130&amp;"C"&amp;G$131,FALSE)</f>
        <v>Tier 3</v>
      </c>
      <c r="H42" s="32">
        <f ca="1">INDEX(Methodology!$B$26:$D$31,MATCH('EF Table_detail'!$G42,Methodology!$B$26:$B$31,0),MATCH('EF Table_detail'!$H$5,Methodology!$B$26:$D$26,0))</f>
        <v>1.1000000000000001</v>
      </c>
      <c r="I42" s="98" cm="1">
        <f t="array" aca="1" ref="I42" ca="1">INDIRECT(""&amp;$C42&amp;"!R"&amp;I$130&amp;"C"&amp;I$131,FALSE)</f>
        <v>9.24</v>
      </c>
      <c r="J42" s="99" cm="1">
        <f t="array" aca="1" ref="J42" ca="1">INDIRECT(""&amp;$C42&amp;"!R"&amp;J$130&amp;"C"&amp;J$131,FALSE)</f>
        <v>3.26</v>
      </c>
      <c r="K42" s="100" cm="1">
        <f t="array" aca="1" ref="K42" ca="1">INDIRECT(""&amp;$C42&amp;"!R"&amp;K$130&amp;"C"&amp;K$131,FALSE)</f>
        <v>6.6602367000000013</v>
      </c>
      <c r="L42" s="101">
        <f ca="1">$K42*(1+INDEX(Methodology!$B$26:$E$31,MATCH($G42,Methodology!$B$26:$B$31,0),MATCH(M$5,Methodology!$B$26:$E$26,0)))</f>
        <v>7.3262603700000017</v>
      </c>
      <c r="M42" s="102">
        <f ca="1">$I42*(1+INDEX(Methodology!$B$26:$E$31,MATCH($G42,Methodology!$B$26:$B$31,0),MATCH(M$5,Methodology!$B$26:$E$26,0)))</f>
        <v>10.164000000000001</v>
      </c>
      <c r="N42" s="99" cm="1">
        <f t="array" aca="1" ref="N42" ca="1">INDIRECT(""&amp;$C42&amp;"!R"&amp;N$130&amp;"C"&amp;N$131,FALSE)</f>
        <v>9.2399999999999999E-3</v>
      </c>
      <c r="O42" s="99" cm="1">
        <f t="array" aca="1" ref="O42" ca="1">INDIRECT(""&amp;$C42&amp;"!R"&amp;O$130&amp;"C"&amp;O$131,FALSE)</f>
        <v>3.2599999999999999E-3</v>
      </c>
      <c r="P42" s="100" cm="1">
        <f t="array" aca="1" ref="P42" ca="1">INDIRECT(""&amp;$C42&amp;"!R"&amp;P$130&amp;"C"&amp;P$131,FALSE)</f>
        <v>6.6602366999999997E-3</v>
      </c>
      <c r="Q42" s="101">
        <f ca="1">$P42*(1+INDEX(Methodology!$B$26:$E$31,MATCH($G42,Methodology!$B$26:$B$31,0),MATCH(R$5,Methodology!$B$26:$E$26,0)))</f>
        <v>7.3262603700000005E-3</v>
      </c>
      <c r="R42" s="102">
        <f ca="1">$N42*(1+INDEX(Methodology!$B$26:$E$31,MATCH($G42,Methodology!$B$26:$B$31,0),MATCH(R$5,Methodology!$B$26:$E$26,0)))</f>
        <v>1.0164000000000001E-2</v>
      </c>
      <c r="S42" s="103"/>
      <c r="T42" s="107" cm="1">
        <f t="array" aca="1" ref="T42" ca="1">INDIRECT(""&amp;$C42&amp;"!R"&amp;T$130&amp;"C"&amp;T$131,FALSE)</f>
        <v>0</v>
      </c>
      <c r="U42" s="108" cm="1">
        <f t="array" aca="1" ref="U42" ca="1">INDIRECT(""&amp;$C42&amp;"!R"&amp;U$130&amp;"C"&amp;U$131,FALSE)</f>
        <v>0</v>
      </c>
      <c r="V42" s="107" cm="1">
        <f t="array" aca="1" ref="V42" ca="1">INDIRECT(""&amp;$C42&amp;"!R"&amp;V$130&amp;"C"&amp;V$131,FALSE)</f>
        <v>0</v>
      </c>
      <c r="W42" s="109" cm="1">
        <f t="array" aca="1" ref="W42" ca="1">INDIRECT(""&amp;$C42&amp;"!R"&amp;W$130&amp;"C"&amp;W$131,FALSE)</f>
        <v>0</v>
      </c>
      <c r="X42" s="103"/>
      <c r="Y42" s="107">
        <f t="shared" ca="1" si="5"/>
        <v>1000.0000000000002</v>
      </c>
      <c r="Z42" s="29" t="str">
        <f t="shared" ca="1" si="6"/>
        <v>kg/tonne</v>
      </c>
      <c r="AA42" s="35" t="str" cm="1">
        <f t="array" aca="1" ref="AA42" ca="1">IF(INDIRECT(""&amp;$C42&amp;"!R"&amp;AA$130&amp;"C"&amp;AA$131,FALSE)=0,"",INDIRECT(""&amp;$C42&amp;"!R"&amp;AA$130&amp;"C"&amp;AA$131,FALSE))</f>
        <v/>
      </c>
      <c r="AB42" s="36" t="str" cm="1">
        <f t="array" aca="1" ref="AB42" ca="1">IFERROR(IF(INDIRECT(""&amp;$C42&amp;"!R"&amp;AB$130&amp;"C"&amp;AB$131,FALSE)="Average (weighted)","Yes","No"),"")</f>
        <v>No</v>
      </c>
    </row>
    <row r="43" spans="1:28" ht="45" customHeight="1" x14ac:dyDescent="0.25">
      <c r="A43" s="9" t="s">
        <v>3505</v>
      </c>
      <c r="B43" s="17" t="s">
        <v>4682</v>
      </c>
      <c r="C43" s="16" t="s">
        <v>5519</v>
      </c>
      <c r="D43" s="31" t="str" cm="1">
        <f t="array" aca="1" ref="D43" ca="1">INDIRECT(""&amp;$C43&amp;"!R"&amp;D$130&amp;"C"&amp;D$131,FALSE)</f>
        <v>Aggregates generated from a recycled or recovered resource (e.g. from crushed recycled concrete).</v>
      </c>
      <c r="E43" s="39" t="str">
        <f t="shared" si="9"/>
        <v>Recovered_aggregate</v>
      </c>
      <c r="F43" s="14" t="str" cm="1">
        <f t="array" aca="1" ref="F43" ca="1">INDIRECT(""&amp;$C43&amp;"!R"&amp;F$130&amp;"C"&amp;F$131,FALSE)</f>
        <v>tonne</v>
      </c>
      <c r="G43" s="14" t="str" cm="1">
        <f t="array" aca="1" ref="G43" ca="1">INDIRECT(""&amp;$C43&amp;"!R"&amp;G$130&amp;"C"&amp;G$131,FALSE)</f>
        <v>Tier 4</v>
      </c>
      <c r="H43" s="32">
        <f ca="1">INDEX(Methodology!$B$26:$D$31,MATCH('EF Table_detail'!$G43,Methodology!$B$26:$B$31,0),MATCH('EF Table_detail'!$H$5,Methodology!$B$26:$D$26,0))</f>
        <v>1.2</v>
      </c>
      <c r="I43" s="98" cm="1">
        <f t="array" aca="1" ref="I43" ca="1">INDIRECT(""&amp;$C43&amp;"!R"&amp;I$130&amp;"C"&amp;I$131,FALSE)</f>
        <v>9.5506699999999984</v>
      </c>
      <c r="J43" s="99" cm="1">
        <f t="array" aca="1" ref="J43" ca="1">INDIRECT(""&amp;$C43&amp;"!R"&amp;J$130&amp;"C"&amp;J$131,FALSE)</f>
        <v>0.49231160000000002</v>
      </c>
      <c r="K43" s="100" cm="1">
        <f t="array" aca="1" ref="K43" ca="1">INDIRECT(""&amp;$C43&amp;"!R"&amp;K$130&amp;"C"&amp;K$131,FALSE)</f>
        <v>3.8154143833333332</v>
      </c>
      <c r="L43" s="101">
        <f ca="1">$K43*(1+INDEX(Methodology!$B$26:$E$31,MATCH($G43,Methodology!$B$26:$B$31,0),MATCH(M$5,Methodology!$B$26:$E$26,0)))</f>
        <v>4.5784972599999998</v>
      </c>
      <c r="M43" s="102">
        <f ca="1">$I43*(1+INDEX(Methodology!$B$26:$E$31,MATCH($G43,Methodology!$B$26:$B$31,0),MATCH(M$5,Methodology!$B$26:$E$26,0)))</f>
        <v>11.460803999999998</v>
      </c>
      <c r="N43" s="99" cm="1">
        <f t="array" aca="1" ref="N43" ca="1">INDIRECT(""&amp;$C43&amp;"!R"&amp;N$130&amp;"C"&amp;N$131,FALSE)</f>
        <v>9.550669999999999E-3</v>
      </c>
      <c r="O43" s="99" cm="1">
        <f t="array" aca="1" ref="O43" ca="1">INDIRECT(""&amp;$C43&amp;"!R"&amp;O$130&amp;"C"&amp;O$131,FALSE)</f>
        <v>4.9231160000000004E-4</v>
      </c>
      <c r="P43" s="100" cm="1">
        <f t="array" aca="1" ref="P43" ca="1">INDIRECT(""&amp;$C43&amp;"!R"&amp;P$130&amp;"C"&amp;P$131,FALSE)</f>
        <v>3.8154143833333334E-3</v>
      </c>
      <c r="Q43" s="101">
        <f ca="1">$P43*(1+INDEX(Methodology!$B$26:$E$31,MATCH($G43,Methodology!$B$26:$B$31,0),MATCH(R$5,Methodology!$B$26:$E$26,0)))</f>
        <v>4.5784972599999998E-3</v>
      </c>
      <c r="R43" s="102">
        <f ca="1">$N43*(1+INDEX(Methodology!$B$26:$E$31,MATCH($G43,Methodology!$B$26:$B$31,0),MATCH(R$5,Methodology!$B$26:$E$26,0)))</f>
        <v>1.1460803999999998E-2</v>
      </c>
      <c r="S43" s="103"/>
      <c r="T43" s="107" cm="1">
        <f t="array" aca="1" ref="T43" ca="1">INDIRECT(""&amp;$C43&amp;"!R"&amp;T$130&amp;"C"&amp;T$131,FALSE)</f>
        <v>0</v>
      </c>
      <c r="U43" s="108" cm="1">
        <f t="array" aca="1" ref="U43" ca="1">INDIRECT(""&amp;$C43&amp;"!R"&amp;U$130&amp;"C"&amp;U$131,FALSE)</f>
        <v>0</v>
      </c>
      <c r="V43" s="107" cm="1">
        <f t="array" aca="1" ref="V43" ca="1">INDIRECT(""&amp;$C43&amp;"!R"&amp;V$130&amp;"C"&amp;V$131,FALSE)</f>
        <v>0</v>
      </c>
      <c r="W43" s="109" cm="1">
        <f t="array" aca="1" ref="W43" ca="1">INDIRECT(""&amp;$C43&amp;"!R"&amp;W$130&amp;"C"&amp;W$131,FALSE)</f>
        <v>0</v>
      </c>
      <c r="X43" s="103"/>
      <c r="Y43" s="107">
        <f t="shared" ca="1" si="5"/>
        <v>999.99999999999989</v>
      </c>
      <c r="Z43" s="29" t="str">
        <f t="shared" ca="1" si="6"/>
        <v>kg/tonne</v>
      </c>
      <c r="AA43" s="35" t="str" cm="1">
        <f t="array" aca="1" ref="AA43" ca="1">IF(INDIRECT(""&amp;$C43&amp;"!R"&amp;AA$130&amp;"C"&amp;AA$131,FALSE)=0,"",INDIRECT(""&amp;$C43&amp;"!R"&amp;AA$130&amp;"C"&amp;AA$131,FALSE))</f>
        <v/>
      </c>
      <c r="AB43" s="36" t="str" cm="1">
        <f t="array" aca="1" ref="AB43" ca="1">IFERROR(IF(INDIRECT(""&amp;$C43&amp;"!R"&amp;AB$130&amp;"C"&amp;AB$131,FALSE)="Average (weighted)","Yes","No"),"")</f>
        <v>No</v>
      </c>
    </row>
    <row r="44" spans="1:28" ht="45" customHeight="1" x14ac:dyDescent="0.25">
      <c r="A44" s="9" t="s">
        <v>3505</v>
      </c>
      <c r="B44" s="17" t="s">
        <v>4814</v>
      </c>
      <c r="C44" s="16" t="s">
        <v>5520</v>
      </c>
      <c r="D44" s="31" t="str" cm="1">
        <f t="array" aca="1" ref="D44" ca="1">INDIRECT(""&amp;$C44&amp;"!R"&amp;D$130&amp;"C"&amp;D$131,FALSE)</f>
        <v>Sand used as fill or for stabilsation purposes, including various rates of stabliser inclusion from 7% to 25%.</v>
      </c>
      <c r="E44" s="39" t="str">
        <f t="shared" si="9"/>
        <v>stabilised_sand</v>
      </c>
      <c r="F44" s="14" t="str" cm="1">
        <f t="array" aca="1" ref="F44" ca="1">INDIRECT(""&amp;$C44&amp;"!R"&amp;F$130&amp;"C"&amp;F$131,FALSE)</f>
        <v>m³</v>
      </c>
      <c r="G44" s="14" t="str" cm="1">
        <f t="array" aca="1" ref="G44" ca="1">INDIRECT(""&amp;$C44&amp;"!R"&amp;G$130&amp;"C"&amp;G$131,FALSE)</f>
        <v>Tier 2</v>
      </c>
      <c r="H44" s="32">
        <f ca="1">INDEX(Methodology!$B$26:$D$31,MATCH('EF Table_detail'!$G44,Methodology!$B$26:$B$31,0),MATCH('EF Table_detail'!$H$5,Methodology!$B$26:$D$26,0))</f>
        <v>1.05</v>
      </c>
      <c r="I44" s="98" cm="1">
        <f t="array" aca="1" ref="I44" ca="1">INDIRECT(""&amp;$C44&amp;"!R"&amp;I$130&amp;"C"&amp;I$131,FALSE)</f>
        <v>344</v>
      </c>
      <c r="J44" s="99" cm="1">
        <f t="array" aca="1" ref="J44" ca="1">INDIRECT(""&amp;$C44&amp;"!R"&amp;J$130&amp;"C"&amp;J$131,FALSE)</f>
        <v>67.8</v>
      </c>
      <c r="K44" s="100" cm="1">
        <f t="array" aca="1" ref="K44" ca="1">INDIRECT(""&amp;$C44&amp;"!R"&amp;K$130&amp;"C"&amp;K$131,FALSE)</f>
        <v>184.63069999999999</v>
      </c>
      <c r="L44" s="101">
        <f ca="1">$K44*(1+INDEX(Methodology!$B$26:$E$31,MATCH($G44,Methodology!$B$26:$B$31,0),MATCH(M$5,Methodology!$B$26:$E$26,0)))</f>
        <v>193.862235</v>
      </c>
      <c r="M44" s="102">
        <f ca="1">$I44*(1+INDEX(Methodology!$B$26:$E$31,MATCH($G44,Methodology!$B$26:$B$31,0),MATCH(M$5,Methodology!$B$26:$E$26,0)))</f>
        <v>361.2</v>
      </c>
      <c r="N44" s="99" cm="1">
        <f t="array" aca="1" ref="N44" ca="1">INDIRECT(""&amp;$C44&amp;"!R"&amp;N$130&amp;"C"&amp;N$131,FALSE)</f>
        <v>0.19657142857142856</v>
      </c>
      <c r="O44" s="99" cm="1">
        <f t="array" aca="1" ref="O44" ca="1">INDIRECT(""&amp;$C44&amp;"!R"&amp;O$130&amp;"C"&amp;O$131,FALSE)</f>
        <v>3.8742857142857141E-2</v>
      </c>
      <c r="P44" s="100" cm="1">
        <f t="array" aca="1" ref="P44" ca="1">INDIRECT(""&amp;$C44&amp;"!R"&amp;P$130&amp;"C"&amp;P$131,FALSE)</f>
        <v>0.10479222889610393</v>
      </c>
      <c r="Q44" s="101">
        <f ca="1">$P44*(1+INDEX(Methodology!$B$26:$E$31,MATCH($G44,Methodology!$B$26:$B$31,0),MATCH(R$5,Methodology!$B$26:$E$26,0)))</f>
        <v>0.11003184034090913</v>
      </c>
      <c r="R44" s="102">
        <f ca="1">$N44*(1+INDEX(Methodology!$B$26:$E$31,MATCH($G44,Methodology!$B$26:$B$31,0),MATCH(R$5,Methodology!$B$26:$E$26,0)))</f>
        <v>0.2064</v>
      </c>
      <c r="S44" s="103"/>
      <c r="T44" s="107" cm="1">
        <f t="array" aca="1" ref="T44" ca="1">INDIRECT(""&amp;$C44&amp;"!R"&amp;T$130&amp;"C"&amp;T$131,FALSE)</f>
        <v>0</v>
      </c>
      <c r="U44" s="108" cm="1">
        <f t="array" aca="1" ref="U44" ca="1">INDIRECT(""&amp;$C44&amp;"!R"&amp;U$130&amp;"C"&amp;U$131,FALSE)</f>
        <v>0</v>
      </c>
      <c r="V44" s="107" cm="1">
        <f t="array" aca="1" ref="V44" ca="1">INDIRECT(""&amp;$C44&amp;"!R"&amp;V$130&amp;"C"&amp;V$131,FALSE)</f>
        <v>0</v>
      </c>
      <c r="W44" s="109" cm="1">
        <f t="array" aca="1" ref="W44" ca="1">INDIRECT(""&amp;$C44&amp;"!R"&amp;W$130&amp;"C"&amp;W$131,FALSE)</f>
        <v>0</v>
      </c>
      <c r="X44" s="103"/>
      <c r="Y44" s="107">
        <f t="shared" ca="1" si="5"/>
        <v>1761.8739666569338</v>
      </c>
      <c r="Z44" s="29" t="str">
        <f t="shared" ca="1" si="6"/>
        <v>kg/m³</v>
      </c>
      <c r="AA44" s="35" t="str" cm="1">
        <f t="array" aca="1" ref="AA44" ca="1">IF(INDIRECT(""&amp;$C44&amp;"!R"&amp;AA$130&amp;"C"&amp;AA$131,FALSE)=0,"",INDIRECT(""&amp;$C44&amp;"!R"&amp;AA$130&amp;"C"&amp;AA$131,FALSE))</f>
        <v/>
      </c>
      <c r="AB44" s="36" t="str" cm="1">
        <f t="array" aca="1" ref="AB44" ca="1">IFERROR(IF(INDIRECT(""&amp;$C44&amp;"!R"&amp;AB$130&amp;"C"&amp;AB$131,FALSE)="Average (weighted)","Yes","No"),"")</f>
        <v>No</v>
      </c>
    </row>
    <row r="45" spans="1:28" ht="45" customHeight="1" x14ac:dyDescent="0.25">
      <c r="A45" s="17" t="s">
        <v>2913</v>
      </c>
      <c r="B45" s="17" t="s">
        <v>2913</v>
      </c>
      <c r="C45" s="16" t="s">
        <v>2913</v>
      </c>
      <c r="D45" s="31" t="str" cm="1">
        <f t="array" aca="1" ref="D45" ca="1">INDIRECT(""&amp;$C45&amp;"!R"&amp;D$130&amp;"C"&amp;D$131,FALSE)</f>
        <v>Any asphalt mix</v>
      </c>
      <c r="E45" s="39" t="str">
        <f t="shared" si="9"/>
        <v>Asphalt</v>
      </c>
      <c r="F45" s="14" t="str" cm="1">
        <f t="array" aca="1" ref="F45" ca="1">INDIRECT(""&amp;$C45&amp;"!R"&amp;F$130&amp;"C"&amp;F$131,FALSE)</f>
        <v>tonne</v>
      </c>
      <c r="G45" s="14" t="str" cm="1">
        <f t="array" aca="1" ref="G45" ca="1">INDIRECT(""&amp;$C45&amp;"!R"&amp;G$130&amp;"C"&amp;G$131,FALSE)</f>
        <v>Tier 2</v>
      </c>
      <c r="H45" s="32">
        <f ca="1">INDEX(Methodology!$B$26:$D$31,MATCH('EF Table_detail'!$G45,Methodology!$B$26:$B$31,0),MATCH('EF Table_detail'!$H$5,Methodology!$B$26:$D$26,0))</f>
        <v>1.05</v>
      </c>
      <c r="I45" s="98" cm="1">
        <f t="array" aca="1" ref="I45" ca="1">INDIRECT(""&amp;$C45&amp;"!R"&amp;I$130&amp;"C"&amp;I$131,FALSE)</f>
        <v>134.00033099999999</v>
      </c>
      <c r="J45" s="99" cm="1">
        <f t="array" aca="1" ref="J45" ca="1">INDIRECT(""&amp;$C45&amp;"!R"&amp;J$130&amp;"C"&amp;J$131,FALSE)</f>
        <v>5.832650000000001</v>
      </c>
      <c r="K45" s="100" cm="1">
        <f t="array" aca="1" ref="K45" ca="1">INDIRECT(""&amp;$C45&amp;"!R"&amp;K$130&amp;"C"&amp;K$131,FALSE)</f>
        <v>71.362136612339754</v>
      </c>
      <c r="L45" s="101">
        <f ca="1">$K45*(1+INDEX(Methodology!$B$26:$E$31,MATCH($G45,Methodology!$B$26:$B$31,0),MATCH(M$5,Methodology!$B$26:$E$26,0)))</f>
        <v>74.930243442956751</v>
      </c>
      <c r="M45" s="102">
        <f ca="1">$I45*(1+INDEX(Methodology!$B$26:$E$31,MATCH($G45,Methodology!$B$26:$B$31,0),MATCH(M$5,Methodology!$B$26:$E$26,0)))</f>
        <v>140.70034755</v>
      </c>
      <c r="N45" s="99" cm="1">
        <f t="array" aca="1" ref="N45" ca="1">INDIRECT(""&amp;$C45&amp;"!R"&amp;N$130&amp;"C"&amp;N$131,FALSE)</f>
        <v>0.134000331</v>
      </c>
      <c r="O45" s="99" cm="1">
        <f t="array" aca="1" ref="O45" ca="1">INDIRECT(""&amp;$C45&amp;"!R"&amp;O$130&amp;"C"&amp;O$131,FALSE)</f>
        <v>5.8326500000000009E-3</v>
      </c>
      <c r="P45" s="100" cm="1">
        <f t="array" aca="1" ref="P45" ca="1">INDIRECT(""&amp;$C45&amp;"!R"&amp;P$130&amp;"C"&amp;P$131,FALSE)</f>
        <v>7.1362136612339686E-2</v>
      </c>
      <c r="Q45" s="101">
        <f ca="1">$P45*(1+INDEX(Methodology!$B$26:$E$31,MATCH($G45,Methodology!$B$26:$B$31,0),MATCH(R$5,Methodology!$B$26:$E$26,0)))</f>
        <v>7.4930243442956679E-2</v>
      </c>
      <c r="R45" s="102">
        <f ca="1">$N45*(1+INDEX(Methodology!$B$26:$E$31,MATCH($G45,Methodology!$B$26:$B$31,0),MATCH(R$5,Methodology!$B$26:$E$26,0)))</f>
        <v>0.14070034754999999</v>
      </c>
      <c r="S45" s="103"/>
      <c r="T45" s="107" cm="1">
        <f t="array" aca="1" ref="T45" ca="1">INDIRECT(""&amp;$C45&amp;"!R"&amp;T$130&amp;"C"&amp;T$131,FALSE)</f>
        <v>0</v>
      </c>
      <c r="U45" s="108" cm="1">
        <f t="array" aca="1" ref="U45" ca="1">INDIRECT(""&amp;$C45&amp;"!R"&amp;U$130&amp;"C"&amp;U$131,FALSE)</f>
        <v>0</v>
      </c>
      <c r="V45" s="107" cm="1">
        <f t="array" aca="1" ref="V45" ca="1">INDIRECT(""&amp;$C45&amp;"!R"&amp;V$130&amp;"C"&amp;V$131,FALSE)</f>
        <v>0</v>
      </c>
      <c r="W45" s="109" cm="1">
        <f t="array" aca="1" ref="W45" ca="1">INDIRECT(""&amp;$C45&amp;"!R"&amp;W$130&amp;"C"&amp;W$131,FALSE)</f>
        <v>0</v>
      </c>
      <c r="X45" s="103"/>
      <c r="Y45" s="107">
        <f ca="1">IFERROR(K45/P45,"")</f>
        <v>1000.0000000000009</v>
      </c>
      <c r="Z45" s="29" t="str">
        <f ca="1">"kg/"&amp;F45</f>
        <v>kg/tonne</v>
      </c>
      <c r="AA45" s="35" t="str" cm="1">
        <f t="array" aca="1" ref="AA45" ca="1">IF(INDIRECT(""&amp;$C45&amp;"!R"&amp;AA$130&amp;"C"&amp;AA$131,FALSE)=0,"",INDIRECT(""&amp;$C45&amp;"!R"&amp;AA$130&amp;"C"&amp;AA$131,FALSE))</f>
        <v/>
      </c>
      <c r="AB45" s="36" t="str" cm="1">
        <f t="array" aca="1" ref="AB45" ca="1">IFERROR(IF(INDIRECT(""&amp;$C45&amp;"!R"&amp;AB$130&amp;"C"&amp;AB$131,FALSE)="Average (weighted)","Yes","No"),"")</f>
        <v>No</v>
      </c>
    </row>
    <row r="46" spans="1:28" ht="45" customHeight="1" x14ac:dyDescent="0.25">
      <c r="A46" s="17" t="s">
        <v>5521</v>
      </c>
      <c r="B46" s="17" t="s">
        <v>5522</v>
      </c>
      <c r="C46" s="16" t="s">
        <v>5523</v>
      </c>
      <c r="D46" s="31" t="str" cm="1">
        <f t="array" aca="1" ref="D46" ca="1">INDIRECT(""&amp;$C46&amp;"!R"&amp;D$130&amp;"C"&amp;D$131,FALSE)</f>
        <v>Clay and terracotta roof tiles.</v>
      </c>
      <c r="E46" s="39" t="str">
        <f t="shared" si="9"/>
        <v>Roof_Tiles_Clay</v>
      </c>
      <c r="F46" s="14" t="str" cm="1">
        <f t="array" aca="1" ref="F46" ca="1">INDIRECT(""&amp;$C46&amp;"!R"&amp;F$130&amp;"C"&amp;F$131,FALSE)</f>
        <v>tonne</v>
      </c>
      <c r="G46" s="14" t="str" cm="1">
        <f t="array" aca="1" ref="G46" ca="1">INDIRECT(""&amp;$C46&amp;"!R"&amp;G$130&amp;"C"&amp;G$131,FALSE)</f>
        <v>Tier 4</v>
      </c>
      <c r="H46" s="32">
        <f ca="1">INDEX(Methodology!$B$26:$D$31,MATCH('EF Table_detail'!$G46,Methodology!$B$26:$B$31,0),MATCH('EF Table_detail'!$H$5,Methodology!$B$26:$D$26,0))</f>
        <v>1.2</v>
      </c>
      <c r="I46" s="98" cm="1">
        <f t="array" aca="1" ref="I46" ca="1">INDIRECT(""&amp;$C46&amp;"!R"&amp;I$130&amp;"C"&amp;I$131,FALSE)</f>
        <v>568.14395201599461</v>
      </c>
      <c r="J46" s="99" cm="1">
        <f t="array" aca="1" ref="J46" ca="1">INDIRECT(""&amp;$C46&amp;"!R"&amp;J$130&amp;"C"&amp;J$131,FALSE)</f>
        <v>47.832090000000001</v>
      </c>
      <c r="K46" s="100" cm="1">
        <f t="array" aca="1" ref="K46" ca="1">INDIRECT(""&amp;$C46&amp;"!R"&amp;K$130&amp;"C"&amp;K$131,FALSE)</f>
        <v>310.24978400533155</v>
      </c>
      <c r="L46" s="101">
        <f ca="1">$K46*(1+INDEX(Methodology!$B$26:$E$31,MATCH($G46,Methodology!$B$26:$B$31,0),MATCH(M$5,Methodology!$B$26:$E$26,0)))</f>
        <v>372.29974080639784</v>
      </c>
      <c r="M46" s="102">
        <f ca="1">$I46*(1+INDEX(Methodology!$B$26:$E$31,MATCH($G46,Methodology!$B$26:$B$31,0),MATCH(M$5,Methodology!$B$26:$E$26,0)))</f>
        <v>681.77274241919349</v>
      </c>
      <c r="N46" s="99" cm="1">
        <f t="array" aca="1" ref="N46" ca="1">INDIRECT(""&amp;$C46&amp;"!R"&amp;N$130&amp;"C"&amp;N$131,FALSE)</f>
        <v>0.56814395201599466</v>
      </c>
      <c r="O46" s="99" cm="1">
        <f t="array" aca="1" ref="O46" ca="1">INDIRECT(""&amp;$C46&amp;"!R"&amp;O$130&amp;"C"&amp;O$131,FALSE)</f>
        <v>4.7832090000000001E-2</v>
      </c>
      <c r="P46" s="100" cm="1">
        <f t="array" aca="1" ref="P46" ca="1">INDIRECT(""&amp;$C46&amp;"!R"&amp;P$130&amp;"C"&amp;P$131,FALSE)</f>
        <v>0.3102497840053316</v>
      </c>
      <c r="Q46" s="101">
        <f ca="1">$P46*(1+INDEX(Methodology!$B$26:$E$31,MATCH($G46,Methodology!$B$26:$B$31,0),MATCH(R$5,Methodology!$B$26:$E$26,0)))</f>
        <v>0.37229974080639788</v>
      </c>
      <c r="R46" s="102">
        <f ca="1">$N46*(1+INDEX(Methodology!$B$26:$E$31,MATCH($G46,Methodology!$B$26:$B$31,0),MATCH(R$5,Methodology!$B$26:$E$26,0)))</f>
        <v>0.68177274241919361</v>
      </c>
      <c r="S46" s="103"/>
      <c r="T46" s="107" cm="1">
        <f t="array" aca="1" ref="T46" ca="1">INDIRECT(""&amp;$C46&amp;"!R"&amp;T$130&amp;"C"&amp;T$131,FALSE)</f>
        <v>0</v>
      </c>
      <c r="U46" s="108" cm="1">
        <f t="array" aca="1" ref="U46" ca="1">INDIRECT(""&amp;$C46&amp;"!R"&amp;U$130&amp;"C"&amp;U$131,FALSE)</f>
        <v>0</v>
      </c>
      <c r="V46" s="107" cm="1">
        <f t="array" aca="1" ref="V46" ca="1">INDIRECT(""&amp;$C46&amp;"!R"&amp;V$130&amp;"C"&amp;V$131,FALSE)</f>
        <v>0</v>
      </c>
      <c r="W46" s="109" cm="1">
        <f t="array" aca="1" ref="W46" ca="1">INDIRECT(""&amp;$C46&amp;"!R"&amp;W$130&amp;"C"&amp;W$131,FALSE)</f>
        <v>0</v>
      </c>
      <c r="X46" s="103"/>
      <c r="Y46" s="107">
        <f ca="1">IFERROR(K46/P46,"")</f>
        <v>999.99999999999989</v>
      </c>
      <c r="Z46" s="29" t="str">
        <f ca="1">"kg/"&amp;F46</f>
        <v>kg/tonne</v>
      </c>
      <c r="AA46" s="35" t="str" cm="1">
        <f t="array" aca="1" ref="AA46" ca="1">IF(INDIRECT(""&amp;$C46&amp;"!R"&amp;AA$130&amp;"C"&amp;AA$131,FALSE)=0,"",INDIRECT(""&amp;$C46&amp;"!R"&amp;AA$130&amp;"C"&amp;AA$131,FALSE))</f>
        <v/>
      </c>
      <c r="AB46" s="36" t="str" cm="1">
        <f t="array" aca="1" ref="AB46" ca="1">IFERROR(IF(INDIRECT(""&amp;$C46&amp;"!R"&amp;AB$130&amp;"C"&amp;AB$131,FALSE)="Average (weighted)","Yes","No"),"")</f>
        <v>No</v>
      </c>
    </row>
    <row r="47" spans="1:28" ht="45" customHeight="1" x14ac:dyDescent="0.25">
      <c r="A47" s="17" t="s">
        <v>5521</v>
      </c>
      <c r="B47" s="17" t="s">
        <v>5524</v>
      </c>
      <c r="C47" s="11" t="s">
        <v>5481</v>
      </c>
      <c r="D47" s="31" t="str" cm="1">
        <f t="array" aca="1" ref="D47" ca="1">INDIRECT(""&amp;$C47&amp;"!R"&amp;D$130&amp;"C"&amp;D$131,FALSE)</f>
        <v>Concrete brick, block and roof tiles i.e. cinder block or concrete finishing brick/tile used in masonry. Not including any core fill material or reinforcing.</v>
      </c>
      <c r="E47" s="39" t="str">
        <f t="shared" si="9"/>
        <v>Concrete_bricks</v>
      </c>
      <c r="F47" s="14" t="str" cm="1">
        <f t="array" aca="1" ref="F47" ca="1">INDIRECT(""&amp;$C47&amp;"!R"&amp;F$130&amp;"C"&amp;F$131,FALSE)</f>
        <v>tonne</v>
      </c>
      <c r="G47" s="14" t="str" cm="1">
        <f t="array" aca="1" ref="G47" ca="1">INDIRECT(""&amp;$C47&amp;"!R"&amp;G$130&amp;"C"&amp;G$131,FALSE)</f>
        <v>Tier 3</v>
      </c>
      <c r="H47" s="32">
        <f ca="1">INDEX(Methodology!$B$26:$D$31,MATCH('EF Table_detail'!$G47,Methodology!$B$26:$B$31,0),MATCH('EF Table_detail'!$H$5,Methodology!$B$26:$D$26,0))</f>
        <v>1.1000000000000001</v>
      </c>
      <c r="I47" s="98" cm="1">
        <f t="array" aca="1" ref="I47" ca="1">INDIRECT(""&amp;$C47&amp;"!R"&amp;I$130&amp;"C"&amp;I$131,FALSE)</f>
        <v>240.39</v>
      </c>
      <c r="J47" s="99" cm="1">
        <f t="array" aca="1" ref="J47" ca="1">INDIRECT(""&amp;$C47&amp;"!R"&amp;J$130&amp;"C"&amp;J$131,FALSE)</f>
        <v>111.67</v>
      </c>
      <c r="K47" s="100" cm="1">
        <f t="array" aca="1" ref="K47" ca="1">INDIRECT(""&amp;$C47&amp;"!R"&amp;K$130&amp;"C"&amp;K$131,FALSE)</f>
        <v>158.68923076923076</v>
      </c>
      <c r="L47" s="101">
        <f ca="1">$K47*(1+INDEX(Methodology!$B$26:$E$31,MATCH($G47,Methodology!$B$26:$B$31,0),MATCH(M$5,Methodology!$B$26:$E$26,0)))</f>
        <v>174.55815384615386</v>
      </c>
      <c r="M47" s="102">
        <f ca="1">$I47*(1+INDEX(Methodology!$B$26:$E$31,MATCH($G47,Methodology!$B$26:$B$31,0),MATCH(M$5,Methodology!$B$26:$E$26,0)))</f>
        <v>264.42900000000003</v>
      </c>
      <c r="N47" s="99" cm="1">
        <f t="array" aca="1" ref="N47" ca="1">INDIRECT(""&amp;$C47&amp;"!R"&amp;N$130&amp;"C"&amp;N$131,FALSE)</f>
        <v>0.24038999999999999</v>
      </c>
      <c r="O47" s="99" cm="1">
        <f t="array" aca="1" ref="O47" ca="1">INDIRECT(""&amp;$C47&amp;"!R"&amp;O$130&amp;"C"&amp;O$131,FALSE)</f>
        <v>0.11167000000000001</v>
      </c>
      <c r="P47" s="100" cm="1">
        <f t="array" aca="1" ref="P47" ca="1">INDIRECT(""&amp;$C47&amp;"!R"&amp;P$130&amp;"C"&amp;P$131,FALSE)</f>
        <v>0.1586892307692308</v>
      </c>
      <c r="Q47" s="101">
        <f ca="1">$P47*(1+INDEX(Methodology!$B$26:$E$31,MATCH($G47,Methodology!$B$26:$B$31,0),MATCH(R$5,Methodology!$B$26:$E$26,0)))</f>
        <v>0.17455815384615389</v>
      </c>
      <c r="R47" s="102">
        <f ca="1">$N47*(1+INDEX(Methodology!$B$26:$E$31,MATCH($G47,Methodology!$B$26:$B$31,0),MATCH(R$5,Methodology!$B$26:$E$26,0)))</f>
        <v>0.26442900000000003</v>
      </c>
      <c r="S47" s="103"/>
      <c r="T47" s="107" cm="1">
        <f t="array" aca="1" ref="T47" ca="1">INDIRECT(""&amp;$C47&amp;"!R"&amp;T$130&amp;"C"&amp;T$131,FALSE)</f>
        <v>0</v>
      </c>
      <c r="U47" s="108" cm="1">
        <f t="array" aca="1" ref="U47" ca="1">INDIRECT(""&amp;$C47&amp;"!R"&amp;U$130&amp;"C"&amp;U$131,FALSE)</f>
        <v>0</v>
      </c>
      <c r="V47" s="107" cm="1">
        <f t="array" aca="1" ref="V47" ca="1">INDIRECT(""&amp;$C47&amp;"!R"&amp;V$130&amp;"C"&amp;V$131,FALSE)</f>
        <v>0</v>
      </c>
      <c r="W47" s="109" cm="1">
        <f t="array" aca="1" ref="W47" ca="1">INDIRECT(""&amp;$C47&amp;"!R"&amp;W$130&amp;"C"&amp;W$131,FALSE)</f>
        <v>0</v>
      </c>
      <c r="X47" s="103"/>
      <c r="Y47" s="107">
        <f ca="1">IFERROR(K47/P47,"")</f>
        <v>999.99999999999977</v>
      </c>
      <c r="Z47" s="29" t="str">
        <f ca="1">"kg/"&amp;F47</f>
        <v>kg/tonne</v>
      </c>
      <c r="AA47" s="35" t="str" cm="1">
        <f t="array" aca="1" ref="AA47" ca="1">IF(INDIRECT(""&amp;$C47&amp;"!R"&amp;AA$130&amp;"C"&amp;AA$131,FALSE)=0,"",INDIRECT(""&amp;$C47&amp;"!R"&amp;AA$130&amp;"C"&amp;AA$131,FALSE))</f>
        <v>Not including any core fill material or reinforcing.</v>
      </c>
      <c r="AB47" s="36" t="str" cm="1">
        <f t="array" aca="1" ref="AB47" ca="1">IFERROR(IF(INDIRECT(""&amp;$C47&amp;"!R"&amp;AB$130&amp;"C"&amp;AB$131,FALSE)="Average (weighted)","Yes","No"),"")</f>
        <v>No</v>
      </c>
    </row>
    <row r="48" spans="1:28" ht="45" customHeight="1" x14ac:dyDescent="0.25">
      <c r="A48" s="17" t="s">
        <v>5525</v>
      </c>
      <c r="B48" s="17" t="s">
        <v>5526</v>
      </c>
      <c r="C48" s="16" t="s">
        <v>5527</v>
      </c>
      <c r="D48" s="31" t="str" cm="1">
        <f t="array" aca="1" ref="D48" ca="1">INDIRECT(""&amp;$C48&amp;"!R"&amp;D$130&amp;"C"&amp;D$131,FALSE)</f>
        <v>Steel cladding with a metallic coating including all base metal thicknesses (BMT) from 0.3 mm to 2.9mm.</v>
      </c>
      <c r="E48" s="39" t="str">
        <f t="shared" si="9"/>
        <v>steel_cladding_metallic</v>
      </c>
      <c r="F48" s="14" t="str" cm="1">
        <f t="array" aca="1" ref="F48" ca="1">INDIRECT(""&amp;$C48&amp;"!R"&amp;F$130&amp;"C"&amp;F$131,FALSE)</f>
        <v>m²</v>
      </c>
      <c r="G48" s="14" t="str" cm="1">
        <f t="array" aca="1" ref="G48" ca="1">INDIRECT(""&amp;$C48&amp;"!R"&amp;G$130&amp;"C"&amp;G$131,FALSE)</f>
        <v>Tier 1</v>
      </c>
      <c r="H48" s="32">
        <f ca="1">INDEX(Methodology!$B$26:$D$31,MATCH('EF Table_detail'!$G48,Methodology!$B$26:$B$31,0),MATCH('EF Table_detail'!$H$5,Methodology!$B$26:$D$26,0))</f>
        <v>1.02</v>
      </c>
      <c r="I48" s="98" cm="1">
        <f t="array" aca="1" ref="I48" ca="1">INDIRECT(""&amp;$C48&amp;"!R"&amp;I$130&amp;"C"&amp;I$131,FALSE)</f>
        <v>62.707980000000006</v>
      </c>
      <c r="J48" s="99" cm="1">
        <f t="array" aca="1" ref="J48" ca="1">INDIRECT(""&amp;$C48&amp;"!R"&amp;J$130&amp;"C"&amp;J$131,FALSE)</f>
        <v>8.4</v>
      </c>
      <c r="K48" s="100" cm="1">
        <f t="array" aca="1" ref="K48" ca="1">INDIRECT(""&amp;$C48&amp;"!R"&amp;K$130&amp;"C"&amp;K$131,FALSE)</f>
        <v>19.056651401813699</v>
      </c>
      <c r="L48" s="101">
        <f ca="1">$K48*(1+INDEX(Methodology!$B$26:$E$31,MATCH($G48,Methodology!$B$26:$B$31,0),MATCH(M$5,Methodology!$B$26:$E$26,0)))</f>
        <v>19.437784429849973</v>
      </c>
      <c r="M48" s="102">
        <f ca="1">$I48*(1+INDEX(Methodology!$B$26:$E$31,MATCH($G48,Methodology!$B$26:$B$31,0),MATCH(M$5,Methodology!$B$26:$E$26,0)))</f>
        <v>63.962139600000008</v>
      </c>
      <c r="N48" s="99" cm="1">
        <f t="array" aca="1" ref="N48" ca="1">INDIRECT(""&amp;$C48&amp;"!R"&amp;N$130&amp;"C"&amp;N$131,FALSE)</f>
        <v>5.0147249999999994</v>
      </c>
      <c r="O48" s="99" cm="1">
        <f t="array" aca="1" ref="O48" ca="1">INDIRECT(""&amp;$C48&amp;"!R"&amp;O$130&amp;"C"&amp;O$131,FALSE)</f>
        <v>2.7205197396963126</v>
      </c>
      <c r="P48" s="100" cm="1">
        <f t="array" aca="1" ref="P48" ca="1">INDIRECT(""&amp;$C48&amp;"!R"&amp;P$130&amp;"C"&amp;P$131,FALSE)</f>
        <v>3.1482318788116852</v>
      </c>
      <c r="Q48" s="101">
        <f ca="1">$P48*(1+INDEX(Methodology!$B$26:$E$31,MATCH($G48,Methodology!$B$26:$B$31,0),MATCH(R$5,Methodology!$B$26:$E$26,0)))</f>
        <v>3.2111965163879188</v>
      </c>
      <c r="R48" s="102">
        <f ca="1">$N48*(1+INDEX(Methodology!$B$26:$E$31,MATCH($G48,Methodology!$B$26:$B$31,0),MATCH(R$5,Methodology!$B$26:$E$26,0)))</f>
        <v>5.1150194999999998</v>
      </c>
      <c r="S48" s="103"/>
      <c r="T48" s="107" cm="1">
        <f t="array" aca="1" ref="T48" ca="1">INDIRECT(""&amp;$C48&amp;"!R"&amp;T$130&amp;"C"&amp;T$131,FALSE)</f>
        <v>0</v>
      </c>
      <c r="U48" s="108" cm="1">
        <f t="array" aca="1" ref="U48" ca="1">INDIRECT(""&amp;$C48&amp;"!R"&amp;U$130&amp;"C"&amp;U$131,FALSE)</f>
        <v>0</v>
      </c>
      <c r="V48" s="107" cm="1">
        <f t="array" aca="1" ref="V48" ca="1">INDIRECT(""&amp;$C48&amp;"!R"&amp;V$130&amp;"C"&amp;V$131,FALSE)</f>
        <v>0</v>
      </c>
      <c r="W48" s="109" cm="1">
        <f t="array" aca="1" ref="W48" ca="1">INDIRECT(""&amp;$C48&amp;"!R"&amp;W$130&amp;"C"&amp;W$131,FALSE)</f>
        <v>0</v>
      </c>
      <c r="X48" s="103"/>
      <c r="Y48" s="107">
        <f t="shared" ca="1" si="5"/>
        <v>6.0531282749753244</v>
      </c>
      <c r="Z48" s="29" t="str">
        <f t="shared" ca="1" si="6"/>
        <v>kg/m²</v>
      </c>
      <c r="AA48" s="35" t="str" cm="1">
        <f t="array" aca="1" ref="AA48" ca="1">IF(INDIRECT(""&amp;$C48&amp;"!R"&amp;AA$130&amp;"C"&amp;AA$131,FALSE)=0,"",INDIRECT(""&amp;$C48&amp;"!R"&amp;AA$130&amp;"C"&amp;AA$131,FALSE))</f>
        <v xml:space="preserve">Important to consider in the context of base metal thickness (BMT) and size of sheet not cladding area (shape of sheet i.e. corrugation and overlapping means area of sheet is more than area to be clad). Recommended to use kg CO2e/kg EF when BMT and mass is known. </v>
      </c>
      <c r="AB48" s="36" t="str" cm="1">
        <f t="array" aca="1" ref="AB48" ca="1">IFERROR(IF(INDIRECT(""&amp;$C48&amp;"!R"&amp;AB$130&amp;"C"&amp;AB$131,FALSE)="Average (weighted)","Yes","No"),"")</f>
        <v>No</v>
      </c>
    </row>
    <row r="49" spans="1:28" ht="45" customHeight="1" x14ac:dyDescent="0.25">
      <c r="A49" s="17" t="s">
        <v>5525</v>
      </c>
      <c r="B49" s="17" t="s">
        <v>5528</v>
      </c>
      <c r="C49" s="16" t="s">
        <v>5529</v>
      </c>
      <c r="D49" s="31" t="str" cm="1">
        <f t="array" aca="1" ref="D49" ca="1">INDIRECT(""&amp;$C49&amp;"!R"&amp;D$130&amp;"C"&amp;D$131,FALSE)</f>
        <v>Steel cladding that has been painted, including all base metal thicknesses (BMT) from 0.42 mm to 1.0 mm.</v>
      </c>
      <c r="E49" s="39" t="str">
        <f t="shared" si="9"/>
        <v>steel_cladding_painted</v>
      </c>
      <c r="F49" s="14" t="str" cm="1">
        <f t="array" aca="1" ref="F49" ca="1">INDIRECT(""&amp;$C49&amp;"!R"&amp;F$130&amp;"C"&amp;F$131,FALSE)</f>
        <v>m²</v>
      </c>
      <c r="G49" s="14" t="str" cm="1">
        <f t="array" aca="1" ref="G49" ca="1">INDIRECT(""&amp;$C49&amp;"!R"&amp;G$130&amp;"C"&amp;G$131,FALSE)</f>
        <v>Tier 1</v>
      </c>
      <c r="H49" s="32">
        <f ca="1">INDEX(Methodology!$B$26:$D$31,MATCH('EF Table_detail'!$G49,Methodology!$B$26:$B$31,0),MATCH('EF Table_detail'!$H$5,Methodology!$B$26:$D$26,0))</f>
        <v>1.02</v>
      </c>
      <c r="I49" s="98" cm="1">
        <f t="array" aca="1" ref="I49" ca="1">INDIRECT(""&amp;$C49&amp;"!R"&amp;I$130&amp;"C"&amp;I$131,FALSE)</f>
        <v>24.9</v>
      </c>
      <c r="J49" s="99" cm="1">
        <f t="array" aca="1" ref="J49" ca="1">INDIRECT(""&amp;$C49&amp;"!R"&amp;J$130&amp;"C"&amp;J$131,FALSE)</f>
        <v>9.49</v>
      </c>
      <c r="K49" s="100" cm="1">
        <f t="array" aca="1" ref="K49" ca="1">INDIRECT(""&amp;$C49&amp;"!R"&amp;K$130&amp;"C"&amp;K$131,FALSE)</f>
        <v>14.841955135714281</v>
      </c>
      <c r="L49" s="101">
        <f ca="1">$K49*(1+INDEX(Methodology!$B$26:$E$31,MATCH($G49,Methodology!$B$26:$B$31,0),MATCH(M$5,Methodology!$B$26:$E$26,0)))</f>
        <v>15.138794238428567</v>
      </c>
      <c r="M49" s="102">
        <f ca="1">$I49*(1+INDEX(Methodology!$B$26:$E$31,MATCH($G49,Methodology!$B$26:$B$31,0),MATCH(M$5,Methodology!$B$26:$E$26,0)))</f>
        <v>25.398</v>
      </c>
      <c r="N49" s="99" cm="1">
        <f t="array" aca="1" ref="N49" ca="1">INDIRECT(""&amp;$C49&amp;"!R"&amp;N$130&amp;"C"&amp;N$131,FALSE)</f>
        <v>5.3781699999999999</v>
      </c>
      <c r="O49" s="99" cm="1">
        <f t="array" aca="1" ref="O49" ca="1">INDIRECT(""&amp;$C49&amp;"!R"&amp;O$130&amp;"C"&amp;O$131,FALSE)</f>
        <v>2.9837702871410734</v>
      </c>
      <c r="P49" s="100" cm="1">
        <f t="array" aca="1" ref="P49" ca="1">INDIRECT(""&amp;$C49&amp;"!R"&amp;P$130&amp;"C"&amp;P$131,FALSE)</f>
        <v>3.4701194542243821</v>
      </c>
      <c r="Q49" s="101">
        <f ca="1">$P49*(1+INDEX(Methodology!$B$26:$E$31,MATCH($G49,Methodology!$B$26:$B$31,0),MATCH(R$5,Methodology!$B$26:$E$26,0)))</f>
        <v>3.5395218433088695</v>
      </c>
      <c r="R49" s="102">
        <f ca="1">$N49*(1+INDEX(Methodology!$B$26:$E$31,MATCH($G49,Methodology!$B$26:$B$31,0),MATCH(R$5,Methodology!$B$26:$E$26,0)))</f>
        <v>5.4857334</v>
      </c>
      <c r="S49" s="103"/>
      <c r="T49" s="107" cm="1">
        <f t="array" aca="1" ref="T49" ca="1">INDIRECT(""&amp;$C49&amp;"!R"&amp;T$130&amp;"C"&amp;T$131,FALSE)</f>
        <v>0</v>
      </c>
      <c r="U49" s="108" cm="1">
        <f t="array" aca="1" ref="U49" ca="1">INDIRECT(""&amp;$C49&amp;"!R"&amp;U$130&amp;"C"&amp;U$131,FALSE)</f>
        <v>0</v>
      </c>
      <c r="V49" s="107" cm="1">
        <f t="array" aca="1" ref="V49" ca="1">INDIRECT(""&amp;$C49&amp;"!R"&amp;V$130&amp;"C"&amp;V$131,FALSE)</f>
        <v>0</v>
      </c>
      <c r="W49" s="109" cm="1">
        <f t="array" aca="1" ref="W49" ca="1">INDIRECT(""&amp;$C49&amp;"!R"&amp;W$130&amp;"C"&amp;W$131,FALSE)</f>
        <v>0</v>
      </c>
      <c r="X49" s="103"/>
      <c r="Y49" s="107">
        <f t="shared" ca="1" si="5"/>
        <v>4.277073262606649</v>
      </c>
      <c r="Z49" s="29" t="str">
        <f t="shared" ca="1" si="6"/>
        <v>kg/m²</v>
      </c>
      <c r="AA49" s="35" t="str" cm="1">
        <f t="array" aca="1" ref="AA49" ca="1">IF(INDIRECT(""&amp;$C49&amp;"!R"&amp;AA$130&amp;"C"&amp;AA$131,FALSE)=0,"",INDIRECT(""&amp;$C49&amp;"!R"&amp;AA$130&amp;"C"&amp;AA$131,FALSE))</f>
        <v xml:space="preserve">Important to consider in the context of base metal thickness (BMT) and size of sheet not cladding area (shape of sheet i.e. corrugation and overlapping means area of sheet is more than area to be clad). Recommended to use kg CO2e/kg EF when BMT and mass is known. </v>
      </c>
      <c r="AB49" s="36" t="str" cm="1">
        <f t="array" aca="1" ref="AB49" ca="1">IFERROR(IF(INDIRECT(""&amp;$C49&amp;"!R"&amp;AB$130&amp;"C"&amp;AB$131,FALSE)="Average (weighted)","Yes","No"),"")</f>
        <v>No</v>
      </c>
    </row>
    <row r="50" spans="1:28" ht="45" customHeight="1" x14ac:dyDescent="0.25">
      <c r="A50" s="17" t="s">
        <v>5530</v>
      </c>
      <c r="B50" s="17" t="s">
        <v>5531</v>
      </c>
      <c r="C50" s="16" t="s">
        <v>5532</v>
      </c>
      <c r="D50" s="31" t="str" cm="1">
        <f t="array" aca="1" ref="D50" ca="1">INDIRECT(""&amp;$C50&amp;"!R"&amp;D$130&amp;"C"&amp;D$131,FALSE)</f>
        <v>Aluminium sheeting including range of thicknesses (BMT).</v>
      </c>
      <c r="E50" s="39" t="str">
        <f t="shared" si="9"/>
        <v>Aluminium_cladding</v>
      </c>
      <c r="F50" s="14" t="str" cm="1">
        <f t="array" aca="1" ref="F50" ca="1">INDIRECT(""&amp;$C50&amp;"!R"&amp;F$130&amp;"C"&amp;F$131,FALSE)</f>
        <v>kg</v>
      </c>
      <c r="G50" s="14" t="str" cm="1">
        <f t="array" aca="1" ref="G50" ca="1">INDIRECT(""&amp;$C50&amp;"!R"&amp;G$130&amp;"C"&amp;G$131,FALSE)</f>
        <v>Tier 4</v>
      </c>
      <c r="H50" s="32">
        <f ca="1">INDEX(Methodology!$B$26:$D$31,MATCH('EF Table_detail'!$G50,Methodology!$B$26:$B$31,0),MATCH('EF Table_detail'!$H$5,Methodology!$B$26:$D$26,0))</f>
        <v>1.2</v>
      </c>
      <c r="I50" s="98" cm="1">
        <f t="array" aca="1" ref="I50" ca="1">INDIRECT(""&amp;$C50&amp;"!R"&amp;I$130&amp;"C"&amp;I$131,FALSE)</f>
        <v>17.357723577235774</v>
      </c>
      <c r="J50" s="99" cm="1">
        <f t="array" aca="1" ref="J50" ca="1">INDIRECT(""&amp;$C50&amp;"!R"&amp;J$130&amp;"C"&amp;J$131,FALSE)</f>
        <v>5.4803333333333333</v>
      </c>
      <c r="K50" s="100" cm="1">
        <f t="array" aca="1" ref="K50" ca="1">INDIRECT(""&amp;$C50&amp;"!R"&amp;K$130&amp;"C"&amp;K$131,FALSE)</f>
        <v>11.812553252032522</v>
      </c>
      <c r="L50" s="101">
        <f ca="1">$K50*(1+INDEX(Methodology!$B$26:$E$31,MATCH($G50,Methodology!$B$26:$B$31,0),MATCH(M$5,Methodology!$B$26:$E$26,0)))</f>
        <v>14.175063902439026</v>
      </c>
      <c r="M50" s="102">
        <f ca="1">$I50*(1+INDEX(Methodology!$B$26:$E$31,MATCH($G50,Methodology!$B$26:$B$31,0),MATCH(M$5,Methodology!$B$26:$E$26,0)))</f>
        <v>20.829268292682929</v>
      </c>
      <c r="N50" s="99" cm="1">
        <f t="array" aca="1" ref="N50" ca="1">INDIRECT(""&amp;$C50&amp;"!R"&amp;N$130&amp;"C"&amp;N$131,FALSE)</f>
        <v>17.357723577235774</v>
      </c>
      <c r="O50" s="99" cm="1">
        <f t="array" aca="1" ref="O50" ca="1">INDIRECT(""&amp;$C50&amp;"!R"&amp;O$130&amp;"C"&amp;O$131,FALSE)</f>
        <v>5.4803333333333333</v>
      </c>
      <c r="P50" s="100" cm="1">
        <f t="array" aca="1" ref="P50" ca="1">INDIRECT(""&amp;$C50&amp;"!R"&amp;P$130&amp;"C"&amp;P$131,FALSE)</f>
        <v>11.812553252032522</v>
      </c>
      <c r="Q50" s="101">
        <f ca="1">$P50*(1+INDEX(Methodology!$B$26:$E$31,MATCH($G50,Methodology!$B$26:$B$31,0),MATCH(R$5,Methodology!$B$26:$E$26,0)))</f>
        <v>14.175063902439026</v>
      </c>
      <c r="R50" s="102">
        <f ca="1">$N50*(1+INDEX(Methodology!$B$26:$E$31,MATCH($G50,Methodology!$B$26:$B$31,0),MATCH(R$5,Methodology!$B$26:$E$26,0)))</f>
        <v>20.829268292682929</v>
      </c>
      <c r="S50" s="103"/>
      <c r="T50" s="107" cm="1">
        <f t="array" aca="1" ref="T50" ca="1">INDIRECT(""&amp;$C50&amp;"!R"&amp;T$130&amp;"C"&amp;T$131,FALSE)</f>
        <v>0</v>
      </c>
      <c r="U50" s="108" cm="1">
        <f t="array" aca="1" ref="U50" ca="1">INDIRECT(""&amp;$C50&amp;"!R"&amp;U$130&amp;"C"&amp;U$131,FALSE)</f>
        <v>0</v>
      </c>
      <c r="V50" s="107" cm="1">
        <f t="array" aca="1" ref="V50" ca="1">INDIRECT(""&amp;$C50&amp;"!R"&amp;V$130&amp;"C"&amp;V$131,FALSE)</f>
        <v>0</v>
      </c>
      <c r="W50" s="109" cm="1">
        <f t="array" aca="1" ref="W50" ca="1">INDIRECT(""&amp;$C50&amp;"!R"&amp;W$130&amp;"C"&amp;W$131,FALSE)</f>
        <v>0</v>
      </c>
      <c r="X50" s="103"/>
      <c r="Y50" s="107">
        <f t="shared" ca="1" si="5"/>
        <v>1</v>
      </c>
      <c r="Z50" s="29" t="str">
        <f t="shared" ca="1" si="6"/>
        <v>kg/kg</v>
      </c>
      <c r="AA50" s="35" t="str" cm="1">
        <f t="array" aca="1" ref="AA50" ca="1">IF(INDIRECT(""&amp;$C50&amp;"!R"&amp;AA$130&amp;"C"&amp;AA$131,FALSE)=0,"",INDIRECT(""&amp;$C50&amp;"!R"&amp;AA$130&amp;"C"&amp;AA$131,FALSE))</f>
        <v/>
      </c>
      <c r="AB50" s="36" t="str" cm="1">
        <f t="array" aca="1" ref="AB50" ca="1">IFERROR(IF(INDIRECT(""&amp;$C50&amp;"!R"&amp;AB$130&amp;"C"&amp;AB$131,FALSE)="Average (weighted)","Yes","No"),"")</f>
        <v>No</v>
      </c>
    </row>
    <row r="51" spans="1:28" ht="45" customHeight="1" x14ac:dyDescent="0.25">
      <c r="A51" s="17" t="s">
        <v>5533</v>
      </c>
      <c r="B51" s="17" t="s">
        <v>3782</v>
      </c>
      <c r="C51" s="16" t="s">
        <v>3782</v>
      </c>
      <c r="D51" s="31" t="str" cm="1">
        <f t="array" aca="1" ref="D51" ca="1">INDIRECT(""&amp;$C51&amp;"!R"&amp;D$130&amp;"C"&amp;D$131,FALSE)</f>
        <v>Glass reinforced concrete (GRC) or glass fibre reinforced concrete including all uses (i.e. as cladding or roofing).</v>
      </c>
      <c r="E51" s="39" t="str">
        <f t="shared" si="9"/>
        <v>GRC</v>
      </c>
      <c r="F51" s="14" t="str" cm="1">
        <f t="array" aca="1" ref="F51" ca="1">INDIRECT(""&amp;$C51&amp;"!R"&amp;F$130&amp;"C"&amp;F$131,FALSE)</f>
        <v>tonne</v>
      </c>
      <c r="G51" s="14" t="str" cm="1">
        <f t="array" aca="1" ref="G51" ca="1">INDIRECT(""&amp;$C51&amp;"!R"&amp;G$130&amp;"C"&amp;G$131,FALSE)</f>
        <v>Tier 4</v>
      </c>
      <c r="H51" s="32">
        <f ca="1">INDEX(Methodology!$B$26:$D$31,MATCH('EF Table_detail'!$G51,Methodology!$B$26:$B$31,0),MATCH('EF Table_detail'!$H$5,Methodology!$B$26:$D$26,0))</f>
        <v>1.2</v>
      </c>
      <c r="I51" s="98" cm="1">
        <f t="array" aca="1" ref="I51" ca="1">INDIRECT(""&amp;$C51&amp;"!R"&amp;I$130&amp;"C"&amp;I$131,FALSE)</f>
        <v>723.9</v>
      </c>
      <c r="J51" s="99" cm="1">
        <f t="array" aca="1" ref="J51" ca="1">INDIRECT(""&amp;$C51&amp;"!R"&amp;J$130&amp;"C"&amp;J$131,FALSE)</f>
        <v>407.69230769230768</v>
      </c>
      <c r="K51" s="100" cm="1">
        <f t="array" aca="1" ref="K51" ca="1">INDIRECT(""&amp;$C51&amp;"!R"&amp;K$130&amp;"C"&amp;K$131,FALSE)</f>
        <v>544.47016317016312</v>
      </c>
      <c r="L51" s="101">
        <f ca="1">$K51*(1+INDEX(Methodology!$B$26:$E$31,MATCH($G51,Methodology!$B$26:$B$31,0),MATCH(M$5,Methodology!$B$26:$E$26,0)))</f>
        <v>653.36419580419567</v>
      </c>
      <c r="M51" s="102">
        <f ca="1">$I51*(1+INDEX(Methodology!$B$26:$E$31,MATCH($G51,Methodology!$B$26:$B$31,0),MATCH(M$5,Methodology!$B$26:$E$26,0)))</f>
        <v>868.68</v>
      </c>
      <c r="N51" s="99" cm="1">
        <f t="array" aca="1" ref="N51" ca="1">INDIRECT(""&amp;$C51&amp;"!R"&amp;N$130&amp;"C"&amp;N$131,FALSE)</f>
        <v>0.72389999999999999</v>
      </c>
      <c r="O51" s="99" cm="1">
        <f t="array" aca="1" ref="O51" ca="1">INDIRECT(""&amp;$C51&amp;"!R"&amp;O$130&amp;"C"&amp;O$131,FALSE)</f>
        <v>0.40769230769230769</v>
      </c>
      <c r="P51" s="100" cm="1">
        <f t="array" aca="1" ref="P51" ca="1">INDIRECT(""&amp;$C51&amp;"!R"&amp;P$130&amp;"C"&amp;P$131,FALSE)</f>
        <v>0.54447016317016317</v>
      </c>
      <c r="Q51" s="101">
        <f ca="1">$P51*(1+INDEX(Methodology!$B$26:$E$31,MATCH($G51,Methodology!$B$26:$B$31,0),MATCH(R$5,Methodology!$B$26:$E$26,0)))</f>
        <v>0.6533641958041958</v>
      </c>
      <c r="R51" s="102">
        <f ca="1">$N51*(1+INDEX(Methodology!$B$26:$E$31,MATCH($G51,Methodology!$B$26:$B$31,0),MATCH(R$5,Methodology!$B$26:$E$26,0)))</f>
        <v>0.86868000000000001</v>
      </c>
      <c r="S51" s="103"/>
      <c r="T51" s="107" cm="1">
        <f t="array" aca="1" ref="T51" ca="1">INDIRECT(""&amp;$C51&amp;"!R"&amp;T$130&amp;"C"&amp;T$131,FALSE)</f>
        <v>0</v>
      </c>
      <c r="U51" s="108" cm="1">
        <f t="array" aca="1" ref="U51" ca="1">INDIRECT(""&amp;$C51&amp;"!R"&amp;U$130&amp;"C"&amp;U$131,FALSE)</f>
        <v>0</v>
      </c>
      <c r="V51" s="107" cm="1">
        <f t="array" aca="1" ref="V51" ca="1">INDIRECT(""&amp;$C51&amp;"!R"&amp;V$130&amp;"C"&amp;V$131,FALSE)</f>
        <v>0</v>
      </c>
      <c r="W51" s="109" cm="1">
        <f t="array" aca="1" ref="W51" ca="1">INDIRECT(""&amp;$C51&amp;"!R"&amp;W$130&amp;"C"&amp;W$131,FALSE)</f>
        <v>0</v>
      </c>
      <c r="X51" s="103"/>
      <c r="Y51" s="107">
        <f t="shared" ca="1" si="5"/>
        <v>999.99999999999989</v>
      </c>
      <c r="Z51" s="29" t="str">
        <f t="shared" ca="1" si="6"/>
        <v>kg/tonne</v>
      </c>
      <c r="AA51" s="35" t="str" cm="1">
        <f t="array" aca="1" ref="AA51" ca="1">IF(INDIRECT(""&amp;$C51&amp;"!R"&amp;AA$130&amp;"C"&amp;AA$131,FALSE)=0,"",INDIRECT(""&amp;$C51&amp;"!R"&amp;AA$130&amp;"C"&amp;AA$131,FALSE))</f>
        <v/>
      </c>
      <c r="AB51" s="36" t="str" cm="1">
        <f t="array" aca="1" ref="AB51" ca="1">IFERROR(IF(INDIRECT(""&amp;$C51&amp;"!R"&amp;AB$130&amp;"C"&amp;AB$131,FALSE)="Average (weighted)","Yes","No"),"")</f>
        <v>No</v>
      </c>
    </row>
    <row r="52" spans="1:28" ht="45" customHeight="1" x14ac:dyDescent="0.25">
      <c r="A52" s="17" t="s">
        <v>5533</v>
      </c>
      <c r="B52" s="17" t="s">
        <v>3562</v>
      </c>
      <c r="C52" s="14" t="s">
        <v>5534</v>
      </c>
      <c r="D52" s="31" t="str" cm="1">
        <f t="array" aca="1" ref="D52" ca="1">INDIRECT(""&amp;$C52&amp;"!R"&amp;D$130&amp;"C"&amp;D$131,FALSE)</f>
        <v>Board made from fibre cement including compressed sheet, flooring, cladding, lining and roofing boards. Thickness from 4 mm to 22 mm.</v>
      </c>
      <c r="E52" s="39" t="str">
        <f t="shared" si="9"/>
        <v>Fibre_Cement</v>
      </c>
      <c r="F52" s="14" t="str" cm="1">
        <f t="array" aca="1" ref="F52" ca="1">INDIRECT(""&amp;$C52&amp;"!R"&amp;F$130&amp;"C"&amp;F$131,FALSE)</f>
        <v>m²</v>
      </c>
      <c r="G52" s="14" t="str" cm="1">
        <f t="array" aca="1" ref="G52" ca="1">INDIRECT(""&amp;$C52&amp;"!R"&amp;G$130&amp;"C"&amp;G$131,FALSE)</f>
        <v>Tier 2</v>
      </c>
      <c r="H52" s="32">
        <f ca="1">INDEX(Methodology!$B$26:$D$31,MATCH('EF Table_detail'!$G52,Methodology!$B$26:$B$31,0),MATCH('EF Table_detail'!$H$5,Methodology!$B$26:$D$26,0))</f>
        <v>1.05</v>
      </c>
      <c r="I52" s="98" cm="1">
        <f t="array" aca="1" ref="I52" ca="1">INDIRECT(""&amp;$C52&amp;"!R"&amp;I$130&amp;"C"&amp;I$131,FALSE)</f>
        <v>45.9</v>
      </c>
      <c r="J52" s="99" cm="1">
        <f t="array" aca="1" ref="J52" ca="1">INDIRECT(""&amp;$C52&amp;"!R"&amp;J$130&amp;"C"&amp;J$131,FALSE)</f>
        <v>4.5</v>
      </c>
      <c r="K52" s="100" cm="1">
        <f t="array" aca="1" ref="K52" ca="1">INDIRECT(""&amp;$C52&amp;"!R"&amp;K$130&amp;"C"&amp;K$131,FALSE)</f>
        <v>12.552791365384612</v>
      </c>
      <c r="L52" s="101">
        <f ca="1">$K52*(1+INDEX(Methodology!$B$26:$E$31,MATCH($G52,Methodology!$B$26:$B$31,0),MATCH(M$5,Methodology!$B$26:$E$26,0)))</f>
        <v>13.180430933653843</v>
      </c>
      <c r="M52" s="102">
        <f ca="1">$I52*(1+INDEX(Methodology!$B$26:$E$31,MATCH($G52,Methodology!$B$26:$B$31,0),MATCH(M$5,Methodology!$B$26:$E$26,0)))</f>
        <v>48.195</v>
      </c>
      <c r="N52" s="99" cm="1">
        <f t="array" aca="1" ref="N52" ca="1">INDIRECT(""&amp;$C52&amp;"!R"&amp;N$130&amp;"C"&amp;N$131,FALSE)</f>
        <v>1.3237797062469794</v>
      </c>
      <c r="O52" s="99" cm="1">
        <f t="array" aca="1" ref="O52" ca="1">INDIRECT(""&amp;$C52&amp;"!R"&amp;O$130&amp;"C"&amp;O$131,FALSE)</f>
        <v>0.30722992282728107</v>
      </c>
      <c r="P52" s="100" cm="1">
        <f t="array" aca="1" ref="P52" ca="1">INDIRECT(""&amp;$C52&amp;"!R"&amp;P$130&amp;"C"&amp;P$131,FALSE)</f>
        <v>0.88234625259968424</v>
      </c>
      <c r="Q52" s="101">
        <f ca="1">$P52*(1+INDEX(Methodology!$B$26:$E$31,MATCH($G52,Methodology!$B$26:$B$31,0),MATCH(R$5,Methodology!$B$26:$E$26,0)))</f>
        <v>0.92646356522966855</v>
      </c>
      <c r="R52" s="102">
        <f ca="1">$N52*(1+INDEX(Methodology!$B$26:$E$31,MATCH($G52,Methodology!$B$26:$B$31,0),MATCH(R$5,Methodology!$B$26:$E$26,0)))</f>
        <v>1.3899686915593283</v>
      </c>
      <c r="S52" s="103"/>
      <c r="T52" s="107" cm="1">
        <f t="array" aca="1" ref="T52" ca="1">INDIRECT(""&amp;$C52&amp;"!R"&amp;T$130&amp;"C"&amp;T$131,FALSE)</f>
        <v>4.4999999999999998E-2</v>
      </c>
      <c r="U52" s="108" cm="1">
        <f t="array" aca="1" ref="U52" ca="1">INDIRECT(""&amp;$C52&amp;"!R"&amp;U$130&amp;"C"&amp;U$131,FALSE)</f>
        <v>2.5096153846153844E-2</v>
      </c>
      <c r="V52" s="107" cm="1">
        <f t="array" aca="1" ref="V52" ca="1">INDIRECT(""&amp;$C52&amp;"!R"&amp;V$130&amp;"C"&amp;V$131,FALSE)</f>
        <v>8.3333333333333332E-3</v>
      </c>
      <c r="W52" s="109" cm="1">
        <f t="array" aca="1" ref="W52" ca="1">INDIRECT(""&amp;$C52&amp;"!R"&amp;W$130&amp;"C"&amp;W$131,FALSE)</f>
        <v>2.1621040967168626E-3</v>
      </c>
      <c r="X52" s="103"/>
      <c r="Y52" s="107">
        <f t="shared" ca="1" si="5"/>
        <v>14.226604723939079</v>
      </c>
      <c r="Z52" s="29" t="str">
        <f t="shared" ca="1" si="6"/>
        <v>kg/m²</v>
      </c>
      <c r="AA52" s="35" t="str" cm="1">
        <f t="array" aca="1" ref="AA52" ca="1">IF(INDIRECT(""&amp;$C52&amp;"!R"&amp;AA$130&amp;"C"&amp;AA$131,FALSE)=0,"",INDIRECT(""&amp;$C52&amp;"!R"&amp;AA$130&amp;"C"&amp;AA$131,FALSE))</f>
        <v xml:space="preserve">Important to consider in the context of board thickness and size of sheet not cladding area (shape of sheet overlapping (i.e. when cladding) means area of sheet is more than area to be clad). Recommended to use kg CO2e/kg EF when thickness and mass is known. </v>
      </c>
      <c r="AB52" s="36" t="str" cm="1">
        <f t="array" aca="1" ref="AB52" ca="1">IFERROR(IF(INDIRECT(""&amp;$C52&amp;"!R"&amp;AB$130&amp;"C"&amp;AB$131,FALSE)="Average (weighted)","Yes","No"),"")</f>
        <v>No</v>
      </c>
    </row>
    <row r="53" spans="1:28" ht="45" customHeight="1" x14ac:dyDescent="0.25">
      <c r="A53" s="17" t="s">
        <v>5533</v>
      </c>
      <c r="B53" s="17" t="s">
        <v>4546</v>
      </c>
      <c r="C53" s="16" t="s">
        <v>4546</v>
      </c>
      <c r="D53" s="31" t="str" cm="1">
        <f t="array" aca="1" ref="D53" ca="1">INDIRECT(""&amp;$C53&amp;"!R"&amp;D$130&amp;"C"&amp;D$131,FALSE)</f>
        <v>Board made from plaster typically coated in paper. Thickness from 4 mm to 22 mm.</v>
      </c>
      <c r="E53" s="39" t="str">
        <f t="shared" si="9"/>
        <v>Plasterboard</v>
      </c>
      <c r="F53" s="14" t="str" cm="1">
        <f t="array" aca="1" ref="F53" ca="1">INDIRECT(""&amp;$C53&amp;"!R"&amp;F$130&amp;"C"&amp;F$131,FALSE)</f>
        <v>m²</v>
      </c>
      <c r="G53" s="14" t="str" cm="1">
        <f t="array" aca="1" ref="G53" ca="1">INDIRECT(""&amp;$C53&amp;"!R"&amp;G$130&amp;"C"&amp;G$131,FALSE)</f>
        <v>Tier 4</v>
      </c>
      <c r="H53" s="32">
        <f ca="1">INDEX(Methodology!$B$26:$D$31,MATCH('EF Table_detail'!$G53,Methodology!$B$26:$B$31,0),MATCH('EF Table_detail'!$H$5,Methodology!$B$26:$D$26,0))</f>
        <v>1.2</v>
      </c>
      <c r="I53" s="98" cm="1">
        <f t="array" aca="1" ref="I53" ca="1">INDIRECT(""&amp;$C53&amp;"!R"&amp;I$130&amp;"C"&amp;I$131,FALSE)</f>
        <v>6.8327400000000003</v>
      </c>
      <c r="J53" s="99" cm="1">
        <f t="array" aca="1" ref="J53" ca="1">INDIRECT(""&amp;$C53&amp;"!R"&amp;J$130&amp;"C"&amp;J$131,FALSE)</f>
        <v>1.49</v>
      </c>
      <c r="K53" s="100" cm="1">
        <f t="array" aca="1" ref="K53" ca="1">INDIRECT(""&amp;$C53&amp;"!R"&amp;K$130&amp;"C"&amp;K$131,FALSE)</f>
        <v>3.370881315789473</v>
      </c>
      <c r="L53" s="101">
        <f ca="1">$K53*(1+INDEX(Methodology!$B$26:$E$31,MATCH($G53,Methodology!$B$26:$B$31,0),MATCH(M$5,Methodology!$B$26:$E$26,0)))</f>
        <v>4.0450575789473673</v>
      </c>
      <c r="M53" s="102">
        <f ca="1">$I53*(1+INDEX(Methodology!$B$26:$E$31,MATCH($G53,Methodology!$B$26:$B$31,0),MATCH(M$5,Methodology!$B$26:$E$26,0)))</f>
        <v>8.1992879999999992</v>
      </c>
      <c r="N53" s="99" cm="1">
        <f t="array" aca="1" ref="N53" ca="1">INDIRECT(""&amp;$C53&amp;"!R"&amp;N$130&amp;"C"&amp;N$131,FALSE)</f>
        <v>0.39374999999999999</v>
      </c>
      <c r="O53" s="99" cm="1">
        <f t="array" aca="1" ref="O53" ca="1">INDIRECT(""&amp;$C53&amp;"!R"&amp;O$130&amp;"C"&amp;O$131,FALSE)</f>
        <v>0.17519999999999999</v>
      </c>
      <c r="P53" s="100" cm="1">
        <f t="array" aca="1" ref="P53" ca="1">INDIRECT(""&amp;$C53&amp;"!R"&amp;P$130&amp;"C"&amp;P$131,FALSE)</f>
        <v>0.30436107126363282</v>
      </c>
      <c r="Q53" s="101">
        <f ca="1">$P53*(1+INDEX(Methodology!$B$26:$E$31,MATCH($G53,Methodology!$B$26:$B$31,0),MATCH(R$5,Methodology!$B$26:$E$26,0)))</f>
        <v>0.36523328551635936</v>
      </c>
      <c r="R53" s="102">
        <f ca="1">$N53*(1+INDEX(Methodology!$B$26:$E$31,MATCH($G53,Methodology!$B$26:$B$31,0),MATCH(R$5,Methodology!$B$26:$E$26,0)))</f>
        <v>0.47249999999999998</v>
      </c>
      <c r="S53" s="103"/>
      <c r="T53" s="107" cm="1">
        <f t="array" aca="1" ref="T53" ca="1">INDIRECT(""&amp;$C53&amp;"!R"&amp;T$130&amp;"C"&amp;T$131,FALSE)</f>
        <v>1.0669999999999999</v>
      </c>
      <c r="U53" s="108" cm="1">
        <f t="array" aca="1" ref="U53" ca="1">INDIRECT(""&amp;$C53&amp;"!R"&amp;U$130&amp;"C"&amp;U$131,FALSE)</f>
        <v>0.39262280701754387</v>
      </c>
      <c r="V53" s="107" cm="1">
        <f t="array" aca="1" ref="V53" ca="1">INDIRECT(""&amp;$C53&amp;"!R"&amp;V$130&amp;"C"&amp;V$131,FALSE)</f>
        <v>0.20395833333333335</v>
      </c>
      <c r="W53" s="109" cm="1">
        <f t="array" aca="1" ref="W53" ca="1">INDIRECT(""&amp;$C53&amp;"!R"&amp;W$130&amp;"C"&amp;W$131,FALSE)</f>
        <v>3.9972384885648339E-2</v>
      </c>
      <c r="X53" s="103"/>
      <c r="Y53" s="107">
        <f t="shared" ca="1" si="5"/>
        <v>11.07527090042888</v>
      </c>
      <c r="Z53" s="29" t="str">
        <f t="shared" ca="1" si="6"/>
        <v>kg/m²</v>
      </c>
      <c r="AA53" s="35" t="str" cm="1">
        <f t="array" aca="1" ref="AA53" ca="1">IF(INDIRECT(""&amp;$C53&amp;"!R"&amp;AA$130&amp;"C"&amp;AA$131,FALSE)=0,"",INDIRECT(""&amp;$C53&amp;"!R"&amp;AA$130&amp;"C"&amp;AA$131,FALSE))</f>
        <v xml:space="preserve">Important to consider board thickness. Recommended to use kg CO2e/kg EF when thickness and mass is known. </v>
      </c>
      <c r="AB53" s="36" t="str" cm="1">
        <f t="array" aca="1" ref="AB53" ca="1">IFERROR(IF(INDIRECT(""&amp;$C53&amp;"!R"&amp;AB$130&amp;"C"&amp;AB$131,FALSE)="Average (weighted)","Yes","No"),"")</f>
        <v>No</v>
      </c>
    </row>
    <row r="54" spans="1:28" ht="45" customHeight="1" x14ac:dyDescent="0.25">
      <c r="A54" s="17" t="s">
        <v>5535</v>
      </c>
      <c r="B54" s="17" t="s">
        <v>4625</v>
      </c>
      <c r="C54" s="16" t="s">
        <v>5536</v>
      </c>
      <c r="D54" s="31" t="str" cm="1">
        <f t="array" aca="1" ref="D54" ca="1">INDIRECT(""&amp;$C54&amp;"!R"&amp;D$130&amp;"C"&amp;D$131,FALSE)</f>
        <v>Plastic sheeting - various types of plastic inputs including polycarbonate.</v>
      </c>
      <c r="E54" s="39" t="str">
        <f t="shared" si="9"/>
        <v>Plastic_sheeting</v>
      </c>
      <c r="F54" s="14" t="str" cm="1">
        <f t="array" aca="1" ref="F54" ca="1">INDIRECT(""&amp;$C54&amp;"!R"&amp;F$130&amp;"C"&amp;F$131,FALSE)</f>
        <v>m³</v>
      </c>
      <c r="G54" s="14" t="str" cm="1">
        <f t="array" aca="1" ref="G54" ca="1">INDIRECT(""&amp;$C54&amp;"!R"&amp;G$130&amp;"C"&amp;G$131,FALSE)</f>
        <v>Tier 4</v>
      </c>
      <c r="H54" s="32">
        <f ca="1">INDEX(Methodology!$B$26:$D$31,MATCH('EF Table_detail'!$G54,Methodology!$B$26:$B$31,0),MATCH('EF Table_detail'!$H$5,Methodology!$B$26:$D$26,0))</f>
        <v>1.2</v>
      </c>
      <c r="I54" s="98" cm="1">
        <f t="array" aca="1" ref="I54" ca="1">INDIRECT(""&amp;$C54&amp;"!R"&amp;I$130&amp;"C"&amp;I$131,FALSE)</f>
        <v>11528.78</v>
      </c>
      <c r="J54" s="99" cm="1">
        <f t="array" aca="1" ref="J54" ca="1">INDIRECT(""&amp;$C54&amp;"!R"&amp;J$130&amp;"C"&amp;J$131,FALSE)</f>
        <v>485.17999999999995</v>
      </c>
      <c r="K54" s="100" cm="1">
        <f t="array" aca="1" ref="K54" ca="1">INDIRECT(""&amp;$C54&amp;"!R"&amp;K$130&amp;"C"&amp;K$131,FALSE)</f>
        <v>7565.4400000000005</v>
      </c>
      <c r="L54" s="101">
        <f ca="1">$K54*(1+INDEX(Methodology!$B$26:$E$31,MATCH($G54,Methodology!$B$26:$B$31,0),MATCH(M$5,Methodology!$B$26:$E$26,0)))</f>
        <v>9078.5280000000002</v>
      </c>
      <c r="M54" s="102">
        <f ca="1">$I54*(1+INDEX(Methodology!$B$26:$E$31,MATCH($G54,Methodology!$B$26:$B$31,0),MATCH(M$5,Methodology!$B$26:$E$26,0)))</f>
        <v>13834.536</v>
      </c>
      <c r="N54" s="99" cm="1">
        <f t="array" aca="1" ref="N54" ca="1">INDIRECT(""&amp;$C54&amp;"!R"&amp;N$130&amp;"C"&amp;N$131,FALSE)</f>
        <v>9.6073166666666676</v>
      </c>
      <c r="O54" s="99" cm="1">
        <f t="array" aca="1" ref="O54" ca="1">INDIRECT(""&amp;$C54&amp;"!R"&amp;O$130&amp;"C"&amp;O$131,FALSE)</f>
        <v>0.44107272727272723</v>
      </c>
      <c r="P54" s="100" cm="1">
        <f t="array" aca="1" ref="P54" ca="1">INDIRECT(""&amp;$C54&amp;"!R"&amp;P$130&amp;"C"&amp;P$131,FALSE)</f>
        <v>6.3533555215617703</v>
      </c>
      <c r="Q54" s="101">
        <f ca="1">$P54*(1+INDEX(Methodology!$B$26:$E$31,MATCH($G54,Methodology!$B$26:$B$31,0),MATCH(R$5,Methodology!$B$26:$E$26,0)))</f>
        <v>7.6240266258741238</v>
      </c>
      <c r="R54" s="102">
        <f ca="1">$N54*(1+INDEX(Methodology!$B$26:$E$31,MATCH($G54,Methodology!$B$26:$B$31,0),MATCH(R$5,Methodology!$B$26:$E$26,0)))</f>
        <v>11.528780000000001</v>
      </c>
      <c r="S54" s="103"/>
      <c r="T54" s="107" cm="1">
        <f t="array" aca="1" ref="T54" ca="1">INDIRECT(""&amp;$C54&amp;"!R"&amp;T$130&amp;"C"&amp;T$131,FALSE)</f>
        <v>0</v>
      </c>
      <c r="U54" s="108" cm="1">
        <f t="array" aca="1" ref="U54" ca="1">INDIRECT(""&amp;$C54&amp;"!R"&amp;U$130&amp;"C"&amp;U$131,FALSE)</f>
        <v>0</v>
      </c>
      <c r="V54" s="107" cm="1">
        <f t="array" aca="1" ref="V54" ca="1">INDIRECT(""&amp;$C54&amp;"!R"&amp;V$130&amp;"C"&amp;V$131,FALSE)</f>
        <v>0</v>
      </c>
      <c r="W54" s="109" cm="1">
        <f t="array" aca="1" ref="W54" ca="1">INDIRECT(""&amp;$C54&amp;"!R"&amp;W$130&amp;"C"&amp;W$131,FALSE)</f>
        <v>0</v>
      </c>
      <c r="X54" s="103"/>
      <c r="Y54" s="107">
        <f ca="1">IFERROR(K54/P54,"")</f>
        <v>1190.7786325390898</v>
      </c>
      <c r="Z54" s="29" t="str">
        <f ca="1">"kg/"&amp;F54</f>
        <v>kg/m³</v>
      </c>
      <c r="AA54" s="35" t="str" cm="1">
        <f t="array" aca="1" ref="AA54" ca="1">IF(INDIRECT(""&amp;$C54&amp;"!R"&amp;AA$130&amp;"C"&amp;AA$131,FALSE)=0,"",INDIRECT(""&amp;$C54&amp;"!R"&amp;AA$130&amp;"C"&amp;AA$131,FALSE))</f>
        <v/>
      </c>
      <c r="AB54" s="36" t="str" cm="1">
        <f t="array" aca="1" ref="AB54" ca="1">IFERROR(IF(INDIRECT(""&amp;$C54&amp;"!R"&amp;AB$130&amp;"C"&amp;AB$131,FALSE)="Average (weighted)","Yes","No"),"")</f>
        <v>No</v>
      </c>
    </row>
    <row r="55" spans="1:28" ht="45" customHeight="1" x14ac:dyDescent="0.25">
      <c r="A55" s="17" t="s">
        <v>5537</v>
      </c>
      <c r="B55" s="17" t="s">
        <v>5538</v>
      </c>
      <c r="C55" s="16" t="s">
        <v>5539</v>
      </c>
      <c r="D55" s="31" t="str" cm="1">
        <f t="array" aca="1" ref="D55" ca="1">INDIRECT(""&amp;$C55&amp;"!R"&amp;D$130&amp;"C"&amp;D$131,FALSE)</f>
        <v>Based on softwood timber used for weatherboards. Includes finger jointed, thermally modified timber, treated, untreated, surfaced, and sawn products.</v>
      </c>
      <c r="E55" s="39" t="str">
        <f t="shared" si="9"/>
        <v>Timber_Weatherboard</v>
      </c>
      <c r="F55" s="14" t="str" cm="1">
        <f t="array" aca="1" ref="F55" ca="1">INDIRECT(""&amp;$C55&amp;"!R"&amp;F$130&amp;"C"&amp;F$131,FALSE)</f>
        <v>m³</v>
      </c>
      <c r="G55" s="14" t="str" cm="1">
        <f t="array" aca="1" ref="G55" ca="1">INDIRECT(""&amp;$C55&amp;"!R"&amp;G$130&amp;"C"&amp;G$131,FALSE)</f>
        <v>Tier 2</v>
      </c>
      <c r="H55" s="32">
        <f ca="1">INDEX(Methodology!$B$26:$D$31,MATCH('EF Table_detail'!$G55,Methodology!$B$26:$B$31,0),MATCH('EF Table_detail'!$H$5,Methodology!$B$26:$D$26,0))</f>
        <v>1.05</v>
      </c>
      <c r="I55" s="98" cm="1">
        <f t="array" aca="1" ref="I55" ca="1">INDIRECT(""&amp;$C55&amp;"!R"&amp;I$130&amp;"C"&amp;I$131,FALSE)</f>
        <v>332.10566666666671</v>
      </c>
      <c r="J55" s="99" cm="1">
        <f t="array" aca="1" ref="J55" ca="1">INDIRECT(""&amp;$C55&amp;"!R"&amp;J$130&amp;"C"&amp;J$131,FALSE)</f>
        <v>31.572999999999979</v>
      </c>
      <c r="K55" s="100" cm="1">
        <f t="array" aca="1" ref="K55" ca="1">INDIRECT(""&amp;$C55&amp;"!R"&amp;K$130&amp;"C"&amp;K$131,FALSE)</f>
        <v>194.89638858395995</v>
      </c>
      <c r="L55" s="101">
        <f ca="1">$K55*(1+INDEX(Methodology!$B$26:$E$31,MATCH($G55,Methodology!$B$26:$B$31,0),MATCH(M$5,Methodology!$B$26:$E$26,0)))</f>
        <v>204.64120801315795</v>
      </c>
      <c r="M55" s="102">
        <f ca="1">$I55*(1+INDEX(Methodology!$B$26:$E$31,MATCH($G55,Methodology!$B$26:$B$31,0),MATCH(M$5,Methodology!$B$26:$E$26,0)))</f>
        <v>348.71095000000008</v>
      </c>
      <c r="N55" s="99" cm="1">
        <f t="array" aca="1" ref="N55" ca="1">INDIRECT(""&amp;$C55&amp;"!R"&amp;N$130&amp;"C"&amp;N$131,FALSE)</f>
        <v>0.69047619047619047</v>
      </c>
      <c r="O55" s="99" cm="1">
        <f t="array" aca="1" ref="O55" ca="1">INDIRECT(""&amp;$C55&amp;"!R"&amp;O$130&amp;"C"&amp;O$131,FALSE)</f>
        <v>7.0162222222222237E-2</v>
      </c>
      <c r="P55" s="100" cm="1">
        <f t="array" aca="1" ref="P55" ca="1">INDIRECT(""&amp;$C55&amp;"!R"&amp;P$130&amp;"C"&amp;P$131,FALSE)</f>
        <v>0.38070794464305047</v>
      </c>
      <c r="Q55" s="101">
        <f ca="1">$P55*(1+INDEX(Methodology!$B$26:$E$31,MATCH($G55,Methodology!$B$26:$B$31,0),MATCH(R$5,Methodology!$B$26:$E$26,0)))</f>
        <v>0.399743341875203</v>
      </c>
      <c r="R55" s="102">
        <f ca="1">$N55*(1+INDEX(Methodology!$B$26:$E$31,MATCH($G55,Methodology!$B$26:$B$31,0),MATCH(R$5,Methodology!$B$26:$E$26,0)))</f>
        <v>0.72499999999999998</v>
      </c>
      <c r="S55" s="103"/>
      <c r="T55" s="107" cm="1">
        <f t="array" aca="1" ref="T55" ca="1">INDIRECT(""&amp;$C55&amp;"!R"&amp;T$130&amp;"C"&amp;T$131,FALSE)</f>
        <v>888.94666666666672</v>
      </c>
      <c r="U55" s="108" cm="1">
        <f t="array" aca="1" ref="U55" ca="1">INDIRECT(""&amp;$C55&amp;"!R"&amp;U$130&amp;"C"&amp;U$131,FALSE)</f>
        <v>847.76370437813284</v>
      </c>
      <c r="V55" s="107" cm="1">
        <f t="array" aca="1" ref="V55" ca="1">INDIRECT(""&amp;$C55&amp;"!R"&amp;V$130&amp;"C"&amp;V$131,FALSE)</f>
        <v>1.6133333333333335</v>
      </c>
      <c r="W55" s="109" cm="1">
        <f t="array" aca="1" ref="W55" ca="1">INDIRECT(""&amp;$C55&amp;"!R"&amp;W$130&amp;"C"&amp;W$131,FALSE)</f>
        <v>1.6328081119383981</v>
      </c>
      <c r="X55" s="103"/>
      <c r="Y55" s="107">
        <f t="shared" ca="1" si="5"/>
        <v>511.93149847895518</v>
      </c>
      <c r="Z55" s="29" t="str">
        <f t="shared" ca="1" si="6"/>
        <v>kg/m³</v>
      </c>
      <c r="AA55" s="35" t="str" cm="1">
        <f t="array" aca="1" ref="AA55" ca="1">IF(INDIRECT(""&amp;$C55&amp;"!R"&amp;AA$130&amp;"C"&amp;AA$131,FALSE)=0,"",INDIRECT(""&amp;$C55&amp;"!R"&amp;AA$130&amp;"C"&amp;AA$131,FALSE))</f>
        <v xml:space="preserve">The NABERS rating tool will only include carbon storage where a material will be expected to last more than 20 years within the building and where it has been sourced from a sustainable forest. </v>
      </c>
      <c r="AB55" s="36" t="str" cm="1">
        <f t="array" aca="1" ref="AB55" ca="1">IFERROR(IF(INDIRECT(""&amp;$C55&amp;"!R"&amp;AB$130&amp;"C"&amp;AB$131,FALSE)="Average (weighted)","Yes","No"),"")</f>
        <v>Yes</v>
      </c>
    </row>
    <row r="56" spans="1:28" ht="45" customHeight="1" x14ac:dyDescent="0.25">
      <c r="A56" s="17" t="s">
        <v>5537</v>
      </c>
      <c r="B56" s="17" t="s">
        <v>4643</v>
      </c>
      <c r="C56" s="16" t="s">
        <v>5504</v>
      </c>
      <c r="D56" s="31" t="str" cm="1">
        <f t="array" aca="1" ref="D56" ca="1">INDIRECT(""&amp;$C56&amp;"!R"&amp;D$130&amp;"C"&amp;D$131,FALSE)</f>
        <v xml:space="preserve">Plywood timber for bracing, structural (walling, flooring), formwork purposes. </v>
      </c>
      <c r="E56" s="39" t="str">
        <f t="shared" si="9"/>
        <v>Eng_Timber_Plywood</v>
      </c>
      <c r="F56" s="14" t="str" cm="1">
        <f t="array" aca="1" ref="F56" ca="1">INDIRECT(""&amp;$C56&amp;"!R"&amp;F$130&amp;"C"&amp;F$131,FALSE)</f>
        <v>m³</v>
      </c>
      <c r="G56" s="14" t="str" cm="1">
        <f t="array" aca="1" ref="G56" ca="1">INDIRECT(""&amp;$C56&amp;"!R"&amp;G$130&amp;"C"&amp;G$131,FALSE)</f>
        <v>Tier 2</v>
      </c>
      <c r="H56" s="32">
        <f ca="1">INDEX(Methodology!$B$26:$D$31,MATCH('EF Table_detail'!$G56,Methodology!$B$26:$B$31,0),MATCH('EF Table_detail'!$H$5,Methodology!$B$26:$D$26,0))</f>
        <v>1.05</v>
      </c>
      <c r="I56" s="98" cm="1">
        <f t="array" aca="1" ref="I56" ca="1">INDIRECT(""&amp;$C56&amp;"!R"&amp;I$130&amp;"C"&amp;I$131,FALSE)</f>
        <v>922.37450980392134</v>
      </c>
      <c r="J56" s="99" cm="1">
        <f t="array" aca="1" ref="J56" ca="1">INDIRECT(""&amp;$C56&amp;"!R"&amp;J$130&amp;"C"&amp;J$131,FALSE)</f>
        <v>234.72436666666658</v>
      </c>
      <c r="K56" s="100" cm="1">
        <f t="array" aca="1" ref="K56" ca="1">INDIRECT(""&amp;$C56&amp;"!R"&amp;K$130&amp;"C"&amp;K$131,FALSE)</f>
        <v>498.10835207282906</v>
      </c>
      <c r="L56" s="101">
        <f ca="1">$K56*(1+INDEX(Methodology!$B$26:$E$31,MATCH($G56,Methodology!$B$26:$B$31,0),MATCH(M$5,Methodology!$B$26:$E$26,0)))</f>
        <v>523.01376967647059</v>
      </c>
      <c r="M56" s="102">
        <f ca="1">$I56*(1+INDEX(Methodology!$B$26:$E$31,MATCH($G56,Methodology!$B$26:$B$31,0),MATCH(M$5,Methodology!$B$26:$E$26,0)))</f>
        <v>968.49323529411743</v>
      </c>
      <c r="N56" s="99" cm="1">
        <f t="array" aca="1" ref="N56" ca="1">INDIRECT(""&amp;$C56&amp;"!R"&amp;N$130&amp;"C"&amp;N$131,FALSE)</f>
        <v>1.689694683908046</v>
      </c>
      <c r="O56" s="99" cm="1">
        <f t="array" aca="1" ref="O56" ca="1">INDIRECT(""&amp;$C56&amp;"!R"&amp;O$130&amp;"C"&amp;O$131,FALSE)</f>
        <v>0.39582523889825749</v>
      </c>
      <c r="P56" s="100" cm="1">
        <f t="array" aca="1" ref="P56" ca="1">INDIRECT(""&amp;$C56&amp;"!R"&amp;P$130&amp;"C"&amp;P$131,FALSE)</f>
        <v>0.97781277704867176</v>
      </c>
      <c r="Q56" s="101">
        <f ca="1">$P56*(1+INDEX(Methodology!$B$26:$E$31,MATCH($G56,Methodology!$B$26:$B$31,0),MATCH(R$5,Methodology!$B$26:$E$26,0)))</f>
        <v>1.0267034159011055</v>
      </c>
      <c r="R56" s="102">
        <f ca="1">$N56*(1+INDEX(Methodology!$B$26:$E$31,MATCH($G56,Methodology!$B$26:$B$31,0),MATCH(R$5,Methodology!$B$26:$E$26,0)))</f>
        <v>1.7741794181034485</v>
      </c>
      <c r="S56" s="103"/>
      <c r="T56" s="107" cm="1">
        <f t="array" aca="1" ref="T56" ca="1">INDIRECT(""&amp;$C56&amp;"!R"&amp;T$130&amp;"C"&amp;T$131,FALSE)</f>
        <v>920.72156862745078</v>
      </c>
      <c r="U56" s="108" cm="1">
        <f t="array" aca="1" ref="U56" ca="1">INDIRECT(""&amp;$C56&amp;"!R"&amp;U$130&amp;"C"&amp;U$131,FALSE)</f>
        <v>840.86198027036903</v>
      </c>
      <c r="V56" s="107" cm="1">
        <f t="array" aca="1" ref="V56" ca="1">INDIRECT(""&amp;$C56&amp;"!R"&amp;V$130&amp;"C"&amp;V$131,FALSE)</f>
        <v>1.6866666666666668</v>
      </c>
      <c r="W56" s="109" cm="1">
        <f t="array" aca="1" ref="W56" ca="1">INDIRECT(""&amp;$C56&amp;"!R"&amp;W$130&amp;"C"&amp;W$131,FALSE)</f>
        <v>1.6412238255075566</v>
      </c>
      <c r="X56" s="103"/>
      <c r="Y56" s="107">
        <f t="shared" ca="1" si="5"/>
        <v>509.41076222819203</v>
      </c>
      <c r="Z56" s="29" t="str">
        <f t="shared" ca="1" si="6"/>
        <v>kg/m³</v>
      </c>
      <c r="AA56" s="35" t="str" cm="1">
        <f t="array" aca="1" ref="AA56" ca="1">IF(INDIRECT(""&amp;$C56&amp;"!R"&amp;AA$130&amp;"C"&amp;AA$131,FALSE)=0,"",INDIRECT(""&amp;$C56&amp;"!R"&amp;AA$130&amp;"C"&amp;AA$131,FALSE))</f>
        <v xml:space="preserve">The NABERS rating tool will only include carbon storage where a material will be expected to last more than 20 years within the building and where it has been sourced from a sustainable forest. </v>
      </c>
      <c r="AB56" s="36" t="str" cm="1">
        <f t="array" aca="1" ref="AB56" ca="1">IFERROR(IF(INDIRECT(""&amp;$C56&amp;"!R"&amp;AB$130&amp;"C"&amp;AB$131,FALSE)="Average (weighted)","Yes","No"),"")</f>
        <v>Yes</v>
      </c>
    </row>
    <row r="57" spans="1:28" ht="45" customHeight="1" x14ac:dyDescent="0.25">
      <c r="A57" s="17" t="s">
        <v>5537</v>
      </c>
      <c r="B57" s="17" t="s">
        <v>3491</v>
      </c>
      <c r="C57" s="16" t="s">
        <v>5505</v>
      </c>
      <c r="D57" s="31" t="str" cm="1">
        <f t="array" aca="1" ref="D57" ca="1">INDIRECT(""&amp;$C57&amp;"!R"&amp;D$130&amp;"C"&amp;D$131,FALSE)</f>
        <v xml:space="preserve">Particleboard including walling and flooring applications </v>
      </c>
      <c r="E57" s="39" t="str">
        <f t="shared" si="9"/>
        <v>Eng_Timber_Particleboard</v>
      </c>
      <c r="F57" s="14" t="str" cm="1">
        <f t="array" aca="1" ref="F57" ca="1">INDIRECT(""&amp;$C57&amp;"!R"&amp;F$130&amp;"C"&amp;F$131,FALSE)</f>
        <v>m³</v>
      </c>
      <c r="G57" s="14" t="str" cm="1">
        <f t="array" aca="1" ref="G57" ca="1">INDIRECT(""&amp;$C57&amp;"!R"&amp;G$130&amp;"C"&amp;G$131,FALSE)</f>
        <v>Tier 2</v>
      </c>
      <c r="H57" s="32">
        <f ca="1">INDEX(Methodology!$B$26:$D$31,MATCH('EF Table_detail'!$G57,Methodology!$B$26:$B$31,0),MATCH('EF Table_detail'!$H$5,Methodology!$B$26:$D$26,0))</f>
        <v>1.05</v>
      </c>
      <c r="I57" s="98" cm="1">
        <f t="array" aca="1" ref="I57" ca="1">INDIRECT(""&amp;$C57&amp;"!R"&amp;I$130&amp;"C"&amp;I$131,FALSE)</f>
        <v>838.40526315789725</v>
      </c>
      <c r="J57" s="99" cm="1">
        <f t="array" aca="1" ref="J57" ca="1">INDIRECT(""&amp;$C57&amp;"!R"&amp;J$130&amp;"C"&amp;J$131,FALSE)</f>
        <v>322.23199999999997</v>
      </c>
      <c r="K57" s="100" cm="1">
        <f t="array" aca="1" ref="K57" ca="1">INDIRECT(""&amp;$C57&amp;"!R"&amp;K$130&amp;"C"&amp;K$131,FALSE)</f>
        <v>650.4555120047271</v>
      </c>
      <c r="L57" s="101">
        <f ca="1">$K57*(1+INDEX(Methodology!$B$26:$E$31,MATCH($G57,Methodology!$B$26:$B$31,0),MATCH(M$5,Methodology!$B$26:$E$26,0)))</f>
        <v>682.9782876049635</v>
      </c>
      <c r="M57" s="102">
        <f ca="1">$I57*(1+INDEX(Methodology!$B$26:$E$31,MATCH($G57,Methodology!$B$26:$B$31,0),MATCH(M$5,Methodology!$B$26:$E$26,0)))</f>
        <v>880.3255263157921</v>
      </c>
      <c r="N57" s="99" cm="1">
        <f t="array" aca="1" ref="N57" ca="1">INDIRECT(""&amp;$C57&amp;"!R"&amp;N$130&amp;"C"&amp;N$131,FALSE)</f>
        <v>1.1713014705882387</v>
      </c>
      <c r="O57" s="99" cm="1">
        <f t="array" aca="1" ref="O57" ca="1">INDIRECT(""&amp;$C57&amp;"!R"&amp;O$130&amp;"C"&amp;O$131,FALSE)</f>
        <v>0.48823030303030324</v>
      </c>
      <c r="P57" s="100" cm="1">
        <f t="array" aca="1" ref="P57" ca="1">INDIRECT(""&amp;$C57&amp;"!R"&amp;P$130&amp;"C"&amp;P$131,FALSE)</f>
        <v>0.91538767270543819</v>
      </c>
      <c r="Q57" s="101">
        <f ca="1">$P57*(1+INDEX(Methodology!$B$26:$E$31,MATCH($G57,Methodology!$B$26:$B$31,0),MATCH(R$5,Methodology!$B$26:$E$26,0)))</f>
        <v>0.96115705634071014</v>
      </c>
      <c r="R57" s="102">
        <f ca="1">$N57*(1+INDEX(Methodology!$B$26:$E$31,MATCH($G57,Methodology!$B$26:$B$31,0),MATCH(R$5,Methodology!$B$26:$E$26,0)))</f>
        <v>1.2298665441176508</v>
      </c>
      <c r="S57" s="103"/>
      <c r="T57" s="107" cm="1">
        <f t="array" aca="1" ref="T57" ca="1">INDIRECT(""&amp;$C57&amp;"!R"&amp;T$130&amp;"C"&amp;T$131,FALSE)</f>
        <v>1181.05263157895</v>
      </c>
      <c r="U57" s="108" cm="1">
        <f t="array" aca="1" ref="U57" ca="1">INDIRECT(""&amp;$C57&amp;"!R"&amp;U$130&amp;"C"&amp;U$131,FALSE)</f>
        <v>1138.6264018306642</v>
      </c>
      <c r="V57" s="107" cm="1">
        <f t="array" aca="1" ref="V57" ca="1">INDIRECT(""&amp;$C57&amp;"!R"&amp;V$130&amp;"C"&amp;V$131,FALSE)</f>
        <v>1.6500000000000037</v>
      </c>
      <c r="W57" s="109" cm="1">
        <f t="array" aca="1" ref="W57" ca="1">INDIRECT(""&amp;$C57&amp;"!R"&amp;W$130&amp;"C"&amp;W$131,FALSE)</f>
        <v>1.6195940801364037</v>
      </c>
      <c r="X57" s="103"/>
      <c r="Y57" s="107">
        <f t="shared" ca="1" si="5"/>
        <v>710.57927848459963</v>
      </c>
      <c r="Z57" s="29" t="str">
        <f t="shared" ca="1" si="6"/>
        <v>kg/m³</v>
      </c>
      <c r="AA57" s="35" t="str" cm="1">
        <f t="array" aca="1" ref="AA57" ca="1">IF(INDIRECT(""&amp;$C57&amp;"!R"&amp;AA$130&amp;"C"&amp;AA$131,FALSE)=0,"",INDIRECT(""&amp;$C57&amp;"!R"&amp;AA$130&amp;"C"&amp;AA$131,FALSE))</f>
        <v xml:space="preserve">The NABERS rating tool will only include carbon storage where a material will be expected to last more than 20 years within the building and where it has been sourced from a sustainable forest. </v>
      </c>
      <c r="AB57" s="36" t="str" cm="1">
        <f t="array" aca="1" ref="AB57" ca="1">IFERROR(IF(INDIRECT(""&amp;$C57&amp;"!R"&amp;AB$130&amp;"C"&amp;AB$131,FALSE)="Average (weighted)","Yes","No"),"")</f>
        <v>Yes</v>
      </c>
    </row>
    <row r="58" spans="1:28" ht="45" customHeight="1" x14ac:dyDescent="0.25">
      <c r="A58" s="17" t="s">
        <v>5540</v>
      </c>
      <c r="B58" s="17" t="s">
        <v>4430</v>
      </c>
      <c r="C58" s="16" t="s">
        <v>5541</v>
      </c>
      <c r="D58" s="31" t="str" cm="1">
        <f t="array" aca="1" ref="D58" ca="1">INDIRECT(""&amp;$C58&amp;"!R"&amp;D$130&amp;"C"&amp;D$131,FALSE)</f>
        <v>Structural Insulated Panels (SIP) of thickness less than or equal to 100 mm, including wall and roof panels.</v>
      </c>
      <c r="E58" s="39" t="str">
        <f t="shared" si="9"/>
        <v>Panel_SIP_less_equal_100</v>
      </c>
      <c r="F58" s="14" t="str" cm="1">
        <f t="array" aca="1" ref="F58" ca="1">INDIRECT(""&amp;$C58&amp;"!R"&amp;F$130&amp;"C"&amp;F$131,FALSE)</f>
        <v>m²</v>
      </c>
      <c r="G58" s="14" t="str" cm="1">
        <f t="array" aca="1" ref="G58" ca="1">INDIRECT(""&amp;$C58&amp;"!R"&amp;G$130&amp;"C"&amp;G$131,FALSE)</f>
        <v>Tier 2</v>
      </c>
      <c r="H58" s="32">
        <f ca="1">INDEX(Methodology!$B$26:$D$31,MATCH('EF Table_detail'!$G58,Methodology!$B$26:$B$31,0),MATCH('EF Table_detail'!$H$5,Methodology!$B$26:$D$26,0))</f>
        <v>1.05</v>
      </c>
      <c r="I58" s="98" cm="1">
        <f t="array" aca="1" ref="I58" ca="1">INDIRECT(""&amp;$C58&amp;"!R"&amp;I$130&amp;"C"&amp;I$131,FALSE)</f>
        <v>64.028499999999994</v>
      </c>
      <c r="J58" s="99" cm="1">
        <f t="array" aca="1" ref="J58" ca="1">INDIRECT(""&amp;$C58&amp;"!R"&amp;J$130&amp;"C"&amp;J$131,FALSE)</f>
        <v>7.1511999999999993</v>
      </c>
      <c r="K58" s="100" cm="1">
        <f t="array" aca="1" ref="K58" ca="1">INDIRECT(""&amp;$C58&amp;"!R"&amp;K$130&amp;"C"&amp;K$131,FALSE)</f>
        <v>42.272157831325295</v>
      </c>
      <c r="L58" s="101">
        <f ca="1">$K58*(1+INDEX(Methodology!$B$26:$E$31,MATCH($G58,Methodology!$B$26:$B$31,0),MATCH(M$5,Methodology!$B$26:$E$26,0)))</f>
        <v>44.385765722891563</v>
      </c>
      <c r="M58" s="102">
        <f ca="1">$I58*(1+INDEX(Methodology!$B$26:$E$31,MATCH($G58,Methodology!$B$26:$B$31,0),MATCH(M$5,Methodology!$B$26:$E$26,0)))</f>
        <v>67.229924999999994</v>
      </c>
      <c r="N58" s="99" cm="1">
        <f t="array" aca="1" ref="N58" ca="1">INDIRECT(""&amp;$C58&amp;"!R"&amp;N$130&amp;"C"&amp;N$131,FALSE)</f>
        <v>4.9165714285714284</v>
      </c>
      <c r="O58" s="99" cm="1">
        <f t="array" aca="1" ref="O58" ca="1">INDIRECT(""&amp;$C58&amp;"!R"&amp;O$130&amp;"C"&amp;O$131,FALSE)</f>
        <v>1.0976089743589739</v>
      </c>
      <c r="P58" s="100" cm="1">
        <f t="array" aca="1" ref="P58" ca="1">INDIRECT(""&amp;$C58&amp;"!R"&amp;P$130&amp;"C"&amp;P$131,FALSE)</f>
        <v>3.6419846947229431</v>
      </c>
      <c r="Q58" s="101">
        <f ca="1">$P58*(1+INDEX(Methodology!$B$26:$E$31,MATCH($G58,Methodology!$B$26:$B$31,0),MATCH(R$5,Methodology!$B$26:$E$26,0)))</f>
        <v>3.8240839294590905</v>
      </c>
      <c r="R58" s="102">
        <f ca="1">$N58*(1+INDEX(Methodology!$B$26:$E$31,MATCH($G58,Methodology!$B$26:$B$31,0),MATCH(R$5,Methodology!$B$26:$E$26,0)))</f>
        <v>5.1623999999999999</v>
      </c>
      <c r="S58" s="103"/>
      <c r="T58" s="107" cm="1">
        <f t="array" aca="1" ref="T58" ca="1">INDIRECT(""&amp;$C58&amp;"!R"&amp;T$130&amp;"C"&amp;T$131,FALSE)</f>
        <v>0</v>
      </c>
      <c r="U58" s="108" cm="1">
        <f t="array" aca="1" ref="U58" ca="1">INDIRECT(""&amp;$C58&amp;"!R"&amp;U$130&amp;"C"&amp;U$131,FALSE)</f>
        <v>0</v>
      </c>
      <c r="V58" s="107" cm="1">
        <f t="array" aca="1" ref="V58" ca="1">INDIRECT(""&amp;$C58&amp;"!R"&amp;V$130&amp;"C"&amp;V$131,FALSE)</f>
        <v>0</v>
      </c>
      <c r="W58" s="109" cm="1">
        <f t="array" aca="1" ref="W58" ca="1">INDIRECT(""&amp;$C58&amp;"!R"&amp;W$130&amp;"C"&amp;W$131,FALSE)</f>
        <v>0</v>
      </c>
      <c r="X58" s="103"/>
      <c r="Y58" s="107">
        <f t="shared" ref="Y58:Y63" ca="1" si="10">IFERROR(K58/P58,"")</f>
        <v>11.606901559080018</v>
      </c>
      <c r="Z58" s="29" t="str">
        <f t="shared" ref="Z58:Z63" ca="1" si="11">"kg/"&amp;F58</f>
        <v>kg/m²</v>
      </c>
      <c r="AA58" s="35" t="str" cm="1">
        <f t="array" aca="1" ref="AA58" ca="1">IF(INDIRECT(""&amp;$C58&amp;"!R"&amp;AA$130&amp;"C"&amp;AA$131,FALSE)=0,"",INDIRECT(""&amp;$C58&amp;"!R"&amp;AA$130&amp;"C"&amp;AA$131,FALSE))</f>
        <v xml:space="preserve">Important to consider board thickness. Recommended to use kg CO2e/kg EF when thickness and mass is known. </v>
      </c>
      <c r="AB58" s="36" t="str" cm="1">
        <f t="array" aca="1" ref="AB58" ca="1">IFERROR(IF(INDIRECT(""&amp;$C58&amp;"!R"&amp;AB$130&amp;"C"&amp;AB$131,FALSE)="Average (weighted)","Yes","No"),"")</f>
        <v>No</v>
      </c>
    </row>
    <row r="59" spans="1:28" ht="45" customHeight="1" x14ac:dyDescent="0.25">
      <c r="A59" s="17" t="s">
        <v>5540</v>
      </c>
      <c r="B59" s="17" t="s">
        <v>4365</v>
      </c>
      <c r="C59" s="16" t="s">
        <v>5542</v>
      </c>
      <c r="D59" s="31" t="str" cm="1">
        <f t="array" aca="1" ref="D59" ca="1">INDIRECT(""&amp;$C59&amp;"!R"&amp;D$130&amp;"C"&amp;D$131,FALSE)</f>
        <v>Structural Insulated Panels (SIP) of thickness greater than 100 mm and no thicker than 250 mm including wall and roof panels.</v>
      </c>
      <c r="E59" s="39" t="str">
        <f t="shared" si="9"/>
        <v>Panel_SIP_more100</v>
      </c>
      <c r="F59" s="14" t="str" cm="1">
        <f t="array" aca="1" ref="F59" ca="1">INDIRECT(""&amp;$C59&amp;"!R"&amp;F$130&amp;"C"&amp;F$131,FALSE)</f>
        <v>m²</v>
      </c>
      <c r="G59" s="14" t="str" cm="1">
        <f t="array" aca="1" ref="G59" ca="1">INDIRECT(""&amp;$C59&amp;"!R"&amp;G$130&amp;"C"&amp;G$131,FALSE)</f>
        <v>Tier 2</v>
      </c>
      <c r="H59" s="32">
        <f ca="1">INDEX(Methodology!$B$26:$D$31,MATCH('EF Table_detail'!$G59,Methodology!$B$26:$B$31,0),MATCH('EF Table_detail'!$H$5,Methodology!$B$26:$D$26,0))</f>
        <v>1.05</v>
      </c>
      <c r="I59" s="98" cm="1">
        <f t="array" aca="1" ref="I59" ca="1">INDIRECT(""&amp;$C59&amp;"!R"&amp;I$130&amp;"C"&amp;I$131,FALSE)</f>
        <v>84.753399999999999</v>
      </c>
      <c r="J59" s="99" cm="1">
        <f t="array" aca="1" ref="J59" ca="1">INDIRECT(""&amp;$C59&amp;"!R"&amp;J$130&amp;"C"&amp;J$131,FALSE)</f>
        <v>36.5</v>
      </c>
      <c r="K59" s="100" cm="1">
        <f t="array" aca="1" ref="K59" ca="1">INDIRECT(""&amp;$C59&amp;"!R"&amp;K$130&amp;"C"&amp;K$131,FALSE)</f>
        <v>55.647158139534874</v>
      </c>
      <c r="L59" s="101">
        <f ca="1">$K59*(1+INDEX(Methodology!$B$26:$E$31,MATCH($G59,Methodology!$B$26:$B$31,0),MATCH(M$5,Methodology!$B$26:$E$26,0)))</f>
        <v>58.429516046511623</v>
      </c>
      <c r="M59" s="102">
        <f ca="1">$I59*(1+INDEX(Methodology!$B$26:$E$31,MATCH($G59,Methodology!$B$26:$B$31,0),MATCH(M$5,Methodology!$B$26:$E$26,0)))</f>
        <v>88.991070000000008</v>
      </c>
      <c r="N59" s="99" cm="1">
        <f t="array" aca="1" ref="N59" ca="1">INDIRECT(""&amp;$C59&amp;"!R"&amp;N$130&amp;"C"&amp;N$131,FALSE)</f>
        <v>4.8708850574712645</v>
      </c>
      <c r="O59" s="99" cm="1">
        <f t="array" aca="1" ref="O59" ca="1">INDIRECT(""&amp;$C59&amp;"!R"&amp;O$130&amp;"C"&amp;O$131,FALSE)</f>
        <v>1.5479302832244004</v>
      </c>
      <c r="P59" s="100" cm="1">
        <f t="array" aca="1" ref="P59" ca="1">INDIRECT(""&amp;$C59&amp;"!R"&amp;P$130&amp;"C"&amp;P$131,FALSE)</f>
        <v>3.7632230463349234</v>
      </c>
      <c r="Q59" s="101">
        <f ca="1">$P59*(1+INDEX(Methodology!$B$26:$E$31,MATCH($G59,Methodology!$B$26:$B$31,0),MATCH(R$5,Methodology!$B$26:$E$26,0)))</f>
        <v>3.9513841986516698</v>
      </c>
      <c r="R59" s="102">
        <f ca="1">$N59*(1+INDEX(Methodology!$B$26:$E$31,MATCH($G59,Methodology!$B$26:$B$31,0),MATCH(R$5,Methodology!$B$26:$E$26,0)))</f>
        <v>5.1144293103448284</v>
      </c>
      <c r="S59" s="103"/>
      <c r="T59" s="107" cm="1">
        <f t="array" aca="1" ref="T59" ca="1">INDIRECT(""&amp;$C59&amp;"!R"&amp;T$130&amp;"C"&amp;T$131,FALSE)</f>
        <v>0</v>
      </c>
      <c r="U59" s="108" cm="1">
        <f t="array" aca="1" ref="U59" ca="1">INDIRECT(""&amp;$C59&amp;"!R"&amp;U$130&amp;"C"&amp;U$131,FALSE)</f>
        <v>0</v>
      </c>
      <c r="V59" s="107" cm="1">
        <f t="array" aca="1" ref="V59" ca="1">INDIRECT(""&amp;$C59&amp;"!R"&amp;V$130&amp;"C"&amp;V$131,FALSE)</f>
        <v>0</v>
      </c>
      <c r="W59" s="109" cm="1">
        <f t="array" aca="1" ref="W59" ca="1">INDIRECT(""&amp;$C59&amp;"!R"&amp;W$130&amp;"C"&amp;W$131,FALSE)</f>
        <v>0</v>
      </c>
      <c r="X59" s="103"/>
      <c r="Y59" s="107">
        <f t="shared" ca="1" si="10"/>
        <v>14.787100699154871</v>
      </c>
      <c r="Z59" s="29" t="str">
        <f t="shared" ca="1" si="11"/>
        <v>kg/m²</v>
      </c>
      <c r="AA59" s="35" t="str" cm="1">
        <f t="array" aca="1" ref="AA59" ca="1">IF(INDIRECT(""&amp;$C59&amp;"!R"&amp;AA$130&amp;"C"&amp;AA$131,FALSE)=0,"",INDIRECT(""&amp;$C59&amp;"!R"&amp;AA$130&amp;"C"&amp;AA$131,FALSE))</f>
        <v/>
      </c>
      <c r="AB59" s="36" t="str" cm="1">
        <f t="array" aca="1" ref="AB59" ca="1">IFERROR(IF(INDIRECT(""&amp;$C59&amp;"!R"&amp;AB$130&amp;"C"&amp;AB$131,FALSE)="Average (weighted)","Yes","No"),"")</f>
        <v>No</v>
      </c>
    </row>
    <row r="60" spans="1:28" ht="45" customHeight="1" x14ac:dyDescent="0.25">
      <c r="A60" s="17" t="s">
        <v>5543</v>
      </c>
      <c r="B60" s="9" t="s">
        <v>3630</v>
      </c>
      <c r="C60" s="14" t="s">
        <v>3628</v>
      </c>
      <c r="D60" s="31" t="str" cm="1">
        <f t="array" aca="1" ref="D60" ca="1">INDIRECT(""&amp;$C60&amp;"!R"&amp;D$130&amp;"C"&amp;D$131,FALSE)</f>
        <v>Glass used in windows, doors, curtain wall purposes. Including single, double and triple glazing units.</v>
      </c>
      <c r="E60" s="39" t="str">
        <f t="shared" si="9"/>
        <v>Glass</v>
      </c>
      <c r="F60" s="14" t="str" cm="1">
        <f t="array" aca="1" ref="F60" ca="1">INDIRECT(""&amp;$C60&amp;"!R"&amp;F$130&amp;"C"&amp;F$131,FALSE)</f>
        <v>kg</v>
      </c>
      <c r="G60" s="14" t="str" cm="1">
        <f t="array" aca="1" ref="G60" ca="1">INDIRECT(""&amp;$C60&amp;"!R"&amp;G$130&amp;"C"&amp;G$131,FALSE)</f>
        <v>Tier 4</v>
      </c>
      <c r="H60" s="32">
        <f ca="1">INDEX(Methodology!$B$26:$D$31,MATCH('EF Table_detail'!$G60,Methodology!$B$26:$B$31,0),MATCH('EF Table_detail'!$H$5,Methodology!$B$26:$D$26,0))</f>
        <v>1.2</v>
      </c>
      <c r="I60" s="98" cm="1">
        <f t="array" aca="1" ref="I60" ca="1">INDIRECT(""&amp;$C60&amp;"!R"&amp;I$130&amp;"C"&amp;I$131,FALSE)</f>
        <v>1.9807692307692308</v>
      </c>
      <c r="J60" s="99" cm="1">
        <f t="array" aca="1" ref="J60" ca="1">INDIRECT(""&amp;$C60&amp;"!R"&amp;J$130&amp;"C"&amp;J$131,FALSE)</f>
        <v>1.1000000000000001</v>
      </c>
      <c r="K60" s="100" cm="1">
        <f t="array" aca="1" ref="K60" ca="1">INDIRECT(""&amp;$C60&amp;"!R"&amp;K$130&amp;"C"&amp;K$131,FALSE)</f>
        <v>1.6598576059412267</v>
      </c>
      <c r="L60" s="101">
        <f ca="1">$K60*(1+INDEX(Methodology!$B$26:$E$31,MATCH($G60,Methodology!$B$26:$B$31,0),MATCH(M$5,Methodology!$B$26:$E$26,0)))</f>
        <v>1.9918291271294719</v>
      </c>
      <c r="M60" s="102">
        <f ca="1">$I60*(1+INDEX(Methodology!$B$26:$E$31,MATCH($G60,Methodology!$B$26:$B$31,0),MATCH(M$5,Methodology!$B$26:$E$26,0)))</f>
        <v>2.3769230769230769</v>
      </c>
      <c r="N60" s="99" cm="1">
        <f t="array" aca="1" ref="N60" ca="1">INDIRECT(""&amp;$C60&amp;"!R"&amp;N$130&amp;"C"&amp;N$131,FALSE)</f>
        <v>1.9807692307692308</v>
      </c>
      <c r="O60" s="99" cm="1">
        <f t="array" aca="1" ref="O60" ca="1">INDIRECT(""&amp;$C60&amp;"!R"&amp;O$130&amp;"C"&amp;O$131,FALSE)</f>
        <v>1.1000000000000001</v>
      </c>
      <c r="P60" s="100" cm="1">
        <f t="array" aca="1" ref="P60" ca="1">INDIRECT(""&amp;$C60&amp;"!R"&amp;P$130&amp;"C"&amp;P$131,FALSE)</f>
        <v>1.6598576059412267</v>
      </c>
      <c r="Q60" s="101">
        <f ca="1">$P60*(1+INDEX(Methodology!$B$26:$E$31,MATCH($G60,Methodology!$B$26:$B$31,0),MATCH(R$5,Methodology!$B$26:$E$26,0)))</f>
        <v>1.9918291271294719</v>
      </c>
      <c r="R60" s="102">
        <f ca="1">$N60*(1+INDEX(Methodology!$B$26:$E$31,MATCH($G60,Methodology!$B$26:$B$31,0),MATCH(R$5,Methodology!$B$26:$E$26,0)))</f>
        <v>2.3769230769230769</v>
      </c>
      <c r="S60" s="103"/>
      <c r="T60" s="107" cm="1">
        <f t="array" aca="1" ref="T60" ca="1">INDIRECT(""&amp;$C60&amp;"!R"&amp;T$130&amp;"C"&amp;T$131,FALSE)</f>
        <v>0</v>
      </c>
      <c r="U60" s="108" cm="1">
        <f t="array" aca="1" ref="U60" ca="1">INDIRECT(""&amp;$C60&amp;"!R"&amp;U$130&amp;"C"&amp;U$131,FALSE)</f>
        <v>0</v>
      </c>
      <c r="V60" s="107" cm="1">
        <f t="array" aca="1" ref="V60" ca="1">INDIRECT(""&amp;$C60&amp;"!R"&amp;V$130&amp;"C"&amp;V$131,FALSE)</f>
        <v>0</v>
      </c>
      <c r="W60" s="109" cm="1">
        <f t="array" aca="1" ref="W60" ca="1">INDIRECT(""&amp;$C60&amp;"!R"&amp;W$130&amp;"C"&amp;W$131,FALSE)</f>
        <v>0</v>
      </c>
      <c r="X60" s="103"/>
      <c r="Y60" s="107">
        <f t="shared" ca="1" si="10"/>
        <v>1</v>
      </c>
      <c r="Z60" s="29" t="str">
        <f t="shared" ca="1" si="11"/>
        <v>kg/kg</v>
      </c>
      <c r="AA60" s="35" t="str" cm="1">
        <f t="array" aca="1" ref="AA60" ca="1">IF(INDIRECT(""&amp;$C60&amp;"!R"&amp;AA$130&amp;"C"&amp;AA$131,FALSE)=0,"",INDIRECT(""&amp;$C60&amp;"!R"&amp;AA$130&amp;"C"&amp;AA$131,FALSE))</f>
        <v/>
      </c>
      <c r="AB60" s="36" t="str" cm="1">
        <f t="array" aca="1" ref="AB60" ca="1">IFERROR(IF(INDIRECT(""&amp;$C60&amp;"!R"&amp;AB$130&amp;"C"&amp;AB$131,FALSE)="Average (weighted)","Yes","No"),"")</f>
        <v>No</v>
      </c>
    </row>
    <row r="61" spans="1:28" ht="45" customHeight="1" x14ac:dyDescent="0.25">
      <c r="A61" s="17" t="s">
        <v>5544</v>
      </c>
      <c r="B61" s="9" t="s">
        <v>2843</v>
      </c>
      <c r="C61" s="14" t="s">
        <v>5545</v>
      </c>
      <c r="D61" s="31" t="str" cm="1">
        <f t="array" aca="1" ref="D61" ca="1">INDIRECT(""&amp;$C61&amp;"!R"&amp;D$130&amp;"C"&amp;D$131,FALSE)</f>
        <v>Extruded aluminium uncoated.</v>
      </c>
      <c r="E61" s="39" t="str">
        <f t="shared" si="9"/>
        <v>Aluminium_extruded</v>
      </c>
      <c r="F61" s="14" t="str" cm="1">
        <f t="array" aca="1" ref="F61" ca="1">INDIRECT(""&amp;$C61&amp;"!R"&amp;F$130&amp;"C"&amp;F$131,FALSE)</f>
        <v>tonne</v>
      </c>
      <c r="G61" s="14" t="str" cm="1">
        <f t="array" aca="1" ref="G61" ca="1">INDIRECT(""&amp;$C61&amp;"!R"&amp;G$130&amp;"C"&amp;G$131,FALSE)</f>
        <v>Tier 2</v>
      </c>
      <c r="H61" s="32">
        <f ca="1">INDEX(Methodology!$B$26:$D$31,MATCH('EF Table_detail'!$G61,Methodology!$B$26:$B$31,0),MATCH('EF Table_detail'!$H$5,Methodology!$B$26:$D$26,0))</f>
        <v>1.05</v>
      </c>
      <c r="I61" s="98" cm="1">
        <f t="array" aca="1" ref="I61" ca="1">INDIRECT(""&amp;$C61&amp;"!R"&amp;I$130&amp;"C"&amp;I$131,FALSE)</f>
        <v>28800</v>
      </c>
      <c r="J61" s="99" cm="1">
        <f t="array" aca="1" ref="J61" ca="1">INDIRECT(""&amp;$C61&amp;"!R"&amp;J$130&amp;"C"&amp;J$131,FALSE)</f>
        <v>3494.15</v>
      </c>
      <c r="K61" s="100" cm="1">
        <f t="array" aca="1" ref="K61" ca="1">INDIRECT(""&amp;$C61&amp;"!R"&amp;K$130&amp;"C"&amp;K$131,FALSE)</f>
        <v>17399.67766304348</v>
      </c>
      <c r="L61" s="101">
        <f ca="1">$K61*(1+INDEX(Methodology!$B$26:$E$31,MATCH($G61,Methodology!$B$26:$B$31,0),MATCH(M$5,Methodology!$B$26:$E$26,0)))</f>
        <v>18269.661546195654</v>
      </c>
      <c r="M61" s="102">
        <f ca="1">$I61*(1+INDEX(Methodology!$B$26:$E$31,MATCH($G61,Methodology!$B$26:$B$31,0),MATCH(M$5,Methodology!$B$26:$E$26,0)))</f>
        <v>30240</v>
      </c>
      <c r="N61" s="99" cm="1">
        <f t="array" aca="1" ref="N61" ca="1">INDIRECT(""&amp;$C61&amp;"!R"&amp;N$130&amp;"C"&amp;N$131,FALSE)</f>
        <v>28.8</v>
      </c>
      <c r="O61" s="99" cm="1">
        <f t="array" aca="1" ref="O61" ca="1">INDIRECT(""&amp;$C61&amp;"!R"&amp;O$130&amp;"C"&amp;O$131,FALSE)</f>
        <v>3.4941500000000003</v>
      </c>
      <c r="P61" s="100" cm="1">
        <f t="array" aca="1" ref="P61" ca="1">INDIRECT(""&amp;$C61&amp;"!R"&amp;P$130&amp;"C"&amp;P$131,FALSE)</f>
        <v>17.399677663043477</v>
      </c>
      <c r="Q61" s="101">
        <f ca="1">$P61*(1+INDEX(Methodology!$B$26:$E$31,MATCH($G61,Methodology!$B$26:$B$31,0),MATCH(R$5,Methodology!$B$26:$E$26,0)))</f>
        <v>18.26966154619565</v>
      </c>
      <c r="R61" s="102">
        <f ca="1">$N61*(1+INDEX(Methodology!$B$26:$E$31,MATCH($G61,Methodology!$B$26:$B$31,0),MATCH(R$5,Methodology!$B$26:$E$26,0)))</f>
        <v>30.240000000000002</v>
      </c>
      <c r="S61" s="103"/>
      <c r="T61" s="107" cm="1">
        <f t="array" aca="1" ref="T61" ca="1">INDIRECT(""&amp;$C61&amp;"!R"&amp;T$130&amp;"C"&amp;T$131,FALSE)</f>
        <v>0</v>
      </c>
      <c r="U61" s="108" cm="1">
        <f t="array" aca="1" ref="U61" ca="1">INDIRECT(""&amp;$C61&amp;"!R"&amp;U$130&amp;"C"&amp;U$131,FALSE)</f>
        <v>0</v>
      </c>
      <c r="V61" s="107" cm="1">
        <f t="array" aca="1" ref="V61" ca="1">INDIRECT(""&amp;$C61&amp;"!R"&amp;V$130&amp;"C"&amp;V$131,FALSE)</f>
        <v>0</v>
      </c>
      <c r="W61" s="109" cm="1">
        <f t="array" aca="1" ref="W61" ca="1">INDIRECT(""&amp;$C61&amp;"!R"&amp;W$130&amp;"C"&amp;W$131,FALSE)</f>
        <v>0</v>
      </c>
      <c r="X61" s="103"/>
      <c r="Y61" s="107">
        <f t="shared" ca="1" si="10"/>
        <v>1000.0000000000002</v>
      </c>
      <c r="Z61" s="29" t="str">
        <f t="shared" ca="1" si="11"/>
        <v>kg/tonne</v>
      </c>
      <c r="AA61" s="35" t="str" cm="1">
        <f t="array" aca="1" ref="AA61" ca="1">IF(INDIRECT(""&amp;$C61&amp;"!R"&amp;AA$130&amp;"C"&amp;AA$131,FALSE)=0,"",INDIRECT(""&amp;$C61&amp;"!R"&amp;AA$130&amp;"C"&amp;AA$131,FALSE))</f>
        <v xml:space="preserve">Used in wide array of applications including in curtain walls, wall and ceiling systems, facades etc. </v>
      </c>
      <c r="AB61" s="36" t="str" cm="1">
        <f t="array" aca="1" ref="AB61" ca="1">IFERROR(IF(INDIRECT(""&amp;$C61&amp;"!R"&amp;AB$130&amp;"C"&amp;AB$131,FALSE)="Average (weighted)","Yes","No"),"")</f>
        <v>Yes</v>
      </c>
    </row>
    <row r="62" spans="1:28" ht="45" customHeight="1" x14ac:dyDescent="0.25">
      <c r="A62" s="17" t="s">
        <v>5544</v>
      </c>
      <c r="B62" s="17" t="s">
        <v>5546</v>
      </c>
      <c r="C62" s="14" t="s">
        <v>5547</v>
      </c>
      <c r="D62" s="31" t="str" cm="1">
        <f t="array" aca="1" ref="D62" ca="1">INDIRECT(""&amp;$C62&amp;"!R"&amp;D$130&amp;"C"&amp;D$131,FALSE)</f>
        <v>Extruded aluminium (powder coated).</v>
      </c>
      <c r="E62" s="39" t="str">
        <f t="shared" si="9"/>
        <v>Aluminium_extru_powdercoat</v>
      </c>
      <c r="F62" s="14" t="str" cm="1">
        <f t="array" aca="1" ref="F62" ca="1">INDIRECT(""&amp;$C62&amp;"!R"&amp;F$130&amp;"C"&amp;F$131,FALSE)</f>
        <v>tonne</v>
      </c>
      <c r="G62" s="14" t="str" cm="1">
        <f t="array" aca="1" ref="G62" ca="1">INDIRECT(""&amp;$C62&amp;"!R"&amp;G$130&amp;"C"&amp;G$131,FALSE)</f>
        <v>Tier 2</v>
      </c>
      <c r="H62" s="32">
        <f ca="1">INDEX(Methodology!$B$26:$D$31,MATCH('EF Table_detail'!$G62,Methodology!$B$26:$B$31,0),MATCH('EF Table_detail'!$H$5,Methodology!$B$26:$D$26,0))</f>
        <v>1.05</v>
      </c>
      <c r="I62" s="98" cm="1">
        <f t="array" aca="1" ref="I62" ca="1">INDIRECT(""&amp;$C62&amp;"!R"&amp;I$130&amp;"C"&amp;I$131,FALSE)</f>
        <v>30460</v>
      </c>
      <c r="J62" s="99" cm="1">
        <f t="array" aca="1" ref="J62" ca="1">INDIRECT(""&amp;$C62&amp;"!R"&amp;J$130&amp;"C"&amp;J$131,FALSE)</f>
        <v>5154.1500000000005</v>
      </c>
      <c r="K62" s="100" cm="1">
        <f t="array" aca="1" ref="K62" ca="1">INDIRECT(""&amp;$C62&amp;"!R"&amp;K$130&amp;"C"&amp;K$131,FALSE)</f>
        <v>18229.677663043476</v>
      </c>
      <c r="L62" s="101">
        <f ca="1">$K62*(1+INDEX(Methodology!$B$26:$E$31,MATCH($G62,Methodology!$B$26:$B$31,0),MATCH(M$5,Methodology!$B$26:$E$26,0)))</f>
        <v>19141.16154619565</v>
      </c>
      <c r="M62" s="102">
        <f ca="1">$I62*(1+INDEX(Methodology!$B$26:$E$31,MATCH($G62,Methodology!$B$26:$B$31,0),MATCH(M$5,Methodology!$B$26:$E$26,0)))</f>
        <v>31983</v>
      </c>
      <c r="N62" s="99" cm="1">
        <f t="array" aca="1" ref="N62" ca="1">INDIRECT(""&amp;$C62&amp;"!R"&amp;N$130&amp;"C"&amp;N$131,FALSE)</f>
        <v>30.46</v>
      </c>
      <c r="O62" s="99" cm="1">
        <f t="array" aca="1" ref="O62" ca="1">INDIRECT(""&amp;$C62&amp;"!R"&amp;O$130&amp;"C"&amp;O$131,FALSE)</f>
        <v>5.1541500000000005</v>
      </c>
      <c r="P62" s="100" cm="1">
        <f t="array" aca="1" ref="P62" ca="1">INDIRECT(""&amp;$C62&amp;"!R"&amp;P$130&amp;"C"&amp;P$131,FALSE)</f>
        <v>18.229677663043478</v>
      </c>
      <c r="Q62" s="101">
        <f ca="1">$P62*(1+INDEX(Methodology!$B$26:$E$31,MATCH($G62,Methodology!$B$26:$B$31,0),MATCH(R$5,Methodology!$B$26:$E$26,0)))</f>
        <v>19.141161546195654</v>
      </c>
      <c r="R62" s="102">
        <f ca="1">$N62*(1+INDEX(Methodology!$B$26:$E$31,MATCH($G62,Methodology!$B$26:$B$31,0),MATCH(R$5,Methodology!$B$26:$E$26,0)))</f>
        <v>31.983000000000001</v>
      </c>
      <c r="S62" s="103"/>
      <c r="T62" s="107" cm="1">
        <f t="array" aca="1" ref="T62" ca="1">INDIRECT(""&amp;$C62&amp;"!R"&amp;T$130&amp;"C"&amp;T$131,FALSE)</f>
        <v>0</v>
      </c>
      <c r="U62" s="108" cm="1">
        <f t="array" aca="1" ref="U62" ca="1">INDIRECT(""&amp;$C62&amp;"!R"&amp;U$130&amp;"C"&amp;U$131,FALSE)</f>
        <v>0</v>
      </c>
      <c r="V62" s="107" cm="1">
        <f t="array" aca="1" ref="V62" ca="1">INDIRECT(""&amp;$C62&amp;"!R"&amp;V$130&amp;"C"&amp;V$131,FALSE)</f>
        <v>0</v>
      </c>
      <c r="W62" s="109" cm="1">
        <f t="array" aca="1" ref="W62" ca="1">INDIRECT(""&amp;$C62&amp;"!R"&amp;W$130&amp;"C"&amp;W$131,FALSE)</f>
        <v>0</v>
      </c>
      <c r="X62" s="103"/>
      <c r="Y62" s="107">
        <f t="shared" ca="1" si="10"/>
        <v>999.99999999999989</v>
      </c>
      <c r="Z62" s="29" t="str">
        <f t="shared" ca="1" si="11"/>
        <v>kg/tonne</v>
      </c>
      <c r="AA62" s="35" t="str" cm="1">
        <f t="array" aca="1" ref="AA62" ca="1">IF(INDIRECT(""&amp;$C62&amp;"!R"&amp;AA$130&amp;"C"&amp;AA$131,FALSE)=0,"",INDIRECT(""&amp;$C62&amp;"!R"&amp;AA$130&amp;"C"&amp;AA$131,FALSE))</f>
        <v>Using EFs determined in aluminium_extruded than multiplying by a factor for powder coating as determined using additional referenced data. Note this material sub-category is to act as a proxy for polyviylidene fluoride coating (PVDF coating).</v>
      </c>
      <c r="AB62" s="36" t="str" cm="1">
        <f t="array" aca="1" ref="AB62" ca="1">IFERROR(IF(INDIRECT(""&amp;$C62&amp;"!R"&amp;AB$130&amp;"C"&amp;AB$131,FALSE)="Average (weighted)","Yes","No"),"")</f>
        <v>Yes</v>
      </c>
    </row>
    <row r="63" spans="1:28" ht="45" customHeight="1" x14ac:dyDescent="0.25">
      <c r="A63" s="17" t="s">
        <v>5544</v>
      </c>
      <c r="B63" s="17" t="s">
        <v>5548</v>
      </c>
      <c r="C63" s="16" t="s">
        <v>5549</v>
      </c>
      <c r="D63" s="31" t="str" cm="1">
        <f t="array" aca="1" ref="D63" ca="1">INDIRECT(""&amp;$C63&amp;"!R"&amp;D$130&amp;"C"&amp;D$131,FALSE)</f>
        <v>Extruded aluminium (anodised).</v>
      </c>
      <c r="E63" s="39" t="str">
        <f t="shared" si="9"/>
        <v>Aluminium_extru_anodised</v>
      </c>
      <c r="F63" s="14" t="str" cm="1">
        <f t="array" aca="1" ref="F63" ca="1">INDIRECT(""&amp;$C63&amp;"!R"&amp;F$130&amp;"C"&amp;F$131,FALSE)</f>
        <v>tonne</v>
      </c>
      <c r="G63" s="14" t="str" cm="1">
        <f t="array" aca="1" ref="G63" ca="1">INDIRECT(""&amp;$C63&amp;"!R"&amp;G$130&amp;"C"&amp;G$131,FALSE)</f>
        <v>Tier 2</v>
      </c>
      <c r="H63" s="32">
        <f ca="1">INDEX(Methodology!$B$26:$D$31,MATCH('EF Table_detail'!$G63,Methodology!$B$26:$B$31,0),MATCH('EF Table_detail'!$H$5,Methodology!$B$26:$D$26,0))</f>
        <v>1.05</v>
      </c>
      <c r="I63" s="98" cm="1">
        <f t="array" aca="1" ref="I63" ca="1">INDIRECT(""&amp;$C63&amp;"!R"&amp;I$130&amp;"C"&amp;I$131,FALSE)</f>
        <v>32600</v>
      </c>
      <c r="J63" s="99" cm="1">
        <f t="array" aca="1" ref="J63" ca="1">INDIRECT(""&amp;$C63&amp;"!R"&amp;J$130&amp;"C"&amp;J$131,FALSE)</f>
        <v>7294.1500000000015</v>
      </c>
      <c r="K63" s="100" cm="1">
        <f t="array" aca="1" ref="K63" ca="1">INDIRECT(""&amp;$C63&amp;"!R"&amp;K$130&amp;"C"&amp;K$131,FALSE)</f>
        <v>19299.677663043476</v>
      </c>
      <c r="L63" s="101">
        <f ca="1">$K63*(1+INDEX(Methodology!$B$26:$E$31,MATCH($G63,Methodology!$B$26:$B$31,0),MATCH(M$5,Methodology!$B$26:$E$26,0)))</f>
        <v>20264.66154619565</v>
      </c>
      <c r="M63" s="102">
        <f ca="1">$I63*(1+INDEX(Methodology!$B$26:$E$31,MATCH($G63,Methodology!$B$26:$B$31,0),MATCH(M$5,Methodology!$B$26:$E$26,0)))</f>
        <v>34230</v>
      </c>
      <c r="N63" s="99" cm="1">
        <f t="array" aca="1" ref="N63" ca="1">INDIRECT(""&amp;$C63&amp;"!R"&amp;N$130&amp;"C"&amp;N$131,FALSE)</f>
        <v>32.6</v>
      </c>
      <c r="O63" s="99" cm="1">
        <f t="array" aca="1" ref="O63" ca="1">INDIRECT(""&amp;$C63&amp;"!R"&amp;O$130&amp;"C"&amp;O$131,FALSE)</f>
        <v>7.294150000000001</v>
      </c>
      <c r="P63" s="100" cm="1">
        <f t="array" aca="1" ref="P63" ca="1">INDIRECT(""&amp;$C63&amp;"!R"&amp;P$130&amp;"C"&amp;P$131,FALSE)</f>
        <v>19.299677663043479</v>
      </c>
      <c r="Q63" s="101">
        <f ca="1">$P63*(1+INDEX(Methodology!$B$26:$E$31,MATCH($G63,Methodology!$B$26:$B$31,0),MATCH(R$5,Methodology!$B$26:$E$26,0)))</f>
        <v>20.264661546195654</v>
      </c>
      <c r="R63" s="102">
        <f ca="1">$N63*(1+INDEX(Methodology!$B$26:$E$31,MATCH($G63,Methodology!$B$26:$B$31,0),MATCH(R$5,Methodology!$B$26:$E$26,0)))</f>
        <v>34.230000000000004</v>
      </c>
      <c r="S63" s="103"/>
      <c r="T63" s="107" cm="1">
        <f t="array" aca="1" ref="T63" ca="1">INDIRECT(""&amp;$C63&amp;"!R"&amp;T$130&amp;"C"&amp;T$131,FALSE)</f>
        <v>0</v>
      </c>
      <c r="U63" s="108" cm="1">
        <f t="array" aca="1" ref="U63" ca="1">INDIRECT(""&amp;$C63&amp;"!R"&amp;U$130&amp;"C"&amp;U$131,FALSE)</f>
        <v>0</v>
      </c>
      <c r="V63" s="107" cm="1">
        <f t="array" aca="1" ref="V63" ca="1">INDIRECT(""&amp;$C63&amp;"!R"&amp;V$130&amp;"C"&amp;V$131,FALSE)</f>
        <v>0</v>
      </c>
      <c r="W63" s="109" cm="1">
        <f t="array" aca="1" ref="W63" ca="1">INDIRECT(""&amp;$C63&amp;"!R"&amp;W$130&amp;"C"&amp;W$131,FALSE)</f>
        <v>0</v>
      </c>
      <c r="X63" s="103"/>
      <c r="Y63" s="107">
        <f t="shared" ca="1" si="10"/>
        <v>999.99999999999989</v>
      </c>
      <c r="Z63" s="29" t="str">
        <f t="shared" ca="1" si="11"/>
        <v>kg/tonne</v>
      </c>
      <c r="AA63" s="35" t="str" cm="1">
        <f t="array" aca="1" ref="AA63" ca="1">IF(INDIRECT(""&amp;$C63&amp;"!R"&amp;AA$130&amp;"C"&amp;AA$131,FALSE)=0,"",INDIRECT(""&amp;$C63&amp;"!R"&amp;AA$130&amp;"C"&amp;AA$131,FALSE))</f>
        <v>Using EFs determined in aluminium_extruded than multiplying by a factor for anodising as determined using additional referenced data</v>
      </c>
      <c r="AB63" s="36" t="str" cm="1">
        <f t="array" aca="1" ref="AB63" ca="1">IFERROR(IF(INDIRECT(""&amp;$C63&amp;"!R"&amp;AB$130&amp;"C"&amp;AB$131,FALSE)="Average (weighted)","Yes","No"),"")</f>
        <v>Yes</v>
      </c>
    </row>
    <row r="64" spans="1:28" ht="45" customHeight="1" x14ac:dyDescent="0.25">
      <c r="A64" s="17" t="s">
        <v>5550</v>
      </c>
      <c r="B64" s="17" t="s">
        <v>5551</v>
      </c>
      <c r="C64" s="14" t="s">
        <v>5547</v>
      </c>
      <c r="D64" s="31" t="str" cm="1">
        <f t="array" aca="1" ref="D64" ca="1">INDIRECT(""&amp;$C64&amp;"!R"&amp;D$130&amp;"C"&amp;D$131,FALSE)</f>
        <v>Extruded aluminium (powder coated).</v>
      </c>
      <c r="E64" s="39" t="str">
        <f t="shared" si="9"/>
        <v>Aluminium_extru_powdercoat</v>
      </c>
      <c r="F64" s="14" t="str" cm="1">
        <f t="array" aca="1" ref="F64" ca="1">INDIRECT(""&amp;$C64&amp;"!R"&amp;F$130&amp;"C"&amp;F$131,FALSE)</f>
        <v>tonne</v>
      </c>
      <c r="G64" s="14" t="str" cm="1">
        <f t="array" aca="1" ref="G64" ca="1">INDIRECT(""&amp;$C64&amp;"!R"&amp;G$130&amp;"C"&amp;G$131,FALSE)</f>
        <v>Tier 2</v>
      </c>
      <c r="H64" s="32">
        <f ca="1">INDEX(Methodology!$B$26:$D$31,MATCH('EF Table_detail'!$G64,Methodology!$B$26:$B$31,0),MATCH('EF Table_detail'!$H$5,Methodology!$B$26:$D$26,0))</f>
        <v>1.05</v>
      </c>
      <c r="I64" s="98" cm="1">
        <f t="array" aca="1" ref="I64" ca="1">INDIRECT(""&amp;$C64&amp;"!R"&amp;I$130&amp;"C"&amp;I$131,FALSE)</f>
        <v>30460</v>
      </c>
      <c r="J64" s="99" cm="1">
        <f t="array" aca="1" ref="J64" ca="1">INDIRECT(""&amp;$C64&amp;"!R"&amp;J$130&amp;"C"&amp;J$131,FALSE)</f>
        <v>5154.1500000000005</v>
      </c>
      <c r="K64" s="100" cm="1">
        <f t="array" aca="1" ref="K64" ca="1">INDIRECT(""&amp;$C64&amp;"!R"&amp;K$130&amp;"C"&amp;K$131,FALSE)</f>
        <v>18229.677663043476</v>
      </c>
      <c r="L64" s="101">
        <f ca="1">$K64*(1+INDEX(Methodology!$B$26:$E$31,MATCH($G64,Methodology!$B$26:$B$31,0),MATCH(M$5,Methodology!$B$26:$E$26,0)))</f>
        <v>19141.16154619565</v>
      </c>
      <c r="M64" s="102">
        <f ca="1">$I64*(1+INDEX(Methodology!$B$26:$E$31,MATCH($G64,Methodology!$B$26:$B$31,0),MATCH(M$5,Methodology!$B$26:$E$26,0)))</f>
        <v>31983</v>
      </c>
      <c r="N64" s="99" cm="1">
        <f t="array" aca="1" ref="N64" ca="1">INDIRECT(""&amp;$C64&amp;"!R"&amp;N$130&amp;"C"&amp;N$131,FALSE)</f>
        <v>30.46</v>
      </c>
      <c r="O64" s="99" cm="1">
        <f t="array" aca="1" ref="O64" ca="1">INDIRECT(""&amp;$C64&amp;"!R"&amp;O$130&amp;"C"&amp;O$131,FALSE)</f>
        <v>5.1541500000000005</v>
      </c>
      <c r="P64" s="100" cm="1">
        <f t="array" aca="1" ref="P64" ca="1">INDIRECT(""&amp;$C64&amp;"!R"&amp;P$130&amp;"C"&amp;P$131,FALSE)</f>
        <v>18.229677663043478</v>
      </c>
      <c r="Q64" s="101">
        <f ca="1">$P64*(1+INDEX(Methodology!$B$26:$E$31,MATCH($G64,Methodology!$B$26:$B$31,0),MATCH(R$5,Methodology!$B$26:$E$26,0)))</f>
        <v>19.141161546195654</v>
      </c>
      <c r="R64" s="102">
        <f ca="1">$N64*(1+INDEX(Methodology!$B$26:$E$31,MATCH($G64,Methodology!$B$26:$B$31,0),MATCH(R$5,Methodology!$B$26:$E$26,0)))</f>
        <v>31.983000000000001</v>
      </c>
      <c r="S64" s="103"/>
      <c r="T64" s="107" cm="1">
        <f t="array" aca="1" ref="T64" ca="1">INDIRECT(""&amp;$C64&amp;"!R"&amp;T$130&amp;"C"&amp;T$131,FALSE)</f>
        <v>0</v>
      </c>
      <c r="U64" s="108" cm="1">
        <f t="array" aca="1" ref="U64" ca="1">INDIRECT(""&amp;$C64&amp;"!R"&amp;U$130&amp;"C"&amp;U$131,FALSE)</f>
        <v>0</v>
      </c>
      <c r="V64" s="107" cm="1">
        <f t="array" aca="1" ref="V64" ca="1">INDIRECT(""&amp;$C64&amp;"!R"&amp;V$130&amp;"C"&amp;V$131,FALSE)</f>
        <v>0</v>
      </c>
      <c r="W64" s="109" cm="1">
        <f t="array" aca="1" ref="W64" ca="1">INDIRECT(""&amp;$C64&amp;"!R"&amp;W$130&amp;"C"&amp;W$131,FALSE)</f>
        <v>0</v>
      </c>
      <c r="X64" s="103"/>
      <c r="Y64" s="107">
        <f t="shared" ref="Y64:Y78" ca="1" si="12">IFERROR(K64/P64,"")</f>
        <v>999.99999999999989</v>
      </c>
      <c r="Z64" s="29" t="str">
        <f t="shared" ref="Z64:Z78" ca="1" si="13">"kg/"&amp;F64</f>
        <v>kg/tonne</v>
      </c>
      <c r="AA64" s="35" t="str" cm="1">
        <f t="array" aca="1" ref="AA64" ca="1">IF(INDIRECT(""&amp;$C64&amp;"!R"&amp;AA$130&amp;"C"&amp;AA$131,FALSE)=0,"",INDIRECT(""&amp;$C64&amp;"!R"&amp;AA$130&amp;"C"&amp;AA$131,FALSE))</f>
        <v>Using EFs determined in aluminium_extruded than multiplying by a factor for powder coating as determined using additional referenced data. Note this material sub-category is to act as a proxy for polyviylidene fluoride coating (PVDF coating).</v>
      </c>
      <c r="AB64" s="36" t="str" cm="1">
        <f t="array" aca="1" ref="AB64" ca="1">IFERROR(IF(INDIRECT(""&amp;$C64&amp;"!R"&amp;AB$130&amp;"C"&amp;AB$131,FALSE)="Average (weighted)","Yes","No"),"")</f>
        <v>Yes</v>
      </c>
    </row>
    <row r="65" spans="1:28" ht="45" customHeight="1" x14ac:dyDescent="0.25">
      <c r="A65" s="17" t="s">
        <v>5550</v>
      </c>
      <c r="B65" s="17" t="s">
        <v>5552</v>
      </c>
      <c r="C65" s="14" t="s">
        <v>5547</v>
      </c>
      <c r="D65" s="31" t="str" cm="1">
        <f t="array" aca="1" ref="D65" ca="1">INDIRECT(""&amp;$C65&amp;"!R"&amp;D$130&amp;"C"&amp;D$131,FALSE)</f>
        <v>Extruded aluminium (powder coated).</v>
      </c>
      <c r="E65" s="39" t="str">
        <f t="shared" si="9"/>
        <v>Aluminium_extru_powdercoat</v>
      </c>
      <c r="F65" s="14" t="str" cm="1">
        <f t="array" aca="1" ref="F65" ca="1">INDIRECT(""&amp;$C65&amp;"!R"&amp;F$130&amp;"C"&amp;F$131,FALSE)</f>
        <v>tonne</v>
      </c>
      <c r="G65" s="14" t="str" cm="1">
        <f t="array" aca="1" ref="G65" ca="1">INDIRECT(""&amp;$C65&amp;"!R"&amp;G$130&amp;"C"&amp;G$131,FALSE)</f>
        <v>Tier 2</v>
      </c>
      <c r="H65" s="32">
        <f ca="1">INDEX(Methodology!$B$26:$D$31,MATCH('EF Table_detail'!$G65,Methodology!$B$26:$B$31,0),MATCH('EF Table_detail'!$H$5,Methodology!$B$26:$D$26,0))</f>
        <v>1.05</v>
      </c>
      <c r="I65" s="98" cm="1">
        <f t="array" aca="1" ref="I65" ca="1">INDIRECT(""&amp;$C65&amp;"!R"&amp;I$130&amp;"C"&amp;I$131,FALSE)</f>
        <v>30460</v>
      </c>
      <c r="J65" s="99" cm="1">
        <f t="array" aca="1" ref="J65" ca="1">INDIRECT(""&amp;$C65&amp;"!R"&amp;J$130&amp;"C"&amp;J$131,FALSE)</f>
        <v>5154.1500000000005</v>
      </c>
      <c r="K65" s="100" cm="1">
        <f t="array" aca="1" ref="K65" ca="1">INDIRECT(""&amp;$C65&amp;"!R"&amp;K$130&amp;"C"&amp;K$131,FALSE)</f>
        <v>18229.677663043476</v>
      </c>
      <c r="L65" s="101">
        <f ca="1">$K65*(1+INDEX(Methodology!$B$26:$E$31,MATCH($G65,Methodology!$B$26:$B$31,0),MATCH(M$5,Methodology!$B$26:$E$26,0)))</f>
        <v>19141.16154619565</v>
      </c>
      <c r="M65" s="102">
        <f ca="1">$I65*(1+INDEX(Methodology!$B$26:$E$31,MATCH($G65,Methodology!$B$26:$B$31,0),MATCH(M$5,Methodology!$B$26:$E$26,0)))</f>
        <v>31983</v>
      </c>
      <c r="N65" s="99" cm="1">
        <f t="array" aca="1" ref="N65" ca="1">INDIRECT(""&amp;$C65&amp;"!R"&amp;N$130&amp;"C"&amp;N$131,FALSE)</f>
        <v>30.46</v>
      </c>
      <c r="O65" s="99" cm="1">
        <f t="array" aca="1" ref="O65" ca="1">INDIRECT(""&amp;$C65&amp;"!R"&amp;O$130&amp;"C"&amp;O$131,FALSE)</f>
        <v>5.1541500000000005</v>
      </c>
      <c r="P65" s="100" cm="1">
        <f t="array" aca="1" ref="P65" ca="1">INDIRECT(""&amp;$C65&amp;"!R"&amp;P$130&amp;"C"&amp;P$131,FALSE)</f>
        <v>18.229677663043478</v>
      </c>
      <c r="Q65" s="101">
        <f ca="1">$P65*(1+INDEX(Methodology!$B$26:$E$31,MATCH($G65,Methodology!$B$26:$B$31,0),MATCH(R$5,Methodology!$B$26:$E$26,0)))</f>
        <v>19.141161546195654</v>
      </c>
      <c r="R65" s="102">
        <f ca="1">$N65*(1+INDEX(Methodology!$B$26:$E$31,MATCH($G65,Methodology!$B$26:$B$31,0),MATCH(R$5,Methodology!$B$26:$E$26,0)))</f>
        <v>31.983000000000001</v>
      </c>
      <c r="S65" s="103"/>
      <c r="T65" s="107" cm="1">
        <f t="array" aca="1" ref="T65" ca="1">INDIRECT(""&amp;$C65&amp;"!R"&amp;T$130&amp;"C"&amp;T$131,FALSE)</f>
        <v>0</v>
      </c>
      <c r="U65" s="108" cm="1">
        <f t="array" aca="1" ref="U65" ca="1">INDIRECT(""&amp;$C65&amp;"!R"&amp;U$130&amp;"C"&amp;U$131,FALSE)</f>
        <v>0</v>
      </c>
      <c r="V65" s="107" cm="1">
        <f t="array" aca="1" ref="V65" ca="1">INDIRECT(""&amp;$C65&amp;"!R"&amp;V$130&amp;"C"&amp;V$131,FALSE)</f>
        <v>0</v>
      </c>
      <c r="W65" s="109" cm="1">
        <f t="array" aca="1" ref="W65" ca="1">INDIRECT(""&amp;$C65&amp;"!R"&amp;W$130&amp;"C"&amp;W$131,FALSE)</f>
        <v>0</v>
      </c>
      <c r="X65" s="103"/>
      <c r="Y65" s="107">
        <f t="shared" ca="1" si="12"/>
        <v>999.99999999999989</v>
      </c>
      <c r="Z65" s="29" t="str">
        <f t="shared" ca="1" si="13"/>
        <v>kg/tonne</v>
      </c>
      <c r="AA65" s="35" t="str" cm="1">
        <f t="array" aca="1" ref="AA65" ca="1">IF(INDIRECT(""&amp;$C65&amp;"!R"&amp;AA$130&amp;"C"&amp;AA$131,FALSE)=0,"",INDIRECT(""&amp;$C65&amp;"!R"&amp;AA$130&amp;"C"&amp;AA$131,FALSE))</f>
        <v>Using EFs determined in aluminium_extruded than multiplying by a factor for powder coating as determined using additional referenced data. Note this material sub-category is to act as a proxy for polyviylidene fluoride coating (PVDF coating).</v>
      </c>
      <c r="AB65" s="36" t="str" cm="1">
        <f t="array" aca="1" ref="AB65" ca="1">IFERROR(IF(INDIRECT(""&amp;$C65&amp;"!R"&amp;AB$130&amp;"C"&amp;AB$131,FALSE)="Average (weighted)","Yes","No"),"")</f>
        <v>Yes</v>
      </c>
    </row>
    <row r="66" spans="1:28" ht="45" customHeight="1" x14ac:dyDescent="0.25">
      <c r="A66" s="17" t="s">
        <v>5550</v>
      </c>
      <c r="B66" s="17" t="s">
        <v>5553</v>
      </c>
      <c r="C66" s="11" t="s">
        <v>5492</v>
      </c>
      <c r="D66" s="31" t="str" cm="1">
        <f t="array" aca="1" ref="D66" ca="1">INDIRECT(""&amp;$C66&amp;"!R"&amp;D$130&amp;"C"&amp;D$131,FALSE)</f>
        <v>Steel used for structural purposes that has undergone cold-rolled steel production route.</v>
      </c>
      <c r="E66" s="39" t="str">
        <f t="shared" si="9"/>
        <v>Structural_steel_cold</v>
      </c>
      <c r="F66" s="14" t="str" cm="1">
        <f t="array" aca="1" ref="F66" ca="1">INDIRECT(""&amp;$C66&amp;"!R"&amp;F$130&amp;"C"&amp;F$131,FALSE)</f>
        <v>tonne</v>
      </c>
      <c r="G66" s="14" t="str" cm="1">
        <f t="array" aca="1" ref="G66" ca="1">INDIRECT(""&amp;$C66&amp;"!R"&amp;G$130&amp;"C"&amp;G$131,FALSE)</f>
        <v>Tier 2</v>
      </c>
      <c r="H66" s="32">
        <f ca="1">INDEX(Methodology!$B$26:$D$31,MATCH('EF Table_detail'!$G66,Methodology!$B$26:$B$31,0),MATCH('EF Table_detail'!$H$5,Methodology!$B$26:$D$26,0))</f>
        <v>1.05</v>
      </c>
      <c r="I66" s="98" cm="1">
        <f t="array" aca="1" ref="I66" ca="1">INDIRECT(""&amp;$C66&amp;"!R"&amp;I$130&amp;"C"&amp;I$131,FALSE)</f>
        <v>3860</v>
      </c>
      <c r="J66" s="99" cm="1">
        <f t="array" aca="1" ref="J66" ca="1">INDIRECT(""&amp;$C66&amp;"!R"&amp;J$130&amp;"C"&amp;J$131,FALSE)</f>
        <v>2725.7525083612036</v>
      </c>
      <c r="K66" s="100" cm="1">
        <f t="array" aca="1" ref="K66" ca="1">INDIRECT(""&amp;$C66&amp;"!R"&amp;K$130&amp;"C"&amp;K$131,FALSE)</f>
        <v>3012.9821218000197</v>
      </c>
      <c r="L66" s="101">
        <f ca="1">$K66*(1+INDEX(Methodology!$B$26:$E$31,MATCH($G66,Methodology!$B$26:$B$31,0),MATCH(M$5,Methodology!$B$26:$E$26,0)))</f>
        <v>3163.6312278900209</v>
      </c>
      <c r="M66" s="102">
        <f ca="1">$I66*(1+INDEX(Methodology!$B$26:$E$31,MATCH($G66,Methodology!$B$26:$B$31,0),MATCH(M$5,Methodology!$B$26:$E$26,0)))</f>
        <v>4053</v>
      </c>
      <c r="N66" s="99" cm="1">
        <f t="array" aca="1" ref="N66" ca="1">INDIRECT(""&amp;$C66&amp;"!R"&amp;N$130&amp;"C"&amp;N$131,FALSE)</f>
        <v>3.86</v>
      </c>
      <c r="O66" s="99" cm="1">
        <f t="array" aca="1" ref="O66" ca="1">INDIRECT(""&amp;$C66&amp;"!R"&amp;O$130&amp;"C"&amp;O$131,FALSE)</f>
        <v>2.7257525083612038</v>
      </c>
      <c r="P66" s="100" cm="1">
        <f t="array" aca="1" ref="P66" ca="1">INDIRECT(""&amp;$C66&amp;"!R"&amp;P$130&amp;"C"&amp;P$131,FALSE)</f>
        <v>3.0129821218000203</v>
      </c>
      <c r="Q66" s="101">
        <f ca="1">$P66*(1+INDEX(Methodology!$B$26:$E$31,MATCH($G66,Methodology!$B$26:$B$31,0),MATCH(R$5,Methodology!$B$26:$E$26,0)))</f>
        <v>3.1636312278900216</v>
      </c>
      <c r="R66" s="102">
        <f ca="1">$N66*(1+INDEX(Methodology!$B$26:$E$31,MATCH($G66,Methodology!$B$26:$B$31,0),MATCH(R$5,Methodology!$B$26:$E$26,0)))</f>
        <v>4.0529999999999999</v>
      </c>
      <c r="S66" s="103"/>
      <c r="T66" s="107" cm="1">
        <f t="array" aca="1" ref="T66" ca="1">INDIRECT(""&amp;$C66&amp;"!R"&amp;T$130&amp;"C"&amp;T$131,FALSE)</f>
        <v>0</v>
      </c>
      <c r="U66" s="108" cm="1">
        <f t="array" aca="1" ref="U66" ca="1">INDIRECT(""&amp;$C66&amp;"!R"&amp;U$130&amp;"C"&amp;U$131,FALSE)</f>
        <v>0</v>
      </c>
      <c r="V66" s="107" cm="1">
        <f t="array" aca="1" ref="V66" ca="1">INDIRECT(""&amp;$C66&amp;"!R"&amp;V$130&amp;"C"&amp;V$131,FALSE)</f>
        <v>0</v>
      </c>
      <c r="W66" s="109" cm="1">
        <f t="array" aca="1" ref="W66" ca="1">INDIRECT(""&amp;$C66&amp;"!R"&amp;W$130&amp;"C"&amp;W$131,FALSE)</f>
        <v>0</v>
      </c>
      <c r="X66" s="103"/>
      <c r="Y66" s="107">
        <f t="shared" ca="1" si="12"/>
        <v>999.99999999999977</v>
      </c>
      <c r="Z66" s="29" t="str">
        <f t="shared" ca="1" si="13"/>
        <v>kg/tonne</v>
      </c>
      <c r="AA66" s="35" t="str" cm="1">
        <f t="array" aca="1" ref="AA66" ca="1">IF(INDIRECT(""&amp;$C66&amp;"!R"&amp;AA$130&amp;"C"&amp;AA$131,FALSE)=0,"",INDIRECT(""&amp;$C66&amp;"!R"&amp;AA$130&amp;"C"&amp;AA$131,FALSE))</f>
        <v/>
      </c>
      <c r="AB66" s="36" t="str" cm="1">
        <f t="array" aca="1" ref="AB66" ca="1">IFERROR(IF(INDIRECT(""&amp;$C66&amp;"!R"&amp;AB$130&amp;"C"&amp;AB$131,FALSE)="Average (weighted)","Yes","No"),"")</f>
        <v>No</v>
      </c>
    </row>
    <row r="67" spans="1:28" ht="45" customHeight="1" x14ac:dyDescent="0.25">
      <c r="A67" s="17" t="s">
        <v>5554</v>
      </c>
      <c r="B67" s="17" t="s">
        <v>5555</v>
      </c>
      <c r="C67" s="11" t="s">
        <v>5492</v>
      </c>
      <c r="D67" s="31" t="str" cm="1">
        <f t="array" aca="1" ref="D67" ca="1">INDIRECT(""&amp;$C67&amp;"!R"&amp;D$130&amp;"C"&amp;D$131,FALSE)</f>
        <v>Steel used for structural purposes that has undergone cold-rolled steel production route.</v>
      </c>
      <c r="E67" s="39" t="str">
        <f t="shared" si="9"/>
        <v>Structural_steel_cold</v>
      </c>
      <c r="F67" s="14" t="str" cm="1">
        <f t="array" aca="1" ref="F67" ca="1">INDIRECT(""&amp;$C67&amp;"!R"&amp;F$130&amp;"C"&amp;F$131,FALSE)</f>
        <v>tonne</v>
      </c>
      <c r="G67" s="14" t="str" cm="1">
        <f t="array" aca="1" ref="G67" ca="1">INDIRECT(""&amp;$C67&amp;"!R"&amp;G$130&amp;"C"&amp;G$131,FALSE)</f>
        <v>Tier 2</v>
      </c>
      <c r="H67" s="32">
        <f ca="1">INDEX(Methodology!$B$26:$D$31,MATCH('EF Table_detail'!$G67,Methodology!$B$26:$B$31,0),MATCH('EF Table_detail'!$H$5,Methodology!$B$26:$D$26,0))</f>
        <v>1.05</v>
      </c>
      <c r="I67" s="98" cm="1">
        <f t="array" aca="1" ref="I67" ca="1">INDIRECT(""&amp;$C67&amp;"!R"&amp;I$130&amp;"C"&amp;I$131,FALSE)</f>
        <v>3860</v>
      </c>
      <c r="J67" s="99" cm="1">
        <f t="array" aca="1" ref="J67" ca="1">INDIRECT(""&amp;$C67&amp;"!R"&amp;J$130&amp;"C"&amp;J$131,FALSE)</f>
        <v>2725.7525083612036</v>
      </c>
      <c r="K67" s="100" cm="1">
        <f t="array" aca="1" ref="K67" ca="1">INDIRECT(""&amp;$C67&amp;"!R"&amp;K$130&amp;"C"&amp;K$131,FALSE)</f>
        <v>3012.9821218000197</v>
      </c>
      <c r="L67" s="101">
        <f ca="1">$K67*(1+INDEX(Methodology!$B$26:$E$31,MATCH($G67,Methodology!$B$26:$B$31,0),MATCH(M$5,Methodology!$B$26:$E$26,0)))</f>
        <v>3163.6312278900209</v>
      </c>
      <c r="M67" s="102">
        <f ca="1">$I67*(1+INDEX(Methodology!$B$26:$E$31,MATCH($G67,Methodology!$B$26:$B$31,0),MATCH(M$5,Methodology!$B$26:$E$26,0)))</f>
        <v>4053</v>
      </c>
      <c r="N67" s="99" cm="1">
        <f t="array" aca="1" ref="N67" ca="1">INDIRECT(""&amp;$C67&amp;"!R"&amp;N$130&amp;"C"&amp;N$131,FALSE)</f>
        <v>3.86</v>
      </c>
      <c r="O67" s="99" cm="1">
        <f t="array" aca="1" ref="O67" ca="1">INDIRECT(""&amp;$C67&amp;"!R"&amp;O$130&amp;"C"&amp;O$131,FALSE)</f>
        <v>2.7257525083612038</v>
      </c>
      <c r="P67" s="100" cm="1">
        <f t="array" aca="1" ref="P67" ca="1">INDIRECT(""&amp;$C67&amp;"!R"&amp;P$130&amp;"C"&amp;P$131,FALSE)</f>
        <v>3.0129821218000203</v>
      </c>
      <c r="Q67" s="101">
        <f ca="1">$P67*(1+INDEX(Methodology!$B$26:$E$31,MATCH($G67,Methodology!$B$26:$B$31,0),MATCH(R$5,Methodology!$B$26:$E$26,0)))</f>
        <v>3.1636312278900216</v>
      </c>
      <c r="R67" s="102">
        <f ca="1">$N67*(1+INDEX(Methodology!$B$26:$E$31,MATCH($G67,Methodology!$B$26:$B$31,0),MATCH(R$5,Methodology!$B$26:$E$26,0)))</f>
        <v>4.0529999999999999</v>
      </c>
      <c r="S67" s="103"/>
      <c r="T67" s="107" cm="1">
        <f t="array" aca="1" ref="T67" ca="1">INDIRECT(""&amp;$C67&amp;"!R"&amp;T$130&amp;"C"&amp;T$131,FALSE)</f>
        <v>0</v>
      </c>
      <c r="U67" s="108" cm="1">
        <f t="array" aca="1" ref="U67" ca="1">INDIRECT(""&amp;$C67&amp;"!R"&amp;U$130&amp;"C"&amp;U$131,FALSE)</f>
        <v>0</v>
      </c>
      <c r="V67" s="107" cm="1">
        <f t="array" aca="1" ref="V67" ca="1">INDIRECT(""&amp;$C67&amp;"!R"&amp;V$130&amp;"C"&amp;V$131,FALSE)</f>
        <v>0</v>
      </c>
      <c r="W67" s="109" cm="1">
        <f t="array" aca="1" ref="W67" ca="1">INDIRECT(""&amp;$C67&amp;"!R"&amp;W$130&amp;"C"&amp;W$131,FALSE)</f>
        <v>0</v>
      </c>
      <c r="X67" s="103"/>
      <c r="Y67" s="107">
        <f t="shared" ref="Y67:Y75" ca="1" si="14">IFERROR(K67/P67,"")</f>
        <v>999.99999999999977</v>
      </c>
      <c r="Z67" s="29" t="str">
        <f t="shared" ref="Z67:Z75" ca="1" si="15">"kg/"&amp;F67</f>
        <v>kg/tonne</v>
      </c>
      <c r="AA67" s="35" t="str" cm="1">
        <f t="array" aca="1" ref="AA67" ca="1">IF(INDIRECT(""&amp;$C67&amp;"!R"&amp;AA$130&amp;"C"&amp;AA$131,FALSE)=0,"",INDIRECT(""&amp;$C67&amp;"!R"&amp;AA$130&amp;"C"&amp;AA$131,FALSE))</f>
        <v/>
      </c>
      <c r="AB67" s="36" t="str" cm="1">
        <f t="array" aca="1" ref="AB67" ca="1">IFERROR(IF(INDIRECT(""&amp;$C67&amp;"!R"&amp;AB$130&amp;"C"&amp;AB$131,FALSE)="Average (weighted)","Yes","No"),"")</f>
        <v>No</v>
      </c>
    </row>
    <row r="68" spans="1:28" ht="45" customHeight="1" x14ac:dyDescent="0.25">
      <c r="A68" s="17" t="s">
        <v>5554</v>
      </c>
      <c r="B68" s="17" t="s">
        <v>5556</v>
      </c>
      <c r="C68" s="16" t="s">
        <v>5500</v>
      </c>
      <c r="D68" s="31" t="str" cm="1">
        <f t="array" aca="1" ref="D68" ca="1">INDIRECT(""&amp;$C68&amp;"!R"&amp;D$130&amp;"C"&amp;D$131,FALSE)</f>
        <v>Softwood timber. Most common species radiata pine. Includes treated, untreated, surfaced, and sawn products.</v>
      </c>
      <c r="E68" s="39" t="str">
        <f t="shared" si="9"/>
        <v>Timber_softwood</v>
      </c>
      <c r="F68" s="14" t="str" cm="1">
        <f t="array" aca="1" ref="F68" ca="1">INDIRECT(""&amp;$C68&amp;"!R"&amp;F$130&amp;"C"&amp;F$131,FALSE)</f>
        <v>m³</v>
      </c>
      <c r="G68" s="14" t="str" cm="1">
        <f t="array" aca="1" ref="G68" ca="1">INDIRECT(""&amp;$C68&amp;"!R"&amp;G$130&amp;"C"&amp;G$131,FALSE)</f>
        <v>Tier 2</v>
      </c>
      <c r="H68" s="32">
        <f ca="1">INDEX(Methodology!$B$26:$D$31,MATCH('EF Table_detail'!$G68,Methodology!$B$26:$B$31,0),MATCH('EF Table_detail'!$H$5,Methodology!$B$26:$D$26,0))</f>
        <v>1.05</v>
      </c>
      <c r="I68" s="98" cm="1">
        <f t="array" aca="1" ref="I68" ca="1">INDIRECT(""&amp;$C68&amp;"!R"&amp;I$130&amp;"C"&amp;I$131,FALSE)</f>
        <v>332.10566666666671</v>
      </c>
      <c r="J68" s="99" cm="1">
        <f t="array" aca="1" ref="J68" ca="1">INDIRECT(""&amp;$C68&amp;"!R"&amp;J$130&amp;"C"&amp;J$131,FALSE)</f>
        <v>112.72666666666669</v>
      </c>
      <c r="K68" s="100" cm="1">
        <f t="array" aca="1" ref="K68" ca="1">INDIRECT(""&amp;$C68&amp;"!R"&amp;K$130&amp;"C"&amp;K$131,FALSE)</f>
        <v>188.12604014652021</v>
      </c>
      <c r="L68" s="101">
        <f ca="1">$K68*(1+INDEX(Methodology!$B$26:$E$31,MATCH($G68,Methodology!$B$26:$B$31,0),MATCH(M$5,Methodology!$B$26:$E$26,0)))</f>
        <v>197.53234215384623</v>
      </c>
      <c r="M68" s="102">
        <f ca="1">$I68*(1+INDEX(Methodology!$B$26:$E$31,MATCH($G68,Methodology!$B$26:$B$31,0),MATCH(M$5,Methodology!$B$26:$E$26,0)))</f>
        <v>348.71095000000008</v>
      </c>
      <c r="N68" s="99" cm="1">
        <f t="array" aca="1" ref="N68" ca="1">INDIRECT(""&amp;$C68&amp;"!R"&amp;N$130&amp;"C"&amp;N$131,FALSE)</f>
        <v>0.60273260738052037</v>
      </c>
      <c r="O68" s="99" cm="1">
        <f t="array" aca="1" ref="O68" ca="1">INDIRECT(""&amp;$C68&amp;"!R"&amp;O$130&amp;"C"&amp;O$131,FALSE)</f>
        <v>0.20458560193587449</v>
      </c>
      <c r="P68" s="100" cm="1">
        <f t="array" aca="1" ref="P68" ca="1">INDIRECT(""&amp;$C68&amp;"!R"&amp;P$130&amp;"C"&amp;P$131,FALSE)</f>
        <v>0.36568651497281479</v>
      </c>
      <c r="Q68" s="101">
        <f ca="1">$P68*(1+INDEX(Methodology!$B$26:$E$31,MATCH($G68,Methodology!$B$26:$B$31,0),MATCH(R$5,Methodology!$B$26:$E$26,0)))</f>
        <v>0.38397084072145554</v>
      </c>
      <c r="R68" s="102">
        <f ca="1">$N68*(1+INDEX(Methodology!$B$26:$E$31,MATCH($G68,Methodology!$B$26:$B$31,0),MATCH(R$5,Methodology!$B$26:$E$26,0)))</f>
        <v>0.6328692377495464</v>
      </c>
      <c r="S68" s="103"/>
      <c r="T68" s="107" cm="1">
        <f t="array" aca="1" ref="T68" ca="1">INDIRECT(""&amp;$C68&amp;"!R"&amp;T$130&amp;"C"&amp;T$131,FALSE)</f>
        <v>888.94666666666672</v>
      </c>
      <c r="U68" s="108" cm="1">
        <f t="array" aca="1" ref="U68" ca="1">INDIRECT(""&amp;$C68&amp;"!R"&amp;U$130&amp;"C"&amp;U$131,FALSE)</f>
        <v>857.20070120355842</v>
      </c>
      <c r="V68" s="107" cm="1">
        <f t="array" aca="1" ref="V68" ca="1">INDIRECT(""&amp;$C68&amp;"!R"&amp;V$130&amp;"C"&amp;V$131,FALSE)</f>
        <v>1.6133333333333335</v>
      </c>
      <c r="W68" s="109" cm="1">
        <f t="array" aca="1" ref="W68" ca="1">INDIRECT(""&amp;$C68&amp;"!R"&amp;W$130&amp;"C"&amp;W$131,FALSE)</f>
        <v>1.6356775141083113</v>
      </c>
      <c r="X68" s="103"/>
      <c r="Y68" s="107">
        <f t="shared" ca="1" si="14"/>
        <v>514.44620581785887</v>
      </c>
      <c r="Z68" s="29" t="str">
        <f t="shared" ca="1" si="15"/>
        <v>kg/m³</v>
      </c>
      <c r="AA68" s="35" t="str" cm="1">
        <f t="array" aca="1" ref="AA68" ca="1">IF(INDIRECT(""&amp;$C68&amp;"!R"&amp;AA$130&amp;"C"&amp;AA$131,FALSE)=0,"",INDIRECT(""&amp;$C68&amp;"!R"&amp;AA$130&amp;"C"&amp;AA$131,FALSE))</f>
        <v xml:space="preserve">The NABERS rating tool will only include carbon storage where a material will be expected to last more than 20 years within the building and where it has been sourced from a sustainable forest. </v>
      </c>
      <c r="AB68" s="36" t="str" cm="1">
        <f t="array" aca="1" ref="AB68" ca="1">IFERROR(IF(INDIRECT(""&amp;$C68&amp;"!R"&amp;AB$130&amp;"C"&amp;AB$131,FALSE)="Average (weighted)","Yes","No"),"")</f>
        <v>Yes</v>
      </c>
    </row>
    <row r="69" spans="1:28" ht="45" customHeight="1" x14ac:dyDescent="0.25">
      <c r="A69" s="17" t="s">
        <v>5554</v>
      </c>
      <c r="B69" s="9" t="s">
        <v>5557</v>
      </c>
      <c r="C69" s="14" t="s">
        <v>5558</v>
      </c>
      <c r="D69" s="31" t="str" cm="1">
        <f t="array" aca="1" ref="D69" ca="1">INDIRECT(""&amp;$C69&amp;"!R"&amp;D$130&amp;"C"&amp;D$131,FALSE)</f>
        <v>Autoclaved Aerated Concrete (AAC) panels including reinforcement</v>
      </c>
      <c r="E69" s="39" t="str">
        <f t="shared" si="9"/>
        <v>AAC_panel</v>
      </c>
      <c r="F69" s="14" t="str" cm="1">
        <f t="array" aca="1" ref="F69" ca="1">INDIRECT(""&amp;$C69&amp;"!R"&amp;F$130&amp;"C"&amp;F$131,FALSE)</f>
        <v>kg</v>
      </c>
      <c r="G69" s="14" t="str" cm="1">
        <f t="array" aca="1" ref="G69" ca="1">INDIRECT(""&amp;$C69&amp;"!R"&amp;G$130&amp;"C"&amp;G$131,FALSE)</f>
        <v>Tier 4</v>
      </c>
      <c r="H69" s="32">
        <f ca="1">INDEX(Methodology!$B$26:$D$31,MATCH('EF Table_detail'!$G69,Methodology!$B$26:$B$31,0),MATCH('EF Table_detail'!$H$5,Methodology!$B$26:$D$26,0))</f>
        <v>1.2</v>
      </c>
      <c r="I69" s="98" cm="1">
        <f t="array" aca="1" ref="I69" ca="1">INDIRECT(""&amp;$C69&amp;"!R"&amp;I$130&amp;"C"&amp;I$131,FALSE)</f>
        <v>0.53456487089576021</v>
      </c>
      <c r="J69" s="99" cm="1">
        <f t="array" aca="1" ref="J69" ca="1">INDIRECT(""&amp;$C69&amp;"!R"&amp;J$130&amp;"C"&amp;J$131,FALSE)</f>
        <v>0.37321063394683029</v>
      </c>
      <c r="K69" s="100" cm="1">
        <f t="array" aca="1" ref="K69" ca="1">INDIRECT(""&amp;$C69&amp;"!R"&amp;K$130&amp;"C"&amp;K$131,FALSE)</f>
        <v>0.45082619212704922</v>
      </c>
      <c r="L69" s="101">
        <f ca="1">$K69*(1+INDEX(Methodology!$B$26:$E$31,MATCH($G69,Methodology!$B$26:$B$31,0),MATCH(M$5,Methodology!$B$26:$E$26,0)))</f>
        <v>0.54099143055245902</v>
      </c>
      <c r="M69" s="102">
        <f ca="1">$I69*(1+INDEX(Methodology!$B$26:$E$31,MATCH($G69,Methodology!$B$26:$B$31,0),MATCH(M$5,Methodology!$B$26:$E$26,0)))</f>
        <v>0.64147784507491223</v>
      </c>
      <c r="N69" s="99" cm="1">
        <f t="array" aca="1" ref="N69" ca="1">INDIRECT(""&amp;$C69&amp;"!R"&amp;N$130&amp;"C"&amp;N$131,FALSE)</f>
        <v>0.53456487089576021</v>
      </c>
      <c r="O69" s="99" cm="1">
        <f t="array" aca="1" ref="O69" ca="1">INDIRECT(""&amp;$C69&amp;"!R"&amp;O$130&amp;"C"&amp;O$131,FALSE)</f>
        <v>0.37321063394683029</v>
      </c>
      <c r="P69" s="100" cm="1">
        <f t="array" aca="1" ref="P69" ca="1">INDIRECT(""&amp;$C69&amp;"!R"&amp;P$130&amp;"C"&amp;P$131,FALSE)</f>
        <v>0.45082619212704922</v>
      </c>
      <c r="Q69" s="101">
        <f ca="1">$P69*(1+INDEX(Methodology!$B$26:$E$31,MATCH($G69,Methodology!$B$26:$B$31,0),MATCH(R$5,Methodology!$B$26:$E$26,0)))</f>
        <v>0.54099143055245902</v>
      </c>
      <c r="R69" s="102">
        <f ca="1">$N69*(1+INDEX(Methodology!$B$26:$E$31,MATCH($G69,Methodology!$B$26:$B$31,0),MATCH(R$5,Methodology!$B$26:$E$26,0)))</f>
        <v>0.64147784507491223</v>
      </c>
      <c r="S69" s="103"/>
      <c r="T69" s="107" cm="1">
        <f t="array" aca="1" ref="T69" ca="1">INDIRECT(""&amp;$C69&amp;"!R"&amp;T$130&amp;"C"&amp;T$131,FALSE)</f>
        <v>0</v>
      </c>
      <c r="U69" s="108" cm="1">
        <f t="array" aca="1" ref="U69" ca="1">INDIRECT(""&amp;$C69&amp;"!R"&amp;U$130&amp;"C"&amp;U$131,FALSE)</f>
        <v>0</v>
      </c>
      <c r="V69" s="107" cm="1">
        <f t="array" aca="1" ref="V69" ca="1">INDIRECT(""&amp;$C69&amp;"!R"&amp;V$130&amp;"C"&amp;V$131,FALSE)</f>
        <v>0</v>
      </c>
      <c r="W69" s="109" cm="1">
        <f t="array" aca="1" ref="W69" ca="1">INDIRECT(""&amp;$C69&amp;"!R"&amp;W$130&amp;"C"&amp;W$131,FALSE)</f>
        <v>0</v>
      </c>
      <c r="X69" s="103"/>
      <c r="Y69" s="107">
        <f t="shared" ca="1" si="14"/>
        <v>1</v>
      </c>
      <c r="Z69" s="29" t="str">
        <f t="shared" ca="1" si="15"/>
        <v>kg/kg</v>
      </c>
      <c r="AA69" s="35" t="str" cm="1">
        <f t="array" aca="1" ref="AA69" ca="1">IF(INDIRECT(""&amp;$C69&amp;"!R"&amp;AA$130&amp;"C"&amp;AA$131,FALSE)=0,"",INDIRECT(""&amp;$C69&amp;"!R"&amp;AA$130&amp;"C"&amp;AA$131,FALSE))</f>
        <v/>
      </c>
      <c r="AB69" s="36" t="str" cm="1">
        <f t="array" aca="1" ref="AB69" ca="1">IFERROR(IF(INDIRECT(""&amp;$C69&amp;"!R"&amp;AB$130&amp;"C"&amp;AB$131,FALSE)="Average (weighted)","Yes","No"),"")</f>
        <v>No</v>
      </c>
    </row>
    <row r="70" spans="1:28" ht="45" customHeight="1" x14ac:dyDescent="0.25">
      <c r="A70" s="17" t="s">
        <v>5554</v>
      </c>
      <c r="B70" s="17" t="s">
        <v>4546</v>
      </c>
      <c r="C70" s="16" t="s">
        <v>4546</v>
      </c>
      <c r="D70" s="31" t="str" cm="1">
        <f t="array" aca="1" ref="D70" ca="1">INDIRECT(""&amp;$C70&amp;"!R"&amp;D$130&amp;"C"&amp;D$131,FALSE)</f>
        <v>Board made from plaster typically coated in paper. Thickness from 4 mm to 22 mm.</v>
      </c>
      <c r="E70" s="39" t="str">
        <f t="shared" si="9"/>
        <v>Plasterboard</v>
      </c>
      <c r="F70" s="14" t="str" cm="1">
        <f t="array" aca="1" ref="F70" ca="1">INDIRECT(""&amp;$C70&amp;"!R"&amp;F$130&amp;"C"&amp;F$131,FALSE)</f>
        <v>m²</v>
      </c>
      <c r="G70" s="14" t="str" cm="1">
        <f t="array" aca="1" ref="G70" ca="1">INDIRECT(""&amp;$C70&amp;"!R"&amp;G$130&amp;"C"&amp;G$131,FALSE)</f>
        <v>Tier 4</v>
      </c>
      <c r="H70" s="32">
        <f ca="1">INDEX(Methodology!$B$26:$D$31,MATCH('EF Table_detail'!$G70,Methodology!$B$26:$B$31,0),MATCH('EF Table_detail'!$H$5,Methodology!$B$26:$D$26,0))</f>
        <v>1.2</v>
      </c>
      <c r="I70" s="98" cm="1">
        <f t="array" aca="1" ref="I70" ca="1">INDIRECT(""&amp;$C70&amp;"!R"&amp;I$130&amp;"C"&amp;I$131,FALSE)</f>
        <v>6.8327400000000003</v>
      </c>
      <c r="J70" s="99" cm="1">
        <f t="array" aca="1" ref="J70" ca="1">INDIRECT(""&amp;$C70&amp;"!R"&amp;J$130&amp;"C"&amp;J$131,FALSE)</f>
        <v>1.49</v>
      </c>
      <c r="K70" s="100" cm="1">
        <f t="array" aca="1" ref="K70" ca="1">INDIRECT(""&amp;$C70&amp;"!R"&amp;K$130&amp;"C"&amp;K$131,FALSE)</f>
        <v>3.370881315789473</v>
      </c>
      <c r="L70" s="101">
        <f ca="1">$K70*(1+INDEX(Methodology!$B$26:$E$31,MATCH($G70,Methodology!$B$26:$B$31,0),MATCH(M$5,Methodology!$B$26:$E$26,0)))</f>
        <v>4.0450575789473673</v>
      </c>
      <c r="M70" s="102">
        <f ca="1">$I70*(1+INDEX(Methodology!$B$26:$E$31,MATCH($G70,Methodology!$B$26:$B$31,0),MATCH(M$5,Methodology!$B$26:$E$26,0)))</f>
        <v>8.1992879999999992</v>
      </c>
      <c r="N70" s="99" cm="1">
        <f t="array" aca="1" ref="N70" ca="1">INDIRECT(""&amp;$C70&amp;"!R"&amp;N$130&amp;"C"&amp;N$131,FALSE)</f>
        <v>0.39374999999999999</v>
      </c>
      <c r="O70" s="99" cm="1">
        <f t="array" aca="1" ref="O70" ca="1">INDIRECT(""&amp;$C70&amp;"!R"&amp;O$130&amp;"C"&amp;O$131,FALSE)</f>
        <v>0.17519999999999999</v>
      </c>
      <c r="P70" s="100" cm="1">
        <f t="array" aca="1" ref="P70" ca="1">INDIRECT(""&amp;$C70&amp;"!R"&amp;P$130&amp;"C"&amp;P$131,FALSE)</f>
        <v>0.30436107126363282</v>
      </c>
      <c r="Q70" s="101">
        <f ca="1">$P70*(1+INDEX(Methodology!$B$26:$E$31,MATCH($G70,Methodology!$B$26:$B$31,0),MATCH(R$5,Methodology!$B$26:$E$26,0)))</f>
        <v>0.36523328551635936</v>
      </c>
      <c r="R70" s="102">
        <f ca="1">$N70*(1+INDEX(Methodology!$B$26:$E$31,MATCH($G70,Methodology!$B$26:$B$31,0),MATCH(R$5,Methodology!$B$26:$E$26,0)))</f>
        <v>0.47249999999999998</v>
      </c>
      <c r="S70" s="103"/>
      <c r="T70" s="107" cm="1">
        <f t="array" aca="1" ref="T70" ca="1">INDIRECT(""&amp;$C70&amp;"!R"&amp;T$130&amp;"C"&amp;T$131,FALSE)</f>
        <v>1.0669999999999999</v>
      </c>
      <c r="U70" s="108" cm="1">
        <f t="array" aca="1" ref="U70" ca="1">INDIRECT(""&amp;$C70&amp;"!R"&amp;U$130&amp;"C"&amp;U$131,FALSE)</f>
        <v>0.39262280701754387</v>
      </c>
      <c r="V70" s="107" cm="1">
        <f t="array" aca="1" ref="V70" ca="1">INDIRECT(""&amp;$C70&amp;"!R"&amp;V$130&amp;"C"&amp;V$131,FALSE)</f>
        <v>0.20395833333333335</v>
      </c>
      <c r="W70" s="109" cm="1">
        <f t="array" aca="1" ref="W70" ca="1">INDIRECT(""&amp;$C70&amp;"!R"&amp;W$130&amp;"C"&amp;W$131,FALSE)</f>
        <v>3.9972384885648339E-2</v>
      </c>
      <c r="X70" s="103"/>
      <c r="Y70" s="107">
        <f t="shared" ca="1" si="14"/>
        <v>11.07527090042888</v>
      </c>
      <c r="Z70" s="29" t="str">
        <f t="shared" ca="1" si="15"/>
        <v>kg/m²</v>
      </c>
      <c r="AA70" s="35" t="str" cm="1">
        <f t="array" aca="1" ref="AA70" ca="1">IF(INDIRECT(""&amp;$C70&amp;"!R"&amp;AA$130&amp;"C"&amp;AA$131,FALSE)=0,"",INDIRECT(""&amp;$C70&amp;"!R"&amp;AA$130&amp;"C"&amp;AA$131,FALSE))</f>
        <v xml:space="preserve">Important to consider board thickness. Recommended to use kg CO2e/kg EF when thickness and mass is known. </v>
      </c>
      <c r="AB70" s="36" t="str" cm="1">
        <f t="array" aca="1" ref="AB70" ca="1">IFERROR(IF(INDIRECT(""&amp;$C70&amp;"!R"&amp;AB$130&amp;"C"&amp;AB$131,FALSE)="Average (weighted)","Yes","No"),"")</f>
        <v>No</v>
      </c>
    </row>
    <row r="71" spans="1:28" ht="45" customHeight="1" x14ac:dyDescent="0.25">
      <c r="A71" s="17" t="s">
        <v>5554</v>
      </c>
      <c r="B71" s="17" t="s">
        <v>3374</v>
      </c>
      <c r="C71" s="16" t="s">
        <v>5559</v>
      </c>
      <c r="D71" s="31" t="str" cm="1">
        <f t="array" aca="1" ref="D71" ca="1">INDIRECT(""&amp;$C71&amp;"!R"&amp;D$130&amp;"C"&amp;D$131,FALSE)</f>
        <v xml:space="preserve">Used as a lay in suspended ceiling systems. Includes various ceiling tile types made from various materials including mineral wool, perlite, clay. </v>
      </c>
      <c r="E71" s="39" t="str">
        <f t="shared" ref="E71:E102" si="16">HYPERLINK("#"&amp;C71&amp;"!A1",C71)</f>
        <v>Ceiling_tile</v>
      </c>
      <c r="F71" s="14" t="str" cm="1">
        <f t="array" aca="1" ref="F71" ca="1">INDIRECT(""&amp;$C71&amp;"!R"&amp;F$130&amp;"C"&amp;F$131,FALSE)</f>
        <v>m²</v>
      </c>
      <c r="G71" s="14" t="str" cm="1">
        <f t="array" aca="1" ref="G71" ca="1">INDIRECT(""&amp;$C71&amp;"!R"&amp;G$130&amp;"C"&amp;G$131,FALSE)</f>
        <v>Tier 3</v>
      </c>
      <c r="H71" s="32">
        <f ca="1">INDEX(Methodology!$B$26:$D$31,MATCH('EF Table_detail'!$G71,Methodology!$B$26:$B$31,0),MATCH('EF Table_detail'!$H$5,Methodology!$B$26:$D$26,0))</f>
        <v>1.1000000000000001</v>
      </c>
      <c r="I71" s="98" cm="1">
        <f t="array" aca="1" ref="I71" ca="1">INDIRECT(""&amp;$C71&amp;"!R"&amp;I$130&amp;"C"&amp;I$131,FALSE)</f>
        <v>7.2316500000000001</v>
      </c>
      <c r="J71" s="99" cm="1">
        <f t="array" aca="1" ref="J71" ca="1">INDIRECT(""&amp;$C71&amp;"!R"&amp;J$130&amp;"C"&amp;J$131,FALSE)</f>
        <v>1.3035000000000005</v>
      </c>
      <c r="K71" s="100" cm="1">
        <f t="array" aca="1" ref="K71" ca="1">INDIRECT(""&amp;$C71&amp;"!R"&amp;K$130&amp;"C"&amp;K$131,FALSE)</f>
        <v>4.2801587017167382</v>
      </c>
      <c r="L71" s="101">
        <f ca="1">$K71*(1+INDEX(Methodology!$B$26:$E$31,MATCH($G71,Methodology!$B$26:$B$31,0),MATCH(M$5,Methodology!$B$26:$E$26,0)))</f>
        <v>4.7081745718884127</v>
      </c>
      <c r="M71" s="102">
        <f ca="1">$I71*(1+INDEX(Methodology!$B$26:$E$31,MATCH($G71,Methodology!$B$26:$B$31,0),MATCH(M$5,Methodology!$B$26:$E$26,0)))</f>
        <v>7.9548150000000009</v>
      </c>
      <c r="N71" s="99" cm="1">
        <f t="array" aca="1" ref="N71" ca="1">INDIRECT(""&amp;$C71&amp;"!R"&amp;N$130&amp;"C"&amp;N$131,FALSE)</f>
        <v>1.3095406032482599</v>
      </c>
      <c r="O71" s="99" cm="1">
        <f t="array" aca="1" ref="O71" ca="1">INDIRECT(""&amp;$C71&amp;"!R"&amp;O$130&amp;"C"&amp;O$131,FALSE)</f>
        <v>0.18154596100278542</v>
      </c>
      <c r="P71" s="100" cm="1">
        <f t="array" aca="1" ref="P71" ca="1">INDIRECT(""&amp;$C71&amp;"!R"&amp;P$130&amp;"C"&amp;P$131,FALSE)</f>
        <v>0.87459269403061035</v>
      </c>
      <c r="Q71" s="101">
        <f ca="1">$P71*(1+INDEX(Methodology!$B$26:$E$31,MATCH($G71,Methodology!$B$26:$B$31,0),MATCH(R$5,Methodology!$B$26:$E$26,0)))</f>
        <v>0.9620519634336715</v>
      </c>
      <c r="R71" s="102">
        <f ca="1">$N71*(1+INDEX(Methodology!$B$26:$E$31,MATCH($G71,Methodology!$B$26:$B$31,0),MATCH(R$5,Methodology!$B$26:$E$26,0)))</f>
        <v>1.440494663573086</v>
      </c>
      <c r="S71" s="103"/>
      <c r="T71" s="107" cm="1">
        <f t="array" aca="1" ref="T71" ca="1">INDIRECT(""&amp;$C71&amp;"!R"&amp;T$130&amp;"C"&amp;T$131,FALSE)</f>
        <v>0</v>
      </c>
      <c r="U71" s="108" cm="1">
        <f t="array" aca="1" ref="U71" ca="1">INDIRECT(""&amp;$C71&amp;"!R"&amp;U$130&amp;"C"&amp;U$131,FALSE)</f>
        <v>0</v>
      </c>
      <c r="V71" s="107" cm="1">
        <f t="array" aca="1" ref="V71" ca="1">INDIRECT(""&amp;$C71&amp;"!R"&amp;V$130&amp;"C"&amp;V$131,FALSE)</f>
        <v>0</v>
      </c>
      <c r="W71" s="109" cm="1">
        <f t="array" aca="1" ref="W71" ca="1">INDIRECT(""&amp;$C71&amp;"!R"&amp;W$130&amp;"C"&amp;W$131,FALSE)</f>
        <v>0</v>
      </c>
      <c r="X71" s="103"/>
      <c r="Y71" s="107">
        <f t="shared" ca="1" si="14"/>
        <v>4.8938880131634557</v>
      </c>
      <c r="Z71" s="29" t="str">
        <f t="shared" ca="1" si="15"/>
        <v>kg/m²</v>
      </c>
      <c r="AA71" s="35" t="str" cm="1">
        <f t="array" aca="1" ref="AA71" ca="1">IF(INDIRECT(""&amp;$C71&amp;"!R"&amp;AA$130&amp;"C"&amp;AA$131,FALSE)=0,"",INDIRECT(""&amp;$C71&amp;"!R"&amp;AA$130&amp;"C"&amp;AA$131,FALSE))</f>
        <v/>
      </c>
      <c r="AB71" s="36" t="str" cm="1">
        <f t="array" aca="1" ref="AB71" ca="1">IFERROR(IF(INDIRECT(""&amp;$C71&amp;"!R"&amp;AB$130&amp;"C"&amp;AB$131,FALSE)="Average (weighted)","Yes","No"),"")</f>
        <v>No</v>
      </c>
    </row>
    <row r="72" spans="1:28" ht="45" customHeight="1" x14ac:dyDescent="0.25">
      <c r="A72" s="17" t="s">
        <v>5554</v>
      </c>
      <c r="B72" s="9" t="s">
        <v>5560</v>
      </c>
      <c r="C72" s="16" t="s">
        <v>5561</v>
      </c>
      <c r="D72" s="31" t="str" cm="1">
        <f t="array" aca="1" ref="D72" ca="1">INDIRECT(""&amp;$C72&amp;"!R"&amp;D$130&amp;"C"&amp;D$131,FALSE)</f>
        <v>Particleboard for walling or ceiling purposes (i.e. finished wall panel including coating).</v>
      </c>
      <c r="E72" s="39" t="str">
        <f t="shared" si="16"/>
        <v>Eng_Timber_Decorative_Pb</v>
      </c>
      <c r="F72" s="14" t="str" cm="1">
        <f t="array" aca="1" ref="F72" ca="1">INDIRECT(""&amp;$C72&amp;"!R"&amp;F$130&amp;"C"&amp;F$131,FALSE)</f>
        <v>m³</v>
      </c>
      <c r="G72" s="14" t="str" cm="1">
        <f t="array" aca="1" ref="G72" ca="1">INDIRECT(""&amp;$C72&amp;"!R"&amp;G$130&amp;"C"&amp;G$131,FALSE)</f>
        <v>Tier 2</v>
      </c>
      <c r="H72" s="32">
        <f ca="1">INDEX(Methodology!$B$26:$D$31,MATCH('EF Table_detail'!$G72,Methodology!$B$26:$B$31,0),MATCH('EF Table_detail'!$H$5,Methodology!$B$26:$D$26,0))</f>
        <v>1.05</v>
      </c>
      <c r="I72" s="98" cm="1">
        <f t="array" aca="1" ref="I72" ca="1">INDIRECT(""&amp;$C72&amp;"!R"&amp;I$130&amp;"C"&amp;I$131,FALSE)</f>
        <v>631.15094962264152</v>
      </c>
      <c r="J72" s="99" cm="1">
        <f t="array" aca="1" ref="J72" ca="1">INDIRECT(""&amp;$C72&amp;"!R"&amp;J$130&amp;"C"&amp;J$131,FALSE)</f>
        <v>177.05854346574552</v>
      </c>
      <c r="K72" s="100" cm="1">
        <f t="array" aca="1" ref="K72" ca="1">INDIRECT(""&amp;$C72&amp;"!R"&amp;K$130&amp;"C"&amp;K$131,FALSE)</f>
        <v>432.58792264440677</v>
      </c>
      <c r="L72" s="101">
        <f ca="1">$K72*(1+INDEX(Methodology!$B$26:$E$31,MATCH($G72,Methodology!$B$26:$B$31,0),MATCH(M$5,Methodology!$B$26:$E$26,0)))</f>
        <v>454.21731877662711</v>
      </c>
      <c r="M72" s="102">
        <f ca="1">$I72*(1+INDEX(Methodology!$B$26:$E$31,MATCH($G72,Methodology!$B$26:$B$31,0),MATCH(M$5,Methodology!$B$26:$E$26,0)))</f>
        <v>662.70849710377365</v>
      </c>
      <c r="N72" s="99" cm="1">
        <f t="array" aca="1" ref="N72" ca="1">INDIRECT(""&amp;$C72&amp;"!R"&amp;N$130&amp;"C"&amp;N$131,FALSE)</f>
        <v>0.95923728813559317</v>
      </c>
      <c r="O72" s="99" cm="1">
        <f t="array" aca="1" ref="O72" ca="1">INDIRECT(""&amp;$C72&amp;"!R"&amp;O$130&amp;"C"&amp;O$131,FALSE)</f>
        <v>0.28557829591249306</v>
      </c>
      <c r="P72" s="100" cm="1">
        <f t="array" aca="1" ref="P72" ca="1">INDIRECT(""&amp;$C72&amp;"!R"&amp;P$130&amp;"C"&amp;P$131,FALSE)</f>
        <v>0.66191851210364627</v>
      </c>
      <c r="Q72" s="101">
        <f ca="1">$P72*(1+INDEX(Methodology!$B$26:$E$31,MATCH($G72,Methodology!$B$26:$B$31,0),MATCH(R$5,Methodology!$B$26:$E$26,0)))</f>
        <v>0.69501443770882865</v>
      </c>
      <c r="R72" s="102">
        <f ca="1">$N72*(1+INDEX(Methodology!$B$26:$E$31,MATCH($G72,Methodology!$B$26:$B$31,0),MATCH(R$5,Methodology!$B$26:$E$26,0)))</f>
        <v>1.0071991525423729</v>
      </c>
      <c r="S72" s="103"/>
      <c r="T72" s="107" cm="1">
        <f t="array" aca="1" ref="T72" ca="1">INDIRECT(""&amp;$C72&amp;"!R"&amp;T$130&amp;"C"&amp;T$131,FALSE)</f>
        <v>1113.2</v>
      </c>
      <c r="U72" s="108" cm="1">
        <f t="array" aca="1" ref="U72" ca="1">INDIRECT(""&amp;$C72&amp;"!R"&amp;U$130&amp;"C"&amp;U$131,FALSE)</f>
        <v>1079.1451608220068</v>
      </c>
      <c r="V72" s="107" cm="1">
        <f t="array" aca="1" ref="V72" ca="1">INDIRECT(""&amp;$C72&amp;"!R"&amp;V$130&amp;"C"&amp;V$131,FALSE)</f>
        <v>1.6866666666666668</v>
      </c>
      <c r="W72" s="109" cm="1">
        <f t="array" aca="1" ref="W72" ca="1">INDIRECT(""&amp;$C72&amp;"!R"&amp;W$130&amp;"C"&amp;W$131,FALSE)</f>
        <v>1.6671342394433182</v>
      </c>
      <c r="X72" s="103"/>
      <c r="Y72" s="107">
        <f t="shared" ca="1" si="14"/>
        <v>653.53652259943158</v>
      </c>
      <c r="Z72" s="29" t="str">
        <f t="shared" ca="1" si="15"/>
        <v>kg/m³</v>
      </c>
      <c r="AA72" s="35" t="str" cm="1">
        <f t="array" aca="1" ref="AA72" ca="1">IF(INDIRECT(""&amp;$C72&amp;"!R"&amp;AA$130&amp;"C"&amp;AA$131,FALSE)=0,"",INDIRECT(""&amp;$C72&amp;"!R"&amp;AA$130&amp;"C"&amp;AA$131,FALSE))</f>
        <v xml:space="preserve">The NABERS rating tool will only include carbon storage where a material will be expected to last more than 20 years within the building and where it has been sourced from a sustainable forest. </v>
      </c>
      <c r="AB72" s="36" t="str" cm="1">
        <f t="array" aca="1" ref="AB72" ca="1">IFERROR(IF(INDIRECT(""&amp;$C72&amp;"!R"&amp;AB$130&amp;"C"&amp;AB$131,FALSE)="Average (weighted)","Yes","No"),"")</f>
        <v>Yes</v>
      </c>
    </row>
    <row r="73" spans="1:28" ht="45" customHeight="1" x14ac:dyDescent="0.25">
      <c r="A73" s="17" t="s">
        <v>5554</v>
      </c>
      <c r="B73" s="9" t="s">
        <v>3883</v>
      </c>
      <c r="C73" s="16" t="s">
        <v>5512</v>
      </c>
      <c r="D73" s="31" t="str" cm="1">
        <f t="array" aca="1" ref="D73" ca="1">INDIRECT(""&amp;$C73&amp;"!R"&amp;D$130&amp;"C"&amp;D$131,FALSE)</f>
        <v>Medium density fibreboard (MDF) for decorative purposes (i.e. finished wall panel including coating).</v>
      </c>
      <c r="E73" s="39" t="str">
        <f t="shared" si="16"/>
        <v>Eng_Timber_MDF</v>
      </c>
      <c r="F73" s="14" t="str" cm="1">
        <f t="array" aca="1" ref="F73" ca="1">INDIRECT(""&amp;$C73&amp;"!R"&amp;F$130&amp;"C"&amp;F$131,FALSE)</f>
        <v>m³</v>
      </c>
      <c r="G73" s="14" t="str" cm="1">
        <f t="array" aca="1" ref="G73" ca="1">INDIRECT(""&amp;$C73&amp;"!R"&amp;G$130&amp;"C"&amp;G$131,FALSE)</f>
        <v>Tier 2</v>
      </c>
      <c r="H73" s="32">
        <f ca="1">INDEX(Methodology!$B$26:$D$31,MATCH('EF Table_detail'!$G73,Methodology!$B$26:$B$31,0),MATCH('EF Table_detail'!$H$5,Methodology!$B$26:$D$26,0))</f>
        <v>1.05</v>
      </c>
      <c r="I73" s="98" cm="1">
        <f t="array" aca="1" ref="I73" ca="1">INDIRECT(""&amp;$C73&amp;"!R"&amp;I$130&amp;"C"&amp;I$131,FALSE)</f>
        <v>1254.1817045454538</v>
      </c>
      <c r="J73" s="99" cm="1">
        <f t="array" aca="1" ref="J73" ca="1">INDIRECT(""&amp;$C73&amp;"!R"&amp;J$130&amp;"C"&amp;J$131,FALSE)</f>
        <v>525.92916666666667</v>
      </c>
      <c r="K73" s="100" cm="1">
        <f t="array" aca="1" ref="K73" ca="1">INDIRECT(""&amp;$C73&amp;"!R"&amp;K$130&amp;"C"&amp;K$131,FALSE)</f>
        <v>814.83092926189238</v>
      </c>
      <c r="L73" s="101">
        <f ca="1">$K73*(1+INDEX(Methodology!$B$26:$E$31,MATCH($G73,Methodology!$B$26:$B$31,0),MATCH(M$5,Methodology!$B$26:$E$26,0)))</f>
        <v>855.57247572498704</v>
      </c>
      <c r="M73" s="102">
        <f ca="1">$I73*(1+INDEX(Methodology!$B$26:$E$31,MATCH($G73,Methodology!$B$26:$B$31,0),MATCH(M$5,Methodology!$B$26:$E$26,0)))</f>
        <v>1316.8907897727265</v>
      </c>
      <c r="N73" s="99" cm="1">
        <f t="array" aca="1" ref="N73" ca="1">INDIRECT(""&amp;$C73&amp;"!R"&amp;N$130&amp;"C"&amp;N$131,FALSE)</f>
        <v>1.7419190340909083</v>
      </c>
      <c r="O73" s="99" cm="1">
        <f t="array" aca="1" ref="O73" ca="1">INDIRECT(""&amp;$C73&amp;"!R"&amp;O$130&amp;"C"&amp;O$131,FALSE)</f>
        <v>0.71360809588421525</v>
      </c>
      <c r="P73" s="100" cm="1">
        <f t="array" aca="1" ref="P73" ca="1">INDIRECT(""&amp;$C73&amp;"!R"&amp;P$130&amp;"C"&amp;P$131,FALSE)</f>
        <v>1.1293175241149223</v>
      </c>
      <c r="Q73" s="101">
        <f ca="1">$P73*(1+INDEX(Methodology!$B$26:$E$31,MATCH($G73,Methodology!$B$26:$B$31,0),MATCH(R$5,Methodology!$B$26:$E$26,0)))</f>
        <v>1.1857834003206684</v>
      </c>
      <c r="R73" s="102">
        <f ca="1">$N73*(1+INDEX(Methodology!$B$26:$E$31,MATCH($G73,Methodology!$B$26:$B$31,0),MATCH(R$5,Methodology!$B$26:$E$26,0)))</f>
        <v>1.8290149857954539</v>
      </c>
      <c r="S73" s="103"/>
      <c r="T73" s="107" cm="1">
        <f t="array" aca="1" ref="T73" ca="1">INDIRECT(""&amp;$C73&amp;"!R"&amp;T$130&amp;"C"&amp;T$131,FALSE)</f>
        <v>1227.5999999999997</v>
      </c>
      <c r="U73" s="108" cm="1">
        <f t="array" aca="1" ref="U73" ca="1">INDIRECT(""&amp;$C73&amp;"!R"&amp;U$130&amp;"C"&amp;U$131,FALSE)</f>
        <v>1232.1414855072464</v>
      </c>
      <c r="V73" s="107" cm="1">
        <f t="array" aca="1" ref="V73" ca="1">INDIRECT(""&amp;$C73&amp;"!R"&amp;V$130&amp;"C"&amp;V$131,FALSE)</f>
        <v>1.7049999999999996</v>
      </c>
      <c r="W73" s="109" cm="1">
        <f t="array" aca="1" ref="W73" ca="1">INDIRECT(""&amp;$C73&amp;"!R"&amp;W$130&amp;"C"&amp;W$131,FALSE)</f>
        <v>1.7022101449275362</v>
      </c>
      <c r="X73" s="103"/>
      <c r="Y73" s="107">
        <f t="shared" ca="1" si="14"/>
        <v>721.52509091763022</v>
      </c>
      <c r="Z73" s="29" t="str">
        <f t="shared" ca="1" si="15"/>
        <v>kg/m³</v>
      </c>
      <c r="AA73" s="35" t="str" cm="1">
        <f t="array" aca="1" ref="AA73" ca="1">IF(INDIRECT(""&amp;$C73&amp;"!R"&amp;AA$130&amp;"C"&amp;AA$131,FALSE)=0,"",INDIRECT(""&amp;$C73&amp;"!R"&amp;AA$130&amp;"C"&amp;AA$131,FALSE))</f>
        <v xml:space="preserve">The NABERS rating tool will only include carbon storage where a material will be expected to last more than 20 years within the building and where it has been sourced from a sustainable forest. </v>
      </c>
      <c r="AB73" s="36" t="str" cm="1">
        <f t="array" aca="1" ref="AB73" ca="1">IFERROR(IF(INDIRECT(""&amp;$C73&amp;"!R"&amp;AB$130&amp;"C"&amp;AB$131,FALSE)="Average (weighted)","Yes","No"),"")</f>
        <v>Yes</v>
      </c>
    </row>
    <row r="74" spans="1:28" ht="45" customHeight="1" x14ac:dyDescent="0.25">
      <c r="A74" s="17" t="s">
        <v>5554</v>
      </c>
      <c r="B74" s="9" t="s">
        <v>5562</v>
      </c>
      <c r="C74" s="14" t="s">
        <v>5534</v>
      </c>
      <c r="D74" s="31" t="str" cm="1">
        <f t="array" aca="1" ref="D74" ca="1">INDIRECT(""&amp;$C74&amp;"!R"&amp;D$130&amp;"C"&amp;D$131,FALSE)</f>
        <v>Board made from fibre cement including compressed sheet, flooring, cladding, lining and roofing boards. Thickness from 4 mm to 22 mm.</v>
      </c>
      <c r="E74" s="39" t="str">
        <f t="shared" si="16"/>
        <v>Fibre_Cement</v>
      </c>
      <c r="F74" s="14" t="str" cm="1">
        <f t="array" aca="1" ref="F74" ca="1">INDIRECT(""&amp;$C74&amp;"!R"&amp;F$130&amp;"C"&amp;F$131,FALSE)</f>
        <v>m²</v>
      </c>
      <c r="G74" s="14" t="str" cm="1">
        <f t="array" aca="1" ref="G74" ca="1">INDIRECT(""&amp;$C74&amp;"!R"&amp;G$130&amp;"C"&amp;G$131,FALSE)</f>
        <v>Tier 2</v>
      </c>
      <c r="H74" s="32">
        <f ca="1">INDEX(Methodology!$B$26:$D$31,MATCH('EF Table_detail'!$G74,Methodology!$B$26:$B$31,0),MATCH('EF Table_detail'!$H$5,Methodology!$B$26:$D$26,0))</f>
        <v>1.05</v>
      </c>
      <c r="I74" s="98" cm="1">
        <f t="array" aca="1" ref="I74" ca="1">INDIRECT(""&amp;$C74&amp;"!R"&amp;I$130&amp;"C"&amp;I$131,FALSE)</f>
        <v>45.9</v>
      </c>
      <c r="J74" s="99" cm="1">
        <f t="array" aca="1" ref="J74" ca="1">INDIRECT(""&amp;$C74&amp;"!R"&amp;J$130&amp;"C"&amp;J$131,FALSE)</f>
        <v>4.5</v>
      </c>
      <c r="K74" s="100" cm="1">
        <f t="array" aca="1" ref="K74" ca="1">INDIRECT(""&amp;$C74&amp;"!R"&amp;K$130&amp;"C"&amp;K$131,FALSE)</f>
        <v>12.552791365384612</v>
      </c>
      <c r="L74" s="101">
        <f ca="1">$K74*(1+INDEX(Methodology!$B$26:$E$31,MATCH($G74,Methodology!$B$26:$B$31,0),MATCH(M$5,Methodology!$B$26:$E$26,0)))</f>
        <v>13.180430933653843</v>
      </c>
      <c r="M74" s="102">
        <f ca="1">$I74*(1+INDEX(Methodology!$B$26:$E$31,MATCH($G74,Methodology!$B$26:$B$31,0),MATCH(M$5,Methodology!$B$26:$E$26,0)))</f>
        <v>48.195</v>
      </c>
      <c r="N74" s="99" cm="1">
        <f t="array" aca="1" ref="N74" ca="1">INDIRECT(""&amp;$C74&amp;"!R"&amp;N$130&amp;"C"&amp;N$131,FALSE)</f>
        <v>1.3237797062469794</v>
      </c>
      <c r="O74" s="99" cm="1">
        <f t="array" aca="1" ref="O74" ca="1">INDIRECT(""&amp;$C74&amp;"!R"&amp;O$130&amp;"C"&amp;O$131,FALSE)</f>
        <v>0.30722992282728107</v>
      </c>
      <c r="P74" s="100" cm="1">
        <f t="array" aca="1" ref="P74" ca="1">INDIRECT(""&amp;$C74&amp;"!R"&amp;P$130&amp;"C"&amp;P$131,FALSE)</f>
        <v>0.88234625259968424</v>
      </c>
      <c r="Q74" s="101">
        <f ca="1">$P74*(1+INDEX(Methodology!$B$26:$E$31,MATCH($G74,Methodology!$B$26:$B$31,0),MATCH(R$5,Methodology!$B$26:$E$26,0)))</f>
        <v>0.92646356522966855</v>
      </c>
      <c r="R74" s="102">
        <f ca="1">$N74*(1+INDEX(Methodology!$B$26:$E$31,MATCH($G74,Methodology!$B$26:$B$31,0),MATCH(R$5,Methodology!$B$26:$E$26,0)))</f>
        <v>1.3899686915593283</v>
      </c>
      <c r="S74" s="103"/>
      <c r="T74" s="107" cm="1">
        <f t="array" aca="1" ref="T74" ca="1">INDIRECT(""&amp;$C74&amp;"!R"&amp;T$130&amp;"C"&amp;T$131,FALSE)</f>
        <v>4.4999999999999998E-2</v>
      </c>
      <c r="U74" s="108" cm="1">
        <f t="array" aca="1" ref="U74" ca="1">INDIRECT(""&amp;$C74&amp;"!R"&amp;U$130&amp;"C"&amp;U$131,FALSE)</f>
        <v>2.5096153846153844E-2</v>
      </c>
      <c r="V74" s="107" cm="1">
        <f t="array" aca="1" ref="V74" ca="1">INDIRECT(""&amp;$C74&amp;"!R"&amp;V$130&amp;"C"&amp;V$131,FALSE)</f>
        <v>8.3333333333333332E-3</v>
      </c>
      <c r="W74" s="109" cm="1">
        <f t="array" aca="1" ref="W74" ca="1">INDIRECT(""&amp;$C74&amp;"!R"&amp;W$130&amp;"C"&amp;W$131,FALSE)</f>
        <v>2.1621040967168626E-3</v>
      </c>
      <c r="X74" s="103"/>
      <c r="Y74" s="107">
        <f t="shared" ca="1" si="14"/>
        <v>14.226604723939079</v>
      </c>
      <c r="Z74" s="29" t="str">
        <f t="shared" ca="1" si="15"/>
        <v>kg/m²</v>
      </c>
      <c r="AA74" s="35" t="str" cm="1">
        <f t="array" aca="1" ref="AA74" ca="1">IF(INDIRECT(""&amp;$C74&amp;"!R"&amp;AA$130&amp;"C"&amp;AA$131,FALSE)=0,"",INDIRECT(""&amp;$C74&amp;"!R"&amp;AA$130&amp;"C"&amp;AA$131,FALSE))</f>
        <v xml:space="preserve">Important to consider in the context of board thickness and size of sheet not cladding area (shape of sheet overlapping (i.e. when cladding) means area of sheet is more than area to be clad). Recommended to use kg CO2e/kg EF when thickness and mass is known. </v>
      </c>
      <c r="AB74" s="36" t="str" cm="1">
        <f t="array" aca="1" ref="AB74" ca="1">IFERROR(IF(INDIRECT(""&amp;$C74&amp;"!R"&amp;AB$130&amp;"C"&amp;AB$131,FALSE)="Average (weighted)","Yes","No"),"")</f>
        <v>No</v>
      </c>
    </row>
    <row r="75" spans="1:28" ht="45" customHeight="1" x14ac:dyDescent="0.25">
      <c r="A75" s="17" t="s">
        <v>5554</v>
      </c>
      <c r="B75" s="9" t="s">
        <v>3628</v>
      </c>
      <c r="C75" s="14" t="s">
        <v>3628</v>
      </c>
      <c r="D75" s="31" t="str" cm="1">
        <f t="array" aca="1" ref="D75" ca="1">INDIRECT(""&amp;$C75&amp;"!R"&amp;D$130&amp;"C"&amp;D$131,FALSE)</f>
        <v>Glass used in windows, doors, curtain wall purposes. Including single, double and triple glazing units.</v>
      </c>
      <c r="E75" s="39" t="str">
        <f t="shared" si="16"/>
        <v>Glass</v>
      </c>
      <c r="F75" s="14" t="str" cm="1">
        <f t="array" aca="1" ref="F75" ca="1">INDIRECT(""&amp;$C75&amp;"!R"&amp;F$130&amp;"C"&amp;F$131,FALSE)</f>
        <v>kg</v>
      </c>
      <c r="G75" s="14" t="str" cm="1">
        <f t="array" aca="1" ref="G75" ca="1">INDIRECT(""&amp;$C75&amp;"!R"&amp;G$130&amp;"C"&amp;G$131,FALSE)</f>
        <v>Tier 4</v>
      </c>
      <c r="H75" s="32">
        <f ca="1">INDEX(Methodology!$B$26:$D$31,MATCH('EF Table_detail'!$G75,Methodology!$B$26:$B$31,0),MATCH('EF Table_detail'!$H$5,Methodology!$B$26:$D$26,0))</f>
        <v>1.2</v>
      </c>
      <c r="I75" s="98" cm="1">
        <f t="array" aca="1" ref="I75" ca="1">INDIRECT(""&amp;$C75&amp;"!R"&amp;I$130&amp;"C"&amp;I$131,FALSE)</f>
        <v>1.9807692307692308</v>
      </c>
      <c r="J75" s="99" cm="1">
        <f t="array" aca="1" ref="J75" ca="1">INDIRECT(""&amp;$C75&amp;"!R"&amp;J$130&amp;"C"&amp;J$131,FALSE)</f>
        <v>1.1000000000000001</v>
      </c>
      <c r="K75" s="100" cm="1">
        <f t="array" aca="1" ref="K75" ca="1">INDIRECT(""&amp;$C75&amp;"!R"&amp;K$130&amp;"C"&amp;K$131,FALSE)</f>
        <v>1.6598576059412267</v>
      </c>
      <c r="L75" s="101">
        <f ca="1">$K75*(1+INDEX(Methodology!$B$26:$E$31,MATCH($G75,Methodology!$B$26:$B$31,0),MATCH(M$5,Methodology!$B$26:$E$26,0)))</f>
        <v>1.9918291271294719</v>
      </c>
      <c r="M75" s="102">
        <f ca="1">$I75*(1+INDEX(Methodology!$B$26:$E$31,MATCH($G75,Methodology!$B$26:$B$31,0),MATCH(M$5,Methodology!$B$26:$E$26,0)))</f>
        <v>2.3769230769230769</v>
      </c>
      <c r="N75" s="99" cm="1">
        <f t="array" aca="1" ref="N75" ca="1">INDIRECT(""&amp;$C75&amp;"!R"&amp;N$130&amp;"C"&amp;N$131,FALSE)</f>
        <v>1.9807692307692308</v>
      </c>
      <c r="O75" s="99" cm="1">
        <f t="array" aca="1" ref="O75" ca="1">INDIRECT(""&amp;$C75&amp;"!R"&amp;O$130&amp;"C"&amp;O$131,FALSE)</f>
        <v>1.1000000000000001</v>
      </c>
      <c r="P75" s="100" cm="1">
        <f t="array" aca="1" ref="P75" ca="1">INDIRECT(""&amp;$C75&amp;"!R"&amp;P$130&amp;"C"&amp;P$131,FALSE)</f>
        <v>1.6598576059412267</v>
      </c>
      <c r="Q75" s="101">
        <f ca="1">$P75*(1+INDEX(Methodology!$B$26:$E$31,MATCH($G75,Methodology!$B$26:$B$31,0),MATCH(R$5,Methodology!$B$26:$E$26,0)))</f>
        <v>1.9918291271294719</v>
      </c>
      <c r="R75" s="102">
        <f ca="1">$N75*(1+INDEX(Methodology!$B$26:$E$31,MATCH($G75,Methodology!$B$26:$B$31,0),MATCH(R$5,Methodology!$B$26:$E$26,0)))</f>
        <v>2.3769230769230769</v>
      </c>
      <c r="S75" s="103"/>
      <c r="T75" s="107" cm="1">
        <f t="array" aca="1" ref="T75" ca="1">INDIRECT(""&amp;$C75&amp;"!R"&amp;T$130&amp;"C"&amp;T$131,FALSE)</f>
        <v>0</v>
      </c>
      <c r="U75" s="108" cm="1">
        <f t="array" aca="1" ref="U75" ca="1">INDIRECT(""&amp;$C75&amp;"!R"&amp;U$130&amp;"C"&amp;U$131,FALSE)</f>
        <v>0</v>
      </c>
      <c r="V75" s="107" cm="1">
        <f t="array" aca="1" ref="V75" ca="1">INDIRECT(""&amp;$C75&amp;"!R"&amp;V$130&amp;"C"&amp;V$131,FALSE)</f>
        <v>0</v>
      </c>
      <c r="W75" s="109" cm="1">
        <f t="array" aca="1" ref="W75" ca="1">INDIRECT(""&amp;$C75&amp;"!R"&amp;W$130&amp;"C"&amp;W$131,FALSE)</f>
        <v>0</v>
      </c>
      <c r="X75" s="103"/>
      <c r="Y75" s="107">
        <f t="shared" ca="1" si="14"/>
        <v>1</v>
      </c>
      <c r="Z75" s="29" t="str">
        <f t="shared" ca="1" si="15"/>
        <v>kg/kg</v>
      </c>
      <c r="AA75" s="35" t="str" cm="1">
        <f t="array" aca="1" ref="AA75" ca="1">IF(INDIRECT(""&amp;$C75&amp;"!R"&amp;AA$130&amp;"C"&amp;AA$131,FALSE)=0,"",INDIRECT(""&amp;$C75&amp;"!R"&amp;AA$130&amp;"C"&amp;AA$131,FALSE))</f>
        <v/>
      </c>
      <c r="AB75" s="36" t="str" cm="1">
        <f t="array" aca="1" ref="AB75" ca="1">IFERROR(IF(INDIRECT(""&amp;$C75&amp;"!R"&amp;AB$130&amp;"C"&amp;AB$131,FALSE)="Average (weighted)","Yes","No"),"")</f>
        <v>No</v>
      </c>
    </row>
    <row r="76" spans="1:28" ht="45" customHeight="1" x14ac:dyDescent="0.25">
      <c r="A76" s="17" t="s">
        <v>5563</v>
      </c>
      <c r="B76" s="17" t="s">
        <v>5564</v>
      </c>
      <c r="C76" s="16" t="s">
        <v>5481</v>
      </c>
      <c r="D76" s="31" t="str" cm="1">
        <f t="array" aca="1" ref="D76" ca="1">INDIRECT(""&amp;$C76&amp;"!R"&amp;D$130&amp;"C"&amp;D$131,FALSE)</f>
        <v>Concrete brick, block and roof tiles i.e. cinder block or concrete finishing brick/tile used in masonry. Not including any core fill material or reinforcing.</v>
      </c>
      <c r="E76" s="39" t="str">
        <f t="shared" si="16"/>
        <v>Concrete_bricks</v>
      </c>
      <c r="F76" s="14" t="str" cm="1">
        <f t="array" aca="1" ref="F76" ca="1">INDIRECT(""&amp;$C76&amp;"!R"&amp;F$130&amp;"C"&amp;F$131,FALSE)</f>
        <v>tonne</v>
      </c>
      <c r="G76" s="14" t="str" cm="1">
        <f t="array" aca="1" ref="G76" ca="1">INDIRECT(""&amp;$C76&amp;"!R"&amp;G$130&amp;"C"&amp;G$131,FALSE)</f>
        <v>Tier 3</v>
      </c>
      <c r="H76" s="32">
        <f ca="1">INDEX(Methodology!$B$26:$D$31,MATCH('EF Table_detail'!$G76,Methodology!$B$26:$B$31,0),MATCH('EF Table_detail'!$H$5,Methodology!$B$26:$D$26,0))</f>
        <v>1.1000000000000001</v>
      </c>
      <c r="I76" s="98" cm="1">
        <f t="array" aca="1" ref="I76" ca="1">INDIRECT(""&amp;$C76&amp;"!R"&amp;I$130&amp;"C"&amp;I$131,FALSE)</f>
        <v>240.39</v>
      </c>
      <c r="J76" s="99" cm="1">
        <f t="array" aca="1" ref="J76" ca="1">INDIRECT(""&amp;$C76&amp;"!R"&amp;J$130&amp;"C"&amp;J$131,FALSE)</f>
        <v>111.67</v>
      </c>
      <c r="K76" s="100" cm="1">
        <f t="array" aca="1" ref="K76" ca="1">INDIRECT(""&amp;$C76&amp;"!R"&amp;K$130&amp;"C"&amp;K$131,FALSE)</f>
        <v>158.68923076923076</v>
      </c>
      <c r="L76" s="101">
        <f ca="1">$K76*(1+INDEX(Methodology!$B$26:$E$31,MATCH($G76,Methodology!$B$26:$B$31,0),MATCH(M$5,Methodology!$B$26:$E$26,0)))</f>
        <v>174.55815384615386</v>
      </c>
      <c r="M76" s="102">
        <f ca="1">$I76*(1+INDEX(Methodology!$B$26:$E$31,MATCH($G76,Methodology!$B$26:$B$31,0),MATCH(M$5,Methodology!$B$26:$E$26,0)))</f>
        <v>264.42900000000003</v>
      </c>
      <c r="N76" s="99" cm="1">
        <f t="array" aca="1" ref="N76" ca="1">INDIRECT(""&amp;$C76&amp;"!R"&amp;N$130&amp;"C"&amp;N$131,FALSE)</f>
        <v>0.24038999999999999</v>
      </c>
      <c r="O76" s="99" cm="1">
        <f t="array" aca="1" ref="O76" ca="1">INDIRECT(""&amp;$C76&amp;"!R"&amp;O$130&amp;"C"&amp;O$131,FALSE)</f>
        <v>0.11167000000000001</v>
      </c>
      <c r="P76" s="100" cm="1">
        <f t="array" aca="1" ref="P76" ca="1">INDIRECT(""&amp;$C76&amp;"!R"&amp;P$130&amp;"C"&amp;P$131,FALSE)</f>
        <v>0.1586892307692308</v>
      </c>
      <c r="Q76" s="101">
        <f ca="1">$P76*(1+INDEX(Methodology!$B$26:$E$31,MATCH($G76,Methodology!$B$26:$B$31,0),MATCH(R$5,Methodology!$B$26:$E$26,0)))</f>
        <v>0.17455815384615389</v>
      </c>
      <c r="R76" s="102">
        <f ca="1">$N76*(1+INDEX(Methodology!$B$26:$E$31,MATCH($G76,Methodology!$B$26:$B$31,0),MATCH(R$5,Methodology!$B$26:$E$26,0)))</f>
        <v>0.26442900000000003</v>
      </c>
      <c r="S76" s="103"/>
      <c r="T76" s="107" cm="1">
        <f t="array" aca="1" ref="T76" ca="1">INDIRECT(""&amp;$C76&amp;"!R"&amp;T$130&amp;"C"&amp;T$131,FALSE)</f>
        <v>0</v>
      </c>
      <c r="U76" s="108" cm="1">
        <f t="array" aca="1" ref="U76" ca="1">INDIRECT(""&amp;$C76&amp;"!R"&amp;U$130&amp;"C"&amp;U$131,FALSE)</f>
        <v>0</v>
      </c>
      <c r="V76" s="107" cm="1">
        <f t="array" aca="1" ref="V76" ca="1">INDIRECT(""&amp;$C76&amp;"!R"&amp;V$130&amp;"C"&amp;V$131,FALSE)</f>
        <v>0</v>
      </c>
      <c r="W76" s="109" cm="1">
        <f t="array" aca="1" ref="W76" ca="1">INDIRECT(""&amp;$C76&amp;"!R"&amp;W$130&amp;"C"&amp;W$131,FALSE)</f>
        <v>0</v>
      </c>
      <c r="X76" s="103"/>
      <c r="Y76" s="107">
        <f t="shared" ca="1" si="12"/>
        <v>999.99999999999977</v>
      </c>
      <c r="Z76" s="29" t="str">
        <f t="shared" ca="1" si="13"/>
        <v>kg/tonne</v>
      </c>
      <c r="AA76" s="35" t="str" cm="1">
        <f t="array" aca="1" ref="AA76" ca="1">IF(INDIRECT(""&amp;$C76&amp;"!R"&amp;AA$130&amp;"C"&amp;AA$131,FALSE)=0,"",INDIRECT(""&amp;$C76&amp;"!R"&amp;AA$130&amp;"C"&amp;AA$131,FALSE))</f>
        <v>Not including any core fill material or reinforcing.</v>
      </c>
      <c r="AB76" s="36" t="str" cm="1">
        <f t="array" aca="1" ref="AB76" ca="1">IFERROR(IF(INDIRECT(""&amp;$C76&amp;"!R"&amp;AB$130&amp;"C"&amp;AB$131,FALSE)="Average (weighted)","Yes","No"),"")</f>
        <v>No</v>
      </c>
    </row>
    <row r="77" spans="1:28" ht="45" customHeight="1" x14ac:dyDescent="0.25">
      <c r="A77" s="17" t="s">
        <v>5563</v>
      </c>
      <c r="B77" s="17" t="s">
        <v>5565</v>
      </c>
      <c r="C77" s="16" t="s">
        <v>5566</v>
      </c>
      <c r="D77" s="31" t="str" cm="1">
        <f t="array" aca="1" ref="D77" ca="1">INDIRECT(""&amp;$C77&amp;"!R"&amp;D$130&amp;"C"&amp;D$131,FALSE)</f>
        <v>Ceramic tiles (wall and floor) and pavers including porcelain tiles.</v>
      </c>
      <c r="E77" s="39" t="str">
        <f t="shared" si="16"/>
        <v>Pavers_ceramic</v>
      </c>
      <c r="F77" s="14" t="str" cm="1">
        <f t="array" aca="1" ref="F77" ca="1">INDIRECT(""&amp;$C77&amp;"!R"&amp;F$130&amp;"C"&amp;F$131,FALSE)</f>
        <v>kg</v>
      </c>
      <c r="G77" s="14" t="str" cm="1">
        <f t="array" aca="1" ref="G77" ca="1">INDIRECT(""&amp;$C77&amp;"!R"&amp;G$130&amp;"C"&amp;G$131,FALSE)</f>
        <v>Tier 4</v>
      </c>
      <c r="H77" s="32">
        <f ca="1">INDEX(Methodology!$B$26:$D$31,MATCH('EF Table_detail'!$G77,Methodology!$B$26:$B$31,0),MATCH('EF Table_detail'!$H$5,Methodology!$B$26:$D$26,0))</f>
        <v>1.2</v>
      </c>
      <c r="I77" s="98" cm="1">
        <f t="array" aca="1" ref="I77" ca="1">INDIRECT(""&amp;$C77&amp;"!R"&amp;I$130&amp;"C"&amp;I$131,FALSE)</f>
        <v>0.81991020408163273</v>
      </c>
      <c r="J77" s="99" cm="1">
        <f t="array" aca="1" ref="J77" ca="1">INDIRECT(""&amp;$C77&amp;"!R"&amp;J$130&amp;"C"&amp;J$131,FALSE)</f>
        <v>0.30824699999999999</v>
      </c>
      <c r="K77" s="100" cm="1">
        <f t="array" aca="1" ref="K77" ca="1">INDIRECT(""&amp;$C77&amp;"!R"&amp;K$130&amp;"C"&amp;K$131,FALSE)</f>
        <v>0.54785209093012899</v>
      </c>
      <c r="L77" s="101">
        <f ca="1">$K77*(1+INDEX(Methodology!$B$26:$E$31,MATCH($G77,Methodology!$B$26:$B$31,0),MATCH(M$5,Methodology!$B$26:$E$26,0)))</f>
        <v>0.65742250911615474</v>
      </c>
      <c r="M77" s="102">
        <f ca="1">$I77*(1+INDEX(Methodology!$B$26:$E$31,MATCH($G77,Methodology!$B$26:$B$31,0),MATCH(M$5,Methodology!$B$26:$E$26,0)))</f>
        <v>0.98389224489795923</v>
      </c>
      <c r="N77" s="99" cm="1">
        <f t="array" aca="1" ref="N77" ca="1">INDIRECT(""&amp;$C77&amp;"!R"&amp;N$130&amp;"C"&amp;N$131,FALSE)</f>
        <v>0.81991020408163273</v>
      </c>
      <c r="O77" s="99" cm="1">
        <f t="array" aca="1" ref="O77" ca="1">INDIRECT(""&amp;$C77&amp;"!R"&amp;O$130&amp;"C"&amp;O$131,FALSE)</f>
        <v>0.30824699999999999</v>
      </c>
      <c r="P77" s="100" cm="1">
        <f t="array" aca="1" ref="P77" ca="1">INDIRECT(""&amp;$C77&amp;"!R"&amp;P$130&amp;"C"&amp;P$131,FALSE)</f>
        <v>0.54785209093012899</v>
      </c>
      <c r="Q77" s="101">
        <f ca="1">$P77*(1+INDEX(Methodology!$B$26:$E$31,MATCH($G77,Methodology!$B$26:$B$31,0),MATCH(R$5,Methodology!$B$26:$E$26,0)))</f>
        <v>0.65742250911615474</v>
      </c>
      <c r="R77" s="102">
        <f ca="1">$N77*(1+INDEX(Methodology!$B$26:$E$31,MATCH($G77,Methodology!$B$26:$B$31,0),MATCH(R$5,Methodology!$B$26:$E$26,0)))</f>
        <v>0.98389224489795923</v>
      </c>
      <c r="S77" s="103"/>
      <c r="T77" s="107" cm="1">
        <f t="array" aca="1" ref="T77" ca="1">INDIRECT(""&amp;$C77&amp;"!R"&amp;T$130&amp;"C"&amp;T$131,FALSE)</f>
        <v>0</v>
      </c>
      <c r="U77" s="108" cm="1">
        <f t="array" aca="1" ref="U77" ca="1">INDIRECT(""&amp;$C77&amp;"!R"&amp;U$130&amp;"C"&amp;U$131,FALSE)</f>
        <v>0</v>
      </c>
      <c r="V77" s="107" cm="1">
        <f t="array" aca="1" ref="V77" ca="1">INDIRECT(""&amp;$C77&amp;"!R"&amp;V$130&amp;"C"&amp;V$131,FALSE)</f>
        <v>0</v>
      </c>
      <c r="W77" s="109" cm="1">
        <f t="array" aca="1" ref="W77" ca="1">INDIRECT(""&amp;$C77&amp;"!R"&amp;W$130&amp;"C"&amp;W$131,FALSE)</f>
        <v>0</v>
      </c>
      <c r="X77" s="103"/>
      <c r="Y77" s="107">
        <f t="shared" ca="1" si="12"/>
        <v>1</v>
      </c>
      <c r="Z77" s="29" t="str">
        <f t="shared" ca="1" si="13"/>
        <v>kg/kg</v>
      </c>
      <c r="AA77" s="35" t="str" cm="1">
        <f t="array" aca="1" ref="AA77" ca="1">IF(INDIRECT(""&amp;$C77&amp;"!R"&amp;AA$130&amp;"C"&amp;AA$131,FALSE)=0,"",INDIRECT(""&amp;$C77&amp;"!R"&amp;AA$130&amp;"C"&amp;AA$131,FALSE))</f>
        <v/>
      </c>
      <c r="AB77" s="36" t="str" cm="1">
        <f t="array" aca="1" ref="AB77" ca="1">IFERROR(IF(INDIRECT(""&amp;$C77&amp;"!R"&amp;AB$130&amp;"C"&amp;AB$131,FALSE)="Average (weighted)","Yes","No"),"")</f>
        <v>No</v>
      </c>
    </row>
    <row r="78" spans="1:28" ht="45" customHeight="1" x14ac:dyDescent="0.25">
      <c r="A78" s="17" t="s">
        <v>5563</v>
      </c>
      <c r="B78" s="17" t="s">
        <v>5567</v>
      </c>
      <c r="C78" s="16" t="s">
        <v>5516</v>
      </c>
      <c r="D78" s="31" t="str" cm="1">
        <f t="array" aca="1" ref="D78" ca="1">INDIRECT(""&amp;$C78&amp;"!R"&amp;D$130&amp;"C"&amp;D$131,FALSE)</f>
        <v>Stone tiles (wall and floor) and pavers including porcelain tiles, represented by granite and limestone quarry operations and surface preparation with stabilisation as needed.</v>
      </c>
      <c r="E78" s="39" t="str">
        <f t="shared" si="16"/>
        <v>Pavers_Stone</v>
      </c>
      <c r="F78" s="14" t="str" cm="1">
        <f t="array" aca="1" ref="F78" ca="1">INDIRECT(""&amp;$C78&amp;"!R"&amp;F$130&amp;"C"&amp;F$131,FALSE)</f>
        <v>tonne</v>
      </c>
      <c r="G78" s="14" t="str" cm="1">
        <f t="array" aca="1" ref="G78" ca="1">INDIRECT(""&amp;$C78&amp;"!R"&amp;G$130&amp;"C"&amp;G$131,FALSE)</f>
        <v>Tier 4</v>
      </c>
      <c r="H78" s="32">
        <f ca="1">INDEX(Methodology!$B$26:$D$31,MATCH('EF Table_detail'!$G78,Methodology!$B$26:$B$31,0),MATCH('EF Table_detail'!$H$5,Methodology!$B$26:$D$26,0))</f>
        <v>1.2</v>
      </c>
      <c r="I78" s="98" cm="1">
        <f t="array" aca="1" ref="I78" ca="1">INDIRECT(""&amp;$C78&amp;"!R"&amp;I$130&amp;"C"&amp;I$131,FALSE)</f>
        <v>451.85185185185185</v>
      </c>
      <c r="J78" s="99" cm="1">
        <f t="array" aca="1" ref="J78" ca="1">INDIRECT(""&amp;$C78&amp;"!R"&amp;J$130&amp;"C"&amp;J$131,FALSE)</f>
        <v>67.104439999999997</v>
      </c>
      <c r="K78" s="100" cm="1">
        <f t="array" aca="1" ref="K78" ca="1">INDIRECT(""&amp;$C78&amp;"!R"&amp;K$130&amp;"C"&amp;K$131,FALSE)</f>
        <v>238.98309387205384</v>
      </c>
      <c r="L78" s="101">
        <f ca="1">$K78*(1+INDEX(Methodology!$B$26:$E$31,MATCH($G78,Methodology!$B$26:$B$31,0),MATCH(M$5,Methodology!$B$26:$E$26,0)))</f>
        <v>286.77971264646459</v>
      </c>
      <c r="M78" s="102">
        <f ca="1">$I78*(1+INDEX(Methodology!$B$26:$E$31,MATCH($G78,Methodology!$B$26:$B$31,0),MATCH(M$5,Methodology!$B$26:$E$26,0)))</f>
        <v>542.22222222222217</v>
      </c>
      <c r="N78" s="99" cm="1">
        <f t="array" aca="1" ref="N78" ca="1">INDIRECT(""&amp;$C78&amp;"!R"&amp;N$130&amp;"C"&amp;N$131,FALSE)</f>
        <v>0.45185185185185184</v>
      </c>
      <c r="O78" s="99" cm="1">
        <f t="array" aca="1" ref="O78" ca="1">INDIRECT(""&amp;$C78&amp;"!R"&amp;O$130&amp;"C"&amp;O$131,FALSE)</f>
        <v>6.7104439999999987E-2</v>
      </c>
      <c r="P78" s="100" cm="1">
        <f t="array" aca="1" ref="P78" ca="1">INDIRECT(""&amp;$C78&amp;"!R"&amp;P$130&amp;"C"&amp;P$131,FALSE)</f>
        <v>0.23898309387205385</v>
      </c>
      <c r="Q78" s="101">
        <f ca="1">$P78*(1+INDEX(Methodology!$B$26:$E$31,MATCH($G78,Methodology!$B$26:$B$31,0),MATCH(R$5,Methodology!$B$26:$E$26,0)))</f>
        <v>0.28677971264646462</v>
      </c>
      <c r="R78" s="102">
        <f ca="1">$N78*(1+INDEX(Methodology!$B$26:$E$31,MATCH($G78,Methodology!$B$26:$B$31,0),MATCH(R$5,Methodology!$B$26:$E$26,0)))</f>
        <v>0.54222222222222216</v>
      </c>
      <c r="S78" s="103"/>
      <c r="T78" s="107" cm="1">
        <f t="array" aca="1" ref="T78" ca="1">INDIRECT(""&amp;$C78&amp;"!R"&amp;T$130&amp;"C"&amp;T$131,FALSE)</f>
        <v>0</v>
      </c>
      <c r="U78" s="108" cm="1">
        <f t="array" aca="1" ref="U78" ca="1">INDIRECT(""&amp;$C78&amp;"!R"&amp;U$130&amp;"C"&amp;U$131,FALSE)</f>
        <v>0</v>
      </c>
      <c r="V78" s="107" cm="1">
        <f t="array" aca="1" ref="V78" ca="1">INDIRECT(""&amp;$C78&amp;"!R"&amp;V$130&amp;"C"&amp;V$131,FALSE)</f>
        <v>0</v>
      </c>
      <c r="W78" s="109" cm="1">
        <f t="array" aca="1" ref="W78" ca="1">INDIRECT(""&amp;$C78&amp;"!R"&amp;W$130&amp;"C"&amp;W$131,FALSE)</f>
        <v>0</v>
      </c>
      <c r="X78" s="103"/>
      <c r="Y78" s="107">
        <f t="shared" ca="1" si="12"/>
        <v>1000</v>
      </c>
      <c r="Z78" s="29" t="str">
        <f t="shared" ca="1" si="13"/>
        <v>kg/tonne</v>
      </c>
      <c r="AA78" s="35" t="str" cm="1">
        <f t="array" aca="1" ref="AA78" ca="1">IF(INDIRECT(""&amp;$C78&amp;"!R"&amp;AA$130&amp;"C"&amp;AA$131,FALSE)=0,"",INDIRECT(""&amp;$C78&amp;"!R"&amp;AA$130&amp;"C"&amp;AA$131,FALSE))</f>
        <v/>
      </c>
      <c r="AB78" s="36" t="str" cm="1">
        <f t="array" aca="1" ref="AB78" ca="1">IFERROR(IF(INDIRECT(""&amp;$C78&amp;"!R"&amp;AB$130&amp;"C"&amp;AB$131,FALSE)="Average (weighted)","Yes","No"),"")</f>
        <v>No</v>
      </c>
    </row>
    <row r="79" spans="1:28" ht="45" customHeight="1" x14ac:dyDescent="0.25">
      <c r="A79" s="17" t="s">
        <v>5568</v>
      </c>
      <c r="B79" s="17" t="s">
        <v>2785</v>
      </c>
      <c r="C79" s="16" t="s">
        <v>5569</v>
      </c>
      <c r="D79" s="31" t="str" cm="1">
        <f t="array" aca="1" ref="D79" ca="1">INDIRECT(""&amp;$C79&amp;"!R"&amp;D$130&amp;"C"&amp;D$131,FALSE)</f>
        <v>Access floor (raised floor) including pedestal, base, componentry. Excluding finish top layer.</v>
      </c>
      <c r="E79" s="39" t="str">
        <f t="shared" si="16"/>
        <v>Access_floor</v>
      </c>
      <c r="F79" s="14" t="str" cm="1">
        <f t="array" aca="1" ref="F79" ca="1">INDIRECT(""&amp;$C79&amp;"!R"&amp;F$130&amp;"C"&amp;F$131,FALSE)</f>
        <v>m²</v>
      </c>
      <c r="G79" s="14" t="str" cm="1">
        <f t="array" aca="1" ref="G79" ca="1">INDIRECT(""&amp;$C79&amp;"!R"&amp;G$130&amp;"C"&amp;G$131,FALSE)</f>
        <v>Tier 3</v>
      </c>
      <c r="H79" s="32">
        <f ca="1">INDEX(Methodology!$B$26:$D$31,MATCH('EF Table_detail'!$G79,Methodology!$B$26:$B$31,0),MATCH('EF Table_detail'!$H$5,Methodology!$B$26:$D$26,0))</f>
        <v>1.1000000000000001</v>
      </c>
      <c r="I79" s="98" cm="1">
        <f t="array" aca="1" ref="I79" ca="1">INDIRECT(""&amp;$C79&amp;"!R"&amp;I$130&amp;"C"&amp;I$131,FALSE)</f>
        <v>76</v>
      </c>
      <c r="J79" s="99" cm="1">
        <f t="array" aca="1" ref="J79" ca="1">INDIRECT(""&amp;$C79&amp;"!R"&amp;J$130&amp;"C"&amp;J$131,FALSE)</f>
        <v>19</v>
      </c>
      <c r="K79" s="100" cm="1">
        <f t="array" aca="1" ref="K79" ca="1">INDIRECT(""&amp;$C79&amp;"!R"&amp;K$130&amp;"C"&amp;K$131,FALSE)</f>
        <v>38.243055172413797</v>
      </c>
      <c r="L79" s="101">
        <f ca="1">$K79*(1+INDEX(Methodology!$B$26:$E$31,MATCH($G79,Methodology!$B$26:$B$31,0),MATCH(M$5,Methodology!$B$26:$E$26,0)))</f>
        <v>42.067360689655182</v>
      </c>
      <c r="M79" s="102">
        <f ca="1">$I79*(1+INDEX(Methodology!$B$26:$E$31,MATCH($G79,Methodology!$B$26:$B$31,0),MATCH(M$5,Methodology!$B$26:$E$26,0)))</f>
        <v>83.600000000000009</v>
      </c>
      <c r="N79" s="99" cm="1">
        <f t="array" aca="1" ref="N79" ca="1">INDIRECT(""&amp;$C79&amp;"!R"&amp;N$130&amp;"C"&amp;N$131,FALSE)</f>
        <v>1.2925170068027212</v>
      </c>
      <c r="O79" s="99" cm="1">
        <f t="array" aca="1" ref="O79" ca="1">INDIRECT(""&amp;$C79&amp;"!R"&amp;O$130&amp;"C"&amp;O$131,FALSE)</f>
        <v>0.30583845612747351</v>
      </c>
      <c r="P79" s="100" cm="1">
        <f t="array" aca="1" ref="P79" ca="1">INDIRECT(""&amp;$C79&amp;"!R"&amp;P$130&amp;"C"&amp;P$131,FALSE)</f>
        <v>0.82622084740519997</v>
      </c>
      <c r="Q79" s="101">
        <f ca="1">$P79*(1+INDEX(Methodology!$B$26:$E$31,MATCH($G79,Methodology!$B$26:$B$31,0),MATCH(R$5,Methodology!$B$26:$E$26,0)))</f>
        <v>0.90884293214571998</v>
      </c>
      <c r="R79" s="102">
        <f ca="1">$N79*(1+INDEX(Methodology!$B$26:$E$31,MATCH($G79,Methodology!$B$26:$B$31,0),MATCH(R$5,Methodology!$B$26:$E$26,0)))</f>
        <v>1.4217687074829934</v>
      </c>
      <c r="S79" s="103"/>
      <c r="T79" s="107" cm="1">
        <f t="array" aca="1" ref="T79" ca="1">INDIRECT(""&amp;$C79&amp;"!R"&amp;T$130&amp;"C"&amp;T$131,FALSE)</f>
        <v>0</v>
      </c>
      <c r="U79" s="108" cm="1">
        <f t="array" aca="1" ref="U79" ca="1">INDIRECT(""&amp;$C79&amp;"!R"&amp;U$130&amp;"C"&amp;U$131,FALSE)</f>
        <v>0</v>
      </c>
      <c r="V79" s="107" cm="1">
        <f t="array" aca="1" ref="V79" ca="1">INDIRECT(""&amp;$C79&amp;"!R"&amp;V$130&amp;"C"&amp;V$131,FALSE)</f>
        <v>0</v>
      </c>
      <c r="W79" s="109" cm="1">
        <f t="array" aca="1" ref="W79" ca="1">INDIRECT(""&amp;$C79&amp;"!R"&amp;W$130&amp;"C"&amp;W$131,FALSE)</f>
        <v>0</v>
      </c>
      <c r="X79" s="103"/>
      <c r="Y79" s="107">
        <f ca="1">IFERROR(K79/P79,"")</f>
        <v>46.286722602701914</v>
      </c>
      <c r="Z79" s="29" t="str">
        <f t="shared" ref="Z79:Z85" ca="1" si="17">"kg/"&amp;F79</f>
        <v>kg/m²</v>
      </c>
      <c r="AA79" s="35" t="str" cm="1">
        <f t="array" aca="1" ref="AA79" ca="1">IF(INDIRECT(""&amp;$C79&amp;"!R"&amp;AA$130&amp;"C"&amp;AA$131,FALSE)=0,"",INDIRECT(""&amp;$C79&amp;"!R"&amp;AA$130&amp;"C"&amp;AA$131,FALSE))</f>
        <v/>
      </c>
      <c r="AB79" s="36" t="str" cm="1">
        <f t="array" aca="1" ref="AB79" ca="1">IFERROR(IF(INDIRECT(""&amp;$C79&amp;"!R"&amp;AB$130&amp;"C"&amp;AB$131,FALSE)="Average (weighted)","Yes","No"),"")</f>
        <v>No</v>
      </c>
    </row>
    <row r="80" spans="1:28" ht="45" customHeight="1" x14ac:dyDescent="0.25">
      <c r="A80" s="17" t="s">
        <v>5568</v>
      </c>
      <c r="B80" s="17" t="s">
        <v>3273</v>
      </c>
      <c r="C80" s="16" t="s">
        <v>5570</v>
      </c>
      <c r="D80" s="31" t="str" cm="1">
        <f t="array" aca="1" ref="D80" ca="1">INDIRECT(""&amp;$C80&amp;"!R"&amp;D$130&amp;"C"&amp;D$131,FALSE)</f>
        <v>Carpet for flooring including carpet tiles.</v>
      </c>
      <c r="E80" s="39" t="str">
        <f t="shared" si="16"/>
        <v>Carpet_flooring</v>
      </c>
      <c r="F80" s="14" t="str" cm="1">
        <f t="array" aca="1" ref="F80" ca="1">INDIRECT(""&amp;$C80&amp;"!R"&amp;F$130&amp;"C"&amp;F$131,FALSE)</f>
        <v>m²</v>
      </c>
      <c r="G80" s="14" t="str" cm="1">
        <f t="array" aca="1" ref="G80" ca="1">INDIRECT(""&amp;$C80&amp;"!R"&amp;G$130&amp;"C"&amp;G$131,FALSE)</f>
        <v>Tier 4</v>
      </c>
      <c r="H80" s="32">
        <f ca="1">INDEX(Methodology!$B$26:$D$31,MATCH('EF Table_detail'!$G80,Methodology!$B$26:$B$31,0),MATCH('EF Table_detail'!$H$5,Methodology!$B$26:$D$26,0))</f>
        <v>1.2</v>
      </c>
      <c r="I80" s="98" cm="1">
        <f t="array" aca="1" ref="I80" ca="1">INDIRECT(""&amp;$C80&amp;"!R"&amp;I$130&amp;"C"&amp;I$131,FALSE)</f>
        <v>28.52</v>
      </c>
      <c r="J80" s="99" cm="1">
        <f t="array" aca="1" ref="J80" ca="1">INDIRECT(""&amp;$C80&amp;"!R"&amp;J$130&amp;"C"&amp;J$131,FALSE)</f>
        <v>4.0999999999999996</v>
      </c>
      <c r="K80" s="100" cm="1">
        <f t="array" aca="1" ref="K80" ca="1">INDIRECT(""&amp;$C80&amp;"!R"&amp;K$130&amp;"C"&amp;K$131,FALSE)</f>
        <v>13.268046909090911</v>
      </c>
      <c r="L80" s="101">
        <f ca="1">$K80*(1+INDEX(Methodology!$B$26:$E$31,MATCH($G80,Methodology!$B$26:$B$31,0),MATCH(M$5,Methodology!$B$26:$E$26,0)))</f>
        <v>15.921656290909093</v>
      </c>
      <c r="M80" s="102">
        <f ca="1">$I80*(1+INDEX(Methodology!$B$26:$E$31,MATCH($G80,Methodology!$B$26:$B$31,0),MATCH(M$5,Methodology!$B$26:$E$26,0)))</f>
        <v>34.223999999999997</v>
      </c>
      <c r="N80" s="99" cm="1">
        <f t="array" aca="1" ref="N80" ca="1">INDIRECT(""&amp;$C80&amp;"!R"&amp;N$130&amp;"C"&amp;N$131,FALSE)</f>
        <v>11.097276264591441</v>
      </c>
      <c r="O80" s="99" cm="1">
        <f t="array" aca="1" ref="O80" ca="1">INDIRECT(""&amp;$C80&amp;"!R"&amp;O$130&amp;"C"&amp;O$131,FALSE)</f>
        <v>1.3426470588235295</v>
      </c>
      <c r="P80" s="100" cm="1">
        <f t="array" aca="1" ref="P80" ca="1">INDIRECT(""&amp;$C80&amp;"!R"&amp;P$130&amp;"C"&amp;P$131,FALSE)</f>
        <v>4.1318190251820148</v>
      </c>
      <c r="Q80" s="101">
        <f ca="1">$P80*(1+INDEX(Methodology!$B$26:$E$31,MATCH($G80,Methodology!$B$26:$B$31,0),MATCH(R$5,Methodology!$B$26:$E$26,0)))</f>
        <v>4.9581828302184174</v>
      </c>
      <c r="R80" s="102">
        <f ca="1">$N80*(1+INDEX(Methodology!$B$26:$E$31,MATCH($G80,Methodology!$B$26:$B$31,0),MATCH(R$5,Methodology!$B$26:$E$26,0)))</f>
        <v>13.316731517509728</v>
      </c>
      <c r="S80" s="103"/>
      <c r="T80" s="107" cm="1">
        <f t="array" aca="1" ref="T80" ca="1">INDIRECT(""&amp;$C80&amp;"!R"&amp;T$130&amp;"C"&amp;T$131,FALSE)</f>
        <v>0</v>
      </c>
      <c r="U80" s="108" cm="1">
        <f t="array" aca="1" ref="U80" ca="1">INDIRECT(""&amp;$C80&amp;"!R"&amp;U$130&amp;"C"&amp;U$131,FALSE)</f>
        <v>0</v>
      </c>
      <c r="V80" s="107" cm="1">
        <f t="array" aca="1" ref="V80" ca="1">INDIRECT(""&amp;$C80&amp;"!R"&amp;V$130&amp;"C"&amp;V$131,FALSE)</f>
        <v>0</v>
      </c>
      <c r="W80" s="109" cm="1">
        <f t="array" aca="1" ref="W80" ca="1">INDIRECT(""&amp;$C80&amp;"!R"&amp;W$130&amp;"C"&amp;W$131,FALSE)</f>
        <v>0</v>
      </c>
      <c r="X80" s="103"/>
      <c r="Y80" s="107">
        <f ca="1">IFERROR(K80/P80,"")</f>
        <v>3.2111878153972215</v>
      </c>
      <c r="Z80" s="29" t="str">
        <f t="shared" ca="1" si="17"/>
        <v>kg/m²</v>
      </c>
      <c r="AA80" s="35" t="str" cm="1">
        <f t="array" aca="1" ref="AA80" ca="1">IF(INDIRECT(""&amp;$C80&amp;"!R"&amp;AA$130&amp;"C"&amp;AA$131,FALSE)=0,"",INDIRECT(""&amp;$C80&amp;"!R"&amp;AA$130&amp;"C"&amp;AA$131,FALSE))</f>
        <v>Numerous styles of carpet piles and thickness</v>
      </c>
      <c r="AB80" s="36" t="str" cm="1">
        <f t="array" aca="1" ref="AB80" ca="1">IFERROR(IF(INDIRECT(""&amp;$C80&amp;"!R"&amp;AB$130&amp;"C"&amp;AB$131,FALSE)="Average (weighted)","Yes","No"),"")</f>
        <v>No</v>
      </c>
    </row>
    <row r="81" spans="1:28" ht="45" customHeight="1" x14ac:dyDescent="0.25">
      <c r="A81" s="17" t="s">
        <v>5568</v>
      </c>
      <c r="B81" s="17" t="s">
        <v>5377</v>
      </c>
      <c r="C81" s="16" t="s">
        <v>5571</v>
      </c>
      <c r="D81" s="31" t="str" cm="1">
        <f t="array" aca="1" ref="D81" ca="1">INDIRECT(""&amp;$C81&amp;"!R"&amp;D$130&amp;"C"&amp;D$131,FALSE)</f>
        <v>Vinyl flooring.</v>
      </c>
      <c r="E81" s="39" t="str">
        <f t="shared" si="16"/>
        <v>Vinyl_flooring</v>
      </c>
      <c r="F81" s="14" t="str" cm="1">
        <f t="array" aca="1" ref="F81" ca="1">INDIRECT(""&amp;$C81&amp;"!R"&amp;F$130&amp;"C"&amp;F$131,FALSE)</f>
        <v>m²</v>
      </c>
      <c r="G81" s="14" t="str" cm="1">
        <f t="array" aca="1" ref="G81" ca="1">INDIRECT(""&amp;$C81&amp;"!R"&amp;G$130&amp;"C"&amp;G$131,FALSE)</f>
        <v>Tier 3</v>
      </c>
      <c r="H81" s="32">
        <f ca="1">INDEX(Methodology!$B$26:$D$31,MATCH('EF Table_detail'!$G81,Methodology!$B$26:$B$31,0),MATCH('EF Table_detail'!$H$5,Methodology!$B$26:$D$26,0))</f>
        <v>1.1000000000000001</v>
      </c>
      <c r="I81" s="98" cm="1">
        <f t="array" aca="1" ref="I81" ca="1">INDIRECT(""&amp;$C81&amp;"!R"&amp;I$130&amp;"C"&amp;I$131,FALSE)</f>
        <v>34.386000000000003</v>
      </c>
      <c r="J81" s="99" cm="1">
        <f t="array" aca="1" ref="J81" ca="1">INDIRECT(""&amp;$C81&amp;"!R"&amp;J$130&amp;"C"&amp;J$131,FALSE)</f>
        <v>5.6266499999999997</v>
      </c>
      <c r="K81" s="100" cm="1">
        <f t="array" aca="1" ref="K81" ca="1">INDIRECT(""&amp;$C81&amp;"!R"&amp;K$130&amp;"C"&amp;K$131,FALSE)</f>
        <v>15.914693396117892</v>
      </c>
      <c r="L81" s="101">
        <f ca="1">$K81*(1+INDEX(Methodology!$B$26:$E$31,MATCH($G81,Methodology!$B$26:$B$31,0),MATCH(M$5,Methodology!$B$26:$E$26,0)))</f>
        <v>17.506162735729681</v>
      </c>
      <c r="M81" s="102">
        <f ca="1">$I81*(1+INDEX(Methodology!$B$26:$E$31,MATCH($G81,Methodology!$B$26:$B$31,0),MATCH(M$5,Methodology!$B$26:$E$26,0)))</f>
        <v>37.824600000000004</v>
      </c>
      <c r="N81" s="99" cm="1">
        <f t="array" aca="1" ref="N81" ca="1">INDIRECT(""&amp;$C81&amp;"!R"&amp;N$130&amp;"C"&amp;N$131,FALSE)</f>
        <v>7.8518518518518512</v>
      </c>
      <c r="O81" s="99" cm="1">
        <f t="array" aca="1" ref="O81" ca="1">INDIRECT(""&amp;$C81&amp;"!R"&amp;O$130&amp;"C"&amp;O$131,FALSE)</f>
        <v>0.86798095238095241</v>
      </c>
      <c r="P81" s="100" cm="1">
        <f t="array" aca="1" ref="P81" ca="1">INDIRECT(""&amp;$C81&amp;"!R"&amp;P$130&amp;"C"&amp;P$131,FALSE)</f>
        <v>3.1217176134591096</v>
      </c>
      <c r="Q81" s="101">
        <f ca="1">$P81*(1+INDEX(Methodology!$B$26:$E$31,MATCH($G81,Methodology!$B$26:$B$31,0),MATCH(R$5,Methodology!$B$26:$E$26,0)))</f>
        <v>3.433889374805021</v>
      </c>
      <c r="R81" s="102">
        <f ca="1">$N81*(1+INDEX(Methodology!$B$26:$E$31,MATCH($G81,Methodology!$B$26:$B$31,0),MATCH(R$5,Methodology!$B$26:$E$26,0)))</f>
        <v>8.6370370370370377</v>
      </c>
      <c r="S81" s="103"/>
      <c r="T81" s="107" cm="1">
        <f t="array" aca="1" ref="T81" ca="1">INDIRECT(""&amp;$C81&amp;"!R"&amp;T$130&amp;"C"&amp;T$131,FALSE)</f>
        <v>0</v>
      </c>
      <c r="U81" s="108" cm="1">
        <f t="array" aca="1" ref="U81" ca="1">INDIRECT(""&amp;$C81&amp;"!R"&amp;U$130&amp;"C"&amp;U$131,FALSE)</f>
        <v>0</v>
      </c>
      <c r="V81" s="107" cm="1">
        <f t="array" aca="1" ref="V81" ca="1">INDIRECT(""&amp;$C81&amp;"!R"&amp;V$130&amp;"C"&amp;V$131,FALSE)</f>
        <v>0</v>
      </c>
      <c r="W81" s="109" cm="1">
        <f t="array" aca="1" ref="W81" ca="1">INDIRECT(""&amp;$C81&amp;"!R"&amp;W$130&amp;"C"&amp;W$131,FALSE)</f>
        <v>0</v>
      </c>
      <c r="X81" s="103"/>
      <c r="Y81" s="107">
        <f ca="1">IFERROR(K81/P81,"")</f>
        <v>5.0980567004211359</v>
      </c>
      <c r="Z81" s="29" t="str">
        <f t="shared" ca="1" si="17"/>
        <v>kg/m²</v>
      </c>
      <c r="AA81" s="35" t="str" cm="1">
        <f t="array" aca="1" ref="AA81" ca="1">IF(INDIRECT(""&amp;$C81&amp;"!R"&amp;AA$130&amp;"C"&amp;AA$131,FALSE)=0,"",INDIRECT(""&amp;$C81&amp;"!R"&amp;AA$130&amp;"C"&amp;AA$131,FALSE))</f>
        <v/>
      </c>
      <c r="AB81" s="36" t="str" cm="1">
        <f t="array" aca="1" ref="AB81" ca="1">IFERROR(IF(INDIRECT(""&amp;$C81&amp;"!R"&amp;AB$130&amp;"C"&amp;AB$131,FALSE)="Average (weighted)","Yes","No"),"")</f>
        <v>No</v>
      </c>
    </row>
    <row r="82" spans="1:28" ht="45" customHeight="1" x14ac:dyDescent="0.25">
      <c r="A82" s="17" t="s">
        <v>5568</v>
      </c>
      <c r="B82" s="17" t="s">
        <v>4736</v>
      </c>
      <c r="C82" s="16" t="s">
        <v>5572</v>
      </c>
      <c r="D82" s="31" t="str" cm="1">
        <f t="array" aca="1" ref="D82" ca="1">INDIRECT(""&amp;$C82&amp;"!R"&amp;D$130&amp;"C"&amp;D$131,FALSE)</f>
        <v>Rubber flooring.</v>
      </c>
      <c r="E82" s="39" t="str">
        <f t="shared" si="16"/>
        <v>Rubber_flooring</v>
      </c>
      <c r="F82" s="14" t="str" cm="1">
        <f t="array" aca="1" ref="F82" ca="1">INDIRECT(""&amp;$C82&amp;"!R"&amp;F$130&amp;"C"&amp;F$131,FALSE)</f>
        <v>m²</v>
      </c>
      <c r="G82" s="14" t="str" cm="1">
        <f t="array" aca="1" ref="G82" ca="1">INDIRECT(""&amp;$C82&amp;"!R"&amp;G$130&amp;"C"&amp;G$131,FALSE)</f>
        <v>Tier 4</v>
      </c>
      <c r="H82" s="32">
        <f ca="1">INDEX(Methodology!$B$26:$D$31,MATCH('EF Table_detail'!$G82,Methodology!$B$26:$B$31,0),MATCH('EF Table_detail'!$H$5,Methodology!$B$26:$D$26,0))</f>
        <v>1.2</v>
      </c>
      <c r="I82" s="98" cm="1">
        <f t="array" aca="1" ref="I82" ca="1">INDIRECT(""&amp;$C82&amp;"!R"&amp;I$130&amp;"C"&amp;I$131,FALSE)</f>
        <v>16.219000000000001</v>
      </c>
      <c r="J82" s="99" cm="1">
        <f t="array" aca="1" ref="J82" ca="1">INDIRECT(""&amp;$C82&amp;"!R"&amp;J$130&amp;"C"&amp;J$131,FALSE)</f>
        <v>0.37834366000000003</v>
      </c>
      <c r="K82" s="100" cm="1">
        <f t="array" aca="1" ref="K82" ca="1">INDIRECT(""&amp;$C82&amp;"!R"&amp;K$130&amp;"C"&amp;K$131,FALSE)</f>
        <v>8.6864478866666666</v>
      </c>
      <c r="L82" s="101">
        <f ca="1">$K82*(1+INDEX(Methodology!$B$26:$E$31,MATCH($G82,Methodology!$B$26:$B$31,0),MATCH(M$5,Methodology!$B$26:$E$26,0)))</f>
        <v>10.423737464</v>
      </c>
      <c r="M82" s="102">
        <f ca="1">$I82*(1+INDEX(Methodology!$B$26:$E$31,MATCH($G82,Methodology!$B$26:$B$31,0),MATCH(M$5,Methodology!$B$26:$E$26,0)))</f>
        <v>19.462800000000001</v>
      </c>
      <c r="N82" s="99" cm="1">
        <f t="array" aca="1" ref="N82" ca="1">INDIRECT(""&amp;$C82&amp;"!R"&amp;N$130&amp;"C"&amp;N$131,FALSE)</f>
        <v>8.5363157894736847</v>
      </c>
      <c r="O82" s="99" cm="1">
        <f t="array" aca="1" ref="O82" ca="1">INDIRECT(""&amp;$C82&amp;"!R"&amp;O$130&amp;"C"&amp;O$131,FALSE)</f>
        <v>0.42993597727272731</v>
      </c>
      <c r="P82" s="100" cm="1">
        <f t="array" aca="1" ref="P82" ca="1">INDIRECT(""&amp;$C82&amp;"!R"&amp;P$130&amp;"C"&amp;P$131,FALSE)</f>
        <v>3.9445081646730462</v>
      </c>
      <c r="Q82" s="101">
        <f ca="1">$P82*(1+INDEX(Methodology!$B$26:$E$31,MATCH($G82,Methodology!$B$26:$B$31,0),MATCH(R$5,Methodology!$B$26:$E$26,0)))</f>
        <v>4.7334097976076555</v>
      </c>
      <c r="R82" s="102">
        <f ca="1">$N82*(1+INDEX(Methodology!$B$26:$E$31,MATCH($G82,Methodology!$B$26:$B$31,0),MATCH(R$5,Methodology!$B$26:$E$26,0)))</f>
        <v>10.243578947368421</v>
      </c>
      <c r="S82" s="103"/>
      <c r="T82" s="107" cm="1">
        <f t="array" aca="1" ref="T82" ca="1">INDIRECT(""&amp;$C82&amp;"!R"&amp;T$130&amp;"C"&amp;T$131,FALSE)</f>
        <v>0</v>
      </c>
      <c r="U82" s="108" cm="1">
        <f t="array" aca="1" ref="U82" ca="1">INDIRECT(""&amp;$C82&amp;"!R"&amp;U$130&amp;"C"&amp;U$131,FALSE)</f>
        <v>0</v>
      </c>
      <c r="V82" s="107" cm="1">
        <f t="array" aca="1" ref="V82" ca="1">INDIRECT(""&amp;$C82&amp;"!R"&amp;V$130&amp;"C"&amp;V$131,FALSE)</f>
        <v>0</v>
      </c>
      <c r="W82" s="109" cm="1">
        <f t="array" aca="1" ref="W82" ca="1">INDIRECT(""&amp;$C82&amp;"!R"&amp;W$130&amp;"C"&amp;W$131,FALSE)</f>
        <v>0</v>
      </c>
      <c r="X82" s="103"/>
      <c r="Y82" s="107">
        <f ca="1">IFERROR(K82/P82,"")</f>
        <v>2.2021624811078753</v>
      </c>
      <c r="Z82" s="29" t="str">
        <f t="shared" ca="1" si="17"/>
        <v>kg/m²</v>
      </c>
      <c r="AA82" s="35" t="str" cm="1">
        <f t="array" aca="1" ref="AA82" ca="1">IF(INDIRECT(""&amp;$C82&amp;"!R"&amp;AA$130&amp;"C"&amp;AA$131,FALSE)=0,"",INDIRECT(""&amp;$C82&amp;"!R"&amp;AA$130&amp;"C"&amp;AA$131,FALSE))</f>
        <v/>
      </c>
      <c r="AB82" s="36" t="str" cm="1">
        <f t="array" aca="1" ref="AB82" ca="1">IFERROR(IF(INDIRECT(""&amp;$C82&amp;"!R"&amp;AB$130&amp;"C"&amp;AB$131,FALSE)="Average (weighted)","Yes","No"),"")</f>
        <v>No</v>
      </c>
    </row>
    <row r="83" spans="1:28" ht="45" customHeight="1" x14ac:dyDescent="0.25">
      <c r="A83" s="17" t="s">
        <v>5568</v>
      </c>
      <c r="B83" s="17" t="s">
        <v>5573</v>
      </c>
      <c r="C83" s="16" t="s">
        <v>5501</v>
      </c>
      <c r="D83" s="31" t="str" cm="1">
        <f t="array" aca="1" ref="D83" ca="1">INDIRECT(""&amp;$C83&amp;"!R"&amp;D$130&amp;"C"&amp;D$131,FALSE)</f>
        <v>Hardwood timber. Includes treated, untreated, dressed, and sawn products.</v>
      </c>
      <c r="E83" s="39" t="str">
        <f t="shared" si="16"/>
        <v>Timber_hardwood</v>
      </c>
      <c r="F83" s="14" t="str" cm="1">
        <f t="array" aca="1" ref="F83" ca="1">INDIRECT(""&amp;$C83&amp;"!R"&amp;F$130&amp;"C"&amp;F$131,FALSE)</f>
        <v>m³</v>
      </c>
      <c r="G83" s="14" t="str" cm="1">
        <f t="array" aca="1" ref="G83" ca="1">INDIRECT(""&amp;$C83&amp;"!R"&amp;G$130&amp;"C"&amp;G$131,FALSE)</f>
        <v>Tier 2</v>
      </c>
      <c r="H83" s="32">
        <f ca="1">INDEX(Methodology!$B$26:$D$31,MATCH('EF Table_detail'!$G83,Methodology!$B$26:$B$31,0),MATCH('EF Table_detail'!$H$5,Methodology!$B$26:$D$26,0))</f>
        <v>1.05</v>
      </c>
      <c r="I83" s="98" cm="1">
        <f t="array" aca="1" ref="I83" ca="1">INDIRECT(""&amp;$C83&amp;"!R"&amp;I$130&amp;"C"&amp;I$131,FALSE)</f>
        <v>562.50380000000018</v>
      </c>
      <c r="J83" s="99" cm="1">
        <f t="array" aca="1" ref="J83" ca="1">INDIRECT(""&amp;$C83&amp;"!R"&amp;J$130&amp;"C"&amp;J$131,FALSE)</f>
        <v>104.25999999999999</v>
      </c>
      <c r="K83" s="100" cm="1">
        <f t="array" aca="1" ref="K83" ca="1">INDIRECT(""&amp;$C83&amp;"!R"&amp;K$130&amp;"C"&amp;K$131,FALSE)</f>
        <v>346.88262000000003</v>
      </c>
      <c r="L83" s="101">
        <f ca="1">$K83*(1+INDEX(Methodology!$B$26:$E$31,MATCH($G83,Methodology!$B$26:$B$31,0),MATCH(M$5,Methodology!$B$26:$E$26,0)))</f>
        <v>364.22675100000004</v>
      </c>
      <c r="M83" s="102">
        <f ca="1">$I83*(1+INDEX(Methodology!$B$26:$E$31,MATCH($G83,Methodology!$B$26:$B$31,0),MATCH(M$5,Methodology!$B$26:$E$26,0)))</f>
        <v>590.62899000000027</v>
      </c>
      <c r="N83" s="99" cm="1">
        <f t="array" aca="1" ref="N83" ca="1">INDIRECT(""&amp;$C83&amp;"!R"&amp;N$130&amp;"C"&amp;N$131,FALSE)</f>
        <v>0.7653112925170068</v>
      </c>
      <c r="O83" s="99" cm="1">
        <f t="array" aca="1" ref="O83" ca="1">INDIRECT(""&amp;$C83&amp;"!R"&amp;O$130&amp;"C"&amp;O$131,FALSE)</f>
        <v>0.12561445783132519</v>
      </c>
      <c r="P83" s="100" cm="1">
        <f t="array" aca="1" ref="P83" ca="1">INDIRECT(""&amp;$C83&amp;"!R"&amp;P$130&amp;"C"&amp;P$131,FALSE)</f>
        <v>0.46607131305283916</v>
      </c>
      <c r="Q83" s="101">
        <f ca="1">$P83*(1+INDEX(Methodology!$B$26:$E$31,MATCH($G83,Methodology!$B$26:$B$31,0),MATCH(R$5,Methodology!$B$26:$E$26,0)))</f>
        <v>0.48937487870548113</v>
      </c>
      <c r="R83" s="102">
        <f ca="1">$N83*(1+INDEX(Methodology!$B$26:$E$31,MATCH($G83,Methodology!$B$26:$B$31,0),MATCH(R$5,Methodology!$B$26:$E$26,0)))</f>
        <v>0.8035768571428572</v>
      </c>
      <c r="S83" s="103"/>
      <c r="T83" s="107" cm="1">
        <f t="array" aca="1" ref="T83" ca="1">INDIRECT(""&amp;$C83&amp;"!R"&amp;T$130&amp;"C"&amp;T$131,FALSE)</f>
        <v>1212.75</v>
      </c>
      <c r="U83" s="108" cm="1">
        <f t="array" aca="1" ref="U83" ca="1">INDIRECT(""&amp;$C83&amp;"!R"&amp;U$130&amp;"C"&amp;U$131,FALSE)</f>
        <v>1165.5515384615383</v>
      </c>
      <c r="V83" s="107" cm="1">
        <f t="array" aca="1" ref="V83" ca="1">INDIRECT(""&amp;$C83&amp;"!R"&amp;V$130&amp;"C"&amp;V$131,FALSE)</f>
        <v>1.65</v>
      </c>
      <c r="W83" s="109" cm="1">
        <f t="array" aca="1" ref="W83" ca="1">INDIRECT(""&amp;$C83&amp;"!R"&amp;W$130&amp;"C"&amp;W$131,FALSE)</f>
        <v>1.5428205128205132</v>
      </c>
      <c r="X83" s="103"/>
      <c r="Y83" s="107">
        <f t="shared" ref="Y83" ca="1" si="18">IFERROR(K83/P83,"")</f>
        <v>744.26940746012713</v>
      </c>
      <c r="Z83" s="29" t="str">
        <f t="shared" ref="Z83" ca="1" si="19">"kg/"&amp;F83</f>
        <v>kg/m³</v>
      </c>
      <c r="AA83" s="35" t="str" cm="1">
        <f t="array" aca="1" ref="AA83" ca="1">IF(INDIRECT(""&amp;$C83&amp;"!R"&amp;AA$130&amp;"C"&amp;AA$131,FALSE)=0,"",INDIRECT(""&amp;$C83&amp;"!R"&amp;AA$130&amp;"C"&amp;AA$131,FALSE))</f>
        <v xml:space="preserve">The NABERS rating tool will only include carbon storage where a material will be expected to last more than 20 years within the building and where it has been sourced from a sustainable forest. </v>
      </c>
      <c r="AB83" s="36" t="str" cm="1">
        <f t="array" aca="1" ref="AB83" ca="1">IFERROR(IF(INDIRECT(""&amp;$C83&amp;"!R"&amp;AB$130&amp;"C"&amp;AB$131,FALSE)="Average (weighted)","Yes","No"),"")</f>
        <v>No</v>
      </c>
    </row>
    <row r="84" spans="1:28" ht="45" customHeight="1" x14ac:dyDescent="0.25">
      <c r="A84" s="17" t="s">
        <v>5568</v>
      </c>
      <c r="B84" s="17" t="s">
        <v>3810</v>
      </c>
      <c r="C84" s="16" t="s">
        <v>5574</v>
      </c>
      <c r="D84" s="31" t="str" cm="1">
        <f t="array" aca="1" ref="D84" ca="1">INDIRECT(""&amp;$C84&amp;"!R"&amp;D$130&amp;"C"&amp;D$131,FALSE)</f>
        <v>Laminate flooring.</v>
      </c>
      <c r="E84" s="39" t="str">
        <f t="shared" si="16"/>
        <v>Laminate_flooring</v>
      </c>
      <c r="F84" s="14" t="str" cm="1">
        <f t="array" aca="1" ref="F84" ca="1">INDIRECT(""&amp;$C84&amp;"!R"&amp;F$130&amp;"C"&amp;F$131,FALSE)</f>
        <v>m²</v>
      </c>
      <c r="G84" s="14" t="str" cm="1">
        <f t="array" aca="1" ref="G84" ca="1">INDIRECT(""&amp;$C84&amp;"!R"&amp;G$130&amp;"C"&amp;G$131,FALSE)</f>
        <v>Tier 4</v>
      </c>
      <c r="H84" s="32">
        <f ca="1">INDEX(Methodology!$B$26:$D$31,MATCH('EF Table_detail'!$G84,Methodology!$B$26:$B$31,0),MATCH('EF Table_detail'!$H$5,Methodology!$B$26:$D$26,0))</f>
        <v>1.2</v>
      </c>
      <c r="I84" s="98" cm="1">
        <f t="array" aca="1" ref="I84" ca="1">INDIRECT(""&amp;$C84&amp;"!R"&amp;I$130&amp;"C"&amp;I$131,FALSE)</f>
        <v>4.7433000000000005</v>
      </c>
      <c r="J84" s="99" cm="1">
        <f t="array" aca="1" ref="J84" ca="1">INDIRECT(""&amp;$C84&amp;"!R"&amp;J$130&amp;"C"&amp;J$131,FALSE)</f>
        <v>2.66934</v>
      </c>
      <c r="K84" s="100" cm="1">
        <f t="array" aca="1" ref="K84" ca="1">INDIRECT(""&amp;$C84&amp;"!R"&amp;K$130&amp;"C"&amp;K$131,FALSE)</f>
        <v>3.7063200000000003</v>
      </c>
      <c r="L84" s="101">
        <f ca="1">$K84*(1+INDEX(Methodology!$B$26:$E$31,MATCH($G84,Methodology!$B$26:$B$31,0),MATCH(M$5,Methodology!$B$26:$E$26,0)))</f>
        <v>4.447584</v>
      </c>
      <c r="M84" s="102">
        <f ca="1">$I84*(1+INDEX(Methodology!$B$26:$E$31,MATCH($G84,Methodology!$B$26:$B$31,0),MATCH(M$5,Methodology!$B$26:$E$26,0)))</f>
        <v>5.6919600000000008</v>
      </c>
      <c r="N84" s="99" cm="1">
        <f t="array" aca="1" ref="N84" ca="1">INDIRECT(""&amp;$C84&amp;"!R"&amp;N$130&amp;"C"&amp;N$131,FALSE)</f>
        <v>0.67858369098712457</v>
      </c>
      <c r="O84" s="99" cm="1">
        <f t="array" aca="1" ref="O84" ca="1">INDIRECT(""&amp;$C84&amp;"!R"&amp;O$130&amp;"C"&amp;O$131,FALSE)</f>
        <v>0.38352586206896544</v>
      </c>
      <c r="P84" s="100" cm="1">
        <f t="array" aca="1" ref="P84" ca="1">INDIRECT(""&amp;$C84&amp;"!R"&amp;P$130&amp;"C"&amp;P$131,FALSE)</f>
        <v>0.531054776528045</v>
      </c>
      <c r="Q84" s="101">
        <f ca="1">$P84*(1+INDEX(Methodology!$B$26:$E$31,MATCH($G84,Methodology!$B$26:$B$31,0),MATCH(R$5,Methodology!$B$26:$E$26,0)))</f>
        <v>0.63726573183365398</v>
      </c>
      <c r="R84" s="102">
        <f ca="1">$N84*(1+INDEX(Methodology!$B$26:$E$31,MATCH($G84,Methodology!$B$26:$B$31,0),MATCH(R$5,Methodology!$B$26:$E$26,0)))</f>
        <v>0.81430042918454948</v>
      </c>
      <c r="S84" s="103"/>
      <c r="T84" s="107" cm="1">
        <f t="array" aca="1" ref="T84" ca="1">INDIRECT(""&amp;$C84&amp;"!R"&amp;T$130&amp;"C"&amp;T$131,FALSE)</f>
        <v>0</v>
      </c>
      <c r="U84" s="108" cm="1">
        <f t="array" aca="1" ref="U84" ca="1">INDIRECT(""&amp;$C84&amp;"!R"&amp;U$130&amp;"C"&amp;U$131,FALSE)</f>
        <v>0</v>
      </c>
      <c r="V84" s="107" cm="1">
        <f t="array" aca="1" ref="V84" ca="1">INDIRECT(""&amp;$C84&amp;"!R"&amp;V$130&amp;"C"&amp;V$131,FALSE)</f>
        <v>0</v>
      </c>
      <c r="W84" s="109" cm="1">
        <f t="array" aca="1" ref="W84" ca="1">INDIRECT(""&amp;$C84&amp;"!R"&amp;W$130&amp;"C"&amp;W$131,FALSE)</f>
        <v>0</v>
      </c>
      <c r="X84" s="103"/>
      <c r="Y84" s="107">
        <f ca="1">IFERROR(K84/P84,"")</f>
        <v>6.9791670535972843</v>
      </c>
      <c r="Z84" s="29" t="str">
        <f t="shared" ca="1" si="17"/>
        <v>kg/m²</v>
      </c>
      <c r="AA84" s="35" t="str" cm="1">
        <f t="array" aca="1" ref="AA84" ca="1">IF(INDIRECT(""&amp;$C84&amp;"!R"&amp;AA$130&amp;"C"&amp;AA$131,FALSE)=0,"",INDIRECT(""&amp;$C84&amp;"!R"&amp;AA$130&amp;"C"&amp;AA$131,FALSE))</f>
        <v/>
      </c>
      <c r="AB84" s="36" t="str" cm="1">
        <f t="array" aca="1" ref="AB84" ca="1">IFERROR(IF(INDIRECT(""&amp;$C84&amp;"!R"&amp;AB$130&amp;"C"&amp;AB$131,FALSE)="Average (weighted)","Yes","No"),"")</f>
        <v>No</v>
      </c>
    </row>
    <row r="85" spans="1:28" ht="45" customHeight="1" x14ac:dyDescent="0.25">
      <c r="A85" s="17" t="s">
        <v>5568</v>
      </c>
      <c r="B85" s="17" t="s">
        <v>3804</v>
      </c>
      <c r="C85" s="16" t="s">
        <v>5575</v>
      </c>
      <c r="D85" s="31" t="str" cm="1">
        <f t="array" aca="1" ref="D85" ca="1">INDIRECT(""&amp;$C85&amp;"!R"&amp;D$130&amp;"C"&amp;D$131,FALSE)</f>
        <v>Hybrid flooring.</v>
      </c>
      <c r="E85" s="39" t="str">
        <f t="shared" si="16"/>
        <v>Hybrid_flooring</v>
      </c>
      <c r="F85" s="14" t="str" cm="1">
        <f t="array" aca="1" ref="F85" ca="1">INDIRECT(""&amp;$C85&amp;"!R"&amp;F$130&amp;"C"&amp;F$131,FALSE)</f>
        <v>m²</v>
      </c>
      <c r="G85" s="14" t="str" cm="1">
        <f t="array" aca="1" ref="G85" ca="1">INDIRECT(""&amp;$C85&amp;"!R"&amp;G$130&amp;"C"&amp;G$131,FALSE)</f>
        <v>Tier 4</v>
      </c>
      <c r="H85" s="32">
        <f ca="1">INDEX(Methodology!$B$26:$D$31,MATCH('EF Table_detail'!$G85,Methodology!$B$26:$B$31,0),MATCH('EF Table_detail'!$H$5,Methodology!$B$26:$D$26,0))</f>
        <v>1.2</v>
      </c>
      <c r="I85" s="98" cm="1">
        <f t="array" aca="1" ref="I85" ca="1">INDIRECT(""&amp;$C85&amp;"!R"&amp;I$130&amp;"C"&amp;I$131,FALSE)</f>
        <v>13.032</v>
      </c>
      <c r="J85" s="99" cm="1">
        <f t="array" aca="1" ref="J85" ca="1">INDIRECT(""&amp;$C85&amp;"!R"&amp;J$130&amp;"C"&amp;J$131,FALSE)</f>
        <v>13.032</v>
      </c>
      <c r="K85" s="100" cm="1">
        <f t="array" aca="1" ref="K85" ca="1">INDIRECT(""&amp;$C85&amp;"!R"&amp;K$130&amp;"C"&amp;K$131,FALSE)</f>
        <v>13.032</v>
      </c>
      <c r="L85" s="101">
        <f ca="1">$K85*(1+INDEX(Methodology!$B$26:$E$31,MATCH($G85,Methodology!$B$26:$B$31,0),MATCH(M$5,Methodology!$B$26:$E$26,0)))</f>
        <v>15.638399999999999</v>
      </c>
      <c r="M85" s="102">
        <f ca="1">$I85*(1+INDEX(Methodology!$B$26:$E$31,MATCH($G85,Methodology!$B$26:$B$31,0),MATCH(M$5,Methodology!$B$26:$E$26,0)))</f>
        <v>15.638399999999999</v>
      </c>
      <c r="N85" s="99" cm="1">
        <f t="array" aca="1" ref="N85" ca="1">INDIRECT(""&amp;$C85&amp;"!R"&amp;N$130&amp;"C"&amp;N$131,FALSE)</f>
        <v>1.5153488372093022</v>
      </c>
      <c r="O85" s="99" cm="1">
        <f t="array" aca="1" ref="O85" ca="1">INDIRECT(""&amp;$C85&amp;"!R"&amp;O$130&amp;"C"&amp;O$131,FALSE)</f>
        <v>1.5153488372093022</v>
      </c>
      <c r="P85" s="100" cm="1">
        <f t="array" aca="1" ref="P85" ca="1">INDIRECT(""&amp;$C85&amp;"!R"&amp;P$130&amp;"C"&amp;P$131,FALSE)</f>
        <v>1.5153488372093022</v>
      </c>
      <c r="Q85" s="101">
        <f ca="1">$P85*(1+INDEX(Methodology!$B$26:$E$31,MATCH($G85,Methodology!$B$26:$B$31,0),MATCH(R$5,Methodology!$B$26:$E$26,0)))</f>
        <v>1.8184186046511626</v>
      </c>
      <c r="R85" s="102">
        <f ca="1">$N85*(1+INDEX(Methodology!$B$26:$E$31,MATCH($G85,Methodology!$B$26:$B$31,0),MATCH(R$5,Methodology!$B$26:$E$26,0)))</f>
        <v>1.8184186046511626</v>
      </c>
      <c r="S85" s="103"/>
      <c r="T85" s="107" cm="1">
        <f t="array" aca="1" ref="T85" ca="1">INDIRECT(""&amp;$C85&amp;"!R"&amp;T$130&amp;"C"&amp;T$131,FALSE)</f>
        <v>0</v>
      </c>
      <c r="U85" s="108" cm="1">
        <f t="array" aca="1" ref="U85" ca="1">INDIRECT(""&amp;$C85&amp;"!R"&amp;U$130&amp;"C"&amp;U$131,FALSE)</f>
        <v>0</v>
      </c>
      <c r="V85" s="107" cm="1">
        <f t="array" aca="1" ref="V85" ca="1">INDIRECT(""&amp;$C85&amp;"!R"&amp;V$130&amp;"C"&amp;V$131,FALSE)</f>
        <v>0</v>
      </c>
      <c r="W85" s="109" cm="1">
        <f t="array" aca="1" ref="W85" ca="1">INDIRECT(""&amp;$C85&amp;"!R"&amp;W$130&amp;"C"&amp;W$131,FALSE)</f>
        <v>0</v>
      </c>
      <c r="X85" s="103"/>
      <c r="Y85" s="107">
        <f ca="1">IFERROR(K85/P85,"")</f>
        <v>8.6</v>
      </c>
      <c r="Z85" s="29" t="str">
        <f t="shared" ca="1" si="17"/>
        <v>kg/m²</v>
      </c>
      <c r="AA85" s="35" t="str" cm="1">
        <f t="array" aca="1" ref="AA85" ca="1">IF(INDIRECT(""&amp;$C85&amp;"!R"&amp;AA$130&amp;"C"&amp;AA$131,FALSE)=0,"",INDIRECT(""&amp;$C85&amp;"!R"&amp;AA$130&amp;"C"&amp;AA$131,FALSE))</f>
        <v/>
      </c>
      <c r="AB85" s="36" t="str" cm="1">
        <f t="array" aca="1" ref="AB85" ca="1">IFERROR(IF(INDIRECT(""&amp;$C85&amp;"!R"&amp;AB$130&amp;"C"&amp;AB$131,FALSE)="Average (weighted)","Yes","No"),"")</f>
        <v>No</v>
      </c>
    </row>
    <row r="86" spans="1:28" ht="45" customHeight="1" x14ac:dyDescent="0.25">
      <c r="A86" s="17" t="s">
        <v>5568</v>
      </c>
      <c r="B86" s="17" t="s">
        <v>3817</v>
      </c>
      <c r="C86" s="16" t="s">
        <v>5576</v>
      </c>
      <c r="D86" s="31" t="str" cm="1">
        <f t="array" aca="1" ref="D86" ca="1">INDIRECT(""&amp;$C86&amp;"!R"&amp;D$130&amp;"C"&amp;D$131,FALSE)</f>
        <v>Linoleum flooring - made from various materials.</v>
      </c>
      <c r="E86" s="39" t="str">
        <f t="shared" si="16"/>
        <v>Linoleum_flooring</v>
      </c>
      <c r="F86" s="14" t="str" cm="1">
        <f t="array" aca="1" ref="F86" ca="1">INDIRECT(""&amp;$C86&amp;"!R"&amp;F$130&amp;"C"&amp;F$131,FALSE)</f>
        <v>m²</v>
      </c>
      <c r="G86" s="14" t="str" cm="1">
        <f t="array" aca="1" ref="G86" ca="1">INDIRECT(""&amp;$C86&amp;"!R"&amp;G$130&amp;"C"&amp;G$131,FALSE)</f>
        <v>Tier 3</v>
      </c>
      <c r="H86" s="32">
        <f ca="1">INDEX(Methodology!$B$26:$D$31,MATCH('EF Table_detail'!$G86,Methodology!$B$26:$B$31,0),MATCH('EF Table_detail'!$H$5,Methodology!$B$26:$D$26,0))</f>
        <v>1.1000000000000001</v>
      </c>
      <c r="I86" s="98" cm="1">
        <f t="array" aca="1" ref="I86" ca="1">INDIRECT(""&amp;$C86&amp;"!R"&amp;I$130&amp;"C"&amp;I$131,FALSE)</f>
        <v>3.63</v>
      </c>
      <c r="J86" s="99" cm="1">
        <f t="array" aca="1" ref="J86" ca="1">INDIRECT(""&amp;$C86&amp;"!R"&amp;J$130&amp;"C"&amp;J$131,FALSE)</f>
        <v>3.59551</v>
      </c>
      <c r="K86" s="100" cm="1">
        <f t="array" aca="1" ref="K86" ca="1">INDIRECT(""&amp;$C86&amp;"!R"&amp;K$130&amp;"C"&amp;K$131,FALSE)</f>
        <v>3.6121700000000003</v>
      </c>
      <c r="L86" s="101">
        <f ca="1">$K86*(1+INDEX(Methodology!$B$26:$E$31,MATCH($G86,Methodology!$B$26:$B$31,0),MATCH(M$5,Methodology!$B$26:$E$26,0)))</f>
        <v>3.9733870000000007</v>
      </c>
      <c r="M86" s="102">
        <f ca="1">$I86*(1+INDEX(Methodology!$B$26:$E$31,MATCH($G86,Methodology!$B$26:$B$31,0),MATCH(M$5,Methodology!$B$26:$E$26,0)))</f>
        <v>3.9930000000000003</v>
      </c>
      <c r="N86" s="99" cm="1">
        <f t="array" aca="1" ref="N86" ca="1">INDIRECT(""&amp;$C86&amp;"!R"&amp;N$130&amp;"C"&amp;N$131,FALSE)</f>
        <v>1.5632652173913044</v>
      </c>
      <c r="O86" s="99" cm="1">
        <f t="array" aca="1" ref="O86" ca="1">INDIRECT(""&amp;$C86&amp;"!R"&amp;O$130&amp;"C"&amp;O$131,FALSE)</f>
        <v>1.2282312925170069</v>
      </c>
      <c r="P86" s="100" cm="1">
        <f t="array" aca="1" ref="P86" ca="1">INDIRECT(""&amp;$C86&amp;"!R"&amp;P$130&amp;"C"&amp;P$131,FALSE)</f>
        <v>1.342063462486444</v>
      </c>
      <c r="Q86" s="101">
        <f ca="1">$P86*(1+INDEX(Methodology!$B$26:$E$31,MATCH($G86,Methodology!$B$26:$B$31,0),MATCH(R$5,Methodology!$B$26:$E$26,0)))</f>
        <v>1.4762698087350885</v>
      </c>
      <c r="R86" s="102">
        <f ca="1">$N86*(1+INDEX(Methodology!$B$26:$E$31,MATCH($G86,Methodology!$B$26:$B$31,0),MATCH(R$5,Methodology!$B$26:$E$26,0)))</f>
        <v>1.7195917391304349</v>
      </c>
      <c r="S86" s="103"/>
      <c r="T86" s="107">
        <v>0</v>
      </c>
      <c r="U86" s="108">
        <v>0</v>
      </c>
      <c r="V86" s="107">
        <v>0</v>
      </c>
      <c r="W86" s="109">
        <v>0</v>
      </c>
      <c r="X86" s="103"/>
      <c r="Y86" s="107">
        <f ca="1">IFERROR(K86/P86,"")</f>
        <v>2.6915046128353159</v>
      </c>
      <c r="Z86" s="29" t="str">
        <f ca="1">"kg/"&amp;F86</f>
        <v>kg/m²</v>
      </c>
      <c r="AA86" s="35" t="str" cm="1">
        <f t="array" aca="1" ref="AA86" ca="1">IF(INDIRECT(""&amp;$C86&amp;"!R"&amp;AA$130&amp;"C"&amp;AA$131,FALSE)=0,"",INDIRECT(""&amp;$C86&amp;"!R"&amp;AA$130&amp;"C"&amp;AA$131,FALSE))</f>
        <v xml:space="preserve">The NABERS rating tool will only include carbon storage where a material will be expected to last more than 20 years within the building and where it has been sourced from a sustainable forest. </v>
      </c>
      <c r="AB86" s="36" t="str" cm="1">
        <f t="array" aca="1" ref="AB86" ca="1">IFERROR(IF(INDIRECT(""&amp;$C86&amp;"!R"&amp;AB$130&amp;"C"&amp;AB$131,FALSE)="Average (weighted)","Yes","No"),"")</f>
        <v>No</v>
      </c>
    </row>
    <row r="87" spans="1:28" ht="45" customHeight="1" x14ac:dyDescent="0.25">
      <c r="A87" s="17" t="s">
        <v>5568</v>
      </c>
      <c r="B87" s="17" t="s">
        <v>3534</v>
      </c>
      <c r="C87" s="16" t="s">
        <v>5577</v>
      </c>
      <c r="D87" s="31" t="str" cm="1">
        <f t="array" aca="1" ref="D87" ca="1">INDIRECT(""&amp;$C87&amp;"!R"&amp;D$130&amp;"C"&amp;D$131,FALSE)</f>
        <v xml:space="preserve">Epoxy flooring - for use on concrete flooring or similar. </v>
      </c>
      <c r="E87" s="39" t="str">
        <f t="shared" si="16"/>
        <v>Epoxy_flooring</v>
      </c>
      <c r="F87" s="16" t="str" cm="1">
        <f t="array" aca="1" ref="F87" ca="1">INDIRECT(""&amp;$C87&amp;"!R"&amp;F$130&amp;"C"&amp;F$131,FALSE)</f>
        <v>kg</v>
      </c>
      <c r="G87" s="14" t="str" cm="1">
        <f t="array" aca="1" ref="G87" ca="1">INDIRECT(""&amp;$C87&amp;"!R"&amp;G$130&amp;"C"&amp;G$131,FALSE)</f>
        <v>Tier 4</v>
      </c>
      <c r="H87" s="32">
        <f ca="1">INDEX(Methodology!$B$26:$D$31,MATCH('EF Table_detail'!$G87,Methodology!$B$26:$B$31,0),MATCH('EF Table_detail'!$H$5,Methodology!$B$26:$D$26,0))</f>
        <v>1.2</v>
      </c>
      <c r="I87" s="110" cm="1">
        <f t="array" aca="1" ref="I87" ca="1">INDIRECT(""&amp;$C87&amp;"!R"&amp;I$130&amp;"C"&amp;I$131,FALSE)</f>
        <v>3.20241</v>
      </c>
      <c r="J87" s="100" cm="1">
        <f t="array" aca="1" ref="J87" ca="1">INDIRECT(""&amp;$C87&amp;"!R"&amp;J$130&amp;"C"&amp;J$131,FALSE)</f>
        <v>2.4475500000000001</v>
      </c>
      <c r="K87" s="100" cm="1">
        <f t="array" aca="1" ref="K87" ca="1">INDIRECT(""&amp;$C87&amp;"!R"&amp;K$130&amp;"C"&amp;K$131,FALSE)</f>
        <v>2.8038686798679868</v>
      </c>
      <c r="L87" s="101">
        <f ca="1">$K87*(1+INDEX(Methodology!$B$26:$E$31,MATCH($G87,Methodology!$B$26:$B$31,0),MATCH(M$5,Methodology!$B$26:$E$26,0)))</f>
        <v>3.3646424158415842</v>
      </c>
      <c r="M87" s="102">
        <f ca="1">$I87*(1+INDEX(Methodology!$B$26:$E$31,MATCH($G87,Methodology!$B$26:$B$31,0),MATCH(M$5,Methodology!$B$26:$E$26,0)))</f>
        <v>3.842892</v>
      </c>
      <c r="N87" s="100" cm="1">
        <f t="array" aca="1" ref="N87" ca="1">INDIRECT(""&amp;$C87&amp;"!R"&amp;N$130&amp;"C"&amp;N$131,FALSE)</f>
        <v>3.20241</v>
      </c>
      <c r="O87" s="100" cm="1">
        <f t="array" aca="1" ref="O87" ca="1">INDIRECT(""&amp;$C87&amp;"!R"&amp;O$130&amp;"C"&amp;O$131,FALSE)</f>
        <v>2.4475500000000001</v>
      </c>
      <c r="P87" s="100" cm="1">
        <f t="array" aca="1" ref="P87" ca="1">INDIRECT(""&amp;$C87&amp;"!R"&amp;P$130&amp;"C"&amp;P$131,FALSE)</f>
        <v>2.8038686798679868</v>
      </c>
      <c r="Q87" s="101">
        <f ca="1">$P87*(1+INDEX(Methodology!$B$26:$E$31,MATCH($G87,Methodology!$B$26:$B$31,0),MATCH(R$5,Methodology!$B$26:$E$26,0)))</f>
        <v>3.3646424158415842</v>
      </c>
      <c r="R87" s="102">
        <f ca="1">$N87*(1+INDEX(Methodology!$B$26:$E$31,MATCH($G87,Methodology!$B$26:$B$31,0),MATCH(R$5,Methodology!$B$26:$E$26,0)))</f>
        <v>3.842892</v>
      </c>
      <c r="S87" s="103"/>
      <c r="T87" s="111" cm="1">
        <f t="array" aca="1" ref="T87" ca="1">INDIRECT(""&amp;$C87&amp;"!R"&amp;T$130&amp;"C"&amp;T$131,FALSE)</f>
        <v>0</v>
      </c>
      <c r="U87" s="112" cm="1">
        <f t="array" aca="1" ref="U87" ca="1">INDIRECT(""&amp;$C87&amp;"!R"&amp;U$130&amp;"C"&amp;U$131,FALSE)</f>
        <v>0</v>
      </c>
      <c r="V87" s="111" cm="1">
        <f t="array" aca="1" ref="V87" ca="1">INDIRECT(""&amp;$C87&amp;"!R"&amp;V$130&amp;"C"&amp;V$131,FALSE)</f>
        <v>0</v>
      </c>
      <c r="W87" s="113" cm="1">
        <f t="array" aca="1" ref="W87" ca="1">INDIRECT(""&amp;$C87&amp;"!R"&amp;W$130&amp;"C"&amp;W$131,FALSE)</f>
        <v>0</v>
      </c>
      <c r="X87" s="103"/>
      <c r="Y87" s="107">
        <f t="shared" ref="Y87" ca="1" si="20">IFERROR(K87/P87,"")</f>
        <v>1</v>
      </c>
      <c r="Z87" s="29" t="str">
        <f t="shared" ref="Z87" ca="1" si="21">"kg/"&amp;F87</f>
        <v>kg/kg</v>
      </c>
      <c r="AA87" s="35" t="str" cm="1">
        <f t="array" aca="1" ref="AA87" ca="1">IF(INDIRECT(""&amp;$C87&amp;"!R"&amp;AA$130&amp;"C"&amp;AA$131,FALSE)=0,"",INDIRECT(""&amp;$C87&amp;"!R"&amp;AA$130&amp;"C"&amp;AA$131,FALSE))</f>
        <v/>
      </c>
      <c r="AB87" s="36" t="str" cm="1">
        <f t="array" aca="1" ref="AB87" ca="1">IFERROR(IF(INDIRECT(""&amp;$C87&amp;"!R"&amp;AB$130&amp;"C"&amp;AB$131,FALSE)="Average (weighted)","Yes","No"),"")</f>
        <v>No</v>
      </c>
    </row>
    <row r="88" spans="1:28" ht="45" customHeight="1" x14ac:dyDescent="0.25">
      <c r="A88" s="17" t="s">
        <v>4720</v>
      </c>
      <c r="B88" s="17" t="s">
        <v>4720</v>
      </c>
      <c r="C88" s="16" t="s">
        <v>5578</v>
      </c>
      <c r="D88" s="31" t="str" cm="1">
        <f t="array" aca="1" ref="D88" ca="1">INDIRECT(""&amp;$C88&amp;"!R"&amp;D$130&amp;"C"&amp;D$131,FALSE)</f>
        <v>Roller door (i.e. sectional door or garage door) including all elements steel, electrical drives etc.</v>
      </c>
      <c r="E88" s="39" t="str">
        <f t="shared" si="16"/>
        <v>Roller_Door</v>
      </c>
      <c r="F88" s="14" t="str" cm="1">
        <f t="array" aca="1" ref="F88" ca="1">INDIRECT(""&amp;$C88&amp;"!R"&amp;F$130&amp;"C"&amp;F$131,FALSE)</f>
        <v>m²</v>
      </c>
      <c r="G88" s="14" t="str" cm="1">
        <f t="array" aca="1" ref="G88" ca="1">INDIRECT(""&amp;$C88&amp;"!R"&amp;G$130&amp;"C"&amp;G$131,FALSE)</f>
        <v>Tier 4</v>
      </c>
      <c r="H88" s="32">
        <f ca="1">INDEX(Methodology!$B$26:$D$31,MATCH('EF Table_detail'!$G88,Methodology!$B$26:$B$31,0),MATCH('EF Table_detail'!$H$5,Methodology!$B$26:$D$26,0))</f>
        <v>1.2</v>
      </c>
      <c r="I88" s="110" cm="1">
        <f t="array" aca="1" ref="I88" ca="1">INDIRECT(""&amp;$C88&amp;"!R"&amp;I$130&amp;"C"&amp;I$131,FALSE)</f>
        <v>110</v>
      </c>
      <c r="J88" s="99" cm="1">
        <f t="array" aca="1" ref="J88" ca="1">INDIRECT(""&amp;$C88&amp;"!R"&amp;J$130&amp;"C"&amp;J$131,FALSE)</f>
        <v>96.7</v>
      </c>
      <c r="K88" s="100" cm="1">
        <f t="array" aca="1" ref="K88" ca="1">INDIRECT(""&amp;$C88&amp;"!R"&amp;K$130&amp;"C"&amp;K$131,FALSE)</f>
        <v>103.35</v>
      </c>
      <c r="L88" s="101">
        <f ca="1">$K88*(1+INDEX(Methodology!$B$26:$E$31,MATCH($G88,Methodology!$B$26:$B$31,0),MATCH(M$5,Methodology!$B$26:$E$26,0)))</f>
        <v>124.01999999999998</v>
      </c>
      <c r="M88" s="102">
        <f ca="1">$I88*(1+INDEX(Methodology!$B$26:$E$31,MATCH($G88,Methodology!$B$26:$B$31,0),MATCH(M$5,Methodology!$B$26:$E$26,0)))</f>
        <v>132</v>
      </c>
      <c r="N88" s="99" cm="1">
        <f t="array" aca="1" ref="N88" ca="1">INDIRECT(""&amp;$C88&amp;"!R"&amp;N$130&amp;"C"&amp;N$131,FALSE)</f>
        <v>4.7222460719498578</v>
      </c>
      <c r="O88" s="99" cm="1">
        <f t="array" aca="1" ref="O88" ca="1">INDIRECT(""&amp;$C88&amp;"!R"&amp;O$130&amp;"C"&amp;O$131,FALSE)</f>
        <v>3.2565501448103995</v>
      </c>
      <c r="P88" s="100" cm="1">
        <f t="array" aca="1" ref="P88" ca="1">INDIRECT(""&amp;$C88&amp;"!R"&amp;P$130&amp;"C"&amp;P$131,FALSE)</f>
        <v>3.9893981083801284</v>
      </c>
      <c r="Q88" s="101">
        <f ca="1">$P88*(1+INDEX(Methodology!$B$26:$E$31,MATCH($G88,Methodology!$B$26:$B$31,0),MATCH(R$5,Methodology!$B$26:$E$26,0)))</f>
        <v>4.7872777300561538</v>
      </c>
      <c r="R88" s="102">
        <f ca="1">$N88*(1+INDEX(Methodology!$B$26:$E$31,MATCH($G88,Methodology!$B$26:$B$31,0),MATCH(R$5,Methodology!$B$26:$E$26,0)))</f>
        <v>5.666695286339829</v>
      </c>
      <c r="S88" s="103"/>
      <c r="T88" s="107" cm="1">
        <f t="array" aca="1" ref="T88" ca="1">INDIRECT(""&amp;$C88&amp;"!R"&amp;T$130&amp;"C"&amp;T$131,FALSE)</f>
        <v>0</v>
      </c>
      <c r="U88" s="108" cm="1">
        <f t="array" aca="1" ref="U88" ca="1">INDIRECT(""&amp;$C88&amp;"!R"&amp;U$130&amp;"C"&amp;U$131,FALSE)</f>
        <v>0</v>
      </c>
      <c r="V88" s="107" cm="1">
        <f t="array" aca="1" ref="V88" ca="1">INDIRECT(""&amp;$C88&amp;"!R"&amp;V$130&amp;"C"&amp;V$131,FALSE)</f>
        <v>0</v>
      </c>
      <c r="W88" s="109" cm="1">
        <f t="array" aca="1" ref="W88" ca="1">INDIRECT(""&amp;$C88&amp;"!R"&amp;W$130&amp;"C"&amp;W$131,FALSE)</f>
        <v>0</v>
      </c>
      <c r="X88" s="103"/>
      <c r="Y88" s="107">
        <f ca="1">IFERROR(K88/P88,"")</f>
        <v>25.906163584652788</v>
      </c>
      <c r="Z88" s="29" t="str">
        <f ca="1">"kg/"&amp;F88</f>
        <v>kg/m²</v>
      </c>
      <c r="AA88" s="35" t="str" cm="1">
        <f t="array" aca="1" ref="AA88" ca="1">IF(INDIRECT(""&amp;$C88&amp;"!R"&amp;AA$130&amp;"C"&amp;AA$131,FALSE)=0,"",INDIRECT(""&amp;$C88&amp;"!R"&amp;AA$130&amp;"C"&amp;AA$131,FALSE))</f>
        <v/>
      </c>
      <c r="AB88" s="36" t="str" cm="1">
        <f t="array" aca="1" ref="AB88" ca="1">IFERROR(IF(INDIRECT(""&amp;$C88&amp;"!R"&amp;AB$130&amp;"C"&amp;AB$131,FALSE)="Average (weighted)","Yes","No"),"")</f>
        <v>No</v>
      </c>
    </row>
    <row r="89" spans="1:28" ht="45" customHeight="1" x14ac:dyDescent="0.25">
      <c r="A89" s="40" t="s">
        <v>5579</v>
      </c>
      <c r="B89" s="17" t="s">
        <v>5580</v>
      </c>
      <c r="C89" s="16" t="s">
        <v>5581</v>
      </c>
      <c r="D89" s="9" t="str" cm="1">
        <f t="array" aca="1" ref="D89" ca="1">INDIRECT(""&amp;$C89&amp;"!R"&amp;D$130&amp;"C"&amp;D$131,FALSE)</f>
        <v>Represents a generic window or door as named in the material category. Includes key component materials. Square meter rate.</v>
      </c>
      <c r="E89" s="41" t="str">
        <f t="shared" si="16"/>
        <v>Window_doors_generic</v>
      </c>
      <c r="F89" s="16" t="s">
        <v>2789</v>
      </c>
      <c r="G89" s="14" t="s">
        <v>75</v>
      </c>
      <c r="H89" s="32">
        <f>INDEX(Methodology!$B$26:$D$31,MATCH('EF Table_detail'!$G89,Methodology!$B$26:$B$31,0),MATCH('EF Table_detail'!$H$5,Methodology!$B$26:$D$26,0))</f>
        <v>1</v>
      </c>
      <c r="I89" s="98" cm="1">
        <f t="array" aca="1" ref="I89" ca="1">INDIRECT(""&amp;$C89&amp;"!R"&amp;MATCH($B89&amp;I$5,INDIRECT("'"&amp;$C89&amp;"'!J:J")&amp;INDIRECT("'"&amp;$C89&amp;"'!C:C"),0)&amp;"C"&amp;I$131,FALSE)</f>
        <v>254.68802557153847</v>
      </c>
      <c r="J89" s="99" cm="1">
        <f t="array" aca="1" ref="J89" ca="1">INDIRECT(""&amp;$C89&amp;"!R"&amp;MATCH($B89&amp;J$5,INDIRECT("'"&amp;$C89&amp;"'!J:J")&amp;INDIRECT("'"&amp;$C89&amp;"'!C:C"),0)&amp;"C"&amp;J$131,FALSE)</f>
        <v>46.730477480925003</v>
      </c>
      <c r="K89" s="114" cm="1">
        <f t="array" aca="1" ref="K89" ca="1">INDIRECT(""&amp;$C89&amp;"!R"&amp;MATCH($B89&amp;K$5,INDIRECT("'"&amp;$C89&amp;"'!J:J")&amp;INDIRECT("'"&amp;$C89&amp;"'!C:C"),0)&amp;"C"&amp;K$131,FALSE)</f>
        <v>159.28532210400789</v>
      </c>
      <c r="L89" s="101">
        <f ca="1">$K89*(1+INDEX(Methodology!$B$26:$E$31,MATCH($G89,Methodology!$B$26:$B$31,0),MATCH(M$5,Methodology!$B$26:$E$26,0)))</f>
        <v>159.28532210400789</v>
      </c>
      <c r="M89" s="102">
        <f ca="1">$I89*(1+INDEX(Methodology!$B$26:$E$31,MATCH($G89,Methodology!$B$26:$B$31,0),MATCH(M$5,Methodology!$B$26:$E$26,0)))</f>
        <v>254.68802557153847</v>
      </c>
      <c r="N89" s="99" cm="1">
        <f t="array" aca="1" ref="N89" ca="1">INDIRECT(""&amp;$C89&amp;"!R"&amp;MATCH($B89&amp;N$5,INDIRECT("'"&amp;$C89&amp;"'!J:J")&amp;INDIRECT("'"&amp;$C89&amp;"'!C:C"),0)&amp;"C"&amp;N$131,FALSE)</f>
        <v>11.073392416153848</v>
      </c>
      <c r="O89" s="99" cm="1">
        <f t="array" aca="1" ref="O89" ca="1">INDIRECT(""&amp;$C89&amp;"!R"&amp;MATCH($B89&amp;O$5,INDIRECT("'"&amp;$C89&amp;"'!J:J")&amp;INDIRECT("'"&amp;$C89&amp;"'!C:C"),0)&amp;"C"&amp;O$131,FALSE)</f>
        <v>2.0317598904750001</v>
      </c>
      <c r="P89" s="100" cm="1">
        <f t="array" aca="1" ref="P89" ca="1">INDIRECT(""&amp;$C89&amp;"!R"&amp;MATCH($B89&amp;P$5,INDIRECT("'"&amp;$C89&amp;"'!J:J")&amp;INDIRECT("'"&amp;$C89&amp;"'!C:C"),0)&amp;"C"&amp;P$131,FALSE)</f>
        <v>6.9254487871307777</v>
      </c>
      <c r="Q89" s="101">
        <f ca="1">$P89*(1+INDEX(Methodology!$B$26:$E$31,MATCH($G89,Methodology!$B$26:$B$31,0),MATCH(R$5,Methodology!$B$26:$E$26,0)))</f>
        <v>6.9254487871307777</v>
      </c>
      <c r="R89" s="102">
        <f ca="1">$N89*(1+INDEX(Methodology!$B$26:$E$31,MATCH($G89,Methodology!$B$26:$B$31,0),MATCH(R$5,Methodology!$B$26:$E$26,0)))</f>
        <v>11.073392416153848</v>
      </c>
      <c r="S89" s="103"/>
      <c r="T89" s="107" cm="1">
        <f t="array" aca="1" ref="T89" ca="1">INDIRECT(""&amp;$C89&amp;"!R"&amp;MATCH($B89&amp;T$5,INDIRECT("'"&amp;$C89&amp;"'!J:J")&amp;INDIRECT("'"&amp;$C89&amp;"'!C:C"),0)&amp;"C"&amp;T$131,FALSE)</f>
        <v>0</v>
      </c>
      <c r="U89" s="108" cm="1">
        <f t="array" aca="1" ref="U89" ca="1">INDIRECT(""&amp;$C89&amp;"!R"&amp;MATCH($B89&amp;U$5,INDIRECT("'"&amp;$C89&amp;"'!J:J")&amp;INDIRECT("'"&amp;$C89&amp;"'!C:C"),0)&amp;"C"&amp;U$131,FALSE)</f>
        <v>0</v>
      </c>
      <c r="V89" s="107" cm="1">
        <f t="array" aca="1" ref="V89" ca="1">INDIRECT(""&amp;$C89&amp;"!R"&amp;MATCH($B89&amp;V$5,INDIRECT("'"&amp;$C89&amp;"'!J:J")&amp;INDIRECT("'"&amp;$C89&amp;"'!C:C"),0)&amp;"C"&amp;V$131,FALSE)</f>
        <v>0</v>
      </c>
      <c r="W89" s="109" cm="1">
        <f t="array" aca="1" ref="W89" ca="1">INDIRECT(""&amp;$C89&amp;"!R"&amp;MATCH($B89&amp;W$5,INDIRECT("'"&amp;$C89&amp;"'!J:J")&amp;INDIRECT("'"&amp;$C89&amp;"'!C:C"),0)&amp;"C"&amp;W$131,FALSE)</f>
        <v>0</v>
      </c>
      <c r="X89" s="103"/>
      <c r="Y89" s="107">
        <f t="shared" ref="Y89:Y126" ca="1" si="22">IFERROR(K89/P89,"")</f>
        <v>23</v>
      </c>
      <c r="Z89" s="29" t="str">
        <f t="shared" ref="Z89:Z126" si="23">"kg/"&amp;F89</f>
        <v>kg/m²</v>
      </c>
      <c r="AA89" s="35" t="str" cm="1">
        <f t="array" aca="1" ref="AA89" ca="1">IF(INDIRECT(""&amp;$C89&amp;"!R"&amp;AA$130&amp;"C"&amp;AA$131,FALSE)=0,"",INDIRECT(""&amp;$C89&amp;"!R"&amp;AA$130&amp;"C"&amp;AA$131,FALSE))</f>
        <v/>
      </c>
      <c r="AB89" s="36" t="str" cm="1">
        <f t="array" aca="1" ref="AB89" ca="1">IFERROR(IF(INDIRECT(""&amp;$C89&amp;"!R"&amp;AB$130&amp;"C"&amp;AB$131,FALSE)="Average (weighted)","Yes","No"),"")</f>
        <v>No</v>
      </c>
    </row>
    <row r="90" spans="1:28" ht="45" customHeight="1" x14ac:dyDescent="0.25">
      <c r="A90" s="17" t="s">
        <v>5579</v>
      </c>
      <c r="B90" s="17" t="s">
        <v>5582</v>
      </c>
      <c r="C90" s="16" t="s">
        <v>5581</v>
      </c>
      <c r="D90" s="31" t="str" cm="1">
        <f t="array" aca="1" ref="D90" ca="1">INDIRECT(""&amp;$C90&amp;"!R"&amp;D$130&amp;"C"&amp;D$131,FALSE)</f>
        <v>Represents a generic window or door as named in the material category. Includes key component materials. Square meter rate.</v>
      </c>
      <c r="E90" s="39" t="str">
        <f t="shared" si="16"/>
        <v>Window_doors_generic</v>
      </c>
      <c r="F90" s="16" t="s">
        <v>2789</v>
      </c>
      <c r="G90" s="14" t="s">
        <v>75</v>
      </c>
      <c r="H90" s="32">
        <f>INDEX(Methodology!$B$26:$D$31,MATCH('EF Table_detail'!$G90,Methodology!$B$26:$B$31,0),MATCH('EF Table_detail'!$H$5,Methodology!$B$26:$D$26,0))</f>
        <v>1</v>
      </c>
      <c r="I90" s="98" cm="1">
        <f t="array" aca="1" ref="I90" ca="1">INDIRECT(""&amp;$C90&amp;"!R"&amp;MATCH($B90&amp;I$5,INDIRECT("'"&amp;$C90&amp;"'!J:J")&amp;INDIRECT("'"&amp;$C90&amp;"'!C:C"),0)&amp;"C"&amp;I$131,FALSE)</f>
        <v>326.63373755112457</v>
      </c>
      <c r="J90" s="99" cm="1">
        <f t="array" aca="1" ref="J90" ca="1">INDIRECT(""&amp;$C90&amp;"!R"&amp;MATCH($B90&amp;J$5,INDIRECT("'"&amp;$C90&amp;"'!J:J")&amp;INDIRECT("'"&amp;$C90&amp;"'!C:C"),0)&amp;"C"&amp;J$131,FALSE)</f>
        <v>57.944724259119397</v>
      </c>
      <c r="K90" s="114" cm="1">
        <f t="array" aca="1" ref="K90" ca="1">INDIRECT(""&amp;$C90&amp;"!R"&amp;MATCH($B90&amp;K$5,INDIRECT("'"&amp;$C90&amp;"'!J:J")&amp;INDIRECT("'"&amp;$C90&amp;"'!C:C"),0)&amp;"C"&amp;K$131,FALSE)</f>
        <v>194.26973721570525</v>
      </c>
      <c r="L90" s="101">
        <f ca="1">$K90*(1+INDEX(Methodology!$B$26:$E$31,MATCH($G90,Methodology!$B$26:$B$31,0),MATCH(M$5,Methodology!$B$26:$E$26,0)))</f>
        <v>194.26973721570525</v>
      </c>
      <c r="M90" s="102">
        <f ca="1">$I90*(1+INDEX(Methodology!$B$26:$E$31,MATCH($G90,Methodology!$B$26:$B$31,0),MATCH(M$5,Methodology!$B$26:$E$26,0)))</f>
        <v>326.63373755112457</v>
      </c>
      <c r="N90" s="99" cm="1">
        <f t="array" aca="1" ref="N90" ca="1">INDIRECT(""&amp;$C90&amp;"!R"&amp;MATCH($B90&amp;N$5,INDIRECT("'"&amp;$C90&amp;"'!J:J")&amp;INDIRECT("'"&amp;$C90&amp;"'!C:C"),0)&amp;"C"&amp;N$131,FALSE)</f>
        <v>10.851619187745001</v>
      </c>
      <c r="O90" s="99" cm="1">
        <f t="array" aca="1" ref="O90" ca="1">INDIRECT(""&amp;$C90&amp;"!R"&amp;MATCH($B90&amp;O$5,INDIRECT("'"&amp;$C90&amp;"'!J:J")&amp;INDIRECT("'"&amp;$C90&amp;"'!C:C"),0)&amp;"C"&amp;O$131,FALSE)</f>
        <v>1.9250738956518072</v>
      </c>
      <c r="P90" s="100" cm="1">
        <f t="array" aca="1" ref="P90" ca="1">INDIRECT(""&amp;$C90&amp;"!R"&amp;MATCH($B90&amp;P$5,INDIRECT("'"&amp;$C90&amp;"'!J:J")&amp;INDIRECT("'"&amp;$C90&amp;"'!C:C"),0)&amp;"C"&amp;P$131,FALSE)</f>
        <v>6.4541440935450245</v>
      </c>
      <c r="Q90" s="101">
        <f ca="1">$P90*(1+INDEX(Methodology!$B$26:$E$31,MATCH($G90,Methodology!$B$26:$B$31,0),MATCH(R$5,Methodology!$B$26:$E$26,0)))</f>
        <v>6.4541440935450245</v>
      </c>
      <c r="R90" s="102">
        <f ca="1">$N90*(1+INDEX(Methodology!$B$26:$E$31,MATCH($G90,Methodology!$B$26:$B$31,0),MATCH(R$5,Methodology!$B$26:$E$26,0)))</f>
        <v>10.851619187745001</v>
      </c>
      <c r="S90" s="103"/>
      <c r="T90" s="107" cm="1">
        <f t="array" aca="1" ref="T90" ca="1">INDIRECT(""&amp;$C90&amp;"!R"&amp;MATCH($B90&amp;T$5,INDIRECT("'"&amp;$C90&amp;"'!J:J")&amp;INDIRECT("'"&amp;$C90&amp;"'!C:C"),0)&amp;"C"&amp;T$131,FALSE)</f>
        <v>6.4064125125000002</v>
      </c>
      <c r="U90" s="108" cm="1">
        <f t="array" aca="1" ref="U90" ca="1">INDIRECT(""&amp;$C90&amp;"!R"&amp;MATCH($B90&amp;U$5,INDIRECT("'"&amp;$C90&amp;"'!J:J")&amp;INDIRECT("'"&amp;$C90&amp;"'!C:C"),0)&amp;"C"&amp;U$131,FALSE)</f>
        <v>5.9902694775000027</v>
      </c>
      <c r="V90" s="107" cm="1">
        <f t="array" aca="1" ref="V90" ca="1">INDIRECT(""&amp;$C90&amp;"!R"&amp;MATCH($B90&amp;V$5,INDIRECT("'"&amp;$C90&amp;"'!J:J")&amp;INDIRECT("'"&amp;$C90&amp;"'!C:C"),0)&amp;"C"&amp;V$131,FALSE)</f>
        <v>0.212837625</v>
      </c>
      <c r="W90" s="109" cm="1">
        <f t="array" aca="1" ref="W90" ca="1">INDIRECT(""&amp;$C90&amp;"!R"&amp;MATCH($B90&amp;W$5,INDIRECT("'"&amp;$C90&amp;"'!J:J")&amp;INDIRECT("'"&amp;$C90&amp;"'!C:C"),0)&amp;"C"&amp;W$131,FALSE)</f>
        <v>0.19901227500000007</v>
      </c>
      <c r="X90" s="103"/>
      <c r="Y90" s="107">
        <f t="shared" ca="1" si="22"/>
        <v>30.1</v>
      </c>
      <c r="Z90" s="29" t="str">
        <f t="shared" si="23"/>
        <v>kg/m²</v>
      </c>
      <c r="AA90" s="35" t="str" cm="1">
        <f t="array" aca="1" ref="AA90" ca="1">IF(INDIRECT(""&amp;$C90&amp;"!R"&amp;AA$130&amp;"C"&amp;AA$131,FALSE)=0,"",INDIRECT(""&amp;$C90&amp;"!R"&amp;AA$130&amp;"C"&amp;AA$131,FALSE))</f>
        <v/>
      </c>
      <c r="AB90" s="36" t="str" cm="1">
        <f t="array" aca="1" ref="AB90" ca="1">IFERROR(IF(INDIRECT(""&amp;$C90&amp;"!R"&amp;AB$130&amp;"C"&amp;AB$131,FALSE)="Average (weighted)","Yes","No"),"")</f>
        <v>No</v>
      </c>
    </row>
    <row r="91" spans="1:28" ht="45" customHeight="1" x14ac:dyDescent="0.25">
      <c r="A91" s="17" t="s">
        <v>5579</v>
      </c>
      <c r="B91" s="21" t="s">
        <v>5583</v>
      </c>
      <c r="C91" s="16" t="s">
        <v>5581</v>
      </c>
      <c r="D91" s="31" t="str" cm="1">
        <f t="array" aca="1" ref="D91" ca="1">INDIRECT(""&amp;$C91&amp;"!R"&amp;D$130&amp;"C"&amp;D$131,FALSE)</f>
        <v>Represents a generic window or door as named in the material category. Includes key component materials. Square meter rate.</v>
      </c>
      <c r="E91" s="39" t="str">
        <f t="shared" si="16"/>
        <v>Window_doors_generic</v>
      </c>
      <c r="F91" s="16" t="s">
        <v>2789</v>
      </c>
      <c r="G91" s="14" t="s">
        <v>75</v>
      </c>
      <c r="H91" s="32">
        <f>INDEX(Methodology!$B$26:$D$31,MATCH('EF Table_detail'!$G91,Methodology!$B$26:$B$31,0),MATCH('EF Table_detail'!$H$5,Methodology!$B$26:$D$26,0))</f>
        <v>1</v>
      </c>
      <c r="I91" s="98" cm="1">
        <f t="array" aca="1" ref="I91" ca="1">INDIRECT(""&amp;$C91&amp;"!R"&amp;MATCH($B91&amp;I$5,INDIRECT("'"&amp;$C91&amp;"'!J:J")&amp;INDIRECT("'"&amp;$C91&amp;"'!C:C"),0)&amp;"C"&amp;I$131,FALSE)</f>
        <v>78.434165737992515</v>
      </c>
      <c r="J91" s="99" cm="1">
        <f t="array" aca="1" ref="J91" ca="1">INDIRECT(""&amp;$C91&amp;"!R"&amp;MATCH($B91&amp;J$5,INDIRECT("'"&amp;$C91&amp;"'!J:J")&amp;INDIRECT("'"&amp;$C91&amp;"'!C:C"),0)&amp;"C"&amp;J$131,FALSE)</f>
        <v>34.962369903056228</v>
      </c>
      <c r="K91" s="114" cm="1">
        <f t="array" aca="1" ref="K91" ca="1">INDIRECT(""&amp;$C91&amp;"!R"&amp;MATCH($B91&amp;K$5,INDIRECT("'"&amp;$C91&amp;"'!J:J")&amp;INDIRECT("'"&amp;$C91&amp;"'!C:C"),0)&amp;"C"&amp;K$131,FALSE)</f>
        <v>54.461737479109765</v>
      </c>
      <c r="L91" s="101">
        <f ca="1">$K91*(1+INDEX(Methodology!$B$26:$E$31,MATCH($G91,Methodology!$B$26:$B$31,0),MATCH(M$5,Methodology!$B$26:$E$26,0)))</f>
        <v>54.461737479109765</v>
      </c>
      <c r="M91" s="102">
        <f ca="1">$I91*(1+INDEX(Methodology!$B$26:$E$31,MATCH($G91,Methodology!$B$26:$B$31,0),MATCH(M$5,Methodology!$B$26:$E$26,0)))</f>
        <v>78.434165737992515</v>
      </c>
      <c r="N91" s="99" cm="1">
        <f t="array" aca="1" ref="N91" ca="1">INDIRECT(""&amp;$C91&amp;"!R"&amp;MATCH($B91&amp;N$5,INDIRECT("'"&amp;$C91&amp;"'!J:J")&amp;INDIRECT("'"&amp;$C91&amp;"'!C:C"),0)&amp;"C"&amp;N$131,FALSE)</f>
        <v>1.8501867589153853</v>
      </c>
      <c r="O91" s="99" cm="1">
        <f t="array" aca="1" ref="O91" ca="1">INDIRECT(""&amp;$C91&amp;"!R"&amp;MATCH($B91&amp;O$5,INDIRECT("'"&amp;$C91&amp;"'!J:J")&amp;INDIRECT("'"&amp;$C91&amp;"'!C:C"),0)&amp;"C"&amp;O$131,FALSE)</f>
        <v>0.82472878045291542</v>
      </c>
      <c r="P91" s="100" cm="1">
        <f t="array" aca="1" ref="P91" ca="1">INDIRECT(""&amp;$C91&amp;"!R"&amp;MATCH($B91&amp;P$5,INDIRECT("'"&amp;$C91&amp;"'!J:J")&amp;INDIRECT("'"&amp;$C91&amp;"'!C:C"),0)&amp;"C"&amp;P$131,FALSE)</f>
        <v>1.2847001635483153</v>
      </c>
      <c r="Q91" s="101">
        <f ca="1">$P91*(1+INDEX(Methodology!$B$26:$E$31,MATCH($G91,Methodology!$B$26:$B$31,0),MATCH(R$5,Methodology!$B$26:$E$26,0)))</f>
        <v>1.2847001635483153</v>
      </c>
      <c r="R91" s="102">
        <f ca="1">$N91*(1+INDEX(Methodology!$B$26:$E$31,MATCH($G91,Methodology!$B$26:$B$31,0),MATCH(R$5,Methodology!$B$26:$E$26,0)))</f>
        <v>1.8501867589153853</v>
      </c>
      <c r="S91" s="103"/>
      <c r="T91" s="107" cm="1">
        <f t="array" aca="1" ref="T91" ca="1">INDIRECT(""&amp;$C91&amp;"!R"&amp;MATCH($B91&amp;T$5,INDIRECT("'"&amp;$C91&amp;"'!J:J")&amp;INDIRECT("'"&amp;$C91&amp;"'!C:C"),0)&amp;"C"&amp;T$131,FALSE)</f>
        <v>29.304603658536585</v>
      </c>
      <c r="U91" s="108" cm="1">
        <f t="array" aca="1" ref="U91" ca="1">INDIRECT(""&amp;$C91&amp;"!R"&amp;MATCH($B91&amp;U$5,INDIRECT("'"&amp;$C91&amp;"'!J:J")&amp;INDIRECT("'"&amp;$C91&amp;"'!C:C"),0)&amp;"C"&amp;U$131,FALSE)</f>
        <v>27.401056754221397</v>
      </c>
      <c r="V91" s="107" cm="1">
        <f t="array" aca="1" ref="V91" ca="1">INDIRECT(""&amp;$C91&amp;"!R"&amp;MATCH($B91&amp;V$5,INDIRECT("'"&amp;$C91&amp;"'!J:J")&amp;INDIRECT("'"&amp;$C91&amp;"'!C:C"),0)&amp;"C"&amp;V$131,FALSE)</f>
        <v>0.69126750000000003</v>
      </c>
      <c r="W91" s="109" cm="1">
        <f t="array" aca="1" ref="W91" ca="1">INDIRECT(""&amp;$C91&amp;"!R"&amp;MATCH($B91&amp;W$5,INDIRECT("'"&amp;$C91&amp;"'!J:J")&amp;INDIRECT("'"&amp;$C91&amp;"'!C:C"),0)&amp;"C"&amp;W$131,FALSE)</f>
        <v>0.64636465384615405</v>
      </c>
      <c r="X91" s="103"/>
      <c r="Y91" s="107">
        <f t="shared" ca="1" si="22"/>
        <v>42.392566782810682</v>
      </c>
      <c r="Z91" s="29" t="str">
        <f t="shared" si="23"/>
        <v>kg/m²</v>
      </c>
      <c r="AA91" s="35" t="str" cm="1">
        <f t="array" aca="1" ref="AA91" ca="1">IF(INDIRECT(""&amp;$C91&amp;"!R"&amp;AA$130&amp;"C"&amp;AA$131,FALSE)=0,"",INDIRECT(""&amp;$C91&amp;"!R"&amp;AA$130&amp;"C"&amp;AA$131,FALSE))</f>
        <v/>
      </c>
      <c r="AB91" s="36" t="str" cm="1">
        <f t="array" aca="1" ref="AB91" ca="1">IFERROR(IF(INDIRECT(""&amp;$C91&amp;"!R"&amp;AB$130&amp;"C"&amp;AB$131,FALSE)="Average (weighted)","Yes","No"),"")</f>
        <v>No</v>
      </c>
    </row>
    <row r="92" spans="1:28" ht="45" customHeight="1" x14ac:dyDescent="0.25">
      <c r="A92" s="17" t="s">
        <v>5579</v>
      </c>
      <c r="B92" s="17" t="s">
        <v>5584</v>
      </c>
      <c r="C92" s="16" t="s">
        <v>5581</v>
      </c>
      <c r="D92" s="31" t="str" cm="1">
        <f t="array" aca="1" ref="D92" ca="1">INDIRECT(""&amp;$C92&amp;"!R"&amp;D$130&amp;"C"&amp;D$131,FALSE)</f>
        <v>Represents a generic window or door as named in the material category. Includes key component materials. Square meter rate.</v>
      </c>
      <c r="E92" s="39" t="str">
        <f t="shared" si="16"/>
        <v>Window_doors_generic</v>
      </c>
      <c r="F92" s="16" t="s">
        <v>2789</v>
      </c>
      <c r="G92" s="14" t="s">
        <v>75</v>
      </c>
      <c r="H92" s="32">
        <f>INDEX(Methodology!$B$26:$D$31,MATCH('EF Table_detail'!$G92,Methodology!$B$26:$B$31,0),MATCH('EF Table_detail'!$H$5,Methodology!$B$26:$D$26,0))</f>
        <v>1</v>
      </c>
      <c r="I92" s="98" cm="1">
        <f t="array" aca="1" ref="I92" ca="1">INDIRECT(""&amp;$C92&amp;"!R"&amp;MATCH($B92&amp;I$5,INDIRECT("'"&amp;$C92&amp;"'!J:J")&amp;INDIRECT("'"&amp;$C92&amp;"'!C:C"),0)&amp;"C"&amp;I$131,FALSE)</f>
        <v>189.96418810384617</v>
      </c>
      <c r="J92" s="99" cm="1">
        <f t="array" aca="1" ref="J92" ca="1">INDIRECT(""&amp;$C92&amp;"!R"&amp;MATCH($B92&amp;J$5,INDIRECT("'"&amp;$C92&amp;"'!J:J")&amp;INDIRECT("'"&amp;$C92&amp;"'!C:C"),0)&amp;"C"&amp;J$131,FALSE)</f>
        <v>115.80482759297658</v>
      </c>
      <c r="K92" s="114" cm="1">
        <f t="array" aca="1" ref="K92" ca="1">INDIRECT(""&amp;$C92&amp;"!R"&amp;MATCH($B92&amp;K$5,INDIRECT("'"&amp;$C92&amp;"'!J:J")&amp;INDIRECT("'"&amp;$C92&amp;"'!C:C"),0)&amp;"C"&amp;K$131,FALSE)</f>
        <v>138.15751391304585</v>
      </c>
      <c r="L92" s="101">
        <f ca="1">$K92*(1+INDEX(Methodology!$B$26:$E$31,MATCH($G92,Methodology!$B$26:$B$31,0),MATCH(M$5,Methodology!$B$26:$E$26,0)))</f>
        <v>138.15751391304585</v>
      </c>
      <c r="M92" s="102">
        <f ca="1">$I92*(1+INDEX(Methodology!$B$26:$E$31,MATCH($G92,Methodology!$B$26:$B$31,0),MATCH(M$5,Methodology!$B$26:$E$26,0)))</f>
        <v>189.96418810384617</v>
      </c>
      <c r="N92" s="99" cm="1">
        <f t="array" aca="1" ref="N92" ca="1">INDIRECT(""&amp;$C92&amp;"!R"&amp;MATCH($B92&amp;N$5,INDIRECT("'"&amp;$C92&amp;"'!J:J")&amp;INDIRECT("'"&amp;$C92&amp;"'!C:C"),0)&amp;"C"&amp;N$131,FALSE)</f>
        <v>3.6715150387291486</v>
      </c>
      <c r="O92" s="99" cm="1">
        <f t="array" aca="1" ref="O92" ca="1">INDIRECT(""&amp;$C92&amp;"!R"&amp;MATCH($B92&amp;O$5,INDIRECT("'"&amp;$C92&amp;"'!J:J")&amp;INDIRECT("'"&amp;$C92&amp;"'!C:C"),0)&amp;"C"&amp;O$131,FALSE)</f>
        <v>2.2382069499995474</v>
      </c>
      <c r="P92" s="100" cm="1">
        <f t="array" aca="1" ref="P92" ca="1">INDIRECT(""&amp;$C92&amp;"!R"&amp;MATCH($B92&amp;P$5,INDIRECT("'"&amp;$C92&amp;"'!J:J")&amp;INDIRECT("'"&amp;$C92&amp;"'!C:C"),0)&amp;"C"&amp;P$131,FALSE)</f>
        <v>2.6702263995563555</v>
      </c>
      <c r="Q92" s="101">
        <f ca="1">$P92*(1+INDEX(Methodology!$B$26:$E$31,MATCH($G92,Methodology!$B$26:$B$31,0),MATCH(R$5,Methodology!$B$26:$E$26,0)))</f>
        <v>2.6702263995563555</v>
      </c>
      <c r="R92" s="102">
        <f ca="1">$N92*(1+INDEX(Methodology!$B$26:$E$31,MATCH($G92,Methodology!$B$26:$B$31,0),MATCH(R$5,Methodology!$B$26:$E$26,0)))</f>
        <v>3.6715150387291486</v>
      </c>
      <c r="S92" s="103"/>
      <c r="T92" s="107" cm="1">
        <f t="array" aca="1" ref="T92" ca="1">INDIRECT(""&amp;$C92&amp;"!R"&amp;MATCH($B92&amp;T$5,INDIRECT("'"&amp;$C92&amp;"'!J:J")&amp;INDIRECT("'"&amp;$C92&amp;"'!C:C"),0)&amp;"C"&amp;T$131,FALSE)</f>
        <v>0</v>
      </c>
      <c r="U92" s="108" cm="1">
        <f t="array" aca="1" ref="U92" ca="1">INDIRECT(""&amp;$C92&amp;"!R"&amp;MATCH($B92&amp;U$5,INDIRECT("'"&amp;$C92&amp;"'!J:J")&amp;INDIRECT("'"&amp;$C92&amp;"'!C:C"),0)&amp;"C"&amp;U$131,FALSE)</f>
        <v>0</v>
      </c>
      <c r="V92" s="107" cm="1">
        <f t="array" aca="1" ref="V92" ca="1">INDIRECT(""&amp;$C92&amp;"!R"&amp;MATCH($B92&amp;V$5,INDIRECT("'"&amp;$C92&amp;"'!J:J")&amp;INDIRECT("'"&amp;$C92&amp;"'!C:C"),0)&amp;"C"&amp;V$131,FALSE)</f>
        <v>0</v>
      </c>
      <c r="W92" s="109" cm="1">
        <f t="array" aca="1" ref="W92" ca="1">INDIRECT(""&amp;$C92&amp;"!R"&amp;MATCH($B92&amp;W$5,INDIRECT("'"&amp;$C92&amp;"'!J:J")&amp;INDIRECT("'"&amp;$C92&amp;"'!C:C"),0)&amp;"C"&amp;W$131,FALSE)</f>
        <v>0</v>
      </c>
      <c r="X92" s="103"/>
      <c r="Y92" s="107">
        <f t="shared" ca="1" si="22"/>
        <v>51.74</v>
      </c>
      <c r="Z92" s="29" t="str">
        <f t="shared" si="23"/>
        <v>kg/m²</v>
      </c>
      <c r="AA92" s="35" t="str" cm="1">
        <f t="array" aca="1" ref="AA92" ca="1">IF(INDIRECT(""&amp;$C92&amp;"!R"&amp;AA$130&amp;"C"&amp;AA$131,FALSE)=0,"",INDIRECT(""&amp;$C92&amp;"!R"&amp;AA$130&amp;"C"&amp;AA$131,FALSE))</f>
        <v/>
      </c>
      <c r="AB92" s="36" t="str" cm="1">
        <f t="array" aca="1" ref="AB92" ca="1">IFERROR(IF(INDIRECT(""&amp;$C92&amp;"!R"&amp;AB$130&amp;"C"&amp;AB$131,FALSE)="Average (weighted)","Yes","No"),"")</f>
        <v>No</v>
      </c>
    </row>
    <row r="93" spans="1:28" ht="45" customHeight="1" x14ac:dyDescent="0.25">
      <c r="A93" s="17" t="s">
        <v>5579</v>
      </c>
      <c r="B93" s="17" t="s">
        <v>5585</v>
      </c>
      <c r="C93" s="16" t="s">
        <v>5581</v>
      </c>
      <c r="D93" s="31" t="str" cm="1">
        <f t="array" aca="1" ref="D93" ca="1">INDIRECT(""&amp;$C93&amp;"!R"&amp;D$130&amp;"C"&amp;D$131,FALSE)</f>
        <v>Represents a generic window or door as named in the material category. Includes key component materials. Square meter rate.</v>
      </c>
      <c r="E93" s="39" t="str">
        <f t="shared" si="16"/>
        <v>Window_doors_generic</v>
      </c>
      <c r="F93" s="16" t="s">
        <v>2789</v>
      </c>
      <c r="G93" s="14" t="s">
        <v>75</v>
      </c>
      <c r="H93" s="32">
        <f>INDEX(Methodology!$B$26:$D$31,MATCH('EF Table_detail'!$G93,Methodology!$B$26:$B$31,0),MATCH('EF Table_detail'!$H$5,Methodology!$B$26:$D$26,0))</f>
        <v>1</v>
      </c>
      <c r="I93" s="98" cm="1">
        <f t="array" aca="1" ref="I93" ca="1">INDIRECT(""&amp;$C93&amp;"!R"&amp;MATCH($B93&amp;I$5,INDIRECT("'"&amp;$C93&amp;"'!J:J")&amp;INDIRECT("'"&amp;$C93&amp;"'!C:C"),0)&amp;"C"&amp;I$131,FALSE)</f>
        <v>322.27605173076927</v>
      </c>
      <c r="J93" s="99" cm="1">
        <f t="array" aca="1" ref="J93" ca="1">INDIRECT(""&amp;$C93&amp;"!R"&amp;MATCH($B93&amp;J$5,INDIRECT("'"&amp;$C93&amp;"'!J:J")&amp;INDIRECT("'"&amp;$C93&amp;"'!C:C"),0)&amp;"C"&amp;J$131,FALSE)</f>
        <v>76.359900890468239</v>
      </c>
      <c r="K93" s="114" cm="1">
        <f t="array" aca="1" ref="K93" ca="1">INDIRECT(""&amp;$C93&amp;"!R"&amp;MATCH($B93&amp;K$5,INDIRECT("'"&amp;$C93&amp;"'!J:J")&amp;INDIRECT("'"&amp;$C93&amp;"'!C:C"),0)&amp;"C"&amp;K$131,FALSE)</f>
        <v>199.33829419479162</v>
      </c>
      <c r="L93" s="101">
        <f ca="1">$K93*(1+INDEX(Methodology!$B$26:$E$31,MATCH($G93,Methodology!$B$26:$B$31,0),MATCH(M$5,Methodology!$B$26:$E$26,0)))</f>
        <v>199.33829419479162</v>
      </c>
      <c r="M93" s="102">
        <f ca="1">$I93*(1+INDEX(Methodology!$B$26:$E$31,MATCH($G93,Methodology!$B$26:$B$31,0),MATCH(M$5,Methodology!$B$26:$E$26,0)))</f>
        <v>322.27605173076927</v>
      </c>
      <c r="N93" s="99" cm="1">
        <f t="array" aca="1" ref="N93" ca="1">INDIRECT(""&amp;$C93&amp;"!R"&amp;MATCH($B93&amp;N$5,INDIRECT("'"&amp;$C93&amp;"'!J:J")&amp;INDIRECT("'"&amp;$C93&amp;"'!C:C"),0)&amp;"C"&amp;N$131,FALSE)</f>
        <v>7.3244557211538472</v>
      </c>
      <c r="O93" s="99" cm="1">
        <f t="array" aca="1" ref="O93" ca="1">INDIRECT(""&amp;$C93&amp;"!R"&amp;MATCH($B93&amp;O$5,INDIRECT("'"&amp;$C93&amp;"'!J:J")&amp;INDIRECT("'"&amp;$C93&amp;"'!C:C"),0)&amp;"C"&amp;O$131,FALSE)</f>
        <v>1.7354522929651872</v>
      </c>
      <c r="P93" s="100" cm="1">
        <f t="array" aca="1" ref="P93" ca="1">INDIRECT(""&amp;$C93&amp;"!R"&amp;MATCH($B93&amp;P$5,INDIRECT("'"&amp;$C93&amp;"'!J:J")&amp;INDIRECT("'"&amp;$C93&amp;"'!C:C"),0)&amp;"C"&amp;P$131,FALSE)</f>
        <v>4.5304157771543547</v>
      </c>
      <c r="Q93" s="101">
        <f ca="1">$P93*(1+INDEX(Methodology!$B$26:$E$31,MATCH($G93,Methodology!$B$26:$B$31,0),MATCH(R$5,Methodology!$B$26:$E$26,0)))</f>
        <v>4.5304157771543547</v>
      </c>
      <c r="R93" s="102">
        <f ca="1">$N93*(1+INDEX(Methodology!$B$26:$E$31,MATCH($G93,Methodology!$B$26:$B$31,0),MATCH(R$5,Methodology!$B$26:$E$26,0)))</f>
        <v>7.3244557211538472</v>
      </c>
      <c r="S93" s="103"/>
      <c r="T93" s="107" cm="1">
        <f t="array" aca="1" ref="T93" ca="1">INDIRECT(""&amp;$C93&amp;"!R"&amp;MATCH($B93&amp;T$5,INDIRECT("'"&amp;$C93&amp;"'!J:J")&amp;INDIRECT("'"&amp;$C93&amp;"'!C:C"),0)&amp;"C"&amp;T$131,FALSE)</f>
        <v>0</v>
      </c>
      <c r="U93" s="108" cm="1">
        <f t="array" aca="1" ref="U93" ca="1">INDIRECT(""&amp;$C93&amp;"!R"&amp;MATCH($B93&amp;U$5,INDIRECT("'"&amp;$C93&amp;"'!J:J")&amp;INDIRECT("'"&amp;$C93&amp;"'!C:C"),0)&amp;"C"&amp;U$131,FALSE)</f>
        <v>0</v>
      </c>
      <c r="V93" s="107" cm="1">
        <f t="array" aca="1" ref="V93" ca="1">INDIRECT(""&amp;$C93&amp;"!R"&amp;MATCH($B93&amp;V$5,INDIRECT("'"&amp;$C93&amp;"'!J:J")&amp;INDIRECT("'"&amp;$C93&amp;"'!C:C"),0)&amp;"C"&amp;V$131,FALSE)</f>
        <v>0</v>
      </c>
      <c r="W93" s="109" cm="1">
        <f t="array" aca="1" ref="W93" ca="1">INDIRECT(""&amp;$C93&amp;"!R"&amp;MATCH($B93&amp;W$5,INDIRECT("'"&amp;$C93&amp;"'!J:J")&amp;INDIRECT("'"&amp;$C93&amp;"'!C:C"),0)&amp;"C"&amp;W$131,FALSE)</f>
        <v>0</v>
      </c>
      <c r="X93" s="103"/>
      <c r="Y93" s="107">
        <f t="shared" ca="1" si="22"/>
        <v>44</v>
      </c>
      <c r="Z93" s="29" t="str">
        <f t="shared" si="23"/>
        <v>kg/m²</v>
      </c>
      <c r="AA93" s="35" t="str" cm="1">
        <f t="array" aca="1" ref="AA93" ca="1">IF(INDIRECT(""&amp;$C93&amp;"!R"&amp;AA$130&amp;"C"&amp;AA$131,FALSE)=0,"",INDIRECT(""&amp;$C93&amp;"!R"&amp;AA$130&amp;"C"&amp;AA$131,FALSE))</f>
        <v/>
      </c>
      <c r="AB93" s="36" t="str" cm="1">
        <f t="array" aca="1" ref="AB93" ca="1">IFERROR(IF(INDIRECT(""&amp;$C93&amp;"!R"&amp;AB$130&amp;"C"&amp;AB$131,FALSE)="Average (weighted)","Yes","No"),"")</f>
        <v>No</v>
      </c>
    </row>
    <row r="94" spans="1:28" ht="45" customHeight="1" x14ac:dyDescent="0.25">
      <c r="A94" s="17" t="s">
        <v>5579</v>
      </c>
      <c r="B94" s="17" t="s">
        <v>5586</v>
      </c>
      <c r="C94" s="16" t="s">
        <v>5581</v>
      </c>
      <c r="D94" s="31" t="str" cm="1">
        <f t="array" aca="1" ref="D94" ca="1">INDIRECT(""&amp;$C94&amp;"!R"&amp;D$130&amp;"C"&amp;D$131,FALSE)</f>
        <v>Represents a generic window or door as named in the material category. Includes key component materials. Square meter rate.</v>
      </c>
      <c r="E94" s="39" t="str">
        <f t="shared" si="16"/>
        <v>Window_doors_generic</v>
      </c>
      <c r="F94" s="16" t="s">
        <v>2789</v>
      </c>
      <c r="G94" s="14" t="s">
        <v>75</v>
      </c>
      <c r="H94" s="32">
        <f>INDEX(Methodology!$B$26:$D$31,MATCH('EF Table_detail'!$G94,Methodology!$B$26:$B$31,0),MATCH('EF Table_detail'!$H$5,Methodology!$B$26:$D$26,0))</f>
        <v>1</v>
      </c>
      <c r="I94" s="98" cm="1">
        <f t="array" aca="1" ref="I94" ca="1">INDIRECT(""&amp;$C94&amp;"!R"&amp;MATCH($B94&amp;I$5,INDIRECT("'"&amp;$C94&amp;"'!J:J")&amp;INDIRECT("'"&amp;$C94&amp;"'!C:C"),0)&amp;"C"&amp;I$131,FALSE)</f>
        <v>414.76848201519238</v>
      </c>
      <c r="J94" s="99" cm="1">
        <f t="array" aca="1" ref="J94" ca="1">INDIRECT(""&amp;$C94&amp;"!R"&amp;MATCH($B94&amp;J$5,INDIRECT("'"&amp;$C94&amp;"'!J:J")&amp;INDIRECT("'"&amp;$C94&amp;"'!C:C"),0)&amp;"C"&amp;J$131,FALSE)</f>
        <v>68.222614785018763</v>
      </c>
      <c r="K94" s="114" cm="1">
        <f t="array" aca="1" ref="K94" ca="1">INDIRECT(""&amp;$C94&amp;"!R"&amp;MATCH($B94&amp;K$5,INDIRECT("'"&amp;$C94&amp;"'!J:J")&amp;INDIRECT("'"&amp;$C94&amp;"'!C:C"),0)&amp;"C"&amp;K$131,FALSE)</f>
        <v>244.8242788549143</v>
      </c>
      <c r="L94" s="101">
        <f ca="1">$K94*(1+INDEX(Methodology!$B$26:$E$31,MATCH($G94,Methodology!$B$26:$B$31,0),MATCH(M$5,Methodology!$B$26:$E$26,0)))</f>
        <v>244.8242788549143</v>
      </c>
      <c r="M94" s="102">
        <f ca="1">$I94*(1+INDEX(Methodology!$B$26:$E$31,MATCH($G94,Methodology!$B$26:$B$31,0),MATCH(M$5,Methodology!$B$26:$E$26,0)))</f>
        <v>414.76848201519238</v>
      </c>
      <c r="N94" s="99" cm="1">
        <f t="array" aca="1" ref="N94" ca="1">INDIRECT(""&amp;$C94&amp;"!R"&amp;MATCH($B94&amp;N$5,INDIRECT("'"&amp;$C94&amp;"'!J:J")&amp;INDIRECT("'"&amp;$C94&amp;"'!C:C"),0)&amp;"C"&amp;N$131,FALSE)</f>
        <v>14.253212440384617</v>
      </c>
      <c r="O94" s="99" cm="1">
        <f t="array" aca="1" ref="O94" ca="1">INDIRECT(""&amp;$C94&amp;"!R"&amp;MATCH($B94&amp;O$5,INDIRECT("'"&amp;$C94&amp;"'!J:J")&amp;INDIRECT("'"&amp;$C94&amp;"'!C:C"),0)&amp;"C"&amp;O$131,FALSE)</f>
        <v>2.3444197520625005</v>
      </c>
      <c r="P94" s="100" cm="1">
        <f t="array" aca="1" ref="P94" ca="1">INDIRECT(""&amp;$C94&amp;"!R"&amp;MATCH($B94&amp;P$5,INDIRECT("'"&amp;$C94&amp;"'!J:J")&amp;INDIRECT("'"&amp;$C94&amp;"'!C:C"),0)&amp;"C"&amp;P$131,FALSE)</f>
        <v>8.4132054589317615</v>
      </c>
      <c r="Q94" s="101">
        <f ca="1">$P94*(1+INDEX(Methodology!$B$26:$E$31,MATCH($G94,Methodology!$B$26:$B$31,0),MATCH(R$5,Methodology!$B$26:$E$26,0)))</f>
        <v>8.4132054589317615</v>
      </c>
      <c r="R94" s="102">
        <f ca="1">$N94*(1+INDEX(Methodology!$B$26:$E$31,MATCH($G94,Methodology!$B$26:$B$31,0),MATCH(R$5,Methodology!$B$26:$E$26,0)))</f>
        <v>14.253212440384617</v>
      </c>
      <c r="S94" s="103"/>
      <c r="T94" s="107" cm="1">
        <f t="array" aca="1" ref="T94" ca="1">INDIRECT(""&amp;$C94&amp;"!R"&amp;MATCH($B94&amp;T$5,INDIRECT("'"&amp;$C94&amp;"'!J:J")&amp;INDIRECT("'"&amp;$C94&amp;"'!C:C"),0)&amp;"C"&amp;T$131,FALSE)</f>
        <v>0</v>
      </c>
      <c r="U94" s="108" cm="1">
        <f t="array" aca="1" ref="U94" ca="1">INDIRECT(""&amp;$C94&amp;"!R"&amp;MATCH($B94&amp;U$5,INDIRECT("'"&amp;$C94&amp;"'!J:J")&amp;INDIRECT("'"&amp;$C94&amp;"'!C:C"),0)&amp;"C"&amp;U$131,FALSE)</f>
        <v>0</v>
      </c>
      <c r="V94" s="107" cm="1">
        <f t="array" aca="1" ref="V94" ca="1">INDIRECT(""&amp;$C94&amp;"!R"&amp;MATCH($B94&amp;V$5,INDIRECT("'"&amp;$C94&amp;"'!J:J")&amp;INDIRECT("'"&amp;$C94&amp;"'!C:C"),0)&amp;"C"&amp;V$131,FALSE)</f>
        <v>0</v>
      </c>
      <c r="W94" s="109" cm="1">
        <f t="array" aca="1" ref="W94" ca="1">INDIRECT(""&amp;$C94&amp;"!R"&amp;MATCH($B94&amp;W$5,INDIRECT("'"&amp;$C94&amp;"'!J:J")&amp;INDIRECT("'"&amp;$C94&amp;"'!C:C"),0)&amp;"C"&amp;W$131,FALSE)</f>
        <v>0</v>
      </c>
      <c r="X94" s="103"/>
      <c r="Y94" s="107">
        <f t="shared" ca="1" si="22"/>
        <v>29.100000000000005</v>
      </c>
      <c r="Z94" s="29" t="str">
        <f t="shared" si="23"/>
        <v>kg/m²</v>
      </c>
      <c r="AA94" s="35" t="str" cm="1">
        <f t="array" aca="1" ref="AA94" ca="1">IF(INDIRECT(""&amp;$C94&amp;"!R"&amp;AA$130&amp;"C"&amp;AA$131,FALSE)=0,"",INDIRECT(""&amp;$C94&amp;"!R"&amp;AA$130&amp;"C"&amp;AA$131,FALSE))</f>
        <v/>
      </c>
      <c r="AB94" s="36" t="str" cm="1">
        <f t="array" aca="1" ref="AB94" ca="1">IFERROR(IF(INDIRECT(""&amp;$C94&amp;"!R"&amp;AB$130&amp;"C"&amp;AB$131,FALSE)="Average (weighted)","Yes","No"),"")</f>
        <v>No</v>
      </c>
    </row>
    <row r="95" spans="1:28" ht="45" customHeight="1" x14ac:dyDescent="0.25">
      <c r="A95" s="17" t="s">
        <v>5579</v>
      </c>
      <c r="B95" s="17" t="s">
        <v>5587</v>
      </c>
      <c r="C95" s="16" t="s">
        <v>5581</v>
      </c>
      <c r="D95" s="31" t="str" cm="1">
        <f t="array" aca="1" ref="D95" ca="1">INDIRECT(""&amp;$C95&amp;"!R"&amp;D$130&amp;"C"&amp;D$131,FALSE)</f>
        <v>Represents a generic window or door as named in the material category. Includes key component materials. Square meter rate.</v>
      </c>
      <c r="E95" s="39" t="str">
        <f t="shared" si="16"/>
        <v>Window_doors_generic</v>
      </c>
      <c r="F95" s="16" t="s">
        <v>2789</v>
      </c>
      <c r="G95" s="14" t="s">
        <v>75</v>
      </c>
      <c r="H95" s="32">
        <f>INDEX(Methodology!$B$26:$D$31,MATCH('EF Table_detail'!$G95,Methodology!$B$26:$B$31,0),MATCH('EF Table_detail'!$H$5,Methodology!$B$26:$D$26,0))</f>
        <v>1</v>
      </c>
      <c r="I95" s="98" cm="1">
        <f t="array" aca="1" ref="I95" ca="1">INDIRECT(""&amp;$C95&amp;"!R"&amp;MATCH($B95&amp;I$5,INDIRECT("'"&amp;$C95&amp;"'!J:J")&amp;INDIRECT("'"&amp;$C95&amp;"'!C:C"),0)&amp;"C"&amp;I$131,FALSE)</f>
        <v>117.26307843264001</v>
      </c>
      <c r="J95" s="99" cm="1">
        <f t="array" aca="1" ref="J95" ca="1">INDIRECT(""&amp;$C95&amp;"!R"&amp;MATCH($B95&amp;J$5,INDIRECT("'"&amp;$C95&amp;"'!J:J")&amp;INDIRECT("'"&amp;$C95&amp;"'!C:C"),0)&amp;"C"&amp;J$131,FALSE)</f>
        <v>62.280363694384491</v>
      </c>
      <c r="K95" s="114" cm="1">
        <f t="array" aca="1" ref="K95" ca="1">INDIRECT(""&amp;$C95&amp;"!R"&amp;MATCH($B95&amp;K$5,INDIRECT("'"&amp;$C95&amp;"'!J:J")&amp;INDIRECT("'"&amp;$C95&amp;"'!C:C"),0)&amp;"C"&amp;K$131,FALSE)</f>
        <v>82.813628373059714</v>
      </c>
      <c r="L95" s="101">
        <f ca="1">$K95*(1+INDEX(Methodology!$B$26:$E$31,MATCH($G95,Methodology!$B$26:$B$31,0),MATCH(M$5,Methodology!$B$26:$E$26,0)))</f>
        <v>82.813628373059714</v>
      </c>
      <c r="M95" s="102">
        <f ca="1">$I95*(1+INDEX(Methodology!$B$26:$E$31,MATCH($G95,Methodology!$B$26:$B$31,0),MATCH(M$5,Methodology!$B$26:$E$26,0)))</f>
        <v>117.26307843264001</v>
      </c>
      <c r="N95" s="99" cm="1">
        <f t="array" aca="1" ref="N95" ca="1">INDIRECT(""&amp;$C95&amp;"!R"&amp;MATCH($B95&amp;N$5,INDIRECT("'"&amp;$C95&amp;"'!J:J")&amp;INDIRECT("'"&amp;$C95&amp;"'!C:C"),0)&amp;"C"&amp;N$131,FALSE)</f>
        <v>1.8913399747200001</v>
      </c>
      <c r="O95" s="99" cm="1">
        <f t="array" aca="1" ref="O95" ca="1">INDIRECT(""&amp;$C95&amp;"!R"&amp;MATCH($B95&amp;O$5,INDIRECT("'"&amp;$C95&amp;"'!J:J")&amp;INDIRECT("'"&amp;$C95&amp;"'!C:C"),0)&amp;"C"&amp;O$131,FALSE)</f>
        <v>1.0045219950707176</v>
      </c>
      <c r="P95" s="100" cm="1">
        <f t="array" aca="1" ref="P95" ca="1">INDIRECT(""&amp;$C95&amp;"!R"&amp;MATCH($B95&amp;P$5,INDIRECT("'"&amp;$C95&amp;"'!J:J")&amp;INDIRECT("'"&amp;$C95&amp;"'!C:C"),0)&amp;"C"&amp;P$131,FALSE)</f>
        <v>1.3357036834364471</v>
      </c>
      <c r="Q95" s="101">
        <f ca="1">$P95*(1+INDEX(Methodology!$B$26:$E$31,MATCH($G95,Methodology!$B$26:$B$31,0),MATCH(R$5,Methodology!$B$26:$E$26,0)))</f>
        <v>1.3357036834364471</v>
      </c>
      <c r="R95" s="102">
        <f ca="1">$N95*(1+INDEX(Methodology!$B$26:$E$31,MATCH($G95,Methodology!$B$26:$B$31,0),MATCH(R$5,Methodology!$B$26:$E$26,0)))</f>
        <v>1.8913399747200001</v>
      </c>
      <c r="S95" s="103"/>
      <c r="T95" s="107" cm="1">
        <f t="array" aca="1" ref="T95" ca="1">INDIRECT(""&amp;$C95&amp;"!R"&amp;MATCH($B95&amp;T$5,INDIRECT("'"&amp;$C95&amp;"'!J:J")&amp;INDIRECT("'"&amp;$C95&amp;"'!C:C"),0)&amp;"C"&amp;T$131,FALSE)</f>
        <v>73.536309000000003</v>
      </c>
      <c r="U95" s="108" cm="1">
        <f t="array" aca="1" ref="U95" ca="1">INDIRECT(""&amp;$C95&amp;"!R"&amp;MATCH($B95&amp;U$5,INDIRECT("'"&amp;$C95&amp;"'!J:J")&amp;INDIRECT("'"&amp;$C95&amp;"'!C:C"),0)&amp;"C"&amp;U$131,FALSE)</f>
        <v>68.75959149230772</v>
      </c>
      <c r="V95" s="107" cm="1">
        <f t="array" aca="1" ref="V95" ca="1">INDIRECT(""&amp;$C95&amp;"!R"&amp;MATCH($B95&amp;V$5,INDIRECT("'"&amp;$C95&amp;"'!J:J")&amp;INDIRECT("'"&amp;$C95&amp;"'!C:C"),0)&amp;"C"&amp;V$131,FALSE)</f>
        <v>1.1860695000000001</v>
      </c>
      <c r="W95" s="109" cm="1">
        <f t="array" aca="1" ref="W95" ca="1">INDIRECT(""&amp;$C95&amp;"!R"&amp;MATCH($B95&amp;W$5,INDIRECT("'"&amp;$C95&amp;"'!J:J")&amp;INDIRECT("'"&amp;$C95&amp;"'!C:C"),0)&amp;"C"&amp;W$131,FALSE)</f>
        <v>1.1090256692307696</v>
      </c>
      <c r="X95" s="103"/>
      <c r="Y95" s="107">
        <f t="shared" ca="1" si="22"/>
        <v>62</v>
      </c>
      <c r="Z95" s="29" t="str">
        <f t="shared" si="23"/>
        <v>kg/m²</v>
      </c>
      <c r="AA95" s="35" t="str" cm="1">
        <f t="array" aca="1" ref="AA95" ca="1">IF(INDIRECT(""&amp;$C95&amp;"!R"&amp;AA$130&amp;"C"&amp;AA$131,FALSE)=0,"",INDIRECT(""&amp;$C95&amp;"!R"&amp;AA$130&amp;"C"&amp;AA$131,FALSE))</f>
        <v/>
      </c>
      <c r="AB95" s="36" t="str" cm="1">
        <f t="array" aca="1" ref="AB95" ca="1">IFERROR(IF(INDIRECT(""&amp;$C95&amp;"!R"&amp;AB$130&amp;"C"&amp;AB$131,FALSE)="Average (weighted)","Yes","No"),"")</f>
        <v>No</v>
      </c>
    </row>
    <row r="96" spans="1:28" ht="45" customHeight="1" x14ac:dyDescent="0.25">
      <c r="A96" s="17" t="s">
        <v>5579</v>
      </c>
      <c r="B96" s="17" t="s">
        <v>5588</v>
      </c>
      <c r="C96" s="16" t="s">
        <v>5581</v>
      </c>
      <c r="D96" s="31" t="str" cm="1">
        <f t="array" aca="1" ref="D96" ca="1">INDIRECT(""&amp;$C96&amp;"!R"&amp;D$130&amp;"C"&amp;D$131,FALSE)</f>
        <v>Represents a generic window or door as named in the material category. Includes key component materials. Square meter rate.</v>
      </c>
      <c r="E96" s="39" t="str">
        <f t="shared" si="16"/>
        <v>Window_doors_generic</v>
      </c>
      <c r="F96" s="16" t="s">
        <v>2789</v>
      </c>
      <c r="G96" s="14" t="s">
        <v>75</v>
      </c>
      <c r="H96" s="32">
        <f>INDEX(Methodology!$B$26:$D$31,MATCH('EF Table_detail'!$G96,Methodology!$B$26:$B$31,0),MATCH('EF Table_detail'!$H$5,Methodology!$B$26:$D$26,0))</f>
        <v>1</v>
      </c>
      <c r="I96" s="98" cm="1">
        <f t="array" aca="1" ref="I96" ca="1">INDIRECT(""&amp;$C96&amp;"!R"&amp;MATCH($B96&amp;I$5,INDIRECT("'"&amp;$C96&amp;"'!J:J")&amp;INDIRECT("'"&amp;$C96&amp;"'!C:C"),0)&amp;"C"&amp;I$131,FALSE)</f>
        <v>398.58340725000005</v>
      </c>
      <c r="J96" s="99" cm="1">
        <f t="array" aca="1" ref="J96" ca="1">INDIRECT(""&amp;$C96&amp;"!R"&amp;MATCH($B96&amp;J$5,INDIRECT("'"&amp;$C96&amp;"'!J:J")&amp;INDIRECT("'"&amp;$C96&amp;"'!C:C"),0)&amp;"C"&amp;J$131,FALSE)</f>
        <v>270.9552220916388</v>
      </c>
      <c r="K96" s="114" cm="1">
        <f t="array" aca="1" ref="K96" ca="1">INDIRECT(""&amp;$C96&amp;"!R"&amp;MATCH($B96&amp;K$5,INDIRECT("'"&amp;$C96&amp;"'!J:J")&amp;INDIRECT("'"&amp;$C96&amp;"'!C:C"),0)&amp;"C"&amp;K$131,FALSE)</f>
        <v>298.5752360813961</v>
      </c>
      <c r="L96" s="101">
        <f ca="1">$K96*(1+INDEX(Methodology!$B$26:$E$31,MATCH($G96,Methodology!$B$26:$B$31,0),MATCH(M$5,Methodology!$B$26:$E$26,0)))</f>
        <v>298.5752360813961</v>
      </c>
      <c r="M96" s="102">
        <f ca="1">$I96*(1+INDEX(Methodology!$B$26:$E$31,MATCH($G96,Methodology!$B$26:$B$31,0),MATCH(M$5,Methodology!$B$26:$E$26,0)))</f>
        <v>398.58340725000005</v>
      </c>
      <c r="N96" s="99" cm="1">
        <f t="array" aca="1" ref="N96" ca="1">INDIRECT(""&amp;$C96&amp;"!R"&amp;MATCH($B96&amp;N$5,INDIRECT("'"&amp;$C96&amp;"'!J:J")&amp;INDIRECT("'"&amp;$C96&amp;"'!C:C"),0)&amp;"C"&amp;N$131,FALSE)</f>
        <v>4.0671776250000002</v>
      </c>
      <c r="O96" s="99" cm="1">
        <f t="array" aca="1" ref="O96" ca="1">INDIRECT(""&amp;$C96&amp;"!R"&amp;MATCH($B96&amp;O$5,INDIRECT("'"&amp;$C96&amp;"'!J:J")&amp;INDIRECT("'"&amp;$C96&amp;"'!C:C"),0)&amp;"C"&amp;O$131,FALSE)</f>
        <v>2.7648492050167226</v>
      </c>
      <c r="P96" s="100" cm="1">
        <f t="array" aca="1" ref="P96" ca="1">INDIRECT(""&amp;$C96&amp;"!R"&amp;MATCH($B96&amp;P$5,INDIRECT("'"&amp;$C96&amp;"'!J:J")&amp;INDIRECT("'"&amp;$C96&amp;"'!C:C"),0)&amp;"C"&amp;P$131,FALSE)</f>
        <v>3.0466860824632254</v>
      </c>
      <c r="Q96" s="101">
        <f ca="1">$P96*(1+INDEX(Methodology!$B$26:$E$31,MATCH($G96,Methodology!$B$26:$B$31,0),MATCH(R$5,Methodology!$B$26:$E$26,0)))</f>
        <v>3.0466860824632254</v>
      </c>
      <c r="R96" s="102">
        <f ca="1">$N96*(1+INDEX(Methodology!$B$26:$E$31,MATCH($G96,Methodology!$B$26:$B$31,0),MATCH(R$5,Methodology!$B$26:$E$26,0)))</f>
        <v>4.0671776250000002</v>
      </c>
      <c r="S96" s="103"/>
      <c r="T96" s="107" cm="1">
        <f t="array" aca="1" ref="T96" ca="1">INDIRECT(""&amp;$C96&amp;"!R"&amp;MATCH($B96&amp;T$5,INDIRECT("'"&amp;$C96&amp;"'!J:J")&amp;INDIRECT("'"&amp;$C96&amp;"'!C:C"),0)&amp;"C"&amp;T$131,FALSE)</f>
        <v>0</v>
      </c>
      <c r="U96" s="108" cm="1">
        <f t="array" aca="1" ref="U96" ca="1">INDIRECT(""&amp;$C96&amp;"!R"&amp;MATCH($B96&amp;U$5,INDIRECT("'"&amp;$C96&amp;"'!J:J")&amp;INDIRECT("'"&amp;$C96&amp;"'!C:C"),0)&amp;"C"&amp;U$131,FALSE)</f>
        <v>0</v>
      </c>
      <c r="V96" s="107" cm="1">
        <f t="array" aca="1" ref="V96" ca="1">INDIRECT(""&amp;$C96&amp;"!R"&amp;MATCH($B96&amp;V$5,INDIRECT("'"&amp;$C96&amp;"'!J:J")&amp;INDIRECT("'"&amp;$C96&amp;"'!C:C"),0)&amp;"C"&amp;V$131,FALSE)</f>
        <v>0</v>
      </c>
      <c r="W96" s="109" cm="1">
        <f t="array" aca="1" ref="W96" ca="1">INDIRECT(""&amp;$C96&amp;"!R"&amp;MATCH($B96&amp;W$5,INDIRECT("'"&amp;$C96&amp;"'!J:J")&amp;INDIRECT("'"&amp;$C96&amp;"'!C:C"),0)&amp;"C"&amp;W$131,FALSE)</f>
        <v>0</v>
      </c>
      <c r="X96" s="103"/>
      <c r="Y96" s="107">
        <f t="shared" ca="1" si="22"/>
        <v>98</v>
      </c>
      <c r="Z96" s="29" t="str">
        <f t="shared" si="23"/>
        <v>kg/m²</v>
      </c>
      <c r="AA96" s="35" t="str" cm="1">
        <f t="array" aca="1" ref="AA96" ca="1">IF(INDIRECT(""&amp;$C96&amp;"!R"&amp;AA$130&amp;"C"&amp;AA$131,FALSE)=0,"",INDIRECT(""&amp;$C96&amp;"!R"&amp;AA$130&amp;"C"&amp;AA$131,FALSE))</f>
        <v/>
      </c>
      <c r="AB96" s="36" t="str" cm="1">
        <f t="array" aca="1" ref="AB96" ca="1">IFERROR(IF(INDIRECT(""&amp;$C96&amp;"!R"&amp;AB$130&amp;"C"&amp;AB$131,FALSE)="Average (weighted)","Yes","No"),"")</f>
        <v>No</v>
      </c>
    </row>
    <row r="97" spans="1:28" ht="45" customHeight="1" x14ac:dyDescent="0.25">
      <c r="A97" s="17" t="s">
        <v>5579</v>
      </c>
      <c r="B97" s="17" t="s">
        <v>5589</v>
      </c>
      <c r="C97" s="16" t="s">
        <v>5581</v>
      </c>
      <c r="D97" s="31" t="str" cm="1">
        <f t="array" aca="1" ref="D97" ca="1">INDIRECT(""&amp;$C97&amp;"!R"&amp;D$130&amp;"C"&amp;D$131,FALSE)</f>
        <v>Represents a generic window or door as named in the material category. Includes key component materials. Square meter rate.</v>
      </c>
      <c r="E97" s="39" t="str">
        <f t="shared" si="16"/>
        <v>Window_doors_generic</v>
      </c>
      <c r="F97" s="16" t="s">
        <v>2789</v>
      </c>
      <c r="G97" s="14" t="s">
        <v>75</v>
      </c>
      <c r="H97" s="32">
        <f>INDEX(Methodology!$B$26:$D$31,MATCH('EF Table_detail'!$G97,Methodology!$B$26:$B$31,0),MATCH('EF Table_detail'!$H$5,Methodology!$B$26:$D$26,0))</f>
        <v>1</v>
      </c>
      <c r="I97" s="98" cm="1">
        <f t="array" aca="1" ref="I97" ca="1">INDIRECT(""&amp;$C97&amp;"!R"&amp;MATCH($B97&amp;I$5,INDIRECT("'"&amp;$C97&amp;"'!J:J")&amp;INDIRECT("'"&amp;$C97&amp;"'!C:C"),0)&amp;"C"&amp;I$131,FALSE)</f>
        <v>1672.2585858778434</v>
      </c>
      <c r="J97" s="99" cm="1">
        <f t="array" aca="1" ref="J97" ca="1">INDIRECT(""&amp;$C97&amp;"!R"&amp;MATCH($B97&amp;J$5,INDIRECT("'"&amp;$C97&amp;"'!J:J")&amp;INDIRECT("'"&amp;$C97&amp;"'!C:C"),0)&amp;"C"&amp;J$131,FALSE)</f>
        <v>360.37145768948818</v>
      </c>
      <c r="K97" s="114" cm="1">
        <f t="array" aca="1" ref="K97" ca="1">INDIRECT(""&amp;$C97&amp;"!R"&amp;MATCH($B97&amp;K$5,INDIRECT("'"&amp;$C97&amp;"'!J:J")&amp;INDIRECT("'"&amp;$C97&amp;"'!C:C"),0)&amp;"C"&amp;K$131,FALSE)</f>
        <v>1014.8752707584532</v>
      </c>
      <c r="L97" s="101">
        <f ca="1">$K97*(1+INDEX(Methodology!$B$26:$E$31,MATCH($G97,Methodology!$B$26:$B$31,0),MATCH(M$5,Methodology!$B$26:$E$26,0)))</f>
        <v>1014.8752707584532</v>
      </c>
      <c r="M97" s="102">
        <f ca="1">$I97*(1+INDEX(Methodology!$B$26:$E$31,MATCH($G97,Methodology!$B$26:$B$31,0),MATCH(M$5,Methodology!$B$26:$E$26,0)))</f>
        <v>1672.2585858778434</v>
      </c>
      <c r="N97" s="99" cm="1">
        <f t="array" aca="1" ref="N97" ca="1">INDIRECT(""&amp;$C97&amp;"!R"&amp;MATCH($B97&amp;N$5,INDIRECT("'"&amp;$C97&amp;"'!J:J")&amp;INDIRECT("'"&amp;$C97&amp;"'!C:C"),0)&amp;"C"&amp;N$131,FALSE)</f>
        <v>10.196272315258858</v>
      </c>
      <c r="O97" s="99" cm="1">
        <f t="array" aca="1" ref="O97" ca="1">INDIRECT(""&amp;$C97&amp;"!R"&amp;MATCH($B97&amp;O$5,INDIRECT("'"&amp;$C97&amp;"'!J:J")&amp;INDIRECT("'"&amp;$C97&amp;"'!C:C"),0)&amp;"C"&amp;O$131,FALSE)</f>
        <v>2.1972950524992676</v>
      </c>
      <c r="P97" s="100" cm="1">
        <f t="array" aca="1" ref="P97" ca="1">INDIRECT(""&amp;$C97&amp;"!R"&amp;MATCH($B97&amp;P$5,INDIRECT("'"&amp;$C97&amp;"'!J:J")&amp;INDIRECT("'"&amp;$C97&amp;"'!C:C"),0)&amp;"C"&amp;P$131,FALSE)</f>
        <v>6.188005081309333</v>
      </c>
      <c r="Q97" s="101">
        <f ca="1">$P97*(1+INDEX(Methodology!$B$26:$E$31,MATCH($G97,Methodology!$B$26:$B$31,0),MATCH(R$5,Methodology!$B$26:$E$26,0)))</f>
        <v>6.188005081309333</v>
      </c>
      <c r="R97" s="102">
        <f ca="1">$N97*(1+INDEX(Methodology!$B$26:$E$31,MATCH($G97,Methodology!$B$26:$B$31,0),MATCH(R$5,Methodology!$B$26:$E$26,0)))</f>
        <v>10.196272315258858</v>
      </c>
      <c r="S97" s="103"/>
      <c r="T97" s="107" cm="1">
        <f t="array" aca="1" ref="T97" ca="1">INDIRECT(""&amp;$C97&amp;"!R"&amp;MATCH($B97&amp;T$5,INDIRECT("'"&amp;$C97&amp;"'!J:J")&amp;INDIRECT("'"&amp;$C97&amp;"'!C:C"),0)&amp;"C"&amp;T$131,FALSE)</f>
        <v>28.113423969299276</v>
      </c>
      <c r="U97" s="108" cm="1">
        <f t="array" aca="1" ref="U97" ca="1">INDIRECT(""&amp;$C97&amp;"!R"&amp;MATCH($B97&amp;U$5,INDIRECT("'"&amp;$C97&amp;"'!J:J")&amp;INDIRECT("'"&amp;$C97&amp;"'!C:C"),0)&amp;"C"&amp;U$131,FALSE)</f>
        <v>26.287252839669588</v>
      </c>
      <c r="V97" s="107" cm="1">
        <f t="array" aca="1" ref="V97" ca="1">INDIRECT(""&amp;$C97&amp;"!R"&amp;MATCH($B97&amp;V$5,INDIRECT("'"&amp;$C97&amp;"'!J:J")&amp;INDIRECT("'"&amp;$C97&amp;"'!C:C"),0)&amp;"C"&amp;V$131,FALSE)</f>
        <v>0.17141614874999997</v>
      </c>
      <c r="W97" s="109" cm="1">
        <f t="array" aca="1" ref="W97" ca="1">INDIRECT(""&amp;$C97&amp;"!R"&amp;MATCH($B97&amp;W$5,INDIRECT("'"&amp;$C97&amp;"'!J:J")&amp;INDIRECT("'"&amp;$C97&amp;"'!C:C"),0)&amp;"C"&amp;W$131,FALSE)</f>
        <v>0.16028142455769234</v>
      </c>
      <c r="X97" s="103"/>
      <c r="Y97" s="107">
        <f t="shared" ca="1" si="22"/>
        <v>164.00685801371606</v>
      </c>
      <c r="Z97" s="29" t="str">
        <f t="shared" si="23"/>
        <v>kg/m²</v>
      </c>
      <c r="AA97" s="35" t="str" cm="1">
        <f t="array" aca="1" ref="AA97" ca="1">IF(INDIRECT(""&amp;$C97&amp;"!R"&amp;AA$130&amp;"C"&amp;AA$131,FALSE)=0,"",INDIRECT(""&amp;$C97&amp;"!R"&amp;AA$130&amp;"C"&amp;AA$131,FALSE))</f>
        <v/>
      </c>
      <c r="AB97" s="36" t="str" cm="1">
        <f t="array" aca="1" ref="AB97" ca="1">IFERROR(IF(INDIRECT(""&amp;$C97&amp;"!R"&amp;AB$130&amp;"C"&amp;AB$131,FALSE)="Average (weighted)","Yes","No"),"")</f>
        <v>No</v>
      </c>
    </row>
    <row r="98" spans="1:28" ht="45" customHeight="1" x14ac:dyDescent="0.25">
      <c r="A98" s="17" t="s">
        <v>5554</v>
      </c>
      <c r="B98" s="17" t="s">
        <v>5590</v>
      </c>
      <c r="C98" s="16" t="s">
        <v>5591</v>
      </c>
      <c r="D98" s="31" t="str" cm="1">
        <f t="array" aca="1" ref="D98" ca="1">INDIRECT(""&amp;$C98&amp;"!R"&amp;D$130&amp;"C"&amp;D$131,FALSE)</f>
        <v>Represents a generic wall or ceiling system as named in the material category. Includes framing and sheeting.</v>
      </c>
      <c r="E98" s="39" t="str">
        <f t="shared" si="16"/>
        <v>Ceiling_Wall_generic</v>
      </c>
      <c r="F98" s="14" t="str" cm="1">
        <f t="array" aca="1" ref="F98" ca="1">INDIRECT(""&amp;$C98&amp;"!R"&amp;MATCH($B98,INDIRECT("'"&amp;C98&amp;"'!B:B"),0)&amp;"C"&amp;F$131,FALSE)</f>
        <v>m²</v>
      </c>
      <c r="G98" s="14" t="str" cm="1">
        <f t="array" aca="1" ref="G98" ca="1">INDIRECT(""&amp;$C98&amp;"!R"&amp;G$130&amp;"C"&amp;G$131,FALSE)</f>
        <v>Untiered</v>
      </c>
      <c r="H98" s="32">
        <f ca="1">INDEX(Methodology!$B$26:$D$31,MATCH('EF Table_detail'!$G98,Methodology!$B$26:$B$31,0),MATCH('EF Table_detail'!$H$5,Methodology!$B$26:$D$26,0))</f>
        <v>1</v>
      </c>
      <c r="I98" s="98" cm="1">
        <f t="array" aca="1" ref="I98" ca="1">INDIRECT(""&amp;$C98&amp;"!R"&amp;MATCH($B98&amp;I$5,INDIRECT("'"&amp;$C98&amp;"'!J:J")&amp;INDIRECT("'"&amp;$C98&amp;"'!C:C"),0)&amp;"C"&amp;I$131,FALSE)</f>
        <v>14.978249999999999</v>
      </c>
      <c r="J98" s="99" cm="1">
        <f t="array" aca="1" ref="J98" ca="1">INDIRECT(""&amp;$C98&amp;"!R"&amp;MATCH($B98&amp;J$5,INDIRECT("'"&amp;$C98&amp;"'!J:J")&amp;INDIRECT("'"&amp;$C98&amp;"'!C:C"),0)&amp;"C"&amp;J$131,FALSE)</f>
        <v>8.3054231438127086</v>
      </c>
      <c r="K98" s="114" cm="1">
        <f t="array" aca="1" ref="K98" ca="1">INDIRECT(""&amp;$C98&amp;"!R"&amp;MATCH($B98&amp;K$5,INDIRECT("'"&amp;$C98&amp;"'!J:J")&amp;INDIRECT("'"&amp;$C98&amp;"'!C:C"),0)&amp;"C"&amp;K$131,FALSE)</f>
        <v>10.553287057719093</v>
      </c>
      <c r="L98" s="101">
        <f ca="1">$K98*(1+INDEX(Methodology!$B$26:$E$31,MATCH($G98,Methodology!$B$26:$B$31,0),MATCH(M$5,Methodology!$B$26:$E$26,0)))</f>
        <v>10.553287057719093</v>
      </c>
      <c r="M98" s="102">
        <f ca="1">$I98*(1+INDEX(Methodology!$B$26:$E$31,MATCH($G98,Methodology!$B$26:$B$31,0),MATCH(M$5,Methodology!$B$26:$E$26,0)))</f>
        <v>14.978249999999999</v>
      </c>
      <c r="N98" s="99" cm="1">
        <f t="array" aca="1" ref="N98" ca="1">INDIRECT(""&amp;$C98&amp;"!R"&amp;MATCH($B98&amp;N$5,INDIRECT("'"&amp;$C98&amp;"'!J:J")&amp;INDIRECT("'"&amp;$C98&amp;"'!C:C"),0)&amp;"C"&amp;N$131,FALSE)</f>
        <v>1.0224061433447098</v>
      </c>
      <c r="O98" s="99" cm="1">
        <f t="array" aca="1" ref="O98" ca="1">INDIRECT(""&amp;$C98&amp;"!R"&amp;MATCH($B98&amp;O$5,INDIRECT("'"&amp;$C98&amp;"'!J:J")&amp;INDIRECT("'"&amp;$C98&amp;"'!C:C"),0)&amp;"C"&amp;O$131,FALSE)</f>
        <v>0.56692308148892212</v>
      </c>
      <c r="P98" s="100" cm="1">
        <f t="array" aca="1" ref="P98" ca="1">INDIRECT(""&amp;$C98&amp;"!R"&amp;MATCH($B98&amp;P$5,INDIRECT("'"&amp;$C98&amp;"'!J:J")&amp;INDIRECT("'"&amp;$C98&amp;"'!C:C"),0)&amp;"C"&amp;P$131,FALSE)</f>
        <v>0.72036089131188341</v>
      </c>
      <c r="Q98" s="101">
        <f ca="1">$P98*(1+INDEX(Methodology!$B$26:$E$31,MATCH($G98,Methodology!$B$26:$B$31,0),MATCH(R$5,Methodology!$B$26:$E$26,0)))</f>
        <v>0.72036089131188341</v>
      </c>
      <c r="R98" s="102">
        <f ca="1">$N98*(1+INDEX(Methodology!$B$26:$E$31,MATCH($G98,Methodology!$B$26:$B$31,0),MATCH(R$5,Methodology!$B$26:$E$26,0)))</f>
        <v>1.0224061433447098</v>
      </c>
      <c r="S98" s="103"/>
      <c r="T98" s="107" cm="1">
        <f t="array" aca="1" ref="T98" ca="1">INDIRECT(""&amp;$C98&amp;"!R"&amp;MATCH($B98&amp;T$5,INDIRECT("'"&amp;$C98&amp;"'!J:J")&amp;INDIRECT("'"&amp;$C98&amp;"'!C:C"),0)&amp;"C"&amp;T$131,FALSE)</f>
        <v>2.5290833333333338</v>
      </c>
      <c r="U98" s="108" cm="1">
        <f t="array" aca="1" ref="U98" ca="1">INDIRECT(""&amp;$C98&amp;"!R"&amp;MATCH($B98&amp;U$5,INDIRECT("'"&amp;$C98&amp;"'!J:J")&amp;INDIRECT("'"&amp;$C98&amp;"'!C:C"),0)&amp;"C"&amp;U$131,FALSE)</f>
        <v>0.49565757258203941</v>
      </c>
      <c r="V98" s="107" cm="1">
        <f t="array" aca="1" ref="V98" ca="1">INDIRECT(""&amp;$C98&amp;"!R"&amp;MATCH($B98&amp;V$5,INDIRECT("'"&amp;$C98&amp;"'!J:J")&amp;INDIRECT("'"&amp;$C98&amp;"'!C:C"),0)&amp;"C"&amp;V$131,FALSE)</f>
        <v>0.17263367463026169</v>
      </c>
      <c r="W98" s="109" cm="1">
        <f t="array" aca="1" ref="W98" ca="1">INDIRECT(""&amp;$C98&amp;"!R"&amp;MATCH($B98&amp;W$5,INDIRECT("'"&amp;$C98&amp;"'!J:J")&amp;INDIRECT("'"&amp;$C98&amp;"'!C:C"),0)&amp;"C"&amp;W$131,FALSE)</f>
        <v>3.3833281404917363E-2</v>
      </c>
      <c r="X98" s="103"/>
      <c r="Y98" s="107">
        <f t="shared" ref="Y98:Y107" ca="1" si="24">IFERROR(K98/P98,"")</f>
        <v>14.65</v>
      </c>
      <c r="Z98" s="29" t="str">
        <f t="shared" ref="Z98:Z107" ca="1" si="25">"kg/"&amp;F98</f>
        <v>kg/m²</v>
      </c>
      <c r="AA98" s="35" t="str" cm="1">
        <f t="array" aca="1" ref="AA98" ca="1">IF(INDIRECT(""&amp;$C98&amp;"!R"&amp;AA$130&amp;"C"&amp;AA$131,FALSE)=0,"",INDIRECT(""&amp;$C98&amp;"!R"&amp;AA$130&amp;"C"&amp;AA$131,FALSE))</f>
        <v/>
      </c>
      <c r="AB98" s="36" t="s">
        <v>5592</v>
      </c>
    </row>
    <row r="99" spans="1:28" ht="45" customHeight="1" x14ac:dyDescent="0.25">
      <c r="A99" s="17" t="s">
        <v>5554</v>
      </c>
      <c r="B99" s="17" t="s">
        <v>5593</v>
      </c>
      <c r="C99" s="16" t="s">
        <v>5591</v>
      </c>
      <c r="D99" s="31" t="str" cm="1">
        <f t="array" aca="1" ref="D99" ca="1">INDIRECT(""&amp;$C99&amp;"!R"&amp;D$130&amp;"C"&amp;D$131,FALSE)</f>
        <v>Represents a generic wall or ceiling system as named in the material category. Includes framing and sheeting.</v>
      </c>
      <c r="E99" s="39" t="str">
        <f t="shared" si="16"/>
        <v>Ceiling_Wall_generic</v>
      </c>
      <c r="F99" s="14" t="str" cm="1">
        <f t="array" aca="1" ref="F99" ca="1">INDIRECT(""&amp;$C99&amp;"!R"&amp;MATCH($B99,INDIRECT("'"&amp;C99&amp;"'!B:B"),0)&amp;"C"&amp;F$131,FALSE)</f>
        <v>m²</v>
      </c>
      <c r="G99" s="14" t="str" cm="1">
        <f t="array" aca="1" ref="G99" ca="1">INDIRECT(""&amp;$C99&amp;"!R"&amp;G$130&amp;"C"&amp;G$131,FALSE)</f>
        <v>Untiered</v>
      </c>
      <c r="H99" s="32">
        <f ca="1">INDEX(Methodology!$B$26:$D$31,MATCH('EF Table_detail'!$G99,Methodology!$B$26:$B$31,0),MATCH('EF Table_detail'!$H$5,Methodology!$B$26:$D$26,0))</f>
        <v>1</v>
      </c>
      <c r="I99" s="98" cm="1">
        <f t="array" aca="1" ref="I99" ca="1">INDIRECT(""&amp;$C99&amp;"!R"&amp;MATCH($B99&amp;I$5,INDIRECT("'"&amp;$C99&amp;"'!J:J")&amp;INDIRECT("'"&amp;$C99&amp;"'!C:C"),0)&amp;"C"&amp;I$131,FALSE)</f>
        <v>20.837249999999997</v>
      </c>
      <c r="J99" s="99" cm="1">
        <f t="array" aca="1" ref="J99" ca="1">INDIRECT(""&amp;$C99&amp;"!R"&amp;MATCH($B99&amp;J$5,INDIRECT("'"&amp;$C99&amp;"'!J:J")&amp;INDIRECT("'"&amp;$C99&amp;"'!C:C"),0)&amp;"C"&amp;J$131,FALSE)</f>
        <v>10.477903143812709</v>
      </c>
      <c r="K99" s="114" cm="1">
        <f t="array" aca="1" ref="K99" ca="1">INDIRECT(""&amp;$C99&amp;"!R"&amp;MATCH($B99&amp;K$5,INDIRECT("'"&amp;$C99&amp;"'!J:J")&amp;INDIRECT("'"&amp;$C99&amp;"'!C:C"),0)&amp;"C"&amp;K$131,FALSE)</f>
        <v>14.32736434138814</v>
      </c>
      <c r="L99" s="101">
        <f ca="1">$K99*(1+INDEX(Methodology!$B$26:$E$31,MATCH($G99,Methodology!$B$26:$B$31,0),MATCH(M$5,Methodology!$B$26:$E$26,0)))</f>
        <v>14.32736434138814</v>
      </c>
      <c r="M99" s="102">
        <f ca="1">$I99*(1+INDEX(Methodology!$B$26:$E$31,MATCH($G99,Methodology!$B$26:$B$31,0),MATCH(M$5,Methodology!$B$26:$E$26,0)))</f>
        <v>20.837249999999997</v>
      </c>
      <c r="N99" s="99" cm="1">
        <f t="array" aca="1" ref="N99" ca="1">INDIRECT(""&amp;$C99&amp;"!R"&amp;MATCH($B99&amp;N$5,INDIRECT("'"&amp;$C99&amp;"'!J:J")&amp;INDIRECT("'"&amp;$C99&amp;"'!C:C"),0)&amp;"C"&amp;N$131,FALSE)</f>
        <v>0.77032347504621057</v>
      </c>
      <c r="O99" s="99" cm="1">
        <f t="array" aca="1" ref="O99" ca="1">INDIRECT(""&amp;$C99&amp;"!R"&amp;MATCH($B99&amp;O$5,INDIRECT("'"&amp;$C99&amp;"'!J:J")&amp;INDIRECT("'"&amp;$C99&amp;"'!C:C"),0)&amp;"C"&amp;O$131,FALSE)</f>
        <v>0.38735316612985982</v>
      </c>
      <c r="P99" s="100" cm="1">
        <f t="array" aca="1" ref="P99" ca="1">INDIRECT(""&amp;$C99&amp;"!R"&amp;MATCH($B99&amp;P$5,INDIRECT("'"&amp;$C99&amp;"'!J:J")&amp;INDIRECT("'"&amp;$C99&amp;"'!C:C"),0)&amp;"C"&amp;P$131,FALSE)</f>
        <v>0.52966226770381297</v>
      </c>
      <c r="Q99" s="101">
        <f ca="1">$P99*(1+INDEX(Methodology!$B$26:$E$31,MATCH($G99,Methodology!$B$26:$B$31,0),MATCH(R$5,Methodology!$B$26:$E$26,0)))</f>
        <v>0.52966226770381297</v>
      </c>
      <c r="R99" s="102">
        <f ca="1">$N99*(1+INDEX(Methodology!$B$26:$E$31,MATCH($G99,Methodology!$B$26:$B$31,0),MATCH(R$5,Methodology!$B$26:$E$26,0)))</f>
        <v>0.77032347504621057</v>
      </c>
      <c r="S99" s="103"/>
      <c r="T99" s="107" cm="1">
        <f t="array" aca="1" ref="T99" ca="1">INDIRECT(""&amp;$C99&amp;"!R"&amp;MATCH($B99&amp;T$5,INDIRECT("'"&amp;$C99&amp;"'!J:J")&amp;INDIRECT("'"&amp;$C99&amp;"'!C:C"),0)&amp;"C"&amp;T$131,FALSE)</f>
        <v>5.0581666666666676</v>
      </c>
      <c r="U99" s="108" cm="1">
        <f t="array" aca="1" ref="U99" ca="1">INDIRECT(""&amp;$C99&amp;"!R"&amp;MATCH($B99&amp;U$5,INDIRECT("'"&amp;$C99&amp;"'!J:J")&amp;INDIRECT("'"&amp;$C99&amp;"'!C:C"),0)&amp;"C"&amp;U$131,FALSE)</f>
        <v>0.99131514516407881</v>
      </c>
      <c r="V99" s="107" cm="1">
        <f t="array" aca="1" ref="V99" ca="1">INDIRECT(""&amp;$C99&amp;"!R"&amp;MATCH($B99&amp;V$5,INDIRECT("'"&amp;$C99&amp;"'!J:J")&amp;INDIRECT("'"&amp;$C99&amp;"'!C:C"),0)&amp;"C"&amp;V$131,FALSE)</f>
        <v>0.18699322242760325</v>
      </c>
      <c r="W99" s="109" cm="1">
        <f t="array" aca="1" ref="W99" ca="1">INDIRECT(""&amp;$C99&amp;"!R"&amp;MATCH($B99&amp;W$5,INDIRECT("'"&amp;$C99&amp;"'!J:J")&amp;INDIRECT("'"&amp;$C99&amp;"'!C:C"),0)&amp;"C"&amp;W$131,FALSE)</f>
        <v>3.664750998758147E-2</v>
      </c>
      <c r="X99" s="103"/>
      <c r="Y99" s="107">
        <f t="shared" ca="1" si="24"/>
        <v>27.049999999999997</v>
      </c>
      <c r="Z99" s="29" t="str">
        <f t="shared" ca="1" si="25"/>
        <v>kg/m²</v>
      </c>
      <c r="AA99" s="35" t="str" cm="1">
        <f t="array" aca="1" ref="AA99" ca="1">IF(INDIRECT(""&amp;$C99&amp;"!R"&amp;AA$130&amp;"C"&amp;AA$131,FALSE)=0,"",INDIRECT(""&amp;$C99&amp;"!R"&amp;AA$130&amp;"C"&amp;AA$131,FALSE))</f>
        <v/>
      </c>
      <c r="AB99" s="36" t="s">
        <v>5592</v>
      </c>
    </row>
    <row r="100" spans="1:28" ht="45" customHeight="1" x14ac:dyDescent="0.25">
      <c r="A100" s="17" t="s">
        <v>5554</v>
      </c>
      <c r="B100" s="17" t="s">
        <v>5594</v>
      </c>
      <c r="C100" s="16" t="s">
        <v>5591</v>
      </c>
      <c r="D100" s="31" t="str" cm="1">
        <f t="array" aca="1" ref="D100" ca="1">INDIRECT(""&amp;$C100&amp;"!R"&amp;D$130&amp;"C"&amp;D$131,FALSE)</f>
        <v>Represents a generic wall or ceiling system as named in the material category. Includes framing and sheeting.</v>
      </c>
      <c r="E100" s="39" t="str">
        <f t="shared" si="16"/>
        <v>Ceiling_Wall_generic</v>
      </c>
      <c r="F100" s="14" t="str" cm="1">
        <f t="array" aca="1" ref="F100" ca="1">INDIRECT(""&amp;$C100&amp;"!R"&amp;MATCH($B100,INDIRECT("'"&amp;C100&amp;"'!B:B"),0)&amp;"C"&amp;F$131,FALSE)</f>
        <v>m²</v>
      </c>
      <c r="G100" s="14" t="str" cm="1">
        <f t="array" aca="1" ref="G100" ca="1">INDIRECT(""&amp;$C100&amp;"!R"&amp;G$130&amp;"C"&amp;G$131,FALSE)</f>
        <v>Untiered</v>
      </c>
      <c r="H100" s="32">
        <f ca="1">INDEX(Methodology!$B$26:$D$31,MATCH('EF Table_detail'!$G100,Methodology!$B$26:$B$31,0),MATCH('EF Table_detail'!$H$5,Methodology!$B$26:$D$26,0))</f>
        <v>1</v>
      </c>
      <c r="I100" s="98" cm="1">
        <f t="array" aca="1" ref="I100" ca="1">INDIRECT(""&amp;$C100&amp;"!R"&amp;MATCH($B100&amp;I$5,INDIRECT("'"&amp;$C100&amp;"'!J:J")&amp;INDIRECT("'"&amp;$C100&amp;"'!C:C"),0)&amp;"C"&amp;I$131,FALSE)</f>
        <v>26.592509999999997</v>
      </c>
      <c r="J100" s="99" cm="1">
        <f t="array" aca="1" ref="J100" ca="1">INDIRECT(""&amp;$C100&amp;"!R"&amp;MATCH($B100&amp;J$5,INDIRECT("'"&amp;$C100&amp;"'!J:J")&amp;INDIRECT("'"&amp;$C100&amp;"'!C:C"),0)&amp;"C"&amp;J$131,FALSE)</f>
        <v>14.348471705685618</v>
      </c>
      <c r="K100" s="114" cm="1">
        <f t="array" aca="1" ref="K100" ca="1">INDIRECT(""&amp;$C100&amp;"!R"&amp;MATCH($B100&amp;K$5,INDIRECT("'"&amp;$C100&amp;"'!J:J")&amp;INDIRECT("'"&amp;$C100&amp;"'!C:C"),0)&amp;"C"&amp;K$131,FALSE)</f>
        <v>18.60579895434417</v>
      </c>
      <c r="L100" s="101">
        <f ca="1">$K100*(1+INDEX(Methodology!$B$26:$E$31,MATCH($G100,Methodology!$B$26:$B$31,0),MATCH(M$5,Methodology!$B$26:$E$26,0)))</f>
        <v>18.60579895434417</v>
      </c>
      <c r="M100" s="102">
        <f ca="1">$I100*(1+INDEX(Methodology!$B$26:$E$31,MATCH($G100,Methodology!$B$26:$B$31,0),MATCH(M$5,Methodology!$B$26:$E$26,0)))</f>
        <v>26.592509999999997</v>
      </c>
      <c r="N100" s="99" cm="1">
        <f t="array" aca="1" ref="N100" ca="1">INDIRECT(""&amp;$C100&amp;"!R"&amp;MATCH($B100&amp;N$5,INDIRECT("'"&amp;$C100&amp;"'!J:J")&amp;INDIRECT("'"&amp;$C100&amp;"'!C:C"),0)&amp;"C"&amp;N$131,FALSE)</f>
        <v>0.9340537407797681</v>
      </c>
      <c r="O100" s="99" cm="1">
        <f t="array" aca="1" ref="O100" ca="1">INDIRECT(""&amp;$C100&amp;"!R"&amp;MATCH($B100&amp;O$5,INDIRECT("'"&amp;$C100&amp;"'!J:J")&amp;INDIRECT("'"&amp;$C100&amp;"'!C:C"),0)&amp;"C"&amp;O$131,FALSE)</f>
        <v>0.50398565878769297</v>
      </c>
      <c r="P100" s="100" cm="1">
        <f t="array" aca="1" ref="P100" ca="1">INDIRECT(""&amp;$C100&amp;"!R"&amp;MATCH($B100&amp;P$5,INDIRECT("'"&amp;$C100&amp;"'!J:J")&amp;INDIRECT("'"&amp;$C100&amp;"'!C:C"),0)&amp;"C"&amp;P$131,FALSE)</f>
        <v>0.65352296994535197</v>
      </c>
      <c r="Q100" s="101">
        <f ca="1">$P100*(1+INDEX(Methodology!$B$26:$E$31,MATCH($G100,Methodology!$B$26:$B$31,0),MATCH(R$5,Methodology!$B$26:$E$26,0)))</f>
        <v>0.65352296994535197</v>
      </c>
      <c r="R100" s="102">
        <f ca="1">$N100*(1+INDEX(Methodology!$B$26:$E$31,MATCH($G100,Methodology!$B$26:$B$31,0),MATCH(R$5,Methodology!$B$26:$E$26,0)))</f>
        <v>0.9340537407797681</v>
      </c>
      <c r="S100" s="103"/>
      <c r="T100" s="107" cm="1">
        <f t="array" aca="1" ref="T100" ca="1">INDIRECT(""&amp;$C100&amp;"!R"&amp;MATCH($B100&amp;T$5,INDIRECT("'"&amp;$C100&amp;"'!J:J")&amp;INDIRECT("'"&amp;$C100&amp;"'!C:C"),0)&amp;"C"&amp;T$131,FALSE)</f>
        <v>5.0581666666666676</v>
      </c>
      <c r="U100" s="108" cm="1">
        <f t="array" aca="1" ref="U100" ca="1">INDIRECT(""&amp;$C100&amp;"!R"&amp;MATCH($B100&amp;U$5,INDIRECT("'"&amp;$C100&amp;"'!J:J")&amp;INDIRECT("'"&amp;$C100&amp;"'!C:C"),0)&amp;"C"&amp;U$131,FALSE)</f>
        <v>0.99131514516407881</v>
      </c>
      <c r="V100" s="107" cm="1">
        <f t="array" aca="1" ref="V100" ca="1">INDIRECT(""&amp;$C100&amp;"!R"&amp;MATCH($B100&amp;V$5,INDIRECT("'"&amp;$C100&amp;"'!J:J")&amp;INDIRECT("'"&amp;$C100&amp;"'!C:C"),0)&amp;"C"&amp;V$131,FALSE)</f>
        <v>0.17766654958435785</v>
      </c>
      <c r="W100" s="109" cm="1">
        <f t="array" aca="1" ref="W100" ca="1">INDIRECT(""&amp;$C100&amp;"!R"&amp;MATCH($B100&amp;W$5,INDIRECT("'"&amp;$C100&amp;"'!J:J")&amp;INDIRECT("'"&amp;$C100&amp;"'!C:C"),0)&amp;"C"&amp;W$131,FALSE)</f>
        <v>3.4819639802040003E-2</v>
      </c>
      <c r="X100" s="103"/>
      <c r="Y100" s="107">
        <f t="shared" ca="1" si="24"/>
        <v>28.47</v>
      </c>
      <c r="Z100" s="29" t="str">
        <f t="shared" ca="1" si="25"/>
        <v>kg/m²</v>
      </c>
      <c r="AA100" s="35" t="str" cm="1">
        <f t="array" aca="1" ref="AA100" ca="1">IF(INDIRECT(""&amp;$C100&amp;"!R"&amp;AA$130&amp;"C"&amp;AA$131,FALSE)=0,"",INDIRECT(""&amp;$C100&amp;"!R"&amp;AA$130&amp;"C"&amp;AA$131,FALSE))</f>
        <v/>
      </c>
      <c r="AB100" s="36" t="s">
        <v>5592</v>
      </c>
    </row>
    <row r="101" spans="1:28" ht="45" customHeight="1" x14ac:dyDescent="0.25">
      <c r="A101" s="17" t="s">
        <v>5554</v>
      </c>
      <c r="B101" s="17" t="s">
        <v>5595</v>
      </c>
      <c r="C101" s="16" t="s">
        <v>5591</v>
      </c>
      <c r="D101" s="31" t="str" cm="1">
        <f t="array" aca="1" ref="D101" ca="1">INDIRECT(""&amp;$C101&amp;"!R"&amp;D$130&amp;"C"&amp;D$131,FALSE)</f>
        <v>Represents a generic wall or ceiling system as named in the material category. Includes framing and sheeting.</v>
      </c>
      <c r="E101" s="39" t="str">
        <f t="shared" si="16"/>
        <v>Ceiling_Wall_generic</v>
      </c>
      <c r="F101" s="14" t="str" cm="1">
        <f t="array" aca="1" ref="F101" ca="1">INDIRECT(""&amp;$C101&amp;"!R"&amp;MATCH($B101,INDIRECT("'"&amp;C101&amp;"'!B:B"),0)&amp;"C"&amp;F$131,FALSE)</f>
        <v>m²</v>
      </c>
      <c r="G101" s="14" t="str" cm="1">
        <f t="array" aca="1" ref="G101" ca="1">INDIRECT(""&amp;$C101&amp;"!R"&amp;G$130&amp;"C"&amp;G$131,FALSE)</f>
        <v>Untiered</v>
      </c>
      <c r="H101" s="32">
        <f ca="1">INDEX(Methodology!$B$26:$D$31,MATCH('EF Table_detail'!$G101,Methodology!$B$26:$B$31,0),MATCH('EF Table_detail'!$H$5,Methodology!$B$26:$D$26,0))</f>
        <v>1</v>
      </c>
      <c r="I101" s="98" cm="1">
        <f t="array" aca="1" ref="I101" ca="1">INDIRECT(""&amp;$C101&amp;"!R"&amp;MATCH($B101&amp;I$5,INDIRECT("'"&amp;$C101&amp;"'!J:J")&amp;INDIRECT("'"&amp;$C101&amp;"'!C:C"),0)&amp;"C"&amp;I$131,FALSE)</f>
        <v>20.733509999999999</v>
      </c>
      <c r="J101" s="99" cm="1">
        <f t="array" aca="1" ref="J101" ca="1">INDIRECT(""&amp;$C101&amp;"!R"&amp;MATCH($B101&amp;J$5,INDIRECT("'"&amp;$C101&amp;"'!J:J")&amp;INDIRECT("'"&amp;$C101&amp;"'!C:C"),0)&amp;"C"&amp;J$131,FALSE)</f>
        <v>12.175991705685618</v>
      </c>
      <c r="K101" s="114" cm="1">
        <f t="array" aca="1" ref="K101" ca="1">INDIRECT(""&amp;$C101&amp;"!R"&amp;MATCH($B101&amp;K$5,INDIRECT("'"&amp;$C101&amp;"'!J:J")&amp;INDIRECT("'"&amp;$C101&amp;"'!C:C"),0)&amp;"C"&amp;K$131,FALSE)</f>
        <v>14.831721670675122</v>
      </c>
      <c r="L101" s="101">
        <f ca="1">$K101*(1+INDEX(Methodology!$B$26:$E$31,MATCH($G101,Methodology!$B$26:$B$31,0),MATCH(M$5,Methodology!$B$26:$E$26,0)))</f>
        <v>14.831721670675122</v>
      </c>
      <c r="M101" s="102">
        <f ca="1">$I101*(1+INDEX(Methodology!$B$26:$E$31,MATCH($G101,Methodology!$B$26:$B$31,0),MATCH(M$5,Methodology!$B$26:$E$26,0)))</f>
        <v>20.733509999999999</v>
      </c>
      <c r="N101" s="99" cm="1">
        <f t="array" aca="1" ref="N101" ca="1">INDIRECT(""&amp;$C101&amp;"!R"&amp;MATCH($B101&amp;N$5,INDIRECT("'"&amp;$C101&amp;"'!J:J")&amp;INDIRECT("'"&amp;$C101&amp;"'!C:C"),0)&amp;"C"&amp;N$131,FALSE)</f>
        <v>1.2901997510889855</v>
      </c>
      <c r="O101" s="99" cm="1">
        <f t="array" aca="1" ref="O101" ca="1">INDIRECT(""&amp;$C101&amp;"!R"&amp;MATCH($B101&amp;O$5,INDIRECT("'"&amp;$C101&amp;"'!J:J")&amp;INDIRECT("'"&amp;$C101&amp;"'!C:C"),0)&amp;"C"&amp;O$131,FALSE)</f>
        <v>0.75768461143034338</v>
      </c>
      <c r="P101" s="100" cm="1">
        <f t="array" aca="1" ref="P101" ca="1">INDIRECT(""&amp;$C101&amp;"!R"&amp;MATCH($B101&amp;P$5,INDIRECT("'"&amp;$C101&amp;"'!J:J")&amp;INDIRECT("'"&amp;$C101&amp;"'!C:C"),0)&amp;"C"&amp;P$131,FALSE)</f>
        <v>0.92294472126167526</v>
      </c>
      <c r="Q101" s="101">
        <f ca="1">$P101*(1+INDEX(Methodology!$B$26:$E$31,MATCH($G101,Methodology!$B$26:$B$31,0),MATCH(R$5,Methodology!$B$26:$E$26,0)))</f>
        <v>0.92294472126167526</v>
      </c>
      <c r="R101" s="102">
        <f ca="1">$N101*(1+INDEX(Methodology!$B$26:$E$31,MATCH($G101,Methodology!$B$26:$B$31,0),MATCH(R$5,Methodology!$B$26:$E$26,0)))</f>
        <v>1.2901997510889855</v>
      </c>
      <c r="S101" s="103"/>
      <c r="T101" s="107" cm="1">
        <f t="array" aca="1" ref="T101" ca="1">INDIRECT(""&amp;$C101&amp;"!R"&amp;MATCH($B101&amp;T$5,INDIRECT("'"&amp;$C101&amp;"'!J:J")&amp;INDIRECT("'"&amp;$C101&amp;"'!C:C"),0)&amp;"C"&amp;T$131,FALSE)</f>
        <v>2.5290833333333338</v>
      </c>
      <c r="U101" s="108" cm="1">
        <f t="array" aca="1" ref="U101" ca="1">INDIRECT(""&amp;$C101&amp;"!R"&amp;MATCH($B101&amp;U$5,INDIRECT("'"&amp;$C101&amp;"'!J:J")&amp;INDIRECT("'"&amp;$C101&amp;"'!C:C"),0)&amp;"C"&amp;U$131,FALSE)</f>
        <v>0.49565757258203941</v>
      </c>
      <c r="V101" s="107" cm="1">
        <f t="array" aca="1" ref="V101" ca="1">INDIRECT(""&amp;$C101&amp;"!R"&amp;MATCH($B101&amp;V$5,INDIRECT("'"&amp;$C101&amp;"'!J:J")&amp;INDIRECT("'"&amp;$C101&amp;"'!C:C"),0)&amp;"C"&amp;V$131,FALSE)</f>
        <v>0.15737917444513588</v>
      </c>
      <c r="W101" s="109" cm="1">
        <f t="array" aca="1" ref="W101" ca="1">INDIRECT(""&amp;$C101&amp;"!R"&amp;MATCH($B101&amp;W$5,INDIRECT("'"&amp;$C101&amp;"'!J:J")&amp;INDIRECT("'"&amp;$C101&amp;"'!C:C"),0)&amp;"C"&amp;W$131,FALSE)</f>
        <v>3.0843657285752297E-2</v>
      </c>
      <c r="X101" s="103"/>
      <c r="Y101" s="107">
        <f t="shared" ca="1" si="24"/>
        <v>16.07</v>
      </c>
      <c r="Z101" s="29" t="str">
        <f t="shared" ca="1" si="25"/>
        <v>kg/m²</v>
      </c>
      <c r="AA101" s="35" t="str" cm="1">
        <f t="array" aca="1" ref="AA101" ca="1">IF(INDIRECT(""&amp;$C101&amp;"!R"&amp;AA$130&amp;"C"&amp;AA$131,FALSE)=0,"",INDIRECT(""&amp;$C101&amp;"!R"&amp;AA$130&amp;"C"&amp;AA$131,FALSE))</f>
        <v/>
      </c>
      <c r="AB101" s="36" t="s">
        <v>5592</v>
      </c>
    </row>
    <row r="102" spans="1:28" ht="45" customHeight="1" x14ac:dyDescent="0.25">
      <c r="A102" s="17" t="s">
        <v>5554</v>
      </c>
      <c r="B102" s="17" t="s">
        <v>5596</v>
      </c>
      <c r="C102" s="16" t="s">
        <v>5591</v>
      </c>
      <c r="D102" s="31" t="str" cm="1">
        <f t="array" aca="1" ref="D102" ca="1">INDIRECT(""&amp;$C102&amp;"!R"&amp;D$130&amp;"C"&amp;D$131,FALSE)</f>
        <v>Represents a generic wall or ceiling system as named in the material category. Includes framing and sheeting.</v>
      </c>
      <c r="E102" s="39" t="str">
        <f t="shared" si="16"/>
        <v>Ceiling_Wall_generic</v>
      </c>
      <c r="F102" s="14" t="str" cm="1">
        <f t="array" aca="1" ref="F102" ca="1">INDIRECT(""&amp;$C102&amp;"!R"&amp;MATCH($B102,INDIRECT("'"&amp;C102&amp;"'!B:B"),0)&amp;"C"&amp;F$131,FALSE)</f>
        <v>m²</v>
      </c>
      <c r="G102" s="14" t="str" cm="1">
        <f t="array" aca="1" ref="G102" ca="1">INDIRECT(""&amp;$C102&amp;"!R"&amp;G$130&amp;"C"&amp;G$131,FALSE)</f>
        <v>Untiered</v>
      </c>
      <c r="H102" s="32">
        <f ca="1">INDEX(Methodology!$B$26:$D$31,MATCH('EF Table_detail'!$G102,Methodology!$B$26:$B$31,0),MATCH('EF Table_detail'!$H$5,Methodology!$B$26:$D$26,0))</f>
        <v>1</v>
      </c>
      <c r="I102" s="98" cm="1">
        <f t="array" aca="1" ref="I102" ca="1">INDIRECT(""&amp;$C102&amp;"!R"&amp;MATCH($B102&amp;I$5,INDIRECT("'"&amp;$C102&amp;"'!J:J")&amp;INDIRECT("'"&amp;$C102&amp;"'!C:C"),0)&amp;"C"&amp;I$131,FALSE)</f>
        <v>14.983605266787659</v>
      </c>
      <c r="J102" s="99" cm="1">
        <f t="array" aca="1" ref="J102" ca="1">INDIRECT(""&amp;$C102&amp;"!R"&amp;MATCH($B102&amp;J$5,INDIRECT("'"&amp;$C102&amp;"'!J:J")&amp;INDIRECT("'"&amp;$C102&amp;"'!C:C"),0)&amp;"C"&amp;J$131,FALSE)</f>
        <v>5.4006217059891126</v>
      </c>
      <c r="K102" s="114" cm="1">
        <f t="array" aca="1" ref="K102" ca="1">INDIRECT(""&amp;$C102&amp;"!R"&amp;MATCH($B102&amp;K$5,INDIRECT("'"&amp;$C102&amp;"'!J:J")&amp;INDIRECT("'"&amp;$C102&amp;"'!C:C"),0)&amp;"C"&amp;K$131,FALSE)</f>
        <v>9.4350969845978181</v>
      </c>
      <c r="L102" s="101">
        <f ca="1">$K102*(1+INDEX(Methodology!$B$26:$E$31,MATCH($G102,Methodology!$B$26:$B$31,0),MATCH(M$5,Methodology!$B$26:$E$26,0)))</f>
        <v>9.4350969845978181</v>
      </c>
      <c r="M102" s="102">
        <f ca="1">$I102*(1+INDEX(Methodology!$B$26:$E$31,MATCH($G102,Methodology!$B$26:$B$31,0),MATCH(M$5,Methodology!$B$26:$E$26,0)))</f>
        <v>14.983605266787659</v>
      </c>
      <c r="N102" s="99" cm="1">
        <f t="array" aca="1" ref="N102" ca="1">INDIRECT(""&amp;$C102&amp;"!R"&amp;MATCH($B102&amp;N$5,INDIRECT("'"&amp;$C102&amp;"'!J:J")&amp;INDIRECT("'"&amp;$C102&amp;"'!C:C"),0)&amp;"C"&amp;N$131,FALSE)</f>
        <v>0.50012033600759875</v>
      </c>
      <c r="O102" s="99" cm="1">
        <f t="array" aca="1" ref="O102" ca="1">INDIRECT(""&amp;$C102&amp;"!R"&amp;MATCH($B102&amp;O$5,INDIRECT("'"&amp;$C102&amp;"'!J:J")&amp;INDIRECT("'"&amp;$C102&amp;"'!C:C"),0)&amp;"C"&amp;O$131,FALSE)</f>
        <v>0.18026107162847504</v>
      </c>
      <c r="P102" s="100" cm="1">
        <f t="array" aca="1" ref="P102" ca="1">INDIRECT(""&amp;$C102&amp;"!R"&amp;MATCH($B102&amp;P$5,INDIRECT("'"&amp;$C102&amp;"'!J:J")&amp;INDIRECT("'"&amp;$C102&amp;"'!C:C"),0)&amp;"C"&amp;P$131,FALSE)</f>
        <v>0.31492313032702995</v>
      </c>
      <c r="Q102" s="101">
        <f ca="1">$P102*(1+INDEX(Methodology!$B$26:$E$31,MATCH($G102,Methodology!$B$26:$B$31,0),MATCH(R$5,Methodology!$B$26:$E$26,0)))</f>
        <v>0.31492313032702995</v>
      </c>
      <c r="R102" s="102">
        <f ca="1">$N102*(1+INDEX(Methodology!$B$26:$E$31,MATCH($G102,Methodology!$B$26:$B$31,0),MATCH(R$5,Methodology!$B$26:$E$26,0)))</f>
        <v>0.50012033600759875</v>
      </c>
      <c r="S102" s="103"/>
      <c r="T102" s="107" cm="1">
        <f t="array" aca="1" ref="T102" ca="1">INDIRECT(""&amp;$C102&amp;"!R"&amp;MATCH($B102&amp;T$5,INDIRECT("'"&amp;$C102&amp;"'!J:J")&amp;INDIRECT("'"&amp;$C102&amp;"'!C:C"),0)&amp;"C"&amp;T$131,FALSE)</f>
        <v>13.382966666666668</v>
      </c>
      <c r="U102" s="108" cm="1">
        <f t="array" aca="1" ref="U102" ca="1">INDIRECT(""&amp;$C102&amp;"!R"&amp;MATCH($B102&amp;U$5,INDIRECT("'"&amp;$C102&amp;"'!J:J")&amp;INDIRECT("'"&amp;$C102&amp;"'!C:C"),0)&amp;"C"&amp;U$131,FALSE)</f>
        <v>9.4314111179629645</v>
      </c>
      <c r="V102" s="107" cm="1">
        <f t="array" aca="1" ref="V102" ca="1">INDIRECT(""&amp;$C102&amp;"!R"&amp;MATCH($B102&amp;V$5,INDIRECT("'"&amp;$C102&amp;"'!J:J")&amp;INDIRECT("'"&amp;$C102&amp;"'!C:C"),0)&amp;"C"&amp;V$131,FALSE)</f>
        <v>0.44669448153093017</v>
      </c>
      <c r="W102" s="109" cm="1">
        <f t="array" aca="1" ref="W102" ca="1">INDIRECT(""&amp;$C102&amp;"!R"&amp;MATCH($B102&amp;W$5,INDIRECT("'"&amp;$C102&amp;"'!J:J")&amp;INDIRECT("'"&amp;$C102&amp;"'!C:C"),0)&amp;"C"&amp;W$131,FALSE)</f>
        <v>0.31480010407085995</v>
      </c>
      <c r="X102" s="103"/>
      <c r="Y102" s="107">
        <f t="shared" ca="1" si="24"/>
        <v>29.96</v>
      </c>
      <c r="Z102" s="29" t="str">
        <f t="shared" ca="1" si="25"/>
        <v>kg/m²</v>
      </c>
      <c r="AA102" s="35" t="str" cm="1">
        <f t="array" aca="1" ref="AA102" ca="1">IF(INDIRECT(""&amp;$C102&amp;"!R"&amp;AA$130&amp;"C"&amp;AA$131,FALSE)=0,"",INDIRECT(""&amp;$C102&amp;"!R"&amp;AA$130&amp;"C"&amp;AA$131,FALSE))</f>
        <v/>
      </c>
      <c r="AB102" s="36" t="s">
        <v>5592</v>
      </c>
    </row>
    <row r="103" spans="1:28" ht="45" customHeight="1" x14ac:dyDescent="0.25">
      <c r="A103" s="17" t="s">
        <v>5554</v>
      </c>
      <c r="B103" s="17" t="s">
        <v>5597</v>
      </c>
      <c r="C103" s="16" t="s">
        <v>5591</v>
      </c>
      <c r="D103" s="31" t="str" cm="1">
        <f t="array" aca="1" ref="D103" ca="1">INDIRECT(""&amp;$C103&amp;"!R"&amp;D$130&amp;"C"&amp;D$131,FALSE)</f>
        <v>Represents a generic wall or ceiling system as named in the material category. Includes framing and sheeting.</v>
      </c>
      <c r="E103" s="39" t="str">
        <f t="shared" ref="E103:E127" si="26">HYPERLINK("#"&amp;C103&amp;"!A1",C103)</f>
        <v>Ceiling_Wall_generic</v>
      </c>
      <c r="F103" s="14" t="str" cm="1">
        <f t="array" aca="1" ref="F103" ca="1">INDIRECT(""&amp;$C103&amp;"!R"&amp;MATCH($B103,INDIRECT("'"&amp;C103&amp;"'!B:B"),0)&amp;"C"&amp;F$131,FALSE)</f>
        <v>m²</v>
      </c>
      <c r="G103" s="14" t="str" cm="1">
        <f t="array" aca="1" ref="G103" ca="1">INDIRECT(""&amp;$C103&amp;"!R"&amp;G$130&amp;"C"&amp;G$131,FALSE)</f>
        <v>Untiered</v>
      </c>
      <c r="H103" s="32">
        <f ca="1">INDEX(Methodology!$B$26:$D$31,MATCH('EF Table_detail'!$G103,Methodology!$B$26:$B$31,0),MATCH('EF Table_detail'!$H$5,Methodology!$B$26:$D$26,0))</f>
        <v>1</v>
      </c>
      <c r="I103" s="98" cm="1">
        <f t="array" aca="1" ref="I103" ca="1">INDIRECT(""&amp;$C103&amp;"!R"&amp;MATCH($B103&amp;I$5,INDIRECT("'"&amp;$C103&amp;"'!J:J")&amp;INDIRECT("'"&amp;$C103&amp;"'!C:C"),0)&amp;"C"&amp;I$131,FALSE)</f>
        <v>9.1246052667876594</v>
      </c>
      <c r="J103" s="99" cm="1">
        <f t="array" aca="1" ref="J103" ca="1">INDIRECT(""&amp;$C103&amp;"!R"&amp;MATCH($B103&amp;J$5,INDIRECT("'"&amp;$C103&amp;"'!J:J")&amp;INDIRECT("'"&amp;$C103&amp;"'!C:C"),0)&amp;"C"&amp;J$131,FALSE)</f>
        <v>3.2281417059891124</v>
      </c>
      <c r="K103" s="114" cm="1">
        <f t="array" aca="1" ref="K103" ca="1">INDIRECT(""&amp;$C103&amp;"!R"&amp;MATCH($B103&amp;K$5,INDIRECT("'"&amp;$C103&amp;"'!J:J")&amp;INDIRECT("'"&amp;$C103&amp;"'!C:C"),0)&amp;"C"&amp;K$131,FALSE)</f>
        <v>5.6610197009287715</v>
      </c>
      <c r="L103" s="101">
        <f ca="1">$K103*(1+INDEX(Methodology!$B$26:$E$31,MATCH($G103,Methodology!$B$26:$B$31,0),MATCH(M$5,Methodology!$B$26:$E$26,0)))</f>
        <v>5.6610197009287715</v>
      </c>
      <c r="M103" s="102">
        <f ca="1">$I103*(1+INDEX(Methodology!$B$26:$E$31,MATCH($G103,Methodology!$B$26:$B$31,0),MATCH(M$5,Methodology!$B$26:$E$26,0)))</f>
        <v>9.1246052667876594</v>
      </c>
      <c r="N103" s="99" cm="1">
        <f t="array" aca="1" ref="N103" ca="1">INDIRECT(""&amp;$C103&amp;"!R"&amp;MATCH($B103&amp;N$5,INDIRECT("'"&amp;$C103&amp;"'!J:J")&amp;INDIRECT("'"&amp;$C103&amp;"'!C:C"),0)&amp;"C"&amp;N$131,FALSE)</f>
        <v>0.51962444571683708</v>
      </c>
      <c r="O103" s="99" cm="1">
        <f t="array" aca="1" ref="O103" ca="1">INDIRECT(""&amp;$C103&amp;"!R"&amp;MATCH($B103&amp;O$5,INDIRECT("'"&amp;$C103&amp;"'!J:J")&amp;INDIRECT("'"&amp;$C103&amp;"'!C:C"),0)&amp;"C"&amp;O$131,FALSE)</f>
        <v>0.18383494908821824</v>
      </c>
      <c r="P103" s="100" cm="1">
        <f t="array" aca="1" ref="P103" ca="1">INDIRECT(""&amp;$C103&amp;"!R"&amp;MATCH($B103&amp;P$5,INDIRECT("'"&amp;$C103&amp;"'!J:J")&amp;INDIRECT("'"&amp;$C103&amp;"'!C:C"),0)&amp;"C"&amp;P$131,FALSE)</f>
        <v>0.32238153194355185</v>
      </c>
      <c r="Q103" s="101">
        <f ca="1">$P103*(1+INDEX(Methodology!$B$26:$E$31,MATCH($G103,Methodology!$B$26:$B$31,0),MATCH(R$5,Methodology!$B$26:$E$26,0)))</f>
        <v>0.32238153194355185</v>
      </c>
      <c r="R103" s="102">
        <f ca="1">$N103*(1+INDEX(Methodology!$B$26:$E$31,MATCH($G103,Methodology!$B$26:$B$31,0),MATCH(R$5,Methodology!$B$26:$E$26,0)))</f>
        <v>0.51962444571683708</v>
      </c>
      <c r="S103" s="103"/>
      <c r="T103" s="107" cm="1">
        <f t="array" aca="1" ref="T103" ca="1">INDIRECT(""&amp;$C103&amp;"!R"&amp;MATCH($B103&amp;T$5,INDIRECT("'"&amp;$C103&amp;"'!J:J")&amp;INDIRECT("'"&amp;$C103&amp;"'!C:C"),0)&amp;"C"&amp;T$131,FALSE)</f>
        <v>10.853883333333336</v>
      </c>
      <c r="U103" s="108" cm="1">
        <f t="array" aca="1" ref="U103" ca="1">INDIRECT(""&amp;$C103&amp;"!R"&amp;MATCH($B103&amp;U$5,INDIRECT("'"&amp;$C103&amp;"'!J:J")&amp;INDIRECT("'"&amp;$C103&amp;"'!C:C"),0)&amp;"C"&amp;U$131,FALSE)</f>
        <v>8.9357535453809263</v>
      </c>
      <c r="V103" s="107" cm="1">
        <f t="array" aca="1" ref="V103" ca="1">INDIRECT(""&amp;$C103&amp;"!R"&amp;MATCH($B103&amp;V$5,INDIRECT("'"&amp;$C103&amp;"'!J:J")&amp;INDIRECT("'"&amp;$C103&amp;"'!C:C"),0)&amp;"C"&amp;V$131,FALSE)</f>
        <v>0.61810269552012154</v>
      </c>
      <c r="W103" s="109" cm="1">
        <f t="array" aca="1" ref="W103" ca="1">INDIRECT(""&amp;$C103&amp;"!R"&amp;MATCH($B103&amp;W$5,INDIRECT("'"&amp;$C103&amp;"'!J:J")&amp;INDIRECT("'"&amp;$C103&amp;"'!C:C"),0)&amp;"C"&amp;W$131,FALSE)</f>
        <v>0.50886979187818482</v>
      </c>
      <c r="X103" s="103"/>
      <c r="Y103" s="107">
        <f t="shared" ca="1" si="24"/>
        <v>17.560000000000002</v>
      </c>
      <c r="Z103" s="29" t="str">
        <f t="shared" ca="1" si="25"/>
        <v>kg/m²</v>
      </c>
      <c r="AA103" s="35" t="str" cm="1">
        <f t="array" aca="1" ref="AA103" ca="1">IF(INDIRECT(""&amp;$C103&amp;"!R"&amp;AA$130&amp;"C"&amp;AA$131,FALSE)=0,"",INDIRECT(""&amp;$C103&amp;"!R"&amp;AA$130&amp;"C"&amp;AA$131,FALSE))</f>
        <v/>
      </c>
      <c r="AB103" s="36" t="s">
        <v>5592</v>
      </c>
    </row>
    <row r="104" spans="1:28" ht="45" customHeight="1" x14ac:dyDescent="0.25">
      <c r="A104" s="17" t="s">
        <v>5554</v>
      </c>
      <c r="B104" s="17" t="s">
        <v>5598</v>
      </c>
      <c r="C104" s="16" t="s">
        <v>5591</v>
      </c>
      <c r="D104" s="31" t="str" cm="1">
        <f t="array" aca="1" ref="D104" ca="1">INDIRECT(""&amp;$C104&amp;"!R"&amp;D$130&amp;"C"&amp;D$131,FALSE)</f>
        <v>Represents a generic wall or ceiling system as named in the material category. Includes framing and sheeting.</v>
      </c>
      <c r="E104" s="39" t="str">
        <f t="shared" si="26"/>
        <v>Ceiling_Wall_generic</v>
      </c>
      <c r="F104" s="14" t="str" cm="1">
        <f t="array" aca="1" ref="F104" ca="1">INDIRECT(""&amp;$C104&amp;"!R"&amp;MATCH($B104,INDIRECT("'"&amp;C104&amp;"'!B:B"),0)&amp;"C"&amp;F$131,FALSE)</f>
        <v>m²</v>
      </c>
      <c r="G104" s="14" t="str" cm="1">
        <f t="array" aca="1" ref="G104" ca="1">INDIRECT(""&amp;$C104&amp;"!R"&amp;G$130&amp;"C"&amp;G$131,FALSE)</f>
        <v>Untiered</v>
      </c>
      <c r="H104" s="32">
        <f ca="1">INDEX(Methodology!$B$26:$D$31,MATCH('EF Table_detail'!$G104,Methodology!$B$26:$B$31,0),MATCH('EF Table_detail'!$H$5,Methodology!$B$26:$D$26,0))</f>
        <v>1</v>
      </c>
      <c r="I104" s="98" cm="1">
        <f t="array" aca="1" ref="I104" ca="1">INDIRECT(""&amp;$C104&amp;"!R"&amp;MATCH($B104&amp;I$5,INDIRECT("'"&amp;$C104&amp;"'!J:J")&amp;INDIRECT("'"&amp;$C104&amp;"'!C:C"),0)&amp;"C"&amp;I$131,FALSE)</f>
        <v>63.368844883646787</v>
      </c>
      <c r="J104" s="99" cm="1">
        <f t="array" aca="1" ref="J104" ca="1">INDIRECT(""&amp;$C104&amp;"!R"&amp;MATCH($B104&amp;J$5,INDIRECT("'"&amp;$C104&amp;"'!J:J")&amp;INDIRECT("'"&amp;$C104&amp;"'!C:C"),0)&amp;"C"&amp;J$131,FALSE)</f>
        <v>39.162478883257762</v>
      </c>
      <c r="K104" s="114" cm="1">
        <f t="array" aca="1" ref="K104" ca="1">INDIRECT(""&amp;$C104&amp;"!R"&amp;MATCH($B104&amp;K$5,INDIRECT("'"&amp;$C104&amp;"'!J:J")&amp;INDIRECT("'"&amp;$C104&amp;"'!C:C"),0)&amp;"C"&amp;K$131,FALSE)</f>
        <v>45.562051204693773</v>
      </c>
      <c r="L104" s="101">
        <f ca="1">$K104*(1+INDEX(Methodology!$B$26:$E$31,MATCH($G104,Methodology!$B$26:$B$31,0),MATCH(M$5,Methodology!$B$26:$E$26,0)))</f>
        <v>45.562051204693773</v>
      </c>
      <c r="M104" s="102">
        <f ca="1">$I104*(1+INDEX(Methodology!$B$26:$E$31,MATCH($G104,Methodology!$B$26:$B$31,0),MATCH(M$5,Methodology!$B$26:$E$26,0)))</f>
        <v>63.368844883646787</v>
      </c>
      <c r="N104" s="99" cm="1">
        <f t="array" aca="1" ref="N104" ca="1">INDIRECT(""&amp;$C104&amp;"!R"&amp;MATCH($B104&amp;N$5,INDIRECT("'"&amp;$C104&amp;"'!J:J")&amp;INDIRECT("'"&amp;$C104&amp;"'!C:C"),0)&amp;"C"&amp;N$131,FALSE)</f>
        <v>0.96598848907998158</v>
      </c>
      <c r="O104" s="99" cm="1">
        <f t="array" aca="1" ref="O104" ca="1">INDIRECT(""&amp;$C104&amp;"!R"&amp;MATCH($B104&amp;O$5,INDIRECT("'"&amp;$C104&amp;"'!J:J")&amp;INDIRECT("'"&amp;$C104&amp;"'!C:C"),0)&amp;"C"&amp;O$131,FALSE)</f>
        <v>0.59698900736673421</v>
      </c>
      <c r="P104" s="100" cm="1">
        <f t="array" aca="1" ref="P104" ca="1">INDIRECT(""&amp;$C104&amp;"!R"&amp;MATCH($B104&amp;P$5,INDIRECT("'"&amp;$C104&amp;"'!J:J")&amp;INDIRECT("'"&amp;$C104&amp;"'!C:C"),0)&amp;"C"&amp;P$131,FALSE)</f>
        <v>0.69454346348618567</v>
      </c>
      <c r="Q104" s="101">
        <f ca="1">$P104*(1+INDEX(Methodology!$B$26:$E$31,MATCH($G104,Methodology!$B$26:$B$31,0),MATCH(R$5,Methodology!$B$26:$E$26,0)))</f>
        <v>0.69454346348618567</v>
      </c>
      <c r="R104" s="102">
        <f ca="1">$N104*(1+INDEX(Methodology!$B$26:$E$31,MATCH($G104,Methodology!$B$26:$B$31,0),MATCH(R$5,Methodology!$B$26:$E$26,0)))</f>
        <v>0.96598848907998158</v>
      </c>
      <c r="S104" s="103"/>
      <c r="T104" s="107" cm="1">
        <f t="array" aca="1" ref="T104" ca="1">INDIRECT(""&amp;$C104&amp;"!R"&amp;MATCH($B104&amp;T$5,INDIRECT("'"&amp;$C104&amp;"'!J:J")&amp;INDIRECT("'"&amp;$C104&amp;"'!C:C"),0)&amp;"C"&amp;T$131,FALSE)</f>
        <v>0</v>
      </c>
      <c r="U104" s="108" cm="1">
        <f t="array" aca="1" ref="U104" ca="1">INDIRECT(""&amp;$C104&amp;"!R"&amp;MATCH($B104&amp;U$5,INDIRECT("'"&amp;$C104&amp;"'!J:J")&amp;INDIRECT("'"&amp;$C104&amp;"'!C:C"),0)&amp;"C"&amp;U$131,FALSE)</f>
        <v>0</v>
      </c>
      <c r="V104" s="107" cm="1">
        <f t="array" aca="1" ref="V104" ca="1">INDIRECT(""&amp;$C104&amp;"!R"&amp;MATCH($B104&amp;V$5,INDIRECT("'"&amp;$C104&amp;"'!J:J")&amp;INDIRECT("'"&amp;$C104&amp;"'!C:C"),0)&amp;"C"&amp;V$131,FALSE)</f>
        <v>0</v>
      </c>
      <c r="W104" s="109" cm="1">
        <f t="array" aca="1" ref="W104" ca="1">INDIRECT(""&amp;$C104&amp;"!R"&amp;MATCH($B104&amp;W$5,INDIRECT("'"&amp;$C104&amp;"'!J:J")&amp;INDIRECT("'"&amp;$C104&amp;"'!C:C"),0)&amp;"C"&amp;W$131,FALSE)</f>
        <v>0</v>
      </c>
      <c r="X104" s="103"/>
      <c r="Y104" s="107">
        <f t="shared" ca="1" si="24"/>
        <v>65.599999999999994</v>
      </c>
      <c r="Z104" s="29" t="str">
        <f t="shared" ca="1" si="25"/>
        <v>kg/m²</v>
      </c>
      <c r="AA104" s="35" t="str" cm="1">
        <f t="array" aca="1" ref="AA104" ca="1">IF(INDIRECT(""&amp;$C104&amp;"!R"&amp;AA$130&amp;"C"&amp;AA$131,FALSE)=0,"",INDIRECT(""&amp;$C104&amp;"!R"&amp;AA$130&amp;"C"&amp;AA$131,FALSE))</f>
        <v/>
      </c>
      <c r="AB104" s="36" t="s">
        <v>5592</v>
      </c>
    </row>
    <row r="105" spans="1:28" ht="45" customHeight="1" x14ac:dyDescent="0.25">
      <c r="A105" s="17" t="s">
        <v>5554</v>
      </c>
      <c r="B105" s="17" t="s">
        <v>5599</v>
      </c>
      <c r="C105" s="16" t="s">
        <v>5591</v>
      </c>
      <c r="D105" s="31" t="str" cm="1">
        <f t="array" aca="1" ref="D105" ca="1">INDIRECT(""&amp;$C105&amp;"!R"&amp;D$130&amp;"C"&amp;D$131,FALSE)</f>
        <v>Represents a generic wall or ceiling system as named in the material category. Includes framing and sheeting.</v>
      </c>
      <c r="E105" s="39" t="str">
        <f t="shared" si="26"/>
        <v>Ceiling_Wall_generic</v>
      </c>
      <c r="F105" s="14" t="str" cm="1">
        <f t="array" aca="1" ref="F105" ca="1">INDIRECT(""&amp;$C105&amp;"!R"&amp;MATCH($B105,INDIRECT("'"&amp;C105&amp;"'!B:B"),0)&amp;"C"&amp;F$131,FALSE)</f>
        <v>m²</v>
      </c>
      <c r="G105" s="14" t="str" cm="1">
        <f t="array" aca="1" ref="G105" ca="1">INDIRECT(""&amp;$C105&amp;"!R"&amp;G$130&amp;"C"&amp;G$131,FALSE)</f>
        <v>Untiered</v>
      </c>
      <c r="H105" s="32">
        <f ca="1">INDEX(Methodology!$B$26:$D$31,MATCH('EF Table_detail'!$G105,Methodology!$B$26:$B$31,0),MATCH('EF Table_detail'!$H$5,Methodology!$B$26:$D$26,0))</f>
        <v>1</v>
      </c>
      <c r="I105" s="98" cm="1">
        <f t="array" aca="1" ref="I105" ca="1">INDIRECT(""&amp;$C105&amp;"!R"&amp;MATCH($B105&amp;I$5,INDIRECT("'"&amp;$C105&amp;"'!J:J")&amp;INDIRECT("'"&amp;$C105&amp;"'!C:C"),0)&amp;"C"&amp;I$131,FALSE)</f>
        <v>10.7226</v>
      </c>
      <c r="J105" s="99" cm="1">
        <f t="array" aca="1" ref="J105" ca="1">INDIRECT(""&amp;$C105&amp;"!R"&amp;MATCH($B105&amp;J$5,INDIRECT("'"&amp;$C105&amp;"'!J:J")&amp;INDIRECT("'"&amp;$C105&amp;"'!C:C"),0)&amp;"C"&amp;J$131,FALSE)</f>
        <v>5.443383010033445</v>
      </c>
      <c r="K105" s="114" cm="1">
        <f t="array" aca="1" ref="K105" ca="1">INDIRECT(""&amp;$C105&amp;"!R"&amp;MATCH($B105&amp;K$5,INDIRECT("'"&amp;$C105&amp;"'!J:J")&amp;INDIRECT("'"&amp;$C105&amp;"'!C:C"),0)&amp;"C"&amp;K$131,FALSE)</f>
        <v>7.3896558298290707</v>
      </c>
      <c r="L105" s="101">
        <f ca="1">$K105*(1+INDEX(Methodology!$B$26:$E$31,MATCH($G105,Methodology!$B$26:$B$31,0),MATCH(M$5,Methodology!$B$26:$E$26,0)))</f>
        <v>7.3896558298290707</v>
      </c>
      <c r="M105" s="102">
        <f ca="1">$I105*(1+INDEX(Methodology!$B$26:$E$31,MATCH($G105,Methodology!$B$26:$B$31,0),MATCH(M$5,Methodology!$B$26:$E$26,0)))</f>
        <v>10.7226</v>
      </c>
      <c r="N105" s="99" cm="1">
        <f t="array" aca="1" ref="N105" ca="1">INDIRECT(""&amp;$C105&amp;"!R"&amp;MATCH($B105&amp;N$5,INDIRECT("'"&amp;$C105&amp;"'!J:J")&amp;INDIRECT("'"&amp;$C105&amp;"'!C:C"),0)&amp;"C"&amp;N$131,FALSE)</f>
        <v>0.78842647058823534</v>
      </c>
      <c r="O105" s="99" cm="1">
        <f t="array" aca="1" ref="O105" ca="1">INDIRECT(""&amp;$C105&amp;"!R"&amp;MATCH($B105&amp;O$5,INDIRECT("'"&amp;$C105&amp;"'!J:J")&amp;INDIRECT("'"&amp;$C105&amp;"'!C:C"),0)&amp;"C"&amp;O$131,FALSE)</f>
        <v>0.40024875073775334</v>
      </c>
      <c r="P105" s="100" cm="1">
        <f t="array" aca="1" ref="P105" ca="1">INDIRECT(""&amp;$C105&amp;"!R"&amp;MATCH($B105&amp;P$5,INDIRECT("'"&amp;$C105&amp;"'!J:J")&amp;INDIRECT("'"&amp;$C105&amp;"'!C:C"),0)&amp;"C"&amp;P$131,FALSE)</f>
        <v>0.54335704631096104</v>
      </c>
      <c r="Q105" s="101">
        <f ca="1">$P105*(1+INDEX(Methodology!$B$26:$E$31,MATCH($G105,Methodology!$B$26:$B$31,0),MATCH(R$5,Methodology!$B$26:$E$26,0)))</f>
        <v>0.54335704631096104</v>
      </c>
      <c r="R105" s="102">
        <f ca="1">$N105*(1+INDEX(Methodology!$B$26:$E$31,MATCH($G105,Methodology!$B$26:$B$31,0),MATCH(R$5,Methodology!$B$26:$E$26,0)))</f>
        <v>0.78842647058823534</v>
      </c>
      <c r="S105" s="103"/>
      <c r="T105" s="107" cm="1">
        <f t="array" aca="1" ref="T105" ca="1">INDIRECT(""&amp;$C105&amp;"!R"&amp;MATCH($B105&amp;T$5,INDIRECT("'"&amp;$C105&amp;"'!J:J")&amp;INDIRECT("'"&amp;$C105&amp;"'!C:C"),0)&amp;"C"&amp;T$131,FALSE)</f>
        <v>2.5290833333333338</v>
      </c>
      <c r="U105" s="108" cm="1">
        <f t="array" aca="1" ref="U105" ca="1">INDIRECT(""&amp;$C105&amp;"!R"&amp;MATCH($B105&amp;U$5,INDIRECT("'"&amp;$C105&amp;"'!J:J")&amp;INDIRECT("'"&amp;$C105&amp;"'!C:C"),0)&amp;"C"&amp;U$131,FALSE)</f>
        <v>0.49565757258203941</v>
      </c>
      <c r="V105" s="107" cm="1">
        <f t="array" aca="1" ref="V105" ca="1">INDIRECT(""&amp;$C105&amp;"!R"&amp;MATCH($B105&amp;V$5,INDIRECT("'"&amp;$C105&amp;"'!J:J")&amp;INDIRECT("'"&amp;$C105&amp;"'!C:C"),0)&amp;"C"&amp;V$131,FALSE)</f>
        <v>0.18596200980392161</v>
      </c>
      <c r="W105" s="109" cm="1">
        <f t="array" aca="1" ref="W105" ca="1">INDIRECT(""&amp;$C105&amp;"!R"&amp;MATCH($B105&amp;W$5,INDIRECT("'"&amp;$C105&amp;"'!J:J")&amp;INDIRECT("'"&amp;$C105&amp;"'!C:C"),0)&amp;"C"&amp;W$131,FALSE)</f>
        <v>3.6445409748679367E-2</v>
      </c>
      <c r="X105" s="103"/>
      <c r="Y105" s="107">
        <f t="shared" ca="1" si="24"/>
        <v>13.600000000000001</v>
      </c>
      <c r="Z105" s="29" t="str">
        <f t="shared" ca="1" si="25"/>
        <v>kg/m²</v>
      </c>
      <c r="AA105" s="35" t="str" cm="1">
        <f t="array" aca="1" ref="AA105" ca="1">IF(INDIRECT(""&amp;$C105&amp;"!R"&amp;AA$130&amp;"C"&amp;AA$131,FALSE)=0,"",INDIRECT(""&amp;$C105&amp;"!R"&amp;AA$130&amp;"C"&amp;AA$131,FALSE))</f>
        <v/>
      </c>
      <c r="AB105" s="36" t="s">
        <v>5592</v>
      </c>
    </row>
    <row r="106" spans="1:28" ht="45" customHeight="1" x14ac:dyDescent="0.25">
      <c r="A106" s="17" t="s">
        <v>5554</v>
      </c>
      <c r="B106" s="17" t="s">
        <v>5600</v>
      </c>
      <c r="C106" s="16" t="s">
        <v>5591</v>
      </c>
      <c r="D106" s="31" t="str" cm="1">
        <f t="array" aca="1" ref="D106" ca="1">INDIRECT(""&amp;$C106&amp;"!R"&amp;D$130&amp;"C"&amp;D$131,FALSE)</f>
        <v>Represents a generic wall or ceiling system as named in the material category. Includes framing and sheeting.</v>
      </c>
      <c r="E106" s="39" t="str">
        <f t="shared" si="26"/>
        <v>Ceiling_Wall_generic</v>
      </c>
      <c r="F106" s="14" t="str" cm="1">
        <f t="array" aca="1" ref="F106" ca="1">INDIRECT(""&amp;$C106&amp;"!R"&amp;MATCH($B106,INDIRECT("'"&amp;C106&amp;"'!B:B"),0)&amp;"C"&amp;F$131,FALSE)</f>
        <v>m²</v>
      </c>
      <c r="G106" s="14" t="str" cm="1">
        <f t="array" aca="1" ref="G106" ca="1">INDIRECT(""&amp;$C106&amp;"!R"&amp;G$130&amp;"C"&amp;G$131,FALSE)</f>
        <v>Untiered</v>
      </c>
      <c r="H106" s="32">
        <f ca="1">INDEX(Methodology!$B$26:$D$31,MATCH('EF Table_detail'!$G106,Methodology!$B$26:$B$31,0),MATCH('EF Table_detail'!$H$5,Methodology!$B$26:$D$26,0))</f>
        <v>1</v>
      </c>
      <c r="I106" s="98" cm="1">
        <f t="array" aca="1" ref="I106" ca="1">INDIRECT(""&amp;$C106&amp;"!R"&amp;MATCH($B106&amp;I$5,INDIRECT("'"&amp;$C106&amp;"'!J:J")&amp;INDIRECT("'"&amp;$C106&amp;"'!C:C"),0)&amp;"C"&amp;I$131,FALSE)</f>
        <v>19.875261868840745</v>
      </c>
      <c r="J106" s="99" cm="1">
        <f t="array" aca="1" ref="J106" ca="1">INDIRECT(""&amp;$C106&amp;"!R"&amp;MATCH($B106&amp;J$5,INDIRECT("'"&amp;$C106&amp;"'!J:J")&amp;INDIRECT("'"&amp;$C106&amp;"'!C:C"),0)&amp;"C"&amp;J$131,FALSE)</f>
        <v>6.5889861765680795</v>
      </c>
      <c r="K106" s="114" cm="1">
        <f t="array" aca="1" ref="K106" ca="1">INDIRECT(""&amp;$C106&amp;"!R"&amp;MATCH($B106&amp;K$5,INDIRECT("'"&amp;$C106&amp;"'!J:J")&amp;INDIRECT("'"&amp;$C106&amp;"'!C:C"),0)&amp;"C"&amp;K$131,FALSE)</f>
        <v>13.144918074236614</v>
      </c>
      <c r="L106" s="101">
        <f ca="1">$K106*(1+INDEX(Methodology!$B$26:$E$31,MATCH($G106,Methodology!$B$26:$B$31,0),MATCH(M$5,Methodology!$B$26:$E$26,0)))</f>
        <v>13.144918074236614</v>
      </c>
      <c r="M106" s="102">
        <f ca="1">$I106*(1+INDEX(Methodology!$B$26:$E$31,MATCH($G106,Methodology!$B$26:$B$31,0),MATCH(M$5,Methodology!$B$26:$E$26,0)))</f>
        <v>19.875261868840745</v>
      </c>
      <c r="N106" s="99" cm="1">
        <f t="array" aca="1" ref="N106" ca="1">INDIRECT(""&amp;$C106&amp;"!R"&amp;MATCH($B106&amp;N$5,INDIRECT("'"&amp;$C106&amp;"'!J:J")&amp;INDIRECT("'"&amp;$C106&amp;"'!C:C"),0)&amp;"C"&amp;N$131,FALSE)</f>
        <v>1.6562718224033954</v>
      </c>
      <c r="O106" s="99" cm="1">
        <f t="array" aca="1" ref="O106" ca="1">INDIRECT(""&amp;$C106&amp;"!R"&amp;MATCH($B106&amp;O$5,INDIRECT("'"&amp;$C106&amp;"'!J:J")&amp;INDIRECT("'"&amp;$C106&amp;"'!C:C"),0)&amp;"C"&amp;O$131,FALSE)</f>
        <v>0.54908218138067333</v>
      </c>
      <c r="P106" s="100" cm="1">
        <f t="array" aca="1" ref="P106" ca="1">INDIRECT(""&amp;$C106&amp;"!R"&amp;MATCH($B106&amp;P$5,INDIRECT("'"&amp;$C106&amp;"'!J:J")&amp;INDIRECT("'"&amp;$C106&amp;"'!C:C"),0)&amp;"C"&amp;P$131,FALSE)</f>
        <v>1.0954098395197178</v>
      </c>
      <c r="Q106" s="101">
        <f ca="1">$P106*(1+INDEX(Methodology!$B$26:$E$31,MATCH($G106,Methodology!$B$26:$B$31,0),MATCH(R$5,Methodology!$B$26:$E$26,0)))</f>
        <v>1.0954098395197178</v>
      </c>
      <c r="R106" s="102">
        <f ca="1">$N106*(1+INDEX(Methodology!$B$26:$E$31,MATCH($G106,Methodology!$B$26:$B$31,0),MATCH(R$5,Methodology!$B$26:$E$26,0)))</f>
        <v>1.6562718224033954</v>
      </c>
      <c r="S106" s="103"/>
      <c r="T106" s="107" cm="1">
        <f t="array" aca="1" ref="T106" ca="1">INDIRECT(""&amp;$C106&amp;"!R"&amp;MATCH($B106&amp;T$5,INDIRECT("'"&amp;$C106&amp;"'!J:J")&amp;INDIRECT("'"&amp;$C106&amp;"'!C:C"),0)&amp;"C"&amp;T$131,FALSE)</f>
        <v>9.0000000000000011E-2</v>
      </c>
      <c r="U106" s="108" cm="1">
        <f t="array" aca="1" ref="U106" ca="1">INDIRECT(""&amp;$C106&amp;"!R"&amp;MATCH($B106&amp;U$5,INDIRECT("'"&amp;$C106&amp;"'!J:J")&amp;INDIRECT("'"&amp;$C106&amp;"'!C:C"),0)&amp;"C"&amp;U$131,FALSE)</f>
        <v>2.3350724244542119E-2</v>
      </c>
      <c r="V106" s="107" cm="1">
        <f t="array" aca="1" ref="V106" ca="1">INDIRECT(""&amp;$C106&amp;"!R"&amp;MATCH($B106&amp;V$5,INDIRECT("'"&amp;$C106&amp;"'!J:J")&amp;INDIRECT("'"&amp;$C106&amp;"'!C:C"),0)&amp;"C"&amp;V$131,FALSE)</f>
        <v>7.5000000000000006E-3</v>
      </c>
      <c r="W106" s="109" cm="1">
        <f t="array" aca="1" ref="W106" ca="1">INDIRECT(""&amp;$C106&amp;"!R"&amp;MATCH($B106&amp;W$5,INDIRECT("'"&amp;$C106&amp;"'!J:J")&amp;INDIRECT("'"&amp;$C106&amp;"'!C:C"),0)&amp;"C"&amp;W$131,FALSE)</f>
        <v>1.9458936870451766E-3</v>
      </c>
      <c r="X106" s="103"/>
      <c r="Y106" s="107">
        <f t="shared" ca="1" si="24"/>
        <v>12</v>
      </c>
      <c r="Z106" s="29" t="str">
        <f t="shared" ca="1" si="25"/>
        <v>kg/m²</v>
      </c>
      <c r="AA106" s="35" t="str" cm="1">
        <f t="array" aca="1" ref="AA106" ca="1">IF(INDIRECT(""&amp;$C106&amp;"!R"&amp;AA$130&amp;"C"&amp;AA$131,FALSE)=0,"",INDIRECT(""&amp;$C106&amp;"!R"&amp;AA$130&amp;"C"&amp;AA$131,FALSE))</f>
        <v/>
      </c>
      <c r="AB106" s="36" t="s">
        <v>5592</v>
      </c>
    </row>
    <row r="107" spans="1:28" ht="45" customHeight="1" x14ac:dyDescent="0.25">
      <c r="A107" s="17" t="s">
        <v>5554</v>
      </c>
      <c r="B107" s="17" t="s">
        <v>5601</v>
      </c>
      <c r="C107" s="16" t="s">
        <v>5591</v>
      </c>
      <c r="D107" s="31" t="str" cm="1">
        <f t="array" aca="1" ref="D107" ca="1">INDIRECT(""&amp;$C107&amp;"!R"&amp;D$130&amp;"C"&amp;D$131,FALSE)</f>
        <v>Represents a generic wall or ceiling system as named in the material category. Includes framing and sheeting.</v>
      </c>
      <c r="E107" s="39" t="str">
        <f t="shared" si="26"/>
        <v>Ceiling_Wall_generic</v>
      </c>
      <c r="F107" s="14" t="str" cm="1">
        <f t="array" aca="1" ref="F107" ca="1">INDIRECT(""&amp;$C107&amp;"!R"&amp;MATCH($B107,INDIRECT("'"&amp;C107&amp;"'!B:B"),0)&amp;"C"&amp;F$131,FALSE)</f>
        <v>m²</v>
      </c>
      <c r="G107" s="14" t="str" cm="1">
        <f t="array" aca="1" ref="G107" ca="1">INDIRECT(""&amp;$C107&amp;"!R"&amp;G$130&amp;"C"&amp;G$131,FALSE)</f>
        <v>Untiered</v>
      </c>
      <c r="H107" s="32">
        <f ca="1">INDEX(Methodology!$B$26:$D$31,MATCH('EF Table_detail'!$G107,Methodology!$B$26:$B$31,0),MATCH('EF Table_detail'!$H$5,Methodology!$B$26:$D$26,0))</f>
        <v>1</v>
      </c>
      <c r="I107" s="98" cm="1">
        <f t="array" aca="1" ref="I107" ca="1">INDIRECT(""&amp;$C107&amp;"!R"&amp;MATCH($B107&amp;I$5,INDIRECT("'"&amp;$C107&amp;"'!J:J")&amp;INDIRECT("'"&amp;$C107&amp;"'!C:C"),0)&amp;"C"&amp;I$131,FALSE)</f>
        <v>12.210122784222737</v>
      </c>
      <c r="J107" s="99" cm="1">
        <f t="array" aca="1" ref="J107" ca="1">INDIRECT(""&amp;$C107&amp;"!R"&amp;MATCH($B107&amp;J$5,INDIRECT("'"&amp;$C107&amp;"'!J:J")&amp;INDIRECT("'"&amp;$C107&amp;"'!C:C"),0)&amp;"C"&amp;J$131,FALSE)</f>
        <v>4.1967874111476497</v>
      </c>
      <c r="K107" s="114" cm="1">
        <f t="array" aca="1" ref="K107" ca="1">INDIRECT(""&amp;$C107&amp;"!R"&amp;MATCH($B107&amp;K$5,INDIRECT("'"&amp;$C107&amp;"'!J:J")&amp;INDIRECT("'"&amp;$C107&amp;"'!C:C"),0)&amp;"C"&amp;K$131,FALSE)</f>
        <v>8.0760012857161367</v>
      </c>
      <c r="L107" s="101">
        <f ca="1">$K107*(1+INDEX(Methodology!$B$26:$E$31,MATCH($G107,Methodology!$B$26:$B$31,0),MATCH(M$5,Methodology!$B$26:$E$26,0)))</f>
        <v>8.0760012857161367</v>
      </c>
      <c r="M107" s="102">
        <f ca="1">$I107*(1+INDEX(Methodology!$B$26:$E$31,MATCH($G107,Methodology!$B$26:$B$31,0),MATCH(M$5,Methodology!$B$26:$E$26,0)))</f>
        <v>12.210122784222737</v>
      </c>
      <c r="N107" s="99" cm="1">
        <f t="array" aca="1" ref="N107" ca="1">INDIRECT(""&amp;$C107&amp;"!R"&amp;MATCH($B107&amp;N$5,INDIRECT("'"&amp;$C107&amp;"'!J:J")&amp;INDIRECT("'"&amp;$C107&amp;"'!C:C"),0)&amp;"C"&amp;N$131,FALSE)</f>
        <v>1.9381147276544026</v>
      </c>
      <c r="O107" s="99" cm="1">
        <f t="array" aca="1" ref="O107" ca="1">INDIRECT(""&amp;$C107&amp;"!R"&amp;MATCH($B107&amp;O$5,INDIRECT("'"&amp;$C107&amp;"'!J:J")&amp;INDIRECT("'"&amp;$C107&amp;"'!C:C"),0)&amp;"C"&amp;O$131,FALSE)</f>
        <v>0.66615673192819835</v>
      </c>
      <c r="P107" s="100" cm="1">
        <f t="array" aca="1" ref="P107" ca="1">INDIRECT(""&amp;$C107&amp;"!R"&amp;MATCH($B107&amp;P$5,INDIRECT("'"&amp;$C107&amp;"'!J:J")&amp;INDIRECT("'"&amp;$C107&amp;"'!C:C"),0)&amp;"C"&amp;P$131,FALSE)</f>
        <v>1.2819049659866883</v>
      </c>
      <c r="Q107" s="101">
        <f ca="1">$P107*(1+INDEX(Methodology!$B$26:$E$31,MATCH($G107,Methodology!$B$26:$B$31,0),MATCH(R$5,Methodology!$B$26:$E$26,0)))</f>
        <v>1.2819049659866883</v>
      </c>
      <c r="R107" s="102">
        <f ca="1">$N107*(1+INDEX(Methodology!$B$26:$E$31,MATCH($G107,Methodology!$B$26:$B$31,0),MATCH(R$5,Methodology!$B$26:$E$26,0)))</f>
        <v>1.9381147276544026</v>
      </c>
      <c r="S107" s="103"/>
      <c r="T107" s="107" cm="1">
        <f t="array" aca="1" ref="T107" ca="1">INDIRECT(""&amp;$C107&amp;"!R"&amp;MATCH($B107&amp;T$5,INDIRECT("'"&amp;$C107&amp;"'!J:J")&amp;INDIRECT("'"&amp;$C107&amp;"'!C:C"),0)&amp;"C"&amp;T$131,FALSE)</f>
        <v>0</v>
      </c>
      <c r="U107" s="108" cm="1">
        <f t="array" aca="1" ref="U107" ca="1">INDIRECT(""&amp;$C107&amp;"!R"&amp;MATCH($B107&amp;U$5,INDIRECT("'"&amp;$C107&amp;"'!J:J")&amp;INDIRECT("'"&amp;$C107&amp;"'!C:C"),0)&amp;"C"&amp;U$131,FALSE)</f>
        <v>0</v>
      </c>
      <c r="V107" s="107" cm="1">
        <f t="array" aca="1" ref="V107" ca="1">INDIRECT(""&amp;$C107&amp;"!R"&amp;MATCH($B107&amp;V$5,INDIRECT("'"&amp;$C107&amp;"'!J:J")&amp;INDIRECT("'"&amp;$C107&amp;"'!C:C"),0)&amp;"C"&amp;V$131,FALSE)</f>
        <v>0</v>
      </c>
      <c r="W107" s="109" cm="1">
        <f t="array" aca="1" ref="W107" ca="1">INDIRECT(""&amp;$C107&amp;"!R"&amp;MATCH($B107&amp;W$5,INDIRECT("'"&amp;$C107&amp;"'!J:J")&amp;INDIRECT("'"&amp;$C107&amp;"'!C:C"),0)&amp;"C"&amp;W$131,FALSE)</f>
        <v>0</v>
      </c>
      <c r="X107" s="103"/>
      <c r="Y107" s="107">
        <f t="shared" ca="1" si="24"/>
        <v>6.3</v>
      </c>
      <c r="Z107" s="29" t="str">
        <f t="shared" ca="1" si="25"/>
        <v>kg/m²</v>
      </c>
      <c r="AA107" s="35" t="str" cm="1">
        <f t="array" aca="1" ref="AA107" ca="1">IF(INDIRECT(""&amp;$C107&amp;"!R"&amp;AA$130&amp;"C"&amp;AA$131,FALSE)=0,"",INDIRECT(""&amp;$C107&amp;"!R"&amp;AA$130&amp;"C"&amp;AA$131,FALSE))</f>
        <v/>
      </c>
      <c r="AB107" s="36" t="s">
        <v>5592</v>
      </c>
    </row>
    <row r="108" spans="1:28" ht="45" customHeight="1" x14ac:dyDescent="0.25">
      <c r="A108" s="17" t="s">
        <v>5554</v>
      </c>
      <c r="B108" s="17" t="s">
        <v>5602</v>
      </c>
      <c r="C108" s="16" t="s">
        <v>5591</v>
      </c>
      <c r="D108" s="31" t="str" cm="1">
        <f t="array" aca="1" ref="D108" ca="1">INDIRECT(""&amp;$C108&amp;"!R"&amp;D$130&amp;"C"&amp;D$131,FALSE)</f>
        <v>Represents a generic wall or ceiling system as named in the material category. Includes framing and sheeting.</v>
      </c>
      <c r="E108" s="39" t="str">
        <f t="shared" si="26"/>
        <v>Ceiling_Wall_generic</v>
      </c>
      <c r="F108" s="14" t="str" cm="1">
        <f t="array" aca="1" ref="F108" ca="1">INDIRECT(""&amp;$C108&amp;"!R"&amp;MATCH($B108,INDIRECT("'"&amp;C108&amp;"'!B:B"),0)&amp;"C"&amp;F$131,FALSE)</f>
        <v>m²</v>
      </c>
      <c r="G108" s="14" t="str" cm="1">
        <f t="array" aca="1" ref="G108" ca="1">INDIRECT(""&amp;$C108&amp;"!R"&amp;G$130&amp;"C"&amp;G$131,FALSE)</f>
        <v>Untiered</v>
      </c>
      <c r="H108" s="32">
        <f ca="1">INDEX(Methodology!$B$26:$D$31,MATCH('EF Table_detail'!$G108,Methodology!$B$26:$B$31,0),MATCH('EF Table_detail'!$H$5,Methodology!$B$26:$D$26,0))</f>
        <v>1</v>
      </c>
      <c r="I108" s="98" cm="1">
        <f t="array" aca="1" ref="I108" ca="1">INDIRECT(""&amp;$C108&amp;"!R"&amp;MATCH($B108&amp;I$5,INDIRECT("'"&amp;$C108&amp;"'!J:J")&amp;INDIRECT("'"&amp;$C108&amp;"'!C:C"),0)&amp;"C"&amp;I$131,FALSE)</f>
        <v>259.06229999999999</v>
      </c>
      <c r="J108" s="99" cm="1">
        <f t="array" aca="1" ref="J108" ca="1">INDIRECT(""&amp;$C108&amp;"!R"&amp;MATCH($B108&amp;J$5,INDIRECT("'"&amp;$C108&amp;"'!J:J")&amp;INDIRECT("'"&amp;$C108&amp;"'!C:C"),0)&amp;"C"&amp;J$131,FALSE)</f>
        <v>41.748615000000001</v>
      </c>
      <c r="K108" s="114" cm="1">
        <f t="array" aca="1" ref="K108" ca="1">INDIRECT(""&amp;$C108&amp;"!R"&amp;MATCH($B108&amp;K$5,INDIRECT("'"&amp;$C108&amp;"'!J:J")&amp;INDIRECT("'"&amp;$C108&amp;"'!C:C"),0)&amp;"C"&amp;K$131,FALSE)</f>
        <v>147.66038907065217</v>
      </c>
      <c r="L108" s="101">
        <f ca="1">$K108*(1+INDEX(Methodology!$B$26:$E$31,MATCH($G108,Methodology!$B$26:$B$31,0),MATCH(M$5,Methodology!$B$26:$E$26,0)))</f>
        <v>147.66038907065217</v>
      </c>
      <c r="M108" s="102">
        <f ca="1">$I108*(1+INDEX(Methodology!$B$26:$E$31,MATCH($G108,Methodology!$B$26:$B$31,0),MATCH(M$5,Methodology!$B$26:$E$26,0)))</f>
        <v>259.06229999999999</v>
      </c>
      <c r="N108" s="99" cm="1">
        <f t="array" aca="1" ref="N108" ca="1">INDIRECT(""&amp;$C108&amp;"!R"&amp;MATCH($B108&amp;N$5,INDIRECT("'"&amp;$C108&amp;"'!J:J")&amp;INDIRECT("'"&amp;$C108&amp;"'!C:C"),0)&amp;"C"&amp;N$131,FALSE)</f>
        <v>31.983000000000001</v>
      </c>
      <c r="O108" s="99" cm="1">
        <f t="array" aca="1" ref="O108" ca="1">INDIRECT(""&amp;$C108&amp;"!R"&amp;MATCH($B108&amp;O$5,INDIRECT("'"&amp;$C108&amp;"'!J:J")&amp;INDIRECT("'"&amp;$C108&amp;"'!C:C"),0)&amp;"C"&amp;O$131,FALSE)</f>
        <v>5.1541500000000005</v>
      </c>
      <c r="P108" s="100" cm="1">
        <f t="array" aca="1" ref="P108" ca="1">INDIRECT(""&amp;$C108&amp;"!R"&amp;MATCH($B108&amp;P$5,INDIRECT("'"&amp;$C108&amp;"'!J:J")&amp;INDIRECT("'"&amp;$C108&amp;"'!C:C"),0)&amp;"C"&amp;P$131,FALSE)</f>
        <v>18.229677663043478</v>
      </c>
      <c r="Q108" s="101">
        <f ca="1">$P108*(1+INDEX(Methodology!$B$26:$E$31,MATCH($G108,Methodology!$B$26:$B$31,0),MATCH(R$5,Methodology!$B$26:$E$26,0)))</f>
        <v>18.229677663043478</v>
      </c>
      <c r="R108" s="102">
        <f ca="1">$N108*(1+INDEX(Methodology!$B$26:$E$31,MATCH($G108,Methodology!$B$26:$B$31,0),MATCH(R$5,Methodology!$B$26:$E$26,0)))</f>
        <v>31.983000000000001</v>
      </c>
      <c r="S108" s="103"/>
      <c r="T108" s="107" cm="1">
        <f t="array" aca="1" ref="T108" ca="1">INDIRECT(""&amp;$C108&amp;"!R"&amp;MATCH($B108&amp;T$5,INDIRECT("'"&amp;$C108&amp;"'!J:J")&amp;INDIRECT("'"&amp;$C108&amp;"'!C:C"),0)&amp;"C"&amp;T$131,FALSE)</f>
        <v>0</v>
      </c>
      <c r="U108" s="108" cm="1">
        <f t="array" aca="1" ref="U108" ca="1">INDIRECT(""&amp;$C108&amp;"!R"&amp;MATCH($B108&amp;U$5,INDIRECT("'"&amp;$C108&amp;"'!J:J")&amp;INDIRECT("'"&amp;$C108&amp;"'!C:C"),0)&amp;"C"&amp;U$131,FALSE)</f>
        <v>0</v>
      </c>
      <c r="V108" s="107" cm="1">
        <f t="array" aca="1" ref="V108" ca="1">INDIRECT(""&amp;$C108&amp;"!R"&amp;MATCH($B108&amp;V$5,INDIRECT("'"&amp;$C108&amp;"'!J:J")&amp;INDIRECT("'"&amp;$C108&amp;"'!C:C"),0)&amp;"C"&amp;V$131,FALSE)</f>
        <v>0</v>
      </c>
      <c r="W108" s="109" cm="1">
        <f t="array" aca="1" ref="W108" ca="1">INDIRECT(""&amp;$C108&amp;"!R"&amp;MATCH($B108&amp;W$5,INDIRECT("'"&amp;$C108&amp;"'!J:J")&amp;INDIRECT("'"&amp;$C108&amp;"'!C:C"),0)&amp;"C"&amp;W$131,FALSE)</f>
        <v>0</v>
      </c>
      <c r="X108" s="103"/>
      <c r="Y108" s="107">
        <f t="shared" ref="Y108" ca="1" si="27">IFERROR(K108/P108,"")</f>
        <v>8.1</v>
      </c>
      <c r="Z108" s="29" t="str">
        <f t="shared" ref="Z108" ca="1" si="28">"kg/"&amp;F108</f>
        <v>kg/m²</v>
      </c>
      <c r="AA108" s="35" t="str" cm="1">
        <f t="array" aca="1" ref="AA108" ca="1">IF(INDIRECT(""&amp;$C108&amp;"!R"&amp;AA$130&amp;"C"&amp;AA$131,FALSE)=0,"",INDIRECT(""&amp;$C108&amp;"!R"&amp;AA$130&amp;"C"&amp;AA$131,FALSE))</f>
        <v/>
      </c>
      <c r="AB108" s="36" t="s">
        <v>5592</v>
      </c>
    </row>
    <row r="109" spans="1:28" ht="45" customHeight="1" x14ac:dyDescent="0.25">
      <c r="A109" s="17" t="s">
        <v>3954</v>
      </c>
      <c r="B109" s="17" t="s">
        <v>5603</v>
      </c>
      <c r="C109" s="16" t="s">
        <v>5604</v>
      </c>
      <c r="D109" s="31" t="str" cm="1">
        <f t="array" aca="1" ref="D109" ca="1">INDIRECT(""&amp;$C109&amp;"!R"&amp;D$130&amp;"C"&amp;D$131,FALSE)</f>
        <v>Represents a generic curtain wall as named in the material category. Includes glass, framing, spandrel/cladding material in one square meter rate.</v>
      </c>
      <c r="E109" s="39" t="str">
        <f t="shared" si="26"/>
        <v>Curtain_wall</v>
      </c>
      <c r="F109" s="14" t="str" cm="1">
        <f t="array" aca="1" ref="F109" ca="1">INDIRECT(""&amp;$C109&amp;"!R"&amp;F$130&amp;"C"&amp;F$131,FALSE)</f>
        <v>m²</v>
      </c>
      <c r="G109" s="14" t="str" cm="1">
        <f t="array" aca="1" ref="G109" ca="1">INDIRECT(""&amp;$C109&amp;"!R"&amp;G$130&amp;"C"&amp;G$131,FALSE)</f>
        <v>Untiered</v>
      </c>
      <c r="H109" s="32">
        <f ca="1">INDEX(Methodology!$B$26:$D$31,MATCH('EF Table_detail'!$G109,Methodology!$B$26:$B$31,0),MATCH('EF Table_detail'!$H$5,Methodology!$B$26:$D$26,0))</f>
        <v>1</v>
      </c>
      <c r="I109" s="98" cm="1">
        <f t="array" aca="1" ref="I109" ca="1">INDIRECT(""&amp;$C109&amp;"!R"&amp;MATCH($B109&amp;I$5,INDIRECT("'"&amp;$C109&amp;"'!J:J")&amp;INDIRECT("'"&amp;$C109&amp;"'!C:C"),0)&amp;"C"&amp;I$131,FALSE)</f>
        <v>434.68140645030917</v>
      </c>
      <c r="J109" s="99" cm="1">
        <f t="array" aca="1" ref="J109" ca="1">INDIRECT(""&amp;$C109&amp;"!R"&amp;MATCH($B109&amp;J$5,INDIRECT("'"&amp;$C109&amp;"'!J:J")&amp;INDIRECT("'"&amp;$C109&amp;"'!C:C"),0)&amp;"C"&amp;J$131,FALSE)</f>
        <v>109.97549161576519</v>
      </c>
      <c r="K109" s="114" cm="1">
        <f t="array" aca="1" ref="K109" ca="1">INDIRECT(""&amp;$C109&amp;"!R"&amp;MATCH($B109&amp;K$5,INDIRECT("'"&amp;$C109&amp;"'!J:J")&amp;INDIRECT("'"&amp;$C109&amp;"'!C:C"),0)&amp;"C"&amp;K$131,FALSE)</f>
        <v>263.5729221454132</v>
      </c>
      <c r="L109" s="101">
        <f ca="1">$K109*(1+INDEX(Methodology!$B$26:$E$31,MATCH($G109,Methodology!$B$26:$B$31,0),MATCH(M$5,Methodology!$B$26:$E$26,0)))</f>
        <v>263.5729221454132</v>
      </c>
      <c r="M109" s="102">
        <f ca="1">$I109*(1+INDEX(Methodology!$B$26:$E$31,MATCH($G109,Methodology!$B$26:$B$31,0),MATCH(M$5,Methodology!$B$26:$E$26,0)))</f>
        <v>434.68140645030917</v>
      </c>
      <c r="N109" s="99" cm="1">
        <f t="array" aca="1" ref="N109" ca="1">INDIRECT(""&amp;$C109&amp;"!R"&amp;MATCH($B109&amp;N$5,INDIRECT("'"&amp;$C109&amp;"'!J:J")&amp;INDIRECT("'"&amp;$C109&amp;"'!C:C"),0)&amp;"C"&amp;N$131,FALSE)</f>
        <v>8.5557641203396972</v>
      </c>
      <c r="O109" s="99" cm="1">
        <f t="array" aca="1" ref="O109" ca="1">INDIRECT(""&amp;$C109&amp;"!R"&amp;MATCH($B109&amp;O$5,INDIRECT("'"&amp;$C109&amp;"'!J:J")&amp;INDIRECT("'"&amp;$C109&amp;"'!C:C"),0)&amp;"C"&amp;O$131,FALSE)</f>
        <v>2.164629890582737</v>
      </c>
      <c r="P109" s="100" cm="1">
        <f t="array" aca="1" ref="P109" ca="1">INDIRECT(""&amp;$C109&amp;"!R"&amp;MATCH($B109&amp;P$5,INDIRECT("'"&amp;$C109&amp;"'!J:J")&amp;INDIRECT("'"&amp;$C109&amp;"'!C:C"),0)&amp;"C"&amp;P$131,FALSE)</f>
        <v>5.1878633797569709</v>
      </c>
      <c r="Q109" s="101">
        <f ca="1">$P109*(1+INDEX(Methodology!$B$26:$E$31,MATCH($G109,Methodology!$B$26:$B$31,0),MATCH(R$5,Methodology!$B$26:$E$26,0)))</f>
        <v>5.1878633797569709</v>
      </c>
      <c r="R109" s="102">
        <f ca="1">$N109*(1+INDEX(Methodology!$B$26:$E$31,MATCH($G109,Methodology!$B$26:$B$31,0),MATCH(R$5,Methodology!$B$26:$E$26,0)))</f>
        <v>8.5557641203396972</v>
      </c>
      <c r="S109" s="103"/>
      <c r="T109" s="107" cm="1">
        <f t="array" aca="1" ref="T109" ca="1">INDIRECT(""&amp;$C109&amp;"!R"&amp;MATCH($B109&amp;T$5,INDIRECT("'"&amp;$C109&amp;"'!J:J")&amp;INDIRECT("'"&amp;$C109&amp;"'!C:C"),0)&amp;"C"&amp;T$131,FALSE)</f>
        <v>0</v>
      </c>
      <c r="U109" s="108" cm="1">
        <f t="array" aca="1" ref="U109" ca="1">INDIRECT(""&amp;$C109&amp;"!R"&amp;MATCH($B109&amp;U$5,INDIRECT("'"&amp;$C109&amp;"'!J:J")&amp;INDIRECT("'"&amp;$C109&amp;"'!C:C"),0)&amp;"C"&amp;U$131,FALSE)</f>
        <v>0</v>
      </c>
      <c r="V109" s="107" cm="1">
        <f t="array" aca="1" ref="V109" ca="1">INDIRECT(""&amp;$C109&amp;"!R"&amp;MATCH($B109&amp;V$5,INDIRECT("'"&amp;$C109&amp;"'!J:J")&amp;INDIRECT("'"&amp;$C109&amp;"'!C:C"),0)&amp;"C"&amp;V$131,FALSE)</f>
        <v>0</v>
      </c>
      <c r="W109" s="109" cm="1">
        <f t="array" aca="1" ref="W109" ca="1">INDIRECT(""&amp;$C109&amp;"!R"&amp;MATCH($B109&amp;W$5,INDIRECT("'"&amp;$C109&amp;"'!J:J")&amp;INDIRECT("'"&amp;$C109&amp;"'!C:C"),0)&amp;"C"&amp;W$131,FALSE)</f>
        <v>0</v>
      </c>
      <c r="X109" s="103"/>
      <c r="Y109" s="107">
        <f t="shared" ca="1" si="22"/>
        <v>50.805679111341682</v>
      </c>
      <c r="Z109" s="29" t="str">
        <f t="shared" ca="1" si="23"/>
        <v>kg/m²</v>
      </c>
      <c r="AA109" s="35" t="str" cm="1">
        <f t="array" aca="1" ref="AA109" ca="1">IF(INDIRECT(""&amp;$C109&amp;"!R"&amp;AA$130&amp;"C"&amp;AA$131,FALSE)=0,"",INDIRECT(""&amp;$C109&amp;"!R"&amp;AA$130&amp;"C"&amp;AA$131,FALSE))</f>
        <v>Represents a system assembled off-site</v>
      </c>
      <c r="AB109" s="36" t="str" cm="1">
        <f t="array" aca="1" ref="AB109" ca="1">IFERROR(IF(INDIRECT(""&amp;$C109&amp;"!R"&amp;AB$130&amp;"C"&amp;AB$131,FALSE)="Average (weighted)","Yes","No"),"")</f>
        <v>No</v>
      </c>
    </row>
    <row r="110" spans="1:28" ht="45" customHeight="1" x14ac:dyDescent="0.25">
      <c r="A110" s="17" t="s">
        <v>3954</v>
      </c>
      <c r="B110" s="17" t="s">
        <v>5605</v>
      </c>
      <c r="C110" s="16" t="s">
        <v>5604</v>
      </c>
      <c r="D110" s="31" t="str" cm="1">
        <f t="array" aca="1" ref="D110" ca="1">INDIRECT(""&amp;$C110&amp;"!R"&amp;D$130&amp;"C"&amp;D$131,FALSE)</f>
        <v>Represents a generic curtain wall as named in the material category. Includes glass, framing, spandrel/cladding material in one square meter rate.</v>
      </c>
      <c r="E110" s="39" t="str">
        <f t="shared" si="26"/>
        <v>Curtain_wall</v>
      </c>
      <c r="F110" s="14" t="str" cm="1">
        <f t="array" aca="1" ref="F110" ca="1">INDIRECT(""&amp;$C110&amp;"!R"&amp;F$130&amp;"C"&amp;F$131,FALSE)</f>
        <v>m²</v>
      </c>
      <c r="G110" s="14" t="str" cm="1">
        <f t="array" aca="1" ref="G110" ca="1">INDIRECT(""&amp;$C110&amp;"!R"&amp;G$130&amp;"C"&amp;G$131,FALSE)</f>
        <v>Untiered</v>
      </c>
      <c r="H110" s="32">
        <f ca="1">INDEX(Methodology!$B$26:$D$31,MATCH('EF Table_detail'!$G110,Methodology!$B$26:$B$31,0),MATCH('EF Table_detail'!$H$5,Methodology!$B$26:$D$26,0))</f>
        <v>1</v>
      </c>
      <c r="I110" s="98" cm="1">
        <f t="array" aca="1" ref="I110" ca="1">INDIRECT(""&amp;$C110&amp;"!R"&amp;MATCH($B110&amp;I$5,INDIRECT("'"&amp;$C110&amp;"'!J:J")&amp;INDIRECT("'"&amp;$C110&amp;"'!C:C"),0)&amp;"C"&amp;I$131,FALSE)</f>
        <v>655.81867077912102</v>
      </c>
      <c r="J110" s="99" cm="1">
        <f t="array" aca="1" ref="J110" ca="1">INDIRECT(""&amp;$C110&amp;"!R"&amp;MATCH($B110&amp;J$5,INDIRECT("'"&amp;$C110&amp;"'!J:J")&amp;INDIRECT("'"&amp;$C110&amp;"'!C:C"),0)&amp;"C"&amp;J$131,FALSE)</f>
        <v>128.99068875530259</v>
      </c>
      <c r="K110" s="114" cm="1">
        <f t="array" aca="1" ref="K110" ca="1">INDIRECT(""&amp;$C110&amp;"!R"&amp;MATCH($B110&amp;K$5,INDIRECT("'"&amp;$C110&amp;"'!J:J")&amp;INDIRECT("'"&amp;$C110&amp;"'!C:C"),0)&amp;"C"&amp;K$131,FALSE)</f>
        <v>382.40528706051703</v>
      </c>
      <c r="L110" s="101">
        <f ca="1">$K110*(1+INDEX(Methodology!$B$26:$E$31,MATCH($G110,Methodology!$B$26:$B$31,0),MATCH(M$5,Methodology!$B$26:$E$26,0)))</f>
        <v>382.40528706051703</v>
      </c>
      <c r="M110" s="102">
        <f ca="1">$I110*(1+INDEX(Methodology!$B$26:$E$31,MATCH($G110,Methodology!$B$26:$B$31,0),MATCH(M$5,Methodology!$B$26:$E$26,0)))</f>
        <v>655.81867077912102</v>
      </c>
      <c r="N110" s="99" cm="1">
        <f t="array" aca="1" ref="N110" ca="1">INDIRECT(""&amp;$C110&amp;"!R"&amp;MATCH($B110&amp;N$5,INDIRECT("'"&amp;$C110&amp;"'!J:J")&amp;INDIRECT("'"&amp;$C110&amp;"'!C:C"),0)&amp;"C"&amp;N$131,FALSE)</f>
        <v>16.938315979429465</v>
      </c>
      <c r="O110" s="99" cm="1">
        <f t="array" aca="1" ref="O110" ca="1">INDIRECT(""&amp;$C110&amp;"!R"&amp;MATCH($B110&amp;O$5,INDIRECT("'"&amp;$C110&amp;"'!J:J")&amp;INDIRECT("'"&amp;$C110&amp;"'!C:C"),0)&amp;"C"&amp;O$131,FALSE)</f>
        <v>3.3315383380986741</v>
      </c>
      <c r="P110" s="100" cm="1">
        <f t="array" aca="1" ref="P110" ca="1">INDIRECT(""&amp;$C110&amp;"!R"&amp;MATCH($B110&amp;P$5,INDIRECT("'"&amp;$C110&amp;"'!J:J")&amp;INDIRECT("'"&amp;$C110&amp;"'!C:C"),0)&amp;"C"&amp;P$131,FALSE)</f>
        <v>9.8766654153660323</v>
      </c>
      <c r="Q110" s="101">
        <f ca="1">$P110*(1+INDEX(Methodology!$B$26:$E$31,MATCH($G110,Methodology!$B$26:$B$31,0),MATCH(R$5,Methodology!$B$26:$E$26,0)))</f>
        <v>9.8766654153660323</v>
      </c>
      <c r="R110" s="102">
        <f ca="1">$N110*(1+INDEX(Methodology!$B$26:$E$31,MATCH($G110,Methodology!$B$26:$B$31,0),MATCH(R$5,Methodology!$B$26:$E$26,0)))</f>
        <v>16.938315979429465</v>
      </c>
      <c r="S110" s="103"/>
      <c r="T110" s="107" cm="1">
        <f t="array" aca="1" ref="T110" ca="1">INDIRECT(""&amp;$C110&amp;"!R"&amp;MATCH($B110&amp;T$5,INDIRECT("'"&amp;$C110&amp;"'!J:J")&amp;INDIRECT("'"&amp;$C110&amp;"'!C:C"),0)&amp;"C"&amp;T$131,FALSE)</f>
        <v>0</v>
      </c>
      <c r="U110" s="108" cm="1">
        <f t="array" aca="1" ref="U110" ca="1">INDIRECT(""&amp;$C110&amp;"!R"&amp;MATCH($B110&amp;U$5,INDIRECT("'"&amp;$C110&amp;"'!J:J")&amp;INDIRECT("'"&amp;$C110&amp;"'!C:C"),0)&amp;"C"&amp;U$131,FALSE)</f>
        <v>0</v>
      </c>
      <c r="V110" s="107" cm="1">
        <f t="array" aca="1" ref="V110" ca="1">INDIRECT(""&amp;$C110&amp;"!R"&amp;MATCH($B110&amp;V$5,INDIRECT("'"&amp;$C110&amp;"'!J:J")&amp;INDIRECT("'"&amp;$C110&amp;"'!C:C"),0)&amp;"C"&amp;V$131,FALSE)</f>
        <v>0</v>
      </c>
      <c r="W110" s="109" cm="1">
        <f t="array" aca="1" ref="W110" ca="1">INDIRECT(""&amp;$C110&amp;"!R"&amp;MATCH($B110&amp;W$5,INDIRECT("'"&amp;$C110&amp;"'!J:J")&amp;INDIRECT("'"&amp;$C110&amp;"'!C:C"),0)&amp;"C"&amp;W$131,FALSE)</f>
        <v>0</v>
      </c>
      <c r="X110" s="103"/>
      <c r="Y110" s="107">
        <f t="shared" ca="1" si="22"/>
        <v>38.718056244527034</v>
      </c>
      <c r="Z110" s="29" t="str">
        <f t="shared" ca="1" si="23"/>
        <v>kg/m²</v>
      </c>
      <c r="AA110" s="35" t="str" cm="1">
        <f t="array" aca="1" ref="AA110" ca="1">IF(INDIRECT(""&amp;$C110&amp;"!R"&amp;AA$130&amp;"C"&amp;AA$131,FALSE)=0,"",INDIRECT(""&amp;$C110&amp;"!R"&amp;AA$130&amp;"C"&amp;AA$131,FALSE))</f>
        <v>Represents a system assembled off-site</v>
      </c>
      <c r="AB110" s="36" t="str" cm="1">
        <f t="array" aca="1" ref="AB110" ca="1">IFERROR(IF(INDIRECT(""&amp;$C110&amp;"!R"&amp;AB$130&amp;"C"&amp;AB$131,FALSE)="Average (weighted)","Yes","No"),"")</f>
        <v>No</v>
      </c>
    </row>
    <row r="111" spans="1:28" ht="45" customHeight="1" x14ac:dyDescent="0.25">
      <c r="A111" s="17" t="s">
        <v>3954</v>
      </c>
      <c r="B111" s="17" t="s">
        <v>5606</v>
      </c>
      <c r="C111" s="16" t="s">
        <v>5604</v>
      </c>
      <c r="D111" s="31" t="str" cm="1">
        <f t="array" aca="1" ref="D111" ca="1">INDIRECT(""&amp;$C111&amp;"!R"&amp;D$130&amp;"C"&amp;D$131,FALSE)</f>
        <v>Represents a generic curtain wall as named in the material category. Includes glass, framing, spandrel/cladding material in one square meter rate.</v>
      </c>
      <c r="E111" s="39" t="str">
        <f t="shared" si="26"/>
        <v>Curtain_wall</v>
      </c>
      <c r="F111" s="14" t="str" cm="1">
        <f t="array" aca="1" ref="F111" ca="1">INDIRECT(""&amp;$C111&amp;"!R"&amp;F$130&amp;"C"&amp;F$131,FALSE)</f>
        <v>m²</v>
      </c>
      <c r="G111" s="14" t="str" cm="1">
        <f t="array" aca="1" ref="G111" ca="1">INDIRECT(""&amp;$C111&amp;"!R"&amp;G$130&amp;"C"&amp;G$131,FALSE)</f>
        <v>Untiered</v>
      </c>
      <c r="H111" s="32">
        <f ca="1">INDEX(Methodology!$B$26:$D$31,MATCH('EF Table_detail'!$G111,Methodology!$B$26:$B$31,0),MATCH('EF Table_detail'!$H$5,Methodology!$B$26:$D$26,0))</f>
        <v>1</v>
      </c>
      <c r="I111" s="98" cm="1">
        <f t="array" aca="1" ref="I111" ca="1">INDIRECT(""&amp;$C111&amp;"!R"&amp;MATCH($B111&amp;I$5,INDIRECT("'"&amp;$C111&amp;"'!J:J")&amp;INDIRECT("'"&amp;$C111&amp;"'!C:C"),0)&amp;"C"&amp;I$131,FALSE)</f>
        <v>877.24212505745732</v>
      </c>
      <c r="J111" s="99" cm="1">
        <f t="array" aca="1" ref="J111" ca="1">INDIRECT(""&amp;$C111&amp;"!R"&amp;MATCH($B111&amp;J$5,INDIRECT("'"&amp;$C111&amp;"'!J:J")&amp;INDIRECT("'"&amp;$C111&amp;"'!C:C"),0)&amp;"C"&amp;J$131,FALSE)</f>
        <v>167.40124327000368</v>
      </c>
      <c r="K111" s="114" cm="1">
        <f t="array" aca="1" ref="K111" ca="1">INDIRECT(""&amp;$C111&amp;"!R"&amp;MATCH($B111&amp;K$5,INDIRECT("'"&amp;$C111&amp;"'!J:J")&amp;INDIRECT("'"&amp;$C111&amp;"'!C:C"),0)&amp;"C"&amp;K$131,FALSE)</f>
        <v>509.03346023732485</v>
      </c>
      <c r="L111" s="101">
        <f ca="1">$K111*(1+INDEX(Methodology!$B$26:$E$31,MATCH($G111,Methodology!$B$26:$B$31,0),MATCH(M$5,Methodology!$B$26:$E$26,0)))</f>
        <v>509.03346023732485</v>
      </c>
      <c r="M111" s="102">
        <f ca="1">$I111*(1+INDEX(Methodology!$B$26:$E$31,MATCH($G111,Methodology!$B$26:$B$31,0),MATCH(M$5,Methodology!$B$26:$E$26,0)))</f>
        <v>877.24212505745732</v>
      </c>
      <c r="N111" s="99" cm="1">
        <f t="array" aca="1" ref="N111" ca="1">INDIRECT(""&amp;$C111&amp;"!R"&amp;MATCH($B111&amp;N$5,INDIRECT("'"&amp;$C111&amp;"'!J:J")&amp;INDIRECT("'"&amp;$C111&amp;"'!C:C"),0)&amp;"C"&amp;N$131,FALSE)</f>
        <v>19.134557302821374</v>
      </c>
      <c r="O111" s="99" cm="1">
        <f t="array" aca="1" ref="O111" ca="1">INDIRECT(""&amp;$C111&amp;"!R"&amp;MATCH($B111&amp;O$5,INDIRECT("'"&amp;$C111&amp;"'!J:J")&amp;INDIRECT("'"&amp;$C111&amp;"'!C:C"),0)&amp;"C"&amp;O$131,FALSE)</f>
        <v>3.6513849374294782</v>
      </c>
      <c r="P111" s="100" cm="1">
        <f t="array" aca="1" ref="P111" ca="1">INDIRECT(""&amp;$C111&amp;"!R"&amp;MATCH($B111&amp;P$5,INDIRECT("'"&amp;$C111&amp;"'!J:J")&amp;INDIRECT("'"&amp;$C111&amp;"'!C:C"),0)&amp;"C"&amp;P$131,FALSE)</f>
        <v>11.103126076311694</v>
      </c>
      <c r="Q111" s="101">
        <f ca="1">$P111*(1+INDEX(Methodology!$B$26:$E$31,MATCH($G111,Methodology!$B$26:$B$31,0),MATCH(R$5,Methodology!$B$26:$E$26,0)))</f>
        <v>11.103126076311694</v>
      </c>
      <c r="R111" s="102">
        <f ca="1">$N111*(1+INDEX(Methodology!$B$26:$E$31,MATCH($G111,Methodology!$B$26:$B$31,0),MATCH(R$5,Methodology!$B$26:$E$26,0)))</f>
        <v>19.134557302821374</v>
      </c>
      <c r="S111" s="103"/>
      <c r="T111" s="107" cm="1">
        <f t="array" aca="1" ref="T111" ca="1">INDIRECT(""&amp;$C111&amp;"!R"&amp;MATCH($B111&amp;T$5,INDIRECT("'"&amp;$C111&amp;"'!J:J")&amp;INDIRECT("'"&amp;$C111&amp;"'!C:C"),0)&amp;"C"&amp;T$131,FALSE)</f>
        <v>0</v>
      </c>
      <c r="U111" s="108" cm="1">
        <f t="array" aca="1" ref="U111" ca="1">INDIRECT(""&amp;$C111&amp;"!R"&amp;MATCH($B111&amp;U$5,INDIRECT("'"&amp;$C111&amp;"'!J:J")&amp;INDIRECT("'"&amp;$C111&amp;"'!C:C"),0)&amp;"C"&amp;U$131,FALSE)</f>
        <v>0</v>
      </c>
      <c r="V111" s="107" cm="1">
        <f t="array" aca="1" ref="V111" ca="1">INDIRECT(""&amp;$C111&amp;"!R"&amp;MATCH($B111&amp;V$5,INDIRECT("'"&amp;$C111&amp;"'!J:J")&amp;INDIRECT("'"&amp;$C111&amp;"'!C:C"),0)&amp;"C"&amp;V$131,FALSE)</f>
        <v>0</v>
      </c>
      <c r="W111" s="109" cm="1">
        <f t="array" aca="1" ref="W111" ca="1">INDIRECT(""&amp;$C111&amp;"!R"&amp;MATCH($B111&amp;W$5,INDIRECT("'"&amp;$C111&amp;"'!J:J")&amp;INDIRECT("'"&amp;$C111&amp;"'!C:C"),0)&amp;"C"&amp;W$131,FALSE)</f>
        <v>0</v>
      </c>
      <c r="X111" s="103"/>
      <c r="Y111" s="107">
        <f t="shared" ca="1" si="22"/>
        <v>45.845958763211556</v>
      </c>
      <c r="Z111" s="29" t="str">
        <f t="shared" ca="1" si="23"/>
        <v>kg/m²</v>
      </c>
      <c r="AA111" s="35" t="str" cm="1">
        <f t="array" aca="1" ref="AA111" ca="1">IF(INDIRECT(""&amp;$C111&amp;"!R"&amp;AA$130&amp;"C"&amp;AA$131,FALSE)=0,"",INDIRECT(""&amp;$C111&amp;"!R"&amp;AA$130&amp;"C"&amp;AA$131,FALSE))</f>
        <v>Represents a system assembled off-site</v>
      </c>
      <c r="AB111" s="36" t="str" cm="1">
        <f t="array" aca="1" ref="AB111" ca="1">IFERROR(IF(INDIRECT(""&amp;$C111&amp;"!R"&amp;AB$130&amp;"C"&amp;AB$131,FALSE)="Average (weighted)","Yes","No"),"")</f>
        <v>No</v>
      </c>
    </row>
    <row r="112" spans="1:28" ht="45" customHeight="1" x14ac:dyDescent="0.25">
      <c r="A112" s="17" t="s">
        <v>3954</v>
      </c>
      <c r="B112" s="17" t="s">
        <v>5607</v>
      </c>
      <c r="C112" s="16" t="s">
        <v>5604</v>
      </c>
      <c r="D112" s="31" t="str" cm="1">
        <f t="array" aca="1" ref="D112" ca="1">INDIRECT(""&amp;$C112&amp;"!R"&amp;D$130&amp;"C"&amp;D$131,FALSE)</f>
        <v>Represents a generic curtain wall as named in the material category. Includes glass, framing, spandrel/cladding material in one square meter rate.</v>
      </c>
      <c r="E112" s="39" t="str">
        <f t="shared" si="26"/>
        <v>Curtain_wall</v>
      </c>
      <c r="F112" s="14" t="str" cm="1">
        <f t="array" aca="1" ref="F112" ca="1">INDIRECT(""&amp;$C112&amp;"!R"&amp;F$130&amp;"C"&amp;F$131,FALSE)</f>
        <v>m²</v>
      </c>
      <c r="G112" s="14" t="str" cm="1">
        <f t="array" aca="1" ref="G112" ca="1">INDIRECT(""&amp;$C112&amp;"!R"&amp;G$130&amp;"C"&amp;G$131,FALSE)</f>
        <v>Untiered</v>
      </c>
      <c r="H112" s="32">
        <f ca="1">INDEX(Methodology!$B$26:$D$31,MATCH('EF Table_detail'!$G112,Methodology!$B$26:$B$31,0),MATCH('EF Table_detail'!$H$5,Methodology!$B$26:$D$26,0))</f>
        <v>1</v>
      </c>
      <c r="I112" s="98" cm="1">
        <f t="array" aca="1" ref="I112" ca="1">INDIRECT(""&amp;$C112&amp;"!R"&amp;MATCH($B112&amp;I$5,INDIRECT("'"&amp;$C112&amp;"'!J:J")&amp;INDIRECT("'"&amp;$C112&amp;"'!C:C"),0)&amp;"C"&amp;I$131,FALSE)</f>
        <v>663.65119916733568</v>
      </c>
      <c r="J112" s="99" cm="1">
        <f t="array" aca="1" ref="J112" ca="1">INDIRECT(""&amp;$C112&amp;"!R"&amp;MATCH($B112&amp;J$5,INDIRECT("'"&amp;$C112&amp;"'!J:J")&amp;INDIRECT("'"&amp;$C112&amp;"'!C:C"),0)&amp;"C"&amp;J$131,FALSE)</f>
        <v>137.91193948334376</v>
      </c>
      <c r="K112" s="114" cm="1">
        <f t="array" aca="1" ref="K112" ca="1">INDIRECT(""&amp;$C112&amp;"!R"&amp;MATCH($B112&amp;K$5,INDIRECT("'"&amp;$C112&amp;"'!J:J")&amp;INDIRECT("'"&amp;$C112&amp;"'!C:C"),0)&amp;"C"&amp;K$131,FALSE)</f>
        <v>389.81925143437059</v>
      </c>
      <c r="L112" s="101">
        <f ca="1">$K112*(1+INDEX(Methodology!$B$26:$E$31,MATCH($G112,Methodology!$B$26:$B$31,0),MATCH(M$5,Methodology!$B$26:$E$26,0)))</f>
        <v>389.81925143437059</v>
      </c>
      <c r="M112" s="102">
        <f ca="1">$I112*(1+INDEX(Methodology!$B$26:$E$31,MATCH($G112,Methodology!$B$26:$B$31,0),MATCH(M$5,Methodology!$B$26:$E$26,0)))</f>
        <v>663.65119916733568</v>
      </c>
      <c r="N112" s="99" cm="1">
        <f t="array" aca="1" ref="N112" ca="1">INDIRECT(""&amp;$C112&amp;"!R"&amp;MATCH($B112&amp;N$5,INDIRECT("'"&amp;$C112&amp;"'!J:J")&amp;INDIRECT("'"&amp;$C112&amp;"'!C:C"),0)&amp;"C"&amp;N$131,FALSE)</f>
        <v>14.306540955997011</v>
      </c>
      <c r="O112" s="99" cm="1">
        <f t="array" aca="1" ref="O112" ca="1">INDIRECT(""&amp;$C112&amp;"!R"&amp;MATCH($B112&amp;O$5,INDIRECT("'"&amp;$C112&amp;"'!J:J")&amp;INDIRECT("'"&amp;$C112&amp;"'!C:C"),0)&amp;"C"&amp;O$131,FALSE)</f>
        <v>2.9730117462530914</v>
      </c>
      <c r="P112" s="100" cm="1">
        <f t="array" aca="1" ref="P112" ca="1">INDIRECT(""&amp;$C112&amp;"!R"&amp;MATCH($B112&amp;P$5,INDIRECT("'"&amp;$C112&amp;"'!J:J")&amp;INDIRECT("'"&amp;$C112&amp;"'!C:C"),0)&amp;"C"&amp;P$131,FALSE)</f>
        <v>8.4034581615752053</v>
      </c>
      <c r="Q112" s="101">
        <f ca="1">$P112*(1+INDEX(Methodology!$B$26:$E$31,MATCH($G112,Methodology!$B$26:$B$31,0),MATCH(R$5,Methodology!$B$26:$E$26,0)))</f>
        <v>8.4034581615752053</v>
      </c>
      <c r="R112" s="102">
        <f ca="1">$N112*(1+INDEX(Methodology!$B$26:$E$31,MATCH($G112,Methodology!$B$26:$B$31,0),MATCH(R$5,Methodology!$B$26:$E$26,0)))</f>
        <v>14.306540955997011</v>
      </c>
      <c r="S112" s="103"/>
      <c r="T112" s="107" cm="1">
        <f t="array" aca="1" ref="T112" ca="1">INDIRECT(""&amp;$C112&amp;"!R"&amp;MATCH($B112&amp;T$5,INDIRECT("'"&amp;$C112&amp;"'!J:J")&amp;INDIRECT("'"&amp;$C112&amp;"'!C:C"),0)&amp;"C"&amp;T$131,FALSE)</f>
        <v>0</v>
      </c>
      <c r="U112" s="108" cm="1">
        <f t="array" aca="1" ref="U112" ca="1">INDIRECT(""&amp;$C112&amp;"!R"&amp;MATCH($B112&amp;U$5,INDIRECT("'"&amp;$C112&amp;"'!J:J")&amp;INDIRECT("'"&amp;$C112&amp;"'!C:C"),0)&amp;"C"&amp;U$131,FALSE)</f>
        <v>0</v>
      </c>
      <c r="V112" s="107" cm="1">
        <f t="array" aca="1" ref="V112" ca="1">INDIRECT(""&amp;$C112&amp;"!R"&amp;MATCH($B112&amp;V$5,INDIRECT("'"&amp;$C112&amp;"'!J:J")&amp;INDIRECT("'"&amp;$C112&amp;"'!C:C"),0)&amp;"C"&amp;V$131,FALSE)</f>
        <v>0</v>
      </c>
      <c r="W112" s="109" cm="1">
        <f t="array" aca="1" ref="W112" ca="1">INDIRECT(""&amp;$C112&amp;"!R"&amp;MATCH($B112&amp;W$5,INDIRECT("'"&amp;$C112&amp;"'!J:J")&amp;INDIRECT("'"&amp;$C112&amp;"'!C:C"),0)&amp;"C"&amp;W$131,FALSE)</f>
        <v>0</v>
      </c>
      <c r="X112" s="103"/>
      <c r="Y112" s="107">
        <f t="shared" ca="1" si="22"/>
        <v>46.38795647449264</v>
      </c>
      <c r="Z112" s="29" t="str">
        <f t="shared" ca="1" si="23"/>
        <v>kg/m²</v>
      </c>
      <c r="AA112" s="35" t="str" cm="1">
        <f t="array" aca="1" ref="AA112" ca="1">IF(INDIRECT(""&amp;$C112&amp;"!R"&amp;AA$130&amp;"C"&amp;AA$131,FALSE)=0,"",INDIRECT(""&amp;$C112&amp;"!R"&amp;AA$130&amp;"C"&amp;AA$131,FALSE))</f>
        <v>Represents a system assembled off-site</v>
      </c>
      <c r="AB112" s="36" t="str" cm="1">
        <f t="array" aca="1" ref="AB112" ca="1">IFERROR(IF(INDIRECT(""&amp;$C112&amp;"!R"&amp;AB$130&amp;"C"&amp;AB$131,FALSE)="Average (weighted)","Yes","No"),"")</f>
        <v>No</v>
      </c>
    </row>
    <row r="113" spans="1:28" ht="45" customHeight="1" x14ac:dyDescent="0.25">
      <c r="A113" s="17" t="s">
        <v>3954</v>
      </c>
      <c r="B113" s="17" t="s">
        <v>5608</v>
      </c>
      <c r="C113" s="16" t="s">
        <v>5604</v>
      </c>
      <c r="D113" s="31" t="str" cm="1">
        <f t="array" aca="1" ref="D113" ca="1">INDIRECT(""&amp;$C113&amp;"!R"&amp;D$130&amp;"C"&amp;D$131,FALSE)</f>
        <v>Represents a generic curtain wall as named in the material category. Includes glass, framing, spandrel/cladding material in one square meter rate.</v>
      </c>
      <c r="E113" s="39" t="str">
        <f t="shared" si="26"/>
        <v>Curtain_wall</v>
      </c>
      <c r="F113" s="14" t="str" cm="1">
        <f t="array" aca="1" ref="F113" ca="1">INDIRECT(""&amp;$C113&amp;"!R"&amp;F$130&amp;"C"&amp;F$131,FALSE)</f>
        <v>m²</v>
      </c>
      <c r="G113" s="14" t="str" cm="1">
        <f t="array" aca="1" ref="G113" ca="1">INDIRECT(""&amp;$C113&amp;"!R"&amp;G$130&amp;"C"&amp;G$131,FALSE)</f>
        <v>Untiered</v>
      </c>
      <c r="H113" s="32">
        <f ca="1">INDEX(Methodology!$B$26:$D$31,MATCH('EF Table_detail'!$G113,Methodology!$B$26:$B$31,0),MATCH('EF Table_detail'!$H$5,Methodology!$B$26:$D$26,0))</f>
        <v>1</v>
      </c>
      <c r="I113" s="98" cm="1">
        <f t="array" aca="1" ref="I113" ca="1">INDIRECT(""&amp;$C113&amp;"!R"&amp;MATCH($B113&amp;I$5,INDIRECT("'"&amp;$C113&amp;"'!J:J")&amp;INDIRECT("'"&amp;$C113&amp;"'!C:C"),0)&amp;"C"&amp;I$131,FALSE)</f>
        <v>571.81153774781615</v>
      </c>
      <c r="J113" s="99" cm="1">
        <f t="array" aca="1" ref="J113" ca="1">INDIRECT(""&amp;$C113&amp;"!R"&amp;MATCH($B113&amp;J$5,INDIRECT("'"&amp;$C113&amp;"'!J:J")&amp;INDIRECT("'"&amp;$C113&amp;"'!C:C"),0)&amp;"C"&amp;J$131,FALSE)</f>
        <v>132.58156927016245</v>
      </c>
      <c r="K113" s="114" cm="1">
        <f t="array" aca="1" ref="K113" ca="1">INDIRECT(""&amp;$C113&amp;"!R"&amp;MATCH($B113&amp;K$5,INDIRECT("'"&amp;$C113&amp;"'!J:J")&amp;INDIRECT("'"&amp;$C113&amp;"'!C:C"),0)&amp;"C"&amp;K$131,FALSE)</f>
        <v>341.78585386797482</v>
      </c>
      <c r="L113" s="101">
        <f ca="1">$K113*(1+INDEX(Methodology!$B$26:$E$31,MATCH($G113,Methodology!$B$26:$B$31,0),MATCH(M$5,Methodology!$B$26:$E$26,0)))</f>
        <v>341.78585386797482</v>
      </c>
      <c r="M113" s="102">
        <f ca="1">$I113*(1+INDEX(Methodology!$B$26:$E$31,MATCH($G113,Methodology!$B$26:$B$31,0),MATCH(M$5,Methodology!$B$26:$E$26,0)))</f>
        <v>571.81153774781615</v>
      </c>
      <c r="N113" s="99" cm="1">
        <f t="array" aca="1" ref="N113" ca="1">INDIRECT(""&amp;$C113&amp;"!R"&amp;MATCH($B113&amp;N$5,INDIRECT("'"&amp;$C113&amp;"'!J:J")&amp;INDIRECT("'"&amp;$C113&amp;"'!C:C"),0)&amp;"C"&amp;N$131,FALSE)</f>
        <v>10.487813925201559</v>
      </c>
      <c r="O113" s="99" cm="1">
        <f t="array" aca="1" ref="O113" ca="1">INDIRECT(""&amp;$C113&amp;"!R"&amp;MATCH($B113&amp;O$5,INDIRECT("'"&amp;$C113&amp;"'!J:J")&amp;INDIRECT("'"&amp;$C113&amp;"'!C:C"),0)&amp;"C"&amp;O$131,FALSE)</f>
        <v>2.4317292265444417</v>
      </c>
      <c r="P113" s="100" cm="1">
        <f t="array" aca="1" ref="P113" ca="1">INDIRECT(""&amp;$C113&amp;"!R"&amp;MATCH($B113&amp;P$5,INDIRECT("'"&amp;$C113&amp;"'!J:J")&amp;INDIRECT("'"&amp;$C113&amp;"'!C:C"),0)&amp;"C"&amp;P$131,FALSE)</f>
        <v>6.2688249554249946</v>
      </c>
      <c r="Q113" s="101">
        <f ca="1">$P113*(1+INDEX(Methodology!$B$26:$E$31,MATCH($G113,Methodology!$B$26:$B$31,0),MATCH(R$5,Methodology!$B$26:$E$26,0)))</f>
        <v>6.2688249554249946</v>
      </c>
      <c r="R113" s="102">
        <f ca="1">$N113*(1+INDEX(Methodology!$B$26:$E$31,MATCH($G113,Methodology!$B$26:$B$31,0),MATCH(R$5,Methodology!$B$26:$E$26,0)))</f>
        <v>10.487813925201559</v>
      </c>
      <c r="S113" s="103"/>
      <c r="T113" s="107" cm="1">
        <f t="array" aca="1" ref="T113" ca="1">INDIRECT(""&amp;$C113&amp;"!R"&amp;MATCH($B113&amp;T$5,INDIRECT("'"&amp;$C113&amp;"'!J:J")&amp;INDIRECT("'"&amp;$C113&amp;"'!C:C"),0)&amp;"C"&amp;T$131,FALSE)</f>
        <v>0</v>
      </c>
      <c r="U113" s="108" cm="1">
        <f t="array" aca="1" ref="U113" ca="1">INDIRECT(""&amp;$C113&amp;"!R"&amp;MATCH($B113&amp;U$5,INDIRECT("'"&amp;$C113&amp;"'!J:J")&amp;INDIRECT("'"&amp;$C113&amp;"'!C:C"),0)&amp;"C"&amp;U$131,FALSE)</f>
        <v>0</v>
      </c>
      <c r="V113" s="107" cm="1">
        <f t="array" aca="1" ref="V113" ca="1">INDIRECT(""&amp;$C113&amp;"!R"&amp;MATCH($B113&amp;V$5,INDIRECT("'"&amp;$C113&amp;"'!J:J")&amp;INDIRECT("'"&amp;$C113&amp;"'!C:C"),0)&amp;"C"&amp;V$131,FALSE)</f>
        <v>0</v>
      </c>
      <c r="W113" s="109" cm="1">
        <f t="array" aca="1" ref="W113" ca="1">INDIRECT(""&amp;$C113&amp;"!R"&amp;MATCH($B113&amp;W$5,INDIRECT("'"&amp;$C113&amp;"'!J:J")&amp;INDIRECT("'"&amp;$C113&amp;"'!C:C"),0)&amp;"C"&amp;W$131,FALSE)</f>
        <v>0</v>
      </c>
      <c r="X113" s="103"/>
      <c r="Y113" s="107">
        <f t="shared" ca="1" si="22"/>
        <v>54.521518194920382</v>
      </c>
      <c r="Z113" s="29" t="str">
        <f t="shared" ca="1" si="23"/>
        <v>kg/m²</v>
      </c>
      <c r="AA113" s="35" t="str" cm="1">
        <f t="array" aca="1" ref="AA113" ca="1">IF(INDIRECT(""&amp;$C113&amp;"!R"&amp;AA$130&amp;"C"&amp;AA$131,FALSE)=0,"",INDIRECT(""&amp;$C113&amp;"!R"&amp;AA$130&amp;"C"&amp;AA$131,FALSE))</f>
        <v>Represents a system assembled off-site</v>
      </c>
      <c r="AB113" s="36" t="str" cm="1">
        <f t="array" aca="1" ref="AB113" ca="1">IFERROR(IF(INDIRECT(""&amp;$C113&amp;"!R"&amp;AB$130&amp;"C"&amp;AB$131,FALSE)="Average (weighted)","Yes","No"),"")</f>
        <v>No</v>
      </c>
    </row>
    <row r="114" spans="1:28" ht="45" customHeight="1" x14ac:dyDescent="0.25">
      <c r="A114" s="17" t="s">
        <v>3954</v>
      </c>
      <c r="B114" s="17" t="s">
        <v>5609</v>
      </c>
      <c r="C114" s="16" t="s">
        <v>5604</v>
      </c>
      <c r="D114" s="31" t="str" cm="1">
        <f t="array" aca="1" ref="D114" ca="1">INDIRECT(""&amp;$C114&amp;"!R"&amp;D$130&amp;"C"&amp;D$131,FALSE)</f>
        <v>Represents a generic curtain wall as named in the material category. Includes glass, framing, spandrel/cladding material in one square meter rate.</v>
      </c>
      <c r="E114" s="39" t="str">
        <f t="shared" si="26"/>
        <v>Curtain_wall</v>
      </c>
      <c r="F114" s="14" t="str" cm="1">
        <f t="array" aca="1" ref="F114" ca="1">INDIRECT(""&amp;$C114&amp;"!R"&amp;F$130&amp;"C"&amp;F$131,FALSE)</f>
        <v>m²</v>
      </c>
      <c r="G114" s="14" t="str" cm="1">
        <f t="array" aca="1" ref="G114" ca="1">INDIRECT(""&amp;$C114&amp;"!R"&amp;G$130&amp;"C"&amp;G$131,FALSE)</f>
        <v>Untiered</v>
      </c>
      <c r="H114" s="32">
        <f ca="1">INDEX(Methodology!$B$26:$D$31,MATCH('EF Table_detail'!$G114,Methodology!$B$26:$B$31,0),MATCH('EF Table_detail'!$H$5,Methodology!$B$26:$D$26,0))</f>
        <v>1</v>
      </c>
      <c r="I114" s="98" cm="1">
        <f t="array" aca="1" ref="I114" ca="1">INDIRECT(""&amp;$C114&amp;"!R"&amp;MATCH($B114&amp;I$5,INDIRECT("'"&amp;$C114&amp;"'!J:J")&amp;INDIRECT("'"&amp;$C114&amp;"'!C:C"),0)&amp;"C"&amp;I$131,FALSE)</f>
        <v>766.40824824008587</v>
      </c>
      <c r="J114" s="99" cm="1">
        <f t="array" aca="1" ref="J114" ca="1">INDIRECT(""&amp;$C114&amp;"!R"&amp;MATCH($B114&amp;J$5,INDIRECT("'"&amp;$C114&amp;"'!J:J")&amp;INDIRECT("'"&amp;$C114&amp;"'!C:C"),0)&amp;"C"&amp;J$131,FALSE)</f>
        <v>157.73823464335888</v>
      </c>
      <c r="K114" s="114" cm="1">
        <f t="array" aca="1" ref="K114" ca="1">INDIRECT(""&amp;$C114&amp;"!R"&amp;MATCH($B114&amp;K$5,INDIRECT("'"&amp;$C114&amp;"'!J:J")&amp;INDIRECT("'"&amp;$C114&amp;"'!C:C"),0)&amp;"C"&amp;K$131,FALSE)</f>
        <v>448.21044540682055</v>
      </c>
      <c r="L114" s="101">
        <f ca="1">$K114*(1+INDEX(Methodology!$B$26:$E$31,MATCH($G114,Methodology!$B$26:$B$31,0),MATCH(M$5,Methodology!$B$26:$E$26,0)))</f>
        <v>448.21044540682055</v>
      </c>
      <c r="M114" s="102">
        <f ca="1">$I114*(1+INDEX(Methodology!$B$26:$E$31,MATCH($G114,Methodology!$B$26:$B$31,0),MATCH(M$5,Methodology!$B$26:$E$26,0)))</f>
        <v>766.40824824008587</v>
      </c>
      <c r="N114" s="99" cm="1">
        <f t="array" aca="1" ref="N114" ca="1">INDIRECT(""&amp;$C114&amp;"!R"&amp;MATCH($B114&amp;N$5,INDIRECT("'"&amp;$C114&amp;"'!J:J")&amp;INDIRECT("'"&amp;$C114&amp;"'!C:C"),0)&amp;"C"&amp;N$131,FALSE)</f>
        <v>11.238173613031224</v>
      </c>
      <c r="O114" s="99" cm="1">
        <f t="array" aca="1" ref="O114" ca="1">INDIRECT(""&amp;$C114&amp;"!R"&amp;MATCH($B114&amp;O$5,INDIRECT("'"&amp;$C114&amp;"'!J:J")&amp;INDIRECT("'"&amp;$C114&amp;"'!C:C"),0)&amp;"C"&amp;O$131,FALSE)</f>
        <v>2.3129835442217326</v>
      </c>
      <c r="P114" s="100" cm="1">
        <f t="array" aca="1" ref="P114" ca="1">INDIRECT(""&amp;$C114&amp;"!R"&amp;MATCH($B114&amp;P$5,INDIRECT("'"&amp;$C114&amp;"'!J:J")&amp;INDIRECT("'"&amp;$C114&amp;"'!C:C"),0)&amp;"C"&amp;P$131,FALSE)</f>
        <v>6.5723024409283051</v>
      </c>
      <c r="Q114" s="101">
        <f ca="1">$P114*(1+INDEX(Methodology!$B$26:$E$31,MATCH($G114,Methodology!$B$26:$B$31,0),MATCH(R$5,Methodology!$B$26:$E$26,0)))</f>
        <v>6.5723024409283051</v>
      </c>
      <c r="R114" s="102">
        <f ca="1">$N114*(1+INDEX(Methodology!$B$26:$E$31,MATCH($G114,Methodology!$B$26:$B$31,0),MATCH(R$5,Methodology!$B$26:$E$26,0)))</f>
        <v>11.238173613031224</v>
      </c>
      <c r="S114" s="103"/>
      <c r="T114" s="107" cm="1">
        <f t="array" aca="1" ref="T114" ca="1">INDIRECT(""&amp;$C114&amp;"!R"&amp;MATCH($B114&amp;T$5,INDIRECT("'"&amp;$C114&amp;"'!J:J")&amp;INDIRECT("'"&amp;$C114&amp;"'!C:C"),0)&amp;"C"&amp;T$131,FALSE)</f>
        <v>0</v>
      </c>
      <c r="U114" s="108" cm="1">
        <f t="array" aca="1" ref="U114" ca="1">INDIRECT(""&amp;$C114&amp;"!R"&amp;MATCH($B114&amp;U$5,INDIRECT("'"&amp;$C114&amp;"'!J:J")&amp;INDIRECT("'"&amp;$C114&amp;"'!C:C"),0)&amp;"C"&amp;U$131,FALSE)</f>
        <v>0</v>
      </c>
      <c r="V114" s="107" cm="1">
        <f t="array" aca="1" ref="V114" ca="1">INDIRECT(""&amp;$C114&amp;"!R"&amp;MATCH($B114&amp;V$5,INDIRECT("'"&amp;$C114&amp;"'!J:J")&amp;INDIRECT("'"&amp;$C114&amp;"'!C:C"),0)&amp;"C"&amp;V$131,FALSE)</f>
        <v>0</v>
      </c>
      <c r="W114" s="109" cm="1">
        <f t="array" aca="1" ref="W114" ca="1">INDIRECT(""&amp;$C114&amp;"!R"&amp;MATCH($B114&amp;W$5,INDIRECT("'"&amp;$C114&amp;"'!J:J")&amp;INDIRECT("'"&amp;$C114&amp;"'!C:C"),0)&amp;"C"&amp;W$131,FALSE)</f>
        <v>0</v>
      </c>
      <c r="X114" s="103"/>
      <c r="Y114" s="107">
        <f t="shared" ca="1" si="22"/>
        <v>68.196868515307258</v>
      </c>
      <c r="Z114" s="29" t="str">
        <f t="shared" ca="1" si="23"/>
        <v>kg/m²</v>
      </c>
      <c r="AA114" s="35" t="str" cm="1">
        <f t="array" aca="1" ref="AA114" ca="1">IF(INDIRECT(""&amp;$C114&amp;"!R"&amp;AA$130&amp;"C"&amp;AA$131,FALSE)=0,"",INDIRECT(""&amp;$C114&amp;"!R"&amp;AA$130&amp;"C"&amp;AA$131,FALSE))</f>
        <v>Represents a system assembled off-site</v>
      </c>
      <c r="AB114" s="36" t="str" cm="1">
        <f t="array" aca="1" ref="AB114" ca="1">IFERROR(IF(INDIRECT(""&amp;$C114&amp;"!R"&amp;AB$130&amp;"C"&amp;AB$131,FALSE)="Average (weighted)","Yes","No"),"")</f>
        <v>No</v>
      </c>
    </row>
    <row r="115" spans="1:28" ht="45" customHeight="1" x14ac:dyDescent="0.25">
      <c r="A115" s="17" t="s">
        <v>3954</v>
      </c>
      <c r="B115" s="17" t="s">
        <v>5610</v>
      </c>
      <c r="C115" s="16" t="s">
        <v>5604</v>
      </c>
      <c r="D115" s="31" t="str" cm="1">
        <f t="array" aca="1" ref="D115" ca="1">INDIRECT(""&amp;$C115&amp;"!R"&amp;D$130&amp;"C"&amp;D$131,FALSE)</f>
        <v>Represents a generic curtain wall as named in the material category. Includes glass, framing, spandrel/cladding material in one square meter rate.</v>
      </c>
      <c r="E115" s="39" t="str">
        <f t="shared" si="26"/>
        <v>Curtain_wall</v>
      </c>
      <c r="F115" s="14" t="str" cm="1">
        <f t="array" aca="1" ref="F115" ca="1">INDIRECT(""&amp;$C115&amp;"!R"&amp;F$130&amp;"C"&amp;F$131,FALSE)</f>
        <v>m²</v>
      </c>
      <c r="G115" s="14" t="str" cm="1">
        <f t="array" aca="1" ref="G115" ca="1">INDIRECT(""&amp;$C115&amp;"!R"&amp;G$130&amp;"C"&amp;G$131,FALSE)</f>
        <v>Untiered</v>
      </c>
      <c r="H115" s="32">
        <f ca="1">INDEX(Methodology!$B$26:$D$31,MATCH('EF Table_detail'!$G115,Methodology!$B$26:$B$31,0),MATCH('EF Table_detail'!$H$5,Methodology!$B$26:$D$26,0))</f>
        <v>1</v>
      </c>
      <c r="I115" s="98" cm="1">
        <f t="array" aca="1" ref="I115" ca="1">INDIRECT(""&amp;$C115&amp;"!R"&amp;MATCH($B115&amp;I$5,INDIRECT("'"&amp;$C115&amp;"'!J:J")&amp;INDIRECT("'"&amp;$C115&amp;"'!C:C"),0)&amp;"C"&amp;I$131,FALSE)</f>
        <v>1189.10167870383</v>
      </c>
      <c r="J115" s="99" cm="1">
        <f t="array" aca="1" ref="J115" ca="1">INDIRECT(""&amp;$C115&amp;"!R"&amp;MATCH($B115&amp;J$5,INDIRECT("'"&amp;$C115&amp;"'!J:J")&amp;INDIRECT("'"&amp;$C115&amp;"'!C:C"),0)&amp;"C"&amp;J$131,FALSE)</f>
        <v>198.92246310515148</v>
      </c>
      <c r="K115" s="114" cm="1">
        <f t="array" aca="1" ref="K115" ca="1">INDIRECT(""&amp;$C115&amp;"!R"&amp;MATCH($B115&amp;K$5,INDIRECT("'"&amp;$C115&amp;"'!J:J")&amp;INDIRECT("'"&amp;$C115&amp;"'!C:C"),0)&amp;"C"&amp;K$131,FALSE)</f>
        <v>679.53027516771306</v>
      </c>
      <c r="L115" s="101">
        <f ca="1">$K115*(1+INDEX(Methodology!$B$26:$E$31,MATCH($G115,Methodology!$B$26:$B$31,0),MATCH(M$5,Methodology!$B$26:$E$26,0)))</f>
        <v>679.53027516771306</v>
      </c>
      <c r="M115" s="102">
        <f ca="1">$I115*(1+INDEX(Methodology!$B$26:$E$31,MATCH($G115,Methodology!$B$26:$B$31,0),MATCH(M$5,Methodology!$B$26:$E$26,0)))</f>
        <v>1189.10167870383</v>
      </c>
      <c r="N115" s="99" cm="1">
        <f t="array" aca="1" ref="N115" ca="1">INDIRECT(""&amp;$C115&amp;"!R"&amp;MATCH($B115&amp;N$5,INDIRECT("'"&amp;$C115&amp;"'!J:J")&amp;INDIRECT("'"&amp;$C115&amp;"'!C:C"),0)&amp;"C"&amp;N$131,FALSE)</f>
        <v>33.567646364151521</v>
      </c>
      <c r="O115" s="99" cm="1">
        <f t="array" aca="1" ref="O115" ca="1">INDIRECT(""&amp;$C115&amp;"!R"&amp;MATCH($B115&amp;O$5,INDIRECT("'"&amp;$C115&amp;"'!J:J")&amp;INDIRECT("'"&amp;$C115&amp;"'!C:C"),0)&amp;"C"&amp;O$131,FALSE)</f>
        <v>5.6154650312816825</v>
      </c>
      <c r="P115" s="100" cm="1">
        <f t="array" aca="1" ref="P115" ca="1">INDIRECT(""&amp;$C115&amp;"!R"&amp;MATCH($B115&amp;P$5,INDIRECT("'"&amp;$C115&amp;"'!J:J")&amp;INDIRECT("'"&amp;$C115&amp;"'!C:C"),0)&amp;"C"&amp;P$131,FALSE)</f>
        <v>19.18274305644616</v>
      </c>
      <c r="Q115" s="101">
        <f ca="1">$P115*(1+INDEX(Methodology!$B$26:$E$31,MATCH($G115,Methodology!$B$26:$B$31,0),MATCH(R$5,Methodology!$B$26:$E$26,0)))</f>
        <v>19.18274305644616</v>
      </c>
      <c r="R115" s="102">
        <f ca="1">$N115*(1+INDEX(Methodology!$B$26:$E$31,MATCH($G115,Methodology!$B$26:$B$31,0),MATCH(R$5,Methodology!$B$26:$E$26,0)))</f>
        <v>33.567646364151521</v>
      </c>
      <c r="S115" s="103"/>
      <c r="T115" s="107" cm="1">
        <f t="array" aca="1" ref="T115" ca="1">INDIRECT(""&amp;$C115&amp;"!R"&amp;MATCH($B115&amp;T$5,INDIRECT("'"&amp;$C115&amp;"'!J:J")&amp;INDIRECT("'"&amp;$C115&amp;"'!C:C"),0)&amp;"C"&amp;T$131,FALSE)</f>
        <v>0</v>
      </c>
      <c r="U115" s="108" cm="1">
        <f t="array" aca="1" ref="U115" ca="1">INDIRECT(""&amp;$C115&amp;"!R"&amp;MATCH($B115&amp;U$5,INDIRECT("'"&amp;$C115&amp;"'!J:J")&amp;INDIRECT("'"&amp;$C115&amp;"'!C:C"),0)&amp;"C"&amp;U$131,FALSE)</f>
        <v>0</v>
      </c>
      <c r="V115" s="107" cm="1">
        <f t="array" aca="1" ref="V115" ca="1">INDIRECT(""&amp;$C115&amp;"!R"&amp;MATCH($B115&amp;V$5,INDIRECT("'"&amp;$C115&amp;"'!J:J")&amp;INDIRECT("'"&amp;$C115&amp;"'!C:C"),0)&amp;"C"&amp;V$131,FALSE)</f>
        <v>0</v>
      </c>
      <c r="W115" s="109" cm="1">
        <f t="array" aca="1" ref="W115" ca="1">INDIRECT(""&amp;$C115&amp;"!R"&amp;MATCH($B115&amp;W$5,INDIRECT("'"&amp;$C115&amp;"'!J:J")&amp;INDIRECT("'"&amp;$C115&amp;"'!C:C"),0)&amp;"C"&amp;W$131,FALSE)</f>
        <v>0</v>
      </c>
      <c r="X115" s="103"/>
      <c r="Y115" s="107">
        <f t="shared" ca="1" si="22"/>
        <v>35.424040929295771</v>
      </c>
      <c r="Z115" s="29" t="str">
        <f t="shared" ca="1" si="23"/>
        <v>kg/m²</v>
      </c>
      <c r="AA115" s="35" t="str" cm="1">
        <f t="array" aca="1" ref="AA115" ca="1">IF(INDIRECT(""&amp;$C115&amp;"!R"&amp;AA$130&amp;"C"&amp;AA$131,FALSE)=0,"",INDIRECT(""&amp;$C115&amp;"!R"&amp;AA$130&amp;"C"&amp;AA$131,FALSE))</f>
        <v>Represents a system assembled off-site</v>
      </c>
      <c r="AB115" s="36" t="str" cm="1">
        <f t="array" aca="1" ref="AB115" ca="1">IFERROR(IF(INDIRECT(""&amp;$C115&amp;"!R"&amp;AB$130&amp;"C"&amp;AB$131,FALSE)="Average (weighted)","Yes","No"),"")</f>
        <v>No</v>
      </c>
    </row>
    <row r="116" spans="1:28" ht="45" customHeight="1" x14ac:dyDescent="0.25">
      <c r="A116" s="17" t="s">
        <v>3954</v>
      </c>
      <c r="B116" s="17" t="s">
        <v>5611</v>
      </c>
      <c r="C116" s="16" t="s">
        <v>5604</v>
      </c>
      <c r="D116" s="31" t="str" cm="1">
        <f t="array" aca="1" ref="D116" ca="1">INDIRECT(""&amp;$C116&amp;"!R"&amp;D$130&amp;"C"&amp;D$131,FALSE)</f>
        <v>Represents a generic curtain wall as named in the material category. Includes glass, framing, spandrel/cladding material in one square meter rate.</v>
      </c>
      <c r="E116" s="39" t="str">
        <f t="shared" si="26"/>
        <v>Curtain_wall</v>
      </c>
      <c r="F116" s="14" t="str" cm="1">
        <f t="array" aca="1" ref="F116" ca="1">INDIRECT(""&amp;$C116&amp;"!R"&amp;F$130&amp;"C"&amp;F$131,FALSE)</f>
        <v>m²</v>
      </c>
      <c r="G116" s="14" t="str" cm="1">
        <f t="array" aca="1" ref="G116" ca="1">INDIRECT(""&amp;$C116&amp;"!R"&amp;G$130&amp;"C"&amp;G$131,FALSE)</f>
        <v>Untiered</v>
      </c>
      <c r="H116" s="32">
        <f ca="1">INDEX(Methodology!$B$26:$D$31,MATCH('EF Table_detail'!$G116,Methodology!$B$26:$B$31,0),MATCH('EF Table_detail'!$H$5,Methodology!$B$26:$D$26,0))</f>
        <v>1</v>
      </c>
      <c r="I116" s="98" cm="1">
        <f t="array" aca="1" ref="I116" ca="1">INDIRECT(""&amp;$C116&amp;"!R"&amp;MATCH($B116&amp;I$5,INDIRECT("'"&amp;$C116&amp;"'!J:J")&amp;INDIRECT("'"&amp;$C116&amp;"'!C:C"),0)&amp;"C"&amp;I$131,FALSE)</f>
        <v>1304.4579443981183</v>
      </c>
      <c r="J116" s="99" cm="1">
        <f t="array" aca="1" ref="J116" ca="1">INDIRECT(""&amp;$C116&amp;"!R"&amp;MATCH($B116&amp;J$5,INDIRECT("'"&amp;$C116&amp;"'!J:J")&amp;INDIRECT("'"&amp;$C116&amp;"'!C:C"),0)&amp;"C"&amp;J$131,FALSE)</f>
        <v>362.53894178901709</v>
      </c>
      <c r="K116" s="114" cm="1">
        <f t="array" aca="1" ref="K116" ca="1">INDIRECT(""&amp;$C116&amp;"!R"&amp;MATCH($B116&amp;K$5,INDIRECT("'"&amp;$C116&amp;"'!J:J")&amp;INDIRECT("'"&amp;$C116&amp;"'!C:C"),0)&amp;"C"&amp;K$131,FALSE)</f>
        <v>801.94041932917969</v>
      </c>
      <c r="L116" s="101">
        <f ca="1">$K116*(1+INDEX(Methodology!$B$26:$E$31,MATCH($G116,Methodology!$B$26:$B$31,0),MATCH(M$5,Methodology!$B$26:$E$26,0)))</f>
        <v>801.94041932917969</v>
      </c>
      <c r="M116" s="102">
        <f ca="1">$I116*(1+INDEX(Methodology!$B$26:$E$31,MATCH($G116,Methodology!$B$26:$B$31,0),MATCH(M$5,Methodology!$B$26:$E$26,0)))</f>
        <v>1304.4579443981183</v>
      </c>
      <c r="N116" s="99" cm="1">
        <f t="array" aca="1" ref="N116" ca="1">INDIRECT(""&amp;$C116&amp;"!R"&amp;MATCH($B116&amp;N$5,INDIRECT("'"&amp;$C116&amp;"'!J:J")&amp;INDIRECT("'"&amp;$C116&amp;"'!C:C"),0)&amp;"C"&amp;N$131,FALSE)</f>
        <v>9.6982980731940103</v>
      </c>
      <c r="O116" s="99" cm="1">
        <f t="array" aca="1" ref="O116" ca="1">INDIRECT(""&amp;$C116&amp;"!R"&amp;MATCH($B116&amp;O$5,INDIRECT("'"&amp;$C116&amp;"'!J:J")&amp;INDIRECT("'"&amp;$C116&amp;"'!C:C"),0)&amp;"C"&amp;O$131,FALSE)</f>
        <v>2.6953806642133795</v>
      </c>
      <c r="P116" s="100" cm="1">
        <f t="array" aca="1" ref="P116" ca="1">INDIRECT(""&amp;$C116&amp;"!R"&amp;MATCH($B116&amp;P$5,INDIRECT("'"&amp;$C116&amp;"'!J:J")&amp;INDIRECT("'"&amp;$C116&amp;"'!C:C"),0)&amp;"C"&amp;P$131,FALSE)</f>
        <v>5.9622138505853686</v>
      </c>
      <c r="Q116" s="101">
        <f ca="1">$P116*(1+INDEX(Methodology!$B$26:$E$31,MATCH($G116,Methodology!$B$26:$B$31,0),MATCH(R$5,Methodology!$B$26:$E$26,0)))</f>
        <v>5.9622138505853686</v>
      </c>
      <c r="R116" s="102">
        <f ca="1">$N116*(1+INDEX(Methodology!$B$26:$E$31,MATCH($G116,Methodology!$B$26:$B$31,0),MATCH(R$5,Methodology!$B$26:$E$26,0)))</f>
        <v>9.6982980731940103</v>
      </c>
      <c r="S116" s="103"/>
      <c r="T116" s="107" cm="1">
        <f t="array" aca="1" ref="T116" ca="1">INDIRECT(""&amp;$C116&amp;"!R"&amp;MATCH($B116&amp;T$5,INDIRECT("'"&amp;$C116&amp;"'!J:J")&amp;INDIRECT("'"&amp;$C116&amp;"'!C:C"),0)&amp;"C"&amp;T$131,FALSE)</f>
        <v>0</v>
      </c>
      <c r="U116" s="108" cm="1">
        <f t="array" aca="1" ref="U116" ca="1">INDIRECT(""&amp;$C116&amp;"!R"&amp;MATCH($B116&amp;U$5,INDIRECT("'"&amp;$C116&amp;"'!J:J")&amp;INDIRECT("'"&amp;$C116&amp;"'!C:C"),0)&amp;"C"&amp;U$131,FALSE)</f>
        <v>0</v>
      </c>
      <c r="V116" s="107" cm="1">
        <f t="array" aca="1" ref="V116" ca="1">INDIRECT(""&amp;$C116&amp;"!R"&amp;MATCH($B116&amp;V$5,INDIRECT("'"&amp;$C116&amp;"'!J:J")&amp;INDIRECT("'"&amp;$C116&amp;"'!C:C"),0)&amp;"C"&amp;V$131,FALSE)</f>
        <v>0</v>
      </c>
      <c r="W116" s="109" cm="1">
        <f t="array" aca="1" ref="W116" ca="1">INDIRECT(""&amp;$C116&amp;"!R"&amp;MATCH($B116&amp;W$5,INDIRECT("'"&amp;$C116&amp;"'!J:J")&amp;INDIRECT("'"&amp;$C116&amp;"'!C:C"),0)&amp;"C"&amp;W$131,FALSE)</f>
        <v>0</v>
      </c>
      <c r="X116" s="103"/>
      <c r="Y116" s="107">
        <f t="shared" ca="1" si="22"/>
        <v>134.50380000214943</v>
      </c>
      <c r="Z116" s="29" t="str">
        <f t="shared" ca="1" si="23"/>
        <v>kg/m²</v>
      </c>
      <c r="AA116" s="35" t="str" cm="1">
        <f t="array" aca="1" ref="AA116" ca="1">IF(INDIRECT(""&amp;$C116&amp;"!R"&amp;AA$130&amp;"C"&amp;AA$131,FALSE)=0,"",INDIRECT(""&amp;$C116&amp;"!R"&amp;AA$130&amp;"C"&amp;AA$131,FALSE))</f>
        <v>Represents a system assembled off-site</v>
      </c>
      <c r="AB116" s="36" t="str" cm="1">
        <f t="array" aca="1" ref="AB116" ca="1">IFERROR(IF(INDIRECT(""&amp;$C116&amp;"!R"&amp;AB$130&amp;"C"&amp;AB$131,FALSE)="Average (weighted)","Yes","No"),"")</f>
        <v>No</v>
      </c>
    </row>
    <row r="117" spans="1:28" ht="45" customHeight="1" x14ac:dyDescent="0.25">
      <c r="A117" s="17" t="s">
        <v>3954</v>
      </c>
      <c r="B117" s="17" t="s">
        <v>5612</v>
      </c>
      <c r="C117" s="16" t="s">
        <v>5604</v>
      </c>
      <c r="D117" s="31" t="str" cm="1">
        <f t="array" aca="1" ref="D117" ca="1">INDIRECT(""&amp;$C117&amp;"!R"&amp;D$130&amp;"C"&amp;D$131,FALSE)</f>
        <v>Represents a generic curtain wall as named in the material category. Includes glass, framing, spandrel/cladding material in one square meter rate.</v>
      </c>
      <c r="E117" s="39" t="str">
        <f t="shared" si="26"/>
        <v>Curtain_wall</v>
      </c>
      <c r="F117" s="14" t="str" cm="1">
        <f t="array" aca="1" ref="F117" ca="1">INDIRECT(""&amp;$C117&amp;"!R"&amp;F$130&amp;"C"&amp;F$131,FALSE)</f>
        <v>m²</v>
      </c>
      <c r="G117" s="14" t="str" cm="1">
        <f t="array" aca="1" ref="G117" ca="1">INDIRECT(""&amp;$C117&amp;"!R"&amp;G$130&amp;"C"&amp;G$131,FALSE)</f>
        <v>Untiered</v>
      </c>
      <c r="H117" s="32">
        <f ca="1">INDEX(Methodology!$B$26:$D$31,MATCH('EF Table_detail'!$G117,Methodology!$B$26:$B$31,0),MATCH('EF Table_detail'!$H$5,Methodology!$B$26:$D$26,0))</f>
        <v>1</v>
      </c>
      <c r="I117" s="98" cm="1">
        <f t="array" aca="1" ref="I117" ca="1">INDIRECT(""&amp;$C117&amp;"!R"&amp;MATCH($B117&amp;I$5,INDIRECT("'"&amp;$C117&amp;"'!J:J")&amp;INDIRECT("'"&amp;$C117&amp;"'!C:C"),0)&amp;"C"&amp;I$131,FALSE)</f>
        <v>673.69452167509348</v>
      </c>
      <c r="J117" s="99" cm="1">
        <f t="array" aca="1" ref="J117" ca="1">INDIRECT(""&amp;$C117&amp;"!R"&amp;MATCH($B117&amp;J$5,INDIRECT("'"&amp;$C117&amp;"'!J:J")&amp;INDIRECT("'"&amp;$C117&amp;"'!C:C"),0)&amp;"C"&amp;J$131,FALSE)</f>
        <v>178.97762969418417</v>
      </c>
      <c r="K117" s="114" cm="1">
        <f t="array" aca="1" ref="K117" ca="1">INDIRECT(""&amp;$C117&amp;"!R"&amp;MATCH($B117&amp;K$5,INDIRECT("'"&amp;$C117&amp;"'!J:J")&amp;INDIRECT("'"&amp;$C117&amp;"'!C:C"),0)&amp;"C"&amp;K$131,FALSE)</f>
        <v>411.7673014686618</v>
      </c>
      <c r="L117" s="101">
        <f ca="1">$K117*(1+INDEX(Methodology!$B$26:$E$31,MATCH($G117,Methodology!$B$26:$B$31,0),MATCH(M$5,Methodology!$B$26:$E$26,0)))</f>
        <v>411.7673014686618</v>
      </c>
      <c r="M117" s="102">
        <f ca="1">$I117*(1+INDEX(Methodology!$B$26:$E$31,MATCH($G117,Methodology!$B$26:$B$31,0),MATCH(M$5,Methodology!$B$26:$E$26,0)))</f>
        <v>673.69452167509348</v>
      </c>
      <c r="N117" s="99" cm="1">
        <f t="array" aca="1" ref="N117" ca="1">INDIRECT(""&amp;$C117&amp;"!R"&amp;MATCH($B117&amp;N$5,INDIRECT("'"&amp;$C117&amp;"'!J:J")&amp;INDIRECT("'"&amp;$C117&amp;"'!C:C"),0)&amp;"C"&amp;N$131,FALSE)</f>
        <v>7.7410963359829417</v>
      </c>
      <c r="O117" s="99" cm="1">
        <f t="array" aca="1" ref="O117" ca="1">INDIRECT(""&amp;$C117&amp;"!R"&amp;MATCH($B117&amp;O$5,INDIRECT("'"&amp;$C117&amp;"'!J:J")&amp;INDIRECT("'"&amp;$C117&amp;"'!C:C"),0)&amp;"C"&amp;O$131,FALSE)</f>
        <v>2.0565449604720785</v>
      </c>
      <c r="P117" s="100" cm="1">
        <f t="array" aca="1" ref="P117" ca="1">INDIRECT(""&amp;$C117&amp;"!R"&amp;MATCH($B117&amp;P$5,INDIRECT("'"&amp;$C117&amp;"'!J:J")&amp;INDIRECT("'"&amp;$C117&amp;"'!C:C"),0)&amp;"C"&amp;P$131,FALSE)</f>
        <v>4.7314179440721498</v>
      </c>
      <c r="Q117" s="101">
        <f ca="1">$P117*(1+INDEX(Methodology!$B$26:$E$31,MATCH($G117,Methodology!$B$26:$B$31,0),MATCH(R$5,Methodology!$B$26:$E$26,0)))</f>
        <v>4.7314179440721498</v>
      </c>
      <c r="R117" s="102">
        <f ca="1">$N117*(1+INDEX(Methodology!$B$26:$E$31,MATCH($G117,Methodology!$B$26:$B$31,0),MATCH(R$5,Methodology!$B$26:$E$26,0)))</f>
        <v>7.7410963359829417</v>
      </c>
      <c r="S117" s="103"/>
      <c r="T117" s="107" cm="1">
        <f t="array" aca="1" ref="T117" ca="1">INDIRECT(""&amp;$C117&amp;"!R"&amp;MATCH($B117&amp;T$5,INDIRECT("'"&amp;$C117&amp;"'!J:J")&amp;INDIRECT("'"&amp;$C117&amp;"'!C:C"),0)&amp;"C"&amp;T$131,FALSE)</f>
        <v>0</v>
      </c>
      <c r="U117" s="108" cm="1">
        <f t="array" aca="1" ref="U117" ca="1">INDIRECT(""&amp;$C117&amp;"!R"&amp;MATCH($B117&amp;U$5,INDIRECT("'"&amp;$C117&amp;"'!J:J")&amp;INDIRECT("'"&amp;$C117&amp;"'!C:C"),0)&amp;"C"&amp;U$131,FALSE)</f>
        <v>0</v>
      </c>
      <c r="V117" s="107" cm="1">
        <f t="array" aca="1" ref="V117" ca="1">INDIRECT(""&amp;$C117&amp;"!R"&amp;MATCH($B117&amp;V$5,INDIRECT("'"&amp;$C117&amp;"'!J:J")&amp;INDIRECT("'"&amp;$C117&amp;"'!C:C"),0)&amp;"C"&amp;V$131,FALSE)</f>
        <v>0</v>
      </c>
      <c r="W117" s="109" cm="1">
        <f t="array" aca="1" ref="W117" ca="1">INDIRECT(""&amp;$C117&amp;"!R"&amp;MATCH($B117&amp;W$5,INDIRECT("'"&amp;$C117&amp;"'!J:J")&amp;INDIRECT("'"&amp;$C117&amp;"'!C:C"),0)&amp;"C"&amp;W$131,FALSE)</f>
        <v>0</v>
      </c>
      <c r="X117" s="103"/>
      <c r="Y117" s="107">
        <f t="shared" ca="1" si="22"/>
        <v>87.028308709137093</v>
      </c>
      <c r="Z117" s="29" t="str">
        <f t="shared" ca="1" si="23"/>
        <v>kg/m²</v>
      </c>
      <c r="AA117" s="35" t="str" cm="1">
        <f t="array" aca="1" ref="AA117" ca="1">IF(INDIRECT(""&amp;$C117&amp;"!R"&amp;AA$130&amp;"C"&amp;AA$131,FALSE)=0,"",INDIRECT(""&amp;$C117&amp;"!R"&amp;AA$130&amp;"C"&amp;AA$131,FALSE))</f>
        <v>Represents a system assembled off-site</v>
      </c>
      <c r="AB117" s="36" t="str" cm="1">
        <f t="array" aca="1" ref="AB117" ca="1">IFERROR(IF(INDIRECT(""&amp;$C117&amp;"!R"&amp;AB$130&amp;"C"&amp;AB$131,FALSE)="Average (weighted)","Yes","No"),"")</f>
        <v>No</v>
      </c>
    </row>
    <row r="118" spans="1:28" ht="45" customHeight="1" x14ac:dyDescent="0.25">
      <c r="A118" s="17" t="s">
        <v>5613</v>
      </c>
      <c r="B118" s="17" t="s">
        <v>3363</v>
      </c>
      <c r="C118" s="16" t="s">
        <v>5614</v>
      </c>
      <c r="D118" s="31" t="str" cm="1">
        <f t="array" aca="1" ref="D118" ca="1">INDIRECT(""&amp;$C118&amp;"!R"&amp;D$130&amp;"C"&amp;D$131,FALSE)</f>
        <v>Lift (elevator) classified as category 5 and 6 from ISO 25745. Typically used in high use environments, shopping centres, high-rise commercial.residential (10+ floors). Includes all elements of a lift installation i.e. lift cars, fittings, finishes, drive elements, electronics, guide rails, counterweights, ropes etc.</v>
      </c>
      <c r="E118" s="39" t="str">
        <f t="shared" si="26"/>
        <v>Lift_Cat5_6</v>
      </c>
      <c r="F118" s="14" t="str" cm="1">
        <f t="array" aca="1" ref="F118" ca="1">INDIRECT(""&amp;$C118&amp;"!R"&amp;F$130&amp;"C"&amp;F$131,FALSE)</f>
        <v>#</v>
      </c>
      <c r="G118" s="14" t="str" cm="1">
        <f t="array" aca="1" ref="G118" ca="1">INDIRECT(""&amp;$C118&amp;"!R"&amp;G$130&amp;"C"&amp;G$131,FALSE)</f>
        <v>Tier 4</v>
      </c>
      <c r="H118" s="32">
        <f ca="1">INDEX(Methodology!$B$26:$D$31,MATCH('EF Table_detail'!$G118,Methodology!$B$26:$B$31,0),MATCH('EF Table_detail'!$H$5,Methodology!$B$26:$D$26,0))</f>
        <v>1.2</v>
      </c>
      <c r="I118" s="98" cm="1">
        <f t="array" aca="1" ref="I118" ca="1">INDIRECT(""&amp;$C118&amp;"!R"&amp;I$130&amp;"C"&amp;I$131,FALSE)</f>
        <v>259409.09279999998</v>
      </c>
      <c r="J118" s="99" cm="1">
        <f t="array" aca="1" ref="J118" ca="1">INDIRECT(""&amp;$C118&amp;"!R"&amp;J$130&amp;"C"&amp;J$131,FALSE)</f>
        <v>99868.236336000002</v>
      </c>
      <c r="K118" s="100" cm="1">
        <f t="array" aca="1" ref="K118" ca="1">INDIRECT(""&amp;$C118&amp;"!R"&amp;K$130&amp;"C"&amp;K$131,FALSE)</f>
        <v>166503.35131199998</v>
      </c>
      <c r="L118" s="101">
        <f ca="1">$K118*(1+INDEX(Methodology!$B$26:$E$31,MATCH($G118,Methodology!$B$26:$B$31,0),MATCH(M$5,Methodology!$B$26:$E$26,0)))</f>
        <v>199804.02157439999</v>
      </c>
      <c r="M118" s="102">
        <f ca="1">$I118*(1+INDEX(Methodology!$B$26:$E$31,MATCH($G118,Methodology!$B$26:$B$31,0),MATCH(M$5,Methodology!$B$26:$E$26,0)))</f>
        <v>311290.91135999997</v>
      </c>
      <c r="N118" s="99" cm="1">
        <f t="array" aca="1" ref="N118" ca="1">INDIRECT(""&amp;$C118&amp;"!R"&amp;N$130&amp;"C"&amp;N$131,FALSE)</f>
        <v>0</v>
      </c>
      <c r="O118" s="99" cm="1">
        <f t="array" aca="1" ref="O118" ca="1">INDIRECT(""&amp;$C118&amp;"!R"&amp;O$130&amp;"C"&amp;O$131,FALSE)</f>
        <v>0</v>
      </c>
      <c r="P118" s="100" cm="1">
        <f t="array" aca="1" ref="P118" ca="1">INDIRECT(""&amp;$C118&amp;"!R"&amp;P$130&amp;"C"&amp;P$131,FALSE)</f>
        <v>0</v>
      </c>
      <c r="Q118" s="101">
        <f ca="1">$P118*(1+INDEX(Methodology!$B$26:$E$31,MATCH($G118,Methodology!$B$26:$B$31,0),MATCH(R$5,Methodology!$B$26:$E$26,0)))</f>
        <v>0</v>
      </c>
      <c r="R118" s="102">
        <f ca="1">$N118*(1+INDEX(Methodology!$B$26:$E$31,MATCH($G118,Methodology!$B$26:$B$31,0),MATCH(R$5,Methodology!$B$26:$E$26,0)))</f>
        <v>0</v>
      </c>
      <c r="S118" s="103"/>
      <c r="T118" s="107" cm="1">
        <f t="array" aca="1" ref="T118" ca="1">INDIRECT(""&amp;$C118&amp;"!R"&amp;T$130&amp;"C"&amp;T$131,FALSE)</f>
        <v>0</v>
      </c>
      <c r="U118" s="108" cm="1">
        <f t="array" aca="1" ref="U118" ca="1">INDIRECT(""&amp;$C118&amp;"!R"&amp;U$130&amp;"C"&amp;U$131,FALSE)</f>
        <v>0</v>
      </c>
      <c r="V118" s="107" cm="1">
        <f t="array" aca="1" ref="V118" ca="1">INDIRECT(""&amp;$C118&amp;"!R"&amp;V$130&amp;"C"&amp;V$131,FALSE)</f>
        <v>0</v>
      </c>
      <c r="W118" s="109" cm="1">
        <f t="array" aca="1" ref="W118" ca="1">INDIRECT(""&amp;$C118&amp;"!R"&amp;W$130&amp;"C"&amp;W$131,FALSE)</f>
        <v>0</v>
      </c>
      <c r="X118" s="103"/>
      <c r="Y118" s="107" t="str">
        <f ca="1">IFERROR(K118/P118,"")</f>
        <v/>
      </c>
      <c r="Z118" s="29" t="str">
        <f ca="1">"kg/"&amp;F118</f>
        <v>kg/#</v>
      </c>
      <c r="AA118" s="35" t="str" cm="1">
        <f t="array" aca="1" ref="AA118" ca="1">IF(INDIRECT(""&amp;$C118&amp;"!R"&amp;AA$130&amp;"C"&amp;AA$131,FALSE)=0,"",INDIRECT(""&amp;$C118&amp;"!R"&amp;AA$130&amp;"C"&amp;AA$131,FALSE))</f>
        <v/>
      </c>
      <c r="AB118" s="36" t="str" cm="1">
        <f t="array" aca="1" ref="AB118" ca="1">IFERROR(IF(INDIRECT(""&amp;$C118&amp;"!R"&amp;AB$130&amp;"C"&amp;AB$131,FALSE)="Average (weighted)","Yes","No"),"")</f>
        <v>No</v>
      </c>
    </row>
    <row r="119" spans="1:28" ht="45" customHeight="1" x14ac:dyDescent="0.25">
      <c r="A119" s="17" t="s">
        <v>5613</v>
      </c>
      <c r="B119" s="17" t="s">
        <v>3344</v>
      </c>
      <c r="C119" s="16" t="s">
        <v>5615</v>
      </c>
      <c r="D119" s="31" t="str" cm="1">
        <f t="array" aca="1" ref="D119" ca="1">INDIRECT(""&amp;$C119&amp;"!R"&amp;D$130&amp;"C"&amp;D$131,FALSE)</f>
        <v>Lift (elevator) classified as category 3 and 4 from ISO 25745. Typically used in medium rise (4-10 floor). Includes all elements of a lift installation i.e. lift cars, fittings, finishes, drive elements, electronics, guide rails, counterweights, ropes etc.</v>
      </c>
      <c r="E119" s="39" t="str">
        <f t="shared" si="26"/>
        <v>Lift_Cat3_4</v>
      </c>
      <c r="F119" s="14" t="str" cm="1">
        <f t="array" aca="1" ref="F119" ca="1">INDIRECT(""&amp;$C119&amp;"!R"&amp;F$130&amp;"C"&amp;F$131,FALSE)</f>
        <v>#</v>
      </c>
      <c r="G119" s="14" t="str" cm="1">
        <f t="array" aca="1" ref="G119" ca="1">INDIRECT(""&amp;$C119&amp;"!R"&amp;G$130&amp;"C"&amp;G$131,FALSE)</f>
        <v>Tier 4</v>
      </c>
      <c r="H119" s="32">
        <f ca="1">INDEX(Methodology!$B$26:$D$31,MATCH('EF Table_detail'!$G119,Methodology!$B$26:$B$31,0),MATCH('EF Table_detail'!$H$5,Methodology!$B$26:$D$26,0))</f>
        <v>1.2</v>
      </c>
      <c r="I119" s="98" cm="1">
        <f t="array" aca="1" ref="I119" ca="1">INDIRECT(""&amp;$C119&amp;"!R"&amp;I$130&amp;"C"&amp;I$131,FALSE)</f>
        <v>117248.001</v>
      </c>
      <c r="J119" s="99" cm="1">
        <f t="array" aca="1" ref="J119" ca="1">INDIRECT(""&amp;$C119&amp;"!R"&amp;J$130&amp;"C"&amp;J$131,FALSE)</f>
        <v>4487.5919999999996</v>
      </c>
      <c r="K119" s="100" cm="1">
        <f t="array" aca="1" ref="K119" ca="1">INDIRECT(""&amp;$C119&amp;"!R"&amp;K$130&amp;"C"&amp;K$131,FALSE)</f>
        <v>41503.433215000005</v>
      </c>
      <c r="L119" s="101">
        <f ca="1">$K119*(1+INDEX(Methodology!$B$26:$E$31,MATCH($G119,Methodology!$B$26:$B$31,0),MATCH(M$5,Methodology!$B$26:$E$26,0)))</f>
        <v>49804.119858000005</v>
      </c>
      <c r="M119" s="102">
        <f ca="1">$I119*(1+INDEX(Methodology!$B$26:$E$31,MATCH($G119,Methodology!$B$26:$B$31,0),MATCH(M$5,Methodology!$B$26:$E$26,0)))</f>
        <v>140697.6012</v>
      </c>
      <c r="N119" s="99" cm="1">
        <f t="array" aca="1" ref="N119" ca="1">INDIRECT(""&amp;$C119&amp;"!R"&amp;N$130&amp;"C"&amp;N$131,FALSE)</f>
        <v>0</v>
      </c>
      <c r="O119" s="99" cm="1">
        <f t="array" aca="1" ref="O119" ca="1">INDIRECT(""&amp;$C119&amp;"!R"&amp;O$130&amp;"C"&amp;O$131,FALSE)</f>
        <v>0</v>
      </c>
      <c r="P119" s="100" cm="1">
        <f t="array" aca="1" ref="P119" ca="1">INDIRECT(""&amp;$C119&amp;"!R"&amp;P$130&amp;"C"&amp;P$131,FALSE)</f>
        <v>0</v>
      </c>
      <c r="Q119" s="101">
        <f ca="1">$P119*(1+INDEX(Methodology!$B$26:$E$31,MATCH($G119,Methodology!$B$26:$B$31,0),MATCH(R$5,Methodology!$B$26:$E$26,0)))</f>
        <v>0</v>
      </c>
      <c r="R119" s="102">
        <f ca="1">$N119*(1+INDEX(Methodology!$B$26:$E$31,MATCH($G119,Methodology!$B$26:$B$31,0),MATCH(R$5,Methodology!$B$26:$E$26,0)))</f>
        <v>0</v>
      </c>
      <c r="S119" s="103"/>
      <c r="T119" s="107" cm="1">
        <f t="array" aca="1" ref="T119" ca="1">INDIRECT(""&amp;$C119&amp;"!R"&amp;T$130&amp;"C"&amp;T$131,FALSE)</f>
        <v>0</v>
      </c>
      <c r="U119" s="108" cm="1">
        <f t="array" aca="1" ref="U119" ca="1">INDIRECT(""&amp;$C119&amp;"!R"&amp;U$130&amp;"C"&amp;U$131,FALSE)</f>
        <v>0</v>
      </c>
      <c r="V119" s="107" cm="1">
        <f t="array" aca="1" ref="V119" ca="1">INDIRECT(""&amp;$C119&amp;"!R"&amp;V$130&amp;"C"&amp;V$131,FALSE)</f>
        <v>0</v>
      </c>
      <c r="W119" s="109" cm="1">
        <f t="array" aca="1" ref="W119" ca="1">INDIRECT(""&amp;$C119&amp;"!R"&amp;W$130&amp;"C"&amp;W$131,FALSE)</f>
        <v>0</v>
      </c>
      <c r="X119" s="103"/>
      <c r="Y119" s="107" t="str">
        <f ca="1">IFERROR(K119/P119,"")</f>
        <v/>
      </c>
      <c r="Z119" s="29" t="str">
        <f ca="1">"kg/"&amp;F119</f>
        <v>kg/#</v>
      </c>
      <c r="AA119" s="35" t="str" cm="1">
        <f t="array" aca="1" ref="AA119" ca="1">IF(INDIRECT(""&amp;$C119&amp;"!R"&amp;AA$130&amp;"C"&amp;AA$131,FALSE)=0,"",INDIRECT(""&amp;$C119&amp;"!R"&amp;AA$130&amp;"C"&amp;AA$131,FALSE))</f>
        <v/>
      </c>
      <c r="AB119" s="36" t="str" cm="1">
        <f t="array" aca="1" ref="AB119" ca="1">IFERROR(IF(INDIRECT(""&amp;$C119&amp;"!R"&amp;AB$130&amp;"C"&amp;AB$131,FALSE)="Average (weighted)","Yes","No"),"")</f>
        <v>No</v>
      </c>
    </row>
    <row r="120" spans="1:28" ht="45" customHeight="1" x14ac:dyDescent="0.25">
      <c r="A120" s="17" t="s">
        <v>5613</v>
      </c>
      <c r="B120" s="17" t="s">
        <v>3330</v>
      </c>
      <c r="C120" s="16" t="s">
        <v>5616</v>
      </c>
      <c r="D120" s="31" t="str" cm="1">
        <f t="array" aca="1" ref="D120" ca="1">INDIRECT(""&amp;$C120&amp;"!R"&amp;D$130&amp;"C"&amp;D$131,FALSE)</f>
        <v>Lift (elevator) classified as category 1 and 2 from ISO 25745. Typically used in low rise (less 4 floors) building. Includes all elements of a lift installation i.e. lift cars, fittings, finishes, drive elements, electronics, guide rails, counterweights, ropes etc.</v>
      </c>
      <c r="E120" s="39" t="str">
        <f t="shared" si="26"/>
        <v>Lift_Cat1_2</v>
      </c>
      <c r="F120" s="14" t="str" cm="1">
        <f t="array" aca="1" ref="F120" ca="1">INDIRECT(""&amp;$C120&amp;"!R"&amp;F$130&amp;"C"&amp;F$131,FALSE)</f>
        <v>#</v>
      </c>
      <c r="G120" s="14" t="str" cm="1">
        <f t="array" aca="1" ref="G120" ca="1">INDIRECT(""&amp;$C120&amp;"!R"&amp;G$130&amp;"C"&amp;G$131,FALSE)</f>
        <v>Tier 4</v>
      </c>
      <c r="H120" s="32">
        <f ca="1">INDEX(Methodology!$B$26:$D$31,MATCH('EF Table_detail'!$G120,Methodology!$B$26:$B$31,0),MATCH('EF Table_detail'!$H$5,Methodology!$B$26:$D$26,0))</f>
        <v>1.2</v>
      </c>
      <c r="I120" s="98" cm="1">
        <f t="array" aca="1" ref="I120" ca="1">INDIRECT(""&amp;$C120&amp;"!R"&amp;I$130&amp;"C"&amp;I$131,FALSE)</f>
        <v>28801.149000000001</v>
      </c>
      <c r="J120" s="99" cm="1">
        <f t="array" aca="1" ref="J120" ca="1">INDIRECT(""&amp;$C120&amp;"!R"&amp;J$130&amp;"C"&amp;J$131,FALSE)</f>
        <v>4496.6500000000005</v>
      </c>
      <c r="K120" s="100" cm="1">
        <f t="array" aca="1" ref="K120" ca="1">INDIRECT(""&amp;$C120&amp;"!R"&amp;K$130&amp;"C"&amp;K$131,FALSE)</f>
        <v>14157.740250000001</v>
      </c>
      <c r="L120" s="101">
        <f ca="1">$K120*(1+INDEX(Methodology!$B$26:$E$31,MATCH($G120,Methodology!$B$26:$B$31,0),MATCH(M$5,Methodology!$B$26:$E$26,0)))</f>
        <v>16989.2883</v>
      </c>
      <c r="M120" s="102">
        <f ca="1">$I120*(1+INDEX(Methodology!$B$26:$E$31,MATCH($G120,Methodology!$B$26:$B$31,0),MATCH(M$5,Methodology!$B$26:$E$26,0)))</f>
        <v>34561.378799999999</v>
      </c>
      <c r="N120" s="99" cm="1">
        <f t="array" aca="1" ref="N120" ca="1">INDIRECT(""&amp;$C120&amp;"!R"&amp;N$130&amp;"C"&amp;N$131,FALSE)</f>
        <v>0</v>
      </c>
      <c r="O120" s="99" cm="1">
        <f t="array" aca="1" ref="O120" ca="1">INDIRECT(""&amp;$C120&amp;"!R"&amp;O$130&amp;"C"&amp;O$131,FALSE)</f>
        <v>0</v>
      </c>
      <c r="P120" s="100" cm="1">
        <f t="array" aca="1" ref="P120" ca="1">INDIRECT(""&amp;$C120&amp;"!R"&amp;P$130&amp;"C"&amp;P$131,FALSE)</f>
        <v>0</v>
      </c>
      <c r="Q120" s="101">
        <f ca="1">$P120*(1+INDEX(Methodology!$B$26:$E$31,MATCH($G120,Methodology!$B$26:$B$31,0),MATCH(R$5,Methodology!$B$26:$E$26,0)))</f>
        <v>0</v>
      </c>
      <c r="R120" s="102">
        <f ca="1">$N120*(1+INDEX(Methodology!$B$26:$E$31,MATCH($G120,Methodology!$B$26:$B$31,0),MATCH(R$5,Methodology!$B$26:$E$26,0)))</f>
        <v>0</v>
      </c>
      <c r="S120" s="103"/>
      <c r="T120" s="107" cm="1">
        <f t="array" aca="1" ref="T120" ca="1">INDIRECT(""&amp;$C120&amp;"!R"&amp;T$130&amp;"C"&amp;T$131,FALSE)</f>
        <v>0</v>
      </c>
      <c r="U120" s="108" cm="1">
        <f t="array" aca="1" ref="U120" ca="1">INDIRECT(""&amp;$C120&amp;"!R"&amp;U$130&amp;"C"&amp;U$131,FALSE)</f>
        <v>0</v>
      </c>
      <c r="V120" s="107" cm="1">
        <f t="array" aca="1" ref="V120" ca="1">INDIRECT(""&amp;$C120&amp;"!R"&amp;V$130&amp;"C"&amp;V$131,FALSE)</f>
        <v>0</v>
      </c>
      <c r="W120" s="109" cm="1">
        <f t="array" aca="1" ref="W120" ca="1">INDIRECT(""&amp;$C120&amp;"!R"&amp;W$130&amp;"C"&amp;W$131,FALSE)</f>
        <v>0</v>
      </c>
      <c r="X120" s="103"/>
      <c r="Y120" s="107" t="str">
        <f ca="1">IFERROR(K120/P120,"")</f>
        <v/>
      </c>
      <c r="Z120" s="29" t="str">
        <f ca="1">"kg/"&amp;F120</f>
        <v>kg/#</v>
      </c>
      <c r="AA120" s="35" t="str" cm="1">
        <f t="array" aca="1" ref="AA120" ca="1">IF(INDIRECT(""&amp;$C120&amp;"!R"&amp;AA$130&amp;"C"&amp;AA$131,FALSE)=0,"",INDIRECT(""&amp;$C120&amp;"!R"&amp;AA$130&amp;"C"&amp;AA$131,FALSE))</f>
        <v/>
      </c>
      <c r="AB120" s="36" t="str" cm="1">
        <f t="array" aca="1" ref="AB120" ca="1">IFERROR(IF(INDIRECT(""&amp;$C120&amp;"!R"&amp;AB$130&amp;"C"&amp;AB$131,FALSE)="Average (weighted)","Yes","No"),"")</f>
        <v>No</v>
      </c>
    </row>
    <row r="121" spans="1:28" ht="45" customHeight="1" x14ac:dyDescent="0.25">
      <c r="A121" s="17" t="s">
        <v>3545</v>
      </c>
      <c r="B121" s="17" t="s">
        <v>3545</v>
      </c>
      <c r="C121" s="16" t="s">
        <v>3545</v>
      </c>
      <c r="D121" s="31" t="str" cm="1">
        <f t="array" aca="1" ref="D121" ca="1">INDIRECT(""&amp;$C121&amp;"!R"&amp;D$130&amp;"C"&amp;D$131,FALSE)</f>
        <v xml:space="preserve">Escalator/travelator. Including all componentry (i.e. truss, stairs, rails and balustrade, drive train etc.) </v>
      </c>
      <c r="E121" s="39" t="str">
        <f t="shared" si="26"/>
        <v>Escalator</v>
      </c>
      <c r="F121" s="14" t="str" cm="1">
        <f t="array" aca="1" ref="F121" ca="1">INDIRECT(""&amp;$C121&amp;"!R"&amp;F$130&amp;"C"&amp;F$131,FALSE)</f>
        <v>#</v>
      </c>
      <c r="G121" s="14" t="str" cm="1">
        <f t="array" aca="1" ref="G121" ca="1">INDIRECT(""&amp;$C121&amp;"!R"&amp;G$130&amp;"C"&amp;G$131,FALSE)</f>
        <v>Tier 4</v>
      </c>
      <c r="H121" s="32">
        <f ca="1">INDEX(Methodology!$B$26:$D$31,MATCH('EF Table_detail'!$G121,Methodology!$B$26:$B$31,0),MATCH('EF Table_detail'!$H$5,Methodology!$B$26:$D$26,0))</f>
        <v>1.2</v>
      </c>
      <c r="I121" s="98" cm="1">
        <f t="array" aca="1" ref="I121" ca="1">INDIRECT(""&amp;$C121&amp;"!R"&amp;I$130&amp;"C"&amp;I$131,FALSE)</f>
        <v>118165.77</v>
      </c>
      <c r="J121" s="99" cm="1">
        <f t="array" aca="1" ref="J121" ca="1">INDIRECT(""&amp;$C121&amp;"!R"&amp;J$130&amp;"C"&amp;J$131,FALSE)</f>
        <v>20319.099999999999</v>
      </c>
      <c r="K121" s="100" cm="1">
        <f t="array" aca="1" ref="K121" ca="1">INDIRECT(""&amp;$C121&amp;"!R"&amp;K$130&amp;"C"&amp;K$131,FALSE)</f>
        <v>50510.063000000002</v>
      </c>
      <c r="L121" s="101">
        <f ca="1">$K121*(1+INDEX(Methodology!$B$26:$E$31,MATCH($G121,Methodology!$B$26:$B$31,0),MATCH(M$5,Methodology!$B$26:$E$26,0)))</f>
        <v>60612.075599999996</v>
      </c>
      <c r="M121" s="102">
        <f ca="1">$I121*(1+INDEX(Methodology!$B$26:$E$31,MATCH($G121,Methodology!$B$26:$B$31,0),MATCH(M$5,Methodology!$B$26:$E$26,0)))</f>
        <v>141798.924</v>
      </c>
      <c r="N121" s="99" cm="1">
        <f t="array" aca="1" ref="N121" ca="1">INDIRECT(""&amp;$C121&amp;"!R"&amp;N$130&amp;"C"&amp;N$131,FALSE)</f>
        <v>0</v>
      </c>
      <c r="O121" s="99" cm="1">
        <f t="array" aca="1" ref="O121" ca="1">INDIRECT(""&amp;$C121&amp;"!R"&amp;O$130&amp;"C"&amp;O$131,FALSE)</f>
        <v>0</v>
      </c>
      <c r="P121" s="100" cm="1">
        <f t="array" aca="1" ref="P121" ca="1">INDIRECT(""&amp;$C121&amp;"!R"&amp;P$130&amp;"C"&amp;P$131,FALSE)</f>
        <v>0</v>
      </c>
      <c r="Q121" s="101">
        <f ca="1">$P121*(1+INDEX(Methodology!$B$26:$E$31,MATCH($G121,Methodology!$B$26:$B$31,0),MATCH(R$5,Methodology!$B$26:$E$26,0)))</f>
        <v>0</v>
      </c>
      <c r="R121" s="102">
        <f ca="1">$N121*(1+INDEX(Methodology!$B$26:$E$31,MATCH($G121,Methodology!$B$26:$B$31,0),MATCH(R$5,Methodology!$B$26:$E$26,0)))</f>
        <v>0</v>
      </c>
      <c r="S121" s="103"/>
      <c r="T121" s="107" cm="1">
        <f t="array" aca="1" ref="T121" ca="1">INDIRECT(""&amp;$C121&amp;"!R"&amp;T$130&amp;"C"&amp;T$131,FALSE)</f>
        <v>0</v>
      </c>
      <c r="U121" s="108" cm="1">
        <f t="array" aca="1" ref="U121" ca="1">INDIRECT(""&amp;$C121&amp;"!R"&amp;U$130&amp;"C"&amp;U$131,FALSE)</f>
        <v>0</v>
      </c>
      <c r="V121" s="107" cm="1">
        <f t="array" aca="1" ref="V121" ca="1">INDIRECT(""&amp;$C121&amp;"!R"&amp;V$130&amp;"C"&amp;V$131,FALSE)</f>
        <v>0</v>
      </c>
      <c r="W121" s="109" cm="1">
        <f t="array" aca="1" ref="W121" ca="1">INDIRECT(""&amp;$C121&amp;"!R"&amp;W$130&amp;"C"&amp;W$131,FALSE)</f>
        <v>0</v>
      </c>
      <c r="X121" s="103"/>
      <c r="Y121" s="107" t="str">
        <f ca="1">IFERROR(K121/P121,"")</f>
        <v/>
      </c>
      <c r="Z121" s="29"/>
      <c r="AA121" s="35" t="str" cm="1">
        <f t="array" aca="1" ref="AA121" ca="1">IF(INDIRECT(""&amp;$C121&amp;"!R"&amp;AA$130&amp;"C"&amp;AA$131,FALSE)=0,"",INDIRECT(""&amp;$C121&amp;"!R"&amp;AA$130&amp;"C"&amp;AA$131,FALSE))</f>
        <v/>
      </c>
      <c r="AB121" s="36" t="str" cm="1">
        <f t="array" aca="1" ref="AB121" ca="1">IFERROR(IF(INDIRECT(""&amp;$C121&amp;"!R"&amp;AB$130&amp;"C"&amp;AB$131,FALSE)="Average (weighted)","Yes","No"),"")</f>
        <v>No</v>
      </c>
    </row>
    <row r="122" spans="1:28" ht="45" customHeight="1" x14ac:dyDescent="0.25">
      <c r="A122" s="17" t="s">
        <v>5617</v>
      </c>
      <c r="B122" s="18" t="s">
        <v>5618</v>
      </c>
      <c r="C122" s="16" t="s">
        <v>5619</v>
      </c>
      <c r="D122" s="31" t="str" cm="1">
        <f t="array" aca="1" ref="D122" ca="1">INDIRECT(""&amp;$C122&amp;"!R"&amp;D$130&amp;"C"&amp;D$131,FALSE)</f>
        <v xml:space="preserve">Determination of a generic buildings services rate as named in the material category. Includes mechanical, electrical and heating, ventilation and air conditioning. </v>
      </c>
      <c r="E122" s="39" t="str">
        <f t="shared" si="26"/>
        <v>Building_services</v>
      </c>
      <c r="F122" s="14" t="str" cm="1">
        <f t="array" aca="1" ref="F122" ca="1">INDIRECT(""&amp;$C122&amp;"!R"&amp;F$130&amp;"C"&amp;F$131,FALSE)</f>
        <v>m²</v>
      </c>
      <c r="G122" s="14" t="str" cm="1">
        <f t="array" aca="1" ref="G122" ca="1">INDIRECT(""&amp;$C122&amp;"!R"&amp;G$130&amp;"C"&amp;G$131,FALSE)</f>
        <v>Untiered</v>
      </c>
      <c r="H122" s="32">
        <f ca="1">INDEX(Methodology!$B$26:$D$31,MATCH('EF Table_detail'!$G122,Methodology!$B$26:$B$31,0),MATCH('EF Table_detail'!$H$5,Methodology!$B$26:$D$26,0))</f>
        <v>1</v>
      </c>
      <c r="I122" s="98" cm="1">
        <f t="array" aca="1" ref="I122" ca="1">INDIRECT(""&amp;$C122&amp;"!R"&amp;MATCH($B122&amp;I$5,INDIRECT("'"&amp;$C122&amp;"'!J:J")&amp;INDIRECT("'"&amp;$C122&amp;"'!C:C"),0)&amp;"C"&amp;I$131,FALSE)</f>
        <v>66.952527204591888</v>
      </c>
      <c r="J122" s="99" cm="1">
        <f t="array" aca="1" ref="J122" ca="1">INDIRECT(""&amp;$C122&amp;"!R"&amp;MATCH($B122&amp;J$5,INDIRECT("'"&amp;$C122&amp;"'!J:J")&amp;INDIRECT("'"&amp;$C122&amp;"'!C:C"),0)&amp;"C"&amp;J$131,FALSE)</f>
        <v>41.262974656378759</v>
      </c>
      <c r="K122" s="114" cm="1">
        <f t="array" aca="1" ref="K122" ca="1">INDIRECT(""&amp;$C122&amp;"!R"&amp;MATCH($B122&amp;K$5,INDIRECT("'"&amp;$C122&amp;"'!J:J")&amp;INDIRECT("'"&amp;$C122&amp;"'!C:C"),0)&amp;"C"&amp;K$131,FALSE)</f>
        <v>55.338089143417491</v>
      </c>
      <c r="L122" s="101">
        <f ca="1">$K122*(1+INDEX(Methodology!$B$26:$E$31,MATCH($G122,Methodology!$B$26:$B$31,0),MATCH(M$5,Methodology!$B$26:$E$26,0)))</f>
        <v>55.338089143417491</v>
      </c>
      <c r="M122" s="102">
        <f ca="1">$I122*(1+INDEX(Methodology!$B$26:$E$31,MATCH($G122,Methodology!$B$26:$B$31,0),MATCH(M$5,Methodology!$B$26:$E$26,0)))</f>
        <v>66.952527204591888</v>
      </c>
      <c r="N122" s="99" cm="1">
        <f t="array" aca="1" ref="N122" ca="1">INDIRECT(""&amp;$C122&amp;"!R"&amp;MATCH($B122&amp;N$5,INDIRECT("'"&amp;$C122&amp;"'!J:J")&amp;INDIRECT("'"&amp;$C122&amp;"'!C:C"),0)&amp;"C"&amp;N$131,FALSE)</f>
        <v>3.1104463890775889</v>
      </c>
      <c r="O122" s="99" cm="1">
        <f t="array" aca="1" ref="O122" ca="1">INDIRECT(""&amp;$C122&amp;"!R"&amp;MATCH($B122&amp;O$5,INDIRECT("'"&amp;$C122&amp;"'!J:J")&amp;INDIRECT("'"&amp;$C122&amp;"'!C:C"),0)&amp;"C"&amp;O$131,FALSE)</f>
        <v>2.7709219781880017</v>
      </c>
      <c r="P122" s="100" cm="1">
        <f t="array" aca="1" ref="P122" ca="1">INDIRECT(""&amp;$C122&amp;"!R"&amp;MATCH($B122&amp;P$5,INDIRECT("'"&amp;$C122&amp;"'!J:J")&amp;INDIRECT("'"&amp;$C122&amp;"'!C:C"),0)&amp;"C"&amp;P$131,FALSE)</f>
        <v>2.9480507660795832</v>
      </c>
      <c r="Q122" s="101">
        <f ca="1">$P122*(1+INDEX(Methodology!$B$26:$E$31,MATCH($G122,Methodology!$B$26:$B$31,0),MATCH(R$5,Methodology!$B$26:$E$26,0)))</f>
        <v>2.9480507660795832</v>
      </c>
      <c r="R122" s="102">
        <f ca="1">$N122*(1+INDEX(Methodology!$B$26:$E$31,MATCH($G122,Methodology!$B$26:$B$31,0),MATCH(R$5,Methodology!$B$26:$E$26,0)))</f>
        <v>3.1104463890775889</v>
      </c>
      <c r="S122" s="103"/>
      <c r="T122" s="107" cm="1">
        <f t="array" aca="1" ref="T122" ca="1">INDIRECT(""&amp;$C122&amp;"!R"&amp;MATCH($B122&amp;T$5,INDIRECT("'"&amp;$C122&amp;"'!J:J")&amp;INDIRECT("'"&amp;$C122&amp;"'!C:C"),0)&amp;"C"&amp;T$131,FALSE)</f>
        <v>0</v>
      </c>
      <c r="U122" s="108" cm="1">
        <f t="array" aca="1" ref="U122" ca="1">INDIRECT(""&amp;$C122&amp;"!R"&amp;MATCH($B122&amp;U$5,INDIRECT("'"&amp;$C122&amp;"'!J:J")&amp;INDIRECT("'"&amp;$C122&amp;"'!C:C"),0)&amp;"C"&amp;U$131,FALSE)</f>
        <v>0</v>
      </c>
      <c r="V122" s="107" cm="1">
        <f t="array" aca="1" ref="V122" ca="1">INDIRECT(""&amp;$C122&amp;"!R"&amp;MATCH($B122&amp;V$5,INDIRECT("'"&amp;$C122&amp;"'!J:J")&amp;INDIRECT("'"&amp;$C122&amp;"'!C:C"),0)&amp;"C"&amp;V$131,FALSE)</f>
        <v>0</v>
      </c>
      <c r="W122" s="109" cm="1">
        <f t="array" aca="1" ref="W122" ca="1">INDIRECT(""&amp;$C122&amp;"!R"&amp;MATCH($B122&amp;W$5,INDIRECT("'"&amp;$C122&amp;"'!J:J")&amp;INDIRECT("'"&amp;$C122&amp;"'!C:C"),0)&amp;"C"&amp;W$131,FALSE)</f>
        <v>0</v>
      </c>
      <c r="X122" s="103"/>
      <c r="Y122" s="107">
        <f t="shared" ca="1" si="22"/>
        <v>18.771077411603716</v>
      </c>
      <c r="Z122" s="29" t="str">
        <f t="shared" ca="1" si="23"/>
        <v>kg/m²</v>
      </c>
      <c r="AA122" s="35" t="str" cm="1">
        <f t="array" aca="1" ref="AA122" ca="1">IF(INDIRECT(""&amp;$C122&amp;"!R"&amp;AA$130&amp;"C"&amp;AA$131,FALSE)=0,"",INDIRECT(""&amp;$C122&amp;"!R"&amp;AA$130&amp;"C"&amp;AA$131,FALSE))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v>
      </c>
      <c r="AB122" s="36" t="str" cm="1">
        <f t="array" aca="1" ref="AB122" ca="1">IFERROR(IF(INDIRECT(""&amp;$C122&amp;"!R"&amp;AB$130&amp;"C"&amp;AB$131,FALSE)="Average (weighted)","Yes","No"),"")</f>
        <v>No</v>
      </c>
    </row>
    <row r="123" spans="1:28" ht="45" customHeight="1" x14ac:dyDescent="0.25">
      <c r="A123" s="17" t="s">
        <v>5617</v>
      </c>
      <c r="B123" s="17" t="s">
        <v>5620</v>
      </c>
      <c r="C123" s="16" t="s">
        <v>5619</v>
      </c>
      <c r="D123" s="31" t="str" cm="1">
        <f t="array" aca="1" ref="D123" ca="1">INDIRECT(""&amp;$C123&amp;"!R"&amp;D$130&amp;"C"&amp;D$131,FALSE)</f>
        <v xml:space="preserve">Determination of a generic buildings services rate as named in the material category. Includes mechanical, electrical and heating, ventilation and air conditioning. </v>
      </c>
      <c r="E123" s="39" t="str">
        <f t="shared" si="26"/>
        <v>Building_services</v>
      </c>
      <c r="F123" s="14" t="str" cm="1">
        <f t="array" aca="1" ref="F123" ca="1">INDIRECT(""&amp;$C123&amp;"!R"&amp;F$130&amp;"C"&amp;F$131,FALSE)</f>
        <v>m²</v>
      </c>
      <c r="G123" s="14" t="str" cm="1">
        <f t="array" aca="1" ref="G123" ca="1">INDIRECT(""&amp;$C123&amp;"!R"&amp;G$130&amp;"C"&amp;G$131,FALSE)</f>
        <v>Untiered</v>
      </c>
      <c r="H123" s="32">
        <f ca="1">INDEX(Methodology!$B$26:$D$31,MATCH('EF Table_detail'!$G123,Methodology!$B$26:$B$31,0),MATCH('EF Table_detail'!$H$5,Methodology!$B$26:$D$26,0))</f>
        <v>1</v>
      </c>
      <c r="I123" s="98" cm="1">
        <f t="array" aca="1" ref="I123" ca="1">INDIRECT(""&amp;$C123&amp;"!R"&amp;MATCH($B123&amp;I$5,INDIRECT("'"&amp;$C123&amp;"'!J:J")&amp;INDIRECT("'"&amp;$C123&amp;"'!C:C"),0)&amp;"C"&amp;I$131,FALSE)</f>
        <v>57.386152348483385</v>
      </c>
      <c r="J123" s="99" cm="1">
        <f t="array" aca="1" ref="J123" ca="1">INDIRECT(""&amp;$C123&amp;"!R"&amp;MATCH($B123&amp;J$5,INDIRECT("'"&amp;$C123&amp;"'!J:J")&amp;INDIRECT("'"&amp;$C123&amp;"'!C:C"),0)&amp;"C"&amp;J$131,FALSE)</f>
        <v>41.194200541438939</v>
      </c>
      <c r="K123" s="114" cm="1">
        <f t="array" aca="1" ref="K123" ca="1">INDIRECT(""&amp;$C123&amp;"!R"&amp;MATCH($B123&amp;K$5,INDIRECT("'"&amp;$C123&amp;"'!J:J")&amp;INDIRECT("'"&amp;$C123&amp;"'!C:C"),0)&amp;"C"&amp;K$131,FALSE)</f>
        <v>46.758460767678756</v>
      </c>
      <c r="L123" s="101">
        <f ca="1">$K123*(1+INDEX(Methodology!$B$26:$E$31,MATCH($G123,Methodology!$B$26:$B$31,0),MATCH(M$5,Methodology!$B$26:$E$26,0)))</f>
        <v>46.758460767678756</v>
      </c>
      <c r="M123" s="102">
        <f ca="1">$I123*(1+INDEX(Methodology!$B$26:$E$31,MATCH($G123,Methodology!$B$26:$B$31,0),MATCH(M$5,Methodology!$B$26:$E$26,0)))</f>
        <v>57.386152348483385</v>
      </c>
      <c r="N123" s="99" cm="1">
        <f t="array" aca="1" ref="N123" ca="1">INDIRECT(""&amp;$C123&amp;"!R"&amp;MATCH($B123&amp;N$5,INDIRECT("'"&amp;$C123&amp;"'!J:J")&amp;INDIRECT("'"&amp;$C123&amp;"'!C:C"),0)&amp;"C"&amp;N$131,FALSE)</f>
        <v>2.6881025149932594</v>
      </c>
      <c r="O123" s="99" cm="1">
        <f t="array" aca="1" ref="O123" ca="1">INDIRECT(""&amp;$C123&amp;"!R"&amp;MATCH($B123&amp;O$5,INDIRECT("'"&amp;$C123&amp;"'!J:J")&amp;INDIRECT("'"&amp;$C123&amp;"'!C:C"),0)&amp;"C"&amp;O$131,FALSE)</f>
        <v>2.2624594796845234</v>
      </c>
      <c r="P123" s="100" cm="1">
        <f t="array" aca="1" ref="P123" ca="1">INDIRECT(""&amp;$C123&amp;"!R"&amp;MATCH($B123&amp;P$5,INDIRECT("'"&amp;$C123&amp;"'!J:J")&amp;INDIRECT("'"&amp;$C123&amp;"'!C:C"),0)&amp;"C"&amp;P$131,FALSE)</f>
        <v>2.2624594796845234</v>
      </c>
      <c r="Q123" s="101">
        <f ca="1">$P123*(1+INDEX(Methodology!$B$26:$E$31,MATCH($G123,Methodology!$B$26:$B$31,0),MATCH(R$5,Methodology!$B$26:$E$26,0)))</f>
        <v>2.2624594796845234</v>
      </c>
      <c r="R123" s="102">
        <f ca="1">$N123*(1+INDEX(Methodology!$B$26:$E$31,MATCH($G123,Methodology!$B$26:$B$31,0),MATCH(R$5,Methodology!$B$26:$E$26,0)))</f>
        <v>2.6881025149932594</v>
      </c>
      <c r="S123" s="103"/>
      <c r="T123" s="107" cm="1">
        <f t="array" aca="1" ref="T123" ca="1">INDIRECT(""&amp;$C123&amp;"!R"&amp;MATCH($B123&amp;T$5,INDIRECT("'"&amp;$C123&amp;"'!J:J")&amp;INDIRECT("'"&amp;$C123&amp;"'!C:C"),0)&amp;"C"&amp;T$131,FALSE)</f>
        <v>0</v>
      </c>
      <c r="U123" s="108" cm="1">
        <f t="array" aca="1" ref="U123" ca="1">INDIRECT(""&amp;$C123&amp;"!R"&amp;MATCH($B123&amp;U$5,INDIRECT("'"&amp;$C123&amp;"'!J:J")&amp;INDIRECT("'"&amp;$C123&amp;"'!C:C"),0)&amp;"C"&amp;U$131,FALSE)</f>
        <v>0</v>
      </c>
      <c r="V123" s="107" cm="1">
        <f t="array" aca="1" ref="V123" ca="1">INDIRECT(""&amp;$C123&amp;"!R"&amp;MATCH($B123&amp;V$5,INDIRECT("'"&amp;$C123&amp;"'!J:J")&amp;INDIRECT("'"&amp;$C123&amp;"'!C:C"),0)&amp;"C"&amp;V$131,FALSE)</f>
        <v>0</v>
      </c>
      <c r="W123" s="109" cm="1">
        <f t="array" aca="1" ref="W123" ca="1">INDIRECT(""&amp;$C123&amp;"!R"&amp;MATCH($B123&amp;W$5,INDIRECT("'"&amp;$C123&amp;"'!J:J")&amp;INDIRECT("'"&amp;$C123&amp;"'!C:C"),0)&amp;"C"&amp;W$131,FALSE)</f>
        <v>0</v>
      </c>
      <c r="X123" s="103"/>
      <c r="Y123" s="107">
        <f t="shared" ca="1" si="22"/>
        <v>20.667093129198822</v>
      </c>
      <c r="Z123" s="29" t="str">
        <f t="shared" ca="1" si="23"/>
        <v>kg/m²</v>
      </c>
      <c r="AA123" s="35" t="str" cm="1">
        <f t="array" aca="1" ref="AA123" ca="1">IF(INDIRECT(""&amp;$C123&amp;"!R"&amp;AA$130&amp;"C"&amp;AA$131,FALSE)=0,"",INDIRECT(""&amp;$C123&amp;"!R"&amp;AA$130&amp;"C"&amp;AA$131,FALSE))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v>
      </c>
      <c r="AB123" s="36" t="str" cm="1">
        <f t="array" aca="1" ref="AB123" ca="1">IFERROR(IF(INDIRECT(""&amp;$C123&amp;"!R"&amp;AB$130&amp;"C"&amp;AB$131,FALSE)="Average (weighted)","Yes","No"),"")</f>
        <v>No</v>
      </c>
    </row>
    <row r="124" spans="1:28" ht="45" customHeight="1" x14ac:dyDescent="0.25">
      <c r="A124" s="17" t="s">
        <v>5617</v>
      </c>
      <c r="B124" s="17" t="s">
        <v>5621</v>
      </c>
      <c r="C124" s="16" t="s">
        <v>5619</v>
      </c>
      <c r="D124" s="31" t="str" cm="1">
        <f t="array" aca="1" ref="D124" ca="1">INDIRECT(""&amp;$C124&amp;"!R"&amp;D$130&amp;"C"&amp;D$131,FALSE)</f>
        <v xml:space="preserve">Determination of a generic buildings services rate as named in the material category. Includes mechanical, electrical and heating, ventilation and air conditioning. </v>
      </c>
      <c r="E124" s="39" t="str">
        <f t="shared" si="26"/>
        <v>Building_services</v>
      </c>
      <c r="F124" s="14" t="str" cm="1">
        <f t="array" aca="1" ref="F124" ca="1">INDIRECT(""&amp;$C124&amp;"!R"&amp;F$130&amp;"C"&amp;F$131,FALSE)</f>
        <v>m²</v>
      </c>
      <c r="G124" s="14" t="str" cm="1">
        <f t="array" aca="1" ref="G124" ca="1">INDIRECT(""&amp;$C124&amp;"!R"&amp;G$130&amp;"C"&amp;G$131,FALSE)</f>
        <v>Untiered</v>
      </c>
      <c r="H124" s="32">
        <f ca="1">INDEX(Methodology!$B$26:$D$31,MATCH('EF Table_detail'!$G124,Methodology!$B$26:$B$31,0),MATCH('EF Table_detail'!$H$5,Methodology!$B$26:$D$26,0))</f>
        <v>1</v>
      </c>
      <c r="I124" s="98" cm="1">
        <f t="array" aca="1" ref="I124" ca="1">INDIRECT(""&amp;$C124&amp;"!R"&amp;MATCH($B124&amp;I$5,INDIRECT("'"&amp;$C124&amp;"'!J:J")&amp;INDIRECT("'"&amp;$C124&amp;"'!C:C"),0)&amp;"C"&amp;I$131,FALSE)</f>
        <v>13.412115283092447</v>
      </c>
      <c r="J124" s="99" cm="1">
        <f t="array" aca="1" ref="J124" ca="1">INDIRECT(""&amp;$C124&amp;"!R"&amp;MATCH($B124&amp;J$5,INDIRECT("'"&amp;$C124&amp;"'!J:J")&amp;INDIRECT("'"&amp;$C124&amp;"'!C:C"),0)&amp;"C"&amp;J$131,FALSE)</f>
        <v>11.786818371300932</v>
      </c>
      <c r="K124" s="114" cm="1">
        <f t="array" aca="1" ref="K124" ca="1">INDIRECT(""&amp;$C124&amp;"!R"&amp;MATCH($B124&amp;K$5,INDIRECT("'"&amp;$C124&amp;"'!J:J")&amp;INDIRECT("'"&amp;$C124&amp;"'!C:C"),0)&amp;"C"&amp;K$131,FALSE)</f>
        <v>12.599466827196689</v>
      </c>
      <c r="L124" s="101">
        <f ca="1">$K124*(1+INDEX(Methodology!$B$26:$E$31,MATCH($G124,Methodology!$B$26:$B$31,0),MATCH(M$5,Methodology!$B$26:$E$26,0)))</f>
        <v>12.599466827196689</v>
      </c>
      <c r="M124" s="102">
        <f ca="1">$I124*(1+INDEX(Methodology!$B$26:$E$31,MATCH($G124,Methodology!$B$26:$B$31,0),MATCH(M$5,Methodology!$B$26:$E$26,0)))</f>
        <v>13.412115283092447</v>
      </c>
      <c r="N124" s="99" cm="1">
        <f t="array" aca="1" ref="N124" ca="1">INDIRECT(""&amp;$C124&amp;"!R"&amp;MATCH($B124&amp;N$5,INDIRECT("'"&amp;$C124&amp;"'!J:J")&amp;INDIRECT("'"&amp;$C124&amp;"'!C:C"),0)&amp;"C"&amp;N$131,FALSE)</f>
        <v>2.7738309280654079</v>
      </c>
      <c r="O124" s="99" cm="1">
        <f t="array" aca="1" ref="O124" ca="1">INDIRECT(""&amp;$C124&amp;"!R"&amp;MATCH($B124&amp;O$5,INDIRECT("'"&amp;$C124&amp;"'!J:J")&amp;INDIRECT("'"&amp;$C124&amp;"'!C:C"),0)&amp;"C"&amp;O$131,FALSE)</f>
        <v>1.5905296939739419</v>
      </c>
      <c r="P124" s="100" cm="1">
        <f t="array" aca="1" ref="P124" ca="1">INDIRECT(""&amp;$C124&amp;"!R"&amp;MATCH($B124&amp;P$5,INDIRECT("'"&amp;$C124&amp;"'!J:J")&amp;INDIRECT("'"&amp;$C124&amp;"'!C:C"),0)&amp;"C"&amp;P$131,FALSE)</f>
        <v>2.1821803110196751</v>
      </c>
      <c r="Q124" s="101">
        <f ca="1">$P124*(1+INDEX(Methodology!$B$26:$E$31,MATCH($G124,Methodology!$B$26:$B$31,0),MATCH(R$5,Methodology!$B$26:$E$26,0)))</f>
        <v>2.1821803110196751</v>
      </c>
      <c r="R124" s="102">
        <f ca="1">$N124*(1+INDEX(Methodology!$B$26:$E$31,MATCH($G124,Methodology!$B$26:$B$31,0),MATCH(R$5,Methodology!$B$26:$E$26,0)))</f>
        <v>2.7738309280654079</v>
      </c>
      <c r="S124" s="103"/>
      <c r="T124" s="107" cm="1">
        <f t="array" aca="1" ref="T124" ca="1">INDIRECT(""&amp;$C124&amp;"!R"&amp;MATCH($B124&amp;T$5,INDIRECT("'"&amp;$C124&amp;"'!J:J")&amp;INDIRECT("'"&amp;$C124&amp;"'!C:C"),0)&amp;"C"&amp;T$131,FALSE)</f>
        <v>0</v>
      </c>
      <c r="U124" s="108" cm="1">
        <f t="array" aca="1" ref="U124" ca="1">INDIRECT(""&amp;$C124&amp;"!R"&amp;MATCH($B124&amp;U$5,INDIRECT("'"&amp;$C124&amp;"'!J:J")&amp;INDIRECT("'"&amp;$C124&amp;"'!C:C"),0)&amp;"C"&amp;U$131,FALSE)</f>
        <v>0</v>
      </c>
      <c r="V124" s="107" cm="1">
        <f t="array" aca="1" ref="V124" ca="1">INDIRECT(""&amp;$C124&amp;"!R"&amp;MATCH($B124&amp;V$5,INDIRECT("'"&amp;$C124&amp;"'!J:J")&amp;INDIRECT("'"&amp;$C124&amp;"'!C:C"),0)&amp;"C"&amp;V$131,FALSE)</f>
        <v>0</v>
      </c>
      <c r="W124" s="109" cm="1">
        <f t="array" aca="1" ref="W124" ca="1">INDIRECT(""&amp;$C124&amp;"!R"&amp;MATCH($B124&amp;W$5,INDIRECT("'"&amp;$C124&amp;"'!J:J")&amp;INDIRECT("'"&amp;$C124&amp;"'!C:C"),0)&amp;"C"&amp;W$131,FALSE)</f>
        <v>0</v>
      </c>
      <c r="X124" s="103"/>
      <c r="Y124" s="107">
        <f t="shared" ca="1" si="22"/>
        <v>5.7737973180178184</v>
      </c>
      <c r="Z124" s="29" t="str">
        <f t="shared" ca="1" si="23"/>
        <v>kg/m²</v>
      </c>
      <c r="AA124" s="35" t="str" cm="1">
        <f t="array" aca="1" ref="AA124" ca="1">IF(INDIRECT(""&amp;$C124&amp;"!R"&amp;AA$130&amp;"C"&amp;AA$131,FALSE)=0,"",INDIRECT(""&amp;$C124&amp;"!R"&amp;AA$130&amp;"C"&amp;AA$131,FALSE))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v>
      </c>
      <c r="AB124" s="36" t="str" cm="1">
        <f t="array" aca="1" ref="AB124" ca="1">IFERROR(IF(INDIRECT(""&amp;$C124&amp;"!R"&amp;AB$130&amp;"C"&amp;AB$131,FALSE)="Average (weighted)","Yes","No"),"")</f>
        <v>No</v>
      </c>
    </row>
    <row r="125" spans="1:28" ht="45" customHeight="1" x14ac:dyDescent="0.25">
      <c r="A125" s="17" t="s">
        <v>5617</v>
      </c>
      <c r="B125" s="17" t="s">
        <v>5622</v>
      </c>
      <c r="C125" s="16" t="s">
        <v>5619</v>
      </c>
      <c r="D125" s="31" t="str" cm="1">
        <f t="array" aca="1" ref="D125" ca="1">INDIRECT(""&amp;$C125&amp;"!R"&amp;D$130&amp;"C"&amp;D$131,FALSE)</f>
        <v xml:space="preserve">Determination of a generic buildings services rate as named in the material category. Includes mechanical, electrical and heating, ventilation and air conditioning. </v>
      </c>
      <c r="E125" s="39" t="str">
        <f t="shared" si="26"/>
        <v>Building_services</v>
      </c>
      <c r="F125" s="14" t="str" cm="1">
        <f t="array" aca="1" ref="F125" ca="1">INDIRECT(""&amp;$C125&amp;"!R"&amp;F$130&amp;"C"&amp;F$131,FALSE)</f>
        <v>m²</v>
      </c>
      <c r="G125" s="14" t="str" cm="1">
        <f t="array" aca="1" ref="G125" ca="1">INDIRECT(""&amp;$C125&amp;"!R"&amp;G$130&amp;"C"&amp;G$131,FALSE)</f>
        <v>Untiered</v>
      </c>
      <c r="H125" s="32">
        <f ca="1">INDEX(Methodology!$B$26:$D$31,MATCH('EF Table_detail'!$G125,Methodology!$B$26:$B$31,0),MATCH('EF Table_detail'!$H$5,Methodology!$B$26:$D$26,0))</f>
        <v>1</v>
      </c>
      <c r="I125" s="98" cm="1">
        <f t="array" aca="1" ref="I125" ca="1">INDIRECT(""&amp;$C125&amp;"!R"&amp;MATCH($B125&amp;I$5,INDIRECT("'"&amp;$C125&amp;"'!J:J")&amp;INDIRECT("'"&amp;$C125&amp;"'!C:C"),0)&amp;"C"&amp;I$131,FALSE)</f>
        <v>74.843651551634153</v>
      </c>
      <c r="J125" s="99" cm="1">
        <f t="array" aca="1" ref="J125" ca="1">INDIRECT(""&amp;$C125&amp;"!R"&amp;MATCH($B125&amp;J$5,INDIRECT("'"&amp;$C125&amp;"'!J:J")&amp;INDIRECT("'"&amp;$C125&amp;"'!C:C"),0)&amp;"C"&amp;J$131,FALSE)</f>
        <v>48.904603883975469</v>
      </c>
      <c r="K125" s="114" cm="1">
        <f t="array" aca="1" ref="K125" ca="1">INDIRECT(""&amp;$C125&amp;"!R"&amp;MATCH($B125&amp;K$5,INDIRECT("'"&amp;$C125&amp;"'!J:J")&amp;INDIRECT("'"&amp;$C125&amp;"'!C:C"),0)&amp;"C"&amp;K$131,FALSE)</f>
        <v>62.556305154500464</v>
      </c>
      <c r="L125" s="101">
        <f ca="1">$K125*(1+INDEX(Methodology!$B$26:$E$31,MATCH($G125,Methodology!$B$26:$B$31,0),MATCH(M$5,Methodology!$B$26:$E$26,0)))</f>
        <v>62.556305154500464</v>
      </c>
      <c r="M125" s="102">
        <f ca="1">$I125*(1+INDEX(Methodology!$B$26:$E$31,MATCH($G125,Methodology!$B$26:$B$31,0),MATCH(M$5,Methodology!$B$26:$E$26,0)))</f>
        <v>74.843651551634153</v>
      </c>
      <c r="N125" s="99" cm="1">
        <f t="array" aca="1" ref="N125" ca="1">INDIRECT(""&amp;$C125&amp;"!R"&amp;MATCH($B125&amp;N$5,INDIRECT("'"&amp;$C125&amp;"'!J:J")&amp;INDIRECT("'"&amp;$C125&amp;"'!C:C"),0)&amp;"C"&amp;N$131,FALSE)</f>
        <v>3.8785995325129483</v>
      </c>
      <c r="O125" s="99" cm="1">
        <f t="array" aca="1" ref="O125" ca="1">INDIRECT(""&amp;$C125&amp;"!R"&amp;MATCH($B125&amp;O$5,INDIRECT("'"&amp;$C125&amp;"'!J:J")&amp;INDIRECT("'"&amp;$C125&amp;"'!C:C"),0)&amp;"C"&amp;O$131,FALSE)</f>
        <v>2.8792082157447152</v>
      </c>
      <c r="P125" s="100" cm="1">
        <f t="array" aca="1" ref="P125" ca="1">INDIRECT(""&amp;$C125&amp;"!R"&amp;MATCH($B125&amp;P$5,INDIRECT("'"&amp;$C125&amp;"'!J:J")&amp;INDIRECT("'"&amp;$C125&amp;"'!C:C"),0)&amp;"C"&amp;P$131,FALSE)</f>
        <v>3.2360758708660509</v>
      </c>
      <c r="Q125" s="101">
        <f ca="1">$P125*(1+INDEX(Methodology!$B$26:$E$31,MATCH($G125,Methodology!$B$26:$B$31,0),MATCH(R$5,Methodology!$B$26:$E$26,0)))</f>
        <v>3.2360758708660509</v>
      </c>
      <c r="R125" s="102">
        <f ca="1">$N125*(1+INDEX(Methodology!$B$26:$E$31,MATCH($G125,Methodology!$B$26:$B$31,0),MATCH(R$5,Methodology!$B$26:$E$26,0)))</f>
        <v>3.8785995325129483</v>
      </c>
      <c r="S125" s="103"/>
      <c r="T125" s="107" cm="1">
        <f t="array" aca="1" ref="T125" ca="1">INDIRECT(""&amp;$C125&amp;"!R"&amp;MATCH($B125&amp;T$5,INDIRECT("'"&amp;$C125&amp;"'!J:J")&amp;INDIRECT("'"&amp;$C125&amp;"'!C:C"),0)&amp;"C"&amp;T$131,FALSE)</f>
        <v>0</v>
      </c>
      <c r="U125" s="108" cm="1">
        <f t="array" aca="1" ref="U125" ca="1">INDIRECT(""&amp;$C125&amp;"!R"&amp;MATCH($B125&amp;U$5,INDIRECT("'"&amp;$C125&amp;"'!J:J")&amp;INDIRECT("'"&amp;$C125&amp;"'!C:C"),0)&amp;"C"&amp;U$131,FALSE)</f>
        <v>0</v>
      </c>
      <c r="V125" s="107" cm="1">
        <f t="array" aca="1" ref="V125" ca="1">INDIRECT(""&amp;$C125&amp;"!R"&amp;MATCH($B125&amp;V$5,INDIRECT("'"&amp;$C125&amp;"'!J:J")&amp;INDIRECT("'"&amp;$C125&amp;"'!C:C"),0)&amp;"C"&amp;V$131,FALSE)</f>
        <v>0</v>
      </c>
      <c r="W125" s="109" cm="1">
        <f t="array" aca="1" ref="W125" ca="1">INDIRECT(""&amp;$C125&amp;"!R"&amp;MATCH($B125&amp;W$5,INDIRECT("'"&amp;$C125&amp;"'!J:J")&amp;INDIRECT("'"&amp;$C125&amp;"'!C:C"),0)&amp;"C"&amp;W$131,FALSE)</f>
        <v>0</v>
      </c>
      <c r="X125" s="103"/>
      <c r="Y125" s="107">
        <f t="shared" ca="1" si="22"/>
        <v>19.330914246382893</v>
      </c>
      <c r="Z125" s="29" t="str">
        <f t="shared" ca="1" si="23"/>
        <v>kg/m²</v>
      </c>
      <c r="AA125" s="35" t="str" cm="1">
        <f t="array" aca="1" ref="AA125" ca="1">IF(INDIRECT(""&amp;$C125&amp;"!R"&amp;AA$130&amp;"C"&amp;AA$131,FALSE)=0,"",INDIRECT(""&amp;$C125&amp;"!R"&amp;AA$130&amp;"C"&amp;AA$131,FALSE))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v>
      </c>
      <c r="AB125" s="36" t="str" cm="1">
        <f t="array" aca="1" ref="AB125" ca="1">IFERROR(IF(INDIRECT(""&amp;$C125&amp;"!R"&amp;AB$130&amp;"C"&amp;AB$131,FALSE)="Average (weighted)","Yes","No"),"")</f>
        <v>No</v>
      </c>
    </row>
    <row r="126" spans="1:28" ht="45" customHeight="1" x14ac:dyDescent="0.25">
      <c r="A126" s="17" t="s">
        <v>5617</v>
      </c>
      <c r="B126" s="17" t="s">
        <v>5623</v>
      </c>
      <c r="C126" s="16" t="s">
        <v>5619</v>
      </c>
      <c r="D126" s="31" t="str" cm="1">
        <f t="array" aca="1" ref="D126" ca="1">INDIRECT(""&amp;$C126&amp;"!R"&amp;D$130&amp;"C"&amp;D$131,FALSE)</f>
        <v xml:space="preserve">Determination of a generic buildings services rate as named in the material category. Includes mechanical, electrical and heating, ventilation and air conditioning. </v>
      </c>
      <c r="E126" s="39" t="str">
        <f t="shared" si="26"/>
        <v>Building_services</v>
      </c>
      <c r="F126" s="14" t="str" cm="1">
        <f t="array" aca="1" ref="F126" ca="1">INDIRECT(""&amp;$C126&amp;"!R"&amp;F$130&amp;"C"&amp;F$131,FALSE)</f>
        <v>m²</v>
      </c>
      <c r="G126" s="14" t="str" cm="1">
        <f t="array" aca="1" ref="G126" ca="1">INDIRECT(""&amp;$C126&amp;"!R"&amp;G$130&amp;"C"&amp;G$131,FALSE)</f>
        <v>Untiered</v>
      </c>
      <c r="H126" s="32">
        <f ca="1">INDEX(Methodology!$B$26:$D$31,MATCH('EF Table_detail'!$G126,Methodology!$B$26:$B$31,0),MATCH('EF Table_detail'!$H$5,Methodology!$B$26:$D$26,0))</f>
        <v>1</v>
      </c>
      <c r="I126" s="98" cm="1">
        <f t="array" aca="1" ref="I126" ca="1">INDIRECT(""&amp;$C126&amp;"!R"&amp;MATCH($B126&amp;I$5,INDIRECT("'"&amp;$C126&amp;"'!J:J")&amp;INDIRECT("'"&amp;$C126&amp;"'!C:C"),0)&amp;"C"&amp;I$131,FALSE)</f>
        <v>74.843651551634153</v>
      </c>
      <c r="J126" s="99" cm="1">
        <f t="array" aca="1" ref="J126" ca="1">INDIRECT(""&amp;$C126&amp;"!R"&amp;MATCH($B126&amp;J$5,INDIRECT("'"&amp;$C126&amp;"'!J:J")&amp;INDIRECT("'"&amp;$C126&amp;"'!C:C"),0)&amp;"C"&amp;J$131,FALSE)</f>
        <v>55.055548011704559</v>
      </c>
      <c r="K126" s="114" cm="1">
        <f t="array" aca="1" ref="K126" ca="1">INDIRECT(""&amp;$C126&amp;"!R"&amp;MATCH($B126&amp;K$5,INDIRECT("'"&amp;$C126&amp;"'!J:J")&amp;INDIRECT("'"&amp;$C126&amp;"'!C:C"),0)&amp;"C"&amp;K$131,FALSE)</f>
        <v>66.039671720641991</v>
      </c>
      <c r="L126" s="101">
        <f ca="1">$K126*(1+INDEX(Methodology!$B$26:$E$31,MATCH($G126,Methodology!$B$26:$B$31,0),MATCH(M$5,Methodology!$B$26:$E$26,0)))</f>
        <v>66.039671720641991</v>
      </c>
      <c r="M126" s="102">
        <f ca="1">$I126*(1+INDEX(Methodology!$B$26:$E$31,MATCH($G126,Methodology!$B$26:$B$31,0),MATCH(M$5,Methodology!$B$26:$E$26,0)))</f>
        <v>74.843651551634153</v>
      </c>
      <c r="N126" s="99" cm="1">
        <f t="array" aca="1" ref="N126" ca="1">INDIRECT(""&amp;$C126&amp;"!R"&amp;MATCH($B126&amp;N$5,INDIRECT("'"&amp;$C126&amp;"'!J:J")&amp;INDIRECT("'"&amp;$C126&amp;"'!C:C"),0)&amp;"C"&amp;N$131,FALSE)</f>
        <v>3.9477185803937713</v>
      </c>
      <c r="O126" s="99" cm="1">
        <f t="array" aca="1" ref="O126" ca="1">INDIRECT(""&amp;$C126&amp;"!R"&amp;MATCH($B126&amp;O$5,INDIRECT("'"&amp;$C126&amp;"'!J:J")&amp;INDIRECT("'"&amp;$C126&amp;"'!C:C"),0)&amp;"C"&amp;O$131,FALSE)</f>
        <v>2.9120024369187045</v>
      </c>
      <c r="P126" s="100" cm="1">
        <f t="array" aca="1" ref="P126" ca="1">INDIRECT(""&amp;$C126&amp;"!R"&amp;MATCH($B126&amp;P$5,INDIRECT("'"&amp;$C126&amp;"'!J:J")&amp;INDIRECT("'"&amp;$C126&amp;"'!C:C"),0)&amp;"C"&amp;P$131,FALSE)</f>
        <v>3.2936833001163777</v>
      </c>
      <c r="Q126" s="101">
        <f ca="1">$P126*(1+INDEX(Methodology!$B$26:$E$31,MATCH($G126,Methodology!$B$26:$B$31,0),MATCH(R$5,Methodology!$B$26:$E$26,0)))</f>
        <v>3.2936833001163777</v>
      </c>
      <c r="R126" s="102">
        <f ca="1">$N126*(1+INDEX(Methodology!$B$26:$E$31,MATCH($G126,Methodology!$B$26:$B$31,0),MATCH(R$5,Methodology!$B$26:$E$26,0)))</f>
        <v>3.9477185803937713</v>
      </c>
      <c r="S126" s="103"/>
      <c r="T126" s="107" cm="1">
        <f t="array" aca="1" ref="T126" ca="1">INDIRECT(""&amp;$C126&amp;"!R"&amp;MATCH($B126&amp;T$5,INDIRECT("'"&amp;$C126&amp;"'!J:J")&amp;INDIRECT("'"&amp;$C126&amp;"'!C:C"),0)&amp;"C"&amp;T$131,FALSE)</f>
        <v>0</v>
      </c>
      <c r="U126" s="108" cm="1">
        <f t="array" aca="1" ref="U126" ca="1">INDIRECT(""&amp;$C126&amp;"!R"&amp;MATCH($B126&amp;U$5,INDIRECT("'"&amp;$C126&amp;"'!J:J")&amp;INDIRECT("'"&amp;$C126&amp;"'!C:C"),0)&amp;"C"&amp;U$131,FALSE)</f>
        <v>0</v>
      </c>
      <c r="V126" s="107" cm="1">
        <f t="array" aca="1" ref="V126" ca="1">INDIRECT(""&amp;$C126&amp;"!R"&amp;MATCH($B126&amp;V$5,INDIRECT("'"&amp;$C126&amp;"'!J:J")&amp;INDIRECT("'"&amp;$C126&amp;"'!C:C"),0)&amp;"C"&amp;V$131,FALSE)</f>
        <v>0</v>
      </c>
      <c r="W126" s="109" cm="1">
        <f t="array" aca="1" ref="W126" ca="1">INDIRECT(""&amp;$C126&amp;"!R"&amp;MATCH($B126&amp;W$5,INDIRECT("'"&amp;$C126&amp;"'!J:J")&amp;INDIRECT("'"&amp;$C126&amp;"'!C:C"),0)&amp;"C"&amp;W$131,FALSE)</f>
        <v>0</v>
      </c>
      <c r="X126" s="103"/>
      <c r="Y126" s="107">
        <f t="shared" ca="1" si="22"/>
        <v>20.050401238731293</v>
      </c>
      <c r="Z126" s="29" t="str">
        <f t="shared" ca="1" si="23"/>
        <v>kg/m²</v>
      </c>
      <c r="AA126" s="35" t="str" cm="1">
        <f t="array" aca="1" ref="AA126" ca="1">IF(INDIRECT(""&amp;$C126&amp;"!R"&amp;AA$130&amp;"C"&amp;AA$131,FALSE)=0,"",INDIRECT(""&amp;$C126&amp;"!R"&amp;AA$130&amp;"C"&amp;AA$131,FALSE))</f>
        <v>Building services includes electrical, mechanical and plumbing services in a building. It excludes transportation services i.e. lifts and escalators. It does not include use phase of these services i.e. electricity consumption of lighting of the building or leakage of refrigerants.</v>
      </c>
      <c r="AB126" s="36" t="str" cm="1">
        <f t="array" aca="1" ref="AB126" ca="1">IFERROR(IF(INDIRECT(""&amp;$C126&amp;"!R"&amp;AB$130&amp;"C"&amp;AB$131,FALSE)="Average (weighted)","Yes","No"),"")</f>
        <v>No</v>
      </c>
    </row>
    <row r="127" spans="1:28" ht="45" customHeight="1" x14ac:dyDescent="0.25">
      <c r="A127" s="17" t="s">
        <v>5624</v>
      </c>
      <c r="B127" s="17" t="s">
        <v>5624</v>
      </c>
      <c r="C127" s="16" t="s">
        <v>5624</v>
      </c>
      <c r="D127" s="31" t="s">
        <v>5625</v>
      </c>
      <c r="E127" s="39" t="str">
        <f t="shared" si="26"/>
        <v>Other</v>
      </c>
      <c r="F127" s="14" t="s">
        <v>2774</v>
      </c>
      <c r="G127" s="14" t="s">
        <v>75</v>
      </c>
      <c r="H127" s="32">
        <f>INDEX(Methodology!$B$26:$D$31,MATCH('EF Table_detail'!$G127,Methodology!$B$26:$B$31,0),MATCH('EF Table_detail'!$H$5,Methodology!$B$26:$D$26,0))</f>
        <v>1</v>
      </c>
      <c r="I127" s="98">
        <f ca="1">N127</f>
        <v>4.7578784009296298</v>
      </c>
      <c r="J127" s="99">
        <f ca="1">O127</f>
        <v>1.1733037631683123</v>
      </c>
      <c r="K127" s="100">
        <f ca="1">P127</f>
        <v>2.9394015302451728</v>
      </c>
      <c r="L127" s="101">
        <f ca="1">$K127*(1+INDEX(Methodology!$B$26:$E$31,MATCH($G127,Methodology!$B$26:$B$31,0),MATCH(M$5,Methodology!$B$26:$E$26,0)))</f>
        <v>2.9394015302451728</v>
      </c>
      <c r="M127" s="102">
        <f ca="1">$I127*(1+INDEX(Methodology!$B$26:$E$31,MATCH($G127,Methodology!$B$26:$B$31,0),MATCH(M$5,Methodology!$B$26:$E$26,0)))</f>
        <v>4.7578784009296298</v>
      </c>
      <c r="N127" s="99">
        <f ca="1">AVERAGE(N7:N126)</f>
        <v>4.7578784009296298</v>
      </c>
      <c r="O127" s="99">
        <f ca="1">AVERAGE(O7:O121)</f>
        <v>1.1733037631683123</v>
      </c>
      <c r="P127" s="99">
        <f ca="1">AVERAGE(P7:P126)</f>
        <v>2.9394015302451728</v>
      </c>
      <c r="Q127" s="101">
        <f ca="1">$P127*(1+INDEX(Methodology!$B$26:$E$31,MATCH($G127,Methodology!$B$26:$B$31,0),MATCH(R$5,Methodology!$B$26:$E$26,0)))</f>
        <v>2.9394015302451728</v>
      </c>
      <c r="R127" s="102">
        <f ca="1">$N127*(1+INDEX(Methodology!$B$26:$E$31,MATCH($G127,Methodology!$B$26:$B$31,0),MATCH(R$5,Methodology!$B$26:$E$26,0)))</f>
        <v>4.7578784009296298</v>
      </c>
      <c r="S127" s="103"/>
      <c r="T127" s="107"/>
      <c r="U127" s="108">
        <v>0</v>
      </c>
      <c r="V127" s="107"/>
      <c r="W127" s="109">
        <v>0</v>
      </c>
      <c r="X127" s="103"/>
      <c r="Y127" s="107">
        <f ca="1">IFERROR(K127/P127,"")</f>
        <v>1</v>
      </c>
      <c r="Z127" s="29" t="str">
        <f>"kg/"&amp;F127</f>
        <v>kg/kg</v>
      </c>
      <c r="AA127" s="35"/>
      <c r="AB127" s="36"/>
    </row>
    <row r="128" spans="1:28" ht="45" customHeight="1" x14ac:dyDescent="0.25"/>
    <row r="129" spans="1:28" ht="45" customHeight="1" x14ac:dyDescent="0.25"/>
    <row r="130" spans="1:28" s="87" customFormat="1" ht="45" customHeight="1" x14ac:dyDescent="0.25">
      <c r="A130" s="84" t="s">
        <v>5428</v>
      </c>
      <c r="B130" s="85"/>
      <c r="C130" s="85"/>
      <c r="D130" s="86">
        <v>3</v>
      </c>
      <c r="E130" s="85"/>
      <c r="F130" s="85">
        <v>17</v>
      </c>
      <c r="G130" s="85">
        <v>9</v>
      </c>
      <c r="H130" s="85"/>
      <c r="I130" s="85">
        <v>18</v>
      </c>
      <c r="J130" s="85">
        <v>19</v>
      </c>
      <c r="K130" s="85">
        <v>20</v>
      </c>
      <c r="L130" s="85"/>
      <c r="M130" s="85"/>
      <c r="N130" s="85">
        <v>18</v>
      </c>
      <c r="O130" s="85">
        <v>19</v>
      </c>
      <c r="P130" s="85">
        <v>20</v>
      </c>
      <c r="Q130" s="85"/>
      <c r="R130" s="85"/>
      <c r="S130" s="85"/>
      <c r="T130" s="85">
        <v>18</v>
      </c>
      <c r="U130" s="85">
        <v>20</v>
      </c>
      <c r="V130" s="85">
        <v>18</v>
      </c>
      <c r="W130" s="85">
        <v>20</v>
      </c>
      <c r="X130" s="85"/>
      <c r="Y130" s="85"/>
      <c r="Z130" s="85"/>
      <c r="AA130" s="86">
        <v>11</v>
      </c>
      <c r="AB130" s="85">
        <v>20</v>
      </c>
    </row>
    <row r="131" spans="1:28" s="87" customFormat="1" ht="45" customHeight="1" x14ac:dyDescent="0.25">
      <c r="A131" s="33" t="s">
        <v>5429</v>
      </c>
      <c r="B131" s="30"/>
      <c r="C131" s="30"/>
      <c r="D131" s="31">
        <v>2</v>
      </c>
      <c r="E131" s="30"/>
      <c r="F131" s="30">
        <v>4</v>
      </c>
      <c r="G131" s="30">
        <v>2</v>
      </c>
      <c r="H131" s="30"/>
      <c r="I131" s="30">
        <v>4</v>
      </c>
      <c r="J131" s="30">
        <v>4</v>
      </c>
      <c r="K131" s="30">
        <v>4</v>
      </c>
      <c r="L131" s="30"/>
      <c r="M131" s="30"/>
      <c r="N131" s="30">
        <v>5</v>
      </c>
      <c r="O131" s="30">
        <v>5</v>
      </c>
      <c r="P131" s="30">
        <v>5</v>
      </c>
      <c r="Q131" s="30"/>
      <c r="R131" s="30"/>
      <c r="S131" s="30"/>
      <c r="T131" s="30">
        <v>6</v>
      </c>
      <c r="U131" s="30">
        <v>6</v>
      </c>
      <c r="V131" s="30">
        <v>7</v>
      </c>
      <c r="W131" s="30">
        <v>7</v>
      </c>
      <c r="X131" s="30"/>
      <c r="Y131" s="30"/>
      <c r="Z131" s="30"/>
      <c r="AA131" s="31">
        <v>2</v>
      </c>
      <c r="AB131" s="30">
        <v>3</v>
      </c>
    </row>
  </sheetData>
  <dataConsolidate/>
  <mergeCells count="8">
    <mergeCell ref="I2:AB2"/>
    <mergeCell ref="Y3:AB3"/>
    <mergeCell ref="I3:R3"/>
    <mergeCell ref="T3:W3"/>
    <mergeCell ref="I4:M4"/>
    <mergeCell ref="N4:R4"/>
    <mergeCell ref="T4:U4"/>
    <mergeCell ref="V4:W4"/>
  </mergeCells>
  <phoneticPr fontId="8" type="noConversion"/>
  <conditionalFormatting sqref="I7:Y127">
    <cfRule type="expression" dxfId="10" priority="1" stopIfTrue="1">
      <formula>I7=0</formula>
    </cfRule>
    <cfRule type="expression" dxfId="9" priority="2" stopIfTrue="1">
      <formula>I7&gt;=100000</formula>
    </cfRule>
    <cfRule type="expression" dxfId="8" priority="3" stopIfTrue="1">
      <formula>I7&gt;=100</formula>
    </cfRule>
    <cfRule type="expression" dxfId="7" priority="4" stopIfTrue="1">
      <formula>I7&gt;=10</formula>
    </cfRule>
    <cfRule type="expression" dxfId="6" priority="5" stopIfTrue="1">
      <formula>I7&gt;=1</formula>
    </cfRule>
    <cfRule type="expression" dxfId="5" priority="6" stopIfTrue="1">
      <formula>I7&gt;=0.1</formula>
    </cfRule>
    <cfRule type="expression" dxfId="4" priority="7" stopIfTrue="1">
      <formula>I7&gt;=0.001</formula>
    </cfRule>
    <cfRule type="expression" dxfId="3" priority="8" stopIfTrue="1">
      <formula>I7&lt;0.001</formula>
    </cfRule>
  </conditionalFormatting>
  <pageMargins left="0.7" right="0.7" top="0.75" bottom="0.75" header="0.3" footer="0.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7339D-AF84-4DCD-A295-52EE1B77F97B}">
  <sheetPr codeName="Sheet83">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Category 3, 4 for medium rise buildings (4-10 floors)</v>
      </c>
    </row>
    <row r="2" spans="1:8" ht="13" x14ac:dyDescent="0.25">
      <c r="A2" s="202"/>
      <c r="C2" s="202"/>
    </row>
    <row r="3" spans="1:8" ht="25" x14ac:dyDescent="0.3">
      <c r="A3" s="227" t="s">
        <v>5626</v>
      </c>
      <c r="B3" s="143" t="s">
        <v>5873</v>
      </c>
    </row>
    <row r="4" spans="1:8" ht="13" x14ac:dyDescent="0.25">
      <c r="A4" s="202"/>
    </row>
    <row r="5" spans="1:8" ht="92.25" customHeight="1" x14ac:dyDescent="0.3">
      <c r="A5" s="227" t="s">
        <v>5628</v>
      </c>
      <c r="B5" s="200" t="s">
        <v>5872</v>
      </c>
      <c r="D5" s="200"/>
      <c r="E5" s="271"/>
    </row>
    <row r="6" spans="1:8" ht="13" x14ac:dyDescent="0.3">
      <c r="A6" s="227" t="s">
        <v>5630</v>
      </c>
      <c r="B6" s="132" t="s">
        <v>73</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3344</v>
      </c>
      <c r="C16" s="316" t="s">
        <v>24</v>
      </c>
      <c r="D16" s="314" t="s">
        <v>146</v>
      </c>
      <c r="E16" s="315" t="s">
        <v>153</v>
      </c>
      <c r="F16" s="314" t="s">
        <v>147</v>
      </c>
      <c r="G16" s="314" t="s">
        <v>154</v>
      </c>
      <c r="H16" s="131"/>
    </row>
    <row r="17" spans="1:9" ht="13" x14ac:dyDescent="0.3">
      <c r="A17" s="133"/>
      <c r="B17" s="211"/>
      <c r="C17" s="212" t="s">
        <v>5636</v>
      </c>
      <c r="D17" s="196" t="str" cm="1">
        <f t="array" ref="D17">IF(AND(_xlfn.ANCHORARRAY(C23)=C23),C23,"Mixed")</f>
        <v>#</v>
      </c>
      <c r="E17" s="196" t="s">
        <v>2774</v>
      </c>
      <c r="F17" s="196" t="str" cm="1">
        <f t="array" ref="F17">IF(AND(_xlfn.ANCHORARRAY(C23)=C23),C23,"Mixed")</f>
        <v>#</v>
      </c>
      <c r="G17" s="213" t="s">
        <v>2774</v>
      </c>
      <c r="H17" s="131"/>
    </row>
    <row r="18" spans="1:9" s="200" customFormat="1" ht="13" x14ac:dyDescent="0.3">
      <c r="A18" s="221"/>
      <c r="B18" s="214"/>
      <c r="C18" s="202" t="s">
        <v>5637</v>
      </c>
      <c r="D18" s="198">
        <f>MAX(_xlfn.ANCHORARRAY(D23))</f>
        <v>117248.001</v>
      </c>
      <c r="E18" s="198">
        <f t="shared" ref="E18:G18" si="0">MAX(_xlfn.ANCHORARRAY(E23))</f>
        <v>0</v>
      </c>
      <c r="F18" s="198">
        <f t="shared" si="0"/>
        <v>0</v>
      </c>
      <c r="G18" s="215">
        <f t="shared" si="0"/>
        <v>0</v>
      </c>
      <c r="H18" s="131"/>
      <c r="I18" s="132"/>
    </row>
    <row r="19" spans="1:9" ht="13" x14ac:dyDescent="0.25">
      <c r="A19" s="133"/>
      <c r="B19" s="204"/>
      <c r="C19" s="202" t="s">
        <v>5638</v>
      </c>
      <c r="D19" s="198">
        <f>MIN(_xlfn.ANCHORARRAY(D23))</f>
        <v>4487.5919999999996</v>
      </c>
      <c r="E19" s="198">
        <f t="shared" ref="E19:G19" si="1">MIN(_xlfn.ANCHORARRAY(E23))</f>
        <v>0</v>
      </c>
      <c r="F19" s="198">
        <f t="shared" si="1"/>
        <v>0</v>
      </c>
      <c r="G19" s="215">
        <f t="shared" si="1"/>
        <v>0</v>
      </c>
      <c r="H19" s="131"/>
    </row>
    <row r="20" spans="1:9" ht="13" x14ac:dyDescent="0.25">
      <c r="A20" s="133"/>
      <c r="B20" s="204"/>
      <c r="C20" s="202" t="s">
        <v>5639</v>
      </c>
      <c r="D20" s="198">
        <f>AVERAGE(_xlfn.ANCHORARRAY(D23))</f>
        <v>41503.433215000005</v>
      </c>
      <c r="E20" s="198">
        <f t="shared" ref="E20:G20" si="2">AVERAGE(_xlfn.ANCHORARRAY(E23))</f>
        <v>0</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8">_xlfn.UNIQUE(_xlfn._xlws.FILTER('EPD List'!D:D,ISNUMBER(SEARCH(B16,'EPD List'!C:C)),0))</f>
        <v>Lift, , TK Elevator (Usage Cat. 3/4) (TK Elevator GmbH) (Europe)</v>
      </c>
      <c r="C23" s="132" t="str" cm="1">
        <f t="array" ref="C23:C28">_xlfn.IFNA(INDEX('EPD List'!$A:$AB,MATCH(_xlfn.ANCHORARRAY(B23),'EPD List'!$D:$D,0),MATCH(C$16,'EPD List'!$7:$7,0)),"")</f>
        <v>#</v>
      </c>
      <c r="D23" s="198" cm="1">
        <f t="array" ref="D23:D28">_xlfn.IFNA(VALUE((INDEX('EPD List'!$A:$AD,MATCH(_xlfn.ANCHORARRAY($B23),'EPD List'!$D:$D,0),MATCH(D$16,'EPD List'!$7:$7,0)))),"")</f>
        <v>4487.5919999999996</v>
      </c>
      <c r="E23" s="198" cm="1">
        <f t="array" ref="E23:E28">IFERROR(VALUE((INDEX('EPD List'!$A:$AD,MATCH(_xlfn.ANCHORARRAY($B23),'EPD List'!$D:$D,0),MATCH(E$16,'EPD List'!$7:$7,0)))),"")</f>
        <v>0</v>
      </c>
      <c r="F23" s="198" cm="1">
        <f t="array" ref="F23:F28">_xlfn.IFNA(VALUE((INDEX('EPD List'!$A:$AD,MATCH(_xlfn.ANCHORARRAY($B23),'EPD List'!$D:$D,0),MATCH(F$16,'EPD List'!$7:$7,0)))),"")</f>
        <v>0</v>
      </c>
      <c r="G23" s="215" cm="1">
        <f t="array" ref="G23:G28">IFERROR(VALUE((INDEX('EPD List'!$A:$AD,MATCH(_xlfn.ANCHORARRAY($B23),'EPD List'!$D:$D,0),MATCH(G$16,'EPD List'!$7:$7,0)))),"")</f>
        <v>0</v>
      </c>
      <c r="H23" s="131"/>
    </row>
    <row r="24" spans="1:9" x14ac:dyDescent="0.25">
      <c r="A24" s="133"/>
      <c r="B24" s="204" t="str">
        <v>Lift, , KONE Minispace DX HighRise elevator with steel rope (Usage Cat. 3/4) (KONE) (Global)</v>
      </c>
      <c r="C24" s="132" t="str">
        <v>#</v>
      </c>
      <c r="D24" s="198">
        <v>117248.001</v>
      </c>
      <c r="E24" s="198">
        <v>0</v>
      </c>
      <c r="F24" s="198">
        <v>0</v>
      </c>
      <c r="G24" s="215">
        <v>0</v>
      </c>
      <c r="H24" s="131"/>
    </row>
    <row r="25" spans="1:9" x14ac:dyDescent="0.25">
      <c r="A25" s="133"/>
      <c r="B25" s="204" t="str">
        <v>Lift, , OTIS GEN2 STREAM (Usage Cat. 3/4) (OTIS) (Europe)</v>
      </c>
      <c r="C25" s="132" t="str">
        <v>#</v>
      </c>
      <c r="D25" s="198">
        <v>19864.135200000001</v>
      </c>
      <c r="E25" s="198">
        <v>0</v>
      </c>
      <c r="F25" s="198">
        <v>0</v>
      </c>
      <c r="G25" s="215">
        <v>0</v>
      </c>
      <c r="H25" s="131"/>
    </row>
    <row r="26" spans="1:9" x14ac:dyDescent="0.25">
      <c r="A26" s="133"/>
      <c r="B26" s="204" t="str">
        <v>Lift, , OTIS Gen2 Stream® HR (Usage Cat. 3/4) (OTIS) (Europe)</v>
      </c>
      <c r="C26" s="132" t="str">
        <v>#</v>
      </c>
      <c r="D26" s="198">
        <v>32955.456250000003</v>
      </c>
      <c r="E26" s="198">
        <v>0</v>
      </c>
      <c r="F26" s="198">
        <v>0</v>
      </c>
      <c r="G26" s="215">
        <v>0</v>
      </c>
      <c r="H26" s="131"/>
    </row>
    <row r="27" spans="1:9" x14ac:dyDescent="0.25">
      <c r="A27" s="133"/>
      <c r="B27" s="204" t="str">
        <v>Lift, , Rexia/Zexia lift (Usage Cat. 3/4) (Fujitech) (Global)</v>
      </c>
      <c r="C27" s="132" t="str">
        <v>#</v>
      </c>
      <c r="D27" s="198">
        <v>61799.428880000007</v>
      </c>
      <c r="E27" s="198">
        <v>0</v>
      </c>
      <c r="F27" s="198">
        <v>0</v>
      </c>
      <c r="G27" s="215">
        <v>0</v>
      </c>
      <c r="H27" s="131"/>
    </row>
    <row r="28" spans="1:9" x14ac:dyDescent="0.25">
      <c r="A28" s="133"/>
      <c r="B28" s="217" t="str">
        <v>Lift, , Schindler 5500 modular passenger elevator (Usage Cat. 3/4) (Schindler) (Europe)</v>
      </c>
      <c r="C28" s="218" t="str">
        <v>#</v>
      </c>
      <c r="D28" s="219">
        <v>12665.98596</v>
      </c>
      <c r="E28" s="219">
        <v>0</v>
      </c>
      <c r="F28" s="219">
        <v>0</v>
      </c>
      <c r="G28" s="220">
        <v>0</v>
      </c>
      <c r="H28" s="131"/>
    </row>
    <row r="29" spans="1:9" x14ac:dyDescent="0.25">
      <c r="B29" s="130"/>
      <c r="C29" s="130"/>
      <c r="D29" s="207"/>
      <c r="E29" s="207"/>
      <c r="F29" s="207"/>
      <c r="G29" s="207"/>
    </row>
    <row r="90" spans="9:9" x14ac:dyDescent="0.25">
      <c r="I90" s="198"/>
    </row>
  </sheetData>
  <dataValidations count="1">
    <dataValidation type="list" allowBlank="1" showInputMessage="1" showErrorMessage="1" sqref="B6:B9" xr:uid="{9520F154-7662-4B2F-9EC3-3B99D7EFDE12}">
      <formula1>"Tier 1,Tier 2,Tier 3,Tier 4"</formula1>
    </dataValidation>
  </dataValidations>
  <pageMargins left="0.7" right="0.7" top="0.75" bottom="0.75" header="0.3" footer="0.3"/>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B6ED0-26BC-4C24-8E21-0D1525D529E5}">
  <sheetPr codeName="Sheet84">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Category 5, 6 for high rise buildings (&gt;10 floors)</v>
      </c>
    </row>
    <row r="2" spans="1:8" ht="13" x14ac:dyDescent="0.25">
      <c r="A2" s="202"/>
      <c r="C2" s="202"/>
    </row>
    <row r="3" spans="1:8" ht="25" x14ac:dyDescent="0.3">
      <c r="A3" s="227" t="s">
        <v>5626</v>
      </c>
      <c r="B3" s="143" t="s">
        <v>5874</v>
      </c>
    </row>
    <row r="4" spans="1:8" ht="13" x14ac:dyDescent="0.25">
      <c r="A4" s="202"/>
    </row>
    <row r="5" spans="1:8" ht="92.25" customHeight="1" x14ac:dyDescent="0.3">
      <c r="A5" s="227" t="s">
        <v>5628</v>
      </c>
      <c r="B5" s="200" t="s">
        <v>5872</v>
      </c>
      <c r="D5" s="200"/>
      <c r="E5" s="271"/>
    </row>
    <row r="6" spans="1:8" ht="13" x14ac:dyDescent="0.3">
      <c r="A6" s="227" t="s">
        <v>5630</v>
      </c>
      <c r="B6" s="132" t="s">
        <v>73</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3363</v>
      </c>
      <c r="C16" s="311" t="s">
        <v>24</v>
      </c>
      <c r="D16" s="208" t="s">
        <v>146</v>
      </c>
      <c r="E16" s="209" t="s">
        <v>153</v>
      </c>
      <c r="F16" s="208" t="s">
        <v>147</v>
      </c>
      <c r="G16" s="208" t="s">
        <v>154</v>
      </c>
      <c r="H16" s="131"/>
    </row>
    <row r="17" spans="1:9" ht="13" x14ac:dyDescent="0.3">
      <c r="A17" s="133"/>
      <c r="B17" s="317"/>
      <c r="C17" s="206" t="s">
        <v>5636</v>
      </c>
      <c r="D17" s="207" t="str" cm="1">
        <f t="array" ref="D17">IF(AND(_xlfn.ANCHORARRAY(C23)=C23),C23,"Mixed")</f>
        <v>#</v>
      </c>
      <c r="E17" s="207" t="s">
        <v>2774</v>
      </c>
      <c r="F17" s="207" t="str" cm="1">
        <f t="array" ref="F17">IF(AND(_xlfn.ANCHORARRAY(C23)=C23),C23,"Mixed")</f>
        <v>#</v>
      </c>
      <c r="G17" s="318" t="s">
        <v>2774</v>
      </c>
      <c r="H17" s="131"/>
    </row>
    <row r="18" spans="1:9" s="200" customFormat="1" ht="13" x14ac:dyDescent="0.3">
      <c r="A18" s="221"/>
      <c r="B18" s="214"/>
      <c r="C18" s="202" t="s">
        <v>5637</v>
      </c>
      <c r="D18" s="198">
        <f>MAX(_xlfn.ANCHORARRAY(D23))</f>
        <v>259409.09279999998</v>
      </c>
      <c r="E18" s="198">
        <f t="shared" ref="E18:G18" si="0">MAX(_xlfn.ANCHORARRAY(E23))</f>
        <v>0</v>
      </c>
      <c r="F18" s="198">
        <f t="shared" si="0"/>
        <v>0</v>
      </c>
      <c r="G18" s="215">
        <f t="shared" si="0"/>
        <v>0</v>
      </c>
      <c r="H18" s="131"/>
      <c r="I18" s="132"/>
    </row>
    <row r="19" spans="1:9" ht="13" x14ac:dyDescent="0.25">
      <c r="A19" s="133"/>
      <c r="B19" s="204"/>
      <c r="C19" s="202" t="s">
        <v>5638</v>
      </c>
      <c r="D19" s="198">
        <f>MIN(_xlfn.ANCHORARRAY(D23))</f>
        <v>99868.236336000002</v>
      </c>
      <c r="E19" s="198">
        <f t="shared" ref="E19:G19" si="1">MIN(_xlfn.ANCHORARRAY(E23))</f>
        <v>0</v>
      </c>
      <c r="F19" s="198">
        <f t="shared" si="1"/>
        <v>0</v>
      </c>
      <c r="G19" s="215">
        <f t="shared" si="1"/>
        <v>0</v>
      </c>
      <c r="H19" s="131"/>
    </row>
    <row r="20" spans="1:9" ht="13" x14ac:dyDescent="0.25">
      <c r="A20" s="133"/>
      <c r="B20" s="204"/>
      <c r="C20" s="202" t="s">
        <v>5639</v>
      </c>
      <c r="D20" s="198">
        <f>AVERAGE(_xlfn.ANCHORARRAY(D23))</f>
        <v>166503.35131199998</v>
      </c>
      <c r="E20" s="198">
        <f t="shared" ref="E20:G20" si="2">AVERAGE(_xlfn.ANCHORARRAY(E23))</f>
        <v>0</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5">_xlfn.UNIQUE(_xlfn._xlws.FILTER('EPD List'!D:D,ISNUMBER(SEARCH(B16,'EPD List'!C:C)),0))</f>
        <v>Lift, , UCA(Ultra China Altitude) elevator (Usage Cat. 5/6) (Hitachi Elevator (China) Co., Ltd.) (China)</v>
      </c>
      <c r="C23" s="132" t="str" cm="1">
        <f t="array" ref="C23:C25">_xlfn.IFNA(INDEX('EPD List'!$A:$AB,MATCH(_xlfn.ANCHORARRAY(B23),'EPD List'!$D:$D,0),MATCH(C$16,'EPD List'!$7:$7,0)),"")</f>
        <v>#</v>
      </c>
      <c r="D23" s="198" cm="1">
        <f t="array" ref="D23:D25">_xlfn.IFNA(VALUE((INDEX('EPD List'!$A:$AD,MATCH(_xlfn.ANCHORARRAY($B23),'EPD List'!$D:$D,0),MATCH(D$16,'EPD List'!$7:$7,0)))),"")</f>
        <v>140232.7248</v>
      </c>
      <c r="E23" s="198" cm="1">
        <f t="array" ref="E23:E25">IFERROR(VALUE((INDEX('EPD List'!$A:$AD,MATCH(_xlfn.ANCHORARRAY($B23),'EPD List'!$D:$D,0),MATCH(E$16,'EPD List'!$7:$7,0)))),"")</f>
        <v>0</v>
      </c>
      <c r="F23" s="198" cm="1">
        <f t="array" ref="F23:F25">_xlfn.IFNA(VALUE((INDEX('EPD List'!$A:$AD,MATCH(_xlfn.ANCHORARRAY($B23),'EPD List'!$D:$D,0),MATCH(F$16,'EPD List'!$7:$7,0)))),"")</f>
        <v>0</v>
      </c>
      <c r="G23" s="215" cm="1">
        <f t="array" ref="G23:G25">IFERROR(VALUE((INDEX('EPD List'!$A:$AD,MATCH(_xlfn.ANCHORARRAY($B23),'EPD List'!$D:$D,0),MATCH(G$16,'EPD List'!$7:$7,0)))),"")</f>
        <v>0</v>
      </c>
      <c r="H23" s="131"/>
    </row>
    <row r="24" spans="1:9" x14ac:dyDescent="0.25">
      <c r="A24" s="133"/>
      <c r="B24" s="204" t="str">
        <v>Lift, , Elsia lift (Usage Cat. 5/6) (Fujitech) (Global)</v>
      </c>
      <c r="C24" s="132" t="str">
        <v>#</v>
      </c>
      <c r="D24" s="198">
        <v>259409.09279999998</v>
      </c>
      <c r="E24" s="198">
        <v>0</v>
      </c>
      <c r="F24" s="198">
        <v>0</v>
      </c>
      <c r="G24" s="215">
        <v>0</v>
      </c>
      <c r="H24" s="131"/>
    </row>
    <row r="25" spans="1:9" x14ac:dyDescent="0.25">
      <c r="A25" s="133"/>
      <c r="B25" s="217" t="str">
        <v>Lift, , Schindler 7000 High-Speed China (Usage Cat 5/6) (Schindler Management Ltd) (China)</v>
      </c>
      <c r="C25" s="218" t="str">
        <v>#</v>
      </c>
      <c r="D25" s="219">
        <v>99868.236336000002</v>
      </c>
      <c r="E25" s="219">
        <v>0</v>
      </c>
      <c r="F25" s="219">
        <v>0</v>
      </c>
      <c r="G25" s="220">
        <v>0</v>
      </c>
      <c r="H25" s="131"/>
    </row>
    <row r="26" spans="1:9" x14ac:dyDescent="0.25">
      <c r="B26" s="130"/>
      <c r="C26" s="130"/>
      <c r="D26" s="207"/>
      <c r="E26" s="207"/>
      <c r="F26" s="207"/>
      <c r="G26" s="207"/>
    </row>
    <row r="90" spans="9:9" x14ac:dyDescent="0.25">
      <c r="I90" s="198"/>
    </row>
  </sheetData>
  <dataValidations count="1">
    <dataValidation type="list" allowBlank="1" showInputMessage="1" showErrorMessage="1" sqref="B6:B9" xr:uid="{6FA2A8E3-DDAA-4934-9660-A62E16EB3205}">
      <formula1>"Tier 1,Tier 2,Tier 3,Tier 4"</formula1>
    </dataValidation>
  </dataValidations>
  <pageMargins left="0.7" right="0.7" top="0.75" bottom="0.75" header="0.3" footer="0.3"/>
  <pageSetup paperSize="9"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4D73B-EAE2-4BE7-BD09-1009EC1F0694}">
  <sheetPr codeName="Sheet105">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Linoleum flooring</v>
      </c>
    </row>
    <row r="2" spans="1:8" ht="13" x14ac:dyDescent="0.25">
      <c r="A2" s="202"/>
      <c r="C2" s="202"/>
    </row>
    <row r="3" spans="1:8" ht="13" x14ac:dyDescent="0.3">
      <c r="A3" s="227" t="s">
        <v>5626</v>
      </c>
      <c r="B3" s="132" t="s">
        <v>5875</v>
      </c>
    </row>
    <row r="4" spans="1:8" ht="13" x14ac:dyDescent="0.25">
      <c r="A4" s="202"/>
    </row>
    <row r="5" spans="1:8" ht="92.25" customHeight="1" x14ac:dyDescent="0.3">
      <c r="A5" s="227" t="s">
        <v>5628</v>
      </c>
      <c r="B5" s="200" t="s">
        <v>5876</v>
      </c>
      <c r="D5" s="200"/>
      <c r="E5" s="271"/>
    </row>
    <row r="6" spans="1:8" ht="13" x14ac:dyDescent="0.3">
      <c r="A6" s="227" t="s">
        <v>5630</v>
      </c>
      <c r="B6" s="201" t="s">
        <v>72</v>
      </c>
      <c r="D6" s="132"/>
    </row>
    <row r="7" spans="1:8" ht="13" x14ac:dyDescent="0.3">
      <c r="A7" s="227" t="s">
        <v>5631</v>
      </c>
      <c r="B7" s="201" t="s">
        <v>71</v>
      </c>
    </row>
    <row r="8" spans="1:8" ht="13" x14ac:dyDescent="0.3">
      <c r="A8" s="227" t="s">
        <v>5632</v>
      </c>
      <c r="B8" s="201" t="s">
        <v>73</v>
      </c>
    </row>
    <row r="9" spans="1:8" ht="13" x14ac:dyDescent="0.3">
      <c r="A9" s="227" t="s">
        <v>5633</v>
      </c>
      <c r="B9" s="202" t="s">
        <v>73</v>
      </c>
    </row>
    <row r="10" spans="1:8" ht="13" x14ac:dyDescent="0.3">
      <c r="A10" s="227"/>
      <c r="B10" s="202"/>
    </row>
    <row r="11" spans="1:8" ht="25.5" x14ac:dyDescent="0.3">
      <c r="A11" s="227" t="s">
        <v>5634</v>
      </c>
      <c r="B11" s="200" t="s">
        <v>5828</v>
      </c>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3817</v>
      </c>
      <c r="C16" s="316" t="s">
        <v>24</v>
      </c>
      <c r="D16" s="314" t="s">
        <v>146</v>
      </c>
      <c r="E16" s="315" t="s">
        <v>153</v>
      </c>
      <c r="F16" s="314" t="s">
        <v>147</v>
      </c>
      <c r="G16" s="314" t="s">
        <v>154</v>
      </c>
      <c r="H16" s="131"/>
    </row>
    <row r="17" spans="1:9" ht="13" x14ac:dyDescent="0.3">
      <c r="A17" s="133"/>
      <c r="B17" s="211"/>
      <c r="C17" s="212" t="s">
        <v>5636</v>
      </c>
      <c r="D17" s="196" t="str" cm="1">
        <f t="array" ref="D17">IF(AND(_xlfn.ANCHORARRAY(C23)=C23),C23,"Mixed")</f>
        <v>m²</v>
      </c>
      <c r="E17" s="196" t="s">
        <v>2774</v>
      </c>
      <c r="F17" s="196" t="str" cm="1">
        <f t="array" ref="F17">IF(AND(_xlfn.ANCHORARRAY(C23)=C23),C23,"Mixed")</f>
        <v>m²</v>
      </c>
      <c r="G17" s="213" t="s">
        <v>2774</v>
      </c>
      <c r="H17" s="131"/>
    </row>
    <row r="18" spans="1:9" s="200" customFormat="1" ht="13" x14ac:dyDescent="0.3">
      <c r="A18" s="221"/>
      <c r="B18" s="214"/>
      <c r="C18" s="202" t="s">
        <v>5637</v>
      </c>
      <c r="D18" s="198">
        <f>MAX(_xlfn.ANCHORARRAY(D23))</f>
        <v>3.63</v>
      </c>
      <c r="E18" s="198">
        <f t="shared" ref="E18:G18" si="0">MAX(_xlfn.ANCHORARRAY(E23))</f>
        <v>1.5632652173913044</v>
      </c>
      <c r="F18" s="198">
        <f t="shared" si="0"/>
        <v>2.2799999999999998</v>
      </c>
      <c r="G18" s="215">
        <f t="shared" si="0"/>
        <v>0.9913043478260869</v>
      </c>
      <c r="H18" s="131"/>
      <c r="I18" s="132"/>
    </row>
    <row r="19" spans="1:9" ht="13" x14ac:dyDescent="0.25">
      <c r="A19" s="133"/>
      <c r="B19" s="204"/>
      <c r="C19" s="202" t="s">
        <v>5638</v>
      </c>
      <c r="D19" s="198">
        <f>MIN(_xlfn.ANCHORARRAY(D23))</f>
        <v>3.59551</v>
      </c>
      <c r="E19" s="198">
        <f t="shared" ref="E19:G19" si="1">MIN(_xlfn.ANCHORARRAY(E23))</f>
        <v>1.2282312925170069</v>
      </c>
      <c r="F19" s="198">
        <f t="shared" si="1"/>
        <v>0</v>
      </c>
      <c r="G19" s="215">
        <f t="shared" si="1"/>
        <v>0</v>
      </c>
      <c r="H19" s="131"/>
    </row>
    <row r="20" spans="1:9" ht="13" x14ac:dyDescent="0.25">
      <c r="A20" s="133"/>
      <c r="B20" s="204"/>
      <c r="C20" s="202" t="s">
        <v>5639</v>
      </c>
      <c r="D20" s="198">
        <f>AVERAGE(_xlfn.ANCHORARRAY(D23))</f>
        <v>3.6121700000000003</v>
      </c>
      <c r="E20" s="198">
        <f t="shared" ref="E20:G20" si="2">AVERAGE(_xlfn.ANCHORARRAY(E23))</f>
        <v>1.342063462486444</v>
      </c>
      <c r="F20" s="198">
        <f t="shared" si="2"/>
        <v>0.7599999999999999</v>
      </c>
      <c r="G20" s="215">
        <f t="shared" si="2"/>
        <v>0.33043478260869563</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5">_xlfn.UNIQUE(_xlfn._xlws.FILTER('EPD List'!D:D,ISNUMBER(SEARCH(B16,'EPD List'!C:C)),0))</f>
        <v>Linoleum Flooring, , Marmoleum sheet 2 mm Resilient Linoleum Floor Covering (Forbo Flooring Systems) (Global)</v>
      </c>
      <c r="C23" s="132" t="str" cm="1">
        <f t="array" ref="C23:C25">_xlfn.IFNA(INDEX('EPD List'!$A:$AB,MATCH(_xlfn.ANCHORARRAY(B23),'EPD List'!$D:$D,0),MATCH(C$16,'EPD List'!$7:$7,0)),"")</f>
        <v>m²</v>
      </c>
      <c r="D23" s="198" cm="1">
        <f t="array" ref="D23:D25">_xlfn.IFNA(VALUE((INDEX('EPD List'!$A:$AD,MATCH(_xlfn.ANCHORARRAY($B23),'EPD List'!$D:$D,0),MATCH(D$16,'EPD List'!$7:$7,0)))),"")</f>
        <v>3.59551</v>
      </c>
      <c r="E23" s="198" cm="1">
        <f t="array" ref="E23:E25">IFERROR(VALUE((INDEX('EPD List'!$A:$AD,MATCH(_xlfn.ANCHORARRAY($B23),'EPD List'!$D:$D,0),MATCH(E$16,'EPD List'!$7:$7,0)))),"")</f>
        <v>1.5632652173913044</v>
      </c>
      <c r="F23" s="198" cm="1">
        <f t="array" ref="F23:F25">_xlfn.IFNA(VALUE((INDEX('EPD List'!$A:$AD,MATCH(_xlfn.ANCHORARRAY($B23),'EPD List'!$D:$D,0),MATCH(F$16,'EPD List'!$7:$7,0)))),"")</f>
        <v>2.2799999999999998</v>
      </c>
      <c r="G23" s="215" cm="1">
        <f t="array" ref="G23:G25">IFERROR(VALUE((INDEX('EPD List'!$A:$AD,MATCH(_xlfn.ANCHORARRAY($B23),'EPD List'!$D:$D,0),MATCH(G$16,'EPD List'!$7:$7,0)))),"")</f>
        <v>0.9913043478260869</v>
      </c>
      <c r="H23" s="131"/>
    </row>
    <row r="24" spans="1:9" x14ac:dyDescent="0.25">
      <c r="A24" s="133"/>
      <c r="B24" s="204" t="str">
        <v>Linoleum Flooring, , DLW Linoleum Compact Sheet Flooring (Gerflor) (North America)</v>
      </c>
      <c r="C24" s="132" t="str">
        <v>m²</v>
      </c>
      <c r="D24" s="198">
        <v>3.63</v>
      </c>
      <c r="E24" s="198">
        <v>1.2346938775510203</v>
      </c>
      <c r="F24" s="198">
        <v>0</v>
      </c>
      <c r="G24" s="215">
        <v>0</v>
      </c>
      <c r="H24" s="131"/>
    </row>
    <row r="25" spans="1:9" x14ac:dyDescent="0.25">
      <c r="A25" s="133"/>
      <c r="B25" s="217" t="str">
        <v>Linoleum Flooring, , DLW Linoleum Compact Sheet Flooring (Gerflor) (Europe)</v>
      </c>
      <c r="C25" s="218" t="str">
        <v>m²</v>
      </c>
      <c r="D25" s="219">
        <v>3.6110000000000002</v>
      </c>
      <c r="E25" s="219">
        <v>1.2282312925170069</v>
      </c>
      <c r="F25" s="219">
        <v>0</v>
      </c>
      <c r="G25" s="220">
        <v>0</v>
      </c>
      <c r="H25" s="131"/>
    </row>
    <row r="26" spans="1:9" x14ac:dyDescent="0.25">
      <c r="B26" s="130"/>
      <c r="C26" s="130"/>
      <c r="D26" s="207"/>
      <c r="E26" s="207"/>
      <c r="F26" s="207"/>
      <c r="G26" s="207"/>
    </row>
    <row r="90" spans="9:9" x14ac:dyDescent="0.25">
      <c r="I90" s="198"/>
    </row>
  </sheetData>
  <dataValidations count="1">
    <dataValidation type="list" allowBlank="1" showInputMessage="1" showErrorMessage="1" sqref="B6:B9" xr:uid="{41B32A7E-D963-4C81-A1F4-22EBF33DF76B}">
      <formula1>"Tier 1,Tier 2,Tier 3,Tier 4"</formula1>
    </dataValidation>
  </dataValidations>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D248B-2830-4A1E-9C1B-87B531DD89FF}">
  <sheetPr codeName="Sheet33">
    <tabColor rgb="FF00CCFF"/>
  </sheetPr>
  <dimension ref="A1:I106"/>
  <sheetViews>
    <sheetView workbookViewId="0"/>
  </sheetViews>
  <sheetFormatPr defaultColWidth="9.1796875" defaultRowHeight="12.5" x14ac:dyDescent="0.25"/>
  <cols>
    <col min="1" max="1" width="29.816406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16384" width="9.1796875" style="132"/>
  </cols>
  <sheetData>
    <row r="1" spans="1:8" ht="13" x14ac:dyDescent="0.25">
      <c r="A1" s="202" t="str">
        <f>B16</f>
        <v>Panel - SIP ≤100mm</v>
      </c>
    </row>
    <row r="2" spans="1:8" ht="13" x14ac:dyDescent="0.25">
      <c r="A2" s="202"/>
    </row>
    <row r="3" spans="1:8" ht="13" x14ac:dyDescent="0.3">
      <c r="A3" s="227" t="s">
        <v>5626</v>
      </c>
      <c r="B3" s="132" t="s">
        <v>5877</v>
      </c>
    </row>
    <row r="4" spans="1:8" ht="13" x14ac:dyDescent="0.25">
      <c r="A4" s="202"/>
    </row>
    <row r="5" spans="1:8" ht="73.5" customHeight="1" x14ac:dyDescent="0.3">
      <c r="A5" s="227" t="s">
        <v>5628</v>
      </c>
      <c r="B5" s="200" t="s">
        <v>5878</v>
      </c>
    </row>
    <row r="6" spans="1:8" ht="13" x14ac:dyDescent="0.3">
      <c r="A6" s="227" t="s">
        <v>5630</v>
      </c>
      <c r="B6" s="132" t="s">
        <v>71</v>
      </c>
    </row>
    <row r="7" spans="1:8" ht="13" x14ac:dyDescent="0.3">
      <c r="A7" s="227" t="s">
        <v>5631</v>
      </c>
      <c r="B7" s="201" t="s">
        <v>71</v>
      </c>
    </row>
    <row r="8" spans="1:8" ht="13" x14ac:dyDescent="0.3">
      <c r="A8" s="227" t="s">
        <v>5632</v>
      </c>
      <c r="B8" s="201" t="s">
        <v>72</v>
      </c>
    </row>
    <row r="9" spans="1:8" ht="13" x14ac:dyDescent="0.3">
      <c r="A9" s="227" t="s">
        <v>5633</v>
      </c>
      <c r="B9" s="202" t="s">
        <v>72</v>
      </c>
    </row>
    <row r="10" spans="1:8" ht="13" x14ac:dyDescent="0.3">
      <c r="A10" s="227"/>
      <c r="B10" s="202"/>
    </row>
    <row r="11" spans="1:8" ht="13" x14ac:dyDescent="0.3">
      <c r="A11" s="227" t="s">
        <v>5634</v>
      </c>
      <c r="B11" s="200" t="s">
        <v>5879</v>
      </c>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4430</v>
      </c>
      <c r="C16" s="316" t="s">
        <v>24</v>
      </c>
      <c r="D16" s="314" t="s">
        <v>146</v>
      </c>
      <c r="E16" s="315" t="s">
        <v>153</v>
      </c>
      <c r="F16" s="314" t="s">
        <v>147</v>
      </c>
      <c r="G16" s="314" t="s">
        <v>154</v>
      </c>
      <c r="H16" s="131"/>
    </row>
    <row r="17" spans="1:8" ht="13" x14ac:dyDescent="0.3">
      <c r="A17" s="133"/>
      <c r="B17" s="211"/>
      <c r="C17" s="212" t="s">
        <v>5636</v>
      </c>
      <c r="D17" s="196" t="str" cm="1">
        <f t="array" ref="D17">IF(AND(_xlfn.ANCHORARRAY(C23)=C23),C23,"Mixed")</f>
        <v>m²</v>
      </c>
      <c r="E17" s="196" t="s">
        <v>2774</v>
      </c>
      <c r="F17" s="196" t="str" cm="1">
        <f t="array" ref="F17">IF(AND(_xlfn.ANCHORARRAY(C23)=C23),C23,"Mixed")</f>
        <v>m²</v>
      </c>
      <c r="G17" s="213" t="s">
        <v>2774</v>
      </c>
      <c r="H17" s="131"/>
    </row>
    <row r="18" spans="1:8" s="200" customFormat="1" ht="13" x14ac:dyDescent="0.3">
      <c r="A18" s="221"/>
      <c r="B18" s="214"/>
      <c r="C18" s="202" t="s">
        <v>5637</v>
      </c>
      <c r="D18" s="198">
        <f t="shared" ref="D18:G18" si="0">MAX(_xlfn.ANCHORARRAY(D23))</f>
        <v>64.028499999999994</v>
      </c>
      <c r="E18" s="198">
        <f t="shared" si="0"/>
        <v>4.9165714285714284</v>
      </c>
      <c r="F18" s="198">
        <f t="shared" si="0"/>
        <v>0</v>
      </c>
      <c r="G18" s="215">
        <f t="shared" si="0"/>
        <v>0</v>
      </c>
      <c r="H18" s="131"/>
    </row>
    <row r="19" spans="1:8" ht="13" x14ac:dyDescent="0.25">
      <c r="A19" s="133"/>
      <c r="B19" s="204"/>
      <c r="C19" s="202" t="s">
        <v>5638</v>
      </c>
      <c r="D19" s="198">
        <f>MIN(_xlfn.ANCHORARRAY(D23))</f>
        <v>7.1511999999999993</v>
      </c>
      <c r="E19" s="198">
        <f t="shared" ref="E19:G19" si="1">MIN(_xlfn.ANCHORARRAY(E23))</f>
        <v>1.0976089743589739</v>
      </c>
      <c r="F19" s="198">
        <f t="shared" si="1"/>
        <v>0</v>
      </c>
      <c r="G19" s="215">
        <f t="shared" si="1"/>
        <v>0</v>
      </c>
      <c r="H19" s="131"/>
    </row>
    <row r="20" spans="1:8" ht="13" x14ac:dyDescent="0.25">
      <c r="A20" s="133"/>
      <c r="B20" s="204"/>
      <c r="C20" s="202" t="s">
        <v>5639</v>
      </c>
      <c r="D20" s="198">
        <f>AVERAGE(_xlfn.ANCHORARRAY(D23))</f>
        <v>42.272157831325295</v>
      </c>
      <c r="E20" s="198">
        <f t="shared" ref="E20:G20" si="2">AVERAGE(_xlfn.ANCHORARRAY(E23))</f>
        <v>3.6419846947229431</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105">_xlfn.UNIQUE(_xlfn._xlws.FILTER('EPD List'!D:D,ISNUMBER(SEARCH(B16,'EPD List'!C:C)),0))</f>
        <v>Panel - SIP ≤100mm, , InsulWall® - 90mm  (Bondor)</v>
      </c>
      <c r="C23" s="132" t="str" cm="1">
        <f t="array" ref="C23:C105">_xlfn.IFNA(INDEX('EPD List'!$A:$AB,MATCH(_xlfn.ANCHORARRAY(B23),'EPD List'!$D:$D,0),MATCH(C$16,'EPD List'!$7:$7,0)),"")</f>
        <v>m²</v>
      </c>
      <c r="D23" s="198" cm="1">
        <f t="array" ref="D23:D105">_xlfn.IFNA(VALUE((INDEX('EPD List'!$A:$AD,MATCH(_xlfn.ANCHORARRAY($B23),'EPD List'!$D:$D,0),MATCH(D$16,'EPD List'!$7:$7,0)))),"")</f>
        <v>43.9</v>
      </c>
      <c r="E23" s="198" cm="1">
        <f t="array" ref="E23:E105">_xlfn.IFNA(VALUE((INDEX('EPD List'!$A:$AD,MATCH(_xlfn.ANCHORARRAY($B23),'EPD List'!$D:$D,0),MATCH(E$16,'EPD List'!$7:$7,0)))),"")</f>
        <v>3.7203389830508473</v>
      </c>
      <c r="F23" s="198" cm="1">
        <f t="array" ref="F23:F105">_xlfn.IFNA(VALUE((INDEX('EPD List'!$A:$AD,MATCH(_xlfn.ANCHORARRAY($B23),'EPD List'!$D:$D,0),MATCH(F$16,'EPD List'!$7:$7,0)))),"")</f>
        <v>0</v>
      </c>
      <c r="G23" s="215" cm="1">
        <f t="array" ref="G23:G105">_xlfn.IFNA(VALUE((INDEX('EPD List'!$A:$AD,MATCH(_xlfn.ANCHORARRAY($B23),'EPD List'!$D:$D,0),MATCH(G$16,'EPD List'!$7:$7,0)))),"")</f>
        <v>0</v>
      </c>
      <c r="H23" s="131"/>
    </row>
    <row r="24" spans="1:8" x14ac:dyDescent="0.25">
      <c r="A24" s="133"/>
      <c r="B24" s="204" t="str">
        <v>Panel - SIP ≤100mm, , LuxeWall FlameGuard® 0.7mm steel - 50mm  (Bondor)</v>
      </c>
      <c r="C24" s="132" t="str">
        <v>m²</v>
      </c>
      <c r="D24" s="198">
        <v>53.161000000000001</v>
      </c>
      <c r="E24" s="198">
        <v>3.4077564102564102</v>
      </c>
      <c r="F24" s="198">
        <v>0</v>
      </c>
      <c r="G24" s="215">
        <v>0</v>
      </c>
      <c r="H24" s="131"/>
    </row>
    <row r="25" spans="1:8" x14ac:dyDescent="0.25">
      <c r="A25" s="133"/>
      <c r="B25" s="204" t="str">
        <v>Panel - SIP ≤100mm, , KS1100/1200RL Roofliner Panel, 50mm thick  (Kingspan)</v>
      </c>
      <c r="C25" s="132" t="str">
        <v>m²</v>
      </c>
      <c r="D25" s="198">
        <v>43.134999999999998</v>
      </c>
      <c r="E25" s="198">
        <v>3.594583333333333</v>
      </c>
      <c r="F25" s="198">
        <v>0</v>
      </c>
      <c r="G25" s="215">
        <v>0</v>
      </c>
      <c r="H25" s="131"/>
    </row>
    <row r="26" spans="1:8" x14ac:dyDescent="0.25">
      <c r="A26" s="133"/>
      <c r="B26" s="204" t="str">
        <v>Panel - SIP ≤100mm, , K-Dek Roof Panel with TPO membrane, 70mm thick  (Kingspan)</v>
      </c>
      <c r="C26" s="132" t="str">
        <v>m²</v>
      </c>
      <c r="D26" s="198">
        <v>40.1</v>
      </c>
      <c r="E26" s="198">
        <v>4.01</v>
      </c>
      <c r="F26" s="198">
        <v>0</v>
      </c>
      <c r="G26" s="215">
        <v>0</v>
      </c>
      <c r="H26" s="131"/>
    </row>
    <row r="27" spans="1:8" x14ac:dyDescent="0.25">
      <c r="A27" s="133"/>
      <c r="B27" s="204" t="str">
        <v>Panel - SIP ≤100mm, , Equitilt FlameGuard® 0.6mm steel - 75mm  (Bondor)</v>
      </c>
      <c r="C27" s="132" t="str">
        <v>m²</v>
      </c>
      <c r="D27" s="198">
        <v>52.21</v>
      </c>
      <c r="E27" s="198">
        <v>3.3652854511970527</v>
      </c>
      <c r="F27" s="198">
        <v>0</v>
      </c>
      <c r="G27" s="215">
        <v>0</v>
      </c>
      <c r="H27" s="131"/>
    </row>
    <row r="28" spans="1:8" x14ac:dyDescent="0.25">
      <c r="A28" s="133"/>
      <c r="B28" s="204" t="str">
        <v>Panel - SIP ≤100mm, , CoolRoof® - 75mm  (Bondor)</v>
      </c>
      <c r="C28" s="132" t="str">
        <v>m²</v>
      </c>
      <c r="D28" s="198">
        <v>41.8</v>
      </c>
      <c r="E28" s="198">
        <v>2.3093922651933698</v>
      </c>
      <c r="F28" s="198">
        <v>0</v>
      </c>
      <c r="G28" s="215">
        <v>0</v>
      </c>
      <c r="H28" s="131"/>
    </row>
    <row r="29" spans="1:8" x14ac:dyDescent="0.25">
      <c r="A29" s="133"/>
      <c r="B29" s="204" t="str">
        <v>Panel - SIP ≤100mm, , KS1000RW Trapezoidal Wall Panel, 40mm thick  (Kingspan)</v>
      </c>
      <c r="C29" s="132" t="str">
        <v>m²</v>
      </c>
      <c r="D29" s="198">
        <v>34.9</v>
      </c>
      <c r="E29" s="198">
        <v>3.3883495145631066</v>
      </c>
      <c r="F29" s="198">
        <v>0</v>
      </c>
      <c r="G29" s="215">
        <v>0</v>
      </c>
      <c r="H29" s="131"/>
    </row>
    <row r="30" spans="1:8" x14ac:dyDescent="0.25">
      <c r="A30" s="133"/>
      <c r="B30" s="204" t="str">
        <v>Panel - SIP ≤100mm, , KS1000RW Trapezoidal Roof Panel, 40mm thick  (Kingspan)</v>
      </c>
      <c r="C30" s="132" t="str">
        <v>m²</v>
      </c>
      <c r="D30" s="198">
        <v>34.9</v>
      </c>
      <c r="E30" s="198">
        <v>3.3883495145631066</v>
      </c>
      <c r="F30" s="198">
        <v>0</v>
      </c>
      <c r="G30" s="215">
        <v>0</v>
      </c>
      <c r="H30" s="131"/>
    </row>
    <row r="31" spans="1:8" x14ac:dyDescent="0.25">
      <c r="A31" s="133"/>
      <c r="B31" s="204" t="str">
        <v>Panel - SIP ≤100mm, , Architectural Wall Panel, 50mm thick  (Kingspan)</v>
      </c>
      <c r="C31" s="132" t="str">
        <v>m²</v>
      </c>
      <c r="D31" s="198">
        <v>40.200000000000003</v>
      </c>
      <c r="E31" s="198">
        <v>2.9777777777777779</v>
      </c>
      <c r="F31" s="198">
        <v>0</v>
      </c>
      <c r="G31" s="215">
        <v>0</v>
      </c>
      <c r="H31" s="131"/>
    </row>
    <row r="32" spans="1:8" x14ac:dyDescent="0.25">
      <c r="A32" s="133"/>
      <c r="B32" s="204" t="str">
        <v>Panel - SIP ≤100mm, , Equideck® - 50mm  (Bondor)</v>
      </c>
      <c r="C32" s="132" t="str">
        <v>m²</v>
      </c>
      <c r="D32" s="198">
        <v>40.4</v>
      </c>
      <c r="E32" s="198">
        <v>3.5752212389380529</v>
      </c>
      <c r="F32" s="198">
        <v>0</v>
      </c>
      <c r="G32" s="215">
        <v>0</v>
      </c>
      <c r="H32" s="131"/>
    </row>
    <row r="33" spans="1:8" x14ac:dyDescent="0.25">
      <c r="A33" s="133"/>
      <c r="B33" s="204" t="str">
        <v>Panel - SIP ≤100mm, , KS1100KP Karrier Wall Panel, 50mm thick  (Kingspan)</v>
      </c>
      <c r="C33" s="132" t="str">
        <v>m²</v>
      </c>
      <c r="D33" s="198">
        <v>42.8</v>
      </c>
      <c r="E33" s="198">
        <v>3.5666666666666664</v>
      </c>
      <c r="F33" s="198">
        <v>0</v>
      </c>
      <c r="G33" s="215">
        <v>0</v>
      </c>
      <c r="H33" s="131"/>
    </row>
    <row r="34" spans="1:8" x14ac:dyDescent="0.25">
      <c r="A34" s="133"/>
      <c r="B34" s="204" t="str">
        <v>Panel - SIP ≤100mm, , Evolution Panelised Facade, 50mm thick  (Kingspan)</v>
      </c>
      <c r="C34" s="132" t="str">
        <v>m²</v>
      </c>
      <c r="D34" s="198">
        <v>42.8</v>
      </c>
      <c r="E34" s="198">
        <v>3.9999999999999996</v>
      </c>
      <c r="F34" s="198">
        <v>0</v>
      </c>
      <c r="G34" s="215">
        <v>0</v>
      </c>
      <c r="H34" s="131"/>
    </row>
    <row r="35" spans="1:8" x14ac:dyDescent="0.25">
      <c r="A35" s="133"/>
      <c r="B35" s="204" t="str">
        <v>Panel - SIP ≤100mm, , K-Dek Roof Panel with PVC membrane, 70mm thick  (Kingspan)</v>
      </c>
      <c r="C35" s="132" t="str">
        <v>m²</v>
      </c>
      <c r="D35" s="198">
        <v>43.3</v>
      </c>
      <c r="E35" s="198">
        <v>4.33</v>
      </c>
      <c r="F35" s="198">
        <v>0</v>
      </c>
      <c r="G35" s="215">
        <v>0</v>
      </c>
      <c r="H35" s="131"/>
    </row>
    <row r="36" spans="1:8" x14ac:dyDescent="0.25">
      <c r="A36" s="133"/>
      <c r="B36" s="204" t="str">
        <v>Panel - SIP ≤100mm, , BondorPanel® 0.4mm steel - 100mm  (Bondor)</v>
      </c>
      <c r="C36" s="132" t="str">
        <v>m²</v>
      </c>
      <c r="D36" s="198">
        <v>44.4</v>
      </c>
      <c r="E36" s="198">
        <v>3.7718446601941737</v>
      </c>
      <c r="F36" s="198">
        <v>0</v>
      </c>
      <c r="G36" s="215">
        <v>0</v>
      </c>
      <c r="H36" s="131"/>
    </row>
    <row r="37" spans="1:8" x14ac:dyDescent="0.25">
      <c r="A37" s="133"/>
      <c r="B37" s="204" t="str">
        <v>Panel - SIP ≤100mm, , Equitilt FlameGuard® 0.7mm steel - 100mm  (Bondor)</v>
      </c>
      <c r="C37" s="132" t="str">
        <v>m²</v>
      </c>
      <c r="D37" s="198">
        <v>60.5</v>
      </c>
      <c r="E37" s="198">
        <v>2.936893203883495</v>
      </c>
      <c r="F37" s="198">
        <v>0</v>
      </c>
      <c r="G37" s="215">
        <v>0</v>
      </c>
      <c r="H37" s="131"/>
    </row>
    <row r="38" spans="1:8" x14ac:dyDescent="0.25">
      <c r="A38" s="133"/>
      <c r="B38" s="204" t="str">
        <v>Panel - SIP ≤100mm, , K-Dek Roof Panel with TPO membrane, 100mm thick  (Kingspan)</v>
      </c>
      <c r="C38" s="132" t="str">
        <v>m²</v>
      </c>
      <c r="D38" s="198">
        <v>48</v>
      </c>
      <c r="E38" s="198">
        <v>4.2857142857142856</v>
      </c>
      <c r="F38" s="198">
        <v>0</v>
      </c>
      <c r="G38" s="215">
        <v>0</v>
      </c>
      <c r="H38" s="131"/>
    </row>
    <row r="39" spans="1:8" x14ac:dyDescent="0.25">
      <c r="A39" s="133"/>
      <c r="B39" s="204" t="str">
        <v>Panel - SIP ≤100mm, , LuxeWall FlameGuard® 0.6mm steel - 50mm  (Bondor)</v>
      </c>
      <c r="C39" s="132" t="str">
        <v>m²</v>
      </c>
      <c r="D39" s="198">
        <v>48.3</v>
      </c>
      <c r="E39" s="198">
        <v>3.6121794871794868</v>
      </c>
      <c r="F39" s="198">
        <v>0</v>
      </c>
      <c r="G39" s="215">
        <v>0</v>
      </c>
      <c r="H39" s="131"/>
    </row>
    <row r="40" spans="1:8" x14ac:dyDescent="0.25">
      <c r="A40" s="133"/>
      <c r="B40" s="204" t="str">
        <v>Panel - SIP ≤100mm, , LuxeWall FlameGuard® 0.6mm steel - 75mm  (Bondor)</v>
      </c>
      <c r="C40" s="132" t="str">
        <v>m²</v>
      </c>
      <c r="D40" s="198">
        <v>52.1</v>
      </c>
      <c r="E40" s="198">
        <v>3.3581952117863718</v>
      </c>
      <c r="F40" s="198">
        <v>0</v>
      </c>
      <c r="G40" s="215">
        <v>0</v>
      </c>
      <c r="H40" s="131"/>
    </row>
    <row r="41" spans="1:8" x14ac:dyDescent="0.25">
      <c r="A41" s="133"/>
      <c r="B41" s="204" t="str">
        <v>Panel - SIP ≤100mm, , Equitilt FlameGuard® 0.7mm steel - 75mm  (Bondor)</v>
      </c>
      <c r="C41" s="132" t="str">
        <v>m²</v>
      </c>
      <c r="D41" s="198">
        <v>55.8</v>
      </c>
      <c r="E41" s="198">
        <v>3.082872928176795</v>
      </c>
      <c r="F41" s="198">
        <v>0</v>
      </c>
      <c r="G41" s="215">
        <v>0</v>
      </c>
      <c r="H41" s="131"/>
    </row>
    <row r="42" spans="1:8" x14ac:dyDescent="0.25">
      <c r="A42" s="133"/>
      <c r="B42" s="204" t="str">
        <v>Panel - SIP ≤100mm, , Solaris Ridge® 0.5mm steel - 50mm  (Bondor)</v>
      </c>
      <c r="C42" s="132" t="str">
        <v>m²</v>
      </c>
      <c r="D42" s="198">
        <v>37.5</v>
      </c>
      <c r="E42" s="198">
        <v>4.375</v>
      </c>
      <c r="F42" s="198">
        <v>0</v>
      </c>
      <c r="G42" s="215">
        <v>0</v>
      </c>
      <c r="H42" s="131"/>
    </row>
    <row r="43" spans="1:8" x14ac:dyDescent="0.25">
      <c r="A43" s="133"/>
      <c r="B43" s="204" t="str">
        <v>Panel - SIP ≤100mm, , Equitilt FlameGuard® 0.6mm steel - 100mm  (Bondor)</v>
      </c>
      <c r="C43" s="132" t="str">
        <v>m²</v>
      </c>
      <c r="D43" s="198">
        <v>56.6</v>
      </c>
      <c r="E43" s="198">
        <v>3.2055016181229772</v>
      </c>
      <c r="F43" s="198">
        <v>0</v>
      </c>
      <c r="G43" s="215">
        <v>0</v>
      </c>
      <c r="H43" s="131"/>
    </row>
    <row r="44" spans="1:8" x14ac:dyDescent="0.25">
      <c r="A44" s="133"/>
      <c r="B44" s="204" t="str">
        <v>Panel - SIP ≤100mm, , LuxeWall FlameGuard® 0.7mm steel - 75mm  (Bondor)</v>
      </c>
      <c r="C44" s="132" t="str">
        <v>m²</v>
      </c>
      <c r="D44" s="198">
        <v>56.7</v>
      </c>
      <c r="E44" s="198">
        <v>3.132596685082873</v>
      </c>
      <c r="F44" s="198">
        <v>0</v>
      </c>
      <c r="G44" s="215">
        <v>0</v>
      </c>
      <c r="H44" s="131"/>
    </row>
    <row r="45" spans="1:8" x14ac:dyDescent="0.25">
      <c r="A45" s="133"/>
      <c r="B45" s="204" t="str">
        <v>Panel - SIP ≤100mm, , Solaris Corro® 0.6mm steel - 50mm  (Bondor)</v>
      </c>
      <c r="C45" s="132" t="str">
        <v>m²</v>
      </c>
      <c r="D45" s="198">
        <v>38.700000000000003</v>
      </c>
      <c r="E45" s="198">
        <v>3.3362068965517246</v>
      </c>
      <c r="F45" s="198">
        <v>0</v>
      </c>
      <c r="G45" s="215">
        <v>0</v>
      </c>
      <c r="H45" s="131"/>
    </row>
    <row r="46" spans="1:8" x14ac:dyDescent="0.25">
      <c r="A46" s="133"/>
      <c r="B46" s="204" t="str">
        <v>Panel - SIP ≤100mm, , DesignerWall® - 50mm  (Bondor)</v>
      </c>
      <c r="C46" s="132" t="str">
        <v>m²</v>
      </c>
      <c r="D46" s="198">
        <v>40</v>
      </c>
      <c r="E46" s="198">
        <v>2.5641025641025643</v>
      </c>
      <c r="F46" s="198">
        <v>0</v>
      </c>
      <c r="G46" s="215">
        <v>0</v>
      </c>
      <c r="H46" s="131"/>
    </row>
    <row r="47" spans="1:8" x14ac:dyDescent="0.25">
      <c r="A47" s="133"/>
      <c r="B47" s="204" t="str">
        <v>Panel - SIP ≤100mm, , KS1000RW Trapezoidal Wall Panel, 60mm thick  (Kingspan)</v>
      </c>
      <c r="C47" s="132" t="str">
        <v>m²</v>
      </c>
      <c r="D47" s="198">
        <v>40.1</v>
      </c>
      <c r="E47" s="198">
        <v>3.7476635514018697</v>
      </c>
      <c r="F47" s="198">
        <v>0</v>
      </c>
      <c r="G47" s="215">
        <v>0</v>
      </c>
      <c r="H47" s="131"/>
    </row>
    <row r="48" spans="1:8" x14ac:dyDescent="0.25">
      <c r="A48" s="133"/>
      <c r="B48" s="204" t="str">
        <v>Panel - SIP ≤100mm, , KS1000RW Trapezoidal Roof Panel, 60mm thick  (Kingspan)</v>
      </c>
      <c r="C48" s="132" t="str">
        <v>m²</v>
      </c>
      <c r="D48" s="198">
        <v>40.1</v>
      </c>
      <c r="E48" s="198">
        <v>3.7476635514018697</v>
      </c>
      <c r="F48" s="198">
        <v>0</v>
      </c>
      <c r="G48" s="215">
        <v>0</v>
      </c>
      <c r="H48" s="131"/>
    </row>
    <row r="49" spans="1:8" x14ac:dyDescent="0.25">
      <c r="A49" s="133"/>
      <c r="B49" s="204" t="str">
        <v>Panel - SIP ≤100mm, , DesignerWall® - 75mm  (Bondor)</v>
      </c>
      <c r="C49" s="132" t="str">
        <v>m²</v>
      </c>
      <c r="D49" s="198">
        <v>40.4</v>
      </c>
      <c r="E49" s="198">
        <v>2.2320441988950273</v>
      </c>
      <c r="F49" s="198">
        <v>0</v>
      </c>
      <c r="G49" s="215">
        <v>0</v>
      </c>
      <c r="H49" s="131"/>
    </row>
    <row r="50" spans="1:8" x14ac:dyDescent="0.25">
      <c r="A50" s="133"/>
      <c r="B50" s="204" t="str">
        <v>Panel - SIP ≤100mm, , Equitilt® 0.6mm steel – 50mm  (Bondor)</v>
      </c>
      <c r="C50" s="132" t="str">
        <v>m²</v>
      </c>
      <c r="D50" s="198">
        <v>40.700000000000003</v>
      </c>
      <c r="E50" s="198">
        <v>3.3916666666666671</v>
      </c>
      <c r="F50" s="198">
        <v>0</v>
      </c>
      <c r="G50" s="215">
        <v>0</v>
      </c>
      <c r="H50" s="131"/>
    </row>
    <row r="51" spans="1:8" x14ac:dyDescent="0.25">
      <c r="A51" s="133"/>
      <c r="B51" s="204" t="str">
        <v>Panel - SIP ≤100mm, , LuxeWall® - 75mm  (Bondor)</v>
      </c>
      <c r="C51" s="132" t="str">
        <v>m²</v>
      </c>
      <c r="D51" s="198">
        <v>41.2</v>
      </c>
      <c r="E51" s="198">
        <v>2.2762430939226519</v>
      </c>
      <c r="F51" s="198">
        <v>0</v>
      </c>
      <c r="G51" s="215">
        <v>0</v>
      </c>
      <c r="H51" s="131"/>
    </row>
    <row r="52" spans="1:8" x14ac:dyDescent="0.25">
      <c r="A52" s="133"/>
      <c r="B52" s="204" t="str">
        <v>Panel - SIP ≤100mm, , KS1100/1200CS Coldstore Panel, 50mm thick  (Kingspan)</v>
      </c>
      <c r="C52" s="132" t="str">
        <v>m²</v>
      </c>
      <c r="D52" s="198">
        <v>42</v>
      </c>
      <c r="E52" s="198">
        <v>3.5</v>
      </c>
      <c r="F52" s="198">
        <v>0</v>
      </c>
      <c r="G52" s="215">
        <v>0</v>
      </c>
      <c r="H52" s="131"/>
    </row>
    <row r="53" spans="1:8" x14ac:dyDescent="0.25">
      <c r="A53" s="133"/>
      <c r="B53" s="204" t="str">
        <v>Panel - SIP ≤100mm, , Equitilt FlameGuard® 0.7mm steel - 50mm  (Bondor)</v>
      </c>
      <c r="C53" s="132" t="str">
        <v>m²</v>
      </c>
      <c r="D53" s="198">
        <v>51.943999999999996</v>
      </c>
      <c r="E53" s="198">
        <v>3.3297435897435896</v>
      </c>
      <c r="F53" s="198">
        <v>0</v>
      </c>
      <c r="G53" s="215">
        <v>0</v>
      </c>
      <c r="H53" s="131"/>
    </row>
    <row r="54" spans="1:8" x14ac:dyDescent="0.25">
      <c r="A54" s="133"/>
      <c r="B54" s="204" t="str">
        <v>Panel - SIP ≤100mm, , KS1000RW Trapezoidal Wall Panel, 70mm thick  (Kingspan)</v>
      </c>
      <c r="C54" s="132" t="str">
        <v>m²</v>
      </c>
      <c r="D54" s="198">
        <v>42.9</v>
      </c>
      <c r="E54" s="198">
        <v>3.8648648648648649</v>
      </c>
      <c r="F54" s="198">
        <v>0</v>
      </c>
      <c r="G54" s="215">
        <v>0</v>
      </c>
      <c r="H54" s="131"/>
    </row>
    <row r="55" spans="1:8" x14ac:dyDescent="0.25">
      <c r="A55" s="133"/>
      <c r="B55" s="204" t="str">
        <v>Panel - SIP ≤100mm, , KS1000RW Trapezoidal Roof Panel, 70mm thick  (Kingspan)</v>
      </c>
      <c r="C55" s="132" t="str">
        <v>m²</v>
      </c>
      <c r="D55" s="198">
        <v>42.9</v>
      </c>
      <c r="E55" s="198">
        <v>3.8648648648648649</v>
      </c>
      <c r="F55" s="198">
        <v>0</v>
      </c>
      <c r="G55" s="215">
        <v>0</v>
      </c>
      <c r="H55" s="131"/>
    </row>
    <row r="56" spans="1:8" x14ac:dyDescent="0.25">
      <c r="A56" s="133"/>
      <c r="B56" s="204" t="str">
        <v>Panel - SIP ≤100mm, , Architectural Wall Panel, 80mm thick  (Kingspan)</v>
      </c>
      <c r="C56" s="132" t="str">
        <v>m²</v>
      </c>
      <c r="D56" s="198">
        <v>46.6</v>
      </c>
      <c r="E56" s="198">
        <v>3.9159663865546217</v>
      </c>
      <c r="F56" s="198">
        <v>0</v>
      </c>
      <c r="G56" s="215">
        <v>0</v>
      </c>
      <c r="H56" s="131"/>
    </row>
    <row r="57" spans="1:8" x14ac:dyDescent="0.25">
      <c r="A57" s="133"/>
      <c r="B57" s="204" t="str">
        <v>Panel - SIP ≤100mm, , Equitilt FlameGuard® 0.6mm steel - 50mm  (Bondor)</v>
      </c>
      <c r="C57" s="132" t="str">
        <v>m²</v>
      </c>
      <c r="D57" s="198">
        <v>48</v>
      </c>
      <c r="E57" s="198">
        <v>3.5897435897435894</v>
      </c>
      <c r="F57" s="198">
        <v>0</v>
      </c>
      <c r="G57" s="215">
        <v>0</v>
      </c>
      <c r="H57" s="131"/>
    </row>
    <row r="58" spans="1:8" x14ac:dyDescent="0.25">
      <c r="A58" s="133"/>
      <c r="B58" s="204" t="str">
        <v>Panel - SIP ≤100mm, , KS1100KP Karrier Wall Panel, 75mm thick  (Kingspan)</v>
      </c>
      <c r="C58" s="132" t="str">
        <v>m²</v>
      </c>
      <c r="D58" s="198">
        <v>49.5</v>
      </c>
      <c r="E58" s="198">
        <v>3.8076923076923075</v>
      </c>
      <c r="F58" s="198">
        <v>0</v>
      </c>
      <c r="G58" s="215">
        <v>0</v>
      </c>
      <c r="H58" s="131"/>
    </row>
    <row r="59" spans="1:8" x14ac:dyDescent="0.25">
      <c r="A59" s="133"/>
      <c r="B59" s="204" t="str">
        <v>Panel - SIP ≤100mm, , KS1100/1200RL Roofliner Panel, 75mm thick  (Kingspan)</v>
      </c>
      <c r="C59" s="132" t="str">
        <v>m²</v>
      </c>
      <c r="D59" s="198">
        <v>49.7</v>
      </c>
      <c r="E59" s="198">
        <v>3.8230769230769233</v>
      </c>
      <c r="F59" s="198">
        <v>0</v>
      </c>
      <c r="G59" s="215">
        <v>0</v>
      </c>
      <c r="H59" s="131"/>
    </row>
    <row r="60" spans="1:8" x14ac:dyDescent="0.25">
      <c r="A60" s="133"/>
      <c r="B60" s="204" t="str">
        <v>Panel - SIP ≤100mm, , KS1000RW Trapezoidal Wall Panel, 100mm thick  (Kingspan)</v>
      </c>
      <c r="C60" s="132" t="str">
        <v>m²</v>
      </c>
      <c r="D60" s="198">
        <v>50.6</v>
      </c>
      <c r="E60" s="198">
        <v>4.1138211382113816</v>
      </c>
      <c r="F60" s="198">
        <v>0</v>
      </c>
      <c r="G60" s="215">
        <v>0</v>
      </c>
      <c r="H60" s="131"/>
    </row>
    <row r="61" spans="1:8" x14ac:dyDescent="0.25">
      <c r="A61" s="133"/>
      <c r="B61" s="204" t="str">
        <v>Panel - SIP ≤100mm, , KS1000RW Trapezoidal Roof Panel, 100mm thick  (Kingspan)</v>
      </c>
      <c r="C61" s="132" t="str">
        <v>m²</v>
      </c>
      <c r="D61" s="198">
        <v>50.6</v>
      </c>
      <c r="E61" s="198">
        <v>4.1138211382113816</v>
      </c>
      <c r="F61" s="198">
        <v>0</v>
      </c>
      <c r="G61" s="215">
        <v>0</v>
      </c>
      <c r="H61" s="131"/>
    </row>
    <row r="62" spans="1:8" x14ac:dyDescent="0.25">
      <c r="A62" s="133"/>
      <c r="B62" s="204" t="str">
        <v>Panel - SIP ≤100mm, , Evolution Panelised Facade, 80mm thick  (Kingspan)</v>
      </c>
      <c r="C62" s="132" t="str">
        <v>m²</v>
      </c>
      <c r="D62" s="198">
        <v>50.8</v>
      </c>
      <c r="E62" s="198">
        <v>4.4173913043478255</v>
      </c>
      <c r="F62" s="198">
        <v>0</v>
      </c>
      <c r="G62" s="215">
        <v>0</v>
      </c>
      <c r="H62" s="131"/>
    </row>
    <row r="63" spans="1:8" x14ac:dyDescent="0.25">
      <c r="A63" s="133"/>
      <c r="B63" s="204" t="str">
        <v>Panel - SIP ≤100mm, , K-Dek Roof Panel with PVC membrane, 100mm thick  (Kingspan)</v>
      </c>
      <c r="C63" s="132" t="str">
        <v>m²</v>
      </c>
      <c r="D63" s="198">
        <v>51.2</v>
      </c>
      <c r="E63" s="198">
        <v>4.5714285714285721</v>
      </c>
      <c r="F63" s="198">
        <v>0</v>
      </c>
      <c r="G63" s="215">
        <v>0</v>
      </c>
      <c r="H63" s="131"/>
    </row>
    <row r="64" spans="1:8" x14ac:dyDescent="0.25">
      <c r="A64" s="133"/>
      <c r="B64" s="204" t="str">
        <v>Panel - SIP ≤100mm, , KS1100/1200RL Roofliner Panel, 100mm thick  (Kingspan)</v>
      </c>
      <c r="C64" s="132" t="str">
        <v>m²</v>
      </c>
      <c r="D64" s="198">
        <v>56</v>
      </c>
      <c r="E64" s="198">
        <v>4</v>
      </c>
      <c r="F64" s="198">
        <v>0</v>
      </c>
      <c r="G64" s="215">
        <v>0</v>
      </c>
      <c r="H64" s="131"/>
    </row>
    <row r="65" spans="1:8" x14ac:dyDescent="0.25">
      <c r="A65" s="133"/>
      <c r="B65" s="204" t="str">
        <v>Panel - SIP ≤100mm, , BondorPanel® 0.6mm steel – 50mm  (Bondor)</v>
      </c>
      <c r="C65" s="132" t="str">
        <v>m²</v>
      </c>
      <c r="D65" s="198">
        <v>32.200000000000003</v>
      </c>
      <c r="E65" s="198">
        <v>2.6833333333333336</v>
      </c>
      <c r="F65" s="198">
        <v>0</v>
      </c>
      <c r="G65" s="215">
        <v>0</v>
      </c>
      <c r="H65" s="131"/>
    </row>
    <row r="66" spans="1:8" x14ac:dyDescent="0.25">
      <c r="A66" s="133"/>
      <c r="B66" s="204" t="str">
        <v>Panel - SIP ≤100mm, , Solaris Ridge® 0.6mm steel - 50mm  (Bondor)</v>
      </c>
      <c r="C66" s="132" t="str">
        <v>m²</v>
      </c>
      <c r="D66" s="198">
        <v>33.6</v>
      </c>
      <c r="E66" s="198">
        <v>3.2666666666666666</v>
      </c>
      <c r="F66" s="198">
        <v>0</v>
      </c>
      <c r="G66" s="215">
        <v>0</v>
      </c>
      <c r="H66" s="131"/>
    </row>
    <row r="67" spans="1:8" x14ac:dyDescent="0.25">
      <c r="A67" s="133"/>
      <c r="B67" s="204" t="str">
        <v>Panel - SIP ≤100mm, , SolarSpan® - 50mm  (Bondor)</v>
      </c>
      <c r="C67" s="132" t="str">
        <v>m²</v>
      </c>
      <c r="D67" s="198">
        <v>38.200000000000003</v>
      </c>
      <c r="E67" s="198">
        <v>3.6037735849056607</v>
      </c>
      <c r="F67" s="198">
        <v>0</v>
      </c>
      <c r="G67" s="215">
        <v>0</v>
      </c>
      <c r="H67" s="131"/>
    </row>
    <row r="68" spans="1:8" x14ac:dyDescent="0.25">
      <c r="A68" s="133"/>
      <c r="B68" s="204" t="str">
        <v>Panel - SIP ≤100mm, , LuxeWall® - 50mm  (Bondor)</v>
      </c>
      <c r="C68" s="132" t="str">
        <v>m²</v>
      </c>
      <c r="D68" s="198">
        <v>39.799999999999997</v>
      </c>
      <c r="E68" s="198">
        <v>2.5512820512820511</v>
      </c>
      <c r="F68" s="198">
        <v>0</v>
      </c>
      <c r="G68" s="215">
        <v>0</v>
      </c>
      <c r="H68" s="131"/>
    </row>
    <row r="69" spans="1:8" x14ac:dyDescent="0.25">
      <c r="A69" s="133"/>
      <c r="B69" s="204" t="str">
        <v>Panel - SIP ≤100mm, , CoolRoof® - 50mm  (Bondor)</v>
      </c>
      <c r="C69" s="132" t="str">
        <v>m²</v>
      </c>
      <c r="D69" s="198">
        <v>40.1</v>
      </c>
      <c r="E69" s="198">
        <v>2.5705128205128207</v>
      </c>
      <c r="F69" s="198">
        <v>0</v>
      </c>
      <c r="G69" s="215">
        <v>0</v>
      </c>
      <c r="H69" s="131"/>
    </row>
    <row r="70" spans="1:8" x14ac:dyDescent="0.25">
      <c r="A70" s="133"/>
      <c r="B70" s="204" t="str">
        <v>Panel - SIP ≤100mm, , BondorPanel® 0.4mm steel - 50mm  (Bondor)</v>
      </c>
      <c r="C70" s="132" t="str">
        <v>m²</v>
      </c>
      <c r="D70" s="198">
        <v>41.4</v>
      </c>
      <c r="E70" s="198">
        <v>4.6442307692307683</v>
      </c>
      <c r="F70" s="198">
        <v>0</v>
      </c>
      <c r="G70" s="215">
        <v>0</v>
      </c>
      <c r="H70" s="131"/>
    </row>
    <row r="71" spans="1:8" x14ac:dyDescent="0.25">
      <c r="A71" s="133"/>
      <c r="B71" s="204" t="str">
        <v>Panel - SIP ≤100mm, , InsulRoof® - 50mm  (Bondor)</v>
      </c>
      <c r="C71" s="132" t="str">
        <v>m²</v>
      </c>
      <c r="D71" s="198">
        <v>41.9</v>
      </c>
      <c r="E71" s="198">
        <v>3.6120689655172415</v>
      </c>
      <c r="F71" s="198">
        <v>0</v>
      </c>
      <c r="G71" s="215">
        <v>0</v>
      </c>
      <c r="H71" s="131"/>
    </row>
    <row r="72" spans="1:8" x14ac:dyDescent="0.25">
      <c r="A72" s="133"/>
      <c r="B72" s="204" t="str">
        <v>Panel - SIP ≤100mm, , Solaris Corro® 0.5mm steel - 50mm  (Bondor)</v>
      </c>
      <c r="C72" s="132" t="str">
        <v>m²</v>
      </c>
      <c r="D72" s="198">
        <v>42.5</v>
      </c>
      <c r="E72" s="198">
        <v>3.7610619469026547</v>
      </c>
      <c r="F72" s="198">
        <v>0</v>
      </c>
      <c r="G72" s="215">
        <v>0</v>
      </c>
      <c r="H72" s="131"/>
    </row>
    <row r="73" spans="1:8" x14ac:dyDescent="0.25">
      <c r="A73" s="133"/>
      <c r="B73" s="204" t="str">
        <v>Panel - SIP ≤100mm, , BondorPanel® 0.4mm steel - 75mm  (Bondor)</v>
      </c>
      <c r="C73" s="132" t="str">
        <v>m²</v>
      </c>
      <c r="D73" s="198">
        <v>42.8</v>
      </c>
      <c r="E73" s="198">
        <v>4.1381215469613251</v>
      </c>
      <c r="F73" s="198">
        <v>0</v>
      </c>
      <c r="G73" s="215">
        <v>0</v>
      </c>
      <c r="H73" s="131"/>
    </row>
    <row r="74" spans="1:8" x14ac:dyDescent="0.25">
      <c r="A74" s="133"/>
      <c r="B74" s="204" t="str">
        <v>Panel - SIP ≤100mm, , Equitilt® 0.7mm steel – 50mm  (Bondor)</v>
      </c>
      <c r="C74" s="132" t="str">
        <v>m²</v>
      </c>
      <c r="D74" s="198">
        <v>44.4</v>
      </c>
      <c r="E74" s="198">
        <v>3.6999999999999997</v>
      </c>
      <c r="F74" s="198">
        <v>0</v>
      </c>
      <c r="G74" s="215">
        <v>0</v>
      </c>
      <c r="H74" s="131"/>
    </row>
    <row r="75" spans="1:8" x14ac:dyDescent="0.25">
      <c r="A75" s="133"/>
      <c r="B75" s="204" t="str">
        <v>Panel - SIP ≤100mm, , r KS1100/1200CS Coldstore Panel, 75mm thick  (Kingspan)</v>
      </c>
      <c r="C75" s="132" t="str">
        <v>m²</v>
      </c>
      <c r="D75" s="198">
        <v>48.6</v>
      </c>
      <c r="E75" s="198">
        <v>3.7384615384615385</v>
      </c>
      <c r="F75" s="198">
        <v>0</v>
      </c>
      <c r="G75" s="215">
        <v>0</v>
      </c>
      <c r="H75" s="131"/>
    </row>
    <row r="76" spans="1:8" x14ac:dyDescent="0.25">
      <c r="A76" s="133"/>
      <c r="B76" s="204" t="str">
        <v>Panel - SIP ≤100mm, , Architectural Wall Panel, 100mm thick  (Kingspan)</v>
      </c>
      <c r="C76" s="132" t="str">
        <v>m²</v>
      </c>
      <c r="D76" s="198">
        <v>53.2</v>
      </c>
      <c r="E76" s="198">
        <v>4.3252032520325203</v>
      </c>
      <c r="F76" s="198">
        <v>0</v>
      </c>
      <c r="G76" s="215">
        <v>0</v>
      </c>
      <c r="H76" s="131"/>
    </row>
    <row r="77" spans="1:8" x14ac:dyDescent="0.25">
      <c r="A77" s="133"/>
      <c r="B77" s="204" t="str">
        <v>Panel - SIP ≤100mm, , KS1100/1200CS Coldstore Panel, 100mm thick  (Kingspan)</v>
      </c>
      <c r="C77" s="132" t="str">
        <v>m²</v>
      </c>
      <c r="D77" s="198">
        <v>55.2</v>
      </c>
      <c r="E77" s="198">
        <v>3.9428571428571431</v>
      </c>
      <c r="F77" s="198">
        <v>0</v>
      </c>
      <c r="G77" s="215">
        <v>0</v>
      </c>
      <c r="H77" s="131"/>
    </row>
    <row r="78" spans="1:8" x14ac:dyDescent="0.25">
      <c r="A78" s="133"/>
      <c r="B78" s="204" t="str">
        <v>Panel - SIP ≤100mm, , KS1100KP Karrier Wall Panel, 100mm thick  (Kingspan)</v>
      </c>
      <c r="C78" s="132" t="str">
        <v>m²</v>
      </c>
      <c r="D78" s="198">
        <v>55.8</v>
      </c>
      <c r="E78" s="198">
        <v>3.9857142857142853</v>
      </c>
      <c r="F78" s="198">
        <v>0</v>
      </c>
      <c r="G78" s="215">
        <v>0</v>
      </c>
      <c r="H78" s="131"/>
    </row>
    <row r="79" spans="1:8" x14ac:dyDescent="0.25">
      <c r="A79" s="133"/>
      <c r="B79" s="204" t="str">
        <v>Panel - SIP ≤100mm, , Evolution Panelised Facade, 100mm thick  (Kingspan)</v>
      </c>
      <c r="C79" s="132" t="str">
        <v>m²</v>
      </c>
      <c r="D79" s="198">
        <v>55.8</v>
      </c>
      <c r="E79" s="198">
        <v>4.5365853658536581</v>
      </c>
      <c r="F79" s="198">
        <v>0</v>
      </c>
      <c r="G79" s="215">
        <v>0</v>
      </c>
      <c r="H79" s="131"/>
    </row>
    <row r="80" spans="1:8" x14ac:dyDescent="0.25">
      <c r="A80" s="133"/>
      <c r="B80" s="204" t="str">
        <v>Panel - SIP ≤100mm, , EconoClad® 25mm  (Metecno Pty Ltd t/a MetecnoPIR)</v>
      </c>
      <c r="C80" s="132" t="str">
        <v>m²</v>
      </c>
      <c r="D80" s="198">
        <v>27.532800000000002</v>
      </c>
      <c r="E80" s="198">
        <v>4.9165714285714284</v>
      </c>
      <c r="F80" s="198">
        <v>0</v>
      </c>
      <c r="G80" s="215">
        <v>0</v>
      </c>
      <c r="H80" s="131"/>
    </row>
    <row r="81" spans="1:9" x14ac:dyDescent="0.25">
      <c r="A81" s="133"/>
      <c r="B81" s="204" t="str">
        <v>Panel - SIP ≤100mm, , EconoClad® 40mm  (Metecno Pty Ltd t/a MetecnoPIR)</v>
      </c>
      <c r="C81" s="132" t="str">
        <v>m²</v>
      </c>
      <c r="D81" s="198">
        <v>30.735199999999999</v>
      </c>
      <c r="E81" s="198">
        <v>4.8786031746031755</v>
      </c>
      <c r="F81" s="198">
        <v>0</v>
      </c>
      <c r="G81" s="215">
        <v>0</v>
      </c>
      <c r="H81" s="131"/>
    </row>
    <row r="82" spans="1:9" x14ac:dyDescent="0.25">
      <c r="A82" s="133"/>
      <c r="B82" s="204" t="str">
        <v>Panel - SIP ≤100mm, , EconoClad® 60mm  (Metecno Pty Ltd t/a MetecnoPIR)</v>
      </c>
      <c r="C82" s="132" t="str">
        <v>m²</v>
      </c>
      <c r="D82" s="198">
        <v>34.738</v>
      </c>
      <c r="E82" s="198">
        <v>4.8926760563380292</v>
      </c>
      <c r="F82" s="198">
        <v>0</v>
      </c>
      <c r="G82" s="215">
        <v>0</v>
      </c>
      <c r="H82" s="131"/>
    </row>
    <row r="83" spans="1:9" x14ac:dyDescent="0.25">
      <c r="A83" s="133"/>
      <c r="B83" s="204" t="str">
        <v>Panel - SIP ≤100mm, , EconoClad® 80mm  (Metecno Pty Ltd t/a MetecnoPIR)</v>
      </c>
      <c r="C83" s="132" t="str">
        <v>m²</v>
      </c>
      <c r="D83" s="198">
        <v>38.7408</v>
      </c>
      <c r="E83" s="198">
        <v>4.9038987341772158</v>
      </c>
      <c r="F83" s="198">
        <v>0</v>
      </c>
      <c r="G83" s="215">
        <v>0</v>
      </c>
      <c r="H83" s="131"/>
    </row>
    <row r="84" spans="1:9" x14ac:dyDescent="0.25">
      <c r="A84" s="133"/>
      <c r="B84" s="204" t="str">
        <v>Panel - SIP ≤100mm, , EconoClad® 100mm  (Metecno Pty Ltd t/a MetecnoPIR)</v>
      </c>
      <c r="C84" s="132" t="str">
        <v>m²</v>
      </c>
      <c r="D84" s="198">
        <v>42.743600000000001</v>
      </c>
      <c r="E84" s="198">
        <v>4.9130574712643691</v>
      </c>
      <c r="F84" s="198">
        <v>0</v>
      </c>
      <c r="G84" s="215">
        <v>0</v>
      </c>
      <c r="H84" s="131"/>
    </row>
    <row r="85" spans="1:9" x14ac:dyDescent="0.25">
      <c r="A85" s="133"/>
      <c r="B85" s="204" t="str">
        <v>Steel, Insulation panel, COLORBOND® steel for insulated panels in 0.40mm base metal thickness (BMT) (Bluescope)</v>
      </c>
      <c r="C85" s="132" t="str">
        <v>m²</v>
      </c>
      <c r="D85" s="198">
        <v>12.2</v>
      </c>
      <c r="E85" s="198">
        <v>3.5057471264367814</v>
      </c>
      <c r="F85" s="198">
        <v>0</v>
      </c>
      <c r="G85" s="215">
        <v>0</v>
      </c>
      <c r="H85" s="131"/>
    </row>
    <row r="86" spans="1:9" x14ac:dyDescent="0.25">
      <c r="A86" s="133"/>
      <c r="B86" s="204" t="str">
        <v>Panel - SIP ≤100mm, , MetecnoPanel® 75mm  (Metecno Pty Ltd t/a MetecnoPIR)</v>
      </c>
      <c r="C86" s="132" t="str">
        <v>m²</v>
      </c>
      <c r="D86" s="198">
        <v>55.125500000000002</v>
      </c>
      <c r="E86" s="198">
        <v>4.2404230769230766</v>
      </c>
      <c r="F86" s="198">
        <v>0</v>
      </c>
      <c r="G86" s="215">
        <v>0</v>
      </c>
      <c r="H86" s="131"/>
    </row>
    <row r="87" spans="1:9" x14ac:dyDescent="0.25">
      <c r="A87" s="133"/>
      <c r="B87" s="204" t="str">
        <v>Panel - SIP ≤100mm, , MetecnoPanel® 50mm  (Metecno Pty Ltd t/a MetecnoPIR)</v>
      </c>
      <c r="C87" s="132" t="str">
        <v>m²</v>
      </c>
      <c r="D87" s="198">
        <v>49.921099999999996</v>
      </c>
      <c r="E87" s="198">
        <v>4.1600916666666663</v>
      </c>
      <c r="F87" s="198">
        <v>0</v>
      </c>
      <c r="G87" s="215">
        <v>0</v>
      </c>
      <c r="H87" s="131"/>
    </row>
    <row r="88" spans="1:9" x14ac:dyDescent="0.25">
      <c r="A88" s="133"/>
      <c r="B88" s="204" t="str">
        <v>Steel, Cold room panels, COLORBOND® Intramax® steel in 0.40mm base metal thickness (BMT) (Bluescope)</v>
      </c>
      <c r="C88" s="132" t="str">
        <v>m²</v>
      </c>
      <c r="D88" s="198">
        <v>12.2</v>
      </c>
      <c r="E88" s="198">
        <v>3.5057471264367814</v>
      </c>
      <c r="F88" s="198">
        <v>0</v>
      </c>
      <c r="G88" s="215">
        <v>0</v>
      </c>
      <c r="H88" s="131"/>
    </row>
    <row r="89" spans="1:9" x14ac:dyDescent="0.25">
      <c r="A89" s="133"/>
      <c r="B89" s="204" t="str">
        <v>Panel - SIP ≤100mm, , MetecnoInspire® 60mm  (Metecno Pty Ltd t/a MetecnoPIR)</v>
      </c>
      <c r="C89" s="132" t="str">
        <v>m²</v>
      </c>
      <c r="D89" s="198">
        <v>55.522599999999997</v>
      </c>
      <c r="E89" s="198">
        <v>3.8826993006993002</v>
      </c>
      <c r="F89" s="198">
        <v>0</v>
      </c>
      <c r="G89" s="215">
        <v>0</v>
      </c>
      <c r="H89" s="131"/>
    </row>
    <row r="90" spans="1:9" x14ac:dyDescent="0.25">
      <c r="A90" s="133"/>
      <c r="B90" s="204" t="str">
        <v>Steel, Insulation panel, COLORBOND® steel for insulated panels in 0.50mm base metal thickness (BMT) (Bluescope)</v>
      </c>
      <c r="C90" s="132" t="str">
        <v>m²</v>
      </c>
      <c r="D90" s="198">
        <v>14.2</v>
      </c>
      <c r="E90" s="198">
        <v>3.3333333333333335</v>
      </c>
      <c r="F90" s="198">
        <v>0</v>
      </c>
      <c r="G90" s="215">
        <v>0</v>
      </c>
      <c r="H90" s="131"/>
      <c r="I90" s="198"/>
    </row>
    <row r="91" spans="1:9" x14ac:dyDescent="0.25">
      <c r="A91" s="133"/>
      <c r="B91" s="204" t="str">
        <v>Panel - SIP ≤100mm, , MetecnoInspire® 50mm  (Metecno Pty Ltd t/a MetecnoPIR)</v>
      </c>
      <c r="C91" s="132" t="str">
        <v>m²</v>
      </c>
      <c r="D91" s="198">
        <v>53.8202</v>
      </c>
      <c r="E91" s="198">
        <v>3.8719568345323738</v>
      </c>
      <c r="F91" s="198">
        <v>0</v>
      </c>
      <c r="G91" s="215">
        <v>0</v>
      </c>
      <c r="H91" s="131"/>
    </row>
    <row r="92" spans="1:9" x14ac:dyDescent="0.25">
      <c r="A92" s="133"/>
      <c r="B92" s="204" t="str">
        <v>Steel, Cold room panels, COLORBOND® Intramax® steel in 0.45mm base metal thickness (BMT) (Bluescope)</v>
      </c>
      <c r="C92" s="132" t="str">
        <v>m²</v>
      </c>
      <c r="D92" s="198">
        <v>13.2</v>
      </c>
      <c r="E92" s="198">
        <v>3.4108527131782944</v>
      </c>
      <c r="F92" s="198">
        <v>0</v>
      </c>
      <c r="G92" s="215">
        <v>0</v>
      </c>
      <c r="H92" s="131"/>
    </row>
    <row r="93" spans="1:9" x14ac:dyDescent="0.25">
      <c r="A93" s="133"/>
      <c r="B93" s="204" t="str">
        <v>Steel, Cold room panels, COLORBOND® Intramax® steel in 0.50mm base metal thickness (BMT) (Bluescope)</v>
      </c>
      <c r="C93" s="132" t="str">
        <v>m²</v>
      </c>
      <c r="D93" s="198">
        <v>14.2</v>
      </c>
      <c r="E93" s="198">
        <v>3.3333333333333335</v>
      </c>
      <c r="F93" s="198">
        <v>0</v>
      </c>
      <c r="G93" s="215">
        <v>0</v>
      </c>
      <c r="H93" s="131"/>
    </row>
    <row r="94" spans="1:9" x14ac:dyDescent="0.25">
      <c r="A94" s="133"/>
      <c r="B94" s="204" t="str">
        <v>Steel, Insulation panel, COLORBOND® steel for insulated panels in 0.60mm base metal thickness (BMT) (Bluescope)</v>
      </c>
      <c r="C94" s="132" t="str">
        <v>m²</v>
      </c>
      <c r="D94" s="198">
        <v>16.3</v>
      </c>
      <c r="E94" s="198">
        <v>3.2277227722772279</v>
      </c>
      <c r="F94" s="198">
        <v>0</v>
      </c>
      <c r="G94" s="215">
        <v>0</v>
      </c>
      <c r="H94" s="131"/>
    </row>
    <row r="95" spans="1:9" x14ac:dyDescent="0.25">
      <c r="A95" s="133"/>
      <c r="B95" s="204" t="str">
        <v>Steel, Cold room panels, COLORBOND® Intramax® steel in 0.60mm base metal thickness (BMT) (Bluescope)</v>
      </c>
      <c r="C95" s="132" t="str">
        <v>m²</v>
      </c>
      <c r="D95" s="198">
        <v>16.3</v>
      </c>
      <c r="E95" s="198">
        <v>3.2277227722772279</v>
      </c>
      <c r="F95" s="198">
        <v>0</v>
      </c>
      <c r="G95" s="215">
        <v>0</v>
      </c>
      <c r="H95" s="131"/>
    </row>
    <row r="96" spans="1:9" x14ac:dyDescent="0.25">
      <c r="A96" s="133"/>
      <c r="B96" s="204" t="str">
        <v>Panel - SIP ≤100mm, K17 100 mm,  (Kingspan)</v>
      </c>
      <c r="C96" s="132" t="str">
        <v>m²</v>
      </c>
      <c r="D96" s="198">
        <v>16.202000000000002</v>
      </c>
      <c r="E96" s="198">
        <v>1.3763834951456309</v>
      </c>
      <c r="F96" s="198">
        <v>0</v>
      </c>
      <c r="G96" s="215">
        <v>0</v>
      </c>
      <c r="H96" s="131"/>
    </row>
    <row r="97" spans="1:8" x14ac:dyDescent="0.25">
      <c r="A97" s="133"/>
      <c r="B97" s="204" t="str">
        <v>Panel - SIP ≤100mm, K17 50 mm,  (Kingspan)</v>
      </c>
      <c r="C97" s="132" t="str">
        <v>m²</v>
      </c>
      <c r="D97" s="198">
        <v>9.7843999999999998</v>
      </c>
      <c r="E97" s="198">
        <v>1.0976089743589739</v>
      </c>
      <c r="F97" s="198">
        <v>0</v>
      </c>
      <c r="G97" s="215">
        <v>0</v>
      </c>
      <c r="H97" s="131"/>
    </row>
    <row r="98" spans="1:8" x14ac:dyDescent="0.25">
      <c r="A98" s="133"/>
      <c r="B98" s="204" t="str">
        <v>Panel - SIP ≤100mm, , MetecnoSpan® 100mm  (Metecno Pty Ltd t/a MetecnoPIR)</v>
      </c>
      <c r="C98" s="132" t="str">
        <v>m²</v>
      </c>
      <c r="D98" s="198">
        <v>58.739000000000004</v>
      </c>
      <c r="E98" s="198">
        <v>4.4499242424242427</v>
      </c>
      <c r="F98" s="198">
        <v>0</v>
      </c>
      <c r="G98" s="215">
        <v>0</v>
      </c>
      <c r="H98" s="131"/>
    </row>
    <row r="99" spans="1:8" x14ac:dyDescent="0.25">
      <c r="A99" s="133"/>
      <c r="B99" s="204" t="str">
        <v>Panel - SIP ≤100mm, , MetecnoInspire® 100mm  (Metecno Pty Ltd t/a MetecnoPIR)</v>
      </c>
      <c r="C99" s="132" t="str">
        <v>m²</v>
      </c>
      <c r="D99" s="198">
        <v>64.028499999999994</v>
      </c>
      <c r="E99" s="198">
        <v>4.0017812499999996</v>
      </c>
      <c r="F99" s="198">
        <v>0</v>
      </c>
      <c r="G99" s="215">
        <v>0</v>
      </c>
      <c r="H99" s="131"/>
    </row>
    <row r="100" spans="1:8" x14ac:dyDescent="0.25">
      <c r="A100" s="133"/>
      <c r="B100" s="204" t="str">
        <v>Panel - SIP ≤100mm, , MetecnoSpan® 80mm  (Metecno Pty Ltd t/a MetecnoPIR)</v>
      </c>
      <c r="C100" s="132" t="str">
        <v>m²</v>
      </c>
      <c r="D100" s="198">
        <v>54.7361</v>
      </c>
      <c r="E100" s="198">
        <v>4.3099291338582679</v>
      </c>
      <c r="F100" s="198">
        <v>0</v>
      </c>
      <c r="G100" s="215">
        <v>0</v>
      </c>
      <c r="H100" s="131"/>
    </row>
    <row r="101" spans="1:8" x14ac:dyDescent="0.25">
      <c r="A101" s="133"/>
      <c r="B101" s="204" t="str">
        <v>Panel - SIP ≤100mm, , MetecnoPanel® 100mm  (Metecno Pty Ltd t/a MetecnoPIR)</v>
      </c>
      <c r="C101" s="132" t="str">
        <v>m²</v>
      </c>
      <c r="D101" s="198">
        <v>60.129400000000004</v>
      </c>
      <c r="E101" s="198">
        <v>4.2949571428571431</v>
      </c>
      <c r="F101" s="198">
        <v>0</v>
      </c>
      <c r="G101" s="215">
        <v>0</v>
      </c>
      <c r="H101" s="131"/>
    </row>
    <row r="102" spans="1:8" x14ac:dyDescent="0.25">
      <c r="A102" s="133"/>
      <c r="B102" s="204" t="str">
        <v>Panel - SIP ≤100mm, K17 25 mm,  (Kingspan)</v>
      </c>
      <c r="C102" s="132" t="str">
        <v>m²</v>
      </c>
      <c r="D102" s="198">
        <v>7.1511999999999993</v>
      </c>
      <c r="E102" s="198">
        <v>1.1806226415094336</v>
      </c>
      <c r="F102" s="198">
        <v>0</v>
      </c>
      <c r="G102" s="215">
        <v>0</v>
      </c>
      <c r="H102" s="131"/>
    </row>
    <row r="103" spans="1:8" x14ac:dyDescent="0.25">
      <c r="A103" s="133"/>
      <c r="B103" s="204" t="str">
        <v>Panel - SIP ≤100mm, , MetecnoInspire® 80mm  (Metecno Pty Ltd t/a MetecnoPIR)</v>
      </c>
      <c r="C103" s="132" t="str">
        <v>m²</v>
      </c>
      <c r="D103" s="198">
        <v>60.025700000000001</v>
      </c>
      <c r="E103" s="198">
        <v>3.9752119205298015</v>
      </c>
      <c r="F103" s="198">
        <v>0</v>
      </c>
      <c r="G103" s="215">
        <v>0</v>
      </c>
      <c r="H103" s="131"/>
    </row>
    <row r="104" spans="1:8" x14ac:dyDescent="0.25">
      <c r="A104" s="133"/>
      <c r="B104" s="204" t="str">
        <v>Panel - SIP ≤100mm, , MetecnoSpan® 60mm  (Metecno Pty Ltd t/a MetecnoPIR)</v>
      </c>
      <c r="C104" s="132" t="str">
        <v>m²</v>
      </c>
      <c r="D104" s="198">
        <v>50.7333</v>
      </c>
      <c r="E104" s="198">
        <v>4.3735603448275873</v>
      </c>
      <c r="F104" s="198">
        <v>0</v>
      </c>
      <c r="G104" s="215">
        <v>0</v>
      </c>
      <c r="H104" s="131"/>
    </row>
    <row r="105" spans="1:8" x14ac:dyDescent="0.25">
      <c r="A105" s="133"/>
      <c r="B105" s="217" t="str">
        <v>Panel - SIP ≤100mm, , MetecnoSpan® 40mm  (Metecno Pty Ltd t/a MetecnoPIR)</v>
      </c>
      <c r="C105" s="218" t="str">
        <v>m²</v>
      </c>
      <c r="D105" s="219">
        <v>46.6297</v>
      </c>
      <c r="E105" s="219">
        <v>4.357915887850468</v>
      </c>
      <c r="F105" s="219">
        <v>0</v>
      </c>
      <c r="G105" s="220">
        <v>0</v>
      </c>
      <c r="H105" s="131"/>
    </row>
    <row r="106" spans="1:8" x14ac:dyDescent="0.25">
      <c r="B106" s="130"/>
      <c r="C106" s="130"/>
      <c r="D106" s="207"/>
      <c r="E106" s="207"/>
      <c r="F106" s="207"/>
      <c r="G106" s="207"/>
    </row>
  </sheetData>
  <dataValidations count="1">
    <dataValidation type="list" allowBlank="1" showInputMessage="1" showErrorMessage="1" sqref="B6:B9" xr:uid="{7B39828F-7C4B-497C-9F09-EF87092F5E19}">
      <formula1>"Tier 1,Tier 2,Tier 3,Tier 4"</formula1>
    </dataValidation>
  </dataValidations>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8E5BE-DB19-4357-B92B-17F0FED1E8CD}">
  <sheetPr codeName="Sheet34">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16384" width="9.1796875" style="132"/>
  </cols>
  <sheetData>
    <row r="1" spans="1:8" ht="13" x14ac:dyDescent="0.25">
      <c r="A1" s="202" t="str">
        <f>B16</f>
        <v>Panel - SIP &gt;100mm</v>
      </c>
    </row>
    <row r="2" spans="1:8" ht="13" x14ac:dyDescent="0.25">
      <c r="A2" s="202"/>
    </row>
    <row r="3" spans="1:8" ht="13" x14ac:dyDescent="0.3">
      <c r="A3" s="227" t="s">
        <v>5626</v>
      </c>
      <c r="B3" s="132" t="s">
        <v>5880</v>
      </c>
    </row>
    <row r="4" spans="1:8" ht="13" x14ac:dyDescent="0.25">
      <c r="A4" s="202"/>
    </row>
    <row r="5" spans="1:8" ht="73.5" customHeight="1" x14ac:dyDescent="0.3">
      <c r="A5" s="227" t="s">
        <v>5628</v>
      </c>
      <c r="B5" s="200" t="s">
        <v>5878</v>
      </c>
    </row>
    <row r="6" spans="1:8" ht="13" x14ac:dyDescent="0.3">
      <c r="A6" s="227" t="s">
        <v>5630</v>
      </c>
      <c r="B6" s="132" t="s">
        <v>71</v>
      </c>
    </row>
    <row r="7" spans="1:8" ht="13" x14ac:dyDescent="0.3">
      <c r="A7" s="227" t="s">
        <v>5631</v>
      </c>
      <c r="B7" s="201" t="s">
        <v>71</v>
      </c>
    </row>
    <row r="8" spans="1:8" ht="13" x14ac:dyDescent="0.3">
      <c r="A8" s="227" t="s">
        <v>5632</v>
      </c>
      <c r="B8" s="201" t="s">
        <v>72</v>
      </c>
    </row>
    <row r="9" spans="1:8" ht="13" x14ac:dyDescent="0.3">
      <c r="A9" s="227" t="s">
        <v>5633</v>
      </c>
      <c r="B9" s="202" t="s">
        <v>72</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4365</v>
      </c>
      <c r="C16" s="311" t="s">
        <v>24</v>
      </c>
      <c r="D16" s="208" t="s">
        <v>146</v>
      </c>
      <c r="E16" s="209" t="s">
        <v>153</v>
      </c>
      <c r="F16" s="208" t="s">
        <v>147</v>
      </c>
      <c r="G16" s="208" t="s">
        <v>154</v>
      </c>
      <c r="H16" s="131"/>
    </row>
    <row r="17" spans="1:8" ht="13" x14ac:dyDescent="0.3">
      <c r="A17" s="133"/>
      <c r="B17" s="317"/>
      <c r="C17" s="206" t="s">
        <v>5636</v>
      </c>
      <c r="D17" s="207" t="str" cm="1">
        <f t="array" ref="D17">IF(AND(_xlfn.ANCHORARRAY(C23)=C23),C23,"Mixed")</f>
        <v>m²</v>
      </c>
      <c r="E17" s="207" t="s">
        <v>2774</v>
      </c>
      <c r="F17" s="207" t="str" cm="1">
        <f t="array" ref="F17">IF(AND(_xlfn.ANCHORARRAY(C23)=C23),C23,"Mixed")</f>
        <v>m²</v>
      </c>
      <c r="G17" s="318" t="s">
        <v>2774</v>
      </c>
      <c r="H17" s="131"/>
    </row>
    <row r="18" spans="1:8" s="200" customFormat="1" ht="13" x14ac:dyDescent="0.3">
      <c r="A18" s="221"/>
      <c r="B18" s="214"/>
      <c r="C18" s="202" t="s">
        <v>5637</v>
      </c>
      <c r="D18" s="198">
        <f t="shared" ref="D18:G18" si="0">MAX(_xlfn.ANCHORARRAY(D23))</f>
        <v>84.753399999999999</v>
      </c>
      <c r="E18" s="198">
        <f t="shared" si="0"/>
        <v>4.8708850574712645</v>
      </c>
      <c r="F18" s="198">
        <f t="shared" si="0"/>
        <v>0</v>
      </c>
      <c r="G18" s="215">
        <f t="shared" si="0"/>
        <v>0</v>
      </c>
      <c r="H18" s="131"/>
    </row>
    <row r="19" spans="1:8" ht="13" x14ac:dyDescent="0.25">
      <c r="A19" s="133"/>
      <c r="B19" s="204"/>
      <c r="C19" s="202" t="s">
        <v>5638</v>
      </c>
      <c r="D19" s="198">
        <f>MIN(_xlfn.ANCHORARRAY(D23))</f>
        <v>36.5</v>
      </c>
      <c r="E19" s="198">
        <f t="shared" ref="E19:G19" si="1">MIN(_xlfn.ANCHORARRAY(E23))</f>
        <v>1.5479302832244004</v>
      </c>
      <c r="F19" s="198">
        <f t="shared" si="1"/>
        <v>0</v>
      </c>
      <c r="G19" s="215">
        <f t="shared" si="1"/>
        <v>0</v>
      </c>
      <c r="H19" s="131"/>
    </row>
    <row r="20" spans="1:8" ht="13" x14ac:dyDescent="0.25">
      <c r="A20" s="133"/>
      <c r="B20" s="204"/>
      <c r="C20" s="202" t="s">
        <v>5639</v>
      </c>
      <c r="D20" s="198">
        <f>AVERAGE(_xlfn.ANCHORARRAY(D23))</f>
        <v>55.647158139534874</v>
      </c>
      <c r="E20" s="198">
        <f t="shared" ref="E20:G20" si="2">AVERAGE(_xlfn.ANCHORARRAY(E23))</f>
        <v>3.7632230463349234</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65">_xlfn.UNIQUE(_xlfn._xlws.FILTER('EPD List'!D:D,ISNUMBER(SEARCH(B16,'EPD List'!C:C)),0))</f>
        <v>Panel - SIP &gt;100mm, , InsulWall® - 140mm  (Bondor)</v>
      </c>
      <c r="C23" s="132" t="str" cm="1">
        <f t="array" ref="C23:C65">_xlfn.IFNA(INDEX('EPD List'!$A:$AB,MATCH(_xlfn.ANCHORARRAY(B23),'EPD List'!$D:$D,0),MATCH(C$16,'EPD List'!$7:$7,0)),"")</f>
        <v>m²</v>
      </c>
      <c r="D23" s="198" cm="1">
        <f t="array" ref="D23:D65">_xlfn.IFNA(VALUE((INDEX('EPD List'!$A:$AD,MATCH(_xlfn.ANCHORARRAY($B23),'EPD List'!$D:$D,0),MATCH(D$16,'EPD List'!$7:$7,0)))),"")</f>
        <v>46.9</v>
      </c>
      <c r="E23" s="198" cm="1">
        <f t="array" ref="E23:E65">_xlfn.IFNA(VALUE((INDEX('EPD List'!$A:$AD,MATCH(_xlfn.ANCHORARRAY($B23),'EPD List'!$D:$D,0),MATCH(E$16,'EPD List'!$7:$7,0)))),"")</f>
        <v>3.7519999999999998</v>
      </c>
      <c r="F23" s="198" cm="1">
        <f t="array" ref="F23:F65">_xlfn.IFNA(VALUE((INDEX('EPD List'!$A:$AD,MATCH(_xlfn.ANCHORARRAY($B23),'EPD List'!$D:$D,0),MATCH(F$16,'EPD List'!$7:$7,0)))),"")</f>
        <v>0</v>
      </c>
      <c r="G23" s="215" cm="1">
        <f t="array" ref="G23:G65">_xlfn.IFNA(VALUE((INDEX('EPD List'!$A:$AD,MATCH(_xlfn.ANCHORARRAY($B23),'EPD List'!$D:$D,0),MATCH(G$16,'EPD List'!$7:$7,0)))),"")</f>
        <v>0</v>
      </c>
      <c r="H23" s="131"/>
    </row>
    <row r="24" spans="1:8" x14ac:dyDescent="0.25">
      <c r="A24" s="133"/>
      <c r="B24" s="204" t="str">
        <v>Panel - SIP &gt;100mm, , Equideck® - 250mm  (Bondor)</v>
      </c>
      <c r="C24" s="132" t="str">
        <v>m²</v>
      </c>
      <c r="D24" s="198">
        <v>52.5</v>
      </c>
      <c r="E24" s="198">
        <v>3.75</v>
      </c>
      <c r="F24" s="198">
        <v>0</v>
      </c>
      <c r="G24" s="215">
        <v>0</v>
      </c>
      <c r="H24" s="131"/>
    </row>
    <row r="25" spans="1:8" x14ac:dyDescent="0.25">
      <c r="A25" s="133"/>
      <c r="B25" s="204" t="str">
        <v>Panel - SIP &gt;100mm, , BondorPanel® 0.6mm steel – 250mm  (Bondor)</v>
      </c>
      <c r="C25" s="132" t="str">
        <v>m²</v>
      </c>
      <c r="D25" s="198">
        <v>44</v>
      </c>
      <c r="E25" s="198">
        <v>2.9530201342281877</v>
      </c>
      <c r="F25" s="198">
        <v>0</v>
      </c>
      <c r="G25" s="215">
        <v>0</v>
      </c>
      <c r="H25" s="131"/>
    </row>
    <row r="26" spans="1:8" x14ac:dyDescent="0.25">
      <c r="A26" s="133"/>
      <c r="B26" s="204" t="str">
        <v>Panel - SIP &gt;100mm, , Equitilt® 0.7mm steel – 250mm  (Bondor)</v>
      </c>
      <c r="C26" s="132" t="str">
        <v>m²</v>
      </c>
      <c r="D26" s="198">
        <v>56.3</v>
      </c>
      <c r="E26" s="198">
        <v>3.7785234899328857</v>
      </c>
      <c r="F26" s="198">
        <v>0</v>
      </c>
      <c r="G26" s="215">
        <v>0</v>
      </c>
      <c r="H26" s="131"/>
    </row>
    <row r="27" spans="1:8" x14ac:dyDescent="0.25">
      <c r="A27" s="133"/>
      <c r="B27" s="204" t="str">
        <v>Panel - SIP &gt;100mm, , Equitilt® 0.6mm steel – 250mm  (Bondor)</v>
      </c>
      <c r="C27" s="132" t="str">
        <v>m²</v>
      </c>
      <c r="D27" s="198">
        <v>52.5</v>
      </c>
      <c r="E27" s="198">
        <v>3.523489932885906</v>
      </c>
      <c r="F27" s="198">
        <v>0</v>
      </c>
      <c r="G27" s="215">
        <v>0</v>
      </c>
      <c r="H27" s="131"/>
    </row>
    <row r="28" spans="1:8" x14ac:dyDescent="0.25">
      <c r="A28" s="133"/>
      <c r="B28" s="204" t="str">
        <v>Panel - SIP &gt;100mm, , BondorPanel® 0.4mm steel – 250mm  (Bondor)</v>
      </c>
      <c r="C28" s="132" t="str">
        <v>m²</v>
      </c>
      <c r="D28" s="198">
        <v>53.3</v>
      </c>
      <c r="E28" s="198">
        <v>3.0482026143790835</v>
      </c>
      <c r="F28" s="198">
        <v>0</v>
      </c>
      <c r="G28" s="215">
        <v>0</v>
      </c>
      <c r="H28" s="131"/>
    </row>
    <row r="29" spans="1:8" x14ac:dyDescent="0.25">
      <c r="A29" s="133"/>
      <c r="B29" s="204" t="str">
        <v>Panel - SIP &gt;100mm, , Solaris Ridge® 0.5mm steel - 200mm  (Bondor)</v>
      </c>
      <c r="C29" s="132" t="str">
        <v>m²</v>
      </c>
      <c r="D29" s="198">
        <v>44.3</v>
      </c>
      <c r="E29" s="198">
        <v>2.207117437722419</v>
      </c>
      <c r="F29" s="198">
        <v>0</v>
      </c>
      <c r="G29" s="215">
        <v>0</v>
      </c>
      <c r="H29" s="131"/>
    </row>
    <row r="30" spans="1:8" x14ac:dyDescent="0.25">
      <c r="A30" s="133"/>
      <c r="B30" s="204" t="str">
        <v>Panel - SIP &gt;100mm, , Equideck® - 125mm  (Bondor)</v>
      </c>
      <c r="C30" s="132" t="str">
        <v>m²</v>
      </c>
      <c r="D30" s="198">
        <v>44.8</v>
      </c>
      <c r="E30" s="198">
        <v>3.642276422764227</v>
      </c>
      <c r="F30" s="198">
        <v>0</v>
      </c>
      <c r="G30" s="215">
        <v>0</v>
      </c>
      <c r="H30" s="131"/>
    </row>
    <row r="31" spans="1:8" x14ac:dyDescent="0.25">
      <c r="A31" s="133"/>
      <c r="B31" s="204" t="str">
        <v>Panel - SIP &gt;100mm, , Solaris Ridge® 0.6mm steel - 200mm  (Bondor)</v>
      </c>
      <c r="C31" s="132" t="str">
        <v>m²</v>
      </c>
      <c r="D31" s="198">
        <v>40.6</v>
      </c>
      <c r="E31" s="198">
        <v>1.5479302832244004</v>
      </c>
      <c r="F31" s="198">
        <v>0</v>
      </c>
      <c r="G31" s="215">
        <v>0</v>
      </c>
      <c r="H31" s="131"/>
    </row>
    <row r="32" spans="1:8" x14ac:dyDescent="0.25">
      <c r="A32" s="133"/>
      <c r="B32" s="204" t="str">
        <v>Panel - SIP &gt;100mm, , BondorPanel® 0.4mm steel – 200mm  (Bondor)</v>
      </c>
      <c r="C32" s="132" t="str">
        <v>m²</v>
      </c>
      <c r="D32" s="198">
        <v>50.3</v>
      </c>
      <c r="E32" s="198">
        <v>3.1325622775800697</v>
      </c>
      <c r="F32" s="198">
        <v>0</v>
      </c>
      <c r="G32" s="215">
        <v>0</v>
      </c>
      <c r="H32" s="131"/>
    </row>
    <row r="33" spans="1:8" x14ac:dyDescent="0.25">
      <c r="A33" s="133"/>
      <c r="B33" s="204" t="str">
        <v>Panel - SIP &gt;100mm, , SolarSpan® - 200mm  (Bondor)</v>
      </c>
      <c r="C33" s="132" t="str">
        <v>m²</v>
      </c>
      <c r="D33" s="198">
        <v>46.8</v>
      </c>
      <c r="E33" s="198">
        <v>3.6850393700787403</v>
      </c>
      <c r="F33" s="198">
        <v>0</v>
      </c>
      <c r="G33" s="215">
        <v>0</v>
      </c>
      <c r="H33" s="131"/>
    </row>
    <row r="34" spans="1:8" x14ac:dyDescent="0.25">
      <c r="A34" s="133"/>
      <c r="B34" s="204" t="str">
        <v>Panel - SIP &gt;100mm, , Solaris Corro® 0.5mm steel - 200mm  (Bondor)</v>
      </c>
      <c r="C34" s="132" t="str">
        <v>m²</v>
      </c>
      <c r="D34" s="198">
        <v>49.1</v>
      </c>
      <c r="E34" s="198">
        <v>3.5071428571428571</v>
      </c>
      <c r="F34" s="198">
        <v>0</v>
      </c>
      <c r="G34" s="215">
        <v>0</v>
      </c>
      <c r="H34" s="131"/>
    </row>
    <row r="35" spans="1:8" x14ac:dyDescent="0.25">
      <c r="A35" s="133"/>
      <c r="B35" s="204" t="str">
        <v>Panel - SIP &gt;100mm, , Solaris Corro® 0.6mm steel - 125mm  (Bondor)</v>
      </c>
      <c r="C35" s="132" t="str">
        <v>m²</v>
      </c>
      <c r="D35" s="198">
        <v>43.1</v>
      </c>
      <c r="E35" s="198">
        <v>3.4206349206349209</v>
      </c>
      <c r="F35" s="198">
        <v>0</v>
      </c>
      <c r="G35" s="215">
        <v>0</v>
      </c>
      <c r="H35" s="131"/>
    </row>
    <row r="36" spans="1:8" x14ac:dyDescent="0.25">
      <c r="A36" s="133"/>
      <c r="B36" s="204" t="str">
        <v>Panel - SIP &gt;100mm, , Solaris Corro® 0.6mm steel - 200mm  (Bondor)</v>
      </c>
      <c r="C36" s="132" t="str">
        <v>m²</v>
      </c>
      <c r="D36" s="198">
        <v>45.4</v>
      </c>
      <c r="E36" s="198">
        <v>3.3138686131386863</v>
      </c>
      <c r="F36" s="198">
        <v>0</v>
      </c>
      <c r="G36" s="215">
        <v>0</v>
      </c>
      <c r="H36" s="131"/>
    </row>
    <row r="37" spans="1:8" x14ac:dyDescent="0.25">
      <c r="A37" s="133"/>
      <c r="B37" s="204" t="str">
        <v>Panel - SIP &gt;100mm, , InsulRoof® - 125mm  (Bondor)</v>
      </c>
      <c r="C37" s="132" t="str">
        <v>m²</v>
      </c>
      <c r="D37" s="198">
        <v>46.4</v>
      </c>
      <c r="E37" s="198">
        <v>3.6825396825396823</v>
      </c>
      <c r="F37" s="198">
        <v>0</v>
      </c>
      <c r="G37" s="215">
        <v>0</v>
      </c>
      <c r="H37" s="131"/>
    </row>
    <row r="38" spans="1:8" x14ac:dyDescent="0.25">
      <c r="A38" s="133"/>
      <c r="B38" s="204" t="str">
        <v>Panel - SIP &gt;100mm, , Solaris Corro® 0.5mm steel - 125mm  (Bondor)</v>
      </c>
      <c r="C38" s="132" t="str">
        <v>m²</v>
      </c>
      <c r="D38" s="198">
        <v>46.9</v>
      </c>
      <c r="E38" s="198">
        <v>3.8130081300813004</v>
      </c>
      <c r="F38" s="198">
        <v>0</v>
      </c>
      <c r="G38" s="215">
        <v>0</v>
      </c>
      <c r="H38" s="131"/>
    </row>
    <row r="39" spans="1:8" x14ac:dyDescent="0.25">
      <c r="A39" s="133"/>
      <c r="B39" s="204" t="str">
        <v>Panel - SIP &gt;100mm, , BondorPanel® 0.4mm steel – 150mm  (Bondor)</v>
      </c>
      <c r="C39" s="132" t="str">
        <v>m²</v>
      </c>
      <c r="D39" s="198">
        <v>47.3</v>
      </c>
      <c r="E39" s="198">
        <v>3.2333984374999987</v>
      </c>
      <c r="F39" s="198">
        <v>0</v>
      </c>
      <c r="G39" s="215">
        <v>0</v>
      </c>
      <c r="H39" s="131"/>
    </row>
    <row r="40" spans="1:8" x14ac:dyDescent="0.25">
      <c r="A40" s="133"/>
      <c r="B40" s="204" t="str">
        <v>Panel - SIP &gt;100mm, , InsulRoof® - 200mm  (Bondor)</v>
      </c>
      <c r="C40" s="132" t="str">
        <v>m²</v>
      </c>
      <c r="D40" s="198">
        <v>48.5</v>
      </c>
      <c r="E40" s="198">
        <v>3.5401459854014599</v>
      </c>
      <c r="F40" s="198">
        <v>0</v>
      </c>
      <c r="G40" s="215">
        <v>0</v>
      </c>
      <c r="H40" s="131"/>
    </row>
    <row r="41" spans="1:8" x14ac:dyDescent="0.25">
      <c r="A41" s="133"/>
      <c r="B41" s="204" t="str">
        <v>Panel - SIP &gt;100mm, , BondorPanel® 0.6mm steel – 125mm  (Bondor)</v>
      </c>
      <c r="C41" s="132" t="str">
        <v>m²</v>
      </c>
      <c r="D41" s="198">
        <v>36.5</v>
      </c>
      <c r="E41" s="198">
        <v>2.7651515151515151</v>
      </c>
      <c r="F41" s="198">
        <v>0</v>
      </c>
      <c r="G41" s="215">
        <v>0</v>
      </c>
      <c r="H41" s="131"/>
    </row>
    <row r="42" spans="1:8" x14ac:dyDescent="0.25">
      <c r="A42" s="133"/>
      <c r="B42" s="204" t="str">
        <v>Panel - SIP &gt;100mm, , Equitilt® 0.7mm steel – 125mm  (Bondor)</v>
      </c>
      <c r="C42" s="132" t="str">
        <v>m²</v>
      </c>
      <c r="D42" s="198">
        <v>48.8</v>
      </c>
      <c r="E42" s="198">
        <v>3.6969696969696968</v>
      </c>
      <c r="F42" s="198">
        <v>0</v>
      </c>
      <c r="G42" s="215">
        <v>0</v>
      </c>
      <c r="H42" s="131"/>
    </row>
    <row r="43" spans="1:8" x14ac:dyDescent="0.25">
      <c r="A43" s="133"/>
      <c r="B43" s="204" t="str">
        <v>Panel - SIP &gt;100mm, , Solaris Ridge® 0.6mm steel - 125mm  (Bondor)</v>
      </c>
      <c r="C43" s="132" t="str">
        <v>m²</v>
      </c>
      <c r="D43" s="198">
        <v>37.799999999999997</v>
      </c>
      <c r="E43" s="198">
        <v>3.3409090909090904</v>
      </c>
      <c r="F43" s="198">
        <v>0</v>
      </c>
      <c r="G43" s="215">
        <v>0</v>
      </c>
      <c r="H43" s="131"/>
    </row>
    <row r="44" spans="1:8" x14ac:dyDescent="0.25">
      <c r="A44" s="133"/>
      <c r="B44" s="204" t="str">
        <v>Panel - SIP &gt;100mm, , Equitilt FlameGuard® 0.6mm steel - 150mm  (Bondor)</v>
      </c>
      <c r="C44" s="132" t="str">
        <v>m²</v>
      </c>
      <c r="D44" s="198">
        <v>65.900000000000006</v>
      </c>
      <c r="E44" s="198">
        <v>3.003255208333333</v>
      </c>
      <c r="F44" s="198">
        <v>0</v>
      </c>
      <c r="G44" s="215">
        <v>0</v>
      </c>
      <c r="H44" s="131"/>
    </row>
    <row r="45" spans="1:8" x14ac:dyDescent="0.25">
      <c r="A45" s="133"/>
      <c r="B45" s="204" t="str">
        <v>Panel - SIP &gt;100mm, , Solaris Ridge® 0.5mm steel - 125mm  (Bondor)</v>
      </c>
      <c r="C45" s="132" t="str">
        <v>m²</v>
      </c>
      <c r="D45" s="198">
        <v>41.6</v>
      </c>
      <c r="E45" s="198">
        <v>4.4121212121212121</v>
      </c>
      <c r="F45" s="198">
        <v>0</v>
      </c>
      <c r="G45" s="215">
        <v>0</v>
      </c>
      <c r="H45" s="131"/>
    </row>
    <row r="46" spans="1:8" x14ac:dyDescent="0.25">
      <c r="A46" s="133"/>
      <c r="B46" s="204" t="str">
        <v>Panel - SIP &gt;100mm, , Equitilt FlameGuard® 0.7mm steel - 150mm  (Bondor)</v>
      </c>
      <c r="C46" s="132" t="str">
        <v>m²</v>
      </c>
      <c r="D46" s="198">
        <v>69.7</v>
      </c>
      <c r="E46" s="198">
        <v>2.72265625</v>
      </c>
      <c r="F46" s="198">
        <v>0</v>
      </c>
      <c r="G46" s="215">
        <v>0</v>
      </c>
      <c r="H46" s="131"/>
    </row>
    <row r="47" spans="1:8" x14ac:dyDescent="0.25">
      <c r="A47" s="133"/>
      <c r="B47" s="204" t="str">
        <v>Panel - SIP &gt;100mm, , Equitilt® 0.6mm steel – 125mm  (Bondor)</v>
      </c>
      <c r="C47" s="132" t="str">
        <v>m²</v>
      </c>
      <c r="D47" s="198">
        <v>45</v>
      </c>
      <c r="E47" s="198">
        <v>3.4090909090909092</v>
      </c>
      <c r="F47" s="198">
        <v>0</v>
      </c>
      <c r="G47" s="215">
        <v>0</v>
      </c>
      <c r="H47" s="131"/>
    </row>
    <row r="48" spans="1:8" x14ac:dyDescent="0.25">
      <c r="A48" s="133"/>
      <c r="B48" s="204" t="str">
        <v>Panel - SIP &gt;100mm, , BondorPanel® 0.4mm steel – 125mm  (Bondor)</v>
      </c>
      <c r="C48" s="132" t="str">
        <v>m²</v>
      </c>
      <c r="D48" s="198">
        <v>45.8</v>
      </c>
      <c r="E48" s="198">
        <v>3.4696969696969688</v>
      </c>
      <c r="F48" s="198">
        <v>0</v>
      </c>
      <c r="G48" s="215">
        <v>0</v>
      </c>
      <c r="H48" s="131"/>
    </row>
    <row r="49" spans="1:8" x14ac:dyDescent="0.25">
      <c r="A49" s="133"/>
      <c r="B49" s="204" t="str">
        <v>Panel - SIP &gt;100mm, , SolarSpan® - 125mm  (Bondor)</v>
      </c>
      <c r="C49" s="132" t="str">
        <v>m²</v>
      </c>
      <c r="D49" s="198">
        <v>42.3</v>
      </c>
      <c r="E49" s="198">
        <v>3.646551724137931</v>
      </c>
      <c r="F49" s="198">
        <v>0</v>
      </c>
      <c r="G49" s="215">
        <v>0</v>
      </c>
      <c r="H49" s="131"/>
    </row>
    <row r="50" spans="1:8" x14ac:dyDescent="0.25">
      <c r="A50" s="133"/>
      <c r="B50" s="204" t="str">
        <v>Panel - SIP &gt;100mm, , KS1000RW Trapezoidal Wall Panel, 120mm thick  (Kingspan)</v>
      </c>
      <c r="C50" s="132" t="str">
        <v>m²</v>
      </c>
      <c r="D50" s="198">
        <v>55.8</v>
      </c>
      <c r="E50" s="198">
        <v>4.2595419847328246</v>
      </c>
      <c r="F50" s="198">
        <v>0</v>
      </c>
      <c r="G50" s="215">
        <v>0</v>
      </c>
      <c r="H50" s="131"/>
    </row>
    <row r="51" spans="1:8" x14ac:dyDescent="0.25">
      <c r="A51" s="133"/>
      <c r="B51" s="204" t="str">
        <v>Panel - SIP &gt;100mm, , KS1000RW Trapezoidal Roof Panel, 120mm thick  (Kingspan)</v>
      </c>
      <c r="C51" s="132" t="str">
        <v>m²</v>
      </c>
      <c r="D51" s="198">
        <v>55.8</v>
      </c>
      <c r="E51" s="198">
        <v>4.2595419847328246</v>
      </c>
      <c r="F51" s="198">
        <v>0</v>
      </c>
      <c r="G51" s="215">
        <v>0</v>
      </c>
      <c r="H51" s="131"/>
    </row>
    <row r="52" spans="1:8" x14ac:dyDescent="0.25">
      <c r="A52" s="133"/>
      <c r="B52" s="204" t="str">
        <v>Panel - SIP &gt;100mm, , KS1100/1200CS Coldstore Panel, 125mm thick  (Kingspan)</v>
      </c>
      <c r="C52" s="132" t="str">
        <v>m²</v>
      </c>
      <c r="D52" s="198">
        <v>61.8</v>
      </c>
      <c r="E52" s="198">
        <v>4.204081632653061</v>
      </c>
      <c r="F52" s="198">
        <v>0</v>
      </c>
      <c r="G52" s="215">
        <v>0</v>
      </c>
      <c r="H52" s="131"/>
    </row>
    <row r="53" spans="1:8" x14ac:dyDescent="0.25">
      <c r="A53" s="133"/>
      <c r="B53" s="204" t="str">
        <v>Panel - SIP &gt;100mm, , KS1100KP Karrier Wall Panel, 125mm thick  (Kingspan)</v>
      </c>
      <c r="C53" s="132" t="str">
        <v>m²</v>
      </c>
      <c r="D53" s="198">
        <v>62.4</v>
      </c>
      <c r="E53" s="198">
        <v>4.2448979591836737</v>
      </c>
      <c r="F53" s="198">
        <v>0</v>
      </c>
      <c r="G53" s="215">
        <v>0</v>
      </c>
      <c r="H53" s="131"/>
    </row>
    <row r="54" spans="1:8" x14ac:dyDescent="0.25">
      <c r="A54" s="133"/>
      <c r="B54" s="204" t="str">
        <v>Panel - SIP &gt;100mm, , KS1100/1200RL Roofliner Panel, 125mm thick  (Kingspan)</v>
      </c>
      <c r="C54" s="132" t="str">
        <v>m²</v>
      </c>
      <c r="D54" s="198">
        <v>62.5</v>
      </c>
      <c r="E54" s="198">
        <v>4.2517006802721093</v>
      </c>
      <c r="F54" s="198">
        <v>0</v>
      </c>
      <c r="G54" s="215">
        <v>0</v>
      </c>
      <c r="H54" s="131"/>
    </row>
    <row r="55" spans="1:8" x14ac:dyDescent="0.25">
      <c r="A55" s="133"/>
      <c r="B55" s="204" t="str">
        <v>Panel - SIP &gt;100mm, , Architectural Wall Panell, 140mm thick  (Kingspan)</v>
      </c>
      <c r="C55" s="132" t="str">
        <v>m²</v>
      </c>
      <c r="D55" s="198">
        <v>63.7</v>
      </c>
      <c r="E55" s="198">
        <v>4.5827338129496402</v>
      </c>
      <c r="F55" s="198">
        <v>0</v>
      </c>
      <c r="G55" s="215">
        <v>0</v>
      </c>
      <c r="H55" s="131"/>
    </row>
    <row r="56" spans="1:8" x14ac:dyDescent="0.25">
      <c r="A56" s="133"/>
      <c r="B56" s="204" t="str">
        <v>Panel - SIP &gt;100mm, , Evolution Panelised Facade, 140mm thick  (Kingspan)</v>
      </c>
      <c r="C56" s="132" t="str">
        <v>m²</v>
      </c>
      <c r="D56" s="198">
        <v>66.3</v>
      </c>
      <c r="E56" s="198">
        <v>4.7697841726618702</v>
      </c>
      <c r="F56" s="198">
        <v>0</v>
      </c>
      <c r="G56" s="215">
        <v>0</v>
      </c>
      <c r="H56" s="131"/>
    </row>
    <row r="57" spans="1:8" x14ac:dyDescent="0.25">
      <c r="A57" s="133"/>
      <c r="B57" s="204" t="str">
        <v>Panel - SIP &gt;100mm, , KS1100KP Karrier Wall Panel, 150mm thick  (Kingspan)</v>
      </c>
      <c r="C57" s="132" t="str">
        <v>m²</v>
      </c>
      <c r="D57" s="198">
        <v>69.3</v>
      </c>
      <c r="E57" s="198">
        <v>4.4709677419354836</v>
      </c>
      <c r="F57" s="198">
        <v>0</v>
      </c>
      <c r="G57" s="215">
        <v>0</v>
      </c>
      <c r="H57" s="131"/>
    </row>
    <row r="58" spans="1:8" x14ac:dyDescent="0.25">
      <c r="A58" s="133"/>
      <c r="B58" s="204" t="str">
        <v>Panel - SIP &gt;100mm, , KS1100/1200RL Roofliner Panel, 150mm thick  (Kingspan)</v>
      </c>
      <c r="C58" s="132" t="str">
        <v>m²</v>
      </c>
      <c r="D58" s="198">
        <v>69.400000000000006</v>
      </c>
      <c r="E58" s="198">
        <v>4.4774193548387098</v>
      </c>
      <c r="F58" s="198">
        <v>0</v>
      </c>
      <c r="G58" s="215">
        <v>0</v>
      </c>
      <c r="H58" s="131"/>
    </row>
    <row r="59" spans="1:8" x14ac:dyDescent="0.25">
      <c r="A59" s="133"/>
      <c r="B59" s="204" t="str">
        <v>Panel - SIP &gt;100mm, , KS1100/1200RL Roofliner Panel, 200mm thick  (Kingspan)</v>
      </c>
      <c r="C59" s="132" t="str">
        <v>m²</v>
      </c>
      <c r="D59" s="198">
        <v>82.6</v>
      </c>
      <c r="E59" s="198">
        <v>4.7471264367816088</v>
      </c>
      <c r="F59" s="198">
        <v>0</v>
      </c>
      <c r="G59" s="215">
        <v>0</v>
      </c>
      <c r="H59" s="131"/>
    </row>
    <row r="60" spans="1:8" x14ac:dyDescent="0.25">
      <c r="A60" s="133"/>
      <c r="B60" s="204" t="str">
        <v>Panel - SIP &gt;100mm, , KS1100KP Karrier Wall Panel, 200mm thick  (Kingspan)</v>
      </c>
      <c r="C60" s="132" t="str">
        <v>m²</v>
      </c>
      <c r="D60" s="198">
        <v>82.5</v>
      </c>
      <c r="E60" s="198">
        <v>4.7413793103448283</v>
      </c>
      <c r="F60" s="198">
        <v>0</v>
      </c>
      <c r="G60" s="215">
        <v>0</v>
      </c>
      <c r="H60" s="131"/>
    </row>
    <row r="61" spans="1:8" x14ac:dyDescent="0.25">
      <c r="A61" s="133"/>
      <c r="B61" s="204" t="str">
        <v>Panel - SIP &gt;100mm, , KS1100/1200CS Coldstore Panel, 150mm thick  (Kingspan)</v>
      </c>
      <c r="C61" s="132" t="str">
        <v>m²</v>
      </c>
      <c r="D61" s="198">
        <v>68.400000000000006</v>
      </c>
      <c r="E61" s="198">
        <v>4.4129032258064518</v>
      </c>
      <c r="F61" s="198">
        <v>0</v>
      </c>
      <c r="G61" s="215">
        <v>0</v>
      </c>
      <c r="H61" s="131"/>
    </row>
    <row r="62" spans="1:8" x14ac:dyDescent="0.25">
      <c r="A62" s="133"/>
      <c r="B62" s="204" t="str">
        <v>Panel - SIP &gt;100mm, , MetecnoPanel® 200mm  (Metecno Pty Ltd t/a MetecnoPIR)</v>
      </c>
      <c r="C62" s="132" t="str">
        <v>m²</v>
      </c>
      <c r="D62" s="198">
        <v>84.753399999999999</v>
      </c>
      <c r="E62" s="198">
        <v>4.8708850574712645</v>
      </c>
      <c r="F62" s="198">
        <v>0</v>
      </c>
      <c r="G62" s="215">
        <v>0</v>
      </c>
      <c r="H62" s="131"/>
    </row>
    <row r="63" spans="1:8" x14ac:dyDescent="0.25">
      <c r="A63" s="133"/>
      <c r="B63" s="204" t="str">
        <v>Panel - SIP &gt;100mm, , MetecnoPanel® 150mm  (Metecno Pty Ltd t/a MetecnoPIR)</v>
      </c>
      <c r="C63" s="132" t="str">
        <v>m²</v>
      </c>
      <c r="D63" s="198">
        <v>70.640499999999989</v>
      </c>
      <c r="E63" s="198">
        <v>4.5574516129032254</v>
      </c>
      <c r="F63" s="198">
        <v>0</v>
      </c>
      <c r="G63" s="215">
        <v>0</v>
      </c>
      <c r="H63" s="131"/>
    </row>
    <row r="64" spans="1:8" x14ac:dyDescent="0.25">
      <c r="A64" s="133"/>
      <c r="B64" s="204" t="str">
        <v>Panel - SIP &gt;100mm, , MetecnoPanel® 125mm  (Metecno Pty Ltd t/a MetecnoPIR)</v>
      </c>
      <c r="C64" s="132" t="str">
        <v>m²</v>
      </c>
      <c r="D64" s="198">
        <v>62.933900000000001</v>
      </c>
      <c r="E64" s="198">
        <v>4.2812176870748306</v>
      </c>
      <c r="F64" s="198">
        <v>0</v>
      </c>
      <c r="G64" s="215">
        <v>0</v>
      </c>
      <c r="H64" s="131"/>
    </row>
    <row r="65" spans="1:8" x14ac:dyDescent="0.25">
      <c r="A65" s="133"/>
      <c r="B65" s="217" t="str">
        <v>Panel - SIP &gt;100mm, , KS1100/1200CS Coldstore Panel, 200mm thick  (Kingspan)</v>
      </c>
      <c r="C65" s="218" t="str">
        <v>m²</v>
      </c>
      <c r="D65" s="219">
        <v>81.599999999999994</v>
      </c>
      <c r="E65" s="219">
        <v>4.6896551724137936</v>
      </c>
      <c r="F65" s="219">
        <v>0</v>
      </c>
      <c r="G65" s="220">
        <v>0</v>
      </c>
      <c r="H65" s="131"/>
    </row>
    <row r="66" spans="1:8" x14ac:dyDescent="0.25">
      <c r="B66" s="130"/>
      <c r="C66" s="130"/>
      <c r="D66" s="207"/>
      <c r="E66" s="207"/>
      <c r="F66" s="207"/>
      <c r="G66" s="207"/>
    </row>
    <row r="90" spans="9:9" x14ac:dyDescent="0.25">
      <c r="I90" s="198"/>
    </row>
  </sheetData>
  <dataValidations count="1">
    <dataValidation type="list" allowBlank="1" showInputMessage="1" showErrorMessage="1" sqref="B6:B9" xr:uid="{2E7C6539-6BCA-42AA-9E9D-DD23C08626FE}">
      <formula1>"Tier 1,Tier 2,Tier 3,Tier 4"</formula1>
    </dataValidation>
  </dataValidations>
  <pageMargins left="0.7" right="0.7" top="0.75" bottom="0.75" header="0.3" footer="0.3"/>
  <pageSetup paperSize="9"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B9D42-BDEB-4342-B9A8-E23FE61BDC7C}">
  <sheetPr codeName="Sheet91">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Pavers ceramic</v>
      </c>
    </row>
    <row r="2" spans="1:8" ht="13" x14ac:dyDescent="0.25">
      <c r="A2" s="202"/>
      <c r="C2" s="202"/>
    </row>
    <row r="3" spans="1:8" ht="13" x14ac:dyDescent="0.3">
      <c r="A3" s="227" t="s">
        <v>5626</v>
      </c>
      <c r="B3" s="132" t="s">
        <v>5881</v>
      </c>
    </row>
    <row r="4" spans="1:8" ht="13" x14ac:dyDescent="0.25">
      <c r="A4" s="202"/>
    </row>
    <row r="5" spans="1:8" ht="92.25" customHeight="1" x14ac:dyDescent="0.3">
      <c r="A5" s="227" t="s">
        <v>5628</v>
      </c>
      <c r="B5" s="200" t="s">
        <v>5882</v>
      </c>
      <c r="D5" s="200"/>
      <c r="E5" s="271"/>
    </row>
    <row r="6" spans="1:8" ht="13" x14ac:dyDescent="0.3">
      <c r="A6" s="227" t="s">
        <v>5630</v>
      </c>
      <c r="B6" s="201" t="s">
        <v>73</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4540</v>
      </c>
      <c r="C16" s="311" t="s">
        <v>24</v>
      </c>
      <c r="D16" s="208" t="s">
        <v>146</v>
      </c>
      <c r="E16" s="209" t="s">
        <v>153</v>
      </c>
      <c r="F16" s="208" t="s">
        <v>147</v>
      </c>
      <c r="G16" s="208" t="s">
        <v>154</v>
      </c>
      <c r="H16" s="131"/>
    </row>
    <row r="17" spans="1:9" ht="13" x14ac:dyDescent="0.3">
      <c r="A17" s="133"/>
      <c r="B17" s="317"/>
      <c r="C17" s="206" t="s">
        <v>5636</v>
      </c>
      <c r="D17" s="207" t="str" cm="1">
        <f t="array" ref="D17">IF(AND(_xlfn.ANCHORARRAY(C23)=C23),C23,"Mixed")</f>
        <v>kg</v>
      </c>
      <c r="E17" s="207" t="s">
        <v>2774</v>
      </c>
      <c r="F17" s="207" t="str" cm="1">
        <f t="array" ref="F17">IF(AND(_xlfn.ANCHORARRAY(C23)=C23),C23,"Mixed")</f>
        <v>kg</v>
      </c>
      <c r="G17" s="318" t="s">
        <v>2774</v>
      </c>
      <c r="H17" s="131"/>
    </row>
    <row r="18" spans="1:9" s="200" customFormat="1" ht="13" x14ac:dyDescent="0.3">
      <c r="A18" s="221"/>
      <c r="B18" s="214"/>
      <c r="C18" s="202" t="s">
        <v>5637</v>
      </c>
      <c r="D18" s="198">
        <f>MAX(_xlfn.ANCHORARRAY(D23))</f>
        <v>0.81991020408163273</v>
      </c>
      <c r="E18" s="198">
        <f t="shared" ref="E18:G18" si="0">MAX(_xlfn.ANCHORARRAY(E23))</f>
        <v>0.81991020408163273</v>
      </c>
      <c r="F18" s="198">
        <f t="shared" si="0"/>
        <v>0</v>
      </c>
      <c r="G18" s="215">
        <f t="shared" si="0"/>
        <v>0</v>
      </c>
      <c r="H18" s="131"/>
      <c r="I18" s="132"/>
    </row>
    <row r="19" spans="1:9" ht="13" x14ac:dyDescent="0.25">
      <c r="A19" s="133"/>
      <c r="B19" s="204"/>
      <c r="C19" s="202" t="s">
        <v>5638</v>
      </c>
      <c r="D19" s="198">
        <f>MIN(_xlfn.ANCHORARRAY(D23))</f>
        <v>0.30824699999999999</v>
      </c>
      <c r="E19" s="198">
        <f t="shared" ref="E19:G19" si="1">MIN(_xlfn.ANCHORARRAY(E23))</f>
        <v>0.30824699999999999</v>
      </c>
      <c r="F19" s="198">
        <f t="shared" si="1"/>
        <v>0</v>
      </c>
      <c r="G19" s="215">
        <f t="shared" si="1"/>
        <v>0</v>
      </c>
      <c r="H19" s="131"/>
    </row>
    <row r="20" spans="1:9" ht="13" x14ac:dyDescent="0.25">
      <c r="A20" s="133"/>
      <c r="B20" s="204"/>
      <c r="C20" s="202" t="s">
        <v>5639</v>
      </c>
      <c r="D20" s="198">
        <f>AVERAGE(_xlfn.ANCHORARRAY(D23))</f>
        <v>0.54785209093012899</v>
      </c>
      <c r="E20" s="198">
        <f t="shared" ref="E20:G20" si="2">AVERAGE(_xlfn.ANCHORARRAY(E23))</f>
        <v>0.54785209093012899</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6">_xlfn.UNIQUE(_xlfn._xlws.FILTER('EPD List'!D:D,ISNUMBER(SEARCH(B16,'EPD List'!C:C)),0))</f>
        <v>Ceramic tiles, , Ceramic Facade Tile Products (Xiamen Togen Building Products Co.,Ltd) (Global)</v>
      </c>
      <c r="C23" s="132" t="str" cm="1">
        <f t="array" ref="C23:C26">_xlfn.IFNA(INDEX('EPD List'!$A:$AB,MATCH(_xlfn.ANCHORARRAY(B23),'EPD List'!$D:$D,0),MATCH(C$16,'EPD List'!$7:$7,0)),"")</f>
        <v>kg</v>
      </c>
      <c r="D23" s="198" cm="1">
        <f t="array" ref="D23:D26">_xlfn.IFNA(VALUE((INDEX('EPD List'!$A:$AD,MATCH(_xlfn.ANCHORARRAY($B23),'EPD List'!$D:$D,0),MATCH(D$16,'EPD List'!$7:$7,0)))),"")</f>
        <v>0.30824699999999999</v>
      </c>
      <c r="E23" s="198" cm="1">
        <f t="array" ref="E23:E26">IFERROR(VALUE((INDEX('EPD List'!$A:$AD,MATCH(_xlfn.ANCHORARRAY($B23),'EPD List'!$D:$D,0),MATCH(E$16,'EPD List'!$7:$7,0)))),"")</f>
        <v>0.30824699999999999</v>
      </c>
      <c r="F23" s="198" cm="1">
        <f t="array" ref="F23:F26">_xlfn.IFNA(VALUE((INDEX('EPD List'!$A:$AD,MATCH(_xlfn.ANCHORARRAY($B23),'EPD List'!$D:$D,0),MATCH(F$16,'EPD List'!$7:$7,0)))),"")</f>
        <v>0</v>
      </c>
      <c r="G23" s="215" cm="1">
        <f t="array" ref="G23:G26">IFERROR(VALUE((INDEX('EPD List'!$A:$AD,MATCH(_xlfn.ANCHORARRAY($B23),'EPD List'!$D:$D,0),MATCH(G$16,'EPD List'!$7:$7,0)))),"")</f>
        <v>0</v>
      </c>
      <c r="H23" s="131"/>
    </row>
    <row r="24" spans="1:9" x14ac:dyDescent="0.25">
      <c r="A24" s="133"/>
      <c r="B24" s="204" t="str">
        <v>Ceramic tiles, , Ceramic tiles for exterior and interior floor and wall coverings (Exa) (Global)</v>
      </c>
      <c r="C24" s="132" t="str">
        <v>kg</v>
      </c>
      <c r="D24" s="198">
        <v>0.81991020408163273</v>
      </c>
      <c r="E24" s="198">
        <v>0.81991020408163273</v>
      </c>
      <c r="F24" s="198">
        <v>0</v>
      </c>
      <c r="G24" s="215">
        <v>0</v>
      </c>
      <c r="H24" s="131"/>
    </row>
    <row r="25" spans="1:9" x14ac:dyDescent="0.25">
      <c r="A25" s="133"/>
      <c r="B25" s="204" t="str">
        <v>Ceramic tiles, , Porcelain Stone ware tiles (Saloni) (Global)</v>
      </c>
      <c r="C25" s="132" t="str">
        <v>kg</v>
      </c>
      <c r="D25" s="198">
        <v>0.45938642533936647</v>
      </c>
      <c r="E25" s="198">
        <v>0.45938642533936647</v>
      </c>
      <c r="F25" s="198">
        <v>0</v>
      </c>
      <c r="G25" s="215">
        <v>0</v>
      </c>
      <c r="H25" s="131"/>
    </row>
    <row r="26" spans="1:9" x14ac:dyDescent="0.25">
      <c r="A26" s="133"/>
      <c r="B26" s="217" t="str">
        <v>Ceramic tiles, , Spanish Ceramic Tiles (Ascer Spanish Ceramic Tile Manufacturers' Association) (Global)</v>
      </c>
      <c r="C26" s="218" t="str">
        <v>kg</v>
      </c>
      <c r="D26" s="219">
        <v>0.60386473429951693</v>
      </c>
      <c r="E26" s="219">
        <v>0.60386473429951693</v>
      </c>
      <c r="F26" s="219">
        <v>0</v>
      </c>
      <c r="G26" s="220">
        <v>0</v>
      </c>
      <c r="H26" s="131"/>
    </row>
    <row r="27" spans="1:9" x14ac:dyDescent="0.25">
      <c r="B27" s="130"/>
      <c r="C27" s="130"/>
      <c r="D27" s="207"/>
      <c r="E27" s="207"/>
      <c r="F27" s="207"/>
      <c r="G27" s="207"/>
    </row>
    <row r="90" spans="9:9" x14ac:dyDescent="0.25">
      <c r="I90" s="198"/>
    </row>
  </sheetData>
  <dataValidations count="1">
    <dataValidation type="list" allowBlank="1" showInputMessage="1" showErrorMessage="1" sqref="B6:B9" xr:uid="{70B9FDBC-06D5-4453-8446-84236AD31156}">
      <formula1>"Tier 1,Tier 2,Tier 3,Tier 4"</formula1>
    </dataValidation>
  </dataValidation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CCCCB-E21E-4F1C-9109-297D69F47410}">
  <sheetPr codeName="Sheet92">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Stone</v>
      </c>
    </row>
    <row r="2" spans="1:8" ht="13" x14ac:dyDescent="0.25">
      <c r="A2" s="202"/>
      <c r="C2" s="202"/>
    </row>
    <row r="3" spans="1:8" ht="13" x14ac:dyDescent="0.3">
      <c r="A3" s="227" t="s">
        <v>5626</v>
      </c>
      <c r="B3" s="132" t="s">
        <v>5883</v>
      </c>
    </row>
    <row r="4" spans="1:8" ht="13" x14ac:dyDescent="0.25">
      <c r="A4" s="202"/>
    </row>
    <row r="5" spans="1:8" ht="92.25" customHeight="1" x14ac:dyDescent="0.3">
      <c r="A5" s="227" t="s">
        <v>5628</v>
      </c>
      <c r="B5" s="200" t="s">
        <v>5884</v>
      </c>
      <c r="D5" s="200"/>
      <c r="E5" s="271"/>
    </row>
    <row r="6" spans="1:8" ht="13" x14ac:dyDescent="0.3">
      <c r="A6" s="227" t="s">
        <v>5630</v>
      </c>
      <c r="B6" s="201" t="s">
        <v>73</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5172</v>
      </c>
      <c r="C16" s="316" t="s">
        <v>24</v>
      </c>
      <c r="D16" s="314" t="s">
        <v>146</v>
      </c>
      <c r="E16" s="315" t="s">
        <v>153</v>
      </c>
      <c r="F16" s="314" t="s">
        <v>147</v>
      </c>
      <c r="G16" s="314" t="s">
        <v>154</v>
      </c>
      <c r="H16" s="131"/>
    </row>
    <row r="17" spans="1:9" ht="13" x14ac:dyDescent="0.3">
      <c r="A17" s="133"/>
      <c r="B17" s="211"/>
      <c r="C17" s="212" t="s">
        <v>5636</v>
      </c>
      <c r="D17" s="196" t="str" cm="1">
        <f t="array" ref="D17">IF(AND(_xlfn.ANCHORARRAY(C23)=C23),C23,"Mixed")</f>
        <v>tonne</v>
      </c>
      <c r="E17" s="196" t="s">
        <v>2774</v>
      </c>
      <c r="F17" s="196" t="str" cm="1">
        <f t="array" ref="F17">IF(AND(_xlfn.ANCHORARRAY(C23)=C23),C23,"Mixed")</f>
        <v>tonne</v>
      </c>
      <c r="G17" s="213" t="s">
        <v>2774</v>
      </c>
      <c r="H17" s="131"/>
    </row>
    <row r="18" spans="1:9" s="200" customFormat="1" ht="13" x14ac:dyDescent="0.3">
      <c r="A18" s="221"/>
      <c r="B18" s="214"/>
      <c r="C18" s="202" t="s">
        <v>5637</v>
      </c>
      <c r="D18" s="198">
        <f>MAX(_xlfn.ANCHORARRAY(D23))</f>
        <v>451.85185185185185</v>
      </c>
      <c r="E18" s="198">
        <f t="shared" ref="E18:G18" si="0">MAX(_xlfn.ANCHORARRAY(E23))</f>
        <v>0.45185185185185184</v>
      </c>
      <c r="F18" s="198">
        <f t="shared" si="0"/>
        <v>0</v>
      </c>
      <c r="G18" s="215">
        <f t="shared" si="0"/>
        <v>0</v>
      </c>
      <c r="H18" s="131"/>
      <c r="I18" s="132"/>
    </row>
    <row r="19" spans="1:9" ht="13" x14ac:dyDescent="0.25">
      <c r="A19" s="133"/>
      <c r="B19" s="204"/>
      <c r="C19" s="202" t="s">
        <v>5638</v>
      </c>
      <c r="D19" s="198">
        <f>MIN(_xlfn.ANCHORARRAY(D23))</f>
        <v>67.104439999999997</v>
      </c>
      <c r="E19" s="198">
        <f t="shared" ref="E19:G19" si="1">MIN(_xlfn.ANCHORARRAY(E23))</f>
        <v>6.7104439999999987E-2</v>
      </c>
      <c r="F19" s="198">
        <f t="shared" si="1"/>
        <v>0</v>
      </c>
      <c r="G19" s="215">
        <f t="shared" si="1"/>
        <v>0</v>
      </c>
      <c r="H19" s="131"/>
    </row>
    <row r="20" spans="1:9" ht="13" x14ac:dyDescent="0.25">
      <c r="A20" s="133"/>
      <c r="B20" s="204"/>
      <c r="C20" s="202" t="s">
        <v>5639</v>
      </c>
      <c r="D20" s="198">
        <f>AVERAGE(_xlfn.ANCHORARRAY(D23))</f>
        <v>238.98309387205384</v>
      </c>
      <c r="E20" s="198">
        <f t="shared" ref="E20:G20" si="2">AVERAGE(_xlfn.ANCHORARRAY(E23))</f>
        <v>0.23898309387205385</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33">_xlfn.UNIQUE(_xlfn._xlws.FILTER('EPD List'!D:D,ISNUMBER(SEARCH(B16,'EPD List'!C:C)),0))</f>
        <v>Stone, , Natural stone products of granite and limestone (flamed or bush hammered granite slab) (Naturestens) (Global)</v>
      </c>
      <c r="C23" s="132" t="str" cm="1">
        <f t="array" ref="C23:C33">_xlfn.IFNA(INDEX('EPD List'!$A:$AB,MATCH(_xlfn.ANCHORARRAY(B23),'EPD List'!$D:$D,0),MATCH(C$16,'EPD List'!$7:$7,0)),"")</f>
        <v>tonne</v>
      </c>
      <c r="D23" s="198" cm="1">
        <f t="array" ref="D23:D33">_xlfn.IFNA(VALUE((INDEX('EPD List'!$A:$AD,MATCH(_xlfn.ANCHORARRAY($B23),'EPD List'!$D:$D,0),MATCH(D$16,'EPD List'!$7:$7,0)))),"")</f>
        <v>92.021000000000001</v>
      </c>
      <c r="E23" s="198" cm="1">
        <f t="array" ref="E23:E33">IFERROR(VALUE((INDEX('EPD List'!$A:$AD,MATCH(_xlfn.ANCHORARRAY($B23),'EPD List'!$D:$D,0),MATCH(E$16,'EPD List'!$7:$7,0)))),"")</f>
        <v>9.2021000000000006E-2</v>
      </c>
      <c r="F23" s="198" cm="1">
        <f t="array" ref="F23:F33">_xlfn.IFNA(VALUE((INDEX('EPD List'!$A:$AD,MATCH(_xlfn.ANCHORARRAY($B23),'EPD List'!$D:$D,0),MATCH(F$16,'EPD List'!$7:$7,0)))),"")</f>
        <v>0</v>
      </c>
      <c r="G23" s="215" cm="1">
        <f t="array" ref="G23:G33">IFERROR(VALUE((INDEX('EPD List'!$A:$AD,MATCH(_xlfn.ANCHORARRAY($B23),'EPD List'!$D:$D,0),MATCH(G$16,'EPD List'!$7:$7,0)))),"")</f>
        <v>0</v>
      </c>
      <c r="H23" s="131"/>
    </row>
    <row r="24" spans="1:9" x14ac:dyDescent="0.25">
      <c r="A24" s="133"/>
      <c r="B24" s="204" t="str">
        <v>Stone, , Natural stone products of granite and limestone (split surface granite walls) (Naturestens) (Global)</v>
      </c>
      <c r="C24" s="132" t="str">
        <v>tonne</v>
      </c>
      <c r="D24" s="198">
        <v>77.209000000000003</v>
      </c>
      <c r="E24" s="198">
        <v>7.7209E-2</v>
      </c>
      <c r="F24" s="198">
        <v>0</v>
      </c>
      <c r="G24" s="215">
        <v>0</v>
      </c>
      <c r="H24" s="131"/>
    </row>
    <row r="25" spans="1:9" x14ac:dyDescent="0.25">
      <c r="A25" s="133"/>
      <c r="B25" s="204" t="str">
        <v>Stone, , Natural stone 10 mm (Silkarstone) (Global)</v>
      </c>
      <c r="C25" s="132" t="str">
        <v>tonne</v>
      </c>
      <c r="D25" s="198">
        <v>451.85185185185185</v>
      </c>
      <c r="E25" s="198">
        <v>0.45185185185185184</v>
      </c>
      <c r="F25" s="198">
        <v>0</v>
      </c>
      <c r="G25" s="215">
        <v>0</v>
      </c>
      <c r="H25" s="131"/>
    </row>
    <row r="26" spans="1:9" x14ac:dyDescent="0.25">
      <c r="A26" s="133"/>
      <c r="B26" s="204" t="str">
        <v>Stone, , Natural stone 20 mm  (Silkarstone) (Global)</v>
      </c>
      <c r="C26" s="132" t="str">
        <v>tonne</v>
      </c>
      <c r="D26" s="198">
        <v>416.66666666666669</v>
      </c>
      <c r="E26" s="198">
        <v>0.41666666666666669</v>
      </c>
      <c r="F26" s="198">
        <v>0</v>
      </c>
      <c r="G26" s="215">
        <v>0</v>
      </c>
      <c r="H26" s="131"/>
    </row>
    <row r="27" spans="1:9" x14ac:dyDescent="0.25">
      <c r="A27" s="133"/>
      <c r="B27" s="204" t="str">
        <v>Stone, , Natural stone 30 mm (Silkarstone) (Global)</v>
      </c>
      <c r="C27" s="132" t="str">
        <v>tonne</v>
      </c>
      <c r="D27" s="198">
        <v>403.70370370370375</v>
      </c>
      <c r="E27" s="198">
        <v>0.40370370370370373</v>
      </c>
      <c r="F27" s="198">
        <v>0</v>
      </c>
      <c r="G27" s="215">
        <v>0</v>
      </c>
      <c r="H27" s="131"/>
    </row>
    <row r="28" spans="1:9" x14ac:dyDescent="0.25">
      <c r="A28" s="133"/>
      <c r="B28" s="204" t="str">
        <v>Stone, , Natural stone 40 mm (Silkarstone) (Global)</v>
      </c>
      <c r="C28" s="132" t="str">
        <v>tonne</v>
      </c>
      <c r="D28" s="198">
        <v>399.07407407407408</v>
      </c>
      <c r="E28" s="198">
        <v>0.39907407407407408</v>
      </c>
      <c r="F28" s="198">
        <v>0</v>
      </c>
      <c r="G28" s="215">
        <v>0</v>
      </c>
      <c r="H28" s="131"/>
    </row>
    <row r="29" spans="1:9" x14ac:dyDescent="0.25">
      <c r="A29" s="133"/>
      <c r="B29" s="204" t="str">
        <v>Stone, , Natural stone 50 mm (Silkarstone) (Global)</v>
      </c>
      <c r="C29" s="132" t="str">
        <v>tonne</v>
      </c>
      <c r="D29" s="198">
        <v>396.2962962962963</v>
      </c>
      <c r="E29" s="198">
        <v>0.39629629629629631</v>
      </c>
      <c r="F29" s="198">
        <v>0</v>
      </c>
      <c r="G29" s="215">
        <v>0</v>
      </c>
      <c r="H29" s="131"/>
    </row>
    <row r="30" spans="1:9" x14ac:dyDescent="0.25">
      <c r="A30" s="133"/>
      <c r="B30" s="204" t="str">
        <v>Stone, , Natural stone products of granite and limestone (pacing stone granite) (Naturestens) (Global)</v>
      </c>
      <c r="C30" s="132" t="str">
        <v>tonne</v>
      </c>
      <c r="D30" s="198">
        <v>75.727000000000004</v>
      </c>
      <c r="E30" s="198">
        <v>7.5726999999999989E-2</v>
      </c>
      <c r="F30" s="198">
        <v>0</v>
      </c>
      <c r="G30" s="215">
        <v>0</v>
      </c>
      <c r="H30" s="131"/>
    </row>
    <row r="31" spans="1:9" x14ac:dyDescent="0.25">
      <c r="A31" s="133"/>
      <c r="B31" s="204" t="str">
        <v>Stone, , Natural stone products of granite and limestone (flamed or planed limestone slab) (Naturestens) (Global)</v>
      </c>
      <c r="C31" s="132" t="str">
        <v>tonne</v>
      </c>
      <c r="D31" s="198">
        <v>119.68</v>
      </c>
      <c r="E31" s="198">
        <v>0.11967999999999999</v>
      </c>
      <c r="F31" s="198">
        <v>0</v>
      </c>
      <c r="G31" s="215">
        <v>0</v>
      </c>
      <c r="H31" s="131"/>
    </row>
    <row r="32" spans="1:9" x14ac:dyDescent="0.25">
      <c r="A32" s="133"/>
      <c r="B32" s="204" t="str">
        <v>Stone, , Natural stone products of granite and limestone (limestone floor tile) (Naturestens) (Global)</v>
      </c>
      <c r="C32" s="132" t="str">
        <v>tonne</v>
      </c>
      <c r="D32" s="198">
        <v>129.47999999999999</v>
      </c>
      <c r="E32" s="198">
        <v>0.12948000000000001</v>
      </c>
      <c r="F32" s="198">
        <v>0</v>
      </c>
      <c r="G32" s="215">
        <v>0</v>
      </c>
      <c r="H32" s="131"/>
    </row>
    <row r="33" spans="1:8" x14ac:dyDescent="0.25">
      <c r="A33" s="133"/>
      <c r="B33" s="217" t="str">
        <v>Stone, , Quarries Sandstone Products (Gosford) (Australia)</v>
      </c>
      <c r="C33" s="218" t="str">
        <v>tonne</v>
      </c>
      <c r="D33" s="219">
        <v>67.104439999999997</v>
      </c>
      <c r="E33" s="219">
        <v>6.7104439999999987E-2</v>
      </c>
      <c r="F33" s="219">
        <v>0</v>
      </c>
      <c r="G33" s="220">
        <v>0</v>
      </c>
      <c r="H33" s="131"/>
    </row>
    <row r="34" spans="1:8" x14ac:dyDescent="0.25">
      <c r="B34" s="130"/>
      <c r="C34" s="130"/>
      <c r="D34" s="207"/>
      <c r="E34" s="207"/>
      <c r="F34" s="207"/>
      <c r="G34" s="207"/>
    </row>
    <row r="90" spans="9:9" x14ac:dyDescent="0.25">
      <c r="I90" s="198"/>
    </row>
  </sheetData>
  <dataValidations count="1">
    <dataValidation type="list" allowBlank="1" showInputMessage="1" showErrorMessage="1" sqref="B6:B9" xr:uid="{332B6584-6164-48B1-A2CD-E2DB75E50A26}">
      <formula1>"Tier 1,Tier 2,Tier 3,Tier 4"</formula1>
    </dataValidation>
  </dataValidations>
  <pageMargins left="0.7" right="0.7" top="0.75" bottom="0.75" header="0.3" footer="0.3"/>
  <pageSetup paperSize="9"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77DE8-B2F1-4FCF-B851-3E7CCE1C99AC}">
  <sheetPr codeName="Sheet37">
    <tabColor rgb="FF00CCFF"/>
  </sheetPr>
  <dimension ref="A1:I50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16384" width="9.1796875" style="132"/>
  </cols>
  <sheetData>
    <row r="1" spans="1:9" ht="13" x14ac:dyDescent="0.25">
      <c r="A1" s="202" t="str">
        <f>B16</f>
        <v>Plasterboard</v>
      </c>
    </row>
    <row r="2" spans="1:9" ht="13" x14ac:dyDescent="0.25">
      <c r="A2" s="202"/>
      <c r="C2" s="202"/>
    </row>
    <row r="3" spans="1:9" ht="13" x14ac:dyDescent="0.3">
      <c r="A3" s="227" t="s">
        <v>5626</v>
      </c>
      <c r="B3" s="132" t="s">
        <v>5885</v>
      </c>
    </row>
    <row r="4" spans="1:9" ht="13" x14ac:dyDescent="0.25">
      <c r="A4" s="202"/>
    </row>
    <row r="5" spans="1:9" ht="73.5" customHeight="1" x14ac:dyDescent="0.3">
      <c r="A5" s="227" t="s">
        <v>5628</v>
      </c>
      <c r="B5" s="200" t="s">
        <v>5886</v>
      </c>
    </row>
    <row r="6" spans="1:9" ht="13" x14ac:dyDescent="0.3">
      <c r="A6" s="227" t="s">
        <v>5630</v>
      </c>
      <c r="B6" s="132" t="s">
        <v>72</v>
      </c>
      <c r="D6" s="271"/>
    </row>
    <row r="7" spans="1:9" ht="13" x14ac:dyDescent="0.3">
      <c r="A7" s="227" t="s">
        <v>5631</v>
      </c>
      <c r="B7" s="201" t="s">
        <v>71</v>
      </c>
    </row>
    <row r="8" spans="1:9" ht="13" x14ac:dyDescent="0.3">
      <c r="A8" s="227" t="s">
        <v>5632</v>
      </c>
      <c r="B8" s="201" t="s">
        <v>74</v>
      </c>
    </row>
    <row r="9" spans="1:9" ht="13" x14ac:dyDescent="0.3">
      <c r="A9" s="227" t="s">
        <v>5633</v>
      </c>
      <c r="B9" s="202" t="s">
        <v>74</v>
      </c>
    </row>
    <row r="10" spans="1:9" ht="13" x14ac:dyDescent="0.3">
      <c r="A10" s="227"/>
      <c r="B10" s="202"/>
    </row>
    <row r="11" spans="1:9" ht="13" x14ac:dyDescent="0.3">
      <c r="A11" s="227" t="s">
        <v>5634</v>
      </c>
      <c r="B11" s="200" t="s">
        <v>5879</v>
      </c>
    </row>
    <row r="12" spans="1:9" x14ac:dyDescent="0.25">
      <c r="A12" s="228"/>
    </row>
    <row r="13" spans="1:9" x14ac:dyDescent="0.25">
      <c r="A13" s="228"/>
    </row>
    <row r="14" spans="1:9" ht="13" x14ac:dyDescent="0.3">
      <c r="A14" s="227" t="s">
        <v>5635</v>
      </c>
    </row>
    <row r="15" spans="1:9" ht="13" x14ac:dyDescent="0.3">
      <c r="A15" s="227"/>
      <c r="B15" s="135"/>
      <c r="C15" s="135"/>
      <c r="D15" s="299" t="s">
        <v>77</v>
      </c>
      <c r="E15" s="300"/>
      <c r="F15" s="299" t="s">
        <v>5424</v>
      </c>
      <c r="G15" s="301"/>
      <c r="H15" s="135"/>
    </row>
    <row r="16" spans="1:9" ht="39" x14ac:dyDescent="0.25">
      <c r="A16" s="133"/>
      <c r="B16" s="320" t="s">
        <v>4546</v>
      </c>
      <c r="C16" s="316" t="s">
        <v>24</v>
      </c>
      <c r="D16" s="314" t="s">
        <v>146</v>
      </c>
      <c r="E16" s="315" t="s">
        <v>153</v>
      </c>
      <c r="F16" s="314" t="s">
        <v>147</v>
      </c>
      <c r="G16" s="314" t="s">
        <v>154</v>
      </c>
      <c r="H16" s="314" t="str">
        <f>"Density "&amp;E17&amp;"/"&amp;D17</f>
        <v>Density kg/m²</v>
      </c>
      <c r="I16" s="131"/>
    </row>
    <row r="17" spans="1:9" ht="13" x14ac:dyDescent="0.3">
      <c r="A17" s="133"/>
      <c r="B17" s="211"/>
      <c r="C17" s="212" t="s">
        <v>5636</v>
      </c>
      <c r="D17" s="196" t="str" cm="1">
        <f t="array" ref="D17">IF(AND(_xlfn.ANCHORARRAY(C23)=C23),C23,"Mixed")</f>
        <v>m²</v>
      </c>
      <c r="E17" s="196" t="s">
        <v>2774</v>
      </c>
      <c r="F17" s="196" t="str" cm="1">
        <f t="array" ref="F17">IF(AND(_xlfn.ANCHORARRAY(C23)=C23),C23,"Mixed")</f>
        <v>m²</v>
      </c>
      <c r="G17" s="196" t="s">
        <v>2774</v>
      </c>
      <c r="H17" s="213" t="str">
        <f>IFERROR(D17/E17,"")</f>
        <v/>
      </c>
      <c r="I17" s="131"/>
    </row>
    <row r="18" spans="1:9" s="200" customFormat="1" ht="13" x14ac:dyDescent="0.3">
      <c r="A18" s="221"/>
      <c r="B18" s="214"/>
      <c r="C18" s="202" t="s">
        <v>5637</v>
      </c>
      <c r="D18" s="198">
        <f t="shared" ref="D18:G18" si="0">MAX(_xlfn.ANCHORARRAY(D23))</f>
        <v>6.8327400000000003</v>
      </c>
      <c r="E18" s="198">
        <f t="shared" si="0"/>
        <v>0.39374999999999999</v>
      </c>
      <c r="F18" s="198">
        <f t="shared" si="0"/>
        <v>1.0669999999999999</v>
      </c>
      <c r="G18" s="198">
        <f t="shared" si="0"/>
        <v>0.20395833333333335</v>
      </c>
      <c r="H18" s="322">
        <f>IFERROR(D18/E18,"")</f>
        <v>17.352990476190477</v>
      </c>
      <c r="I18" s="222"/>
    </row>
    <row r="19" spans="1:9" ht="13" x14ac:dyDescent="0.25">
      <c r="A19" s="133"/>
      <c r="B19" s="204"/>
      <c r="C19" s="202" t="s">
        <v>5638</v>
      </c>
      <c r="D19" s="198">
        <f>MIN(_xlfn.ANCHORARRAY(D23))</f>
        <v>1.49</v>
      </c>
      <c r="E19" s="198">
        <f t="shared" ref="E19:G19" si="1">MIN(_xlfn.ANCHORARRAY(E23))</f>
        <v>0.17519999999999999</v>
      </c>
      <c r="F19" s="198">
        <f t="shared" si="1"/>
        <v>0</v>
      </c>
      <c r="G19" s="198">
        <f t="shared" si="1"/>
        <v>0</v>
      </c>
      <c r="H19" s="322">
        <f t="shared" ref="H19:H82" si="2">IFERROR(D19/E19,"")</f>
        <v>8.5045662100456632</v>
      </c>
      <c r="I19" s="131"/>
    </row>
    <row r="20" spans="1:9" ht="13" x14ac:dyDescent="0.25">
      <c r="A20" s="133"/>
      <c r="B20" s="204"/>
      <c r="C20" s="202" t="s">
        <v>5639</v>
      </c>
      <c r="D20" s="198">
        <f>AVERAGE(_xlfn.ANCHORARRAY(D23))</f>
        <v>3.370881315789473</v>
      </c>
      <c r="E20" s="198">
        <f t="shared" ref="E20:G20" si="3">AVERAGE(_xlfn.ANCHORARRAY(E23))</f>
        <v>0.30436107126363282</v>
      </c>
      <c r="F20" s="198">
        <f t="shared" si="3"/>
        <v>0.39262280701754387</v>
      </c>
      <c r="G20" s="198">
        <f t="shared" si="3"/>
        <v>3.9972384885648339E-2</v>
      </c>
      <c r="H20" s="215">
        <f t="shared" si="2"/>
        <v>11.07527090042888</v>
      </c>
      <c r="I20" s="131"/>
    </row>
    <row r="21" spans="1:9" ht="13" x14ac:dyDescent="0.25">
      <c r="A21" s="133"/>
      <c r="B21" s="204"/>
      <c r="C21" s="202"/>
      <c r="H21" s="322" t="str">
        <f t="shared" si="2"/>
        <v/>
      </c>
      <c r="I21" s="131"/>
    </row>
    <row r="22" spans="1:9" ht="13" x14ac:dyDescent="0.25">
      <c r="A22" s="133"/>
      <c r="B22" s="197" t="s">
        <v>5640</v>
      </c>
      <c r="D22" s="132"/>
      <c r="E22" s="132"/>
      <c r="F22" s="132"/>
      <c r="G22" s="132"/>
      <c r="H22" s="322" t="str">
        <f t="shared" si="2"/>
        <v/>
      </c>
      <c r="I22" s="131"/>
    </row>
    <row r="23" spans="1:9" x14ac:dyDescent="0.25">
      <c r="A23" s="133"/>
      <c r="B23" s="204" t="str" cm="1">
        <f t="array" ref="B23:B60">_xlfn.UNIQUE(_xlfn._xlws.FILTER('EPD List'!D:D,ISNUMBER(SEARCH(B16,'EPD List'!C:C)),0))</f>
        <v>Plasterboard, Opal 10 mm,  (Siniat)</v>
      </c>
      <c r="C23" s="132" t="str" cm="1">
        <f t="array" ref="C23:C60">_xlfn.IFNA(INDEX('EPD List'!$A:$AB,MATCH(_xlfn.ANCHORARRAY(B23),'EPD List'!$D:$D,0),MATCH(C$16,'EPD List'!$7:$7,0)),"")</f>
        <v>m²</v>
      </c>
      <c r="D23" s="198" cm="1">
        <f t="array" ref="D23:D60">_xlfn.IFNA(VALUE((INDEX('EPD List'!$A:$AD,MATCH(_xlfn.ANCHORARRAY($B23),'EPD List'!$D:$D,0),MATCH(D$16,'EPD List'!$7:$7,0)))),"")</f>
        <v>2.73305</v>
      </c>
      <c r="E23" s="198" cm="1">
        <f t="array" ref="E23:E60">_xlfn.IFNA(VALUE((INDEX('EPD List'!$A:$AD,MATCH(_xlfn.ANCHORARRAY($B23),'EPD List'!$D:$D,0),MATCH(E$16,'EPD List'!$7:$7,0)))),"")</f>
        <v>0.32536309523809526</v>
      </c>
      <c r="F23" s="198" cm="1">
        <f t="array" ref="F23:F60">_xlfn.IFNA(VALUE((INDEX('EPD List'!$A:$AD,MATCH(_xlfn.ANCHORARRAY($B23),'EPD List'!$D:$D,0),MATCH(F$16,'EPD List'!$7:$7,0)))),"")</f>
        <v>0.86899999999999988</v>
      </c>
      <c r="G23" s="198" cm="1">
        <f t="array" ref="G23:G60">_xlfn.IFNA(VALUE((INDEX('EPD List'!$A:$AD,MATCH(_xlfn.ANCHORARRAY($B23),'EPD List'!$D:$D,0),MATCH(G$16,'EPD List'!$7:$7,0)))),"")</f>
        <v>0.10345238095238093</v>
      </c>
      <c r="H23" s="326">
        <f t="shared" si="2"/>
        <v>8.3999999999999986</v>
      </c>
      <c r="I23" s="131"/>
    </row>
    <row r="24" spans="1:9" x14ac:dyDescent="0.25">
      <c r="A24" s="133"/>
      <c r="B24" s="204" t="str">
        <v>Plasterboard, trurock 13 mm,  (Siniat)</v>
      </c>
      <c r="C24" s="132" t="str">
        <v>m²</v>
      </c>
      <c r="D24" s="198">
        <v>4.1430199999999999</v>
      </c>
      <c r="E24" s="198">
        <v>0.3341145161290322</v>
      </c>
      <c r="F24" s="198">
        <v>0.89100000000000001</v>
      </c>
      <c r="G24" s="198">
        <v>7.1854838709677418E-2</v>
      </c>
      <c r="H24" s="326">
        <f t="shared" si="2"/>
        <v>12.400000000000002</v>
      </c>
      <c r="I24" s="131"/>
    </row>
    <row r="25" spans="1:9" x14ac:dyDescent="0.25">
      <c r="A25" s="133"/>
      <c r="B25" s="204" t="str">
        <v>Plasterboard, fireshield 13 mm,  (Siniat)</v>
      </c>
      <c r="C25" s="132" t="str">
        <v>m²</v>
      </c>
      <c r="D25" s="198">
        <v>3.3536799999999998</v>
      </c>
      <c r="E25" s="198">
        <v>0.31342803738317759</v>
      </c>
      <c r="F25" s="198">
        <v>0.69666666666666666</v>
      </c>
      <c r="G25" s="198">
        <v>6.5109034267912771E-2</v>
      </c>
      <c r="H25" s="326">
        <f t="shared" si="2"/>
        <v>10.7</v>
      </c>
      <c r="I25" s="131"/>
    </row>
    <row r="26" spans="1:9" x14ac:dyDescent="0.25">
      <c r="A26" s="133"/>
      <c r="B26" s="204" t="str">
        <v>Plasterboard, soundshield 13 mm,  (Siniat)</v>
      </c>
      <c r="C26" s="132" t="str">
        <v>m²</v>
      </c>
      <c r="D26" s="198">
        <v>3.7533599999999998</v>
      </c>
      <c r="E26" s="198">
        <v>0.30515121951219515</v>
      </c>
      <c r="F26" s="198">
        <v>0.7406666666666667</v>
      </c>
      <c r="G26" s="198">
        <v>6.021680216802168E-2</v>
      </c>
      <c r="H26" s="326">
        <f t="shared" si="2"/>
        <v>12.299999999999999</v>
      </c>
      <c r="I26" s="131"/>
    </row>
    <row r="27" spans="1:9" x14ac:dyDescent="0.25">
      <c r="A27" s="133"/>
      <c r="B27" s="204" t="str">
        <v>Plasterboard, fireshield H 13 mm,  (Siniat)</v>
      </c>
      <c r="C27" s="132" t="str">
        <v>m²</v>
      </c>
      <c r="D27" s="198">
        <v>3.6233900000000006</v>
      </c>
      <c r="E27" s="198">
        <v>0.30194916666666671</v>
      </c>
      <c r="F27" s="198">
        <v>0.68199999999999994</v>
      </c>
      <c r="G27" s="198">
        <v>5.6833333333333326E-2</v>
      </c>
      <c r="H27" s="326">
        <f t="shared" si="2"/>
        <v>12</v>
      </c>
      <c r="I27" s="131"/>
    </row>
    <row r="28" spans="1:9" x14ac:dyDescent="0.25">
      <c r="A28" s="133"/>
      <c r="B28" s="204" t="str">
        <v>Plasterboard, fireshield 16 mm,  (Siniat)</v>
      </c>
      <c r="C28" s="132" t="str">
        <v>m²</v>
      </c>
      <c r="D28" s="198">
        <v>4.0542499999999997</v>
      </c>
      <c r="E28" s="198">
        <v>0.30948473282442751</v>
      </c>
      <c r="F28" s="198">
        <v>0.70033333333333336</v>
      </c>
      <c r="G28" s="198">
        <v>5.3460559796437664E-2</v>
      </c>
      <c r="H28" s="326">
        <f t="shared" si="2"/>
        <v>13.099999999999998</v>
      </c>
      <c r="I28" s="131"/>
    </row>
    <row r="29" spans="1:9" x14ac:dyDescent="0.25">
      <c r="A29" s="133"/>
      <c r="B29" s="204" t="str">
        <v>Plasterboard, , Regular Plasterboard (Knauf Orbond) (Israel)</v>
      </c>
      <c r="C29" s="132" t="str">
        <v>m²</v>
      </c>
      <c r="D29" s="198">
        <v>1.49</v>
      </c>
      <c r="E29" s="198">
        <v>0.18625</v>
      </c>
      <c r="F29" s="198">
        <v>0</v>
      </c>
      <c r="G29" s="198">
        <v>0</v>
      </c>
      <c r="H29" s="326">
        <f t="shared" si="2"/>
        <v>8</v>
      </c>
      <c r="I29" s="131"/>
    </row>
    <row r="30" spans="1:9" x14ac:dyDescent="0.25">
      <c r="A30" s="133"/>
      <c r="B30" s="204" t="str">
        <v>Plasterboard, , Fire Plus+2.0 (Knauf Orbond) (Israel)</v>
      </c>
      <c r="C30" s="132" t="str">
        <v>m²</v>
      </c>
      <c r="D30" s="198">
        <v>3.02</v>
      </c>
      <c r="E30" s="198">
        <v>0.17764705882352941</v>
      </c>
      <c r="F30" s="198">
        <v>0</v>
      </c>
      <c r="G30" s="198">
        <v>0</v>
      </c>
      <c r="H30" s="326">
        <f t="shared" si="2"/>
        <v>17</v>
      </c>
      <c r="I30" s="131"/>
    </row>
    <row r="31" spans="1:9" x14ac:dyDescent="0.25">
      <c r="A31" s="133"/>
      <c r="B31" s="204" t="str">
        <v>Plasterboard, , Piano HD Board (Knauf Orbond) (Israel)</v>
      </c>
      <c r="C31" s="132" t="str">
        <v>m²</v>
      </c>
      <c r="D31" s="198">
        <v>2.19</v>
      </c>
      <c r="E31" s="198">
        <v>0.17519999999999999</v>
      </c>
      <c r="F31" s="198">
        <v>0</v>
      </c>
      <c r="G31" s="198">
        <v>0</v>
      </c>
      <c r="H31" s="326">
        <f t="shared" si="2"/>
        <v>12.5</v>
      </c>
      <c r="I31" s="131"/>
    </row>
    <row r="32" spans="1:9" x14ac:dyDescent="0.25">
      <c r="A32" s="133"/>
      <c r="B32" s="204" t="str">
        <v>Plasterboard, , Blue EX Board (Knauf Orbond) (Israel)</v>
      </c>
      <c r="C32" s="132" t="str">
        <v>m²</v>
      </c>
      <c r="D32" s="198">
        <v>2.2400000000000002</v>
      </c>
      <c r="E32" s="198">
        <v>0.18666666666666668</v>
      </c>
      <c r="F32" s="198">
        <v>0</v>
      </c>
      <c r="G32" s="198">
        <v>0</v>
      </c>
      <c r="H32" s="326">
        <f t="shared" si="2"/>
        <v>12</v>
      </c>
      <c r="I32" s="131"/>
    </row>
    <row r="33" spans="1:9" x14ac:dyDescent="0.25">
      <c r="A33" s="133"/>
      <c r="B33" s="204" t="str">
        <v>Plasterboard, , Fire-Resistant Board - Knauf Orbond (Knauf Orbond) (Israel)</v>
      </c>
      <c r="C33" s="132" t="str">
        <v>m²</v>
      </c>
      <c r="D33" s="198">
        <v>1.68</v>
      </c>
      <c r="E33" s="198">
        <v>0.17684210526315791</v>
      </c>
      <c r="F33" s="198">
        <v>0</v>
      </c>
      <c r="G33" s="198">
        <v>0</v>
      </c>
      <c r="H33" s="326">
        <f t="shared" si="2"/>
        <v>9.4999999999999982</v>
      </c>
      <c r="I33" s="131"/>
    </row>
    <row r="34" spans="1:9" x14ac:dyDescent="0.25">
      <c r="A34" s="133"/>
      <c r="B34" s="204" t="str">
        <v>Plasterboard, , Water-Resistant Board - Knauf Orbond (Knauf Orbond) (Israel)</v>
      </c>
      <c r="C34" s="132" t="str">
        <v>m²</v>
      </c>
      <c r="D34" s="198">
        <v>1.68</v>
      </c>
      <c r="E34" s="198">
        <v>0.18260869565217391</v>
      </c>
      <c r="F34" s="198">
        <v>0</v>
      </c>
      <c r="G34" s="198">
        <v>0</v>
      </c>
      <c r="H34" s="326">
        <f t="shared" si="2"/>
        <v>9.1999999999999993</v>
      </c>
      <c r="I34" s="131"/>
    </row>
    <row r="35" spans="1:9" x14ac:dyDescent="0.25">
      <c r="A35" s="133"/>
      <c r="B35" s="204" t="str">
        <v>Plasterboard, curveshield
6.5 mm,  (Siniat)</v>
      </c>
      <c r="C35" s="132" t="str">
        <v>m²</v>
      </c>
      <c r="D35" s="198">
        <v>1.89</v>
      </c>
      <c r="E35" s="198">
        <v>0.39374999999999999</v>
      </c>
      <c r="F35" s="198">
        <v>0.97900000000000009</v>
      </c>
      <c r="G35" s="198">
        <v>0.20395833333333335</v>
      </c>
      <c r="H35" s="326">
        <f t="shared" si="2"/>
        <v>4.8</v>
      </c>
      <c r="I35" s="131"/>
    </row>
    <row r="36" spans="1:9" x14ac:dyDescent="0.25">
      <c r="A36" s="133"/>
      <c r="B36" s="204" t="str">
        <v>Plasterboard, shaftliner/
intershield
25 mm,  (Siniat)</v>
      </c>
      <c r="C36" s="132" t="str">
        <v>m²</v>
      </c>
      <c r="D36" s="198">
        <v>6.79</v>
      </c>
      <c r="E36" s="198">
        <v>0.3264423076923077</v>
      </c>
      <c r="F36" s="198">
        <v>1.0669999999999999</v>
      </c>
      <c r="G36" s="198">
        <v>5.1298076923076918E-2</v>
      </c>
      <c r="H36" s="326">
        <f t="shared" si="2"/>
        <v>20.8</v>
      </c>
      <c r="I36" s="131"/>
    </row>
    <row r="37" spans="1:9" x14ac:dyDescent="0.25">
      <c r="A37" s="133"/>
      <c r="B37" s="204" t="str">
        <v>Plasterboard, watershield 10 mm,  (Siniat)</v>
      </c>
      <c r="C37" s="132" t="str">
        <v>m²</v>
      </c>
      <c r="D37" s="198">
        <v>2.82</v>
      </c>
      <c r="E37" s="198">
        <v>0.37105263157894736</v>
      </c>
      <c r="F37" s="198">
        <v>0.66733333333333322</v>
      </c>
      <c r="G37" s="198">
        <v>8.7807017543859639E-2</v>
      </c>
      <c r="H37" s="326">
        <f t="shared" si="2"/>
        <v>7.6</v>
      </c>
      <c r="I37" s="131"/>
    </row>
    <row r="38" spans="1:9" x14ac:dyDescent="0.25">
      <c r="A38" s="133"/>
      <c r="B38" s="204" t="str">
        <v>Plasterboard, watershield 13 mm,  (Siniat)</v>
      </c>
      <c r="C38" s="132" t="str">
        <v>m²</v>
      </c>
      <c r="D38" s="198">
        <v>3.4</v>
      </c>
      <c r="E38" s="198">
        <v>0.35789473684210527</v>
      </c>
      <c r="F38" s="198">
        <v>0.68933333333333335</v>
      </c>
      <c r="G38" s="198">
        <v>7.2561403508771938E-2</v>
      </c>
      <c r="H38" s="326">
        <f t="shared" si="2"/>
        <v>9.5</v>
      </c>
      <c r="I38" s="131"/>
    </row>
    <row r="39" spans="1:9" x14ac:dyDescent="0.25">
      <c r="A39" s="133"/>
      <c r="B39" s="204" t="str">
        <v>Plasterboard, multishield
13 mm,  (Siniat)</v>
      </c>
      <c r="C39" s="132" t="str">
        <v>m²</v>
      </c>
      <c r="D39" s="198">
        <v>3.96</v>
      </c>
      <c r="E39" s="198">
        <v>0.36666666666666664</v>
      </c>
      <c r="F39" s="198">
        <v>0.72966666666666669</v>
      </c>
      <c r="G39" s="198">
        <v>6.7561728395061721E-2</v>
      </c>
      <c r="H39" s="326">
        <f t="shared" si="2"/>
        <v>10.8</v>
      </c>
      <c r="I39" s="131"/>
    </row>
    <row r="40" spans="1:9" x14ac:dyDescent="0.25">
      <c r="A40" s="133"/>
      <c r="B40" s="204" t="str">
        <v>Plasterboard, multishield
16 mm,  (Siniat)</v>
      </c>
      <c r="C40" s="132" t="str">
        <v>m²</v>
      </c>
      <c r="D40" s="198">
        <v>4.4000000000000004</v>
      </c>
      <c r="E40" s="198">
        <v>0.33587786259541985</v>
      </c>
      <c r="F40" s="198">
        <v>0.69666666666666666</v>
      </c>
      <c r="G40" s="198">
        <v>5.3180661577608146E-2</v>
      </c>
      <c r="H40" s="326">
        <f t="shared" si="2"/>
        <v>13.100000000000001</v>
      </c>
      <c r="I40" s="131"/>
    </row>
    <row r="41" spans="1:9" x14ac:dyDescent="0.25">
      <c r="A41" s="133"/>
      <c r="B41" s="204" t="str">
        <v>Plasterboard, spanshield 10 mm,  (Siniat)</v>
      </c>
      <c r="C41" s="132" t="str">
        <v>m²</v>
      </c>
      <c r="D41" s="198">
        <v>2.1</v>
      </c>
      <c r="E41" s="198">
        <v>0.31818181818181823</v>
      </c>
      <c r="F41" s="198">
        <v>0.66</v>
      </c>
      <c r="G41" s="198">
        <v>0.1</v>
      </c>
      <c r="H41" s="326">
        <f t="shared" si="2"/>
        <v>6.6</v>
      </c>
      <c r="I41" s="131"/>
    </row>
    <row r="42" spans="1:9" x14ac:dyDescent="0.25">
      <c r="A42" s="133"/>
      <c r="B42" s="204" t="str">
        <v>Plasterboard, trurock HD
13 mm,  (Siniat)</v>
      </c>
      <c r="C42" s="132" t="str">
        <v>m²</v>
      </c>
      <c r="D42" s="198">
        <v>4.3499999999999996</v>
      </c>
      <c r="E42" s="198">
        <v>0.35080645161290319</v>
      </c>
      <c r="F42" s="198">
        <v>0.88733333333333331</v>
      </c>
      <c r="G42" s="198">
        <v>7.1559139784946227E-2</v>
      </c>
      <c r="H42" s="326">
        <f t="shared" si="2"/>
        <v>12.4</v>
      </c>
      <c r="I42" s="131"/>
    </row>
    <row r="43" spans="1:9" x14ac:dyDescent="0.25">
      <c r="A43" s="133"/>
      <c r="B43" s="204" t="str">
        <v>Plasterboard, mastashield 13 mm,  (Siniat)</v>
      </c>
      <c r="C43" s="132" t="str">
        <v>m²</v>
      </c>
      <c r="D43" s="198">
        <v>2.64</v>
      </c>
      <c r="E43" s="198">
        <v>0.3180722891566265</v>
      </c>
      <c r="F43" s="198">
        <v>0.69666666666666666</v>
      </c>
      <c r="G43" s="198">
        <v>8.3935742971887536E-2</v>
      </c>
      <c r="H43" s="326">
        <f t="shared" si="2"/>
        <v>8.3000000000000007</v>
      </c>
      <c r="I43" s="131"/>
    </row>
    <row r="44" spans="1:9" x14ac:dyDescent="0.25">
      <c r="A44" s="133"/>
      <c r="B44" s="204" t="str">
        <v>Plasterboard, trurock
16 mm*,  (Siniat)</v>
      </c>
      <c r="C44" s="132" t="str">
        <v>m²</v>
      </c>
      <c r="D44" s="198">
        <v>5.08</v>
      </c>
      <c r="E44" s="198">
        <v>0.34324324324324323</v>
      </c>
      <c r="F44" s="198">
        <v>0.91666666666666663</v>
      </c>
      <c r="G44" s="198">
        <v>6.1936936936936929E-2</v>
      </c>
      <c r="H44" s="326">
        <f t="shared" si="2"/>
        <v>14.8</v>
      </c>
      <c r="I44" s="131"/>
    </row>
    <row r="45" spans="1:9" x14ac:dyDescent="0.25">
      <c r="A45" s="133"/>
      <c r="B45" s="204" t="str">
        <v>Plasterboard, trurock HD
16 mm,  (Siniat)</v>
      </c>
      <c r="C45" s="132" t="str">
        <v>m²</v>
      </c>
      <c r="D45" s="198">
        <v>4.75</v>
      </c>
      <c r="E45" s="198">
        <v>0.32094594594594594</v>
      </c>
      <c r="F45" s="198">
        <v>1.0010000000000001</v>
      </c>
      <c r="G45" s="198">
        <v>6.7635135135135138E-2</v>
      </c>
      <c r="H45" s="326">
        <f t="shared" si="2"/>
        <v>14.8</v>
      </c>
      <c r="I45" s="131"/>
    </row>
    <row r="46" spans="1:9" x14ac:dyDescent="0.25">
      <c r="A46" s="133"/>
      <c r="B46" s="204" t="str">
        <v>Plasterboard, mastashield 10 mm,  (Siniat)</v>
      </c>
      <c r="C46" s="132" t="str">
        <v>m²</v>
      </c>
      <c r="D46" s="198">
        <v>2.0499999999999998</v>
      </c>
      <c r="E46" s="198">
        <v>0.33064516129032256</v>
      </c>
      <c r="F46" s="198">
        <v>0.63800000000000001</v>
      </c>
      <c r="G46" s="198">
        <v>0.10290322580645161</v>
      </c>
      <c r="H46" s="326">
        <f t="shared" si="2"/>
        <v>6.2</v>
      </c>
      <c r="I46" s="131"/>
    </row>
    <row r="47" spans="1:9" x14ac:dyDescent="0.25">
      <c r="A47" s="133"/>
      <c r="B47" s="204" t="str">
        <v>Plasterboard, soundshield 10 mm*,  (Siniat)</v>
      </c>
      <c r="C47" s="132" t="str">
        <v>m²</v>
      </c>
      <c r="D47" s="198">
        <v>2.96</v>
      </c>
      <c r="E47" s="198">
        <v>0.34823529411764698</v>
      </c>
      <c r="F47" s="198">
        <v>0.71133333333333326</v>
      </c>
      <c r="G47" s="198">
        <v>8.3686274509803912E-2</v>
      </c>
      <c r="H47" s="326">
        <f t="shared" si="2"/>
        <v>8.5000000000000018</v>
      </c>
      <c r="I47" s="131"/>
    </row>
    <row r="48" spans="1:9" x14ac:dyDescent="0.25">
      <c r="A48" s="133"/>
      <c r="B48" s="204" t="str">
        <v>Plasterboard, , Sheetrock HD (13 mm) (Knauf Gypsum Pty Ltd) (Australia)</v>
      </c>
      <c r="C48" s="132" t="str">
        <v>m²</v>
      </c>
      <c r="D48" s="198">
        <v>2.4211099999999997</v>
      </c>
      <c r="E48" s="198">
        <v>0.28483647058823525</v>
      </c>
      <c r="F48" s="198">
        <v>0</v>
      </c>
      <c r="G48" s="198">
        <v>0</v>
      </c>
      <c r="H48" s="322">
        <f t="shared" si="2"/>
        <v>8.5</v>
      </c>
      <c r="I48" s="131"/>
    </row>
    <row r="49" spans="1:9" x14ac:dyDescent="0.25">
      <c r="A49" s="133"/>
      <c r="B49" s="204" t="str">
        <v>Plasterboard, , Firestop (13 mm) (Knauf Gypsum Pty Ltd) (Australia)</v>
      </c>
      <c r="C49" s="132" t="str">
        <v>m²</v>
      </c>
      <c r="D49" s="198">
        <v>3.5616099999999999</v>
      </c>
      <c r="E49" s="198">
        <v>0.32675321100917432</v>
      </c>
      <c r="F49" s="198">
        <v>0</v>
      </c>
      <c r="G49" s="198">
        <v>0</v>
      </c>
      <c r="H49" s="322">
        <f t="shared" si="2"/>
        <v>10.9</v>
      </c>
      <c r="I49" s="131"/>
    </row>
    <row r="50" spans="1:9" x14ac:dyDescent="0.25">
      <c r="A50" s="133"/>
      <c r="B50" s="204" t="str">
        <v>Plasterboard, , Sheetrock ONE (10 mm) (Knauf Gypsum Pty Ltd) (Australia)</v>
      </c>
      <c r="C50" s="132" t="str">
        <v>m²</v>
      </c>
      <c r="D50" s="198">
        <v>1.7713900000000002</v>
      </c>
      <c r="E50" s="198">
        <v>0.30023559322033899</v>
      </c>
      <c r="F50" s="198">
        <v>0</v>
      </c>
      <c r="G50" s="198">
        <v>0</v>
      </c>
      <c r="H50" s="322">
        <f t="shared" si="2"/>
        <v>5.9</v>
      </c>
      <c r="I50" s="131"/>
    </row>
    <row r="51" spans="1:9" x14ac:dyDescent="0.25">
      <c r="A51" s="133"/>
      <c r="B51" s="204" t="str">
        <v>Plasterboard, , Wetstop (13 mm) (Knauf Gypsum Pty Ltd) (Australia)</v>
      </c>
      <c r="C51" s="132" t="str">
        <v>m²</v>
      </c>
      <c r="D51" s="198">
        <v>2.88157</v>
      </c>
      <c r="E51" s="198">
        <v>0.31321413043478263</v>
      </c>
      <c r="F51" s="198">
        <v>0</v>
      </c>
      <c r="G51" s="198">
        <v>0</v>
      </c>
      <c r="H51" s="322">
        <f t="shared" si="2"/>
        <v>9.1999999999999993</v>
      </c>
      <c r="I51" s="131"/>
    </row>
    <row r="52" spans="1:9" x14ac:dyDescent="0.25">
      <c r="A52" s="133"/>
      <c r="B52" s="204" t="str">
        <v>Plasterboard, , Wetstop (10 mm) (Knauf Gypsum Pty Ltd) (Australia)</v>
      </c>
      <c r="C52" s="132" t="str">
        <v>m²</v>
      </c>
      <c r="D52" s="198">
        <v>2.4015899999999997</v>
      </c>
      <c r="E52" s="198">
        <v>0.33355416666666665</v>
      </c>
      <c r="F52" s="198">
        <v>0</v>
      </c>
      <c r="G52" s="198">
        <v>0</v>
      </c>
      <c r="H52" s="322">
        <f t="shared" si="2"/>
        <v>7.1999999999999993</v>
      </c>
      <c r="I52" s="131"/>
    </row>
    <row r="53" spans="1:9" x14ac:dyDescent="0.25">
      <c r="A53" s="133"/>
      <c r="B53" s="204" t="str">
        <v>Plasterboard, , Fire Wetstop (13 mm) (Knauf Gypsum Pty Ltd) (Australia)</v>
      </c>
      <c r="C53" s="132" t="str">
        <v>m²</v>
      </c>
      <c r="D53" s="198">
        <v>3.9019699999999999</v>
      </c>
      <c r="E53" s="198">
        <v>0.35797889908256875</v>
      </c>
      <c r="F53" s="198">
        <v>0</v>
      </c>
      <c r="G53" s="198">
        <v>0</v>
      </c>
      <c r="H53" s="322">
        <f t="shared" si="2"/>
        <v>10.900000000000002</v>
      </c>
      <c r="I53" s="131"/>
    </row>
    <row r="54" spans="1:9" x14ac:dyDescent="0.25">
      <c r="A54" s="133"/>
      <c r="B54" s="204" t="str">
        <v>Plasterboard, , Soundstop (10 mm) (Knauf Gypsum Pty Ltd) (Australia)</v>
      </c>
      <c r="C54" s="132" t="str">
        <v>m²</v>
      </c>
      <c r="D54" s="198">
        <v>2.54108</v>
      </c>
      <c r="E54" s="198">
        <v>0.28234222222222222</v>
      </c>
      <c r="F54" s="198">
        <v>0</v>
      </c>
      <c r="G54" s="198">
        <v>0</v>
      </c>
      <c r="H54" s="322">
        <f t="shared" si="2"/>
        <v>9</v>
      </c>
      <c r="I54" s="131"/>
    </row>
    <row r="55" spans="1:9" x14ac:dyDescent="0.25">
      <c r="A55" s="133"/>
      <c r="B55" s="204" t="str">
        <v>Plasterboard, , Soundstop (13 mm) (Knauf Gypsum Pty Ltd) (Australia)</v>
      </c>
      <c r="C55" s="132" t="str">
        <v>m²</v>
      </c>
      <c r="D55" s="198">
        <v>3.0710999999999995</v>
      </c>
      <c r="E55" s="198">
        <v>0.26026271186440669</v>
      </c>
      <c r="F55" s="198">
        <v>0</v>
      </c>
      <c r="G55" s="198">
        <v>0</v>
      </c>
      <c r="H55" s="322">
        <f t="shared" si="2"/>
        <v>11.800000000000002</v>
      </c>
      <c r="I55" s="131"/>
    </row>
    <row r="56" spans="1:9" x14ac:dyDescent="0.25">
      <c r="A56" s="133"/>
      <c r="B56" s="204" t="str">
        <v>Plasterboard, , Fire Wetstop (16 mm) (Knauf Gypsum Pty Ltd) (Australia)</v>
      </c>
      <c r="C56" s="132" t="str">
        <v>m²</v>
      </c>
      <c r="D56" s="198">
        <v>4.3921699999999992</v>
      </c>
      <c r="E56" s="198">
        <v>0.3277738805970149</v>
      </c>
      <c r="F56" s="198">
        <v>0</v>
      </c>
      <c r="G56" s="198">
        <v>0</v>
      </c>
      <c r="H56" s="322">
        <f t="shared" si="2"/>
        <v>13.399999999999999</v>
      </c>
      <c r="I56" s="131"/>
    </row>
    <row r="57" spans="1:9" x14ac:dyDescent="0.25">
      <c r="A57" s="133"/>
      <c r="B57" s="204" t="str">
        <v>Plasterboard, , Firestop (16 mm) (Knauf Gypsum Pty Ltd) (Australia)</v>
      </c>
      <c r="C57" s="132" t="str">
        <v>m²</v>
      </c>
      <c r="D57" s="198">
        <v>4.4021900000000009</v>
      </c>
      <c r="E57" s="198">
        <v>0.32852164179104476</v>
      </c>
      <c r="F57" s="198">
        <v>0</v>
      </c>
      <c r="G57" s="198">
        <v>0</v>
      </c>
      <c r="H57" s="322">
        <f t="shared" si="2"/>
        <v>13.400000000000004</v>
      </c>
      <c r="I57" s="131"/>
    </row>
    <row r="58" spans="1:9" x14ac:dyDescent="0.25">
      <c r="A58" s="133"/>
      <c r="B58" s="204" t="str">
        <v>Plasterboard, , Multistop (16mm) (Knauf Gypsum Pty Ltd) (Australia)</v>
      </c>
      <c r="C58" s="132" t="str">
        <v>m²</v>
      </c>
      <c r="D58" s="198">
        <v>4.7120699999999998</v>
      </c>
      <c r="E58" s="198">
        <v>0.32274452054794517</v>
      </c>
      <c r="F58" s="198">
        <v>0</v>
      </c>
      <c r="G58" s="198">
        <v>0</v>
      </c>
      <c r="H58" s="322">
        <f t="shared" si="2"/>
        <v>14.600000000000001</v>
      </c>
      <c r="I58" s="131"/>
    </row>
    <row r="59" spans="1:9" x14ac:dyDescent="0.25">
      <c r="A59" s="133"/>
      <c r="B59" s="204" t="str">
        <v>Plasterboard, , Multistop (13mm) (Knauf Gypsum Pty Ltd) (Australia)</v>
      </c>
      <c r="C59" s="132" t="str">
        <v>m²</v>
      </c>
      <c r="D59" s="198">
        <v>4.0521500000000001</v>
      </c>
      <c r="E59" s="198">
        <v>0.33767916666666664</v>
      </c>
      <c r="F59" s="198">
        <v>0</v>
      </c>
      <c r="G59" s="198">
        <v>0</v>
      </c>
      <c r="H59" s="322">
        <f t="shared" si="2"/>
        <v>12.000000000000002</v>
      </c>
      <c r="I59" s="131"/>
    </row>
    <row r="60" spans="1:9" x14ac:dyDescent="0.25">
      <c r="A60" s="133"/>
      <c r="B60" s="217" t="str">
        <v>Plasterboard, , Shaftliner (25 mm) (Knauf Gypsum Pty Ltd) (Australia)</v>
      </c>
      <c r="C60" s="218" t="str">
        <v>m²</v>
      </c>
      <c r="D60" s="219">
        <v>6.8327400000000003</v>
      </c>
      <c r="E60" s="219">
        <v>0.33330439024390246</v>
      </c>
      <c r="F60" s="219">
        <v>0</v>
      </c>
      <c r="G60" s="219">
        <v>0</v>
      </c>
      <c r="H60" s="323">
        <f t="shared" si="2"/>
        <v>20.5</v>
      </c>
      <c r="I60" s="131"/>
    </row>
    <row r="61" spans="1:9" x14ac:dyDescent="0.25">
      <c r="B61" s="130"/>
      <c r="C61" s="130"/>
      <c r="D61" s="207"/>
      <c r="E61" s="207"/>
      <c r="F61" s="207"/>
      <c r="G61" s="207"/>
      <c r="H61" s="324" t="str">
        <f t="shared" si="2"/>
        <v/>
      </c>
    </row>
    <row r="62" spans="1:9" x14ac:dyDescent="0.25">
      <c r="H62" s="273" t="str">
        <f t="shared" si="2"/>
        <v/>
      </c>
    </row>
    <row r="63" spans="1:9" x14ac:dyDescent="0.25">
      <c r="H63" s="273" t="str">
        <f t="shared" si="2"/>
        <v/>
      </c>
    </row>
    <row r="64" spans="1:9" x14ac:dyDescent="0.25">
      <c r="H64" s="273" t="str">
        <f t="shared" si="2"/>
        <v/>
      </c>
    </row>
    <row r="65" spans="8:8" x14ac:dyDescent="0.25">
      <c r="H65" s="273" t="str">
        <f t="shared" si="2"/>
        <v/>
      </c>
    </row>
    <row r="66" spans="8:8" x14ac:dyDescent="0.25">
      <c r="H66" s="273" t="str">
        <f t="shared" si="2"/>
        <v/>
      </c>
    </row>
    <row r="67" spans="8:8" x14ac:dyDescent="0.25">
      <c r="H67" s="273" t="str">
        <f t="shared" si="2"/>
        <v/>
      </c>
    </row>
    <row r="68" spans="8:8" x14ac:dyDescent="0.25">
      <c r="H68" s="273" t="str">
        <f t="shared" si="2"/>
        <v/>
      </c>
    </row>
    <row r="69" spans="8:8" x14ac:dyDescent="0.25">
      <c r="H69" s="273" t="str">
        <f t="shared" si="2"/>
        <v/>
      </c>
    </row>
    <row r="70" spans="8:8" x14ac:dyDescent="0.25">
      <c r="H70" s="273" t="str">
        <f t="shared" si="2"/>
        <v/>
      </c>
    </row>
    <row r="71" spans="8:8" x14ac:dyDescent="0.25">
      <c r="H71" s="273" t="str">
        <f t="shared" si="2"/>
        <v/>
      </c>
    </row>
    <row r="72" spans="8:8" x14ac:dyDescent="0.25">
      <c r="H72" s="273" t="str">
        <f t="shared" si="2"/>
        <v/>
      </c>
    </row>
    <row r="73" spans="8:8" x14ac:dyDescent="0.25">
      <c r="H73" s="273" t="str">
        <f t="shared" si="2"/>
        <v/>
      </c>
    </row>
    <row r="74" spans="8:8" x14ac:dyDescent="0.25">
      <c r="H74" s="273" t="str">
        <f t="shared" si="2"/>
        <v/>
      </c>
    </row>
    <row r="75" spans="8:8" x14ac:dyDescent="0.25">
      <c r="H75" s="273" t="str">
        <f t="shared" si="2"/>
        <v/>
      </c>
    </row>
    <row r="76" spans="8:8" x14ac:dyDescent="0.25">
      <c r="H76" s="273" t="str">
        <f t="shared" si="2"/>
        <v/>
      </c>
    </row>
    <row r="77" spans="8:8" x14ac:dyDescent="0.25">
      <c r="H77" s="273" t="str">
        <f t="shared" si="2"/>
        <v/>
      </c>
    </row>
    <row r="78" spans="8:8" x14ac:dyDescent="0.25">
      <c r="H78" s="273" t="str">
        <f t="shared" si="2"/>
        <v/>
      </c>
    </row>
    <row r="79" spans="8:8" x14ac:dyDescent="0.25">
      <c r="H79" s="273" t="str">
        <f t="shared" si="2"/>
        <v/>
      </c>
    </row>
    <row r="80" spans="8:8" x14ac:dyDescent="0.25">
      <c r="H80" s="273" t="str">
        <f t="shared" si="2"/>
        <v/>
      </c>
    </row>
    <row r="81" spans="8:9" x14ac:dyDescent="0.25">
      <c r="H81" s="273" t="str">
        <f t="shared" si="2"/>
        <v/>
      </c>
    </row>
    <row r="82" spans="8:9" x14ac:dyDescent="0.25">
      <c r="H82" s="273" t="str">
        <f t="shared" si="2"/>
        <v/>
      </c>
    </row>
    <row r="83" spans="8:9" x14ac:dyDescent="0.25">
      <c r="H83" s="273" t="str">
        <f t="shared" ref="H83:H146" si="4">IFERROR(D83/E83,"")</f>
        <v/>
      </c>
    </row>
    <row r="84" spans="8:9" x14ac:dyDescent="0.25">
      <c r="H84" s="273" t="str">
        <f t="shared" si="4"/>
        <v/>
      </c>
    </row>
    <row r="85" spans="8:9" x14ac:dyDescent="0.25">
      <c r="H85" s="273" t="str">
        <f t="shared" si="4"/>
        <v/>
      </c>
    </row>
    <row r="86" spans="8:9" x14ac:dyDescent="0.25">
      <c r="H86" s="273" t="str">
        <f t="shared" si="4"/>
        <v/>
      </c>
    </row>
    <row r="87" spans="8:9" x14ac:dyDescent="0.25">
      <c r="H87" s="273" t="str">
        <f t="shared" si="4"/>
        <v/>
      </c>
    </row>
    <row r="88" spans="8:9" x14ac:dyDescent="0.25">
      <c r="H88" s="273" t="str">
        <f t="shared" si="4"/>
        <v/>
      </c>
    </row>
    <row r="89" spans="8:9" x14ac:dyDescent="0.25">
      <c r="H89" s="273" t="str">
        <f t="shared" si="4"/>
        <v/>
      </c>
    </row>
    <row r="90" spans="8:9" x14ac:dyDescent="0.25">
      <c r="H90" s="273" t="str">
        <f t="shared" si="4"/>
        <v/>
      </c>
      <c r="I90" s="198"/>
    </row>
    <row r="91" spans="8:9" x14ac:dyDescent="0.25">
      <c r="H91" s="273" t="str">
        <f t="shared" si="4"/>
        <v/>
      </c>
    </row>
    <row r="92" spans="8:9" x14ac:dyDescent="0.25">
      <c r="H92" s="273" t="str">
        <f t="shared" si="4"/>
        <v/>
      </c>
    </row>
    <row r="93" spans="8:9" x14ac:dyDescent="0.25">
      <c r="H93" s="273" t="str">
        <f t="shared" si="4"/>
        <v/>
      </c>
    </row>
    <row r="94" spans="8:9" x14ac:dyDescent="0.25">
      <c r="H94" s="273" t="str">
        <f t="shared" si="4"/>
        <v/>
      </c>
    </row>
    <row r="95" spans="8:9" x14ac:dyDescent="0.25">
      <c r="H95" s="273" t="str">
        <f t="shared" si="4"/>
        <v/>
      </c>
    </row>
    <row r="96" spans="8:9" x14ac:dyDescent="0.25">
      <c r="H96" s="273" t="str">
        <f t="shared" si="4"/>
        <v/>
      </c>
    </row>
    <row r="97" spans="8:8" x14ac:dyDescent="0.25">
      <c r="H97" s="273" t="str">
        <f t="shared" si="4"/>
        <v/>
      </c>
    </row>
    <row r="98" spans="8:8" x14ac:dyDescent="0.25">
      <c r="H98" s="273" t="str">
        <f t="shared" si="4"/>
        <v/>
      </c>
    </row>
    <row r="99" spans="8:8" x14ac:dyDescent="0.25">
      <c r="H99" s="273" t="str">
        <f t="shared" si="4"/>
        <v/>
      </c>
    </row>
    <row r="100" spans="8:8" x14ac:dyDescent="0.25">
      <c r="H100" s="273" t="str">
        <f t="shared" si="4"/>
        <v/>
      </c>
    </row>
    <row r="101" spans="8:8" x14ac:dyDescent="0.25">
      <c r="H101" s="273" t="str">
        <f t="shared" si="4"/>
        <v/>
      </c>
    </row>
    <row r="102" spans="8:8" x14ac:dyDescent="0.25">
      <c r="H102" s="273" t="str">
        <f t="shared" si="4"/>
        <v/>
      </c>
    </row>
    <row r="103" spans="8:8" x14ac:dyDescent="0.25">
      <c r="H103" s="273" t="str">
        <f t="shared" si="4"/>
        <v/>
      </c>
    </row>
    <row r="104" spans="8:8" x14ac:dyDescent="0.25">
      <c r="H104" s="273" t="str">
        <f t="shared" si="4"/>
        <v/>
      </c>
    </row>
    <row r="105" spans="8:8" x14ac:dyDescent="0.25">
      <c r="H105" s="273" t="str">
        <f t="shared" si="4"/>
        <v/>
      </c>
    </row>
    <row r="106" spans="8:8" x14ac:dyDescent="0.25">
      <c r="H106" s="273" t="str">
        <f t="shared" si="4"/>
        <v/>
      </c>
    </row>
    <row r="107" spans="8:8" x14ac:dyDescent="0.25">
      <c r="H107" s="273" t="str">
        <f t="shared" si="4"/>
        <v/>
      </c>
    </row>
    <row r="108" spans="8:8" x14ac:dyDescent="0.25">
      <c r="H108" s="273" t="str">
        <f t="shared" si="4"/>
        <v/>
      </c>
    </row>
    <row r="109" spans="8:8" x14ac:dyDescent="0.25">
      <c r="H109" s="273" t="str">
        <f t="shared" si="4"/>
        <v/>
      </c>
    </row>
    <row r="110" spans="8:8" x14ac:dyDescent="0.25">
      <c r="H110" s="273" t="str">
        <f t="shared" si="4"/>
        <v/>
      </c>
    </row>
    <row r="111" spans="8:8" x14ac:dyDescent="0.25">
      <c r="H111" s="273" t="str">
        <f t="shared" si="4"/>
        <v/>
      </c>
    </row>
    <row r="112" spans="8:8" x14ac:dyDescent="0.25">
      <c r="H112" s="273" t="str">
        <f t="shared" si="4"/>
        <v/>
      </c>
    </row>
    <row r="113" spans="8:8" x14ac:dyDescent="0.25">
      <c r="H113" s="273" t="str">
        <f t="shared" si="4"/>
        <v/>
      </c>
    </row>
    <row r="114" spans="8:8" x14ac:dyDescent="0.25">
      <c r="H114" s="273" t="str">
        <f t="shared" si="4"/>
        <v/>
      </c>
    </row>
    <row r="115" spans="8:8" x14ac:dyDescent="0.25">
      <c r="H115" s="273" t="str">
        <f t="shared" si="4"/>
        <v/>
      </c>
    </row>
    <row r="116" spans="8:8" x14ac:dyDescent="0.25">
      <c r="H116" s="273" t="str">
        <f t="shared" si="4"/>
        <v/>
      </c>
    </row>
    <row r="117" spans="8:8" x14ac:dyDescent="0.25">
      <c r="H117" s="273" t="str">
        <f t="shared" si="4"/>
        <v/>
      </c>
    </row>
    <row r="118" spans="8:8" x14ac:dyDescent="0.25">
      <c r="H118" s="273" t="str">
        <f t="shared" si="4"/>
        <v/>
      </c>
    </row>
    <row r="119" spans="8:8" x14ac:dyDescent="0.25">
      <c r="H119" s="273" t="str">
        <f t="shared" si="4"/>
        <v/>
      </c>
    </row>
    <row r="120" spans="8:8" x14ac:dyDescent="0.25">
      <c r="H120" s="273" t="str">
        <f t="shared" si="4"/>
        <v/>
      </c>
    </row>
    <row r="121" spans="8:8" x14ac:dyDescent="0.25">
      <c r="H121" s="273" t="str">
        <f t="shared" si="4"/>
        <v/>
      </c>
    </row>
    <row r="122" spans="8:8" x14ac:dyDescent="0.25">
      <c r="H122" s="273" t="str">
        <f t="shared" si="4"/>
        <v/>
      </c>
    </row>
    <row r="123" spans="8:8" x14ac:dyDescent="0.25">
      <c r="H123" s="273" t="str">
        <f t="shared" si="4"/>
        <v/>
      </c>
    </row>
    <row r="124" spans="8:8" x14ac:dyDescent="0.25">
      <c r="H124" s="273" t="str">
        <f t="shared" si="4"/>
        <v/>
      </c>
    </row>
    <row r="125" spans="8:8" x14ac:dyDescent="0.25">
      <c r="H125" s="273" t="str">
        <f t="shared" si="4"/>
        <v/>
      </c>
    </row>
    <row r="126" spans="8:8" x14ac:dyDescent="0.25">
      <c r="H126" s="273" t="str">
        <f t="shared" si="4"/>
        <v/>
      </c>
    </row>
    <row r="127" spans="8:8" x14ac:dyDescent="0.25">
      <c r="H127" s="273" t="str">
        <f t="shared" si="4"/>
        <v/>
      </c>
    </row>
    <row r="128" spans="8:8" x14ac:dyDescent="0.25">
      <c r="H128" s="273" t="str">
        <f t="shared" si="4"/>
        <v/>
      </c>
    </row>
    <row r="129" spans="8:8" x14ac:dyDescent="0.25">
      <c r="H129" s="273" t="str">
        <f t="shared" si="4"/>
        <v/>
      </c>
    </row>
    <row r="130" spans="8:8" x14ac:dyDescent="0.25">
      <c r="H130" s="273" t="str">
        <f t="shared" si="4"/>
        <v/>
      </c>
    </row>
    <row r="131" spans="8:8" x14ac:dyDescent="0.25">
      <c r="H131" s="273" t="str">
        <f t="shared" si="4"/>
        <v/>
      </c>
    </row>
    <row r="132" spans="8:8" x14ac:dyDescent="0.25">
      <c r="H132" s="273" t="str">
        <f t="shared" si="4"/>
        <v/>
      </c>
    </row>
    <row r="133" spans="8:8" x14ac:dyDescent="0.25">
      <c r="H133" s="273" t="str">
        <f t="shared" si="4"/>
        <v/>
      </c>
    </row>
    <row r="134" spans="8:8" x14ac:dyDescent="0.25">
      <c r="H134" s="273" t="str">
        <f t="shared" si="4"/>
        <v/>
      </c>
    </row>
    <row r="135" spans="8:8" x14ac:dyDescent="0.25">
      <c r="H135" s="273" t="str">
        <f t="shared" si="4"/>
        <v/>
      </c>
    </row>
    <row r="136" spans="8:8" x14ac:dyDescent="0.25">
      <c r="H136" s="273" t="str">
        <f t="shared" si="4"/>
        <v/>
      </c>
    </row>
    <row r="137" spans="8:8" x14ac:dyDescent="0.25">
      <c r="H137" s="273" t="str">
        <f t="shared" si="4"/>
        <v/>
      </c>
    </row>
    <row r="138" spans="8:8" x14ac:dyDescent="0.25">
      <c r="H138" s="273" t="str">
        <f t="shared" si="4"/>
        <v/>
      </c>
    </row>
    <row r="139" spans="8:8" x14ac:dyDescent="0.25">
      <c r="H139" s="273" t="str">
        <f t="shared" si="4"/>
        <v/>
      </c>
    </row>
    <row r="140" spans="8:8" x14ac:dyDescent="0.25">
      <c r="H140" s="273" t="str">
        <f t="shared" si="4"/>
        <v/>
      </c>
    </row>
    <row r="141" spans="8:8" x14ac:dyDescent="0.25">
      <c r="H141" s="273" t="str">
        <f t="shared" si="4"/>
        <v/>
      </c>
    </row>
    <row r="142" spans="8:8" x14ac:dyDescent="0.25">
      <c r="H142" s="273" t="str">
        <f t="shared" si="4"/>
        <v/>
      </c>
    </row>
    <row r="143" spans="8:8" x14ac:dyDescent="0.25">
      <c r="H143" s="273" t="str">
        <f t="shared" si="4"/>
        <v/>
      </c>
    </row>
    <row r="144" spans="8:8" x14ac:dyDescent="0.25">
      <c r="H144" s="273" t="str">
        <f t="shared" si="4"/>
        <v/>
      </c>
    </row>
    <row r="145" spans="8:8" x14ac:dyDescent="0.25">
      <c r="H145" s="273" t="str">
        <f t="shared" si="4"/>
        <v/>
      </c>
    </row>
    <row r="146" spans="8:8" x14ac:dyDescent="0.25">
      <c r="H146" s="273" t="str">
        <f t="shared" si="4"/>
        <v/>
      </c>
    </row>
    <row r="147" spans="8:8" x14ac:dyDescent="0.25">
      <c r="H147" s="273" t="str">
        <f t="shared" ref="H147:H210" si="5">IFERROR(D147/E147,"")</f>
        <v/>
      </c>
    </row>
    <row r="148" spans="8:8" x14ac:dyDescent="0.25">
      <c r="H148" s="273" t="str">
        <f t="shared" si="5"/>
        <v/>
      </c>
    </row>
    <row r="149" spans="8:8" x14ac:dyDescent="0.25">
      <c r="H149" s="273" t="str">
        <f t="shared" si="5"/>
        <v/>
      </c>
    </row>
    <row r="150" spans="8:8" x14ac:dyDescent="0.25">
      <c r="H150" s="273" t="str">
        <f t="shared" si="5"/>
        <v/>
      </c>
    </row>
    <row r="151" spans="8:8" x14ac:dyDescent="0.25">
      <c r="H151" s="273" t="str">
        <f t="shared" si="5"/>
        <v/>
      </c>
    </row>
    <row r="152" spans="8:8" x14ac:dyDescent="0.25">
      <c r="H152" s="273" t="str">
        <f t="shared" si="5"/>
        <v/>
      </c>
    </row>
    <row r="153" spans="8:8" x14ac:dyDescent="0.25">
      <c r="H153" s="273" t="str">
        <f t="shared" si="5"/>
        <v/>
      </c>
    </row>
    <row r="154" spans="8:8" x14ac:dyDescent="0.25">
      <c r="H154" s="273" t="str">
        <f t="shared" si="5"/>
        <v/>
      </c>
    </row>
    <row r="155" spans="8:8" x14ac:dyDescent="0.25">
      <c r="H155" s="273" t="str">
        <f t="shared" si="5"/>
        <v/>
      </c>
    </row>
    <row r="156" spans="8:8" x14ac:dyDescent="0.25">
      <c r="H156" s="273" t="str">
        <f t="shared" si="5"/>
        <v/>
      </c>
    </row>
    <row r="157" spans="8:8" x14ac:dyDescent="0.25">
      <c r="H157" s="273" t="str">
        <f t="shared" si="5"/>
        <v/>
      </c>
    </row>
    <row r="158" spans="8:8" x14ac:dyDescent="0.25">
      <c r="H158" s="273" t="str">
        <f t="shared" si="5"/>
        <v/>
      </c>
    </row>
    <row r="159" spans="8:8" x14ac:dyDescent="0.25">
      <c r="H159" s="273" t="str">
        <f t="shared" si="5"/>
        <v/>
      </c>
    </row>
    <row r="160" spans="8:8" x14ac:dyDescent="0.25">
      <c r="H160" s="273" t="str">
        <f t="shared" si="5"/>
        <v/>
      </c>
    </row>
    <row r="161" spans="8:8" x14ac:dyDescent="0.25">
      <c r="H161" s="273" t="str">
        <f t="shared" si="5"/>
        <v/>
      </c>
    </row>
    <row r="162" spans="8:8" x14ac:dyDescent="0.25">
      <c r="H162" s="273" t="str">
        <f t="shared" si="5"/>
        <v/>
      </c>
    </row>
    <row r="163" spans="8:8" x14ac:dyDescent="0.25">
      <c r="H163" s="273" t="str">
        <f t="shared" si="5"/>
        <v/>
      </c>
    </row>
    <row r="164" spans="8:8" x14ac:dyDescent="0.25">
      <c r="H164" s="273" t="str">
        <f t="shared" si="5"/>
        <v/>
      </c>
    </row>
    <row r="165" spans="8:8" x14ac:dyDescent="0.25">
      <c r="H165" s="273" t="str">
        <f t="shared" si="5"/>
        <v/>
      </c>
    </row>
    <row r="166" spans="8:8" x14ac:dyDescent="0.25">
      <c r="H166" s="273" t="str">
        <f t="shared" si="5"/>
        <v/>
      </c>
    </row>
    <row r="167" spans="8:8" x14ac:dyDescent="0.25">
      <c r="H167" s="273" t="str">
        <f t="shared" si="5"/>
        <v/>
      </c>
    </row>
    <row r="168" spans="8:8" x14ac:dyDescent="0.25">
      <c r="H168" s="273" t="str">
        <f t="shared" si="5"/>
        <v/>
      </c>
    </row>
    <row r="169" spans="8:8" x14ac:dyDescent="0.25">
      <c r="H169" s="273" t="str">
        <f t="shared" si="5"/>
        <v/>
      </c>
    </row>
    <row r="170" spans="8:8" x14ac:dyDescent="0.25">
      <c r="H170" s="273" t="str">
        <f t="shared" si="5"/>
        <v/>
      </c>
    </row>
    <row r="171" spans="8:8" x14ac:dyDescent="0.25">
      <c r="H171" s="273" t="str">
        <f t="shared" si="5"/>
        <v/>
      </c>
    </row>
    <row r="172" spans="8:8" x14ac:dyDescent="0.25">
      <c r="H172" s="273" t="str">
        <f t="shared" si="5"/>
        <v/>
      </c>
    </row>
    <row r="173" spans="8:8" x14ac:dyDescent="0.25">
      <c r="H173" s="273" t="str">
        <f t="shared" si="5"/>
        <v/>
      </c>
    </row>
    <row r="174" spans="8:8" x14ac:dyDescent="0.25">
      <c r="H174" s="273" t="str">
        <f t="shared" si="5"/>
        <v/>
      </c>
    </row>
    <row r="175" spans="8:8" x14ac:dyDescent="0.25">
      <c r="H175" s="273" t="str">
        <f t="shared" si="5"/>
        <v/>
      </c>
    </row>
    <row r="176" spans="8:8" x14ac:dyDescent="0.25">
      <c r="H176" s="273" t="str">
        <f t="shared" si="5"/>
        <v/>
      </c>
    </row>
    <row r="177" spans="8:8" x14ac:dyDescent="0.25">
      <c r="H177" s="273" t="str">
        <f t="shared" si="5"/>
        <v/>
      </c>
    </row>
    <row r="178" spans="8:8" x14ac:dyDescent="0.25">
      <c r="H178" s="273" t="str">
        <f t="shared" si="5"/>
        <v/>
      </c>
    </row>
    <row r="179" spans="8:8" x14ac:dyDescent="0.25">
      <c r="H179" s="273" t="str">
        <f t="shared" si="5"/>
        <v/>
      </c>
    </row>
    <row r="180" spans="8:8" x14ac:dyDescent="0.25">
      <c r="H180" s="273" t="str">
        <f t="shared" si="5"/>
        <v/>
      </c>
    </row>
    <row r="181" spans="8:8" x14ac:dyDescent="0.25">
      <c r="H181" s="273" t="str">
        <f t="shared" si="5"/>
        <v/>
      </c>
    </row>
    <row r="182" spans="8:8" x14ac:dyDescent="0.25">
      <c r="H182" s="273" t="str">
        <f t="shared" si="5"/>
        <v/>
      </c>
    </row>
    <row r="183" spans="8:8" x14ac:dyDescent="0.25">
      <c r="H183" s="273" t="str">
        <f t="shared" si="5"/>
        <v/>
      </c>
    </row>
    <row r="184" spans="8:8" x14ac:dyDescent="0.25">
      <c r="H184" s="273" t="str">
        <f t="shared" si="5"/>
        <v/>
      </c>
    </row>
    <row r="185" spans="8:8" x14ac:dyDescent="0.25">
      <c r="H185" s="273" t="str">
        <f t="shared" si="5"/>
        <v/>
      </c>
    </row>
    <row r="186" spans="8:8" x14ac:dyDescent="0.25">
      <c r="H186" s="273" t="str">
        <f t="shared" si="5"/>
        <v/>
      </c>
    </row>
    <row r="187" spans="8:8" x14ac:dyDescent="0.25">
      <c r="H187" s="273" t="str">
        <f t="shared" si="5"/>
        <v/>
      </c>
    </row>
    <row r="188" spans="8:8" x14ac:dyDescent="0.25">
      <c r="H188" s="273" t="str">
        <f t="shared" si="5"/>
        <v/>
      </c>
    </row>
    <row r="189" spans="8:8" x14ac:dyDescent="0.25">
      <c r="H189" s="273" t="str">
        <f t="shared" si="5"/>
        <v/>
      </c>
    </row>
    <row r="190" spans="8:8" x14ac:dyDescent="0.25">
      <c r="H190" s="273" t="str">
        <f t="shared" si="5"/>
        <v/>
      </c>
    </row>
    <row r="191" spans="8:8" x14ac:dyDescent="0.25">
      <c r="H191" s="273" t="str">
        <f t="shared" si="5"/>
        <v/>
      </c>
    </row>
    <row r="192" spans="8:8" x14ac:dyDescent="0.25">
      <c r="H192" s="273" t="str">
        <f t="shared" si="5"/>
        <v/>
      </c>
    </row>
    <row r="193" spans="8:8" x14ac:dyDescent="0.25">
      <c r="H193" s="273" t="str">
        <f t="shared" si="5"/>
        <v/>
      </c>
    </row>
    <row r="194" spans="8:8" x14ac:dyDescent="0.25">
      <c r="H194" s="273" t="str">
        <f t="shared" si="5"/>
        <v/>
      </c>
    </row>
    <row r="195" spans="8:8" x14ac:dyDescent="0.25">
      <c r="H195" s="273" t="str">
        <f t="shared" si="5"/>
        <v/>
      </c>
    </row>
    <row r="196" spans="8:8" x14ac:dyDescent="0.25">
      <c r="H196" s="273" t="str">
        <f t="shared" si="5"/>
        <v/>
      </c>
    </row>
    <row r="197" spans="8:8" x14ac:dyDescent="0.25">
      <c r="H197" s="273" t="str">
        <f t="shared" si="5"/>
        <v/>
      </c>
    </row>
    <row r="198" spans="8:8" x14ac:dyDescent="0.25">
      <c r="H198" s="273" t="str">
        <f t="shared" si="5"/>
        <v/>
      </c>
    </row>
    <row r="199" spans="8:8" x14ac:dyDescent="0.25">
      <c r="H199" s="273" t="str">
        <f t="shared" si="5"/>
        <v/>
      </c>
    </row>
    <row r="200" spans="8:8" x14ac:dyDescent="0.25">
      <c r="H200" s="273" t="str">
        <f t="shared" si="5"/>
        <v/>
      </c>
    </row>
    <row r="201" spans="8:8" x14ac:dyDescent="0.25">
      <c r="H201" s="273" t="str">
        <f t="shared" si="5"/>
        <v/>
      </c>
    </row>
    <row r="202" spans="8:8" x14ac:dyDescent="0.25">
      <c r="H202" s="273" t="str">
        <f t="shared" si="5"/>
        <v/>
      </c>
    </row>
    <row r="203" spans="8:8" x14ac:dyDescent="0.25">
      <c r="H203" s="273" t="str">
        <f t="shared" si="5"/>
        <v/>
      </c>
    </row>
    <row r="204" spans="8:8" x14ac:dyDescent="0.25">
      <c r="H204" s="273" t="str">
        <f t="shared" si="5"/>
        <v/>
      </c>
    </row>
    <row r="205" spans="8:8" x14ac:dyDescent="0.25">
      <c r="H205" s="273" t="str">
        <f t="shared" si="5"/>
        <v/>
      </c>
    </row>
    <row r="206" spans="8:8" x14ac:dyDescent="0.25">
      <c r="H206" s="273" t="str">
        <f t="shared" si="5"/>
        <v/>
      </c>
    </row>
    <row r="207" spans="8:8" x14ac:dyDescent="0.25">
      <c r="H207" s="273" t="str">
        <f t="shared" si="5"/>
        <v/>
      </c>
    </row>
    <row r="208" spans="8:8" x14ac:dyDescent="0.25">
      <c r="H208" s="273" t="str">
        <f t="shared" si="5"/>
        <v/>
      </c>
    </row>
    <row r="209" spans="8:8" x14ac:dyDescent="0.25">
      <c r="H209" s="273" t="str">
        <f t="shared" si="5"/>
        <v/>
      </c>
    </row>
    <row r="210" spans="8:8" x14ac:dyDescent="0.25">
      <c r="H210" s="273" t="str">
        <f t="shared" si="5"/>
        <v/>
      </c>
    </row>
    <row r="211" spans="8:8" x14ac:dyDescent="0.25">
      <c r="H211" s="273" t="str">
        <f t="shared" ref="H211:H274" si="6">IFERROR(D211/E211,"")</f>
        <v/>
      </c>
    </row>
    <row r="212" spans="8:8" x14ac:dyDescent="0.25">
      <c r="H212" s="273" t="str">
        <f t="shared" si="6"/>
        <v/>
      </c>
    </row>
    <row r="213" spans="8:8" x14ac:dyDescent="0.25">
      <c r="H213" s="273" t="str">
        <f t="shared" si="6"/>
        <v/>
      </c>
    </row>
    <row r="214" spans="8:8" x14ac:dyDescent="0.25">
      <c r="H214" s="273" t="str">
        <f t="shared" si="6"/>
        <v/>
      </c>
    </row>
    <row r="215" spans="8:8" x14ac:dyDescent="0.25">
      <c r="H215" s="273" t="str">
        <f t="shared" si="6"/>
        <v/>
      </c>
    </row>
    <row r="216" spans="8:8" x14ac:dyDescent="0.25">
      <c r="H216" s="273" t="str">
        <f t="shared" si="6"/>
        <v/>
      </c>
    </row>
    <row r="217" spans="8:8" x14ac:dyDescent="0.25">
      <c r="H217" s="273" t="str">
        <f t="shared" si="6"/>
        <v/>
      </c>
    </row>
    <row r="218" spans="8:8" x14ac:dyDescent="0.25">
      <c r="H218" s="273" t="str">
        <f t="shared" si="6"/>
        <v/>
      </c>
    </row>
    <row r="219" spans="8:8" x14ac:dyDescent="0.25">
      <c r="H219" s="273" t="str">
        <f t="shared" si="6"/>
        <v/>
      </c>
    </row>
    <row r="220" spans="8:8" x14ac:dyDescent="0.25">
      <c r="H220" s="273" t="str">
        <f t="shared" si="6"/>
        <v/>
      </c>
    </row>
    <row r="221" spans="8:8" x14ac:dyDescent="0.25">
      <c r="H221" s="273" t="str">
        <f t="shared" si="6"/>
        <v/>
      </c>
    </row>
    <row r="222" spans="8:8" x14ac:dyDescent="0.25">
      <c r="H222" s="273" t="str">
        <f t="shared" si="6"/>
        <v/>
      </c>
    </row>
    <row r="223" spans="8:8" x14ac:dyDescent="0.25">
      <c r="H223" s="273" t="str">
        <f t="shared" si="6"/>
        <v/>
      </c>
    </row>
    <row r="224" spans="8:8" x14ac:dyDescent="0.25">
      <c r="H224" s="273" t="str">
        <f t="shared" si="6"/>
        <v/>
      </c>
    </row>
    <row r="225" spans="8:8" x14ac:dyDescent="0.25">
      <c r="H225" s="273" t="str">
        <f t="shared" si="6"/>
        <v/>
      </c>
    </row>
    <row r="226" spans="8:8" x14ac:dyDescent="0.25">
      <c r="H226" s="273" t="str">
        <f t="shared" si="6"/>
        <v/>
      </c>
    </row>
    <row r="227" spans="8:8" x14ac:dyDescent="0.25">
      <c r="H227" s="273" t="str">
        <f t="shared" si="6"/>
        <v/>
      </c>
    </row>
    <row r="228" spans="8:8" x14ac:dyDescent="0.25">
      <c r="H228" s="273" t="str">
        <f t="shared" si="6"/>
        <v/>
      </c>
    </row>
    <row r="229" spans="8:8" x14ac:dyDescent="0.25">
      <c r="H229" s="273" t="str">
        <f t="shared" si="6"/>
        <v/>
      </c>
    </row>
    <row r="230" spans="8:8" x14ac:dyDescent="0.25">
      <c r="H230" s="273" t="str">
        <f t="shared" si="6"/>
        <v/>
      </c>
    </row>
    <row r="231" spans="8:8" x14ac:dyDescent="0.25">
      <c r="H231" s="273" t="str">
        <f t="shared" si="6"/>
        <v/>
      </c>
    </row>
    <row r="232" spans="8:8" x14ac:dyDescent="0.25">
      <c r="H232" s="273" t="str">
        <f t="shared" si="6"/>
        <v/>
      </c>
    </row>
    <row r="233" spans="8:8" x14ac:dyDescent="0.25">
      <c r="H233" s="273" t="str">
        <f t="shared" si="6"/>
        <v/>
      </c>
    </row>
    <row r="234" spans="8:8" x14ac:dyDescent="0.25">
      <c r="H234" s="273" t="str">
        <f t="shared" si="6"/>
        <v/>
      </c>
    </row>
    <row r="235" spans="8:8" x14ac:dyDescent="0.25">
      <c r="H235" s="273" t="str">
        <f t="shared" si="6"/>
        <v/>
      </c>
    </row>
    <row r="236" spans="8:8" x14ac:dyDescent="0.25">
      <c r="H236" s="273" t="str">
        <f t="shared" si="6"/>
        <v/>
      </c>
    </row>
    <row r="237" spans="8:8" x14ac:dyDescent="0.25">
      <c r="H237" s="273" t="str">
        <f t="shared" si="6"/>
        <v/>
      </c>
    </row>
    <row r="238" spans="8:8" x14ac:dyDescent="0.25">
      <c r="H238" s="273" t="str">
        <f t="shared" si="6"/>
        <v/>
      </c>
    </row>
    <row r="239" spans="8:8" x14ac:dyDescent="0.25">
      <c r="H239" s="273" t="str">
        <f t="shared" si="6"/>
        <v/>
      </c>
    </row>
    <row r="240" spans="8:8" x14ac:dyDescent="0.25">
      <c r="H240" s="273" t="str">
        <f t="shared" si="6"/>
        <v/>
      </c>
    </row>
    <row r="241" spans="8:8" x14ac:dyDescent="0.25">
      <c r="H241" s="273" t="str">
        <f t="shared" si="6"/>
        <v/>
      </c>
    </row>
    <row r="242" spans="8:8" x14ac:dyDescent="0.25">
      <c r="H242" s="273" t="str">
        <f t="shared" si="6"/>
        <v/>
      </c>
    </row>
    <row r="243" spans="8:8" x14ac:dyDescent="0.25">
      <c r="H243" s="273" t="str">
        <f t="shared" si="6"/>
        <v/>
      </c>
    </row>
    <row r="244" spans="8:8" x14ac:dyDescent="0.25">
      <c r="H244" s="273" t="str">
        <f t="shared" si="6"/>
        <v/>
      </c>
    </row>
    <row r="245" spans="8:8" x14ac:dyDescent="0.25">
      <c r="H245" s="273" t="str">
        <f t="shared" si="6"/>
        <v/>
      </c>
    </row>
    <row r="246" spans="8:8" x14ac:dyDescent="0.25">
      <c r="H246" s="273" t="str">
        <f t="shared" si="6"/>
        <v/>
      </c>
    </row>
    <row r="247" spans="8:8" x14ac:dyDescent="0.25">
      <c r="H247" s="273" t="str">
        <f t="shared" si="6"/>
        <v/>
      </c>
    </row>
    <row r="248" spans="8:8" x14ac:dyDescent="0.25">
      <c r="H248" s="273" t="str">
        <f t="shared" si="6"/>
        <v/>
      </c>
    </row>
    <row r="249" spans="8:8" x14ac:dyDescent="0.25">
      <c r="H249" s="273" t="str">
        <f t="shared" si="6"/>
        <v/>
      </c>
    </row>
    <row r="250" spans="8:8" x14ac:dyDescent="0.25">
      <c r="H250" s="273" t="str">
        <f t="shared" si="6"/>
        <v/>
      </c>
    </row>
    <row r="251" spans="8:8" x14ac:dyDescent="0.25">
      <c r="H251" s="273" t="str">
        <f t="shared" si="6"/>
        <v/>
      </c>
    </row>
    <row r="252" spans="8:8" x14ac:dyDescent="0.25">
      <c r="H252" s="273" t="str">
        <f t="shared" si="6"/>
        <v/>
      </c>
    </row>
    <row r="253" spans="8:8" x14ac:dyDescent="0.25">
      <c r="H253" s="273" t="str">
        <f t="shared" si="6"/>
        <v/>
      </c>
    </row>
    <row r="254" spans="8:8" x14ac:dyDescent="0.25">
      <c r="H254" s="273" t="str">
        <f t="shared" si="6"/>
        <v/>
      </c>
    </row>
    <row r="255" spans="8:8" x14ac:dyDescent="0.25">
      <c r="H255" s="273" t="str">
        <f t="shared" si="6"/>
        <v/>
      </c>
    </row>
    <row r="256" spans="8:8" x14ac:dyDescent="0.25">
      <c r="H256" s="273" t="str">
        <f t="shared" si="6"/>
        <v/>
      </c>
    </row>
    <row r="257" spans="8:8" x14ac:dyDescent="0.25">
      <c r="H257" s="273" t="str">
        <f t="shared" si="6"/>
        <v/>
      </c>
    </row>
    <row r="258" spans="8:8" x14ac:dyDescent="0.25">
      <c r="H258" s="273" t="str">
        <f t="shared" si="6"/>
        <v/>
      </c>
    </row>
    <row r="259" spans="8:8" x14ac:dyDescent="0.25">
      <c r="H259" s="273" t="str">
        <f t="shared" si="6"/>
        <v/>
      </c>
    </row>
    <row r="260" spans="8:8" x14ac:dyDescent="0.25">
      <c r="H260" s="273" t="str">
        <f t="shared" si="6"/>
        <v/>
      </c>
    </row>
    <row r="261" spans="8:8" x14ac:dyDescent="0.25">
      <c r="H261" s="273" t="str">
        <f t="shared" si="6"/>
        <v/>
      </c>
    </row>
    <row r="262" spans="8:8" x14ac:dyDescent="0.25">
      <c r="H262" s="273" t="str">
        <f t="shared" si="6"/>
        <v/>
      </c>
    </row>
    <row r="263" spans="8:8" x14ac:dyDescent="0.25">
      <c r="H263" s="273" t="str">
        <f t="shared" si="6"/>
        <v/>
      </c>
    </row>
    <row r="264" spans="8:8" x14ac:dyDescent="0.25">
      <c r="H264" s="273" t="str">
        <f t="shared" si="6"/>
        <v/>
      </c>
    </row>
    <row r="265" spans="8:8" x14ac:dyDescent="0.25">
      <c r="H265" s="273" t="str">
        <f t="shared" si="6"/>
        <v/>
      </c>
    </row>
    <row r="266" spans="8:8" x14ac:dyDescent="0.25">
      <c r="H266" s="273" t="str">
        <f t="shared" si="6"/>
        <v/>
      </c>
    </row>
    <row r="267" spans="8:8" x14ac:dyDescent="0.25">
      <c r="H267" s="273" t="str">
        <f t="shared" si="6"/>
        <v/>
      </c>
    </row>
    <row r="268" spans="8:8" x14ac:dyDescent="0.25">
      <c r="H268" s="273" t="str">
        <f t="shared" si="6"/>
        <v/>
      </c>
    </row>
    <row r="269" spans="8:8" x14ac:dyDescent="0.25">
      <c r="H269" s="273" t="str">
        <f t="shared" si="6"/>
        <v/>
      </c>
    </row>
    <row r="270" spans="8:8" x14ac:dyDescent="0.25">
      <c r="H270" s="273" t="str">
        <f t="shared" si="6"/>
        <v/>
      </c>
    </row>
    <row r="271" spans="8:8" x14ac:dyDescent="0.25">
      <c r="H271" s="273" t="str">
        <f t="shared" si="6"/>
        <v/>
      </c>
    </row>
    <row r="272" spans="8:8" x14ac:dyDescent="0.25">
      <c r="H272" s="273" t="str">
        <f t="shared" si="6"/>
        <v/>
      </c>
    </row>
    <row r="273" spans="8:8" x14ac:dyDescent="0.25">
      <c r="H273" s="273" t="str">
        <f t="shared" si="6"/>
        <v/>
      </c>
    </row>
    <row r="274" spans="8:8" x14ac:dyDescent="0.25">
      <c r="H274" s="273" t="str">
        <f t="shared" si="6"/>
        <v/>
      </c>
    </row>
    <row r="275" spans="8:8" x14ac:dyDescent="0.25">
      <c r="H275" s="273" t="str">
        <f t="shared" ref="H275:H338" si="7">IFERROR(D275/E275,"")</f>
        <v/>
      </c>
    </row>
    <row r="276" spans="8:8" x14ac:dyDescent="0.25">
      <c r="H276" s="273" t="str">
        <f t="shared" si="7"/>
        <v/>
      </c>
    </row>
    <row r="277" spans="8:8" x14ac:dyDescent="0.25">
      <c r="H277" s="273" t="str">
        <f t="shared" si="7"/>
        <v/>
      </c>
    </row>
    <row r="278" spans="8:8" x14ac:dyDescent="0.25">
      <c r="H278" s="273" t="str">
        <f t="shared" si="7"/>
        <v/>
      </c>
    </row>
    <row r="279" spans="8:8" x14ac:dyDescent="0.25">
      <c r="H279" s="273" t="str">
        <f t="shared" si="7"/>
        <v/>
      </c>
    </row>
    <row r="280" spans="8:8" x14ac:dyDescent="0.25">
      <c r="H280" s="273" t="str">
        <f t="shared" si="7"/>
        <v/>
      </c>
    </row>
    <row r="281" spans="8:8" x14ac:dyDescent="0.25">
      <c r="H281" s="273" t="str">
        <f t="shared" si="7"/>
        <v/>
      </c>
    </row>
    <row r="282" spans="8:8" x14ac:dyDescent="0.25">
      <c r="H282" s="273" t="str">
        <f t="shared" si="7"/>
        <v/>
      </c>
    </row>
    <row r="283" spans="8:8" x14ac:dyDescent="0.25">
      <c r="H283" s="273" t="str">
        <f t="shared" si="7"/>
        <v/>
      </c>
    </row>
    <row r="284" spans="8:8" x14ac:dyDescent="0.25">
      <c r="H284" s="273" t="str">
        <f t="shared" si="7"/>
        <v/>
      </c>
    </row>
    <row r="285" spans="8:8" x14ac:dyDescent="0.25">
      <c r="H285" s="273" t="str">
        <f t="shared" si="7"/>
        <v/>
      </c>
    </row>
    <row r="286" spans="8:8" x14ac:dyDescent="0.25">
      <c r="H286" s="273" t="str">
        <f t="shared" si="7"/>
        <v/>
      </c>
    </row>
    <row r="287" spans="8:8" x14ac:dyDescent="0.25">
      <c r="H287" s="273" t="str">
        <f t="shared" si="7"/>
        <v/>
      </c>
    </row>
    <row r="288" spans="8:8" x14ac:dyDescent="0.25">
      <c r="H288" s="273" t="str">
        <f t="shared" si="7"/>
        <v/>
      </c>
    </row>
    <row r="289" spans="8:8" x14ac:dyDescent="0.25">
      <c r="H289" s="273" t="str">
        <f t="shared" si="7"/>
        <v/>
      </c>
    </row>
    <row r="290" spans="8:8" x14ac:dyDescent="0.25">
      <c r="H290" s="273" t="str">
        <f t="shared" si="7"/>
        <v/>
      </c>
    </row>
    <row r="291" spans="8:8" x14ac:dyDescent="0.25">
      <c r="H291" s="273" t="str">
        <f t="shared" si="7"/>
        <v/>
      </c>
    </row>
    <row r="292" spans="8:8" x14ac:dyDescent="0.25">
      <c r="H292" s="273" t="str">
        <f t="shared" si="7"/>
        <v/>
      </c>
    </row>
    <row r="293" spans="8:8" x14ac:dyDescent="0.25">
      <c r="H293" s="273" t="str">
        <f t="shared" si="7"/>
        <v/>
      </c>
    </row>
    <row r="294" spans="8:8" x14ac:dyDescent="0.25">
      <c r="H294" s="273" t="str">
        <f t="shared" si="7"/>
        <v/>
      </c>
    </row>
    <row r="295" spans="8:8" x14ac:dyDescent="0.25">
      <c r="H295" s="273" t="str">
        <f t="shared" si="7"/>
        <v/>
      </c>
    </row>
    <row r="296" spans="8:8" x14ac:dyDescent="0.25">
      <c r="H296" s="273" t="str">
        <f t="shared" si="7"/>
        <v/>
      </c>
    </row>
    <row r="297" spans="8:8" x14ac:dyDescent="0.25">
      <c r="H297" s="273" t="str">
        <f t="shared" si="7"/>
        <v/>
      </c>
    </row>
    <row r="298" spans="8:8" x14ac:dyDescent="0.25">
      <c r="H298" s="273" t="str">
        <f t="shared" si="7"/>
        <v/>
      </c>
    </row>
    <row r="299" spans="8:8" x14ac:dyDescent="0.25">
      <c r="H299" s="273" t="str">
        <f t="shared" si="7"/>
        <v/>
      </c>
    </row>
    <row r="300" spans="8:8" x14ac:dyDescent="0.25">
      <c r="H300" s="273" t="str">
        <f t="shared" si="7"/>
        <v/>
      </c>
    </row>
    <row r="301" spans="8:8" x14ac:dyDescent="0.25">
      <c r="H301" s="273" t="str">
        <f t="shared" si="7"/>
        <v/>
      </c>
    </row>
    <row r="302" spans="8:8" x14ac:dyDescent="0.25">
      <c r="H302" s="273" t="str">
        <f t="shared" si="7"/>
        <v/>
      </c>
    </row>
    <row r="303" spans="8:8" x14ac:dyDescent="0.25">
      <c r="H303" s="273" t="str">
        <f t="shared" si="7"/>
        <v/>
      </c>
    </row>
    <row r="304" spans="8:8" x14ac:dyDescent="0.25">
      <c r="H304" s="273" t="str">
        <f t="shared" si="7"/>
        <v/>
      </c>
    </row>
    <row r="305" spans="8:8" x14ac:dyDescent="0.25">
      <c r="H305" s="273" t="str">
        <f t="shared" si="7"/>
        <v/>
      </c>
    </row>
    <row r="306" spans="8:8" x14ac:dyDescent="0.25">
      <c r="H306" s="273" t="str">
        <f t="shared" si="7"/>
        <v/>
      </c>
    </row>
    <row r="307" spans="8:8" x14ac:dyDescent="0.25">
      <c r="H307" s="273" t="str">
        <f t="shared" si="7"/>
        <v/>
      </c>
    </row>
    <row r="308" spans="8:8" x14ac:dyDescent="0.25">
      <c r="H308" s="273" t="str">
        <f t="shared" si="7"/>
        <v/>
      </c>
    </row>
    <row r="309" spans="8:8" x14ac:dyDescent="0.25">
      <c r="H309" s="273" t="str">
        <f t="shared" si="7"/>
        <v/>
      </c>
    </row>
    <row r="310" spans="8:8" x14ac:dyDescent="0.25">
      <c r="H310" s="273" t="str">
        <f t="shared" si="7"/>
        <v/>
      </c>
    </row>
    <row r="311" spans="8:8" x14ac:dyDescent="0.25">
      <c r="H311" s="273" t="str">
        <f t="shared" si="7"/>
        <v/>
      </c>
    </row>
    <row r="312" spans="8:8" x14ac:dyDescent="0.25">
      <c r="H312" s="273" t="str">
        <f t="shared" si="7"/>
        <v/>
      </c>
    </row>
    <row r="313" spans="8:8" x14ac:dyDescent="0.25">
      <c r="H313" s="273" t="str">
        <f t="shared" si="7"/>
        <v/>
      </c>
    </row>
    <row r="314" spans="8:8" x14ac:dyDescent="0.25">
      <c r="H314" s="273" t="str">
        <f t="shared" si="7"/>
        <v/>
      </c>
    </row>
    <row r="315" spans="8:8" x14ac:dyDescent="0.25">
      <c r="H315" s="273" t="str">
        <f t="shared" si="7"/>
        <v/>
      </c>
    </row>
    <row r="316" spans="8:8" x14ac:dyDescent="0.25">
      <c r="H316" s="273" t="str">
        <f t="shared" si="7"/>
        <v/>
      </c>
    </row>
    <row r="317" spans="8:8" x14ac:dyDescent="0.25">
      <c r="H317" s="273" t="str">
        <f t="shared" si="7"/>
        <v/>
      </c>
    </row>
    <row r="318" spans="8:8" x14ac:dyDescent="0.25">
      <c r="H318" s="273" t="str">
        <f t="shared" si="7"/>
        <v/>
      </c>
    </row>
    <row r="319" spans="8:8" x14ac:dyDescent="0.25">
      <c r="H319" s="273" t="str">
        <f t="shared" si="7"/>
        <v/>
      </c>
    </row>
    <row r="320" spans="8:8" x14ac:dyDescent="0.25">
      <c r="H320" s="273" t="str">
        <f t="shared" si="7"/>
        <v/>
      </c>
    </row>
    <row r="321" spans="8:8" x14ac:dyDescent="0.25">
      <c r="H321" s="273" t="str">
        <f t="shared" si="7"/>
        <v/>
      </c>
    </row>
    <row r="322" spans="8:8" x14ac:dyDescent="0.25">
      <c r="H322" s="273" t="str">
        <f t="shared" si="7"/>
        <v/>
      </c>
    </row>
    <row r="323" spans="8:8" x14ac:dyDescent="0.25">
      <c r="H323" s="273" t="str">
        <f t="shared" si="7"/>
        <v/>
      </c>
    </row>
    <row r="324" spans="8:8" x14ac:dyDescent="0.25">
      <c r="H324" s="273" t="str">
        <f t="shared" si="7"/>
        <v/>
      </c>
    </row>
    <row r="325" spans="8:8" x14ac:dyDescent="0.25">
      <c r="H325" s="273" t="str">
        <f t="shared" si="7"/>
        <v/>
      </c>
    </row>
    <row r="326" spans="8:8" x14ac:dyDescent="0.25">
      <c r="H326" s="273" t="str">
        <f t="shared" si="7"/>
        <v/>
      </c>
    </row>
    <row r="327" spans="8:8" x14ac:dyDescent="0.25">
      <c r="H327" s="273" t="str">
        <f t="shared" si="7"/>
        <v/>
      </c>
    </row>
    <row r="328" spans="8:8" x14ac:dyDescent="0.25">
      <c r="H328" s="273" t="str">
        <f t="shared" si="7"/>
        <v/>
      </c>
    </row>
    <row r="329" spans="8:8" x14ac:dyDescent="0.25">
      <c r="H329" s="273" t="str">
        <f t="shared" si="7"/>
        <v/>
      </c>
    </row>
    <row r="330" spans="8:8" x14ac:dyDescent="0.25">
      <c r="H330" s="273" t="str">
        <f t="shared" si="7"/>
        <v/>
      </c>
    </row>
    <row r="331" spans="8:8" x14ac:dyDescent="0.25">
      <c r="H331" s="273" t="str">
        <f t="shared" si="7"/>
        <v/>
      </c>
    </row>
    <row r="332" spans="8:8" x14ac:dyDescent="0.25">
      <c r="H332" s="273" t="str">
        <f t="shared" si="7"/>
        <v/>
      </c>
    </row>
    <row r="333" spans="8:8" x14ac:dyDescent="0.25">
      <c r="H333" s="273" t="str">
        <f t="shared" si="7"/>
        <v/>
      </c>
    </row>
    <row r="334" spans="8:8" x14ac:dyDescent="0.25">
      <c r="H334" s="273" t="str">
        <f t="shared" si="7"/>
        <v/>
      </c>
    </row>
    <row r="335" spans="8:8" x14ac:dyDescent="0.25">
      <c r="H335" s="273" t="str">
        <f t="shared" si="7"/>
        <v/>
      </c>
    </row>
    <row r="336" spans="8:8" x14ac:dyDescent="0.25">
      <c r="H336" s="273" t="str">
        <f t="shared" si="7"/>
        <v/>
      </c>
    </row>
    <row r="337" spans="8:8" x14ac:dyDescent="0.25">
      <c r="H337" s="273" t="str">
        <f t="shared" si="7"/>
        <v/>
      </c>
    </row>
    <row r="338" spans="8:8" x14ac:dyDescent="0.25">
      <c r="H338" s="273" t="str">
        <f t="shared" si="7"/>
        <v/>
      </c>
    </row>
    <row r="339" spans="8:8" x14ac:dyDescent="0.25">
      <c r="H339" s="273" t="str">
        <f t="shared" ref="H339:H402" si="8">IFERROR(D339/E339,"")</f>
        <v/>
      </c>
    </row>
    <row r="340" spans="8:8" x14ac:dyDescent="0.25">
      <c r="H340" s="273" t="str">
        <f t="shared" si="8"/>
        <v/>
      </c>
    </row>
    <row r="341" spans="8:8" x14ac:dyDescent="0.25">
      <c r="H341" s="273" t="str">
        <f t="shared" si="8"/>
        <v/>
      </c>
    </row>
    <row r="342" spans="8:8" x14ac:dyDescent="0.25">
      <c r="H342" s="273" t="str">
        <f t="shared" si="8"/>
        <v/>
      </c>
    </row>
    <row r="343" spans="8:8" x14ac:dyDescent="0.25">
      <c r="H343" s="273" t="str">
        <f t="shared" si="8"/>
        <v/>
      </c>
    </row>
    <row r="344" spans="8:8" x14ac:dyDescent="0.25">
      <c r="H344" s="273" t="str">
        <f t="shared" si="8"/>
        <v/>
      </c>
    </row>
    <row r="345" spans="8:8" x14ac:dyDescent="0.25">
      <c r="H345" s="273" t="str">
        <f t="shared" si="8"/>
        <v/>
      </c>
    </row>
    <row r="346" spans="8:8" x14ac:dyDescent="0.25">
      <c r="H346" s="273" t="str">
        <f t="shared" si="8"/>
        <v/>
      </c>
    </row>
    <row r="347" spans="8:8" x14ac:dyDescent="0.25">
      <c r="H347" s="273" t="str">
        <f t="shared" si="8"/>
        <v/>
      </c>
    </row>
    <row r="348" spans="8:8" x14ac:dyDescent="0.25">
      <c r="H348" s="273" t="str">
        <f t="shared" si="8"/>
        <v/>
      </c>
    </row>
    <row r="349" spans="8:8" x14ac:dyDescent="0.25">
      <c r="H349" s="273" t="str">
        <f t="shared" si="8"/>
        <v/>
      </c>
    </row>
    <row r="350" spans="8:8" x14ac:dyDescent="0.25">
      <c r="H350" s="273" t="str">
        <f t="shared" si="8"/>
        <v/>
      </c>
    </row>
    <row r="351" spans="8:8" x14ac:dyDescent="0.25">
      <c r="H351" s="273" t="str">
        <f t="shared" si="8"/>
        <v/>
      </c>
    </row>
    <row r="352" spans="8:8" x14ac:dyDescent="0.25">
      <c r="H352" s="273" t="str">
        <f t="shared" si="8"/>
        <v/>
      </c>
    </row>
    <row r="353" spans="8:8" x14ac:dyDescent="0.25">
      <c r="H353" s="273" t="str">
        <f t="shared" si="8"/>
        <v/>
      </c>
    </row>
    <row r="354" spans="8:8" x14ac:dyDescent="0.25">
      <c r="H354" s="273" t="str">
        <f t="shared" si="8"/>
        <v/>
      </c>
    </row>
    <row r="355" spans="8:8" x14ac:dyDescent="0.25">
      <c r="H355" s="273" t="str">
        <f t="shared" si="8"/>
        <v/>
      </c>
    </row>
    <row r="356" spans="8:8" x14ac:dyDescent="0.25">
      <c r="H356" s="273" t="str">
        <f t="shared" si="8"/>
        <v/>
      </c>
    </row>
    <row r="357" spans="8:8" x14ac:dyDescent="0.25">
      <c r="H357" s="273" t="str">
        <f t="shared" si="8"/>
        <v/>
      </c>
    </row>
    <row r="358" spans="8:8" x14ac:dyDescent="0.25">
      <c r="H358" s="273" t="str">
        <f t="shared" si="8"/>
        <v/>
      </c>
    </row>
    <row r="359" spans="8:8" x14ac:dyDescent="0.25">
      <c r="H359" s="273" t="str">
        <f t="shared" si="8"/>
        <v/>
      </c>
    </row>
    <row r="360" spans="8:8" x14ac:dyDescent="0.25">
      <c r="H360" s="273" t="str">
        <f t="shared" si="8"/>
        <v/>
      </c>
    </row>
    <row r="361" spans="8:8" x14ac:dyDescent="0.25">
      <c r="H361" s="273" t="str">
        <f t="shared" si="8"/>
        <v/>
      </c>
    </row>
    <row r="362" spans="8:8" x14ac:dyDescent="0.25">
      <c r="H362" s="273" t="str">
        <f t="shared" si="8"/>
        <v/>
      </c>
    </row>
    <row r="363" spans="8:8" x14ac:dyDescent="0.25">
      <c r="H363" s="273" t="str">
        <f t="shared" si="8"/>
        <v/>
      </c>
    </row>
    <row r="364" spans="8:8" x14ac:dyDescent="0.25">
      <c r="H364" s="273" t="str">
        <f t="shared" si="8"/>
        <v/>
      </c>
    </row>
    <row r="365" spans="8:8" x14ac:dyDescent="0.25">
      <c r="H365" s="273" t="str">
        <f t="shared" si="8"/>
        <v/>
      </c>
    </row>
    <row r="366" spans="8:8" x14ac:dyDescent="0.25">
      <c r="H366" s="273" t="str">
        <f t="shared" si="8"/>
        <v/>
      </c>
    </row>
    <row r="367" spans="8:8" x14ac:dyDescent="0.25">
      <c r="H367" s="273" t="str">
        <f t="shared" si="8"/>
        <v/>
      </c>
    </row>
    <row r="368" spans="8:8" x14ac:dyDescent="0.25">
      <c r="H368" s="273" t="str">
        <f t="shared" si="8"/>
        <v/>
      </c>
    </row>
    <row r="369" spans="8:8" x14ac:dyDescent="0.25">
      <c r="H369" s="273" t="str">
        <f t="shared" si="8"/>
        <v/>
      </c>
    </row>
    <row r="370" spans="8:8" x14ac:dyDescent="0.25">
      <c r="H370" s="273" t="str">
        <f t="shared" si="8"/>
        <v/>
      </c>
    </row>
    <row r="371" spans="8:8" x14ac:dyDescent="0.25">
      <c r="H371" s="273" t="str">
        <f t="shared" si="8"/>
        <v/>
      </c>
    </row>
    <row r="372" spans="8:8" x14ac:dyDescent="0.25">
      <c r="H372" s="273" t="str">
        <f t="shared" si="8"/>
        <v/>
      </c>
    </row>
    <row r="373" spans="8:8" x14ac:dyDescent="0.25">
      <c r="H373" s="273" t="str">
        <f t="shared" si="8"/>
        <v/>
      </c>
    </row>
    <row r="374" spans="8:8" x14ac:dyDescent="0.25">
      <c r="H374" s="273" t="str">
        <f t="shared" si="8"/>
        <v/>
      </c>
    </row>
    <row r="375" spans="8:8" x14ac:dyDescent="0.25">
      <c r="H375" s="273" t="str">
        <f t="shared" si="8"/>
        <v/>
      </c>
    </row>
    <row r="376" spans="8:8" x14ac:dyDescent="0.25">
      <c r="H376" s="273" t="str">
        <f t="shared" si="8"/>
        <v/>
      </c>
    </row>
    <row r="377" spans="8:8" x14ac:dyDescent="0.25">
      <c r="H377" s="273" t="str">
        <f t="shared" si="8"/>
        <v/>
      </c>
    </row>
    <row r="378" spans="8:8" x14ac:dyDescent="0.25">
      <c r="H378" s="273" t="str">
        <f t="shared" si="8"/>
        <v/>
      </c>
    </row>
    <row r="379" spans="8:8" x14ac:dyDescent="0.25">
      <c r="H379" s="273" t="str">
        <f t="shared" si="8"/>
        <v/>
      </c>
    </row>
    <row r="380" spans="8:8" x14ac:dyDescent="0.25">
      <c r="H380" s="273" t="str">
        <f t="shared" si="8"/>
        <v/>
      </c>
    </row>
    <row r="381" spans="8:8" x14ac:dyDescent="0.25">
      <c r="H381" s="273" t="str">
        <f t="shared" si="8"/>
        <v/>
      </c>
    </row>
    <row r="382" spans="8:8" x14ac:dyDescent="0.25">
      <c r="H382" s="273" t="str">
        <f t="shared" si="8"/>
        <v/>
      </c>
    </row>
    <row r="383" spans="8:8" x14ac:dyDescent="0.25">
      <c r="H383" s="273" t="str">
        <f t="shared" si="8"/>
        <v/>
      </c>
    </row>
    <row r="384" spans="8:8" x14ac:dyDescent="0.25">
      <c r="H384" s="273" t="str">
        <f t="shared" si="8"/>
        <v/>
      </c>
    </row>
    <row r="385" spans="8:8" x14ac:dyDescent="0.25">
      <c r="H385" s="273" t="str">
        <f t="shared" si="8"/>
        <v/>
      </c>
    </row>
    <row r="386" spans="8:8" x14ac:dyDescent="0.25">
      <c r="H386" s="273" t="str">
        <f t="shared" si="8"/>
        <v/>
      </c>
    </row>
    <row r="387" spans="8:8" x14ac:dyDescent="0.25">
      <c r="H387" s="273" t="str">
        <f t="shared" si="8"/>
        <v/>
      </c>
    </row>
    <row r="388" spans="8:8" x14ac:dyDescent="0.25">
      <c r="H388" s="273" t="str">
        <f t="shared" si="8"/>
        <v/>
      </c>
    </row>
    <row r="389" spans="8:8" x14ac:dyDescent="0.25">
      <c r="H389" s="273" t="str">
        <f t="shared" si="8"/>
        <v/>
      </c>
    </row>
    <row r="390" spans="8:8" x14ac:dyDescent="0.25">
      <c r="H390" s="273" t="str">
        <f t="shared" si="8"/>
        <v/>
      </c>
    </row>
    <row r="391" spans="8:8" x14ac:dyDescent="0.25">
      <c r="H391" s="273" t="str">
        <f t="shared" si="8"/>
        <v/>
      </c>
    </row>
    <row r="392" spans="8:8" x14ac:dyDescent="0.25">
      <c r="H392" s="273" t="str">
        <f t="shared" si="8"/>
        <v/>
      </c>
    </row>
    <row r="393" spans="8:8" x14ac:dyDescent="0.25">
      <c r="H393" s="273" t="str">
        <f t="shared" si="8"/>
        <v/>
      </c>
    </row>
    <row r="394" spans="8:8" x14ac:dyDescent="0.25">
      <c r="H394" s="273" t="str">
        <f t="shared" si="8"/>
        <v/>
      </c>
    </row>
    <row r="395" spans="8:8" x14ac:dyDescent="0.25">
      <c r="H395" s="273" t="str">
        <f t="shared" si="8"/>
        <v/>
      </c>
    </row>
    <row r="396" spans="8:8" x14ac:dyDescent="0.25">
      <c r="H396" s="273" t="str">
        <f t="shared" si="8"/>
        <v/>
      </c>
    </row>
    <row r="397" spans="8:8" x14ac:dyDescent="0.25">
      <c r="H397" s="273" t="str">
        <f t="shared" si="8"/>
        <v/>
      </c>
    </row>
    <row r="398" spans="8:8" x14ac:dyDescent="0.25">
      <c r="H398" s="273" t="str">
        <f t="shared" si="8"/>
        <v/>
      </c>
    </row>
    <row r="399" spans="8:8" x14ac:dyDescent="0.25">
      <c r="H399" s="273" t="str">
        <f t="shared" si="8"/>
        <v/>
      </c>
    </row>
    <row r="400" spans="8:8" x14ac:dyDescent="0.25">
      <c r="H400" s="273" t="str">
        <f t="shared" si="8"/>
        <v/>
      </c>
    </row>
    <row r="401" spans="8:8" x14ac:dyDescent="0.25">
      <c r="H401" s="273" t="str">
        <f t="shared" si="8"/>
        <v/>
      </c>
    </row>
    <row r="402" spans="8:8" x14ac:dyDescent="0.25">
      <c r="H402" s="273" t="str">
        <f t="shared" si="8"/>
        <v/>
      </c>
    </row>
    <row r="403" spans="8:8" x14ac:dyDescent="0.25">
      <c r="H403" s="273" t="str">
        <f t="shared" ref="H403:H466" si="9">IFERROR(D403/E403,"")</f>
        <v/>
      </c>
    </row>
    <row r="404" spans="8:8" x14ac:dyDescent="0.25">
      <c r="H404" s="273" t="str">
        <f t="shared" si="9"/>
        <v/>
      </c>
    </row>
    <row r="405" spans="8:8" x14ac:dyDescent="0.25">
      <c r="H405" s="273" t="str">
        <f t="shared" si="9"/>
        <v/>
      </c>
    </row>
    <row r="406" spans="8:8" x14ac:dyDescent="0.25">
      <c r="H406" s="273" t="str">
        <f t="shared" si="9"/>
        <v/>
      </c>
    </row>
    <row r="407" spans="8:8" x14ac:dyDescent="0.25">
      <c r="H407" s="273" t="str">
        <f t="shared" si="9"/>
        <v/>
      </c>
    </row>
    <row r="408" spans="8:8" x14ac:dyDescent="0.25">
      <c r="H408" s="273" t="str">
        <f t="shared" si="9"/>
        <v/>
      </c>
    </row>
    <row r="409" spans="8:8" x14ac:dyDescent="0.25">
      <c r="H409" s="273" t="str">
        <f t="shared" si="9"/>
        <v/>
      </c>
    </row>
    <row r="410" spans="8:8" x14ac:dyDescent="0.25">
      <c r="H410" s="273" t="str">
        <f t="shared" si="9"/>
        <v/>
      </c>
    </row>
    <row r="411" spans="8:8" x14ac:dyDescent="0.25">
      <c r="H411" s="273" t="str">
        <f t="shared" si="9"/>
        <v/>
      </c>
    </row>
    <row r="412" spans="8:8" x14ac:dyDescent="0.25">
      <c r="H412" s="273" t="str">
        <f t="shared" si="9"/>
        <v/>
      </c>
    </row>
    <row r="413" spans="8:8" x14ac:dyDescent="0.25">
      <c r="H413" s="273" t="str">
        <f t="shared" si="9"/>
        <v/>
      </c>
    </row>
    <row r="414" spans="8:8" x14ac:dyDescent="0.25">
      <c r="H414" s="273" t="str">
        <f t="shared" si="9"/>
        <v/>
      </c>
    </row>
    <row r="415" spans="8:8" x14ac:dyDescent="0.25">
      <c r="H415" s="273" t="str">
        <f t="shared" si="9"/>
        <v/>
      </c>
    </row>
    <row r="416" spans="8:8" x14ac:dyDescent="0.25">
      <c r="H416" s="273" t="str">
        <f t="shared" si="9"/>
        <v/>
      </c>
    </row>
    <row r="417" spans="8:8" x14ac:dyDescent="0.25">
      <c r="H417" s="273" t="str">
        <f t="shared" si="9"/>
        <v/>
      </c>
    </row>
    <row r="418" spans="8:8" x14ac:dyDescent="0.25">
      <c r="H418" s="273" t="str">
        <f t="shared" si="9"/>
        <v/>
      </c>
    </row>
    <row r="419" spans="8:8" x14ac:dyDescent="0.25">
      <c r="H419" s="273" t="str">
        <f t="shared" si="9"/>
        <v/>
      </c>
    </row>
    <row r="420" spans="8:8" x14ac:dyDescent="0.25">
      <c r="H420" s="273" t="str">
        <f t="shared" si="9"/>
        <v/>
      </c>
    </row>
    <row r="421" spans="8:8" x14ac:dyDescent="0.25">
      <c r="H421" s="273" t="str">
        <f t="shared" si="9"/>
        <v/>
      </c>
    </row>
    <row r="422" spans="8:8" x14ac:dyDescent="0.25">
      <c r="H422" s="273" t="str">
        <f t="shared" si="9"/>
        <v/>
      </c>
    </row>
    <row r="423" spans="8:8" x14ac:dyDescent="0.25">
      <c r="H423" s="273" t="str">
        <f t="shared" si="9"/>
        <v/>
      </c>
    </row>
    <row r="424" spans="8:8" x14ac:dyDescent="0.25">
      <c r="H424" s="273" t="str">
        <f t="shared" si="9"/>
        <v/>
      </c>
    </row>
    <row r="425" spans="8:8" x14ac:dyDescent="0.25">
      <c r="H425" s="273" t="str">
        <f t="shared" si="9"/>
        <v/>
      </c>
    </row>
    <row r="426" spans="8:8" x14ac:dyDescent="0.25">
      <c r="H426" s="273" t="str">
        <f t="shared" si="9"/>
        <v/>
      </c>
    </row>
    <row r="427" spans="8:8" x14ac:dyDescent="0.25">
      <c r="H427" s="273" t="str">
        <f t="shared" si="9"/>
        <v/>
      </c>
    </row>
    <row r="428" spans="8:8" x14ac:dyDescent="0.25">
      <c r="H428" s="273" t="str">
        <f t="shared" si="9"/>
        <v/>
      </c>
    </row>
    <row r="429" spans="8:8" x14ac:dyDescent="0.25">
      <c r="H429" s="273" t="str">
        <f t="shared" si="9"/>
        <v/>
      </c>
    </row>
    <row r="430" spans="8:8" x14ac:dyDescent="0.25">
      <c r="H430" s="273" t="str">
        <f t="shared" si="9"/>
        <v/>
      </c>
    </row>
    <row r="431" spans="8:8" x14ac:dyDescent="0.25">
      <c r="H431" s="273" t="str">
        <f t="shared" si="9"/>
        <v/>
      </c>
    </row>
    <row r="432" spans="8:8" x14ac:dyDescent="0.25">
      <c r="H432" s="273" t="str">
        <f t="shared" si="9"/>
        <v/>
      </c>
    </row>
    <row r="433" spans="8:8" x14ac:dyDescent="0.25">
      <c r="H433" s="273" t="str">
        <f t="shared" si="9"/>
        <v/>
      </c>
    </row>
    <row r="434" spans="8:8" x14ac:dyDescent="0.25">
      <c r="H434" s="273" t="str">
        <f t="shared" si="9"/>
        <v/>
      </c>
    </row>
    <row r="435" spans="8:8" x14ac:dyDescent="0.25">
      <c r="H435" s="273" t="str">
        <f t="shared" si="9"/>
        <v/>
      </c>
    </row>
    <row r="436" spans="8:8" x14ac:dyDescent="0.25">
      <c r="H436" s="273" t="str">
        <f t="shared" si="9"/>
        <v/>
      </c>
    </row>
    <row r="437" spans="8:8" x14ac:dyDescent="0.25">
      <c r="H437" s="273" t="str">
        <f t="shared" si="9"/>
        <v/>
      </c>
    </row>
    <row r="438" spans="8:8" x14ac:dyDescent="0.25">
      <c r="H438" s="273" t="str">
        <f t="shared" si="9"/>
        <v/>
      </c>
    </row>
    <row r="439" spans="8:8" x14ac:dyDescent="0.25">
      <c r="H439" s="273" t="str">
        <f t="shared" si="9"/>
        <v/>
      </c>
    </row>
    <row r="440" spans="8:8" x14ac:dyDescent="0.25">
      <c r="H440" s="273" t="str">
        <f t="shared" si="9"/>
        <v/>
      </c>
    </row>
    <row r="441" spans="8:8" x14ac:dyDescent="0.25">
      <c r="H441" s="273" t="str">
        <f t="shared" si="9"/>
        <v/>
      </c>
    </row>
    <row r="442" spans="8:8" x14ac:dyDescent="0.25">
      <c r="H442" s="273" t="str">
        <f t="shared" si="9"/>
        <v/>
      </c>
    </row>
    <row r="443" spans="8:8" x14ac:dyDescent="0.25">
      <c r="H443" s="273" t="str">
        <f t="shared" si="9"/>
        <v/>
      </c>
    </row>
    <row r="444" spans="8:8" x14ac:dyDescent="0.25">
      <c r="H444" s="273" t="str">
        <f t="shared" si="9"/>
        <v/>
      </c>
    </row>
    <row r="445" spans="8:8" x14ac:dyDescent="0.25">
      <c r="H445" s="273" t="str">
        <f t="shared" si="9"/>
        <v/>
      </c>
    </row>
    <row r="446" spans="8:8" x14ac:dyDescent="0.25">
      <c r="H446" s="273" t="str">
        <f t="shared" si="9"/>
        <v/>
      </c>
    </row>
    <row r="447" spans="8:8" x14ac:dyDescent="0.25">
      <c r="H447" s="273" t="str">
        <f t="shared" si="9"/>
        <v/>
      </c>
    </row>
    <row r="448" spans="8:8" x14ac:dyDescent="0.25">
      <c r="H448" s="273" t="str">
        <f t="shared" si="9"/>
        <v/>
      </c>
    </row>
    <row r="449" spans="8:8" x14ac:dyDescent="0.25">
      <c r="H449" s="273" t="str">
        <f t="shared" si="9"/>
        <v/>
      </c>
    </row>
    <row r="450" spans="8:8" x14ac:dyDescent="0.25">
      <c r="H450" s="273" t="str">
        <f t="shared" si="9"/>
        <v/>
      </c>
    </row>
    <row r="451" spans="8:8" x14ac:dyDescent="0.25">
      <c r="H451" s="273" t="str">
        <f t="shared" si="9"/>
        <v/>
      </c>
    </row>
    <row r="452" spans="8:8" x14ac:dyDescent="0.25">
      <c r="H452" s="273" t="str">
        <f t="shared" si="9"/>
        <v/>
      </c>
    </row>
    <row r="453" spans="8:8" x14ac:dyDescent="0.25">
      <c r="H453" s="273" t="str">
        <f t="shared" si="9"/>
        <v/>
      </c>
    </row>
    <row r="454" spans="8:8" x14ac:dyDescent="0.25">
      <c r="H454" s="273" t="str">
        <f t="shared" si="9"/>
        <v/>
      </c>
    </row>
    <row r="455" spans="8:8" x14ac:dyDescent="0.25">
      <c r="H455" s="273" t="str">
        <f t="shared" si="9"/>
        <v/>
      </c>
    </row>
    <row r="456" spans="8:8" x14ac:dyDescent="0.25">
      <c r="H456" s="273" t="str">
        <f t="shared" si="9"/>
        <v/>
      </c>
    </row>
    <row r="457" spans="8:8" x14ac:dyDescent="0.25">
      <c r="H457" s="273" t="str">
        <f t="shared" si="9"/>
        <v/>
      </c>
    </row>
    <row r="458" spans="8:8" x14ac:dyDescent="0.25">
      <c r="H458" s="273" t="str">
        <f t="shared" si="9"/>
        <v/>
      </c>
    </row>
    <row r="459" spans="8:8" x14ac:dyDescent="0.25">
      <c r="H459" s="273" t="str">
        <f t="shared" si="9"/>
        <v/>
      </c>
    </row>
    <row r="460" spans="8:8" x14ac:dyDescent="0.25">
      <c r="H460" s="273" t="str">
        <f t="shared" si="9"/>
        <v/>
      </c>
    </row>
    <row r="461" spans="8:8" x14ac:dyDescent="0.25">
      <c r="H461" s="273" t="str">
        <f t="shared" si="9"/>
        <v/>
      </c>
    </row>
    <row r="462" spans="8:8" x14ac:dyDescent="0.25">
      <c r="H462" s="273" t="str">
        <f t="shared" si="9"/>
        <v/>
      </c>
    </row>
    <row r="463" spans="8:8" x14ac:dyDescent="0.25">
      <c r="H463" s="273" t="str">
        <f t="shared" si="9"/>
        <v/>
      </c>
    </row>
    <row r="464" spans="8:8" x14ac:dyDescent="0.25">
      <c r="H464" s="273" t="str">
        <f t="shared" si="9"/>
        <v/>
      </c>
    </row>
    <row r="465" spans="8:8" x14ac:dyDescent="0.25">
      <c r="H465" s="273" t="str">
        <f t="shared" si="9"/>
        <v/>
      </c>
    </row>
    <row r="466" spans="8:8" x14ac:dyDescent="0.25">
      <c r="H466" s="273" t="str">
        <f t="shared" si="9"/>
        <v/>
      </c>
    </row>
    <row r="467" spans="8:8" x14ac:dyDescent="0.25">
      <c r="H467" s="273" t="str">
        <f t="shared" ref="H467:H500" si="10">IFERROR(D467/E467,"")</f>
        <v/>
      </c>
    </row>
    <row r="468" spans="8:8" x14ac:dyDescent="0.25">
      <c r="H468" s="273" t="str">
        <f t="shared" si="10"/>
        <v/>
      </c>
    </row>
    <row r="469" spans="8:8" x14ac:dyDescent="0.25">
      <c r="H469" s="273" t="str">
        <f t="shared" si="10"/>
        <v/>
      </c>
    </row>
    <row r="470" spans="8:8" x14ac:dyDescent="0.25">
      <c r="H470" s="273" t="str">
        <f t="shared" si="10"/>
        <v/>
      </c>
    </row>
    <row r="471" spans="8:8" x14ac:dyDescent="0.25">
      <c r="H471" s="273" t="str">
        <f t="shared" si="10"/>
        <v/>
      </c>
    </row>
    <row r="472" spans="8:8" x14ac:dyDescent="0.25">
      <c r="H472" s="273" t="str">
        <f t="shared" si="10"/>
        <v/>
      </c>
    </row>
    <row r="473" spans="8:8" x14ac:dyDescent="0.25">
      <c r="H473" s="273" t="str">
        <f t="shared" si="10"/>
        <v/>
      </c>
    </row>
    <row r="474" spans="8:8" x14ac:dyDescent="0.25">
      <c r="H474" s="273" t="str">
        <f t="shared" si="10"/>
        <v/>
      </c>
    </row>
    <row r="475" spans="8:8" x14ac:dyDescent="0.25">
      <c r="H475" s="273" t="str">
        <f t="shared" si="10"/>
        <v/>
      </c>
    </row>
    <row r="476" spans="8:8" x14ac:dyDescent="0.25">
      <c r="H476" s="273" t="str">
        <f t="shared" si="10"/>
        <v/>
      </c>
    </row>
    <row r="477" spans="8:8" x14ac:dyDescent="0.25">
      <c r="H477" s="273" t="str">
        <f t="shared" si="10"/>
        <v/>
      </c>
    </row>
    <row r="478" spans="8:8" x14ac:dyDescent="0.25">
      <c r="H478" s="273" t="str">
        <f t="shared" si="10"/>
        <v/>
      </c>
    </row>
    <row r="479" spans="8:8" x14ac:dyDescent="0.25">
      <c r="H479" s="273" t="str">
        <f t="shared" si="10"/>
        <v/>
      </c>
    </row>
    <row r="480" spans="8:8" x14ac:dyDescent="0.25">
      <c r="H480" s="273" t="str">
        <f t="shared" si="10"/>
        <v/>
      </c>
    </row>
    <row r="481" spans="8:8" x14ac:dyDescent="0.25">
      <c r="H481" s="273" t="str">
        <f t="shared" si="10"/>
        <v/>
      </c>
    </row>
    <row r="482" spans="8:8" x14ac:dyDescent="0.25">
      <c r="H482" s="273" t="str">
        <f t="shared" si="10"/>
        <v/>
      </c>
    </row>
    <row r="483" spans="8:8" x14ac:dyDescent="0.25">
      <c r="H483" s="273" t="str">
        <f t="shared" si="10"/>
        <v/>
      </c>
    </row>
    <row r="484" spans="8:8" x14ac:dyDescent="0.25">
      <c r="H484" s="273" t="str">
        <f t="shared" si="10"/>
        <v/>
      </c>
    </row>
    <row r="485" spans="8:8" x14ac:dyDescent="0.25">
      <c r="H485" s="273" t="str">
        <f t="shared" si="10"/>
        <v/>
      </c>
    </row>
    <row r="486" spans="8:8" x14ac:dyDescent="0.25">
      <c r="H486" s="273" t="str">
        <f t="shared" si="10"/>
        <v/>
      </c>
    </row>
    <row r="487" spans="8:8" x14ac:dyDescent="0.25">
      <c r="H487" s="273" t="str">
        <f t="shared" si="10"/>
        <v/>
      </c>
    </row>
    <row r="488" spans="8:8" x14ac:dyDescent="0.25">
      <c r="H488" s="273" t="str">
        <f t="shared" si="10"/>
        <v/>
      </c>
    </row>
    <row r="489" spans="8:8" x14ac:dyDescent="0.25">
      <c r="H489" s="273" t="str">
        <f t="shared" si="10"/>
        <v/>
      </c>
    </row>
    <row r="490" spans="8:8" x14ac:dyDescent="0.25">
      <c r="H490" s="273" t="str">
        <f t="shared" si="10"/>
        <v/>
      </c>
    </row>
    <row r="491" spans="8:8" x14ac:dyDescent="0.25">
      <c r="H491" s="273" t="str">
        <f t="shared" si="10"/>
        <v/>
      </c>
    </row>
    <row r="492" spans="8:8" x14ac:dyDescent="0.25">
      <c r="H492" s="273" t="str">
        <f t="shared" si="10"/>
        <v/>
      </c>
    </row>
    <row r="493" spans="8:8" x14ac:dyDescent="0.25">
      <c r="H493" s="273" t="str">
        <f t="shared" si="10"/>
        <v/>
      </c>
    </row>
    <row r="494" spans="8:8" x14ac:dyDescent="0.25">
      <c r="H494" s="273" t="str">
        <f t="shared" si="10"/>
        <v/>
      </c>
    </row>
    <row r="495" spans="8:8" x14ac:dyDescent="0.25">
      <c r="H495" s="273" t="str">
        <f t="shared" si="10"/>
        <v/>
      </c>
    </row>
    <row r="496" spans="8:8" x14ac:dyDescent="0.25">
      <c r="H496" s="273" t="str">
        <f t="shared" si="10"/>
        <v/>
      </c>
    </row>
    <row r="497" spans="8:8" x14ac:dyDescent="0.25">
      <c r="H497" s="273" t="str">
        <f t="shared" si="10"/>
        <v/>
      </c>
    </row>
    <row r="498" spans="8:8" x14ac:dyDescent="0.25">
      <c r="H498" s="273" t="str">
        <f t="shared" si="10"/>
        <v/>
      </c>
    </row>
    <row r="499" spans="8:8" x14ac:dyDescent="0.25">
      <c r="H499" s="273" t="str">
        <f t="shared" si="10"/>
        <v/>
      </c>
    </row>
    <row r="500" spans="8:8" x14ac:dyDescent="0.25">
      <c r="H500" s="273" t="str">
        <f t="shared" si="10"/>
        <v/>
      </c>
    </row>
  </sheetData>
  <dataValidations count="1">
    <dataValidation type="list" allowBlank="1" showInputMessage="1" showErrorMessage="1" sqref="B6:B9" xr:uid="{9BCD0F2B-730A-4BBE-82B3-8AE73B10C9FD}">
      <formula1>"Tier 1,Tier 2,Tier 3,Tier 4"</formula1>
    </dataValidation>
  </dataValidations>
  <pageMargins left="0.7" right="0.7" top="0.75" bottom="0.75" header="0.3" footer="0.3"/>
  <pageSetup paperSize="9"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AE89A-81E2-4646-A123-939974B4BE19}">
  <sheetPr codeName="Sheet90">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16384" width="9.1796875" style="132"/>
  </cols>
  <sheetData>
    <row r="1" spans="1:8" ht="13" x14ac:dyDescent="0.25">
      <c r="A1" s="202" t="str">
        <f>B16</f>
        <v>Plastic sheeting</v>
      </c>
    </row>
    <row r="2" spans="1:8" ht="13" x14ac:dyDescent="0.25">
      <c r="A2" s="202"/>
    </row>
    <row r="3" spans="1:8" ht="13" x14ac:dyDescent="0.3">
      <c r="A3" s="227" t="s">
        <v>5626</v>
      </c>
      <c r="B3" s="132" t="s">
        <v>5887</v>
      </c>
    </row>
    <row r="4" spans="1:8" ht="13" x14ac:dyDescent="0.25">
      <c r="A4" s="202"/>
    </row>
    <row r="5" spans="1:8" ht="73.5" customHeight="1" x14ac:dyDescent="0.3">
      <c r="A5" s="227" t="s">
        <v>5628</v>
      </c>
      <c r="B5" s="200" t="s">
        <v>5888</v>
      </c>
    </row>
    <row r="6" spans="1:8" ht="13" x14ac:dyDescent="0.3">
      <c r="A6" s="227" t="s">
        <v>5630</v>
      </c>
      <c r="B6" s="201" t="s">
        <v>73</v>
      </c>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4625</v>
      </c>
      <c r="C16" s="316" t="s">
        <v>24</v>
      </c>
      <c r="D16" s="314" t="s">
        <v>146</v>
      </c>
      <c r="E16" s="315" t="s">
        <v>153</v>
      </c>
      <c r="F16" s="314" t="s">
        <v>147</v>
      </c>
      <c r="G16" s="314" t="s">
        <v>154</v>
      </c>
      <c r="H16" s="131"/>
    </row>
    <row r="17" spans="1:8" ht="13" x14ac:dyDescent="0.3">
      <c r="A17" s="133"/>
      <c r="B17" s="211"/>
      <c r="C17" s="212" t="s">
        <v>5636</v>
      </c>
      <c r="D17" s="196" t="str" cm="1">
        <f t="array" ref="D17">IF(AND(_xlfn.ANCHORARRAY(C23)=C23),C23,"Mixed")</f>
        <v>m³</v>
      </c>
      <c r="E17" s="196" t="s">
        <v>2774</v>
      </c>
      <c r="F17" s="196" t="str" cm="1">
        <f t="array" ref="F17">IF(AND(_xlfn.ANCHORARRAY(C23)=C23),C23,"Mixed")</f>
        <v>m³</v>
      </c>
      <c r="G17" s="213" t="s">
        <v>2774</v>
      </c>
      <c r="H17" s="131"/>
    </row>
    <row r="18" spans="1:8" s="200" customFormat="1" ht="13" x14ac:dyDescent="0.3">
      <c r="A18" s="221"/>
      <c r="B18" s="214"/>
      <c r="C18" s="202" t="s">
        <v>5637</v>
      </c>
      <c r="D18" s="198">
        <f t="shared" ref="D18:G18" si="0">MAX(_xlfn.ANCHORARRAY(D23))</f>
        <v>11528.78</v>
      </c>
      <c r="E18" s="198">
        <f t="shared" si="0"/>
        <v>9.6073166666666676</v>
      </c>
      <c r="F18" s="198">
        <f t="shared" si="0"/>
        <v>0</v>
      </c>
      <c r="G18" s="215">
        <f t="shared" si="0"/>
        <v>0</v>
      </c>
      <c r="H18" s="131"/>
    </row>
    <row r="19" spans="1:8" ht="13" x14ac:dyDescent="0.25">
      <c r="A19" s="133"/>
      <c r="B19" s="204"/>
      <c r="C19" s="202" t="s">
        <v>5638</v>
      </c>
      <c r="D19" s="198">
        <f>MIN(_xlfn.ANCHORARRAY(D23))</f>
        <v>485.17999999999995</v>
      </c>
      <c r="E19" s="198">
        <f t="shared" ref="E19:G19" si="1">MIN(_xlfn.ANCHORARRAY(E23))</f>
        <v>0.44107272727272723</v>
      </c>
      <c r="F19" s="198">
        <f t="shared" si="1"/>
        <v>0</v>
      </c>
      <c r="G19" s="215">
        <f t="shared" si="1"/>
        <v>0</v>
      </c>
      <c r="H19" s="131"/>
    </row>
    <row r="20" spans="1:8" ht="13" x14ac:dyDescent="0.25">
      <c r="A20" s="133"/>
      <c r="B20" s="204"/>
      <c r="C20" s="202" t="s">
        <v>5639</v>
      </c>
      <c r="D20" s="198">
        <f>AVERAGE(_xlfn.ANCHORARRAY(D23))</f>
        <v>7565.4400000000005</v>
      </c>
      <c r="E20" s="198">
        <f t="shared" ref="E20:G20" si="2">AVERAGE(_xlfn.ANCHORARRAY(E23))</f>
        <v>6.3533555215617703</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26">_xlfn.UNIQUE(_xlfn._xlws.FILTER('EPD List'!D:D,ISNUMBER(SEARCH(B16,'EPD List'!C:C)),0))</f>
        <v>Plastic sheeting, , Transparent plastic sheets PMMA Clear H150 (NUDEC) (Global)</v>
      </c>
      <c r="C23" s="132" t="str" cm="1">
        <f t="array" ref="C23:C26">_xlfn.IFNA(INDEX('EPD List'!$A:$AB,MATCH(_xlfn.ANCHORARRAY(B23),'EPD List'!$D:$D,0),MATCH(C$16,'EPD List'!$7:$7,0)),"")</f>
        <v>m³</v>
      </c>
      <c r="D23" s="198" cm="1">
        <f t="array" ref="D23:D26">_xlfn.IFNA(VALUE((INDEX('EPD List'!$A:$AD,MATCH(_xlfn.ANCHORARRAY($B23),'EPD List'!$D:$D,0),MATCH(D$16,'EPD List'!$7:$7,0)))),"")</f>
        <v>7419.33</v>
      </c>
      <c r="E23" s="198" cm="1">
        <f t="array" ref="E23:E26">_xlfn.IFNA(VALUE((INDEX('EPD List'!$A:$AD,MATCH(_xlfn.ANCHORARRAY($B23),'EPD List'!$D:$D,0),MATCH(E$16,'EPD List'!$7:$7,0)))),"")</f>
        <v>6.3413076923076916</v>
      </c>
      <c r="F23" s="198" cm="1">
        <f t="array" ref="F23:F26">_xlfn.IFNA(VALUE((INDEX('EPD List'!$A:$AD,MATCH(_xlfn.ANCHORARRAY($B23),'EPD List'!$D:$D,0),MATCH(F$16,'EPD List'!$7:$7,0)))),"")</f>
        <v>0</v>
      </c>
      <c r="G23" s="215" cm="1">
        <f t="array" ref="G23:G26">_xlfn.IFNA(VALUE((INDEX('EPD List'!$A:$AD,MATCH(_xlfn.ANCHORARRAY($B23),'EPD List'!$D:$D,0),MATCH(G$16,'EPD List'!$7:$7,0)))),"")</f>
        <v>0</v>
      </c>
      <c r="H23" s="131"/>
    </row>
    <row r="24" spans="1:8" x14ac:dyDescent="0.25">
      <c r="A24" s="133"/>
      <c r="B24" s="204" t="str">
        <v>Plastic sheeting, , Transparent plastic sheets PC Clear 211 UV (NUDEC) (Global)</v>
      </c>
      <c r="C24" s="132" t="str">
        <v>m³</v>
      </c>
      <c r="D24" s="198">
        <v>10828.47</v>
      </c>
      <c r="E24" s="198">
        <v>9.0237249999999989</v>
      </c>
      <c r="F24" s="198">
        <v>0</v>
      </c>
      <c r="G24" s="215">
        <v>0</v>
      </c>
      <c r="H24" s="131"/>
    </row>
    <row r="25" spans="1:8" x14ac:dyDescent="0.25">
      <c r="A25" s="133"/>
      <c r="B25" s="204" t="str">
        <v>Plastic sheeting, , Transparent plastic sheets PC Opal 4963 (NUDEC) (Global)</v>
      </c>
      <c r="C25" s="132" t="str">
        <v>m³</v>
      </c>
      <c r="D25" s="198">
        <v>11528.78</v>
      </c>
      <c r="E25" s="198">
        <v>9.6073166666666676</v>
      </c>
      <c r="F25" s="198">
        <v>0</v>
      </c>
      <c r="G25" s="215">
        <v>0</v>
      </c>
      <c r="H25" s="131"/>
    </row>
    <row r="26" spans="1:8" x14ac:dyDescent="0.25">
      <c r="A26" s="133"/>
      <c r="B26" s="217" t="str">
        <v>Plastic sheeting, , 100% Recycled plastic panels (Polygood) (Global)</v>
      </c>
      <c r="C26" s="218" t="str">
        <v>m³</v>
      </c>
      <c r="D26" s="219">
        <v>485.17999999999995</v>
      </c>
      <c r="E26" s="219">
        <v>0.44107272727272723</v>
      </c>
      <c r="F26" s="219">
        <v>0</v>
      </c>
      <c r="G26" s="220">
        <v>0</v>
      </c>
      <c r="H26" s="131"/>
    </row>
    <row r="27" spans="1:8" x14ac:dyDescent="0.25">
      <c r="B27" s="130"/>
      <c r="C27" s="130"/>
      <c r="D27" s="207"/>
      <c r="E27" s="207"/>
      <c r="F27" s="207"/>
      <c r="G27" s="207"/>
    </row>
    <row r="90" spans="9:9" x14ac:dyDescent="0.25">
      <c r="I90" s="198"/>
    </row>
  </sheetData>
  <dataValidations disablePrompts="1" count="1">
    <dataValidation type="list" allowBlank="1" showInputMessage="1" showErrorMessage="1" sqref="B6:B9" xr:uid="{A22B281C-4EEF-4670-A5D7-426702C00E6B}">
      <formula1>"Tier 1,Tier 2,Tier 3,Tier 4"</formula1>
    </dataValidation>
  </dataValidations>
  <pageMargins left="0.7" right="0.7" top="0.75" bottom="0.75" header="0.3" footer="0.3"/>
  <pageSetup paperSize="9"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47535-DB7D-4794-8831-A40566904222}">
  <sheetPr codeName="Sheet31">
    <tabColor rgb="FF00CCFF"/>
  </sheetPr>
  <dimension ref="A1:I90"/>
  <sheetViews>
    <sheetView workbookViewId="0"/>
  </sheetViews>
  <sheetFormatPr defaultColWidth="9.1796875" defaultRowHeight="12.5" x14ac:dyDescent="0.25"/>
  <cols>
    <col min="1" max="1" width="31.5429687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16384" width="9.1796875" style="132"/>
  </cols>
  <sheetData>
    <row r="1" spans="1:8" ht="13" x14ac:dyDescent="0.25">
      <c r="A1" s="202" t="str">
        <f>B16</f>
        <v>Recycled fill material</v>
      </c>
    </row>
    <row r="2" spans="1:8" ht="13" x14ac:dyDescent="0.25">
      <c r="A2" s="202"/>
    </row>
    <row r="3" spans="1:8" ht="13" x14ac:dyDescent="0.3">
      <c r="A3" s="227" t="s">
        <v>5626</v>
      </c>
      <c r="B3" s="132" t="s">
        <v>5889</v>
      </c>
    </row>
    <row r="4" spans="1:8" ht="13" x14ac:dyDescent="0.25">
      <c r="A4" s="202"/>
    </row>
    <row r="5" spans="1:8" ht="73.5" customHeight="1" x14ac:dyDescent="0.3">
      <c r="A5" s="227" t="s">
        <v>5628</v>
      </c>
      <c r="B5" s="200" t="s">
        <v>5890</v>
      </c>
    </row>
    <row r="6" spans="1:8" ht="13" x14ac:dyDescent="0.3">
      <c r="A6" s="227" t="s">
        <v>5630</v>
      </c>
      <c r="B6" s="132" t="s">
        <v>71</v>
      </c>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4682</v>
      </c>
      <c r="C16" s="316" t="s">
        <v>24</v>
      </c>
      <c r="D16" s="314" t="s">
        <v>146</v>
      </c>
      <c r="E16" s="315" t="s">
        <v>153</v>
      </c>
      <c r="F16" s="314" t="s">
        <v>147</v>
      </c>
      <c r="G16" s="314" t="s">
        <v>154</v>
      </c>
      <c r="H16" s="131"/>
    </row>
    <row r="17" spans="1:8" ht="13" x14ac:dyDescent="0.3">
      <c r="A17" s="133"/>
      <c r="B17" s="211"/>
      <c r="C17" s="212" t="s">
        <v>5636</v>
      </c>
      <c r="D17" s="196" t="str" cm="1">
        <f t="array" ref="D17">IF(AND(_xlfn.ANCHORARRAY(C23)=C23),C23,"Mixed")</f>
        <v>tonne</v>
      </c>
      <c r="E17" s="196" t="s">
        <v>2774</v>
      </c>
      <c r="F17" s="196" t="str" cm="1">
        <f t="array" ref="F17">IF(AND(_xlfn.ANCHORARRAY(C23)=C23),C23,"Mixed")</f>
        <v>tonne</v>
      </c>
      <c r="G17" s="213" t="s">
        <v>2774</v>
      </c>
      <c r="H17" s="131"/>
    </row>
    <row r="18" spans="1:8" s="200" customFormat="1" ht="13" x14ac:dyDescent="0.3">
      <c r="A18" s="221"/>
      <c r="B18" s="214"/>
      <c r="C18" s="202" t="s">
        <v>5637</v>
      </c>
      <c r="D18" s="198">
        <f t="shared" ref="D18:G18" si="0">MAX(_xlfn.ANCHORARRAY(D23))</f>
        <v>9.5506699999999984</v>
      </c>
      <c r="E18" s="198">
        <f t="shared" si="0"/>
        <v>9.550669999999999E-3</v>
      </c>
      <c r="F18" s="198">
        <f t="shared" si="0"/>
        <v>0</v>
      </c>
      <c r="G18" s="215">
        <f t="shared" si="0"/>
        <v>0</v>
      </c>
      <c r="H18" s="131"/>
    </row>
    <row r="19" spans="1:8" ht="13" x14ac:dyDescent="0.25">
      <c r="A19" s="133"/>
      <c r="B19" s="204"/>
      <c r="C19" s="202" t="s">
        <v>5638</v>
      </c>
      <c r="D19" s="198">
        <f>MIN(_xlfn.ANCHORARRAY(D23))</f>
        <v>0.49231160000000002</v>
      </c>
      <c r="E19" s="198">
        <f t="shared" ref="E19:G19" si="1">MIN(_xlfn.ANCHORARRAY(E23))</f>
        <v>4.9231160000000004E-4</v>
      </c>
      <c r="F19" s="198">
        <f t="shared" si="1"/>
        <v>0</v>
      </c>
      <c r="G19" s="215">
        <f t="shared" si="1"/>
        <v>0</v>
      </c>
      <c r="H19" s="131"/>
    </row>
    <row r="20" spans="1:8" ht="13" x14ac:dyDescent="0.25">
      <c r="A20" s="133"/>
      <c r="B20" s="204"/>
      <c r="C20" s="202" t="s">
        <v>5639</v>
      </c>
      <c r="D20" s="198">
        <f>AVERAGE(_xlfn.ANCHORARRAY(D23))</f>
        <v>3.8154143833333332</v>
      </c>
      <c r="E20" s="198">
        <f t="shared" ref="E20:G20" si="2">AVERAGE(_xlfn.ANCHORARRAY(E23))</f>
        <v>3.8154143833333334E-3</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34">_xlfn.UNIQUE(_xlfn._xlws.FILTER('EPD List'!D:D,ISNUMBER(SEARCH(B16,'EPD List'!C:C)),0))</f>
        <v>Recycled aggregate, , Recycled Aggregate (ECORR) (Australia)</v>
      </c>
      <c r="C23" s="132" t="str" cm="1">
        <f t="array" ref="C23:C34">_xlfn.IFNA(INDEX('EPD List'!$A:$AB,MATCH(_xlfn.ANCHORARRAY(B23),'EPD List'!$D:$D,0),MATCH(C$16,'EPD List'!$7:$7,0)),"")</f>
        <v>tonne</v>
      </c>
      <c r="D23" s="198" cm="1">
        <f t="array" ref="D23:D34">_xlfn.IFNA(VALUE((INDEX('EPD List'!$A:$AD,MATCH(_xlfn.ANCHORARRAY($B23),'EPD List'!$D:$D,0),MATCH(D$16,'EPD List'!$7:$7,0)))),"")</f>
        <v>0.61239739999999998</v>
      </c>
      <c r="E23" s="198" cm="1">
        <f t="array" ref="E23:E34">_xlfn.IFNA(VALUE((INDEX('EPD List'!$A:$AD,MATCH(_xlfn.ANCHORARRAY($B23),'EPD List'!$D:$D,0),MATCH(E$16,'EPD List'!$7:$7,0)))),"")</f>
        <v>6.1239740000000001E-4</v>
      </c>
      <c r="F23" s="198" cm="1">
        <f t="array" ref="F23:F34">_xlfn.IFNA(VALUE((INDEX('EPD List'!$A:$AD,MATCH(_xlfn.ANCHORARRAY($B23),'EPD List'!$D:$D,0),MATCH(F$16,'EPD List'!$7:$7,0)))),"")</f>
        <v>0</v>
      </c>
      <c r="G23" s="215" cm="1">
        <f t="array" ref="G23:G34">_xlfn.IFNA(VALUE((INDEX('EPD List'!$A:$AD,MATCH(_xlfn.ANCHORARRAY($B23),'EPD List'!$D:$D,0),MATCH(G$16,'EPD List'!$7:$7,0)))),"")</f>
        <v>0</v>
      </c>
      <c r="H23" s="131"/>
    </row>
    <row r="24" spans="1:8" x14ac:dyDescent="0.25">
      <c r="A24" s="133"/>
      <c r="B24" s="204" t="str">
        <v>Recycled aggregate, , Recycled densley graded aggregate (ECORR) (Australia)</v>
      </c>
      <c r="C24" s="132" t="str">
        <v>tonne</v>
      </c>
      <c r="D24" s="198">
        <v>0.49231160000000002</v>
      </c>
      <c r="E24" s="198">
        <v>4.9231160000000004E-4</v>
      </c>
      <c r="F24" s="198">
        <v>0</v>
      </c>
      <c r="G24" s="215">
        <v>0</v>
      </c>
      <c r="H24" s="131"/>
    </row>
    <row r="25" spans="1:8" x14ac:dyDescent="0.25">
      <c r="A25" s="133"/>
      <c r="B25" s="204" t="str">
        <v>Recycled aggregate, , Recycled glass sand (ResourceCo) (Australia)</v>
      </c>
      <c r="C25" s="132" t="str">
        <v>tonne</v>
      </c>
      <c r="D25" s="198">
        <v>3.0807891000000001</v>
      </c>
      <c r="E25" s="198">
        <v>3.0807891000000005E-3</v>
      </c>
      <c r="F25" s="198">
        <v>0</v>
      </c>
      <c r="G25" s="215">
        <v>0</v>
      </c>
      <c r="H25" s="131"/>
    </row>
    <row r="26" spans="1:8" x14ac:dyDescent="0.25">
      <c r="A26" s="133"/>
      <c r="B26" s="204" t="str">
        <v>Recycled aggregate, , Recycled crushed concrete aggregate (Greenvision) (New Zealand)</v>
      </c>
      <c r="C26" s="132" t="str">
        <v>tonne</v>
      </c>
      <c r="D26" s="198">
        <v>0.82738450000000008</v>
      </c>
      <c r="E26" s="198">
        <v>8.2738450000000008E-4</v>
      </c>
      <c r="F26" s="198">
        <v>0</v>
      </c>
      <c r="G26" s="215">
        <v>0</v>
      </c>
      <c r="H26" s="131"/>
    </row>
    <row r="27" spans="1:8" x14ac:dyDescent="0.25">
      <c r="A27" s="133"/>
      <c r="B27" s="204" t="str">
        <v>Aggregate, Recycled, 10/20 MM DRAINAGE  AGGREGATES (ResourceCo) (Australia)</v>
      </c>
      <c r="C27" s="132" t="str">
        <v>tonne</v>
      </c>
      <c r="D27" s="198">
        <v>9.5506699999999984</v>
      </c>
      <c r="E27" s="198">
        <v>9.550669999999999E-3</v>
      </c>
      <c r="F27" s="198">
        <v>0</v>
      </c>
      <c r="G27" s="215">
        <v>0</v>
      </c>
      <c r="H27" s="131"/>
    </row>
    <row r="28" spans="1:8" x14ac:dyDescent="0.25">
      <c r="A28" s="133"/>
      <c r="B28" s="204" t="str">
        <v>Aggregate, Recycled, 10/20 MM DRAINAGE AGGREGATES (ResourceCo) (Australia)</v>
      </c>
      <c r="C28" s="132" t="str">
        <v>tonne</v>
      </c>
      <c r="D28" s="198">
        <v>8.1352600000000006</v>
      </c>
      <c r="E28" s="198">
        <v>8.1352600000000001E-3</v>
      </c>
      <c r="F28" s="198">
        <v>0</v>
      </c>
      <c r="G28" s="215">
        <v>0</v>
      </c>
      <c r="H28" s="131"/>
    </row>
    <row r="29" spans="1:8" x14ac:dyDescent="0.25">
      <c r="A29" s="133"/>
      <c r="B29" s="204" t="str">
        <v>Aggregate, Recycled, PM1/20RM - BASE COURSE (ResourceCo) (Australia)</v>
      </c>
      <c r="C29" s="132" t="str">
        <v>tonne</v>
      </c>
      <c r="D29" s="198">
        <v>5.3115099999999993</v>
      </c>
      <c r="E29" s="198">
        <v>5.3115100000000002E-3</v>
      </c>
      <c r="F29" s="198">
        <v>0</v>
      </c>
      <c r="G29" s="215">
        <v>0</v>
      </c>
      <c r="H29" s="131"/>
    </row>
    <row r="30" spans="1:8" x14ac:dyDescent="0.25">
      <c r="A30" s="133"/>
      <c r="B30" s="204" t="str">
        <v>Aggregate, Recycled, -7 MM RECYCLED SAND (ResourceCo) (Australia)</v>
      </c>
      <c r="C30" s="132" t="str">
        <v>tonne</v>
      </c>
      <c r="D30" s="198">
        <v>2.6349399999999998</v>
      </c>
      <c r="E30" s="198">
        <v>2.6349399999999997E-3</v>
      </c>
      <c r="F30" s="198">
        <v>0</v>
      </c>
      <c r="G30" s="215">
        <v>0</v>
      </c>
      <c r="H30" s="131"/>
    </row>
    <row r="31" spans="1:8" x14ac:dyDescent="0.25">
      <c r="A31" s="133"/>
      <c r="B31" s="204" t="str">
        <v>Aggregate, Recycled, 20 MM CLASS 2 RUBBLE –SUB BASE (ResourceCo) (Australia)</v>
      </c>
      <c r="C31" s="132" t="str">
        <v>tonne</v>
      </c>
      <c r="D31" s="198">
        <v>2.6349399999999998</v>
      </c>
      <c r="E31" s="198">
        <v>2.6349399999999997E-3</v>
      </c>
      <c r="F31" s="198">
        <v>0</v>
      </c>
      <c r="G31" s="215">
        <v>0</v>
      </c>
      <c r="H31" s="131"/>
    </row>
    <row r="32" spans="1:8" x14ac:dyDescent="0.25">
      <c r="A32" s="133"/>
      <c r="B32" s="204" t="str">
        <v>Aggregate, Recycled, 40 MM CLASS 2 RUBBLE – SUBBASE (ResourceCo) (Australia)</v>
      </c>
      <c r="C32" s="132" t="str">
        <v>tonne</v>
      </c>
      <c r="D32" s="198">
        <v>3.4865399999999998</v>
      </c>
      <c r="E32" s="198">
        <v>3.4865399999999998E-3</v>
      </c>
      <c r="F32" s="198">
        <v>0</v>
      </c>
      <c r="G32" s="215">
        <v>0</v>
      </c>
      <c r="H32" s="131"/>
    </row>
    <row r="33" spans="1:8" x14ac:dyDescent="0.25">
      <c r="A33" s="133"/>
      <c r="B33" s="204" t="str">
        <v>Aggregate, Recycled, 40 MM CLASS 2 RUBBLE –SUB BASE (ResourceCo) (Australia)</v>
      </c>
      <c r="C33" s="132" t="str">
        <v>tonne</v>
      </c>
      <c r="D33" s="198">
        <v>4.5899299999999998</v>
      </c>
      <c r="E33" s="198">
        <v>4.5899299999999999E-3</v>
      </c>
      <c r="F33" s="198">
        <v>0</v>
      </c>
      <c r="G33" s="215">
        <v>0</v>
      </c>
      <c r="H33" s="131"/>
    </row>
    <row r="34" spans="1:8" x14ac:dyDescent="0.25">
      <c r="A34" s="133"/>
      <c r="B34" s="217" t="str">
        <v>Aggregate, Recycled, 20 MM CLASS 1 RUBBLE– BASE COURSE (ResourceCo) (Australia)</v>
      </c>
      <c r="C34" s="218" t="str">
        <v>tonne</v>
      </c>
      <c r="D34" s="219">
        <v>4.4283000000000001</v>
      </c>
      <c r="E34" s="219">
        <v>4.4283000000000005E-3</v>
      </c>
      <c r="F34" s="219">
        <v>0</v>
      </c>
      <c r="G34" s="220">
        <v>0</v>
      </c>
      <c r="H34" s="131"/>
    </row>
    <row r="35" spans="1:8" x14ac:dyDescent="0.25">
      <c r="B35" s="130"/>
      <c r="C35" s="130"/>
      <c r="D35" s="207"/>
      <c r="E35" s="207"/>
      <c r="F35" s="207"/>
      <c r="G35" s="207"/>
    </row>
    <row r="90" spans="9:9" x14ac:dyDescent="0.25">
      <c r="I90" s="198"/>
    </row>
  </sheetData>
  <dataValidations count="1">
    <dataValidation type="list" allowBlank="1" showInputMessage="1" showErrorMessage="1" sqref="B6:B9" xr:uid="{AF5F9528-F3D6-4BE7-8ECD-42FA3820F9DA}">
      <formula1>"Tier 1,Tier 2,Tier 3,Tier 4"</formula1>
    </dataValidation>
  </dataValidation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4F86B-4782-4F12-B094-025D29A91176}">
  <sheetPr codeName="Sheet1"/>
  <dimension ref="A1:W121"/>
  <sheetViews>
    <sheetView workbookViewId="0">
      <pane xSplit="2" ySplit="1" topLeftCell="C2" activePane="bottomRight" state="frozen"/>
      <selection pane="topRight"/>
      <selection pane="bottomLeft"/>
      <selection pane="bottomRight"/>
    </sheetView>
  </sheetViews>
  <sheetFormatPr defaultRowHeight="12.5" x14ac:dyDescent="0.25"/>
  <cols>
    <col min="1" max="1" width="36.54296875" bestFit="1" customWidth="1"/>
    <col min="2" max="2" width="44.1796875" customWidth="1"/>
    <col min="3" max="3" width="45.26953125" customWidth="1"/>
    <col min="4" max="21" width="14.7265625" customWidth="1"/>
  </cols>
  <sheetData>
    <row r="1" spans="1:23" s="13" customFormat="1" ht="13" x14ac:dyDescent="0.25">
      <c r="A1" s="13" t="str" cm="1">
        <f t="array" aca="1" ref="A1:S121" ca="1">_xlfn._xlws.FILTER('Emission Factors database'!A9:U129,'Emission Factors database'!$A$136:$U$136)</f>
        <v>EF material type</v>
      </c>
      <c r="B1" s="13" t="str">
        <f ca="1"/>
        <v>EF material category</v>
      </c>
      <c r="C1" s="13" t="str">
        <f ca="1"/>
        <v>Description</v>
      </c>
      <c r="D1" s="13" t="str">
        <f ca="1"/>
        <v>Declared unit</v>
      </c>
      <c r="E1" s="13" t="str">
        <f ca="1"/>
        <v>Data qualitative rating</v>
      </c>
      <c r="F1" s="13" t="str">
        <f ca="1"/>
        <v>Uncertainty adjustment (%)</v>
      </c>
      <c r="G1" s="13" t="str">
        <f ca="1"/>
        <v>Upfront carbon emission - Default (uncertainty adjusted) (kgCO2e/declared unit)</v>
      </c>
      <c r="H1" s="13" t="str">
        <f ca="1"/>
        <v>Upfront carbon emission - Max (kgCO2e/declared unit)</v>
      </c>
      <c r="I1" s="13" t="str">
        <f ca="1"/>
        <v>Upfront carbon emission - Min (kgCO2e/declared unit)</v>
      </c>
      <c r="J1" s="13" t="str">
        <f ca="1"/>
        <v>Upfront carbon emission - Average (kg CO2e/declared unit)</v>
      </c>
      <c r="K1" s="13" t="str">
        <f ca="1"/>
        <v>Upfront carbon emission - Default (uncertainty adjusted) (kgCO2e/kg)</v>
      </c>
      <c r="L1" s="13" t="str">
        <f ca="1"/>
        <v>Upfront carbon emission - Max (kgCO2e/kg)</v>
      </c>
      <c r="M1" s="13" t="str">
        <f ca="1"/>
        <v>Upfront carbon emission - Min (kgCO2e/kg)</v>
      </c>
      <c r="N1" s="13" t="str">
        <f ca="1"/>
        <v>Upfront carbon emission - Average (kg CO2e/kg)</v>
      </c>
      <c r="O1" s="13" t="str">
        <f ca="1"/>
        <v>Upfront carbon storage- Average (kg CO2e/declared unit)</v>
      </c>
      <c r="P1" s="13" t="str">
        <f ca="1"/>
        <v>Upfront carbon storage - Average (kg CO2e/kg)</v>
      </c>
      <c r="Q1" s="13" t="str">
        <f ca="1"/>
        <v>Conversion</v>
      </c>
      <c r="R1" s="13" t="str">
        <f ca="1"/>
        <v>Conversion unit</v>
      </c>
      <c r="S1" s="13" t="str">
        <f ca="1"/>
        <v>Weighted averaged used?</v>
      </c>
    </row>
    <row r="2" spans="1:23" x14ac:dyDescent="0.25">
      <c r="A2" t="str">
        <f ca="1"/>
        <v>Concrete in-situ</v>
      </c>
      <c r="B2" t="str">
        <f ca="1"/>
        <v>≤10 MPa</v>
      </c>
      <c r="C2" t="str">
        <f ca="1"/>
        <v xml:space="preserve">Any concrete mix with a strength rating of 10 MPa or lower. </v>
      </c>
      <c r="D2" t="str">
        <f ca="1"/>
        <v>m³</v>
      </c>
      <c r="E2" t="str">
        <f ca="1"/>
        <v>Tier 3</v>
      </c>
      <c r="F2">
        <f ca="1"/>
        <v>1.1000000000000001</v>
      </c>
      <c r="G2" t="str">
        <f ca="1"/>
        <v>273</v>
      </c>
      <c r="H2" t="str">
        <f ca="1"/>
        <v>248</v>
      </c>
      <c r="I2" t="str">
        <f ca="1"/>
        <v>142</v>
      </c>
      <c r="J2" t="str">
        <f ca="1"/>
        <v>181</v>
      </c>
      <c r="K2" t="str">
        <f ca="1"/>
        <v>0.114</v>
      </c>
      <c r="L2" t="str">
        <f ca="1"/>
        <v>0.103</v>
      </c>
      <c r="M2" t="str">
        <f ca="1"/>
        <v>0.0590</v>
      </c>
      <c r="N2" t="str">
        <f ca="1"/>
        <v>0.0755</v>
      </c>
      <c r="O2" t="str">
        <f ca="1"/>
        <v>0</v>
      </c>
      <c r="P2" t="str">
        <f ca="1"/>
        <v>0</v>
      </c>
      <c r="Q2" t="str">
        <f ca="1"/>
        <v>2,400</v>
      </c>
      <c r="R2" t="str">
        <f ca="1"/>
        <v>kg/m³</v>
      </c>
      <c r="S2" t="str">
        <f ca="1"/>
        <v>No</v>
      </c>
    </row>
    <row r="3" spans="1:23" x14ac:dyDescent="0.25">
      <c r="A3" t="str">
        <f ca="1"/>
        <v>Concrete in-situ</v>
      </c>
      <c r="B3" t="str">
        <f ca="1"/>
        <v>&gt;10 MPa to ≤20 MPa</v>
      </c>
      <c r="C3" t="str">
        <f ca="1"/>
        <v>Any concrete mix with a strength rating of 20 MPa or lower, and greater than 10MPa.</v>
      </c>
      <c r="D3" t="str">
        <f ca="1"/>
        <v>m³</v>
      </c>
      <c r="E3" t="str">
        <f ca="1"/>
        <v>Tier 1</v>
      </c>
      <c r="F3">
        <f ca="1"/>
        <v>1.02</v>
      </c>
      <c r="G3" t="str">
        <f ca="1"/>
        <v>371</v>
      </c>
      <c r="H3" t="str">
        <f ca="1"/>
        <v>364</v>
      </c>
      <c r="I3" t="str">
        <f ca="1"/>
        <v>136</v>
      </c>
      <c r="J3" t="str">
        <f ca="1"/>
        <v>201</v>
      </c>
      <c r="K3" t="str">
        <f ca="1"/>
        <v>0.155</v>
      </c>
      <c r="L3" t="str">
        <f ca="1"/>
        <v>0.152</v>
      </c>
      <c r="M3" t="str">
        <f ca="1"/>
        <v>0.0567</v>
      </c>
      <c r="N3" t="str">
        <f ca="1"/>
        <v>0.0836</v>
      </c>
      <c r="O3" t="str">
        <f ca="1"/>
        <v>0</v>
      </c>
      <c r="P3" t="str">
        <f ca="1"/>
        <v>0</v>
      </c>
      <c r="Q3" t="str">
        <f ca="1"/>
        <v>2,400</v>
      </c>
      <c r="R3" t="str">
        <f ca="1"/>
        <v>kg/m³</v>
      </c>
      <c r="S3" t="str">
        <f ca="1"/>
        <v>No</v>
      </c>
    </row>
    <row r="4" spans="1:23" x14ac:dyDescent="0.25">
      <c r="A4" t="str">
        <f ca="1"/>
        <v>Concrete in-situ</v>
      </c>
      <c r="B4" t="str">
        <f ca="1"/>
        <v>&gt;20 MPa to ≤25 MPa</v>
      </c>
      <c r="C4" t="str">
        <f ca="1"/>
        <v>Any concrete mix with a strength rating of 25 MPa or lower, and greater than 20 MPa.</v>
      </c>
      <c r="D4" t="str">
        <f ca="1"/>
        <v>m³</v>
      </c>
      <c r="E4" t="str">
        <f ca="1"/>
        <v>Tier 1</v>
      </c>
      <c r="F4">
        <f ca="1"/>
        <v>1.02</v>
      </c>
      <c r="G4" t="str">
        <f ca="1"/>
        <v>426</v>
      </c>
      <c r="H4" t="str">
        <f ca="1"/>
        <v>417</v>
      </c>
      <c r="I4" t="str">
        <f ca="1"/>
        <v>149</v>
      </c>
      <c r="J4" t="str">
        <f ca="1"/>
        <v>222</v>
      </c>
      <c r="K4" t="str">
        <f ca="1"/>
        <v>0.177</v>
      </c>
      <c r="L4" t="str">
        <f ca="1"/>
        <v>0.174</v>
      </c>
      <c r="M4" t="str">
        <f ca="1"/>
        <v>0.0621</v>
      </c>
      <c r="N4" t="str">
        <f ca="1"/>
        <v>0.0924</v>
      </c>
      <c r="O4" t="str">
        <f ca="1"/>
        <v>0</v>
      </c>
      <c r="P4" t="str">
        <f ca="1"/>
        <v>0</v>
      </c>
      <c r="Q4" t="str">
        <f ca="1"/>
        <v>2,400</v>
      </c>
      <c r="R4" t="str">
        <f ca="1"/>
        <v>kg/m³</v>
      </c>
      <c r="S4" t="str">
        <f ca="1"/>
        <v>No</v>
      </c>
      <c r="V4" s="18"/>
      <c r="W4" s="18"/>
    </row>
    <row r="5" spans="1:23" x14ac:dyDescent="0.25">
      <c r="A5" t="str">
        <f ca="1"/>
        <v>Concrete in-situ</v>
      </c>
      <c r="B5" t="str">
        <f ca="1"/>
        <v>&gt;25 MPa to ≤32 MPa</v>
      </c>
      <c r="C5" t="str">
        <f ca="1"/>
        <v>Any concrete mix with a strength rating of 32 MPa or lower, and greater than 25 MPa.</v>
      </c>
      <c r="D5" t="str">
        <f ca="1"/>
        <v>m³</v>
      </c>
      <c r="E5" t="str">
        <f ca="1"/>
        <v>Tier 1</v>
      </c>
      <c r="F5">
        <f ca="1"/>
        <v>1.02</v>
      </c>
      <c r="G5" t="str">
        <f ca="1"/>
        <v>468</v>
      </c>
      <c r="H5" t="str">
        <f ca="1"/>
        <v>459</v>
      </c>
      <c r="I5" t="str">
        <f ca="1"/>
        <v>167</v>
      </c>
      <c r="J5" t="str">
        <f ca="1"/>
        <v>249</v>
      </c>
      <c r="K5" t="str">
        <f ca="1"/>
        <v>0.195</v>
      </c>
      <c r="L5" t="str">
        <f ca="1"/>
        <v>0.191</v>
      </c>
      <c r="M5" t="str">
        <f ca="1"/>
        <v>0.0696</v>
      </c>
      <c r="N5" t="str">
        <f ca="1"/>
        <v>0.104</v>
      </c>
      <c r="O5" t="str">
        <f ca="1"/>
        <v>0</v>
      </c>
      <c r="P5" t="str">
        <f ca="1"/>
        <v>0</v>
      </c>
      <c r="Q5" t="str">
        <f ca="1"/>
        <v>2,400</v>
      </c>
      <c r="R5" t="str">
        <f ca="1"/>
        <v>kg/m³</v>
      </c>
      <c r="S5" t="str">
        <f ca="1"/>
        <v>No</v>
      </c>
    </row>
    <row r="6" spans="1:23" x14ac:dyDescent="0.25">
      <c r="A6" t="str">
        <f ca="1"/>
        <v>Concrete in-situ</v>
      </c>
      <c r="B6" t="str">
        <f ca="1"/>
        <v>&gt;32 MPa to ≤40 MPa</v>
      </c>
      <c r="C6" t="str">
        <f ca="1"/>
        <v>Any concrete mix with a strength rating of 40 MPa or lower, and greater than 32 MPa.</v>
      </c>
      <c r="D6" t="str">
        <f ca="1"/>
        <v>m³</v>
      </c>
      <c r="E6" t="str">
        <f ca="1"/>
        <v>Tier 1</v>
      </c>
      <c r="F6">
        <f ca="1"/>
        <v>1.02</v>
      </c>
      <c r="G6" t="str">
        <f ca="1"/>
        <v>556</v>
      </c>
      <c r="H6" t="str">
        <f ca="1"/>
        <v>545</v>
      </c>
      <c r="I6" t="str">
        <f ca="1"/>
        <v>198</v>
      </c>
      <c r="J6" t="str">
        <f ca="1"/>
        <v>305</v>
      </c>
      <c r="K6" t="str">
        <f ca="1"/>
        <v>0.232</v>
      </c>
      <c r="L6" t="str">
        <f ca="1"/>
        <v>0.227</v>
      </c>
      <c r="M6" t="str">
        <f ca="1"/>
        <v>0.0825</v>
      </c>
      <c r="N6" t="str">
        <f ca="1"/>
        <v>0.127</v>
      </c>
      <c r="O6" t="str">
        <f ca="1"/>
        <v>0</v>
      </c>
      <c r="P6" t="str">
        <f ca="1"/>
        <v>0</v>
      </c>
      <c r="Q6" t="str">
        <f ca="1"/>
        <v>2,400</v>
      </c>
      <c r="R6" t="str">
        <f ca="1"/>
        <v>kg/m³</v>
      </c>
      <c r="S6" t="str">
        <f ca="1"/>
        <v>No</v>
      </c>
    </row>
    <row r="7" spans="1:23" x14ac:dyDescent="0.25">
      <c r="A7" t="str">
        <f ca="1"/>
        <v>Concrete in-situ</v>
      </c>
      <c r="B7" t="str">
        <f ca="1"/>
        <v>&gt;40 MPa to ≤50 MPa</v>
      </c>
      <c r="C7" t="str">
        <f ca="1"/>
        <v>Any concrete mix with a strength rating of 50 MPa or lower, and greater than 40 MPa.</v>
      </c>
      <c r="D7" t="str">
        <f ca="1"/>
        <v>m³</v>
      </c>
      <c r="E7" t="str">
        <f ca="1"/>
        <v>Tier 1</v>
      </c>
      <c r="F7">
        <f ca="1"/>
        <v>1.02</v>
      </c>
      <c r="G7" t="str">
        <f ca="1"/>
        <v>621</v>
      </c>
      <c r="H7" t="str">
        <f ca="1"/>
        <v>609</v>
      </c>
      <c r="I7" t="str">
        <f ca="1"/>
        <v>101</v>
      </c>
      <c r="J7" t="str">
        <f ca="1"/>
        <v>354</v>
      </c>
      <c r="K7" t="str">
        <f ca="1"/>
        <v>0.259</v>
      </c>
      <c r="L7" t="str">
        <f ca="1"/>
        <v>0.254</v>
      </c>
      <c r="M7" t="str">
        <f ca="1"/>
        <v>0.0421</v>
      </c>
      <c r="N7" t="str">
        <f ca="1"/>
        <v>0.148</v>
      </c>
      <c r="O7" t="str">
        <f ca="1"/>
        <v>0</v>
      </c>
      <c r="P7" t="str">
        <f ca="1"/>
        <v>0</v>
      </c>
      <c r="Q7" t="str">
        <f ca="1"/>
        <v>2,400</v>
      </c>
      <c r="R7" t="str">
        <f ca="1"/>
        <v>kg/m³</v>
      </c>
      <c r="S7" t="str">
        <f ca="1"/>
        <v>No</v>
      </c>
    </row>
    <row r="8" spans="1:23" x14ac:dyDescent="0.25">
      <c r="A8" t="str">
        <f ca="1"/>
        <v>Concrete in-situ</v>
      </c>
      <c r="B8" t="str">
        <f ca="1"/>
        <v>&gt;50 MPa to ≤65 MPa</v>
      </c>
      <c r="C8" t="str">
        <f ca="1"/>
        <v>Any concrete mix with a strength rating of 65 MPa or lower, and greater than 50 MPa.</v>
      </c>
      <c r="D8" t="str">
        <f ca="1"/>
        <v>m³</v>
      </c>
      <c r="E8" t="str">
        <f ca="1"/>
        <v>Tier 2</v>
      </c>
      <c r="F8">
        <f ca="1"/>
        <v>1.05</v>
      </c>
      <c r="G8" t="str">
        <f ca="1"/>
        <v>640</v>
      </c>
      <c r="H8" t="str">
        <f ca="1"/>
        <v>609</v>
      </c>
      <c r="I8" t="str">
        <f ca="1"/>
        <v>274</v>
      </c>
      <c r="J8" t="str">
        <f ca="1"/>
        <v>402</v>
      </c>
      <c r="K8" t="str">
        <f ca="1"/>
        <v>0.267</v>
      </c>
      <c r="L8" t="str">
        <f ca="1"/>
        <v>0.254</v>
      </c>
      <c r="M8" t="str">
        <f ca="1"/>
        <v>0.114</v>
      </c>
      <c r="N8" t="str">
        <f ca="1"/>
        <v>0.167</v>
      </c>
      <c r="O8" t="str">
        <f ca="1"/>
        <v>0</v>
      </c>
      <c r="P8" t="str">
        <f ca="1"/>
        <v>0</v>
      </c>
      <c r="Q8" t="str">
        <f ca="1"/>
        <v>2,400</v>
      </c>
      <c r="R8" t="str">
        <f ca="1"/>
        <v>kg/m³</v>
      </c>
      <c r="S8" t="str">
        <f ca="1"/>
        <v>No</v>
      </c>
    </row>
    <row r="9" spans="1:23" x14ac:dyDescent="0.25">
      <c r="A9" t="str">
        <f ca="1"/>
        <v>Concrete in-situ</v>
      </c>
      <c r="B9" t="str">
        <f ca="1"/>
        <v>&gt;65 MPa to ≤80 MPa</v>
      </c>
      <c r="C9" t="str">
        <f ca="1"/>
        <v>Any concrete mix with a strength rating of 80 MPa or lower, and greater than 65 MPa.</v>
      </c>
      <c r="D9" t="str">
        <f ca="1"/>
        <v>m³</v>
      </c>
      <c r="E9" t="str">
        <f ca="1"/>
        <v>Tier 2</v>
      </c>
      <c r="F9">
        <f ca="1"/>
        <v>1.05</v>
      </c>
      <c r="G9" t="str">
        <f ca="1"/>
        <v>690</v>
      </c>
      <c r="H9" t="str">
        <f ca="1"/>
        <v>657</v>
      </c>
      <c r="I9" t="str">
        <f ca="1"/>
        <v>301</v>
      </c>
      <c r="J9" t="str">
        <f ca="1"/>
        <v>425</v>
      </c>
      <c r="K9" t="str">
        <f ca="1"/>
        <v>0.287</v>
      </c>
      <c r="L9" t="str">
        <f ca="1"/>
        <v>0.274</v>
      </c>
      <c r="M9" t="str">
        <f ca="1"/>
        <v>0.125</v>
      </c>
      <c r="N9" t="str">
        <f ca="1"/>
        <v>0.177</v>
      </c>
      <c r="O9" t="str">
        <f ca="1"/>
        <v>0</v>
      </c>
      <c r="P9" t="str">
        <f ca="1"/>
        <v>0</v>
      </c>
      <c r="Q9" t="str">
        <f ca="1"/>
        <v>2,400</v>
      </c>
      <c r="R9" t="str">
        <f ca="1"/>
        <v>kg/m³</v>
      </c>
      <c r="S9" t="str">
        <f ca="1"/>
        <v>No</v>
      </c>
    </row>
    <row r="10" spans="1:23" x14ac:dyDescent="0.25">
      <c r="A10" t="str">
        <f ca="1"/>
        <v>Concrete in-situ</v>
      </c>
      <c r="B10" t="str">
        <f ca="1"/>
        <v>&gt;80 MPa +</v>
      </c>
      <c r="C10" t="str">
        <f ca="1"/>
        <v>Any concrete mix with a strength rating above 80 MPa.</v>
      </c>
      <c r="D10" t="str">
        <f ca="1"/>
        <v>m³</v>
      </c>
      <c r="E10" t="str">
        <f ca="1"/>
        <v>Tier 3</v>
      </c>
      <c r="F10">
        <f ca="1"/>
        <v>1.1000000000000001</v>
      </c>
      <c r="G10" t="str">
        <f ca="1"/>
        <v>781</v>
      </c>
      <c r="H10" t="str">
        <f ca="1"/>
        <v>710</v>
      </c>
      <c r="I10" t="str">
        <f ca="1"/>
        <v>438</v>
      </c>
      <c r="J10" t="str">
        <f ca="1"/>
        <v>561</v>
      </c>
      <c r="K10" t="str">
        <f ca="1"/>
        <v>0.325</v>
      </c>
      <c r="L10" t="str">
        <f ca="1"/>
        <v>0.296</v>
      </c>
      <c r="M10" t="str">
        <f ca="1"/>
        <v>0.184</v>
      </c>
      <c r="N10" t="str">
        <f ca="1"/>
        <v>0.234</v>
      </c>
      <c r="O10" t="str">
        <f ca="1"/>
        <v>0</v>
      </c>
      <c r="P10" t="str">
        <f ca="1"/>
        <v>0</v>
      </c>
      <c r="Q10" t="str">
        <f ca="1"/>
        <v>2,400</v>
      </c>
      <c r="R10" t="str">
        <f ca="1"/>
        <v>kg/m³</v>
      </c>
      <c r="S10" t="str">
        <f ca="1"/>
        <v>No</v>
      </c>
    </row>
    <row r="11" spans="1:23" x14ac:dyDescent="0.25">
      <c r="A11" t="str">
        <f ca="1"/>
        <v>Concrete in-situ</v>
      </c>
      <c r="B11" t="str">
        <f ca="1"/>
        <v>Kerb</v>
      </c>
      <c r="C11" t="str">
        <f ca="1"/>
        <v>Any concrete mix with a strength rating of 32 MPa or lower, and greater than 25 MPa.</v>
      </c>
      <c r="D11" t="str">
        <f ca="1"/>
        <v>m³</v>
      </c>
      <c r="E11" t="str">
        <f ca="1"/>
        <v>Tier 1</v>
      </c>
      <c r="F11">
        <f ca="1"/>
        <v>1.02</v>
      </c>
      <c r="G11" t="str">
        <f ca="1"/>
        <v>468</v>
      </c>
      <c r="H11" t="str">
        <f ca="1"/>
        <v>459</v>
      </c>
      <c r="I11" t="str">
        <f ca="1"/>
        <v>167</v>
      </c>
      <c r="J11" t="str">
        <f ca="1"/>
        <v>249</v>
      </c>
      <c r="K11" t="str">
        <f ca="1"/>
        <v>0.195</v>
      </c>
      <c r="L11" t="str">
        <f ca="1"/>
        <v>0.191</v>
      </c>
      <c r="M11" t="str">
        <f ca="1"/>
        <v>0.0696</v>
      </c>
      <c r="N11" t="str">
        <f ca="1"/>
        <v>0.104</v>
      </c>
      <c r="O11" t="str">
        <f ca="1"/>
        <v>0</v>
      </c>
      <c r="P11" t="str">
        <f ca="1"/>
        <v>0</v>
      </c>
      <c r="Q11" t="str">
        <f ca="1"/>
        <v>2,400</v>
      </c>
      <c r="R11" t="str">
        <f ca="1"/>
        <v>kg/m³</v>
      </c>
      <c r="S11" t="str">
        <f ca="1"/>
        <v>No</v>
      </c>
    </row>
    <row r="12" spans="1:23" x14ac:dyDescent="0.25">
      <c r="A12" t="str">
        <f ca="1"/>
        <v>Concrete precast panel</v>
      </c>
      <c r="B12" t="str">
        <f ca="1"/>
        <v>Precast concrete panel (inc. reinforcing)</v>
      </c>
      <c r="C12" t="str">
        <f ca="1"/>
        <v>Any precast concrete panel including reinforcing steel (i.e. wall, deck, or balcony panel).</v>
      </c>
      <c r="D12" t="str">
        <f ca="1"/>
        <v>tonne</v>
      </c>
      <c r="E12" t="str">
        <f ca="1"/>
        <v>Untiered</v>
      </c>
      <c r="F12">
        <f ca="1"/>
        <v>1</v>
      </c>
      <c r="G12" t="str">
        <f ca="1"/>
        <v>439</v>
      </c>
      <c r="H12" t="str">
        <f ca="1"/>
        <v>439</v>
      </c>
      <c r="I12" t="str">
        <f ca="1"/>
        <v>69.3</v>
      </c>
      <c r="J12" t="str">
        <f ca="1"/>
        <v>233</v>
      </c>
      <c r="K12" t="str">
        <f ca="1"/>
        <v>0.439</v>
      </c>
      <c r="L12" t="str">
        <f ca="1"/>
        <v>0.439</v>
      </c>
      <c r="M12" t="str">
        <f ca="1"/>
        <v>0.0693</v>
      </c>
      <c r="N12" t="str">
        <f ca="1"/>
        <v>0.233</v>
      </c>
      <c r="O12" t="str">
        <f ca="1"/>
        <v>0</v>
      </c>
      <c r="P12" t="str">
        <f ca="1"/>
        <v>0</v>
      </c>
      <c r="Q12" t="str">
        <f ca="1"/>
        <v>1,000</v>
      </c>
      <c r="R12" t="str">
        <f ca="1"/>
        <v>kg/tonne</v>
      </c>
      <c r="S12" t="str">
        <f ca="1"/>
        <v>No</v>
      </c>
    </row>
    <row r="13" spans="1:23" x14ac:dyDescent="0.25">
      <c r="A13" t="str">
        <f ca="1"/>
        <v>Concrete precast panel</v>
      </c>
      <c r="B13" t="str">
        <f ca="1"/>
        <v>Hollow core - precast concrete (inc. reinforcing)</v>
      </c>
      <c r="C13" t="str">
        <f ca="1"/>
        <v>Precast hollowcore concrete slabs including reinforcing steel.</v>
      </c>
      <c r="D13" t="str">
        <f ca="1"/>
        <v>m³</v>
      </c>
      <c r="E13" t="str">
        <f ca="1"/>
        <v>Tier 4</v>
      </c>
      <c r="F13">
        <f ca="1"/>
        <v>1.2</v>
      </c>
      <c r="G13" t="str">
        <f ca="1"/>
        <v>428</v>
      </c>
      <c r="H13" t="str">
        <f ca="1"/>
        <v>357</v>
      </c>
      <c r="I13" t="str">
        <f ca="1"/>
        <v>317</v>
      </c>
      <c r="J13" t="str">
        <f ca="1"/>
        <v>339</v>
      </c>
      <c r="K13" t="str">
        <f ca="1"/>
        <v>0.290</v>
      </c>
      <c r="L13" t="str">
        <f ca="1"/>
        <v>0.242</v>
      </c>
      <c r="M13" t="str">
        <f ca="1"/>
        <v>0.215</v>
      </c>
      <c r="N13" t="str">
        <f ca="1"/>
        <v>0.229</v>
      </c>
      <c r="O13" t="str">
        <f ca="1"/>
        <v>0</v>
      </c>
      <c r="P13" t="str">
        <f ca="1"/>
        <v>0</v>
      </c>
      <c r="Q13" t="str">
        <f ca="1"/>
        <v>1,480</v>
      </c>
      <c r="R13" t="str">
        <f ca="1"/>
        <v>kg/m³</v>
      </c>
      <c r="S13" t="str">
        <f ca="1"/>
        <v>No</v>
      </c>
    </row>
    <row r="14" spans="1:23" x14ac:dyDescent="0.25">
      <c r="A14" t="str">
        <f ca="1"/>
        <v>Concrete block</v>
      </c>
      <c r="B14" t="str">
        <f ca="1"/>
        <v>Concrete block (exc. core fill or reinforcing)</v>
      </c>
      <c r="C14" t="str">
        <f ca="1"/>
        <v>Concrete brick, block and roof tiles i.e. cinder block or concrete finishing brick/tile used in masonry. Not including any core fill material or reinforcing.</v>
      </c>
      <c r="D14" t="str">
        <f ca="1"/>
        <v>tonne</v>
      </c>
      <c r="E14" t="str">
        <f ca="1"/>
        <v>Tier 3</v>
      </c>
      <c r="F14">
        <f ca="1"/>
        <v>1.1000000000000001</v>
      </c>
      <c r="G14" t="str">
        <f ca="1"/>
        <v>264</v>
      </c>
      <c r="H14" t="str">
        <f ca="1"/>
        <v>240</v>
      </c>
      <c r="I14" t="str">
        <f ca="1"/>
        <v>112</v>
      </c>
      <c r="J14" t="str">
        <f ca="1"/>
        <v>159</v>
      </c>
      <c r="K14" t="str">
        <f ca="1"/>
        <v>0.264</v>
      </c>
      <c r="L14" t="str">
        <f ca="1"/>
        <v>0.240</v>
      </c>
      <c r="M14" t="str">
        <f ca="1"/>
        <v>0.112</v>
      </c>
      <c r="N14" t="str">
        <f ca="1"/>
        <v>0.159</v>
      </c>
      <c r="O14" t="str">
        <f ca="1"/>
        <v>0</v>
      </c>
      <c r="P14" t="str">
        <f ca="1"/>
        <v>0</v>
      </c>
      <c r="Q14" t="str">
        <f ca="1"/>
        <v>1,000</v>
      </c>
      <c r="R14" t="str">
        <f ca="1"/>
        <v>kg/tonne</v>
      </c>
      <c r="S14" t="str">
        <f ca="1"/>
        <v>No</v>
      </c>
    </row>
    <row r="15" spans="1:23" x14ac:dyDescent="0.25">
      <c r="A15" t="str">
        <f ca="1"/>
        <v>Concrete block</v>
      </c>
      <c r="B15" t="str">
        <f ca="1"/>
        <v>Solid AAC (no fill or reinforcing)</v>
      </c>
      <c r="C15" t="str">
        <f ca="1"/>
        <v>Autoclaved Aerated Concrete (AAC) blocks without reinforcing or fill.</v>
      </c>
      <c r="D15" t="str">
        <f ca="1"/>
        <v>m³</v>
      </c>
      <c r="E15" t="str">
        <f ca="1"/>
        <v>Tier 4</v>
      </c>
      <c r="F15">
        <f ca="1"/>
        <v>1.2</v>
      </c>
      <c r="G15" t="str">
        <f ca="1"/>
        <v>278</v>
      </c>
      <c r="H15" t="str">
        <f ca="1"/>
        <v>232</v>
      </c>
      <c r="I15" t="str">
        <f ca="1"/>
        <v>150</v>
      </c>
      <c r="J15" t="str">
        <f ca="1"/>
        <v>190</v>
      </c>
      <c r="K15" t="str">
        <f ca="1"/>
        <v>0.724</v>
      </c>
      <c r="L15" t="str">
        <f ca="1"/>
        <v>0.603</v>
      </c>
      <c r="M15" t="str">
        <f ca="1"/>
        <v>0.334</v>
      </c>
      <c r="N15" t="str">
        <f ca="1"/>
        <v>0.437</v>
      </c>
      <c r="O15" t="str">
        <f ca="1"/>
        <v>0</v>
      </c>
      <c r="P15" t="str">
        <f ca="1"/>
        <v>0</v>
      </c>
      <c r="Q15" t="str">
        <f ca="1"/>
        <v>435</v>
      </c>
      <c r="R15" t="str">
        <f ca="1"/>
        <v>kg/m³</v>
      </c>
      <c r="S15" t="str">
        <f ca="1"/>
        <v>No</v>
      </c>
    </row>
    <row r="16" spans="1:23" x14ac:dyDescent="0.25">
      <c r="A16" t="str">
        <f ca="1"/>
        <v>Reinforcing steel</v>
      </c>
      <c r="B16" t="str">
        <f ca="1"/>
        <v>Bar &amp; mesh reinforcing steel</v>
      </c>
      <c r="C16" t="str">
        <f ca="1"/>
        <v>Steel used to reinforce concrete structures as named in the material category.</v>
      </c>
      <c r="D16" t="str">
        <f ca="1"/>
        <v>tonne</v>
      </c>
      <c r="E16" t="str">
        <f ca="1"/>
        <v>Tier 2</v>
      </c>
      <c r="F16">
        <f ca="1"/>
        <v>1.05</v>
      </c>
      <c r="G16" t="str">
        <f ca="1"/>
        <v>3,650</v>
      </c>
      <c r="H16" t="str">
        <f ca="1"/>
        <v>3,480</v>
      </c>
      <c r="I16" t="str">
        <f ca="1"/>
        <v>309</v>
      </c>
      <c r="J16" t="str">
        <f ca="1"/>
        <v>1,600</v>
      </c>
      <c r="K16" t="str">
        <f ca="1"/>
        <v>3.65</v>
      </c>
      <c r="L16" t="str">
        <f ca="1"/>
        <v>3.48</v>
      </c>
      <c r="M16" t="str">
        <f ca="1"/>
        <v>0.309</v>
      </c>
      <c r="N16" t="str">
        <f ca="1"/>
        <v>1.60</v>
      </c>
      <c r="O16" t="str">
        <f ca="1"/>
        <v>0</v>
      </c>
      <c r="P16" t="str">
        <f ca="1"/>
        <v>0</v>
      </c>
      <c r="Q16" t="str">
        <f ca="1"/>
        <v>1,000</v>
      </c>
      <c r="R16" t="str">
        <f ca="1"/>
        <v>kg/tonne</v>
      </c>
      <c r="S16" t="str">
        <f ca="1"/>
        <v>Yes</v>
      </c>
    </row>
    <row r="17" spans="1:19" x14ac:dyDescent="0.25">
      <c r="A17" t="str">
        <f ca="1"/>
        <v>Reinforcing steel</v>
      </c>
      <c r="B17" t="str">
        <f ca="1"/>
        <v>Fibre &amp; strand reinforcing steel</v>
      </c>
      <c r="C17" t="str">
        <f ca="1"/>
        <v>Steel used to reinforce concrete structures as named in the material category.</v>
      </c>
      <c r="D17" t="str">
        <f ca="1"/>
        <v>tonne</v>
      </c>
      <c r="E17" t="str">
        <f ca="1"/>
        <v>Tier 2</v>
      </c>
      <c r="F17">
        <f ca="1"/>
        <v>1.05</v>
      </c>
      <c r="G17" t="str">
        <f ca="1"/>
        <v>3,650</v>
      </c>
      <c r="H17" t="str">
        <f ca="1"/>
        <v>3,480</v>
      </c>
      <c r="I17" t="str">
        <f ca="1"/>
        <v>309</v>
      </c>
      <c r="J17" t="str">
        <f ca="1"/>
        <v>1,600</v>
      </c>
      <c r="K17" t="str">
        <f ca="1"/>
        <v>3.65</v>
      </c>
      <c r="L17" t="str">
        <f ca="1"/>
        <v>3.48</v>
      </c>
      <c r="M17" t="str">
        <f ca="1"/>
        <v>0.309</v>
      </c>
      <c r="N17" t="str">
        <f ca="1"/>
        <v>1.60</v>
      </c>
      <c r="O17" t="str">
        <f ca="1"/>
        <v>0</v>
      </c>
      <c r="P17" t="str">
        <f ca="1"/>
        <v>0</v>
      </c>
      <c r="Q17" t="str">
        <f ca="1"/>
        <v>1,000</v>
      </c>
      <c r="R17" t="str">
        <f ca="1"/>
        <v>kg/tonne</v>
      </c>
      <c r="S17" t="str">
        <f ca="1"/>
        <v>Yes</v>
      </c>
    </row>
    <row r="18" spans="1:19" x14ac:dyDescent="0.25">
      <c r="A18" t="str">
        <f ca="1"/>
        <v>Structural steel</v>
      </c>
      <c r="B18" t="str">
        <f ca="1"/>
        <v>Structural sections steel (welded beam, columns, angles, plates, piles etc) (hot rolled)</v>
      </c>
      <c r="C18" t="str">
        <f ca="1"/>
        <v>Steel used for structural purposes (unpainted, not galvanised) that has undergone hot-rolled steel production route. Including beams, columns, angles, flange channels, hollow sections.</v>
      </c>
      <c r="D18" t="str">
        <f ca="1"/>
        <v>tonne</v>
      </c>
      <c r="E18" t="str">
        <f ca="1"/>
        <v>Tier 2</v>
      </c>
      <c r="F18">
        <f ca="1"/>
        <v>1.05</v>
      </c>
      <c r="G18" t="str">
        <f ca="1"/>
        <v>3,910</v>
      </c>
      <c r="H18" t="str">
        <f ca="1"/>
        <v>3,720</v>
      </c>
      <c r="I18" t="str">
        <f ca="1"/>
        <v>558</v>
      </c>
      <c r="J18" t="str">
        <f ca="1"/>
        <v>2,270</v>
      </c>
      <c r="K18" t="str">
        <f ca="1"/>
        <v>3.91</v>
      </c>
      <c r="L18" t="str">
        <f ca="1"/>
        <v>3.72</v>
      </c>
      <c r="M18" t="str">
        <f ca="1"/>
        <v>0.558</v>
      </c>
      <c r="N18" t="str">
        <f ca="1"/>
        <v>2.27</v>
      </c>
      <c r="O18" t="str">
        <f ca="1"/>
        <v>0</v>
      </c>
      <c r="P18" t="str">
        <f ca="1"/>
        <v>0</v>
      </c>
      <c r="Q18" t="str">
        <f ca="1"/>
        <v>1,000</v>
      </c>
      <c r="R18" t="str">
        <f ca="1"/>
        <v>kg/tonne</v>
      </c>
      <c r="S18" t="str">
        <f ca="1"/>
        <v>Yes</v>
      </c>
    </row>
    <row r="19" spans="1:19" x14ac:dyDescent="0.25">
      <c r="A19" t="str">
        <f ca="1"/>
        <v>Structural steel</v>
      </c>
      <c r="B19" t="str">
        <f ca="1"/>
        <v>Structural formwork and decking steel (cold rolled - light weight)</v>
      </c>
      <c r="C19" t="str">
        <f ca="1"/>
        <v>Steel used for structural purposes that has undergone cold-rolled steel production route.</v>
      </c>
      <c r="D19" t="str">
        <f ca="1"/>
        <v>tonne</v>
      </c>
      <c r="E19" t="str">
        <f ca="1"/>
        <v>Tier 2</v>
      </c>
      <c r="F19">
        <f ca="1"/>
        <v>1.05</v>
      </c>
      <c r="G19" t="str">
        <f ca="1"/>
        <v>4,050</v>
      </c>
      <c r="H19" t="str">
        <f ca="1"/>
        <v>3,860</v>
      </c>
      <c r="I19" t="str">
        <f ca="1"/>
        <v>2,730</v>
      </c>
      <c r="J19" t="str">
        <f ca="1"/>
        <v>3,010</v>
      </c>
      <c r="K19" t="str">
        <f ca="1"/>
        <v>4.05</v>
      </c>
      <c r="L19" t="str">
        <f ca="1"/>
        <v>3.86</v>
      </c>
      <c r="M19" t="str">
        <f ca="1"/>
        <v>2.73</v>
      </c>
      <c r="N19" t="str">
        <f ca="1"/>
        <v>3.01</v>
      </c>
      <c r="O19" t="str">
        <f ca="1"/>
        <v>0</v>
      </c>
      <c r="P19" t="str">
        <f ca="1"/>
        <v>0</v>
      </c>
      <c r="Q19" t="str">
        <f ca="1"/>
        <v>1,000</v>
      </c>
      <c r="R19" t="str">
        <f ca="1"/>
        <v>kg/tonne</v>
      </c>
      <c r="S19" t="str">
        <f ca="1"/>
        <v>No</v>
      </c>
    </row>
    <row r="20" spans="1:19" x14ac:dyDescent="0.25">
      <c r="A20" t="str">
        <f ca="1"/>
        <v>Structural steel</v>
      </c>
      <c r="B20" t="str">
        <f ca="1"/>
        <v>Structural framing steel (cold rolled - lightweight)</v>
      </c>
      <c r="C20" t="str">
        <f ca="1"/>
        <v>Steel used for structural purposes that has undergone cold-rolled steel production route.</v>
      </c>
      <c r="D20" t="str">
        <f ca="1"/>
        <v>tonne</v>
      </c>
      <c r="E20" t="str">
        <f ca="1"/>
        <v>Tier 2</v>
      </c>
      <c r="F20">
        <f ca="1"/>
        <v>1.05</v>
      </c>
      <c r="G20" t="str">
        <f ca="1"/>
        <v>4,050</v>
      </c>
      <c r="H20" t="str">
        <f ca="1"/>
        <v>3,860</v>
      </c>
      <c r="I20" t="str">
        <f ca="1"/>
        <v>2,730</v>
      </c>
      <c r="J20" t="str">
        <f ca="1"/>
        <v>3,010</v>
      </c>
      <c r="K20" t="str">
        <f ca="1"/>
        <v>4.05</v>
      </c>
      <c r="L20" t="str">
        <f ca="1"/>
        <v>3.86</v>
      </c>
      <c r="M20" t="str">
        <f ca="1"/>
        <v>2.73</v>
      </c>
      <c r="N20" t="str">
        <f ca="1"/>
        <v>3.01</v>
      </c>
      <c r="O20" t="str">
        <f ca="1"/>
        <v>0</v>
      </c>
      <c r="P20" t="str">
        <f ca="1"/>
        <v>0</v>
      </c>
      <c r="Q20" t="str">
        <f ca="1"/>
        <v>1,000</v>
      </c>
      <c r="R20" t="str">
        <f ca="1"/>
        <v>kg/tonne</v>
      </c>
      <c r="S20" t="str">
        <f ca="1"/>
        <v>No</v>
      </c>
    </row>
    <row r="21" spans="1:19" x14ac:dyDescent="0.25">
      <c r="A21" t="str">
        <f ca="1"/>
        <v>Structural steel</v>
      </c>
      <c r="B21" t="str">
        <f ca="1"/>
        <v>Galvanised structural sections steel (welded beam, columns, angles, plates, piles etc.) (hot rolled)</v>
      </c>
      <c r="C21" t="str">
        <f ca="1"/>
        <v>Steel (galvanised) used for structural purposes that has undergone hot-rolled steel production route. Including beams, columns, angles, flange channels, hollow sections.</v>
      </c>
      <c r="D21" t="str">
        <f ca="1"/>
        <v>tonne</v>
      </c>
      <c r="E21" t="str">
        <f ca="1"/>
        <v>Tier 1</v>
      </c>
      <c r="F21">
        <f ca="1"/>
        <v>1.02</v>
      </c>
      <c r="G21" t="str">
        <f ca="1"/>
        <v>4,190</v>
      </c>
      <c r="H21" t="str">
        <f ca="1"/>
        <v>4,100</v>
      </c>
      <c r="I21" t="str">
        <f ca="1"/>
        <v>581</v>
      </c>
      <c r="J21" t="str">
        <f ca="1"/>
        <v>2,400</v>
      </c>
      <c r="K21" t="str">
        <f ca="1"/>
        <v>4.19</v>
      </c>
      <c r="L21" t="str">
        <f ca="1"/>
        <v>4.10</v>
      </c>
      <c r="M21" t="str">
        <f ca="1"/>
        <v>0.581</v>
      </c>
      <c r="N21" t="str">
        <f ca="1"/>
        <v>2.40</v>
      </c>
      <c r="O21" t="str">
        <f ca="1"/>
        <v>0</v>
      </c>
      <c r="P21" t="str">
        <f ca="1"/>
        <v>0</v>
      </c>
      <c r="Q21" t="str">
        <f ca="1"/>
        <v>1,000</v>
      </c>
      <c r="R21" t="str">
        <f ca="1"/>
        <v>kg/tonne</v>
      </c>
      <c r="S21" t="str">
        <f ca="1"/>
        <v>No</v>
      </c>
    </row>
    <row r="22" spans="1:19" x14ac:dyDescent="0.25">
      <c r="A22" t="str">
        <f ca="1"/>
        <v>Structural steel</v>
      </c>
      <c r="B22" t="str">
        <f ca="1"/>
        <v>Painted structural sections steel (welded beam, columns, angles, plates, piles etc.) (hot rolled)</v>
      </c>
      <c r="C22" t="str">
        <f ca="1"/>
        <v>Steel (painted) used for structural purposes that has undergone hot-rolled steel production route. Including beams, columns, angles, flange channels, hollow sections.</v>
      </c>
      <c r="D22" t="str">
        <f ca="1"/>
        <v>tonne</v>
      </c>
      <c r="E22" t="str">
        <f ca="1"/>
        <v>Tier 2</v>
      </c>
      <c r="F22">
        <f ca="1"/>
        <v>1.05</v>
      </c>
      <c r="G22" t="str">
        <f ca="1"/>
        <v>4,340</v>
      </c>
      <c r="H22" t="str">
        <f ca="1"/>
        <v>4,130</v>
      </c>
      <c r="I22" t="str">
        <f ca="1"/>
        <v>580</v>
      </c>
      <c r="J22" t="str">
        <f ca="1"/>
        <v>2,410</v>
      </c>
      <c r="K22" t="str">
        <f ca="1"/>
        <v>4.34</v>
      </c>
      <c r="L22" t="str">
        <f ca="1"/>
        <v>4.13</v>
      </c>
      <c r="M22" t="str">
        <f ca="1"/>
        <v>0.580</v>
      </c>
      <c r="N22" t="str">
        <f ca="1"/>
        <v>2.41</v>
      </c>
      <c r="O22" t="str">
        <f ca="1"/>
        <v>0</v>
      </c>
      <c r="P22" t="str">
        <f ca="1"/>
        <v>0</v>
      </c>
      <c r="Q22" t="str">
        <f ca="1"/>
        <v>1,000</v>
      </c>
      <c r="R22" t="str">
        <f ca="1"/>
        <v>kg/tonne</v>
      </c>
      <c r="S22" t="str">
        <f ca="1"/>
        <v>No</v>
      </c>
    </row>
    <row r="23" spans="1:19" x14ac:dyDescent="0.25">
      <c r="A23" t="str">
        <f ca="1"/>
        <v>Stainless steel</v>
      </c>
      <c r="B23" t="str">
        <f ca="1"/>
        <v>Stainless steel (general)</v>
      </c>
      <c r="C23" t="str">
        <f ca="1"/>
        <v>All stainless steel.</v>
      </c>
      <c r="D23" t="str">
        <f ca="1"/>
        <v>tonne</v>
      </c>
      <c r="E23" t="str">
        <f ca="1"/>
        <v>Tier 4</v>
      </c>
      <c r="F23">
        <f ca="1"/>
        <v>1.2</v>
      </c>
      <c r="G23" t="str">
        <f ca="1"/>
        <v>5,990</v>
      </c>
      <c r="H23" t="str">
        <f ca="1"/>
        <v>4,990</v>
      </c>
      <c r="I23" t="str">
        <f ca="1"/>
        <v>2,800</v>
      </c>
      <c r="J23" t="str">
        <f ca="1"/>
        <v>3,510</v>
      </c>
      <c r="K23" t="str">
        <f ca="1"/>
        <v>5.99</v>
      </c>
      <c r="L23" t="str">
        <f ca="1"/>
        <v>4.99</v>
      </c>
      <c r="M23" t="str">
        <f ca="1"/>
        <v>2.80</v>
      </c>
      <c r="N23" t="str">
        <f ca="1"/>
        <v>3.51</v>
      </c>
      <c r="O23" t="str">
        <f ca="1"/>
        <v>0</v>
      </c>
      <c r="P23" t="str">
        <f ca="1"/>
        <v>0</v>
      </c>
      <c r="Q23" t="str">
        <f ca="1"/>
        <v>1,000</v>
      </c>
      <c r="R23" t="str">
        <f ca="1"/>
        <v>kg/tonne</v>
      </c>
      <c r="S23" t="str">
        <f ca="1"/>
        <v>No</v>
      </c>
    </row>
    <row r="24" spans="1:19" x14ac:dyDescent="0.25">
      <c r="A24" t="str">
        <f ca="1"/>
        <v>Timber</v>
      </c>
      <c r="B24" t="str">
        <f ca="1"/>
        <v>Softwood</v>
      </c>
      <c r="C24" t="str">
        <f ca="1"/>
        <v>Softwood timber. Most common species radiata pine. Includes treated, untreated, surfaced, and sawn products.</v>
      </c>
      <c r="D24" t="str">
        <f ca="1"/>
        <v>m³</v>
      </c>
      <c r="E24" t="str">
        <f ca="1"/>
        <v>Tier 2</v>
      </c>
      <c r="F24">
        <f ca="1"/>
        <v>1.05</v>
      </c>
      <c r="G24" t="str">
        <f ca="1"/>
        <v>349</v>
      </c>
      <c r="H24" t="str">
        <f ca="1"/>
        <v>332</v>
      </c>
      <c r="I24" t="str">
        <f ca="1"/>
        <v>113</v>
      </c>
      <c r="J24" t="str">
        <f ca="1"/>
        <v>188</v>
      </c>
      <c r="K24" t="str">
        <f ca="1"/>
        <v>0.633</v>
      </c>
      <c r="L24" t="str">
        <f ca="1"/>
        <v>0.603</v>
      </c>
      <c r="M24" t="str">
        <f ca="1"/>
        <v>0.205</v>
      </c>
      <c r="N24" t="str">
        <f ca="1"/>
        <v>0.366</v>
      </c>
      <c r="O24" t="str">
        <f ca="1"/>
        <v>857</v>
      </c>
      <c r="P24" t="str">
        <f ca="1"/>
        <v>1.64</v>
      </c>
      <c r="Q24" t="str">
        <f ca="1"/>
        <v>514</v>
      </c>
      <c r="R24" t="str">
        <f ca="1"/>
        <v>kg/m³</v>
      </c>
      <c r="S24" t="str">
        <f ca="1"/>
        <v>Yes</v>
      </c>
    </row>
    <row r="25" spans="1:19" x14ac:dyDescent="0.25">
      <c r="A25" t="str">
        <f ca="1"/>
        <v>Timber</v>
      </c>
      <c r="B25" t="str">
        <f ca="1"/>
        <v>Hardwood</v>
      </c>
      <c r="C25" t="str">
        <f ca="1"/>
        <v>Hardwood timber. Includes treated, untreated, dressed, and sawn products.</v>
      </c>
      <c r="D25" t="str">
        <f ca="1"/>
        <v>m³</v>
      </c>
      <c r="E25" t="str">
        <f ca="1"/>
        <v>Tier 2</v>
      </c>
      <c r="F25">
        <f ca="1"/>
        <v>1.05</v>
      </c>
      <c r="G25" t="str">
        <f ca="1"/>
        <v>591</v>
      </c>
      <c r="H25" t="str">
        <f ca="1"/>
        <v>563</v>
      </c>
      <c r="I25" t="str">
        <f ca="1"/>
        <v>104</v>
      </c>
      <c r="J25" t="str">
        <f ca="1"/>
        <v>347</v>
      </c>
      <c r="K25" t="str">
        <f ca="1"/>
        <v>0.804</v>
      </c>
      <c r="L25" t="str">
        <f ca="1"/>
        <v>0.765</v>
      </c>
      <c r="M25" t="str">
        <f ca="1"/>
        <v>0.126</v>
      </c>
      <c r="N25" t="str">
        <f ca="1"/>
        <v>0.466</v>
      </c>
      <c r="O25" t="str">
        <f ca="1"/>
        <v>1,170</v>
      </c>
      <c r="P25" t="str">
        <f ca="1"/>
        <v>1.54</v>
      </c>
      <c r="Q25" t="str">
        <f ca="1"/>
        <v>744</v>
      </c>
      <c r="R25" t="str">
        <f ca="1"/>
        <v>kg/m³</v>
      </c>
      <c r="S25" t="str">
        <f ca="1"/>
        <v>No</v>
      </c>
    </row>
    <row r="26" spans="1:19" x14ac:dyDescent="0.25">
      <c r="A26" t="str">
        <f ca="1"/>
        <v>Timber</v>
      </c>
      <c r="B26" t="str">
        <f ca="1"/>
        <v>Timber poles - piles</v>
      </c>
      <c r="C26" t="str">
        <f ca="1"/>
        <v>Hardwood timber. Includes treated, untreated, dressed, and sawn products.</v>
      </c>
      <c r="D26" t="str">
        <f ca="1"/>
        <v>m³</v>
      </c>
      <c r="E26" t="str">
        <f ca="1"/>
        <v>Tier 2</v>
      </c>
      <c r="F26">
        <f ca="1"/>
        <v>1.05</v>
      </c>
      <c r="G26" t="str">
        <f ca="1"/>
        <v>591</v>
      </c>
      <c r="H26" t="str">
        <f ca="1"/>
        <v>563</v>
      </c>
      <c r="I26" t="str">
        <f ca="1"/>
        <v>104</v>
      </c>
      <c r="J26" t="str">
        <f ca="1"/>
        <v>347</v>
      </c>
      <c r="K26" t="str">
        <f ca="1"/>
        <v>0.804</v>
      </c>
      <c r="L26" t="str">
        <f ca="1"/>
        <v>0.765</v>
      </c>
      <c r="M26" t="str">
        <f ca="1"/>
        <v>0.126</v>
      </c>
      <c r="N26" t="str">
        <f ca="1"/>
        <v>0.466</v>
      </c>
      <c r="O26" t="str">
        <f ca="1"/>
        <v>1,170</v>
      </c>
      <c r="P26" t="str">
        <f ca="1"/>
        <v>1.54</v>
      </c>
      <c r="Q26" t="str">
        <f ca="1"/>
        <v>744</v>
      </c>
      <c r="R26" t="str">
        <f ca="1"/>
        <v>kg/m³</v>
      </c>
      <c r="S26" t="str">
        <f ca="1"/>
        <v>No</v>
      </c>
    </row>
    <row r="27" spans="1:19" x14ac:dyDescent="0.25">
      <c r="A27" t="str">
        <f ca="1"/>
        <v>Timber (engineered)</v>
      </c>
      <c r="B27" t="str">
        <f ca="1"/>
        <v>Plywood</v>
      </c>
      <c r="C27" t="str">
        <f ca="1"/>
        <v xml:space="preserve">Plywood timber for bracing, structural (walling, flooring), formwork purposes. </v>
      </c>
      <c r="D27" t="str">
        <f ca="1"/>
        <v>m³</v>
      </c>
      <c r="E27" t="str">
        <f ca="1"/>
        <v>Tier 2</v>
      </c>
      <c r="F27">
        <f ca="1"/>
        <v>1.05</v>
      </c>
      <c r="G27" t="str">
        <f ca="1"/>
        <v>968</v>
      </c>
      <c r="H27" t="str">
        <f ca="1"/>
        <v>922</v>
      </c>
      <c r="I27" t="str">
        <f ca="1"/>
        <v>235</v>
      </c>
      <c r="J27" t="str">
        <f ca="1"/>
        <v>498</v>
      </c>
      <c r="K27" t="str">
        <f ca="1"/>
        <v>1.77</v>
      </c>
      <c r="L27" t="str">
        <f ca="1"/>
        <v>1.69</v>
      </c>
      <c r="M27" t="str">
        <f ca="1"/>
        <v>0.396</v>
      </c>
      <c r="N27" t="str">
        <f ca="1"/>
        <v>0.978</v>
      </c>
      <c r="O27" t="str">
        <f ca="1"/>
        <v>841</v>
      </c>
      <c r="P27" t="str">
        <f ca="1"/>
        <v>1.64</v>
      </c>
      <c r="Q27" t="str">
        <f ca="1"/>
        <v>509</v>
      </c>
      <c r="R27" t="str">
        <f ca="1"/>
        <v>kg/m³</v>
      </c>
      <c r="S27" t="str">
        <f ca="1"/>
        <v>Yes</v>
      </c>
    </row>
    <row r="28" spans="1:19" x14ac:dyDescent="0.25">
      <c r="A28" t="str">
        <f ca="1"/>
        <v>Timber (engineered)</v>
      </c>
      <c r="B28" t="str">
        <f ca="1"/>
        <v>Particleboard</v>
      </c>
      <c r="C28" t="str">
        <f ca="1"/>
        <v xml:space="preserve">Particleboard including walling and flooring applications </v>
      </c>
      <c r="D28" t="str">
        <f ca="1"/>
        <v>m³</v>
      </c>
      <c r="E28" t="str">
        <f ca="1"/>
        <v>Tier 2</v>
      </c>
      <c r="F28">
        <f ca="1"/>
        <v>1.05</v>
      </c>
      <c r="G28" t="str">
        <f ca="1"/>
        <v>880</v>
      </c>
      <c r="H28" t="str">
        <f ca="1"/>
        <v>838</v>
      </c>
      <c r="I28" t="str">
        <f ca="1"/>
        <v>322</v>
      </c>
      <c r="J28" t="str">
        <f ca="1"/>
        <v>650</v>
      </c>
      <c r="K28" t="str">
        <f ca="1"/>
        <v>1.23</v>
      </c>
      <c r="L28" t="str">
        <f ca="1"/>
        <v>1.17</v>
      </c>
      <c r="M28" t="str">
        <f ca="1"/>
        <v>0.488</v>
      </c>
      <c r="N28" t="str">
        <f ca="1"/>
        <v>0.915</v>
      </c>
      <c r="O28" t="str">
        <f ca="1"/>
        <v>1,140</v>
      </c>
      <c r="P28" t="str">
        <f ca="1"/>
        <v>1.62</v>
      </c>
      <c r="Q28" t="str">
        <f ca="1"/>
        <v>711</v>
      </c>
      <c r="R28" t="str">
        <f ca="1"/>
        <v>kg/m³</v>
      </c>
      <c r="S28" t="str">
        <f ca="1"/>
        <v>Yes</v>
      </c>
    </row>
    <row r="29" spans="1:19" x14ac:dyDescent="0.25">
      <c r="A29" t="str">
        <f ca="1"/>
        <v>Timber (engineered)</v>
      </c>
      <c r="B29" t="str">
        <f ca="1"/>
        <v>GLT &amp; CLT (softwood)</v>
      </c>
      <c r="C29" t="str">
        <f ca="1"/>
        <v>Softwood glue laminated timber (GLT) or cross laminated timber (CLT) including treated and untreated.</v>
      </c>
      <c r="D29" t="str">
        <f ca="1"/>
        <v>m³</v>
      </c>
      <c r="E29" t="str">
        <f ca="1"/>
        <v>Tier 2</v>
      </c>
      <c r="F29">
        <f ca="1"/>
        <v>1.05</v>
      </c>
      <c r="G29" t="str">
        <f ca="1"/>
        <v>565</v>
      </c>
      <c r="H29" t="str">
        <f ca="1"/>
        <v>539</v>
      </c>
      <c r="I29" t="str">
        <f ca="1"/>
        <v>53.8</v>
      </c>
      <c r="J29" t="str">
        <f ca="1"/>
        <v>242</v>
      </c>
      <c r="K29" t="str">
        <f ca="1"/>
        <v>1.26</v>
      </c>
      <c r="L29" t="str">
        <f ca="1"/>
        <v>1.20</v>
      </c>
      <c r="M29" t="str">
        <f ca="1"/>
        <v>0.114</v>
      </c>
      <c r="N29" t="str">
        <f ca="1"/>
        <v>0.467</v>
      </c>
      <c r="O29" t="str">
        <f ca="1"/>
        <v>823</v>
      </c>
      <c r="P29" t="str">
        <f ca="1"/>
        <v>1.61</v>
      </c>
      <c r="Q29" t="str">
        <f ca="1"/>
        <v>518</v>
      </c>
      <c r="R29" t="str">
        <f ca="1"/>
        <v>kg/m³</v>
      </c>
      <c r="S29" t="str">
        <f ca="1"/>
        <v>Yes</v>
      </c>
    </row>
    <row r="30" spans="1:19" x14ac:dyDescent="0.25">
      <c r="A30" t="str">
        <f ca="1"/>
        <v>Timber (engineered)</v>
      </c>
      <c r="B30" t="str">
        <f ca="1"/>
        <v>GLT &amp; CLT (hardwood)</v>
      </c>
      <c r="C30" t="str">
        <f ca="1"/>
        <v>Hardwood glue laminated timber (GLT) or cross laminated timber (CLT) including treated and untreated.</v>
      </c>
      <c r="D30" t="str">
        <f ca="1"/>
        <v>m³</v>
      </c>
      <c r="E30" t="str">
        <f ca="1"/>
        <v>Tier 3</v>
      </c>
      <c r="F30">
        <f ca="1"/>
        <v>1.1000000000000001</v>
      </c>
      <c r="G30" t="str">
        <f ca="1"/>
        <v>841</v>
      </c>
      <c r="H30" t="str">
        <f ca="1"/>
        <v>765</v>
      </c>
      <c r="I30" t="str">
        <f ca="1"/>
        <v>627</v>
      </c>
      <c r="J30" t="str">
        <f ca="1"/>
        <v>690</v>
      </c>
      <c r="K30" t="str">
        <f ca="1"/>
        <v>1.25</v>
      </c>
      <c r="L30" t="str">
        <f ca="1"/>
        <v>1.13</v>
      </c>
      <c r="M30" t="str">
        <f ca="1"/>
        <v>0.930</v>
      </c>
      <c r="N30" t="str">
        <f ca="1"/>
        <v>1.02</v>
      </c>
      <c r="O30" t="str">
        <f ca="1"/>
        <v>1,090</v>
      </c>
      <c r="P30" t="str">
        <f ca="1"/>
        <v>1.61</v>
      </c>
      <c r="Q30" t="str">
        <f ca="1"/>
        <v>674</v>
      </c>
      <c r="R30" t="str">
        <f ca="1"/>
        <v>kg/m³</v>
      </c>
      <c r="S30" t="str">
        <f ca="1"/>
        <v>Yes</v>
      </c>
    </row>
    <row r="31" spans="1:19" x14ac:dyDescent="0.25">
      <c r="A31" t="str">
        <f ca="1"/>
        <v>Timber (engineered)</v>
      </c>
      <c r="B31" t="str">
        <f ca="1"/>
        <v>LVL</v>
      </c>
      <c r="C31" t="str">
        <f ca="1"/>
        <v>Laminated veneer timber (LVL) including treated and untreated.</v>
      </c>
      <c r="D31" t="str">
        <f ca="1"/>
        <v>m³</v>
      </c>
      <c r="E31" t="str">
        <f ca="1"/>
        <v>Tier 3</v>
      </c>
      <c r="F31">
        <f ca="1"/>
        <v>1.1000000000000001</v>
      </c>
      <c r="G31" t="str">
        <f ca="1"/>
        <v>442</v>
      </c>
      <c r="H31" t="str">
        <f ca="1"/>
        <v>402</v>
      </c>
      <c r="I31" t="str">
        <f ca="1"/>
        <v>94.4</v>
      </c>
      <c r="J31" t="str">
        <f ca="1"/>
        <v>298</v>
      </c>
      <c r="K31" t="str">
        <f ca="1"/>
        <v>1.00</v>
      </c>
      <c r="L31" t="str">
        <f ca="1"/>
        <v>0.913</v>
      </c>
      <c r="M31" t="str">
        <f ca="1"/>
        <v>0.155</v>
      </c>
      <c r="N31" t="str">
        <f ca="1"/>
        <v>0.587</v>
      </c>
      <c r="O31" t="str">
        <f ca="1"/>
        <v>843</v>
      </c>
      <c r="P31" t="str">
        <f ca="1"/>
        <v>1.60</v>
      </c>
      <c r="Q31" t="str">
        <f ca="1"/>
        <v>507</v>
      </c>
      <c r="R31" t="str">
        <f ca="1"/>
        <v>kg/m³</v>
      </c>
      <c r="S31" t="str">
        <f ca="1"/>
        <v>No</v>
      </c>
    </row>
    <row r="32" spans="1:19" x14ac:dyDescent="0.25">
      <c r="A32" t="str">
        <f ca="1"/>
        <v>Timber (engineered)</v>
      </c>
      <c r="B32" t="str">
        <f ca="1"/>
        <v>OSB</v>
      </c>
      <c r="C32" t="str">
        <f ca="1"/>
        <v>Oriented strand board (OSB).</v>
      </c>
      <c r="D32" t="str">
        <f ca="1"/>
        <v>m³</v>
      </c>
      <c r="E32" t="str">
        <f ca="1"/>
        <v>Tier 4</v>
      </c>
      <c r="F32">
        <f ca="1"/>
        <v>1.2</v>
      </c>
      <c r="G32" t="str">
        <f ca="1"/>
        <v>461</v>
      </c>
      <c r="H32" t="str">
        <f ca="1"/>
        <v>384</v>
      </c>
      <c r="I32" t="str">
        <f ca="1"/>
        <v>101</v>
      </c>
      <c r="J32" t="str">
        <f ca="1"/>
        <v>194</v>
      </c>
      <c r="K32" t="str">
        <f ca="1"/>
        <v>0.767</v>
      </c>
      <c r="L32" t="str">
        <f ca="1"/>
        <v>0.640</v>
      </c>
      <c r="M32" t="str">
        <f ca="1"/>
        <v>0.165</v>
      </c>
      <c r="N32" t="str">
        <f ca="1"/>
        <v>0.318</v>
      </c>
      <c r="O32" t="str">
        <f ca="1"/>
        <v>1,020</v>
      </c>
      <c r="P32" t="str">
        <f ca="1"/>
        <v>1.66</v>
      </c>
      <c r="Q32" t="str">
        <f ca="1"/>
        <v>610</v>
      </c>
      <c r="R32" t="str">
        <f ca="1"/>
        <v>kg/m³</v>
      </c>
      <c r="S32" t="str">
        <f ca="1"/>
        <v>No</v>
      </c>
    </row>
    <row r="33" spans="1:19" x14ac:dyDescent="0.25">
      <c r="A33" t="str">
        <f ca="1"/>
        <v>Brick</v>
      </c>
      <c r="B33" t="str">
        <f ca="1"/>
        <v>Clay brick</v>
      </c>
      <c r="C33" t="str">
        <f ca="1"/>
        <v>Masonry bricks made from clay, including fired, perforated, engineering, and facing bricks.</v>
      </c>
      <c r="D33" t="str">
        <f ca="1"/>
        <v>tonne</v>
      </c>
      <c r="E33" t="str">
        <f ca="1"/>
        <v>Tier 4</v>
      </c>
      <c r="F33">
        <f ca="1"/>
        <v>1.2</v>
      </c>
      <c r="G33" t="str">
        <f ca="1"/>
        <v>464</v>
      </c>
      <c r="H33" t="str">
        <f ca="1"/>
        <v>387</v>
      </c>
      <c r="I33" t="str">
        <f ca="1"/>
        <v>47.8</v>
      </c>
      <c r="J33" t="str">
        <f ca="1"/>
        <v>184</v>
      </c>
      <c r="K33" t="str">
        <f ca="1"/>
        <v>0.464</v>
      </c>
      <c r="L33" t="str">
        <f ca="1"/>
        <v>0.387</v>
      </c>
      <c r="M33" t="str">
        <f ca="1"/>
        <v>0.0478</v>
      </c>
      <c r="N33" t="str">
        <f ca="1"/>
        <v>0.184</v>
      </c>
      <c r="O33" t="str">
        <f ca="1"/>
        <v>0</v>
      </c>
      <c r="P33" t="str">
        <f ca="1"/>
        <v>0</v>
      </c>
      <c r="Q33" t="str">
        <f ca="1"/>
        <v>1,000</v>
      </c>
      <c r="R33" t="str">
        <f ca="1"/>
        <v>kg/tonne</v>
      </c>
      <c r="S33" t="str">
        <f ca="1"/>
        <v>No</v>
      </c>
    </row>
    <row r="34" spans="1:19" x14ac:dyDescent="0.25">
      <c r="A34" t="str">
        <f ca="1"/>
        <v>Brick</v>
      </c>
      <c r="B34" t="str">
        <f ca="1"/>
        <v xml:space="preserve">Concrete brick </v>
      </c>
      <c r="C34" t="str">
        <f ca="1"/>
        <v>Concrete brick, block and roof tiles i.e. cinder block or concrete finishing brick/tile used in masonry. Not including any core fill material or reinforcing.</v>
      </c>
      <c r="D34" t="str">
        <f ca="1"/>
        <v>tonne</v>
      </c>
      <c r="E34" t="str">
        <f ca="1"/>
        <v>Tier 3</v>
      </c>
      <c r="F34">
        <f ca="1"/>
        <v>1.1000000000000001</v>
      </c>
      <c r="G34" t="str">
        <f ca="1"/>
        <v>264</v>
      </c>
      <c r="H34" t="str">
        <f ca="1"/>
        <v>240</v>
      </c>
      <c r="I34" t="str">
        <f ca="1"/>
        <v>112</v>
      </c>
      <c r="J34" t="str">
        <f ca="1"/>
        <v>159</v>
      </c>
      <c r="K34" t="str">
        <f ca="1"/>
        <v>0.264</v>
      </c>
      <c r="L34" t="str">
        <f ca="1"/>
        <v>0.240</v>
      </c>
      <c r="M34" t="str">
        <f ca="1"/>
        <v>0.112</v>
      </c>
      <c r="N34" t="str">
        <f ca="1"/>
        <v>0.159</v>
      </c>
      <c r="O34" t="str">
        <f ca="1"/>
        <v>0</v>
      </c>
      <c r="P34" t="str">
        <f ca="1"/>
        <v>0</v>
      </c>
      <c r="Q34" t="str">
        <f ca="1"/>
        <v>1,000</v>
      </c>
      <c r="R34" t="str">
        <f ca="1"/>
        <v>kg/tonne</v>
      </c>
      <c r="S34" t="str">
        <f ca="1"/>
        <v>No</v>
      </c>
    </row>
    <row r="35" spans="1:19" x14ac:dyDescent="0.25">
      <c r="A35" t="str">
        <f ca="1"/>
        <v>Brick</v>
      </c>
      <c r="B35" t="str">
        <f ca="1"/>
        <v>Stone brick</v>
      </c>
      <c r="C35" t="str">
        <f ca="1"/>
        <v>Stone tiles (wall and floor) and pavers including porcelain tiles, represented by granite and limestone quarry operations and surface preparation with stabilisation as needed.</v>
      </c>
      <c r="D35" t="str">
        <f ca="1"/>
        <v>tonne</v>
      </c>
      <c r="E35" t="str">
        <f ca="1"/>
        <v>Tier 4</v>
      </c>
      <c r="F35">
        <f ca="1"/>
        <v>1.2</v>
      </c>
      <c r="G35" t="str">
        <f ca="1"/>
        <v>542</v>
      </c>
      <c r="H35" t="str">
        <f ca="1"/>
        <v>452</v>
      </c>
      <c r="I35" t="str">
        <f ca="1"/>
        <v>67.1</v>
      </c>
      <c r="J35" t="str">
        <f ca="1"/>
        <v>239</v>
      </c>
      <c r="K35" t="str">
        <f ca="1"/>
        <v>0.542</v>
      </c>
      <c r="L35" t="str">
        <f ca="1"/>
        <v>0.452</v>
      </c>
      <c r="M35" t="str">
        <f ca="1"/>
        <v>0.0671</v>
      </c>
      <c r="N35" t="str">
        <f ca="1"/>
        <v>0.239</v>
      </c>
      <c r="O35" t="str">
        <f ca="1"/>
        <v>0</v>
      </c>
      <c r="P35" t="str">
        <f ca="1"/>
        <v>0</v>
      </c>
      <c r="Q35" t="str">
        <f ca="1"/>
        <v>1,000</v>
      </c>
      <c r="R35" t="str">
        <f ca="1"/>
        <v>kg/tonne</v>
      </c>
      <c r="S35" t="str">
        <f ca="1"/>
        <v>No</v>
      </c>
    </row>
    <row r="36" spans="1:19" x14ac:dyDescent="0.25">
      <c r="A36" t="str">
        <f ca="1"/>
        <v>Aggregate</v>
      </c>
      <c r="B36" t="str">
        <f ca="1"/>
        <v>Quarried fill and base material</v>
      </c>
      <c r="C36" t="str">
        <f ca="1"/>
        <v>Various aggregates used as fill including quarry products, road base and ballast of differing size distributions.</v>
      </c>
      <c r="D36" t="str">
        <f ca="1"/>
        <v>tonne</v>
      </c>
      <c r="E36" t="str">
        <f ca="1"/>
        <v>Tier 3</v>
      </c>
      <c r="F36">
        <f ca="1"/>
        <v>1.1000000000000001</v>
      </c>
      <c r="G36" t="str">
        <f ca="1"/>
        <v>10.2</v>
      </c>
      <c r="H36" t="str">
        <f ca="1"/>
        <v>9.24</v>
      </c>
      <c r="I36" t="str">
        <f ca="1"/>
        <v>3.26</v>
      </c>
      <c r="J36" t="str">
        <f ca="1"/>
        <v>6.66</v>
      </c>
      <c r="K36" t="str">
        <f ca="1"/>
        <v>0.0102</v>
      </c>
      <c r="L36" t="str">
        <f ca="1"/>
        <v>0.00924</v>
      </c>
      <c r="M36" t="str">
        <f ca="1"/>
        <v>0.00326</v>
      </c>
      <c r="N36" t="str">
        <f ca="1"/>
        <v>0.00666</v>
      </c>
      <c r="O36" t="str">
        <f ca="1"/>
        <v>0</v>
      </c>
      <c r="P36" t="str">
        <f ca="1"/>
        <v>0</v>
      </c>
      <c r="Q36" t="str">
        <f ca="1"/>
        <v>1,000</v>
      </c>
      <c r="R36" t="str">
        <f ca="1"/>
        <v>kg/tonne</v>
      </c>
      <c r="S36" t="str">
        <f ca="1"/>
        <v>No</v>
      </c>
    </row>
    <row r="37" spans="1:19" x14ac:dyDescent="0.25">
      <c r="A37" t="str">
        <f ca="1"/>
        <v>Aggregate</v>
      </c>
      <c r="B37" t="str">
        <f ca="1"/>
        <v>Recycled fill material</v>
      </c>
      <c r="C37" t="str">
        <f ca="1"/>
        <v>Aggregates generated from a recycled or recovered resource (e.g. from crushed recycled concrete).</v>
      </c>
      <c r="D37" t="str">
        <f ca="1"/>
        <v>tonne</v>
      </c>
      <c r="E37" t="str">
        <f ca="1"/>
        <v>Tier 4</v>
      </c>
      <c r="F37">
        <f ca="1"/>
        <v>1.2</v>
      </c>
      <c r="G37" t="str">
        <f ca="1"/>
        <v>11.5</v>
      </c>
      <c r="H37" t="str">
        <f ca="1"/>
        <v>9.55</v>
      </c>
      <c r="I37" t="str">
        <f ca="1"/>
        <v>0.492</v>
      </c>
      <c r="J37" t="str">
        <f ca="1"/>
        <v>3.82</v>
      </c>
      <c r="K37" t="str">
        <f ca="1"/>
        <v>0.0115</v>
      </c>
      <c r="L37" t="str">
        <f ca="1"/>
        <v>0.00955</v>
      </c>
      <c r="M37" t="str">
        <f ca="1"/>
        <v>4.92E-04</v>
      </c>
      <c r="N37" t="str">
        <f ca="1"/>
        <v>0.00382</v>
      </c>
      <c r="O37" t="str">
        <f ca="1"/>
        <v>0</v>
      </c>
      <c r="P37" t="str">
        <f ca="1"/>
        <v>0</v>
      </c>
      <c r="Q37" t="str">
        <f ca="1"/>
        <v>1,000</v>
      </c>
      <c r="R37" t="str">
        <f ca="1"/>
        <v>kg/tonne</v>
      </c>
      <c r="S37" t="str">
        <f ca="1"/>
        <v>No</v>
      </c>
    </row>
    <row r="38" spans="1:19" x14ac:dyDescent="0.25">
      <c r="A38" t="str">
        <f ca="1"/>
        <v>Aggregate</v>
      </c>
      <c r="B38" t="str">
        <f ca="1"/>
        <v>Stabilised sand</v>
      </c>
      <c r="C38" t="str">
        <f ca="1"/>
        <v>Sand used as fill or for stabilsation purposes, including various rates of stabliser inclusion from 7% to 25%.</v>
      </c>
      <c r="D38" t="str">
        <f ca="1"/>
        <v>m³</v>
      </c>
      <c r="E38" t="str">
        <f ca="1"/>
        <v>Tier 2</v>
      </c>
      <c r="F38">
        <f ca="1"/>
        <v>1.05</v>
      </c>
      <c r="G38" t="str">
        <f ca="1"/>
        <v>361</v>
      </c>
      <c r="H38" t="str">
        <f ca="1"/>
        <v>344</v>
      </c>
      <c r="I38" t="str">
        <f ca="1"/>
        <v>67.8</v>
      </c>
      <c r="J38" t="str">
        <f ca="1"/>
        <v>185</v>
      </c>
      <c r="K38" t="str">
        <f ca="1"/>
        <v>0.206</v>
      </c>
      <c r="L38" t="str">
        <f ca="1"/>
        <v>0.197</v>
      </c>
      <c r="M38" t="str">
        <f ca="1"/>
        <v>0.0387</v>
      </c>
      <c r="N38" t="str">
        <f ca="1"/>
        <v>0.105</v>
      </c>
      <c r="O38" t="str">
        <f ca="1"/>
        <v>0</v>
      </c>
      <c r="P38" t="str">
        <f ca="1"/>
        <v>0</v>
      </c>
      <c r="Q38" t="str">
        <f ca="1"/>
        <v>1,760</v>
      </c>
      <c r="R38" t="str">
        <f ca="1"/>
        <v>kg/m³</v>
      </c>
      <c r="S38" t="str">
        <f ca="1"/>
        <v>No</v>
      </c>
    </row>
    <row r="39" spans="1:19" x14ac:dyDescent="0.25">
      <c r="A39" t="str">
        <f ca="1"/>
        <v>Asphalt</v>
      </c>
      <c r="B39" t="str">
        <f ca="1"/>
        <v>Asphalt</v>
      </c>
      <c r="C39" t="str">
        <f ca="1"/>
        <v>Any asphalt mix</v>
      </c>
      <c r="D39" t="str">
        <f ca="1"/>
        <v>tonne</v>
      </c>
      <c r="E39" t="str">
        <f ca="1"/>
        <v>Tier 2</v>
      </c>
      <c r="F39">
        <f ca="1"/>
        <v>1.05</v>
      </c>
      <c r="G39" t="str">
        <f ca="1"/>
        <v>141</v>
      </c>
      <c r="H39" t="str">
        <f ca="1"/>
        <v>134</v>
      </c>
      <c r="I39" t="str">
        <f ca="1"/>
        <v>5.83</v>
      </c>
      <c r="J39" t="str">
        <f ca="1"/>
        <v>71.4</v>
      </c>
      <c r="K39" t="str">
        <f ca="1"/>
        <v>0.141</v>
      </c>
      <c r="L39" t="str">
        <f ca="1"/>
        <v>0.134</v>
      </c>
      <c r="M39" t="str">
        <f ca="1"/>
        <v>0.00583</v>
      </c>
      <c r="N39" t="str">
        <f ca="1"/>
        <v>0.0714</v>
      </c>
      <c r="O39" t="str">
        <f ca="1"/>
        <v>0</v>
      </c>
      <c r="P39" t="str">
        <f ca="1"/>
        <v>0</v>
      </c>
      <c r="Q39" t="str">
        <f ca="1"/>
        <v>1,000</v>
      </c>
      <c r="R39" t="str">
        <f ca="1"/>
        <v>kg/tonne</v>
      </c>
      <c r="S39" t="str">
        <f ca="1"/>
        <v>No</v>
      </c>
    </row>
    <row r="40" spans="1:19" x14ac:dyDescent="0.25">
      <c r="A40" t="str">
        <f ca="1"/>
        <v>Roof tiles</v>
      </c>
      <c r="B40" t="str">
        <f ca="1"/>
        <v>Clay and terracotta roof tiles</v>
      </c>
      <c r="C40" t="str">
        <f ca="1"/>
        <v>Clay and terracotta roof tiles.</v>
      </c>
      <c r="D40" t="str">
        <f ca="1"/>
        <v>tonne</v>
      </c>
      <c r="E40" t="str">
        <f ca="1"/>
        <v>Tier 4</v>
      </c>
      <c r="F40">
        <f ca="1"/>
        <v>1.2</v>
      </c>
      <c r="G40" t="str">
        <f ca="1"/>
        <v>682</v>
      </c>
      <c r="H40" t="str">
        <f ca="1"/>
        <v>568</v>
      </c>
      <c r="I40" t="str">
        <f ca="1"/>
        <v>47.8</v>
      </c>
      <c r="J40" t="str">
        <f ca="1"/>
        <v>310</v>
      </c>
      <c r="K40" t="str">
        <f ca="1"/>
        <v>0.682</v>
      </c>
      <c r="L40" t="str">
        <f ca="1"/>
        <v>0.568</v>
      </c>
      <c r="M40" t="str">
        <f ca="1"/>
        <v>0.0478</v>
      </c>
      <c r="N40" t="str">
        <f ca="1"/>
        <v>0.310</v>
      </c>
      <c r="O40" t="str">
        <f ca="1"/>
        <v>0</v>
      </c>
      <c r="P40" t="str">
        <f ca="1"/>
        <v>0</v>
      </c>
      <c r="Q40" t="str">
        <f ca="1"/>
        <v>1,000</v>
      </c>
      <c r="R40" t="str">
        <f ca="1"/>
        <v>kg/tonne</v>
      </c>
      <c r="S40" t="str">
        <f ca="1"/>
        <v>No</v>
      </c>
    </row>
    <row r="41" spans="1:19" x14ac:dyDescent="0.25">
      <c r="A41" t="str">
        <f ca="1"/>
        <v>Roof tiles</v>
      </c>
      <c r="B41" t="str">
        <f ca="1"/>
        <v>Concrete roof tiles</v>
      </c>
      <c r="C41" t="str">
        <f ca="1"/>
        <v>Concrete brick, block and roof tiles i.e. cinder block or concrete finishing brick/tile used in masonry. Not including any core fill material or reinforcing.</v>
      </c>
      <c r="D41" t="str">
        <f ca="1"/>
        <v>tonne</v>
      </c>
      <c r="E41" t="str">
        <f ca="1"/>
        <v>Tier 3</v>
      </c>
      <c r="F41">
        <f ca="1"/>
        <v>1.1000000000000001</v>
      </c>
      <c r="G41" t="str">
        <f ca="1"/>
        <v>264</v>
      </c>
      <c r="H41" t="str">
        <f ca="1"/>
        <v>240</v>
      </c>
      <c r="I41" t="str">
        <f ca="1"/>
        <v>112</v>
      </c>
      <c r="J41" t="str">
        <f ca="1"/>
        <v>159</v>
      </c>
      <c r="K41" t="str">
        <f ca="1"/>
        <v>0.264</v>
      </c>
      <c r="L41" t="str">
        <f ca="1"/>
        <v>0.240</v>
      </c>
      <c r="M41" t="str">
        <f ca="1"/>
        <v>0.112</v>
      </c>
      <c r="N41" t="str">
        <f ca="1"/>
        <v>0.159</v>
      </c>
      <c r="O41" t="str">
        <f ca="1"/>
        <v>0</v>
      </c>
      <c r="P41" t="str">
        <f ca="1"/>
        <v>0</v>
      </c>
      <c r="Q41" t="str">
        <f ca="1"/>
        <v>1,000</v>
      </c>
      <c r="R41" t="str">
        <f ca="1"/>
        <v>kg/tonne</v>
      </c>
      <c r="S41" t="str">
        <f ca="1"/>
        <v>No</v>
      </c>
    </row>
    <row r="42" spans="1:19" x14ac:dyDescent="0.25">
      <c r="A42" t="str">
        <f ca="1"/>
        <v>Steel cladding/roofing</v>
      </c>
      <c r="B42" t="str">
        <f ca="1"/>
        <v>Steel sheeting - metallic coat</v>
      </c>
      <c r="C42" t="str">
        <f ca="1"/>
        <v>Steel cladding with a metallic coating including all base metal thicknesses (BMT) from 0.3 mm to 2.9mm.</v>
      </c>
      <c r="D42" t="str">
        <f ca="1"/>
        <v>m²</v>
      </c>
      <c r="E42" t="str">
        <f ca="1"/>
        <v>Tier 1</v>
      </c>
      <c r="F42">
        <f ca="1"/>
        <v>1.02</v>
      </c>
      <c r="G42" t="str">
        <f ca="1"/>
        <v>64.0</v>
      </c>
      <c r="H42" t="str">
        <f ca="1"/>
        <v>62.7</v>
      </c>
      <c r="I42" t="str">
        <f ca="1"/>
        <v>8.40</v>
      </c>
      <c r="J42" t="str">
        <f ca="1"/>
        <v>19.1</v>
      </c>
      <c r="K42" t="str">
        <f ca="1"/>
        <v>5.12</v>
      </c>
      <c r="L42" t="str">
        <f ca="1"/>
        <v>5.01</v>
      </c>
      <c r="M42" t="str">
        <f ca="1"/>
        <v>2.72</v>
      </c>
      <c r="N42" t="str">
        <f ca="1"/>
        <v>3.15</v>
      </c>
      <c r="O42" t="str">
        <f ca="1"/>
        <v>0</v>
      </c>
      <c r="P42" t="str">
        <f ca="1"/>
        <v>0</v>
      </c>
      <c r="Q42" t="str">
        <f ca="1"/>
        <v>6.05</v>
      </c>
      <c r="R42" t="str">
        <f ca="1"/>
        <v>kg/m²</v>
      </c>
      <c r="S42" t="str">
        <f ca="1"/>
        <v>No</v>
      </c>
    </row>
    <row r="43" spans="1:19" x14ac:dyDescent="0.25">
      <c r="A43" t="str">
        <f ca="1"/>
        <v>Steel cladding/roofing</v>
      </c>
      <c r="B43" t="str">
        <f ca="1"/>
        <v>Steel sheeting - painted</v>
      </c>
      <c r="C43" t="str">
        <f ca="1"/>
        <v>Steel cladding that has been painted, including all base metal thicknesses (BMT) from 0.42 mm to 1.0 mm.</v>
      </c>
      <c r="D43" t="str">
        <f ca="1"/>
        <v>m²</v>
      </c>
      <c r="E43" t="str">
        <f ca="1"/>
        <v>Tier 1</v>
      </c>
      <c r="F43">
        <f ca="1"/>
        <v>1.02</v>
      </c>
      <c r="G43" t="str">
        <f ca="1"/>
        <v>25.4</v>
      </c>
      <c r="H43" t="str">
        <f ca="1"/>
        <v>24.9</v>
      </c>
      <c r="I43" t="str">
        <f ca="1"/>
        <v>9.49</v>
      </c>
      <c r="J43" t="str">
        <f ca="1"/>
        <v>14.8</v>
      </c>
      <c r="K43" t="str">
        <f ca="1"/>
        <v>5.49</v>
      </c>
      <c r="L43" t="str">
        <f ca="1"/>
        <v>5.38</v>
      </c>
      <c r="M43" t="str">
        <f ca="1"/>
        <v>2.98</v>
      </c>
      <c r="N43" t="str">
        <f ca="1"/>
        <v>3.47</v>
      </c>
      <c r="O43" t="str">
        <f ca="1"/>
        <v>0</v>
      </c>
      <c r="P43" t="str">
        <f ca="1"/>
        <v>0</v>
      </c>
      <c r="Q43" t="str">
        <f ca="1"/>
        <v>4.28</v>
      </c>
      <c r="R43" t="str">
        <f ca="1"/>
        <v>kg/m²</v>
      </c>
      <c r="S43" t="str">
        <f ca="1"/>
        <v>No</v>
      </c>
    </row>
    <row r="44" spans="1:19" x14ac:dyDescent="0.25">
      <c r="A44" t="str">
        <f ca="1"/>
        <v>Aluminium cladding/roofing</v>
      </c>
      <c r="B44" t="str">
        <f ca="1"/>
        <v>Aluminium sheeting</v>
      </c>
      <c r="C44" t="str">
        <f ca="1"/>
        <v>Aluminium sheeting including range of thicknesses (BMT).</v>
      </c>
      <c r="D44" t="str">
        <f ca="1"/>
        <v>kg</v>
      </c>
      <c r="E44" t="str">
        <f ca="1"/>
        <v>Tier 4</v>
      </c>
      <c r="F44">
        <f ca="1"/>
        <v>1.2</v>
      </c>
      <c r="G44" t="str">
        <f ca="1"/>
        <v>20.8</v>
      </c>
      <c r="H44" t="str">
        <f ca="1"/>
        <v>17.4</v>
      </c>
      <c r="I44" t="str">
        <f ca="1"/>
        <v>5.48</v>
      </c>
      <c r="J44" t="str">
        <f ca="1"/>
        <v>11.8</v>
      </c>
      <c r="K44" t="str">
        <f ca="1"/>
        <v>20.8</v>
      </c>
      <c r="L44" t="str">
        <f ca="1"/>
        <v>17.4</v>
      </c>
      <c r="M44" t="str">
        <f ca="1"/>
        <v>5.48</v>
      </c>
      <c r="N44" t="str">
        <f ca="1"/>
        <v>11.8</v>
      </c>
      <c r="O44" t="str">
        <f ca="1"/>
        <v>0</v>
      </c>
      <c r="P44" t="str">
        <f ca="1"/>
        <v>0</v>
      </c>
      <c r="Q44" t="str">
        <f ca="1"/>
        <v>1.00</v>
      </c>
      <c r="R44" t="str">
        <f ca="1"/>
        <v>kg/kg</v>
      </c>
      <c r="S44" t="str">
        <f ca="1"/>
        <v>No</v>
      </c>
    </row>
    <row r="45" spans="1:19" x14ac:dyDescent="0.25">
      <c r="A45" t="str">
        <f ca="1"/>
        <v>Cement cladding/roofing</v>
      </c>
      <c r="B45" t="str">
        <f ca="1"/>
        <v>GRC</v>
      </c>
      <c r="C45" t="str">
        <f ca="1"/>
        <v>Glass reinforced concrete (GRC) or glass fibre reinforced concrete including all uses (i.e. as cladding or roofing).</v>
      </c>
      <c r="D45" t="str">
        <f ca="1"/>
        <v>tonne</v>
      </c>
      <c r="E45" t="str">
        <f ca="1"/>
        <v>Tier 4</v>
      </c>
      <c r="F45">
        <f ca="1"/>
        <v>1.2</v>
      </c>
      <c r="G45" t="str">
        <f ca="1"/>
        <v>869</v>
      </c>
      <c r="H45" t="str">
        <f ca="1"/>
        <v>724</v>
      </c>
      <c r="I45" t="str">
        <f ca="1"/>
        <v>408</v>
      </c>
      <c r="J45" t="str">
        <f ca="1"/>
        <v>544</v>
      </c>
      <c r="K45" t="str">
        <f ca="1"/>
        <v>0.869</v>
      </c>
      <c r="L45" t="str">
        <f ca="1"/>
        <v>0.724</v>
      </c>
      <c r="M45" t="str">
        <f ca="1"/>
        <v>0.408</v>
      </c>
      <c r="N45" t="str">
        <f ca="1"/>
        <v>0.544</v>
      </c>
      <c r="O45" t="str">
        <f ca="1"/>
        <v>0</v>
      </c>
      <c r="P45" t="str">
        <f ca="1"/>
        <v>0</v>
      </c>
      <c r="Q45" t="str">
        <f ca="1"/>
        <v>1,000</v>
      </c>
      <c r="R45" t="str">
        <f ca="1"/>
        <v>kg/tonne</v>
      </c>
      <c r="S45" t="str">
        <f ca="1"/>
        <v>No</v>
      </c>
    </row>
    <row r="46" spans="1:19" x14ac:dyDescent="0.25">
      <c r="A46" t="str">
        <f ca="1"/>
        <v>Cement cladding/roofing</v>
      </c>
      <c r="B46" t="str">
        <f ca="1"/>
        <v>Fibre cement board</v>
      </c>
      <c r="C46" t="str">
        <f ca="1"/>
        <v>Board made from fibre cement including compressed sheet, flooring, cladding, lining and roofing boards. Thickness from 4 mm to 22 mm.</v>
      </c>
      <c r="D46" t="str">
        <f ca="1"/>
        <v>m²</v>
      </c>
      <c r="E46" t="str">
        <f ca="1"/>
        <v>Tier 2</v>
      </c>
      <c r="F46">
        <f ca="1"/>
        <v>1.05</v>
      </c>
      <c r="G46" t="str">
        <f ca="1"/>
        <v>48.2</v>
      </c>
      <c r="H46" t="str">
        <f ca="1"/>
        <v>45.9</v>
      </c>
      <c r="I46" t="str">
        <f ca="1"/>
        <v>4.50</v>
      </c>
      <c r="J46" t="str">
        <f ca="1"/>
        <v>12.6</v>
      </c>
      <c r="K46" t="str">
        <f ca="1"/>
        <v>1.39</v>
      </c>
      <c r="L46" t="str">
        <f ca="1"/>
        <v>1.32</v>
      </c>
      <c r="M46" t="str">
        <f ca="1"/>
        <v>0.307</v>
      </c>
      <c r="N46" t="str">
        <f ca="1"/>
        <v>0.882</v>
      </c>
      <c r="O46" t="str">
        <f ca="1"/>
        <v>0.0251</v>
      </c>
      <c r="P46" t="str">
        <f ca="1"/>
        <v>0.00216</v>
      </c>
      <c r="Q46" t="str">
        <f ca="1"/>
        <v>14.2</v>
      </c>
      <c r="R46" t="str">
        <f ca="1"/>
        <v>kg/m²</v>
      </c>
      <c r="S46" t="str">
        <f ca="1"/>
        <v>No</v>
      </c>
    </row>
    <row r="47" spans="1:19" x14ac:dyDescent="0.25">
      <c r="A47" t="str">
        <f ca="1"/>
        <v>Cement cladding/roofing</v>
      </c>
      <c r="B47" t="str">
        <f ca="1"/>
        <v>Plasterboard</v>
      </c>
      <c r="C47" t="str">
        <f ca="1"/>
        <v>Board made from plaster typically coated in paper. Thickness from 4 mm to 22 mm.</v>
      </c>
      <c r="D47" t="str">
        <f ca="1"/>
        <v>m²</v>
      </c>
      <c r="E47" t="str">
        <f ca="1"/>
        <v>Tier 4</v>
      </c>
      <c r="F47">
        <f ca="1"/>
        <v>1.2</v>
      </c>
      <c r="G47" t="str">
        <f ca="1"/>
        <v>8.20</v>
      </c>
      <c r="H47" t="str">
        <f ca="1"/>
        <v>6.83</v>
      </c>
      <c r="I47" t="str">
        <f ca="1"/>
        <v>1.49</v>
      </c>
      <c r="J47" t="str">
        <f ca="1"/>
        <v>3.37</v>
      </c>
      <c r="K47" t="str">
        <f ca="1"/>
        <v>0.473</v>
      </c>
      <c r="L47" t="str">
        <f ca="1"/>
        <v>0.394</v>
      </c>
      <c r="M47" t="str">
        <f ca="1"/>
        <v>0.175</v>
      </c>
      <c r="N47" t="str">
        <f ca="1"/>
        <v>0.304</v>
      </c>
      <c r="O47" t="str">
        <f ca="1"/>
        <v>0.393</v>
      </c>
      <c r="P47" t="str">
        <f ca="1"/>
        <v>0.0400</v>
      </c>
      <c r="Q47" t="str">
        <f ca="1"/>
        <v>11.1</v>
      </c>
      <c r="R47" t="str">
        <f ca="1"/>
        <v>kg/m²</v>
      </c>
      <c r="S47" t="str">
        <f ca="1"/>
        <v>No</v>
      </c>
    </row>
    <row r="48" spans="1:19" x14ac:dyDescent="0.25">
      <c r="A48" t="str">
        <f ca="1"/>
        <v>Plastic cladding/roofing</v>
      </c>
      <c r="B48" t="str">
        <f ca="1"/>
        <v>Plastic sheeting</v>
      </c>
      <c r="C48" t="str">
        <f ca="1"/>
        <v>Plastic sheeting - various types of plastic inputs including polycarbonate.</v>
      </c>
      <c r="D48" t="str">
        <f ca="1"/>
        <v>m³</v>
      </c>
      <c r="E48" t="str">
        <f ca="1"/>
        <v>Tier 4</v>
      </c>
      <c r="F48">
        <f ca="1"/>
        <v>1.2</v>
      </c>
      <c r="G48" t="str">
        <f ca="1"/>
        <v>13,800</v>
      </c>
      <c r="H48" t="str">
        <f ca="1"/>
        <v>11,500</v>
      </c>
      <c r="I48" t="str">
        <f ca="1"/>
        <v>485</v>
      </c>
      <c r="J48" t="str">
        <f ca="1"/>
        <v>7,570</v>
      </c>
      <c r="K48" t="str">
        <f ca="1"/>
        <v>11.5</v>
      </c>
      <c r="L48" t="str">
        <f ca="1"/>
        <v>9.61</v>
      </c>
      <c r="M48" t="str">
        <f ca="1"/>
        <v>0.441</v>
      </c>
      <c r="N48" t="str">
        <f ca="1"/>
        <v>6.35</v>
      </c>
      <c r="O48" t="str">
        <f ca="1"/>
        <v>0</v>
      </c>
      <c r="P48" t="str">
        <f ca="1"/>
        <v>0</v>
      </c>
      <c r="Q48" t="str">
        <f ca="1"/>
        <v>1,190</v>
      </c>
      <c r="R48" t="str">
        <f ca="1"/>
        <v>kg/m³</v>
      </c>
      <c r="S48" t="str">
        <f ca="1"/>
        <v>No</v>
      </c>
    </row>
    <row r="49" spans="1:19" x14ac:dyDescent="0.25">
      <c r="A49" t="str">
        <f ca="1"/>
        <v>Timber cladding</v>
      </c>
      <c r="B49" t="str">
        <f ca="1"/>
        <v>Timber weatherboards</v>
      </c>
      <c r="C49" t="str">
        <f ca="1"/>
        <v>Based on softwood timber used for weatherboards. Includes finger jointed, thermally modified timber, treated, untreated, surfaced, and sawn products.</v>
      </c>
      <c r="D49" t="str">
        <f ca="1"/>
        <v>m³</v>
      </c>
      <c r="E49" t="str">
        <f ca="1"/>
        <v>Tier 2</v>
      </c>
      <c r="F49">
        <f ca="1"/>
        <v>1.05</v>
      </c>
      <c r="G49" t="str">
        <f ca="1"/>
        <v>349</v>
      </c>
      <c r="H49" t="str">
        <f ca="1"/>
        <v>332</v>
      </c>
      <c r="I49" t="str">
        <f ca="1"/>
        <v>31.6</v>
      </c>
      <c r="J49" t="str">
        <f ca="1"/>
        <v>195</v>
      </c>
      <c r="K49" t="str">
        <f ca="1"/>
        <v>0.725</v>
      </c>
      <c r="L49" t="str">
        <f ca="1"/>
        <v>0.690</v>
      </c>
      <c r="M49" t="str">
        <f ca="1"/>
        <v>0.0702</v>
      </c>
      <c r="N49" t="str">
        <f ca="1"/>
        <v>0.381</v>
      </c>
      <c r="O49" t="str">
        <f ca="1"/>
        <v>848</v>
      </c>
      <c r="P49" t="str">
        <f ca="1"/>
        <v>1.63</v>
      </c>
      <c r="Q49" t="str">
        <f ca="1"/>
        <v>512</v>
      </c>
      <c r="R49" t="str">
        <f ca="1"/>
        <v>kg/m³</v>
      </c>
      <c r="S49" t="str">
        <f ca="1"/>
        <v>Yes</v>
      </c>
    </row>
    <row r="50" spans="1:19" x14ac:dyDescent="0.25">
      <c r="A50" t="str">
        <f ca="1"/>
        <v>Timber cladding</v>
      </c>
      <c r="B50" t="str">
        <f ca="1"/>
        <v>Plywood</v>
      </c>
      <c r="C50" t="str">
        <f ca="1"/>
        <v xml:space="preserve">Plywood timber for bracing, structural (walling, flooring), formwork purposes. </v>
      </c>
      <c r="D50" t="str">
        <f ca="1"/>
        <v>m³</v>
      </c>
      <c r="E50" t="str">
        <f ca="1"/>
        <v>Tier 2</v>
      </c>
      <c r="F50">
        <f ca="1"/>
        <v>1.05</v>
      </c>
      <c r="G50" t="str">
        <f ca="1"/>
        <v>968</v>
      </c>
      <c r="H50" t="str">
        <f ca="1"/>
        <v>922</v>
      </c>
      <c r="I50" t="str">
        <f ca="1"/>
        <v>235</v>
      </c>
      <c r="J50" t="str">
        <f ca="1"/>
        <v>498</v>
      </c>
      <c r="K50" t="str">
        <f ca="1"/>
        <v>1.77</v>
      </c>
      <c r="L50" t="str">
        <f ca="1"/>
        <v>1.69</v>
      </c>
      <c r="M50" t="str">
        <f ca="1"/>
        <v>0.396</v>
      </c>
      <c r="N50" t="str">
        <f ca="1"/>
        <v>0.978</v>
      </c>
      <c r="O50" t="str">
        <f ca="1"/>
        <v>841</v>
      </c>
      <c r="P50" t="str">
        <f ca="1"/>
        <v>1.64</v>
      </c>
      <c r="Q50" t="str">
        <f ca="1"/>
        <v>509</v>
      </c>
      <c r="R50" t="str">
        <f ca="1"/>
        <v>kg/m³</v>
      </c>
      <c r="S50" t="str">
        <f ca="1"/>
        <v>Yes</v>
      </c>
    </row>
    <row r="51" spans="1:19" x14ac:dyDescent="0.25">
      <c r="A51" t="str">
        <f ca="1"/>
        <v>Timber cladding</v>
      </c>
      <c r="B51" t="str">
        <f ca="1"/>
        <v>Particleboard</v>
      </c>
      <c r="C51" t="str">
        <f ca="1"/>
        <v xml:space="preserve">Particleboard including walling and flooring applications </v>
      </c>
      <c r="D51" t="str">
        <f ca="1"/>
        <v>m³</v>
      </c>
      <c r="E51" t="str">
        <f ca="1"/>
        <v>Tier 2</v>
      </c>
      <c r="F51">
        <f ca="1"/>
        <v>1.05</v>
      </c>
      <c r="G51" t="str">
        <f ca="1"/>
        <v>880</v>
      </c>
      <c r="H51" t="str">
        <f ca="1"/>
        <v>838</v>
      </c>
      <c r="I51" t="str">
        <f ca="1"/>
        <v>322</v>
      </c>
      <c r="J51" t="str">
        <f ca="1"/>
        <v>650</v>
      </c>
      <c r="K51" t="str">
        <f ca="1"/>
        <v>1.23</v>
      </c>
      <c r="L51" t="str">
        <f ca="1"/>
        <v>1.17</v>
      </c>
      <c r="M51" t="str">
        <f ca="1"/>
        <v>0.488</v>
      </c>
      <c r="N51" t="str">
        <f ca="1"/>
        <v>0.915</v>
      </c>
      <c r="O51" t="str">
        <f ca="1"/>
        <v>1,140</v>
      </c>
      <c r="P51" t="str">
        <f ca="1"/>
        <v>1.62</v>
      </c>
      <c r="Q51" t="str">
        <f ca="1"/>
        <v>711</v>
      </c>
      <c r="R51" t="str">
        <f ca="1"/>
        <v>kg/m³</v>
      </c>
      <c r="S51" t="str">
        <f ca="1"/>
        <v>Yes</v>
      </c>
    </row>
    <row r="52" spans="1:19" x14ac:dyDescent="0.25">
      <c r="A52" t="str">
        <f ca="1"/>
        <v>Structural insulated panel</v>
      </c>
      <c r="B52" t="str">
        <f ca="1"/>
        <v>Panel - SIP ≤100mm</v>
      </c>
      <c r="C52" t="str">
        <f ca="1"/>
        <v>Structural Insulated Panels (SIP) of thickness less than or equal to 100 mm, including wall and roof panels.</v>
      </c>
      <c r="D52" t="str">
        <f ca="1"/>
        <v>m²</v>
      </c>
      <c r="E52" t="str">
        <f ca="1"/>
        <v>Tier 2</v>
      </c>
      <c r="F52">
        <f ca="1"/>
        <v>1.05</v>
      </c>
      <c r="G52" t="str">
        <f ca="1"/>
        <v>67.2</v>
      </c>
      <c r="H52" t="str">
        <f ca="1"/>
        <v>64.0</v>
      </c>
      <c r="I52" t="str">
        <f ca="1"/>
        <v>7.15</v>
      </c>
      <c r="J52" t="str">
        <f ca="1"/>
        <v>42.3</v>
      </c>
      <c r="K52" t="str">
        <f ca="1"/>
        <v>5.16</v>
      </c>
      <c r="L52" t="str">
        <f ca="1"/>
        <v>4.92</v>
      </c>
      <c r="M52" t="str">
        <f ca="1"/>
        <v>1.10</v>
      </c>
      <c r="N52" t="str">
        <f ca="1"/>
        <v>3.64</v>
      </c>
      <c r="O52" t="str">
        <f ca="1"/>
        <v>0</v>
      </c>
      <c r="P52" t="str">
        <f ca="1"/>
        <v>0</v>
      </c>
      <c r="Q52" t="str">
        <f ca="1"/>
        <v>11.6</v>
      </c>
      <c r="R52" t="str">
        <f ca="1"/>
        <v>kg/m²</v>
      </c>
      <c r="S52" t="str">
        <f ca="1"/>
        <v>No</v>
      </c>
    </row>
    <row r="53" spans="1:19" x14ac:dyDescent="0.25">
      <c r="A53" t="str">
        <f ca="1"/>
        <v>Structural insulated panel</v>
      </c>
      <c r="B53" t="str">
        <f ca="1"/>
        <v>Panel - SIP &gt;100mm</v>
      </c>
      <c r="C53" t="str">
        <f ca="1"/>
        <v>Structural Insulated Panels (SIP) of thickness greater than 100 mm and no thicker than 250 mm including wall and roof panels.</v>
      </c>
      <c r="D53" t="str">
        <f ca="1"/>
        <v>m²</v>
      </c>
      <c r="E53" t="str">
        <f ca="1"/>
        <v>Tier 2</v>
      </c>
      <c r="F53">
        <f ca="1"/>
        <v>1.05</v>
      </c>
      <c r="G53" t="str">
        <f ca="1"/>
        <v>89.0</v>
      </c>
      <c r="H53" t="str">
        <f ca="1"/>
        <v>84.8</v>
      </c>
      <c r="I53" t="str">
        <f ca="1"/>
        <v>36.5</v>
      </c>
      <c r="J53" t="str">
        <f ca="1"/>
        <v>55.6</v>
      </c>
      <c r="K53" t="str">
        <f ca="1"/>
        <v>5.11</v>
      </c>
      <c r="L53" t="str">
        <f ca="1"/>
        <v>4.87</v>
      </c>
      <c r="M53" t="str">
        <f ca="1"/>
        <v>1.55</v>
      </c>
      <c r="N53" t="str">
        <f ca="1"/>
        <v>3.76</v>
      </c>
      <c r="O53" t="str">
        <f ca="1"/>
        <v>0</v>
      </c>
      <c r="P53" t="str">
        <f ca="1"/>
        <v>0</v>
      </c>
      <c r="Q53" t="str">
        <f ca="1"/>
        <v>14.8</v>
      </c>
      <c r="R53" t="str">
        <f ca="1"/>
        <v>kg/m²</v>
      </c>
      <c r="S53" t="str">
        <f ca="1"/>
        <v>No</v>
      </c>
    </row>
    <row r="54" spans="1:19" x14ac:dyDescent="0.25">
      <c r="A54" t="str">
        <f ca="1"/>
        <v>Glazing</v>
      </c>
      <c r="B54" t="str">
        <f ca="1"/>
        <v>Glass (treated or untreated)</v>
      </c>
      <c r="C54" t="str">
        <f ca="1"/>
        <v>Glass used in windows, doors, curtain wall purposes. Including single, double and triple glazing units.</v>
      </c>
      <c r="D54" t="str">
        <f ca="1"/>
        <v>kg</v>
      </c>
      <c r="E54" t="str">
        <f ca="1"/>
        <v>Tier 4</v>
      </c>
      <c r="F54">
        <f ca="1"/>
        <v>1.2</v>
      </c>
      <c r="G54" t="str">
        <f ca="1"/>
        <v>2.38</v>
      </c>
      <c r="H54" t="str">
        <f ca="1"/>
        <v>1.98</v>
      </c>
      <c r="I54" t="str">
        <f ca="1"/>
        <v>1.10</v>
      </c>
      <c r="J54" t="str">
        <f ca="1"/>
        <v>1.66</v>
      </c>
      <c r="K54" t="str">
        <f ca="1"/>
        <v>2.38</v>
      </c>
      <c r="L54" t="str">
        <f ca="1"/>
        <v>1.98</v>
      </c>
      <c r="M54" t="str">
        <f ca="1"/>
        <v>1.10</v>
      </c>
      <c r="N54" t="str">
        <f ca="1"/>
        <v>1.66</v>
      </c>
      <c r="O54" t="str">
        <f ca="1"/>
        <v>0</v>
      </c>
      <c r="P54" t="str">
        <f ca="1"/>
        <v>0</v>
      </c>
      <c r="Q54" t="str">
        <f ca="1"/>
        <v>1.00</v>
      </c>
      <c r="R54" t="str">
        <f ca="1"/>
        <v>kg/kg</v>
      </c>
      <c r="S54" t="str">
        <f ca="1"/>
        <v>No</v>
      </c>
    </row>
    <row r="55" spans="1:19" x14ac:dyDescent="0.25">
      <c r="A55" t="str">
        <f ca="1"/>
        <v>Extruded aluminium</v>
      </c>
      <c r="B55" t="str">
        <f ca="1"/>
        <v>Aluminium extruded uncoated</v>
      </c>
      <c r="C55" t="str">
        <f ca="1"/>
        <v>Extruded aluminium uncoated.</v>
      </c>
      <c r="D55" t="str">
        <f ca="1"/>
        <v>tonne</v>
      </c>
      <c r="E55" t="str">
        <f ca="1"/>
        <v>Tier 2</v>
      </c>
      <c r="F55">
        <f ca="1"/>
        <v>1.05</v>
      </c>
      <c r="G55" t="str">
        <f ca="1"/>
        <v>30,200</v>
      </c>
      <c r="H55" t="str">
        <f ca="1"/>
        <v>28,800</v>
      </c>
      <c r="I55" t="str">
        <f ca="1"/>
        <v>3,490</v>
      </c>
      <c r="J55" t="str">
        <f ca="1"/>
        <v>17,400</v>
      </c>
      <c r="K55" t="str">
        <f ca="1"/>
        <v>30.2</v>
      </c>
      <c r="L55" t="str">
        <f ca="1"/>
        <v>28.8</v>
      </c>
      <c r="M55" t="str">
        <f ca="1"/>
        <v>3.49</v>
      </c>
      <c r="N55" t="str">
        <f ca="1"/>
        <v>17.4</v>
      </c>
      <c r="O55" t="str">
        <f ca="1"/>
        <v>0</v>
      </c>
      <c r="P55" t="str">
        <f ca="1"/>
        <v>0</v>
      </c>
      <c r="Q55" t="str">
        <f ca="1"/>
        <v>1,000</v>
      </c>
      <c r="R55" t="str">
        <f ca="1"/>
        <v>kg/tonne</v>
      </c>
      <c r="S55" t="str">
        <f ca="1"/>
        <v>Yes</v>
      </c>
    </row>
    <row r="56" spans="1:19" x14ac:dyDescent="0.25">
      <c r="A56" t="str">
        <f ca="1"/>
        <v>Extruded aluminium</v>
      </c>
      <c r="B56" t="str">
        <f ca="1"/>
        <v>Aluminium extruded powder coated</v>
      </c>
      <c r="C56" t="str">
        <f ca="1"/>
        <v>Extruded aluminium (powder coated).</v>
      </c>
      <c r="D56" t="str">
        <f ca="1"/>
        <v>tonne</v>
      </c>
      <c r="E56" t="str">
        <f ca="1"/>
        <v>Tier 2</v>
      </c>
      <c r="F56">
        <f ca="1"/>
        <v>1.05</v>
      </c>
      <c r="G56" t="str">
        <f ca="1"/>
        <v>32,000</v>
      </c>
      <c r="H56" t="str">
        <f ca="1"/>
        <v>30,500</v>
      </c>
      <c r="I56" t="str">
        <f ca="1"/>
        <v>5,150</v>
      </c>
      <c r="J56" t="str">
        <f ca="1"/>
        <v>18,200</v>
      </c>
      <c r="K56" t="str">
        <f ca="1"/>
        <v>32.0</v>
      </c>
      <c r="L56" t="str">
        <f ca="1"/>
        <v>30.5</v>
      </c>
      <c r="M56" t="str">
        <f ca="1"/>
        <v>5.15</v>
      </c>
      <c r="N56" t="str">
        <f ca="1"/>
        <v>18.2</v>
      </c>
      <c r="O56" t="str">
        <f ca="1"/>
        <v>0</v>
      </c>
      <c r="P56" t="str">
        <f ca="1"/>
        <v>0</v>
      </c>
      <c r="Q56" t="str">
        <f ca="1"/>
        <v>1,000</v>
      </c>
      <c r="R56" t="str">
        <f ca="1"/>
        <v>kg/tonne</v>
      </c>
      <c r="S56" t="str">
        <f ca="1"/>
        <v>Yes</v>
      </c>
    </row>
    <row r="57" spans="1:19" x14ac:dyDescent="0.25">
      <c r="A57" t="str">
        <f ca="1"/>
        <v>Extruded aluminium</v>
      </c>
      <c r="B57" t="str">
        <f ca="1"/>
        <v>Aluminium extruded anodised</v>
      </c>
      <c r="C57" t="str">
        <f ca="1"/>
        <v>Extruded aluminium (anodised).</v>
      </c>
      <c r="D57" t="str">
        <f ca="1"/>
        <v>tonne</v>
      </c>
      <c r="E57" t="str">
        <f ca="1"/>
        <v>Tier 2</v>
      </c>
      <c r="F57">
        <f ca="1"/>
        <v>1.05</v>
      </c>
      <c r="G57" t="str">
        <f ca="1"/>
        <v>34,200</v>
      </c>
      <c r="H57" t="str">
        <f ca="1"/>
        <v>32,600</v>
      </c>
      <c r="I57" t="str">
        <f ca="1"/>
        <v>7,290</v>
      </c>
      <c r="J57" t="str">
        <f ca="1"/>
        <v>19,300</v>
      </c>
      <c r="K57" t="str">
        <f ca="1"/>
        <v>34.2</v>
      </c>
      <c r="L57" t="str">
        <f ca="1"/>
        <v>32.6</v>
      </c>
      <c r="M57" t="str">
        <f ca="1"/>
        <v>7.29</v>
      </c>
      <c r="N57" t="str">
        <f ca="1"/>
        <v>19.3</v>
      </c>
      <c r="O57" t="str">
        <f ca="1"/>
        <v>0</v>
      </c>
      <c r="P57" t="str">
        <f ca="1"/>
        <v>0</v>
      </c>
      <c r="Q57" t="str">
        <f ca="1"/>
        <v>1,000</v>
      </c>
      <c r="R57" t="str">
        <f ca="1"/>
        <v>kg/tonne</v>
      </c>
      <c r="S57" t="str">
        <f ca="1"/>
        <v>Yes</v>
      </c>
    </row>
    <row r="58" spans="1:19" x14ac:dyDescent="0.25">
      <c r="A58" t="str">
        <f ca="1"/>
        <v>External shading</v>
      </c>
      <c r="B58" t="str">
        <f ca="1"/>
        <v>Aluminium louvre</v>
      </c>
      <c r="C58" t="str">
        <f ca="1"/>
        <v>Extruded aluminium (powder coated).</v>
      </c>
      <c r="D58" t="str">
        <f ca="1"/>
        <v>tonne</v>
      </c>
      <c r="E58" t="str">
        <f ca="1"/>
        <v>Tier 2</v>
      </c>
      <c r="F58">
        <f ca="1"/>
        <v>1.05</v>
      </c>
      <c r="G58" t="str">
        <f ca="1"/>
        <v>32,000</v>
      </c>
      <c r="H58" t="str">
        <f ca="1"/>
        <v>30,500</v>
      </c>
      <c r="I58" t="str">
        <f ca="1"/>
        <v>5,150</v>
      </c>
      <c r="J58" t="str">
        <f ca="1"/>
        <v>18,200</v>
      </c>
      <c r="K58" t="str">
        <f ca="1"/>
        <v>32.0</v>
      </c>
      <c r="L58" t="str">
        <f ca="1"/>
        <v>30.5</v>
      </c>
      <c r="M58" t="str">
        <f ca="1"/>
        <v>5.15</v>
      </c>
      <c r="N58" t="str">
        <f ca="1"/>
        <v>18.2</v>
      </c>
      <c r="O58" t="str">
        <f ca="1"/>
        <v>0</v>
      </c>
      <c r="P58" t="str">
        <f ca="1"/>
        <v>0</v>
      </c>
      <c r="Q58" t="str">
        <f ca="1"/>
        <v>1,000</v>
      </c>
      <c r="R58" t="str">
        <f ca="1"/>
        <v>kg/tonne</v>
      </c>
      <c r="S58" t="str">
        <f ca="1"/>
        <v>Yes</v>
      </c>
    </row>
    <row r="59" spans="1:19" x14ac:dyDescent="0.25">
      <c r="A59" t="str">
        <f ca="1"/>
        <v>External shading</v>
      </c>
      <c r="B59" t="str">
        <f ca="1"/>
        <v>Aluminium construction</v>
      </c>
      <c r="C59" t="str">
        <f ca="1"/>
        <v>Extruded aluminium (powder coated).</v>
      </c>
      <c r="D59" t="str">
        <f ca="1"/>
        <v>tonne</v>
      </c>
      <c r="E59" t="str">
        <f ca="1"/>
        <v>Tier 2</v>
      </c>
      <c r="F59">
        <f ca="1"/>
        <v>1.05</v>
      </c>
      <c r="G59" t="str">
        <f ca="1"/>
        <v>32,000</v>
      </c>
      <c r="H59" t="str">
        <f ca="1"/>
        <v>30,500</v>
      </c>
      <c r="I59" t="str">
        <f ca="1"/>
        <v>5,150</v>
      </c>
      <c r="J59" t="str">
        <f ca="1"/>
        <v>18,200</v>
      </c>
      <c r="K59" t="str">
        <f ca="1"/>
        <v>32.0</v>
      </c>
      <c r="L59" t="str">
        <f ca="1"/>
        <v>30.5</v>
      </c>
      <c r="M59" t="str">
        <f ca="1"/>
        <v>5.15</v>
      </c>
      <c r="N59" t="str">
        <f ca="1"/>
        <v>18.2</v>
      </c>
      <c r="O59" t="str">
        <f ca="1"/>
        <v>0</v>
      </c>
      <c r="P59" t="str">
        <f ca="1"/>
        <v>0</v>
      </c>
      <c r="Q59" t="str">
        <f ca="1"/>
        <v>1,000</v>
      </c>
      <c r="R59" t="str">
        <f ca="1"/>
        <v>kg/tonne</v>
      </c>
      <c r="S59" t="str">
        <f ca="1"/>
        <v>Yes</v>
      </c>
    </row>
    <row r="60" spans="1:19" x14ac:dyDescent="0.25">
      <c r="A60" t="str">
        <f ca="1"/>
        <v>External shading</v>
      </c>
      <c r="B60" t="str">
        <f ca="1"/>
        <v>Steel construction</v>
      </c>
      <c r="C60" t="str">
        <f ca="1"/>
        <v>Steel used for structural purposes that has undergone cold-rolled steel production route.</v>
      </c>
      <c r="D60" t="str">
        <f ca="1"/>
        <v>tonne</v>
      </c>
      <c r="E60" t="str">
        <f ca="1"/>
        <v>Tier 2</v>
      </c>
      <c r="F60">
        <f ca="1"/>
        <v>1.05</v>
      </c>
      <c r="G60" t="str">
        <f ca="1"/>
        <v>4,050</v>
      </c>
      <c r="H60" t="str">
        <f ca="1"/>
        <v>3,860</v>
      </c>
      <c r="I60" t="str">
        <f ca="1"/>
        <v>2,730</v>
      </c>
      <c r="J60" t="str">
        <f ca="1"/>
        <v>3,010</v>
      </c>
      <c r="K60" t="str">
        <f ca="1"/>
        <v>4.05</v>
      </c>
      <c r="L60" t="str">
        <f ca="1"/>
        <v>3.86</v>
      </c>
      <c r="M60" t="str">
        <f ca="1"/>
        <v>2.73</v>
      </c>
      <c r="N60" t="str">
        <f ca="1"/>
        <v>3.01</v>
      </c>
      <c r="O60" t="str">
        <f ca="1"/>
        <v>0</v>
      </c>
      <c r="P60" t="str">
        <f ca="1"/>
        <v>0</v>
      </c>
      <c r="Q60" t="str">
        <f ca="1"/>
        <v>1,000</v>
      </c>
      <c r="R60" t="str">
        <f ca="1"/>
        <v>kg/tonne</v>
      </c>
      <c r="S60" t="str">
        <f ca="1"/>
        <v>No</v>
      </c>
    </row>
    <row r="61" spans="1:19" x14ac:dyDescent="0.25">
      <c r="A61" t="str">
        <f ca="1"/>
        <v>Ceilings &amp; walls</v>
      </c>
      <c r="B61" t="str">
        <f ca="1"/>
        <v>Steel frame</v>
      </c>
      <c r="C61" t="str">
        <f ca="1"/>
        <v>Steel used for structural purposes that has undergone cold-rolled steel production route.</v>
      </c>
      <c r="D61" t="str">
        <f ca="1"/>
        <v>tonne</v>
      </c>
      <c r="E61" t="str">
        <f ca="1"/>
        <v>Tier 2</v>
      </c>
      <c r="F61">
        <f ca="1"/>
        <v>1.05</v>
      </c>
      <c r="G61" t="str">
        <f ca="1"/>
        <v>4,050</v>
      </c>
      <c r="H61" t="str">
        <f ca="1"/>
        <v>3,860</v>
      </c>
      <c r="I61" t="str">
        <f ca="1"/>
        <v>2,730</v>
      </c>
      <c r="J61" t="str">
        <f ca="1"/>
        <v>3,010</v>
      </c>
      <c r="K61" t="str">
        <f ca="1"/>
        <v>4.05</v>
      </c>
      <c r="L61" t="str">
        <f ca="1"/>
        <v>3.86</v>
      </c>
      <c r="M61" t="str">
        <f ca="1"/>
        <v>2.73</v>
      </c>
      <c r="N61" t="str">
        <f ca="1"/>
        <v>3.01</v>
      </c>
      <c r="O61" t="str">
        <f ca="1"/>
        <v>0</v>
      </c>
      <c r="P61" t="str">
        <f ca="1"/>
        <v>0</v>
      </c>
      <c r="Q61" t="str">
        <f ca="1"/>
        <v>1,000</v>
      </c>
      <c r="R61" t="str">
        <f ca="1"/>
        <v>kg/tonne</v>
      </c>
      <c r="S61" t="str">
        <f ca="1"/>
        <v>No</v>
      </c>
    </row>
    <row r="62" spans="1:19" x14ac:dyDescent="0.25">
      <c r="A62" t="str">
        <f ca="1"/>
        <v>Ceilings &amp; walls</v>
      </c>
      <c r="B62" t="str">
        <f ca="1"/>
        <v>Timber frame</v>
      </c>
      <c r="C62" t="str">
        <f ca="1"/>
        <v>Softwood timber. Most common species radiata pine. Includes treated, untreated, surfaced, and sawn products.</v>
      </c>
      <c r="D62" t="str">
        <f ca="1"/>
        <v>m³</v>
      </c>
      <c r="E62" t="str">
        <f ca="1"/>
        <v>Tier 2</v>
      </c>
      <c r="F62">
        <f ca="1"/>
        <v>1.05</v>
      </c>
      <c r="G62" t="str">
        <f ca="1"/>
        <v>349</v>
      </c>
      <c r="H62" t="str">
        <f ca="1"/>
        <v>332</v>
      </c>
      <c r="I62" t="str">
        <f ca="1"/>
        <v>113</v>
      </c>
      <c r="J62" t="str">
        <f ca="1"/>
        <v>188</v>
      </c>
      <c r="K62" t="str">
        <f ca="1"/>
        <v>0.633</v>
      </c>
      <c r="L62" t="str">
        <f ca="1"/>
        <v>0.603</v>
      </c>
      <c r="M62" t="str">
        <f ca="1"/>
        <v>0.205</v>
      </c>
      <c r="N62" t="str">
        <f ca="1"/>
        <v>0.366</v>
      </c>
      <c r="O62" t="str">
        <f ca="1"/>
        <v>857</v>
      </c>
      <c r="P62" t="str">
        <f ca="1"/>
        <v>1.64</v>
      </c>
      <c r="Q62" t="str">
        <f ca="1"/>
        <v>514</v>
      </c>
      <c r="R62" t="str">
        <f ca="1"/>
        <v>kg/m³</v>
      </c>
      <c r="S62" t="str">
        <f ca="1"/>
        <v>Yes</v>
      </c>
    </row>
    <row r="63" spans="1:19" x14ac:dyDescent="0.25">
      <c r="A63" t="str">
        <f ca="1"/>
        <v>Ceilings &amp; walls</v>
      </c>
      <c r="B63" t="str">
        <f ca="1"/>
        <v>AAC panel (inc. reinforced)</v>
      </c>
      <c r="C63" t="str">
        <f ca="1"/>
        <v>Autoclaved Aerated Concrete (AAC) panels including reinforcement</v>
      </c>
      <c r="D63" t="str">
        <f ca="1"/>
        <v>kg</v>
      </c>
      <c r="E63" t="str">
        <f ca="1"/>
        <v>Tier 4</v>
      </c>
      <c r="F63">
        <f ca="1"/>
        <v>1.2</v>
      </c>
      <c r="G63" t="str">
        <f ca="1"/>
        <v>0.641</v>
      </c>
      <c r="H63" t="str">
        <f ca="1"/>
        <v>0.535</v>
      </c>
      <c r="I63" t="str">
        <f ca="1"/>
        <v>0.373</v>
      </c>
      <c r="J63" t="str">
        <f ca="1"/>
        <v>0.451</v>
      </c>
      <c r="K63" t="str">
        <f ca="1"/>
        <v>0.641</v>
      </c>
      <c r="L63" t="str">
        <f ca="1"/>
        <v>0.535</v>
      </c>
      <c r="M63" t="str">
        <f ca="1"/>
        <v>0.373</v>
      </c>
      <c r="N63" t="str">
        <f ca="1"/>
        <v>0.451</v>
      </c>
      <c r="O63" t="str">
        <f ca="1"/>
        <v>0</v>
      </c>
      <c r="P63" t="str">
        <f ca="1"/>
        <v>0</v>
      </c>
      <c r="Q63" t="str">
        <f ca="1"/>
        <v>1.00</v>
      </c>
      <c r="R63" t="str">
        <f ca="1"/>
        <v>kg/kg</v>
      </c>
      <c r="S63" t="str">
        <f ca="1"/>
        <v>No</v>
      </c>
    </row>
    <row r="64" spans="1:19" x14ac:dyDescent="0.25">
      <c r="A64" t="str">
        <f ca="1"/>
        <v>Ceilings &amp; walls</v>
      </c>
      <c r="B64" t="str">
        <f ca="1"/>
        <v>Plasterboard</v>
      </c>
      <c r="C64" t="str">
        <f ca="1"/>
        <v>Board made from plaster typically coated in paper. Thickness from 4 mm to 22 mm.</v>
      </c>
      <c r="D64" t="str">
        <f ca="1"/>
        <v>m²</v>
      </c>
      <c r="E64" t="str">
        <f ca="1"/>
        <v>Tier 4</v>
      </c>
      <c r="F64">
        <f ca="1"/>
        <v>1.2</v>
      </c>
      <c r="G64" t="str">
        <f ca="1"/>
        <v>8.20</v>
      </c>
      <c r="H64" t="str">
        <f ca="1"/>
        <v>6.83</v>
      </c>
      <c r="I64" t="str">
        <f ca="1"/>
        <v>1.49</v>
      </c>
      <c r="J64" t="str">
        <f ca="1"/>
        <v>3.37</v>
      </c>
      <c r="K64" t="str">
        <f ca="1"/>
        <v>0.473</v>
      </c>
      <c r="L64" t="str">
        <f ca="1"/>
        <v>0.394</v>
      </c>
      <c r="M64" t="str">
        <f ca="1"/>
        <v>0.175</v>
      </c>
      <c r="N64" t="str">
        <f ca="1"/>
        <v>0.304</v>
      </c>
      <c r="O64" t="str">
        <f ca="1"/>
        <v>0.393</v>
      </c>
      <c r="P64" t="str">
        <f ca="1"/>
        <v>0.0400</v>
      </c>
      <c r="Q64" t="str">
        <f ca="1"/>
        <v>11.1</v>
      </c>
      <c r="R64" t="str">
        <f ca="1"/>
        <v>kg/m²</v>
      </c>
      <c r="S64" t="str">
        <f ca="1"/>
        <v>No</v>
      </c>
    </row>
    <row r="65" spans="1:19" x14ac:dyDescent="0.25">
      <c r="A65" t="str">
        <f ca="1"/>
        <v>Ceilings &amp; walls</v>
      </c>
      <c r="B65" t="str">
        <f ca="1"/>
        <v>Ceiling tile</v>
      </c>
      <c r="C65" t="str">
        <f ca="1"/>
        <v xml:space="preserve">Used as a lay in suspended ceiling systems. Includes various ceiling tile types made from various materials including mineral wool, perlite, clay. </v>
      </c>
      <c r="D65" t="str">
        <f ca="1"/>
        <v>m²</v>
      </c>
      <c r="E65" t="str">
        <f ca="1"/>
        <v>Tier 3</v>
      </c>
      <c r="F65">
        <f ca="1"/>
        <v>1.1000000000000001</v>
      </c>
      <c r="G65" t="str">
        <f ca="1"/>
        <v>7.95</v>
      </c>
      <c r="H65" t="str">
        <f ca="1"/>
        <v>7.23</v>
      </c>
      <c r="I65" t="str">
        <f ca="1"/>
        <v>1.30</v>
      </c>
      <c r="J65" t="str">
        <f ca="1"/>
        <v>4.28</v>
      </c>
      <c r="K65" t="str">
        <f ca="1"/>
        <v>1.44</v>
      </c>
      <c r="L65" t="str">
        <f ca="1"/>
        <v>1.31</v>
      </c>
      <c r="M65" t="str">
        <f ca="1"/>
        <v>0.182</v>
      </c>
      <c r="N65" t="str">
        <f ca="1"/>
        <v>0.875</v>
      </c>
      <c r="O65" t="str">
        <f ca="1"/>
        <v>0</v>
      </c>
      <c r="P65" t="str">
        <f ca="1"/>
        <v>0</v>
      </c>
      <c r="Q65" t="str">
        <f ca="1"/>
        <v>4.89</v>
      </c>
      <c r="R65" t="str">
        <f ca="1"/>
        <v>kg/m²</v>
      </c>
      <c r="S65" t="str">
        <f ca="1"/>
        <v>No</v>
      </c>
    </row>
    <row r="66" spans="1:19" x14ac:dyDescent="0.25">
      <c r="A66" t="str">
        <f ca="1"/>
        <v>Ceilings &amp; walls</v>
      </c>
      <c r="B66" t="str">
        <f ca="1"/>
        <v>Particleboard wall/ceiling</v>
      </c>
      <c r="C66" t="str">
        <f ca="1"/>
        <v>Particleboard for walling or ceiling purposes (i.e. finished wall panel including coating).</v>
      </c>
      <c r="D66" t="str">
        <f ca="1"/>
        <v>m³</v>
      </c>
      <c r="E66" t="str">
        <f ca="1"/>
        <v>Tier 2</v>
      </c>
      <c r="F66">
        <f ca="1"/>
        <v>1.05</v>
      </c>
      <c r="G66" t="str">
        <f ca="1"/>
        <v>663</v>
      </c>
      <c r="H66" t="str">
        <f ca="1"/>
        <v>631</v>
      </c>
      <c r="I66" t="str">
        <f ca="1"/>
        <v>177</v>
      </c>
      <c r="J66" t="str">
        <f ca="1"/>
        <v>433</v>
      </c>
      <c r="K66" t="str">
        <f ca="1"/>
        <v>1.01</v>
      </c>
      <c r="L66" t="str">
        <f ca="1"/>
        <v>0.959</v>
      </c>
      <c r="M66" t="str">
        <f ca="1"/>
        <v>0.286</v>
      </c>
      <c r="N66" t="str">
        <f ca="1"/>
        <v>0.662</v>
      </c>
      <c r="O66" t="str">
        <f ca="1"/>
        <v>1,080</v>
      </c>
      <c r="P66" t="str">
        <f ca="1"/>
        <v>1.67</v>
      </c>
      <c r="Q66" t="str">
        <f ca="1"/>
        <v>654</v>
      </c>
      <c r="R66" t="str">
        <f ca="1"/>
        <v>kg/m³</v>
      </c>
      <c r="S66" t="str">
        <f ca="1"/>
        <v>Yes</v>
      </c>
    </row>
    <row r="67" spans="1:19" x14ac:dyDescent="0.25">
      <c r="A67" t="str">
        <f ca="1"/>
        <v>Ceilings &amp; walls</v>
      </c>
      <c r="B67" t="str">
        <f ca="1"/>
        <v>MDF</v>
      </c>
      <c r="C67" t="str">
        <f ca="1"/>
        <v>Medium density fibreboard (MDF) for decorative purposes (i.e. finished wall panel including coating).</v>
      </c>
      <c r="D67" t="str">
        <f ca="1"/>
        <v>m³</v>
      </c>
      <c r="E67" t="str">
        <f ca="1"/>
        <v>Tier 2</v>
      </c>
      <c r="F67">
        <f ca="1"/>
        <v>1.05</v>
      </c>
      <c r="G67" t="str">
        <f ca="1"/>
        <v>1,320</v>
      </c>
      <c r="H67" t="str">
        <f ca="1"/>
        <v>1,250</v>
      </c>
      <c r="I67" t="str">
        <f ca="1"/>
        <v>526</v>
      </c>
      <c r="J67" t="str">
        <f ca="1"/>
        <v>815</v>
      </c>
      <c r="K67" t="str">
        <f ca="1"/>
        <v>1.83</v>
      </c>
      <c r="L67" t="str">
        <f ca="1"/>
        <v>1.74</v>
      </c>
      <c r="M67" t="str">
        <f ca="1"/>
        <v>0.714</v>
      </c>
      <c r="N67" t="str">
        <f ca="1"/>
        <v>1.13</v>
      </c>
      <c r="O67" t="str">
        <f ca="1"/>
        <v>1,230</v>
      </c>
      <c r="P67" t="str">
        <f ca="1"/>
        <v>1.70</v>
      </c>
      <c r="Q67" t="str">
        <f ca="1"/>
        <v>722</v>
      </c>
      <c r="R67" t="str">
        <f ca="1"/>
        <v>kg/m³</v>
      </c>
      <c r="S67" t="str">
        <f ca="1"/>
        <v>Yes</v>
      </c>
    </row>
    <row r="68" spans="1:19" x14ac:dyDescent="0.25">
      <c r="A68" t="str">
        <f ca="1"/>
        <v>Ceilings &amp; walls</v>
      </c>
      <c r="B68" t="str">
        <f ca="1"/>
        <v>Fibre cement sheet</v>
      </c>
      <c r="C68" t="str">
        <f ca="1"/>
        <v>Board made from fibre cement including compressed sheet, flooring, cladding, lining and roofing boards. Thickness from 4 mm to 22 mm.</v>
      </c>
      <c r="D68" t="str">
        <f ca="1"/>
        <v>m²</v>
      </c>
      <c r="E68" t="str">
        <f ca="1"/>
        <v>Tier 2</v>
      </c>
      <c r="F68">
        <f ca="1"/>
        <v>1.05</v>
      </c>
      <c r="G68" t="str">
        <f ca="1"/>
        <v>48.2</v>
      </c>
      <c r="H68" t="str">
        <f ca="1"/>
        <v>45.9</v>
      </c>
      <c r="I68" t="str">
        <f ca="1"/>
        <v>4.50</v>
      </c>
      <c r="J68" t="str">
        <f ca="1"/>
        <v>12.6</v>
      </c>
      <c r="K68" t="str">
        <f ca="1"/>
        <v>1.39</v>
      </c>
      <c r="L68" t="str">
        <f ca="1"/>
        <v>1.32</v>
      </c>
      <c r="M68" t="str">
        <f ca="1"/>
        <v>0.307</v>
      </c>
      <c r="N68" t="str">
        <f ca="1"/>
        <v>0.882</v>
      </c>
      <c r="O68" t="str">
        <f ca="1"/>
        <v>0.0251</v>
      </c>
      <c r="P68" t="str">
        <f ca="1"/>
        <v>0.00216</v>
      </c>
      <c r="Q68" t="str">
        <f ca="1"/>
        <v>14.2</v>
      </c>
      <c r="R68" t="str">
        <f ca="1"/>
        <v>kg/m²</v>
      </c>
      <c r="S68" t="str">
        <f ca="1"/>
        <v>No</v>
      </c>
    </row>
    <row r="69" spans="1:19" x14ac:dyDescent="0.25">
      <c r="A69" t="str">
        <f ca="1"/>
        <v>Ceilings &amp; walls</v>
      </c>
      <c r="B69" t="str">
        <f ca="1"/>
        <v>Glass</v>
      </c>
      <c r="C69" t="str">
        <f ca="1"/>
        <v>Glass used in windows, doors, curtain wall purposes. Including single, double and triple glazing units.</v>
      </c>
      <c r="D69" t="str">
        <f ca="1"/>
        <v>kg</v>
      </c>
      <c r="E69" t="str">
        <f ca="1"/>
        <v>Tier 4</v>
      </c>
      <c r="F69">
        <f ca="1"/>
        <v>1.2</v>
      </c>
      <c r="G69" t="str">
        <f ca="1"/>
        <v>2.38</v>
      </c>
      <c r="H69" t="str">
        <f ca="1"/>
        <v>1.98</v>
      </c>
      <c r="I69" t="str">
        <f ca="1"/>
        <v>1.10</v>
      </c>
      <c r="J69" t="str">
        <f ca="1"/>
        <v>1.66</v>
      </c>
      <c r="K69" t="str">
        <f ca="1"/>
        <v>2.38</v>
      </c>
      <c r="L69" t="str">
        <f ca="1"/>
        <v>1.98</v>
      </c>
      <c r="M69" t="str">
        <f ca="1"/>
        <v>1.10</v>
      </c>
      <c r="N69" t="str">
        <f ca="1"/>
        <v>1.66</v>
      </c>
      <c r="O69" t="str">
        <f ca="1"/>
        <v>0</v>
      </c>
      <c r="P69" t="str">
        <f ca="1"/>
        <v>0</v>
      </c>
      <c r="Q69" t="str">
        <f ca="1"/>
        <v>1.00</v>
      </c>
      <c r="R69" t="str">
        <f ca="1"/>
        <v>kg/kg</v>
      </c>
      <c r="S69" t="str">
        <f ca="1"/>
        <v>No</v>
      </c>
    </row>
    <row r="70" spans="1:19" x14ac:dyDescent="0.25">
      <c r="A70" t="str">
        <f ca="1"/>
        <v>Pavers/tiles</v>
      </c>
      <c r="B70" t="str">
        <f ca="1"/>
        <v>Concrete paver/tile</v>
      </c>
      <c r="C70" t="str">
        <f ca="1"/>
        <v>Concrete brick, block and roof tiles i.e. cinder block or concrete finishing brick/tile used in masonry. Not including any core fill material or reinforcing.</v>
      </c>
      <c r="D70" t="str">
        <f ca="1"/>
        <v>tonne</v>
      </c>
      <c r="E70" t="str">
        <f ca="1"/>
        <v>Tier 3</v>
      </c>
      <c r="F70">
        <f ca="1"/>
        <v>1.1000000000000001</v>
      </c>
      <c r="G70" t="str">
        <f ca="1"/>
        <v>264</v>
      </c>
      <c r="H70" t="str">
        <f ca="1"/>
        <v>240</v>
      </c>
      <c r="I70" t="str">
        <f ca="1"/>
        <v>112</v>
      </c>
      <c r="J70" t="str">
        <f ca="1"/>
        <v>159</v>
      </c>
      <c r="K70" t="str">
        <f ca="1"/>
        <v>0.264</v>
      </c>
      <c r="L70" t="str">
        <f ca="1"/>
        <v>0.240</v>
      </c>
      <c r="M70" t="str">
        <f ca="1"/>
        <v>0.112</v>
      </c>
      <c r="N70" t="str">
        <f ca="1"/>
        <v>0.159</v>
      </c>
      <c r="O70" t="str">
        <f ca="1"/>
        <v>0</v>
      </c>
      <c r="P70" t="str">
        <f ca="1"/>
        <v>0</v>
      </c>
      <c r="Q70" t="str">
        <f ca="1"/>
        <v>1,000</v>
      </c>
      <c r="R70" t="str">
        <f ca="1"/>
        <v>kg/tonne</v>
      </c>
      <c r="S70" t="str">
        <f ca="1"/>
        <v>No</v>
      </c>
    </row>
    <row r="71" spans="1:19" x14ac:dyDescent="0.25">
      <c r="A71" t="str">
        <f ca="1"/>
        <v>Pavers/tiles</v>
      </c>
      <c r="B71" t="str">
        <f ca="1"/>
        <v>Ceramic paver/tile</v>
      </c>
      <c r="C71" t="str">
        <f ca="1"/>
        <v>Ceramic tiles (wall and floor) and pavers including porcelain tiles.</v>
      </c>
      <c r="D71" t="str">
        <f ca="1"/>
        <v>kg</v>
      </c>
      <c r="E71" t="str">
        <f ca="1"/>
        <v>Tier 4</v>
      </c>
      <c r="F71">
        <f ca="1"/>
        <v>1.2</v>
      </c>
      <c r="G71" t="str">
        <f ca="1"/>
        <v>0.984</v>
      </c>
      <c r="H71" t="str">
        <f ca="1"/>
        <v>0.820</v>
      </c>
      <c r="I71" t="str">
        <f ca="1"/>
        <v>0.308</v>
      </c>
      <c r="J71" t="str">
        <f ca="1"/>
        <v>0.548</v>
      </c>
      <c r="K71" t="str">
        <f ca="1"/>
        <v>0.984</v>
      </c>
      <c r="L71" t="str">
        <f ca="1"/>
        <v>0.820</v>
      </c>
      <c r="M71" t="str">
        <f ca="1"/>
        <v>0.308</v>
      </c>
      <c r="N71" t="str">
        <f ca="1"/>
        <v>0.548</v>
      </c>
      <c r="O71" t="str">
        <f ca="1"/>
        <v>0</v>
      </c>
      <c r="P71" t="str">
        <f ca="1"/>
        <v>0</v>
      </c>
      <c r="Q71" t="str">
        <f ca="1"/>
        <v>1.00</v>
      </c>
      <c r="R71" t="str">
        <f ca="1"/>
        <v>kg/kg</v>
      </c>
      <c r="S71" t="str">
        <f ca="1"/>
        <v>No</v>
      </c>
    </row>
    <row r="72" spans="1:19" x14ac:dyDescent="0.25">
      <c r="A72" t="str">
        <f ca="1"/>
        <v>Pavers/tiles</v>
      </c>
      <c r="B72" t="str">
        <f ca="1"/>
        <v>Stone paver/tile</v>
      </c>
      <c r="C72" t="str">
        <f ca="1"/>
        <v>Stone tiles (wall and floor) and pavers including porcelain tiles, represented by granite and limestone quarry operations and surface preparation with stabilisation as needed.</v>
      </c>
      <c r="D72" t="str">
        <f ca="1"/>
        <v>tonne</v>
      </c>
      <c r="E72" t="str">
        <f ca="1"/>
        <v>Tier 4</v>
      </c>
      <c r="F72">
        <f ca="1"/>
        <v>1.2</v>
      </c>
      <c r="G72" t="str">
        <f ca="1"/>
        <v>542</v>
      </c>
      <c r="H72" t="str">
        <f ca="1"/>
        <v>452</v>
      </c>
      <c r="I72" t="str">
        <f ca="1"/>
        <v>67.1</v>
      </c>
      <c r="J72" t="str">
        <f ca="1"/>
        <v>239</v>
      </c>
      <c r="K72" t="str">
        <f ca="1"/>
        <v>0.542</v>
      </c>
      <c r="L72" t="str">
        <f ca="1"/>
        <v>0.452</v>
      </c>
      <c r="M72" t="str">
        <f ca="1"/>
        <v>0.0671</v>
      </c>
      <c r="N72" t="str">
        <f ca="1"/>
        <v>0.239</v>
      </c>
      <c r="O72" t="str">
        <f ca="1"/>
        <v>0</v>
      </c>
      <c r="P72" t="str">
        <f ca="1"/>
        <v>0</v>
      </c>
      <c r="Q72" t="str">
        <f ca="1"/>
        <v>1,000</v>
      </c>
      <c r="R72" t="str">
        <f ca="1"/>
        <v>kg/tonne</v>
      </c>
      <c r="S72" t="str">
        <f ca="1"/>
        <v>No</v>
      </c>
    </row>
    <row r="73" spans="1:19" x14ac:dyDescent="0.25">
      <c r="A73" t="str">
        <f ca="1"/>
        <v>Floors</v>
      </c>
      <c r="B73" t="str">
        <f ca="1"/>
        <v>Access flooring</v>
      </c>
      <c r="C73" t="str">
        <f ca="1"/>
        <v>Access floor (raised floor) including pedestal, base, componentry. Excluding finish top layer.</v>
      </c>
      <c r="D73" t="str">
        <f ca="1"/>
        <v>m²</v>
      </c>
      <c r="E73" t="str">
        <f ca="1"/>
        <v>Tier 3</v>
      </c>
      <c r="F73">
        <f ca="1"/>
        <v>1.1000000000000001</v>
      </c>
      <c r="G73" t="str">
        <f ca="1"/>
        <v>83.6</v>
      </c>
      <c r="H73" t="str">
        <f ca="1"/>
        <v>76.0</v>
      </c>
      <c r="I73" t="str">
        <f ca="1"/>
        <v>19.0</v>
      </c>
      <c r="J73" t="str">
        <f ca="1"/>
        <v>38.2</v>
      </c>
      <c r="K73" t="str">
        <f ca="1"/>
        <v>1.42</v>
      </c>
      <c r="L73" t="str">
        <f ca="1"/>
        <v>1.29</v>
      </c>
      <c r="M73" t="str">
        <f ca="1"/>
        <v>0.306</v>
      </c>
      <c r="N73" t="str">
        <f ca="1"/>
        <v>0.826</v>
      </c>
      <c r="O73" t="str">
        <f ca="1"/>
        <v>0</v>
      </c>
      <c r="P73" t="str">
        <f ca="1"/>
        <v>0</v>
      </c>
      <c r="Q73" t="str">
        <f ca="1"/>
        <v>46.3</v>
      </c>
      <c r="R73" t="str">
        <f ca="1"/>
        <v>kg/m²</v>
      </c>
      <c r="S73" t="str">
        <f ca="1"/>
        <v>No</v>
      </c>
    </row>
    <row r="74" spans="1:19" x14ac:dyDescent="0.25">
      <c r="A74" t="str">
        <f ca="1"/>
        <v>Floors</v>
      </c>
      <c r="B74" t="str">
        <f ca="1"/>
        <v>Carpet flooring</v>
      </c>
      <c r="C74" t="str">
        <f ca="1"/>
        <v>Carpet for flooring including carpet tiles.</v>
      </c>
      <c r="D74" t="str">
        <f ca="1"/>
        <v>m²</v>
      </c>
      <c r="E74" t="str">
        <f ca="1"/>
        <v>Tier 4</v>
      </c>
      <c r="F74">
        <f ca="1"/>
        <v>1.2</v>
      </c>
      <c r="G74" t="str">
        <f ca="1"/>
        <v>34.2</v>
      </c>
      <c r="H74" t="str">
        <f ca="1"/>
        <v>28.5</v>
      </c>
      <c r="I74" t="str">
        <f ca="1"/>
        <v>4.10</v>
      </c>
      <c r="J74" t="str">
        <f ca="1"/>
        <v>13.3</v>
      </c>
      <c r="K74" t="str">
        <f ca="1"/>
        <v>13.3</v>
      </c>
      <c r="L74" t="str">
        <f ca="1"/>
        <v>11.1</v>
      </c>
      <c r="M74" t="str">
        <f ca="1"/>
        <v>1.34</v>
      </c>
      <c r="N74" t="str">
        <f ca="1"/>
        <v>4.13</v>
      </c>
      <c r="O74" t="str">
        <f ca="1"/>
        <v>0</v>
      </c>
      <c r="P74" t="str">
        <f ca="1"/>
        <v>0</v>
      </c>
      <c r="Q74" t="str">
        <f ca="1"/>
        <v>3.21</v>
      </c>
      <c r="R74" t="str">
        <f ca="1"/>
        <v>kg/m²</v>
      </c>
      <c r="S74" t="str">
        <f ca="1"/>
        <v>No</v>
      </c>
    </row>
    <row r="75" spans="1:19" x14ac:dyDescent="0.25">
      <c r="A75" t="str">
        <f ca="1"/>
        <v>Floors</v>
      </c>
      <c r="B75" t="str">
        <f ca="1"/>
        <v>Vinyl flooring</v>
      </c>
      <c r="C75" t="str">
        <f ca="1"/>
        <v>Vinyl flooring.</v>
      </c>
      <c r="D75" t="str">
        <f ca="1"/>
        <v>m²</v>
      </c>
      <c r="E75" t="str">
        <f ca="1"/>
        <v>Tier 3</v>
      </c>
      <c r="F75">
        <f ca="1"/>
        <v>1.1000000000000001</v>
      </c>
      <c r="G75" t="str">
        <f ca="1"/>
        <v>37.8</v>
      </c>
      <c r="H75" t="str">
        <f ca="1"/>
        <v>34.4</v>
      </c>
      <c r="I75" t="str">
        <f ca="1"/>
        <v>5.63</v>
      </c>
      <c r="J75" t="str">
        <f ca="1"/>
        <v>15.9</v>
      </c>
      <c r="K75" t="str">
        <f ca="1"/>
        <v>8.64</v>
      </c>
      <c r="L75" t="str">
        <f ca="1"/>
        <v>7.85</v>
      </c>
      <c r="M75" t="str">
        <f ca="1"/>
        <v>0.868</v>
      </c>
      <c r="N75" t="str">
        <f ca="1"/>
        <v>3.12</v>
      </c>
      <c r="O75" t="str">
        <f ca="1"/>
        <v>0</v>
      </c>
      <c r="P75" t="str">
        <f ca="1"/>
        <v>0</v>
      </c>
      <c r="Q75" t="str">
        <f ca="1"/>
        <v>5.10</v>
      </c>
      <c r="R75" t="str">
        <f ca="1"/>
        <v>kg/m²</v>
      </c>
      <c r="S75" t="str">
        <f ca="1"/>
        <v>No</v>
      </c>
    </row>
    <row r="76" spans="1:19" x14ac:dyDescent="0.25">
      <c r="A76" t="str">
        <f ca="1"/>
        <v>Floors</v>
      </c>
      <c r="B76" t="str">
        <f ca="1"/>
        <v>Rubber flooring</v>
      </c>
      <c r="C76" t="str">
        <f ca="1"/>
        <v>Rubber flooring.</v>
      </c>
      <c r="D76" t="str">
        <f ca="1"/>
        <v>m²</v>
      </c>
      <c r="E76" t="str">
        <f ca="1"/>
        <v>Tier 4</v>
      </c>
      <c r="F76">
        <f ca="1"/>
        <v>1.2</v>
      </c>
      <c r="G76" t="str">
        <f ca="1"/>
        <v>19.5</v>
      </c>
      <c r="H76" t="str">
        <f ca="1"/>
        <v>16.2</v>
      </c>
      <c r="I76" t="str">
        <f ca="1"/>
        <v>0.378</v>
      </c>
      <c r="J76" t="str">
        <f ca="1"/>
        <v>8.69</v>
      </c>
      <c r="K76" t="str">
        <f ca="1"/>
        <v>10.2</v>
      </c>
      <c r="L76" t="str">
        <f ca="1"/>
        <v>8.54</v>
      </c>
      <c r="M76" t="str">
        <f ca="1"/>
        <v>0.430</v>
      </c>
      <c r="N76" t="str">
        <f ca="1"/>
        <v>3.94</v>
      </c>
      <c r="O76" t="str">
        <f ca="1"/>
        <v>0</v>
      </c>
      <c r="P76" t="str">
        <f ca="1"/>
        <v>0</v>
      </c>
      <c r="Q76" t="str">
        <f ca="1"/>
        <v>2.20</v>
      </c>
      <c r="R76" t="str">
        <f ca="1"/>
        <v>kg/m²</v>
      </c>
      <c r="S76" t="str">
        <f ca="1"/>
        <v>No</v>
      </c>
    </row>
    <row r="77" spans="1:19" x14ac:dyDescent="0.25">
      <c r="A77" t="str">
        <f ca="1"/>
        <v>Floors</v>
      </c>
      <c r="B77" t="str">
        <f ca="1"/>
        <v>Timber flooring</v>
      </c>
      <c r="C77" t="str">
        <f ca="1"/>
        <v>Hardwood timber. Includes treated, untreated, dressed, and sawn products.</v>
      </c>
      <c r="D77" t="str">
        <f ca="1"/>
        <v>m³</v>
      </c>
      <c r="E77" t="str">
        <f ca="1"/>
        <v>Tier 2</v>
      </c>
      <c r="F77">
        <f ca="1"/>
        <v>1.05</v>
      </c>
      <c r="G77" t="str">
        <f ca="1"/>
        <v>591</v>
      </c>
      <c r="H77" t="str">
        <f ca="1"/>
        <v>563</v>
      </c>
      <c r="I77" t="str">
        <f ca="1"/>
        <v>104</v>
      </c>
      <c r="J77" t="str">
        <f ca="1"/>
        <v>347</v>
      </c>
      <c r="K77" t="str">
        <f ca="1"/>
        <v>0.804</v>
      </c>
      <c r="L77" t="str">
        <f ca="1"/>
        <v>0.765</v>
      </c>
      <c r="M77" t="str">
        <f ca="1"/>
        <v>0.126</v>
      </c>
      <c r="N77" t="str">
        <f ca="1"/>
        <v>0.466</v>
      </c>
      <c r="O77" t="str">
        <f ca="1"/>
        <v>1,170</v>
      </c>
      <c r="P77" t="str">
        <f ca="1"/>
        <v>1.54</v>
      </c>
      <c r="Q77" t="str">
        <f ca="1"/>
        <v>744</v>
      </c>
      <c r="R77" t="str">
        <f ca="1"/>
        <v>kg/m³</v>
      </c>
      <c r="S77" t="str">
        <f ca="1"/>
        <v>No</v>
      </c>
    </row>
    <row r="78" spans="1:19" x14ac:dyDescent="0.25">
      <c r="A78" t="str">
        <f ca="1"/>
        <v>Floors</v>
      </c>
      <c r="B78" t="str">
        <f ca="1"/>
        <v>Laminate flooring</v>
      </c>
      <c r="C78" t="str">
        <f ca="1"/>
        <v>Laminate flooring.</v>
      </c>
      <c r="D78" t="str">
        <f ca="1"/>
        <v>m²</v>
      </c>
      <c r="E78" t="str">
        <f ca="1"/>
        <v>Tier 4</v>
      </c>
      <c r="F78">
        <f ca="1"/>
        <v>1.2</v>
      </c>
      <c r="G78" t="str">
        <f ca="1"/>
        <v>5.69</v>
      </c>
      <c r="H78" t="str">
        <f ca="1"/>
        <v>4.74</v>
      </c>
      <c r="I78" t="str">
        <f ca="1"/>
        <v>2.67</v>
      </c>
      <c r="J78" t="str">
        <f ca="1"/>
        <v>3.71</v>
      </c>
      <c r="K78" t="str">
        <f ca="1"/>
        <v>0.814</v>
      </c>
      <c r="L78" t="str">
        <f ca="1"/>
        <v>0.679</v>
      </c>
      <c r="M78" t="str">
        <f ca="1"/>
        <v>0.384</v>
      </c>
      <c r="N78" t="str">
        <f ca="1"/>
        <v>0.531</v>
      </c>
      <c r="O78" t="str">
        <f ca="1"/>
        <v>0</v>
      </c>
      <c r="P78" t="str">
        <f ca="1"/>
        <v>0</v>
      </c>
      <c r="Q78" t="str">
        <f ca="1"/>
        <v>6.98</v>
      </c>
      <c r="R78" t="str">
        <f ca="1"/>
        <v>kg/m²</v>
      </c>
      <c r="S78" t="str">
        <f ca="1"/>
        <v>No</v>
      </c>
    </row>
    <row r="79" spans="1:19" x14ac:dyDescent="0.25">
      <c r="A79" t="str">
        <f ca="1"/>
        <v>Floors</v>
      </c>
      <c r="B79" t="str">
        <f ca="1"/>
        <v>Hybrid flooring</v>
      </c>
      <c r="C79" t="str">
        <f ca="1"/>
        <v>Hybrid flooring.</v>
      </c>
      <c r="D79" t="str">
        <f ca="1"/>
        <v>m²</v>
      </c>
      <c r="E79" t="str">
        <f ca="1"/>
        <v>Tier 4</v>
      </c>
      <c r="F79">
        <f ca="1"/>
        <v>1.2</v>
      </c>
      <c r="G79" t="str">
        <f ca="1"/>
        <v>15.6</v>
      </c>
      <c r="H79" t="str">
        <f ca="1"/>
        <v>13.0</v>
      </c>
      <c r="I79" t="str">
        <f ca="1"/>
        <v>13.0</v>
      </c>
      <c r="J79" t="str">
        <f ca="1"/>
        <v>13.0</v>
      </c>
      <c r="K79" t="str">
        <f ca="1"/>
        <v>1.82</v>
      </c>
      <c r="L79" t="str">
        <f ca="1"/>
        <v>1.52</v>
      </c>
      <c r="M79" t="str">
        <f ca="1"/>
        <v>1.52</v>
      </c>
      <c r="N79" t="str">
        <f ca="1"/>
        <v>1.52</v>
      </c>
      <c r="O79" t="str">
        <f ca="1"/>
        <v>0</v>
      </c>
      <c r="P79" t="str">
        <f ca="1"/>
        <v>0</v>
      </c>
      <c r="Q79" t="str">
        <f ca="1"/>
        <v>8.60</v>
      </c>
      <c r="R79" t="str">
        <f ca="1"/>
        <v>kg/m²</v>
      </c>
      <c r="S79" t="str">
        <f ca="1"/>
        <v>No</v>
      </c>
    </row>
    <row r="80" spans="1:19" x14ac:dyDescent="0.25">
      <c r="A80" t="str">
        <f ca="1"/>
        <v>Floors</v>
      </c>
      <c r="B80" t="str">
        <f ca="1"/>
        <v>Linoleum flooring</v>
      </c>
      <c r="C80" t="str">
        <f ca="1"/>
        <v>Linoleum flooring - made from various materials.</v>
      </c>
      <c r="D80" t="str">
        <f ca="1"/>
        <v>m²</v>
      </c>
      <c r="E80" t="str">
        <f ca="1"/>
        <v>Tier 3</v>
      </c>
      <c r="F80">
        <f ca="1"/>
        <v>1.1000000000000001</v>
      </c>
      <c r="G80" t="str">
        <f ca="1"/>
        <v>3.99</v>
      </c>
      <c r="H80" t="str">
        <f ca="1"/>
        <v>3.63</v>
      </c>
      <c r="I80" t="str">
        <f ca="1"/>
        <v>3.60</v>
      </c>
      <c r="J80" t="str">
        <f ca="1"/>
        <v>3.61</v>
      </c>
      <c r="K80" t="str">
        <f ca="1"/>
        <v>1.72</v>
      </c>
      <c r="L80" t="str">
        <f ca="1"/>
        <v>1.56</v>
      </c>
      <c r="M80" t="str">
        <f ca="1"/>
        <v>1.23</v>
      </c>
      <c r="N80" t="str">
        <f ca="1"/>
        <v>1.34</v>
      </c>
      <c r="O80" t="str">
        <f ca="1"/>
        <v>0</v>
      </c>
      <c r="P80" t="str">
        <f ca="1"/>
        <v>0</v>
      </c>
      <c r="Q80" t="str">
        <f ca="1"/>
        <v>2.69</v>
      </c>
      <c r="R80" t="str">
        <f ca="1"/>
        <v>kg/m²</v>
      </c>
      <c r="S80" t="str">
        <f ca="1"/>
        <v>No</v>
      </c>
    </row>
    <row r="81" spans="1:19" x14ac:dyDescent="0.25">
      <c r="A81" t="str">
        <f ca="1"/>
        <v>Floors</v>
      </c>
      <c r="B81" t="str">
        <f ca="1"/>
        <v>Epoxy flooring</v>
      </c>
      <c r="C81" t="str">
        <f ca="1"/>
        <v xml:space="preserve">Epoxy flooring - for use on concrete flooring or similar. </v>
      </c>
      <c r="D81" t="str">
        <f ca="1"/>
        <v>kg</v>
      </c>
      <c r="E81" t="str">
        <f ca="1"/>
        <v>Tier 4</v>
      </c>
      <c r="F81">
        <f ca="1"/>
        <v>1.2</v>
      </c>
      <c r="G81" t="str">
        <f ca="1"/>
        <v>3.84</v>
      </c>
      <c r="H81" t="str">
        <f ca="1"/>
        <v>3.20</v>
      </c>
      <c r="I81" t="str">
        <f ca="1"/>
        <v>2.45</v>
      </c>
      <c r="J81" t="str">
        <f ca="1"/>
        <v>2.80</v>
      </c>
      <c r="K81" t="str">
        <f ca="1"/>
        <v>3.84</v>
      </c>
      <c r="L81" t="str">
        <f ca="1"/>
        <v>3.20</v>
      </c>
      <c r="M81" t="str">
        <f ca="1"/>
        <v>2.45</v>
      </c>
      <c r="N81" t="str">
        <f ca="1"/>
        <v>2.80</v>
      </c>
      <c r="O81" t="str">
        <f ca="1"/>
        <v>0</v>
      </c>
      <c r="P81" t="str">
        <f ca="1"/>
        <v>0</v>
      </c>
      <c r="Q81" t="str">
        <f ca="1"/>
        <v>1.00</v>
      </c>
      <c r="R81" t="str">
        <f ca="1"/>
        <v>kg/kg</v>
      </c>
      <c r="S81" t="str">
        <f ca="1"/>
        <v>No</v>
      </c>
    </row>
    <row r="82" spans="1:19" x14ac:dyDescent="0.25">
      <c r="A82" t="str">
        <f ca="1"/>
        <v>Roller doors</v>
      </c>
      <c r="B82" t="str">
        <f ca="1"/>
        <v>Roller doors</v>
      </c>
      <c r="C82" t="str">
        <f ca="1"/>
        <v>Roller door (i.e. sectional door or garage door) including all elements steel, electrical drives etc.</v>
      </c>
      <c r="D82" t="str">
        <f ca="1"/>
        <v>m²</v>
      </c>
      <c r="E82" t="str">
        <f ca="1"/>
        <v>Tier 4</v>
      </c>
      <c r="F82">
        <f ca="1"/>
        <v>1.2</v>
      </c>
      <c r="G82" t="str">
        <f ca="1"/>
        <v>132</v>
      </c>
      <c r="H82" t="str">
        <f ca="1"/>
        <v>110</v>
      </c>
      <c r="I82" t="str">
        <f ca="1"/>
        <v>96.7</v>
      </c>
      <c r="J82" t="str">
        <f ca="1"/>
        <v>103</v>
      </c>
      <c r="K82" t="str">
        <f ca="1"/>
        <v>5.67</v>
      </c>
      <c r="L82" t="str">
        <f ca="1"/>
        <v>4.72</v>
      </c>
      <c r="M82" t="str">
        <f ca="1"/>
        <v>3.26</v>
      </c>
      <c r="N82" t="str">
        <f ca="1"/>
        <v>3.99</v>
      </c>
      <c r="O82" t="str">
        <f ca="1"/>
        <v>0</v>
      </c>
      <c r="P82" t="str">
        <f ca="1"/>
        <v>0</v>
      </c>
      <c r="Q82" t="str">
        <f ca="1"/>
        <v>25.9</v>
      </c>
      <c r="R82" t="str">
        <f ca="1"/>
        <v>kg/m²</v>
      </c>
      <c r="S82" t="str">
        <f ca="1"/>
        <v>No</v>
      </c>
    </row>
    <row r="83" spans="1:19" x14ac:dyDescent="0.25">
      <c r="A83" t="str">
        <f ca="1"/>
        <v>Windows &amp; doors</v>
      </c>
      <c r="B83" t="str">
        <f ca="1"/>
        <v>Window - aluminium frame - generic</v>
      </c>
      <c r="C83" t="str">
        <f ca="1"/>
        <v>Represents a generic window or door as named in the material category. Includes key component materials. Square meter rate.</v>
      </c>
      <c r="D83" t="str">
        <f ca="1"/>
        <v>m²</v>
      </c>
      <c r="E83" t="str">
        <f ca="1"/>
        <v>Untiered</v>
      </c>
      <c r="F83">
        <f ca="1"/>
        <v>1</v>
      </c>
      <c r="G83" t="str">
        <f ca="1"/>
        <v>255</v>
      </c>
      <c r="H83" t="str">
        <f ca="1"/>
        <v>255</v>
      </c>
      <c r="I83" t="str">
        <f ca="1"/>
        <v>46.7</v>
      </c>
      <c r="J83" t="str">
        <f ca="1"/>
        <v>159</v>
      </c>
      <c r="K83" t="str">
        <f ca="1"/>
        <v>11.1</v>
      </c>
      <c r="L83" t="str">
        <f ca="1"/>
        <v>11.1</v>
      </c>
      <c r="M83" t="str">
        <f ca="1"/>
        <v>2.03</v>
      </c>
      <c r="N83" t="str">
        <f ca="1"/>
        <v>6.93</v>
      </c>
      <c r="O83" t="str">
        <f ca="1"/>
        <v>0</v>
      </c>
      <c r="P83" t="str">
        <f ca="1"/>
        <v>0</v>
      </c>
      <c r="Q83" t="str">
        <f ca="1"/>
        <v>23.0</v>
      </c>
      <c r="R83" t="str">
        <f ca="1"/>
        <v>kg/m²</v>
      </c>
      <c r="S83" t="str">
        <f ca="1"/>
        <v>No</v>
      </c>
    </row>
    <row r="84" spans="1:19" x14ac:dyDescent="0.25">
      <c r="A84" t="str">
        <f ca="1"/>
        <v>Windows &amp; doors</v>
      </c>
      <c r="B84" t="str">
        <f ca="1"/>
        <v>Window - timber frame - generic</v>
      </c>
      <c r="C84" t="str">
        <f ca="1"/>
        <v>Represents a generic window or door as named in the material category. Includes key component materials. Square meter rate.</v>
      </c>
      <c r="D84" t="str">
        <f ca="1"/>
        <v>m²</v>
      </c>
      <c r="E84" t="str">
        <f ca="1"/>
        <v>Untiered</v>
      </c>
      <c r="F84">
        <f ca="1"/>
        <v>1</v>
      </c>
      <c r="G84" t="str">
        <f ca="1"/>
        <v>327</v>
      </c>
      <c r="H84" t="str">
        <f ca="1"/>
        <v>327</v>
      </c>
      <c r="I84" t="str">
        <f ca="1"/>
        <v>57.9</v>
      </c>
      <c r="J84" t="str">
        <f ca="1"/>
        <v>194</v>
      </c>
      <c r="K84" t="str">
        <f ca="1"/>
        <v>10.9</v>
      </c>
      <c r="L84" t="str">
        <f ca="1"/>
        <v>10.9</v>
      </c>
      <c r="M84" t="str">
        <f ca="1"/>
        <v>1.93</v>
      </c>
      <c r="N84" t="str">
        <f ca="1"/>
        <v>6.45</v>
      </c>
      <c r="O84" t="str">
        <f ca="1"/>
        <v>5.99</v>
      </c>
      <c r="P84" t="str">
        <f ca="1"/>
        <v>0.199</v>
      </c>
      <c r="Q84" t="str">
        <f ca="1"/>
        <v>30.1</v>
      </c>
      <c r="R84" t="str">
        <f ca="1"/>
        <v>kg/m²</v>
      </c>
      <c r="S84" t="str">
        <f ca="1"/>
        <v>No</v>
      </c>
    </row>
    <row r="85" spans="1:19" x14ac:dyDescent="0.25">
      <c r="A85" t="str">
        <f ca="1"/>
        <v>Windows &amp; doors</v>
      </c>
      <c r="B85" t="str">
        <f ca="1"/>
        <v>Door - timber with glazing - generic</v>
      </c>
      <c r="C85" t="str">
        <f ca="1"/>
        <v>Represents a generic window or door as named in the material category. Includes key component materials. Square meter rate.</v>
      </c>
      <c r="D85" t="str">
        <f ca="1"/>
        <v>m²</v>
      </c>
      <c r="E85" t="str">
        <f ca="1"/>
        <v>Untiered</v>
      </c>
      <c r="F85">
        <f ca="1"/>
        <v>1</v>
      </c>
      <c r="G85" t="str">
        <f ca="1"/>
        <v>78.4</v>
      </c>
      <c r="H85" t="str">
        <f ca="1"/>
        <v>78.4</v>
      </c>
      <c r="I85" t="str">
        <f ca="1"/>
        <v>35.0</v>
      </c>
      <c r="J85" t="str">
        <f ca="1"/>
        <v>54.5</v>
      </c>
      <c r="K85" t="str">
        <f ca="1"/>
        <v>1.85</v>
      </c>
      <c r="L85" t="str">
        <f ca="1"/>
        <v>1.85</v>
      </c>
      <c r="M85" t="str">
        <f ca="1"/>
        <v>0.825</v>
      </c>
      <c r="N85" t="str">
        <f ca="1"/>
        <v>1.28</v>
      </c>
      <c r="O85" t="str">
        <f ca="1"/>
        <v>27.4</v>
      </c>
      <c r="P85" t="str">
        <f ca="1"/>
        <v>0.646</v>
      </c>
      <c r="Q85" t="str">
        <f ca="1"/>
        <v>42.4</v>
      </c>
      <c r="R85" t="str">
        <f ca="1"/>
        <v>kg/m²</v>
      </c>
      <c r="S85" t="str">
        <f ca="1"/>
        <v>No</v>
      </c>
    </row>
    <row r="86" spans="1:19" x14ac:dyDescent="0.25">
      <c r="A86" t="str">
        <f ca="1"/>
        <v>Windows &amp; doors</v>
      </c>
      <c r="B86" t="str">
        <f ca="1"/>
        <v>Door - steel with glazing - generic</v>
      </c>
      <c r="C86" t="str">
        <f ca="1"/>
        <v>Represents a generic window or door as named in the material category. Includes key component materials. Square meter rate.</v>
      </c>
      <c r="D86" t="str">
        <f ca="1"/>
        <v>m²</v>
      </c>
      <c r="E86" t="str">
        <f ca="1"/>
        <v>Untiered</v>
      </c>
      <c r="F86">
        <f ca="1"/>
        <v>1</v>
      </c>
      <c r="G86" t="str">
        <f ca="1"/>
        <v>190</v>
      </c>
      <c r="H86" t="str">
        <f ca="1"/>
        <v>190</v>
      </c>
      <c r="I86" t="str">
        <f ca="1"/>
        <v>116</v>
      </c>
      <c r="J86" t="str">
        <f ca="1"/>
        <v>138</v>
      </c>
      <c r="K86" t="str">
        <f ca="1"/>
        <v>3.67</v>
      </c>
      <c r="L86" t="str">
        <f ca="1"/>
        <v>3.67</v>
      </c>
      <c r="M86" t="str">
        <f ca="1"/>
        <v>2.24</v>
      </c>
      <c r="N86" t="str">
        <f ca="1"/>
        <v>2.67</v>
      </c>
      <c r="O86" t="str">
        <f ca="1"/>
        <v>0</v>
      </c>
      <c r="P86" t="str">
        <f ca="1"/>
        <v>0</v>
      </c>
      <c r="Q86" t="str">
        <f ca="1"/>
        <v>51.7</v>
      </c>
      <c r="R86" t="str">
        <f ca="1"/>
        <v>kg/m²</v>
      </c>
      <c r="S86" t="str">
        <f ca="1"/>
        <v>No</v>
      </c>
    </row>
    <row r="87" spans="1:19" x14ac:dyDescent="0.25">
      <c r="A87" t="str">
        <f ca="1"/>
        <v>Windows &amp; doors</v>
      </c>
      <c r="B87" t="str">
        <f ca="1"/>
        <v>Door - fully glazed - minor aluminium frame - generic</v>
      </c>
      <c r="C87" t="str">
        <f ca="1"/>
        <v>Represents a generic window or door as named in the material category. Includes key component materials. Square meter rate.</v>
      </c>
      <c r="D87" t="str">
        <f ca="1"/>
        <v>m²</v>
      </c>
      <c r="E87" t="str">
        <f ca="1"/>
        <v>Untiered</v>
      </c>
      <c r="F87">
        <f ca="1"/>
        <v>1</v>
      </c>
      <c r="G87" t="str">
        <f ca="1"/>
        <v>322</v>
      </c>
      <c r="H87" t="str">
        <f ca="1"/>
        <v>322</v>
      </c>
      <c r="I87" t="str">
        <f ca="1"/>
        <v>76.4</v>
      </c>
      <c r="J87" t="str">
        <f ca="1"/>
        <v>199</v>
      </c>
      <c r="K87" t="str">
        <f ca="1"/>
        <v>7.32</v>
      </c>
      <c r="L87" t="str">
        <f ca="1"/>
        <v>7.32</v>
      </c>
      <c r="M87" t="str">
        <f ca="1"/>
        <v>1.74</v>
      </c>
      <c r="N87" t="str">
        <f ca="1"/>
        <v>4.53</v>
      </c>
      <c r="O87" t="str">
        <f ca="1"/>
        <v>0</v>
      </c>
      <c r="P87" t="str">
        <f ca="1"/>
        <v>0</v>
      </c>
      <c r="Q87" t="str">
        <f ca="1"/>
        <v>44.0</v>
      </c>
      <c r="R87" t="str">
        <f ca="1"/>
        <v>kg/m²</v>
      </c>
      <c r="S87" t="str">
        <f ca="1"/>
        <v>No</v>
      </c>
    </row>
    <row r="88" spans="1:19" x14ac:dyDescent="0.25">
      <c r="A88" t="str">
        <f ca="1"/>
        <v>Windows &amp; doors</v>
      </c>
      <c r="B88" t="str">
        <f ca="1"/>
        <v>Door - aluminium with glazing - generic</v>
      </c>
      <c r="C88" t="str">
        <f ca="1"/>
        <v>Represents a generic window or door as named in the material category. Includes key component materials. Square meter rate.</v>
      </c>
      <c r="D88" t="str">
        <f ca="1"/>
        <v>m²</v>
      </c>
      <c r="E88" t="str">
        <f ca="1"/>
        <v>Untiered</v>
      </c>
      <c r="F88">
        <f ca="1"/>
        <v>1</v>
      </c>
      <c r="G88" t="str">
        <f ca="1"/>
        <v>415</v>
      </c>
      <c r="H88" t="str">
        <f ca="1"/>
        <v>415</v>
      </c>
      <c r="I88" t="str">
        <f ca="1"/>
        <v>68.2</v>
      </c>
      <c r="J88" t="str">
        <f ca="1"/>
        <v>245</v>
      </c>
      <c r="K88" t="str">
        <f ca="1"/>
        <v>14.3</v>
      </c>
      <c r="L88" t="str">
        <f ca="1"/>
        <v>14.3</v>
      </c>
      <c r="M88" t="str">
        <f ca="1"/>
        <v>2.34</v>
      </c>
      <c r="N88" t="str">
        <f ca="1"/>
        <v>8.41</v>
      </c>
      <c r="O88" t="str">
        <f ca="1"/>
        <v>0</v>
      </c>
      <c r="P88" t="str">
        <f ca="1"/>
        <v>0</v>
      </c>
      <c r="Q88" t="str">
        <f ca="1"/>
        <v>29.1</v>
      </c>
      <c r="R88" t="str">
        <f ca="1"/>
        <v>kg/m²</v>
      </c>
      <c r="S88" t="str">
        <f ca="1"/>
        <v>No</v>
      </c>
    </row>
    <row r="89" spans="1:19" x14ac:dyDescent="0.25">
      <c r="A89" t="str">
        <f ca="1"/>
        <v>Windows &amp; doors</v>
      </c>
      <c r="B89" t="str">
        <f ca="1"/>
        <v>Door - timber solid - generic</v>
      </c>
      <c r="C89" t="str">
        <f ca="1"/>
        <v>Represents a generic window or door as named in the material category. Includes key component materials. Square meter rate.</v>
      </c>
      <c r="D89" t="str">
        <f ca="1"/>
        <v>m²</v>
      </c>
      <c r="E89" t="str">
        <f ca="1"/>
        <v>Untiered</v>
      </c>
      <c r="F89">
        <f ca="1"/>
        <v>1</v>
      </c>
      <c r="G89" t="str">
        <f ca="1"/>
        <v>117</v>
      </c>
      <c r="H89" t="str">
        <f ca="1"/>
        <v>117</v>
      </c>
      <c r="I89" t="str">
        <f ca="1"/>
        <v>62.3</v>
      </c>
      <c r="J89" t="str">
        <f ca="1"/>
        <v>82.8</v>
      </c>
      <c r="K89" t="str">
        <f ca="1"/>
        <v>1.89</v>
      </c>
      <c r="L89" t="str">
        <f ca="1"/>
        <v>1.89</v>
      </c>
      <c r="M89" t="str">
        <f ca="1"/>
        <v>1.00</v>
      </c>
      <c r="N89" t="str">
        <f ca="1"/>
        <v>1.34</v>
      </c>
      <c r="O89" t="str">
        <f ca="1"/>
        <v>68.8</v>
      </c>
      <c r="P89" t="str">
        <f ca="1"/>
        <v>1.11</v>
      </c>
      <c r="Q89" t="str">
        <f ca="1"/>
        <v>62.0</v>
      </c>
      <c r="R89" t="str">
        <f ca="1"/>
        <v>kg/m²</v>
      </c>
      <c r="S89" t="str">
        <f ca="1"/>
        <v>No</v>
      </c>
    </row>
    <row r="90" spans="1:19" x14ac:dyDescent="0.25">
      <c r="A90" t="str">
        <f ca="1"/>
        <v>Windows &amp; doors</v>
      </c>
      <c r="B90" t="str">
        <f ca="1"/>
        <v>Door - steel solid - generic</v>
      </c>
      <c r="C90" t="str">
        <f ca="1"/>
        <v>Represents a generic window or door as named in the material category. Includes key component materials. Square meter rate.</v>
      </c>
      <c r="D90" t="str">
        <f ca="1"/>
        <v>m²</v>
      </c>
      <c r="E90" t="str">
        <f ca="1"/>
        <v>Untiered</v>
      </c>
      <c r="F90">
        <f ca="1"/>
        <v>1</v>
      </c>
      <c r="G90" t="str">
        <f ca="1"/>
        <v>399</v>
      </c>
      <c r="H90" t="str">
        <f ca="1"/>
        <v>399</v>
      </c>
      <c r="I90" t="str">
        <f ca="1"/>
        <v>271</v>
      </c>
      <c r="J90" t="str">
        <f ca="1"/>
        <v>299</v>
      </c>
      <c r="K90" t="str">
        <f ca="1"/>
        <v>4.07</v>
      </c>
      <c r="L90" t="str">
        <f ca="1"/>
        <v>4.07</v>
      </c>
      <c r="M90" t="str">
        <f ca="1"/>
        <v>2.76</v>
      </c>
      <c r="N90" t="str">
        <f ca="1"/>
        <v>3.05</v>
      </c>
      <c r="O90" t="str">
        <f ca="1"/>
        <v>0</v>
      </c>
      <c r="P90" t="str">
        <f ca="1"/>
        <v>0</v>
      </c>
      <c r="Q90" t="str">
        <f ca="1"/>
        <v>98.0</v>
      </c>
      <c r="R90" t="str">
        <f ca="1"/>
        <v>kg/m²</v>
      </c>
      <c r="S90" t="str">
        <f ca="1"/>
        <v>No</v>
      </c>
    </row>
    <row r="91" spans="1:19" x14ac:dyDescent="0.25">
      <c r="A91" t="str">
        <f ca="1"/>
        <v>Windows &amp; doors</v>
      </c>
      <c r="B91" t="str">
        <f ca="1"/>
        <v>Revolving door - glass, aluminium, steel - generic</v>
      </c>
      <c r="C91" t="str">
        <f ca="1"/>
        <v>Represents a generic window or door as named in the material category. Includes key component materials. Square meter rate.</v>
      </c>
      <c r="D91" t="str">
        <f ca="1"/>
        <v>m²</v>
      </c>
      <c r="E91" t="str">
        <f ca="1"/>
        <v>Untiered</v>
      </c>
      <c r="F91">
        <f ca="1"/>
        <v>1</v>
      </c>
      <c r="G91" t="str">
        <f ca="1"/>
        <v>1,670</v>
      </c>
      <c r="H91" t="str">
        <f ca="1"/>
        <v>1,670</v>
      </c>
      <c r="I91" t="str">
        <f ca="1"/>
        <v>360</v>
      </c>
      <c r="J91" t="str">
        <f ca="1"/>
        <v>1,010</v>
      </c>
      <c r="K91" t="str">
        <f ca="1"/>
        <v>10.2</v>
      </c>
      <c r="L91" t="str">
        <f ca="1"/>
        <v>10.2</v>
      </c>
      <c r="M91" t="str">
        <f ca="1"/>
        <v>2.20</v>
      </c>
      <c r="N91" t="str">
        <f ca="1"/>
        <v>6.19</v>
      </c>
      <c r="O91" t="str">
        <f ca="1"/>
        <v>26.3</v>
      </c>
      <c r="P91" t="str">
        <f ca="1"/>
        <v>0.160</v>
      </c>
      <c r="Q91" t="str">
        <f ca="1"/>
        <v>164</v>
      </c>
      <c r="R91" t="str">
        <f ca="1"/>
        <v>kg/m²</v>
      </c>
      <c r="S91" t="str">
        <f ca="1"/>
        <v>No</v>
      </c>
    </row>
    <row r="92" spans="1:19" x14ac:dyDescent="0.25">
      <c r="A92" t="str">
        <f ca="1"/>
        <v>Ceilings &amp; walls</v>
      </c>
      <c r="B92" t="str">
        <f ca="1"/>
        <v>Wall system steel frame - 1 side plasterboard (92mm stud)</v>
      </c>
      <c r="C92" t="str">
        <f ca="1"/>
        <v>Represents a generic wall or ceiling system as named in the material category. Includes framing and sheeting.</v>
      </c>
      <c r="D92" t="str">
        <f ca="1"/>
        <v>m²</v>
      </c>
      <c r="E92" t="str">
        <f ca="1"/>
        <v>Untiered</v>
      </c>
      <c r="F92">
        <f ca="1"/>
        <v>1</v>
      </c>
      <c r="G92" t="str">
        <f ca="1"/>
        <v>15.0</v>
      </c>
      <c r="H92" t="str">
        <f ca="1"/>
        <v>15.0</v>
      </c>
      <c r="I92" t="str">
        <f ca="1"/>
        <v>8.31</v>
      </c>
      <c r="J92" t="str">
        <f ca="1"/>
        <v>10.6</v>
      </c>
      <c r="K92" t="str">
        <f ca="1"/>
        <v>1.02</v>
      </c>
      <c r="L92" t="str">
        <f ca="1"/>
        <v>1.02</v>
      </c>
      <c r="M92" t="str">
        <f ca="1"/>
        <v>0.567</v>
      </c>
      <c r="N92" t="str">
        <f ca="1"/>
        <v>0.720</v>
      </c>
      <c r="O92" t="str">
        <f ca="1"/>
        <v>0.496</v>
      </c>
      <c r="P92" t="str">
        <f ca="1"/>
        <v>0.0338</v>
      </c>
      <c r="Q92" t="str">
        <f ca="1"/>
        <v>14.7</v>
      </c>
      <c r="R92" t="str">
        <f ca="1"/>
        <v>kg/m²</v>
      </c>
      <c r="S92" t="str">
        <f ca="1"/>
        <v>No</v>
      </c>
    </row>
    <row r="93" spans="1:19" x14ac:dyDescent="0.25">
      <c r="A93" t="str">
        <f ca="1"/>
        <v>Ceilings &amp; walls</v>
      </c>
      <c r="B93" t="str">
        <f ca="1"/>
        <v>Wall system steel frame - 2 sides plasterboard (92mm stud)</v>
      </c>
      <c r="C93" t="str">
        <f ca="1"/>
        <v>Represents a generic wall or ceiling system as named in the material category. Includes framing and sheeting.</v>
      </c>
      <c r="D93" t="str">
        <f ca="1"/>
        <v>m²</v>
      </c>
      <c r="E93" t="str">
        <f ca="1"/>
        <v>Untiered</v>
      </c>
      <c r="F93">
        <f ca="1"/>
        <v>1</v>
      </c>
      <c r="G93" t="str">
        <f ca="1"/>
        <v>20.8</v>
      </c>
      <c r="H93" t="str">
        <f ca="1"/>
        <v>20.8</v>
      </c>
      <c r="I93" t="str">
        <f ca="1"/>
        <v>10.5</v>
      </c>
      <c r="J93" t="str">
        <f ca="1"/>
        <v>14.3</v>
      </c>
      <c r="K93" t="str">
        <f ca="1"/>
        <v>0.770</v>
      </c>
      <c r="L93" t="str">
        <f ca="1"/>
        <v>0.770</v>
      </c>
      <c r="M93" t="str">
        <f ca="1"/>
        <v>0.387</v>
      </c>
      <c r="N93" t="str">
        <f ca="1"/>
        <v>0.530</v>
      </c>
      <c r="O93" t="str">
        <f ca="1"/>
        <v>0.991</v>
      </c>
      <c r="P93" t="str">
        <f ca="1"/>
        <v>0.0366</v>
      </c>
      <c r="Q93" t="str">
        <f ca="1"/>
        <v>27.1</v>
      </c>
      <c r="R93" t="str">
        <f ca="1"/>
        <v>kg/m²</v>
      </c>
      <c r="S93" t="str">
        <f ca="1"/>
        <v>No</v>
      </c>
    </row>
    <row r="94" spans="1:19" x14ac:dyDescent="0.25">
      <c r="A94" t="str">
        <f ca="1"/>
        <v>Ceilings &amp; walls</v>
      </c>
      <c r="B94" t="str">
        <f ca="1"/>
        <v>Wall system steel frame - 2 sides plasterboard (150 mm stud)</v>
      </c>
      <c r="C94" t="str">
        <f ca="1"/>
        <v>Represents a generic wall or ceiling system as named in the material category. Includes framing and sheeting.</v>
      </c>
      <c r="D94" t="str">
        <f ca="1"/>
        <v>m²</v>
      </c>
      <c r="E94" t="str">
        <f ca="1"/>
        <v>Untiered</v>
      </c>
      <c r="F94">
        <f ca="1"/>
        <v>1</v>
      </c>
      <c r="G94" t="str">
        <f ca="1"/>
        <v>26.6</v>
      </c>
      <c r="H94" t="str">
        <f ca="1"/>
        <v>26.6</v>
      </c>
      <c r="I94" t="str">
        <f ca="1"/>
        <v>14.3</v>
      </c>
      <c r="J94" t="str">
        <f ca="1"/>
        <v>18.6</v>
      </c>
      <c r="K94" t="str">
        <f ca="1"/>
        <v>0.934</v>
      </c>
      <c r="L94" t="str">
        <f ca="1"/>
        <v>0.934</v>
      </c>
      <c r="M94" t="str">
        <f ca="1"/>
        <v>0.504</v>
      </c>
      <c r="N94" t="str">
        <f ca="1"/>
        <v>0.654</v>
      </c>
      <c r="O94" t="str">
        <f ca="1"/>
        <v>0.991</v>
      </c>
      <c r="P94" t="str">
        <f ca="1"/>
        <v>0.0348</v>
      </c>
      <c r="Q94" t="str">
        <f ca="1"/>
        <v>28.5</v>
      </c>
      <c r="R94" t="str">
        <f ca="1"/>
        <v>kg/m²</v>
      </c>
      <c r="S94" t="str">
        <f ca="1"/>
        <v>No</v>
      </c>
    </row>
    <row r="95" spans="1:19" x14ac:dyDescent="0.25">
      <c r="A95" t="str">
        <f ca="1"/>
        <v>Ceilings &amp; walls</v>
      </c>
      <c r="B95" t="str">
        <f ca="1"/>
        <v>Wall system steel frame - 1 side plasterboard (150 mm stud)</v>
      </c>
      <c r="C95" t="str">
        <f ca="1"/>
        <v>Represents a generic wall or ceiling system as named in the material category. Includes framing and sheeting.</v>
      </c>
      <c r="D95" t="str">
        <f ca="1"/>
        <v>m²</v>
      </c>
      <c r="E95" t="str">
        <f ca="1"/>
        <v>Untiered</v>
      </c>
      <c r="F95">
        <f ca="1"/>
        <v>1</v>
      </c>
      <c r="G95" t="str">
        <f ca="1"/>
        <v>20.7</v>
      </c>
      <c r="H95" t="str">
        <f ca="1"/>
        <v>20.7</v>
      </c>
      <c r="I95" t="str">
        <f ca="1"/>
        <v>12.2</v>
      </c>
      <c r="J95" t="str">
        <f ca="1"/>
        <v>14.8</v>
      </c>
      <c r="K95" t="str">
        <f ca="1"/>
        <v>1.29</v>
      </c>
      <c r="L95" t="str">
        <f ca="1"/>
        <v>1.29</v>
      </c>
      <c r="M95" t="str">
        <f ca="1"/>
        <v>0.758</v>
      </c>
      <c r="N95" t="str">
        <f ca="1"/>
        <v>0.923</v>
      </c>
      <c r="O95" t="str">
        <f ca="1"/>
        <v>0.496</v>
      </c>
      <c r="P95" t="str">
        <f ca="1"/>
        <v>0.0308</v>
      </c>
      <c r="Q95" t="str">
        <f ca="1"/>
        <v>16.1</v>
      </c>
      <c r="R95" t="str">
        <f ca="1"/>
        <v>kg/m²</v>
      </c>
      <c r="S95" t="str">
        <f ca="1"/>
        <v>No</v>
      </c>
    </row>
    <row r="96" spans="1:19" x14ac:dyDescent="0.25">
      <c r="A96" t="str">
        <f ca="1"/>
        <v>Ceilings &amp; walls</v>
      </c>
      <c r="B96" t="str">
        <f ca="1"/>
        <v xml:space="preserve">Wall system timber frame - 2 sides plasterboard </v>
      </c>
      <c r="C96" t="str">
        <f ca="1"/>
        <v>Represents a generic wall or ceiling system as named in the material category. Includes framing and sheeting.</v>
      </c>
      <c r="D96" t="str">
        <f ca="1"/>
        <v>m²</v>
      </c>
      <c r="E96" t="str">
        <f ca="1"/>
        <v>Untiered</v>
      </c>
      <c r="F96">
        <f ca="1"/>
        <v>1</v>
      </c>
      <c r="G96" t="str">
        <f ca="1"/>
        <v>15.0</v>
      </c>
      <c r="H96" t="str">
        <f ca="1"/>
        <v>15.0</v>
      </c>
      <c r="I96" t="str">
        <f ca="1"/>
        <v>5.40</v>
      </c>
      <c r="J96" t="str">
        <f ca="1"/>
        <v>9.44</v>
      </c>
      <c r="K96" t="str">
        <f ca="1"/>
        <v>0.500</v>
      </c>
      <c r="L96" t="str">
        <f ca="1"/>
        <v>0.500</v>
      </c>
      <c r="M96" t="str">
        <f ca="1"/>
        <v>0.180</v>
      </c>
      <c r="N96" t="str">
        <f ca="1"/>
        <v>0.315</v>
      </c>
      <c r="O96" t="str">
        <f ca="1"/>
        <v>9.43</v>
      </c>
      <c r="P96" t="str">
        <f ca="1"/>
        <v>0.315</v>
      </c>
      <c r="Q96" t="str">
        <f ca="1"/>
        <v>30.0</v>
      </c>
      <c r="R96" t="str">
        <f ca="1"/>
        <v>kg/m²</v>
      </c>
      <c r="S96" t="str">
        <f ca="1"/>
        <v>No</v>
      </c>
    </row>
    <row r="97" spans="1:19" x14ac:dyDescent="0.25">
      <c r="A97" t="str">
        <f ca="1"/>
        <v>Ceilings &amp; walls</v>
      </c>
      <c r="B97" t="str">
        <f ca="1"/>
        <v xml:space="preserve">Wall system timber frame - 1 side plasterboard </v>
      </c>
      <c r="C97" t="str">
        <f ca="1"/>
        <v>Represents a generic wall or ceiling system as named in the material category. Includes framing and sheeting.</v>
      </c>
      <c r="D97" t="str">
        <f ca="1"/>
        <v>m²</v>
      </c>
      <c r="E97" t="str">
        <f ca="1"/>
        <v>Untiered</v>
      </c>
      <c r="F97">
        <f ca="1"/>
        <v>1</v>
      </c>
      <c r="G97" t="str">
        <f ca="1"/>
        <v>9.12</v>
      </c>
      <c r="H97" t="str">
        <f ca="1"/>
        <v>9.12</v>
      </c>
      <c r="I97" t="str">
        <f ca="1"/>
        <v>3.23</v>
      </c>
      <c r="J97" t="str">
        <f ca="1"/>
        <v>5.66</v>
      </c>
      <c r="K97" t="str">
        <f ca="1"/>
        <v>0.520</v>
      </c>
      <c r="L97" t="str">
        <f ca="1"/>
        <v>0.520</v>
      </c>
      <c r="M97" t="str">
        <f ca="1"/>
        <v>0.184</v>
      </c>
      <c r="N97" t="str">
        <f ca="1"/>
        <v>0.322</v>
      </c>
      <c r="O97" t="str">
        <f ca="1"/>
        <v>8.94</v>
      </c>
      <c r="P97" t="str">
        <f ca="1"/>
        <v>0.509</v>
      </c>
      <c r="Q97" t="str">
        <f ca="1"/>
        <v>17.6</v>
      </c>
      <c r="R97" t="str">
        <f ca="1"/>
        <v>kg/m²</v>
      </c>
      <c r="S97" t="str">
        <f ca="1"/>
        <v>No</v>
      </c>
    </row>
    <row r="98" spans="1:19" x14ac:dyDescent="0.25">
      <c r="A98" t="str">
        <f ca="1"/>
        <v>Ceilings &amp; walls</v>
      </c>
      <c r="B98" t="str">
        <f ca="1"/>
        <v xml:space="preserve">AAC and steel based system - generic </v>
      </c>
      <c r="C98" t="str">
        <f ca="1"/>
        <v>Represents a generic wall or ceiling system as named in the material category. Includes framing and sheeting.</v>
      </c>
      <c r="D98" t="str">
        <f ca="1"/>
        <v>m²</v>
      </c>
      <c r="E98" t="str">
        <f ca="1"/>
        <v>Untiered</v>
      </c>
      <c r="F98">
        <f ca="1"/>
        <v>1</v>
      </c>
      <c r="G98" t="str">
        <f ca="1"/>
        <v>63.4</v>
      </c>
      <c r="H98" t="str">
        <f ca="1"/>
        <v>63.4</v>
      </c>
      <c r="I98" t="str">
        <f ca="1"/>
        <v>39.2</v>
      </c>
      <c r="J98" t="str">
        <f ca="1"/>
        <v>45.6</v>
      </c>
      <c r="K98" t="str">
        <f ca="1"/>
        <v>0.966</v>
      </c>
      <c r="L98" t="str">
        <f ca="1"/>
        <v>0.966</v>
      </c>
      <c r="M98" t="str">
        <f ca="1"/>
        <v>0.597</v>
      </c>
      <c r="N98" t="str">
        <f ca="1"/>
        <v>0.695</v>
      </c>
      <c r="O98" t="str">
        <f ca="1"/>
        <v>0</v>
      </c>
      <c r="P98" t="str">
        <f ca="1"/>
        <v>0</v>
      </c>
      <c r="Q98" t="str">
        <f ca="1"/>
        <v>65.6</v>
      </c>
      <c r="R98" t="str">
        <f ca="1"/>
        <v>kg/m²</v>
      </c>
      <c r="S98" t="str">
        <f ca="1"/>
        <v>No</v>
      </c>
    </row>
    <row r="99" spans="1:19" x14ac:dyDescent="0.25">
      <c r="A99" t="str">
        <f ca="1"/>
        <v>Ceilings &amp; walls</v>
      </c>
      <c r="B99" t="str">
        <f ca="1"/>
        <v>Ceiling system steel frame suspended (plasterboard)</v>
      </c>
      <c r="C99" t="str">
        <f ca="1"/>
        <v>Represents a generic wall or ceiling system as named in the material category. Includes framing and sheeting.</v>
      </c>
      <c r="D99" t="str">
        <f ca="1"/>
        <v>m²</v>
      </c>
      <c r="E99" t="str">
        <f ca="1"/>
        <v>Untiered</v>
      </c>
      <c r="F99">
        <f ca="1"/>
        <v>1</v>
      </c>
      <c r="G99" t="str">
        <f ca="1"/>
        <v>10.7</v>
      </c>
      <c r="H99" t="str">
        <f ca="1"/>
        <v>10.7</v>
      </c>
      <c r="I99" t="str">
        <f ca="1"/>
        <v>5.44</v>
      </c>
      <c r="J99" t="str">
        <f ca="1"/>
        <v>7.39</v>
      </c>
      <c r="K99" t="str">
        <f ca="1"/>
        <v>0.788</v>
      </c>
      <c r="L99" t="str">
        <f ca="1"/>
        <v>0.788</v>
      </c>
      <c r="M99" t="str">
        <f ca="1"/>
        <v>0.400</v>
      </c>
      <c r="N99" t="str">
        <f ca="1"/>
        <v>0.543</v>
      </c>
      <c r="O99" t="str">
        <f ca="1"/>
        <v>0.496</v>
      </c>
      <c r="P99" t="str">
        <f ca="1"/>
        <v>0.0364</v>
      </c>
      <c r="Q99" t="str">
        <f ca="1"/>
        <v>13.6</v>
      </c>
      <c r="R99" t="str">
        <f ca="1"/>
        <v>kg/m²</v>
      </c>
      <c r="S99" t="str">
        <f ca="1"/>
        <v>No</v>
      </c>
    </row>
    <row r="100" spans="1:19" x14ac:dyDescent="0.25">
      <c r="A100" t="str">
        <f ca="1"/>
        <v>Ceilings &amp; walls</v>
      </c>
      <c r="B100" t="str">
        <f ca="1"/>
        <v>Ceiling system steel frame suspended (fibre cement)</v>
      </c>
      <c r="C100" t="str">
        <f ca="1"/>
        <v>Represents a generic wall or ceiling system as named in the material category. Includes framing and sheeting.</v>
      </c>
      <c r="D100" t="str">
        <f ca="1"/>
        <v>m²</v>
      </c>
      <c r="E100" t="str">
        <f ca="1"/>
        <v>Untiered</v>
      </c>
      <c r="F100">
        <f ca="1"/>
        <v>1</v>
      </c>
      <c r="G100" t="str">
        <f ca="1"/>
        <v>19.9</v>
      </c>
      <c r="H100" t="str">
        <f ca="1"/>
        <v>19.9</v>
      </c>
      <c r="I100" t="str">
        <f ca="1"/>
        <v>6.59</v>
      </c>
      <c r="J100" t="str">
        <f ca="1"/>
        <v>13.1</v>
      </c>
      <c r="K100" t="str">
        <f ca="1"/>
        <v>1.66</v>
      </c>
      <c r="L100" t="str">
        <f ca="1"/>
        <v>1.66</v>
      </c>
      <c r="M100" t="str">
        <f ca="1"/>
        <v>0.549</v>
      </c>
      <c r="N100" t="str">
        <f ca="1"/>
        <v>1.10</v>
      </c>
      <c r="O100" t="str">
        <f ca="1"/>
        <v>0.0234</v>
      </c>
      <c r="P100" t="str">
        <f ca="1"/>
        <v>0.00195</v>
      </c>
      <c r="Q100" t="str">
        <f ca="1"/>
        <v>12.0</v>
      </c>
      <c r="R100" t="str">
        <f ca="1"/>
        <v>kg/m²</v>
      </c>
      <c r="S100" t="str">
        <f ca="1"/>
        <v>No</v>
      </c>
    </row>
    <row r="101" spans="1:19" x14ac:dyDescent="0.25">
      <c r="A101" t="str">
        <f ca="1"/>
        <v>Ceilings &amp; walls</v>
      </c>
      <c r="B101" t="str">
        <f ca="1"/>
        <v>Ceiling system steel frame suspended (mineral tile)</v>
      </c>
      <c r="C101" t="str">
        <f ca="1"/>
        <v>Represents a generic wall or ceiling system as named in the material category. Includes framing and sheeting.</v>
      </c>
      <c r="D101" t="str">
        <f ca="1"/>
        <v>m²</v>
      </c>
      <c r="E101" t="str">
        <f ca="1"/>
        <v>Untiered</v>
      </c>
      <c r="F101">
        <f ca="1"/>
        <v>1</v>
      </c>
      <c r="G101" t="str">
        <f ca="1"/>
        <v>12.2</v>
      </c>
      <c r="H101" t="str">
        <f ca="1"/>
        <v>12.2</v>
      </c>
      <c r="I101" t="str">
        <f ca="1"/>
        <v>4.20</v>
      </c>
      <c r="J101" t="str">
        <f ca="1"/>
        <v>8.08</v>
      </c>
      <c r="K101" t="str">
        <f ca="1"/>
        <v>1.94</v>
      </c>
      <c r="L101" t="str">
        <f ca="1"/>
        <v>1.94</v>
      </c>
      <c r="M101" t="str">
        <f ca="1"/>
        <v>0.666</v>
      </c>
      <c r="N101" t="str">
        <f ca="1"/>
        <v>1.28</v>
      </c>
      <c r="O101" t="str">
        <f ca="1"/>
        <v>0</v>
      </c>
      <c r="P101" t="str">
        <f ca="1"/>
        <v>0</v>
      </c>
      <c r="Q101" t="str">
        <f ca="1"/>
        <v>6.30</v>
      </c>
      <c r="R101" t="str">
        <f ca="1"/>
        <v>kg/m²</v>
      </c>
      <c r="S101" t="str">
        <f ca="1"/>
        <v>No</v>
      </c>
    </row>
    <row r="102" spans="1:19" x14ac:dyDescent="0.25">
      <c r="A102" t="str">
        <f ca="1"/>
        <v>Ceilings &amp; walls</v>
      </c>
      <c r="B102" t="str">
        <f ca="1"/>
        <v>Ceiling system aluminum frame suspended (powder coated aluminium)</v>
      </c>
      <c r="C102" t="str">
        <f ca="1"/>
        <v>Represents a generic wall or ceiling system as named in the material category. Includes framing and sheeting.</v>
      </c>
      <c r="D102" t="str">
        <f ca="1"/>
        <v>m²</v>
      </c>
      <c r="E102" t="str">
        <f ca="1"/>
        <v>Untiered</v>
      </c>
      <c r="F102">
        <f ca="1"/>
        <v>1</v>
      </c>
      <c r="G102" t="str">
        <f ca="1"/>
        <v>259</v>
      </c>
      <c r="H102" t="str">
        <f ca="1"/>
        <v>259</v>
      </c>
      <c r="I102" t="str">
        <f ca="1"/>
        <v>41.7</v>
      </c>
      <c r="J102" t="str">
        <f ca="1"/>
        <v>148</v>
      </c>
      <c r="K102" t="str">
        <f ca="1"/>
        <v>32.0</v>
      </c>
      <c r="L102" t="str">
        <f ca="1"/>
        <v>32.0</v>
      </c>
      <c r="M102" t="str">
        <f ca="1"/>
        <v>5.15</v>
      </c>
      <c r="N102" t="str">
        <f ca="1"/>
        <v>18.2</v>
      </c>
      <c r="O102" t="str">
        <f ca="1"/>
        <v>0</v>
      </c>
      <c r="P102" t="str">
        <f ca="1"/>
        <v>0</v>
      </c>
      <c r="Q102" t="str">
        <f ca="1"/>
        <v>8.10</v>
      </c>
      <c r="R102" t="str">
        <f ca="1"/>
        <v>kg/m²</v>
      </c>
      <c r="S102" t="str">
        <f ca="1"/>
        <v>No</v>
      </c>
    </row>
    <row r="103" spans="1:19" x14ac:dyDescent="0.25">
      <c r="A103" t="str">
        <f ca="1"/>
        <v>Curtain wall</v>
      </c>
      <c r="B103" t="str">
        <f ca="1"/>
        <v>Aluminium unitised type 1: 100% DGU 8T-16-44.2</v>
      </c>
      <c r="C103" t="str">
        <f ca="1"/>
        <v>Represents a generic curtain wall as named in the material category. Includes glass, framing, spandrel/cladding material in one square meter rate.</v>
      </c>
      <c r="D103" t="str">
        <f ca="1"/>
        <v>m²</v>
      </c>
      <c r="E103" t="str">
        <f ca="1"/>
        <v>Untiered</v>
      </c>
      <c r="F103">
        <f ca="1"/>
        <v>1</v>
      </c>
      <c r="G103" t="str">
        <f ca="1"/>
        <v>435</v>
      </c>
      <c r="H103" t="str">
        <f ca="1"/>
        <v>435</v>
      </c>
      <c r="I103" t="str">
        <f ca="1"/>
        <v>110</v>
      </c>
      <c r="J103" t="str">
        <f ca="1"/>
        <v>264</v>
      </c>
      <c r="K103" t="str">
        <f ca="1"/>
        <v>8.56</v>
      </c>
      <c r="L103" t="str">
        <f ca="1"/>
        <v>8.56</v>
      </c>
      <c r="M103" t="str">
        <f ca="1"/>
        <v>2.16</v>
      </c>
      <c r="N103" t="str">
        <f ca="1"/>
        <v>5.19</v>
      </c>
      <c r="O103" t="str">
        <f ca="1"/>
        <v>0</v>
      </c>
      <c r="P103" t="str">
        <f ca="1"/>
        <v>0</v>
      </c>
      <c r="Q103" t="str">
        <f ca="1"/>
        <v>50.8</v>
      </c>
      <c r="R103" t="str">
        <f ca="1"/>
        <v>kg/m²</v>
      </c>
      <c r="S103" t="str">
        <f ca="1"/>
        <v>No</v>
      </c>
    </row>
    <row r="104" spans="1:19" x14ac:dyDescent="0.25">
      <c r="A104" t="str">
        <f ca="1"/>
        <v>Curtain wall</v>
      </c>
      <c r="B104" t="str">
        <f ca="1"/>
        <v>Aluminium unitised type 2: aluminium cladding, 50% DGU 8T-16-44.2</v>
      </c>
      <c r="C104" t="str">
        <f ca="1"/>
        <v>Represents a generic curtain wall as named in the material category. Includes glass, framing, spandrel/cladding material in one square meter rate.</v>
      </c>
      <c r="D104" t="str">
        <f ca="1"/>
        <v>m²</v>
      </c>
      <c r="E104" t="str">
        <f ca="1"/>
        <v>Untiered</v>
      </c>
      <c r="F104">
        <f ca="1"/>
        <v>1</v>
      </c>
      <c r="G104" t="str">
        <f ca="1"/>
        <v>656</v>
      </c>
      <c r="H104" t="str">
        <f ca="1"/>
        <v>656</v>
      </c>
      <c r="I104" t="str">
        <f ca="1"/>
        <v>129</v>
      </c>
      <c r="J104" t="str">
        <f ca="1"/>
        <v>382</v>
      </c>
      <c r="K104" t="str">
        <f ca="1"/>
        <v>16.9</v>
      </c>
      <c r="L104" t="str">
        <f ca="1"/>
        <v>16.9</v>
      </c>
      <c r="M104" t="str">
        <f ca="1"/>
        <v>3.33</v>
      </c>
      <c r="N104" t="str">
        <f ca="1"/>
        <v>9.88</v>
      </c>
      <c r="O104" t="str">
        <f ca="1"/>
        <v>0</v>
      </c>
      <c r="P104" t="str">
        <f ca="1"/>
        <v>0</v>
      </c>
      <c r="Q104" t="str">
        <f ca="1"/>
        <v>38.7</v>
      </c>
      <c r="R104" t="str">
        <f ca="1"/>
        <v>kg/m²</v>
      </c>
      <c r="S104" t="str">
        <f ca="1"/>
        <v>No</v>
      </c>
    </row>
    <row r="105" spans="1:19" x14ac:dyDescent="0.25">
      <c r="A105" t="str">
        <f ca="1"/>
        <v>Curtain wall</v>
      </c>
      <c r="B105" t="str">
        <f ca="1"/>
        <v>Aluminium unitised type 3: aluminium cladding with vertical fins, 50% DGU 8T-16-44.2</v>
      </c>
      <c r="C105" t="str">
        <f ca="1"/>
        <v>Represents a generic curtain wall as named in the material category. Includes glass, framing, spandrel/cladding material in one square meter rate.</v>
      </c>
      <c r="D105" t="str">
        <f ca="1"/>
        <v>m²</v>
      </c>
      <c r="E105" t="str">
        <f ca="1"/>
        <v>Untiered</v>
      </c>
      <c r="F105">
        <f ca="1"/>
        <v>1</v>
      </c>
      <c r="G105" t="str">
        <f ca="1"/>
        <v>877</v>
      </c>
      <c r="H105" t="str">
        <f ca="1"/>
        <v>877</v>
      </c>
      <c r="I105" t="str">
        <f ca="1"/>
        <v>167</v>
      </c>
      <c r="J105" t="str">
        <f ca="1"/>
        <v>509</v>
      </c>
      <c r="K105" t="str">
        <f ca="1"/>
        <v>19.1</v>
      </c>
      <c r="L105" t="str">
        <f ca="1"/>
        <v>19.1</v>
      </c>
      <c r="M105" t="str">
        <f ca="1"/>
        <v>3.65</v>
      </c>
      <c r="N105" t="str">
        <f ca="1"/>
        <v>11.1</v>
      </c>
      <c r="O105" t="str">
        <f ca="1"/>
        <v>0</v>
      </c>
      <c r="P105" t="str">
        <f ca="1"/>
        <v>0</v>
      </c>
      <c r="Q105" t="str">
        <f ca="1"/>
        <v>45.8</v>
      </c>
      <c r="R105" t="str">
        <f ca="1"/>
        <v>kg/m²</v>
      </c>
      <c r="S105" t="str">
        <f ca="1"/>
        <v>No</v>
      </c>
    </row>
    <row r="106" spans="1:19" x14ac:dyDescent="0.25">
      <c r="A106" t="str">
        <f ca="1"/>
        <v>Curtain wall</v>
      </c>
      <c r="B106" t="str">
        <f ca="1"/>
        <v>Aluminium unitised type 4: aluminium cladding, 50% TGU 8T-16-6-16-44.2</v>
      </c>
      <c r="C106" t="str">
        <f ca="1"/>
        <v>Represents a generic curtain wall as named in the material category. Includes glass, framing, spandrel/cladding material in one square meter rate.</v>
      </c>
      <c r="D106" t="str">
        <f ca="1"/>
        <v>m²</v>
      </c>
      <c r="E106" t="str">
        <f ca="1"/>
        <v>Untiered</v>
      </c>
      <c r="F106">
        <f ca="1"/>
        <v>1</v>
      </c>
      <c r="G106" t="str">
        <f ca="1"/>
        <v>664</v>
      </c>
      <c r="H106" t="str">
        <f ca="1"/>
        <v>664</v>
      </c>
      <c r="I106" t="str">
        <f ca="1"/>
        <v>138</v>
      </c>
      <c r="J106" t="str">
        <f ca="1"/>
        <v>390</v>
      </c>
      <c r="K106" t="str">
        <f ca="1"/>
        <v>14.3</v>
      </c>
      <c r="L106" t="str">
        <f ca="1"/>
        <v>14.3</v>
      </c>
      <c r="M106" t="str">
        <f ca="1"/>
        <v>2.97</v>
      </c>
      <c r="N106" t="str">
        <f ca="1"/>
        <v>8.40</v>
      </c>
      <c r="O106" t="str">
        <f ca="1"/>
        <v>0</v>
      </c>
      <c r="P106" t="str">
        <f ca="1"/>
        <v>0</v>
      </c>
      <c r="Q106" t="str">
        <f ca="1"/>
        <v>46.4</v>
      </c>
      <c r="R106" t="str">
        <f ca="1"/>
        <v>kg/m²</v>
      </c>
      <c r="S106" t="str">
        <f ca="1"/>
        <v>No</v>
      </c>
    </row>
    <row r="107" spans="1:19" x14ac:dyDescent="0.25">
      <c r="A107" t="str">
        <f ca="1"/>
        <v>Curtain wall</v>
      </c>
      <c r="B107" t="str">
        <f ca="1"/>
        <v>Aluminium unitised type 5: insulated shadow box, 50% DGU 8T-16-44.2</v>
      </c>
      <c r="C107" t="str">
        <f ca="1"/>
        <v>Represents a generic curtain wall as named in the material category. Includes glass, framing, spandrel/cladding material in one square meter rate.</v>
      </c>
      <c r="D107" t="str">
        <f ca="1"/>
        <v>m²</v>
      </c>
      <c r="E107" t="str">
        <f ca="1"/>
        <v>Untiered</v>
      </c>
      <c r="F107">
        <f ca="1"/>
        <v>1</v>
      </c>
      <c r="G107" t="str">
        <f ca="1"/>
        <v>572</v>
      </c>
      <c r="H107" t="str">
        <f ca="1"/>
        <v>572</v>
      </c>
      <c r="I107" t="str">
        <f ca="1"/>
        <v>133</v>
      </c>
      <c r="J107" t="str">
        <f ca="1"/>
        <v>342</v>
      </c>
      <c r="K107" t="str">
        <f ca="1"/>
        <v>10.5</v>
      </c>
      <c r="L107" t="str">
        <f ca="1"/>
        <v>10.5</v>
      </c>
      <c r="M107" t="str">
        <f ca="1"/>
        <v>2.43</v>
      </c>
      <c r="N107" t="str">
        <f ca="1"/>
        <v>6.27</v>
      </c>
      <c r="O107" t="str">
        <f ca="1"/>
        <v>0</v>
      </c>
      <c r="P107" t="str">
        <f ca="1"/>
        <v>0</v>
      </c>
      <c r="Q107" t="str">
        <f ca="1"/>
        <v>54.5</v>
      </c>
      <c r="R107" t="str">
        <f ca="1"/>
        <v>kg/m²</v>
      </c>
      <c r="S107" t="str">
        <f ca="1"/>
        <v>No</v>
      </c>
    </row>
    <row r="108" spans="1:19" x14ac:dyDescent="0.25">
      <c r="A108" t="str">
        <f ca="1"/>
        <v>Curtain wall</v>
      </c>
      <c r="B108" t="str">
        <f ca="1"/>
        <v>Aluminium unitised type 6: GRC cladding, 50% DGU 8T-16-44.2</v>
      </c>
      <c r="C108" t="str">
        <f ca="1"/>
        <v>Represents a generic curtain wall as named in the material category. Includes glass, framing, spandrel/cladding material in one square meter rate.</v>
      </c>
      <c r="D108" t="str">
        <f ca="1"/>
        <v>m²</v>
      </c>
      <c r="E108" t="str">
        <f ca="1"/>
        <v>Untiered</v>
      </c>
      <c r="F108">
        <f ca="1"/>
        <v>1</v>
      </c>
      <c r="G108" t="str">
        <f ca="1"/>
        <v>766</v>
      </c>
      <c r="H108" t="str">
        <f ca="1"/>
        <v>766</v>
      </c>
      <c r="I108" t="str">
        <f ca="1"/>
        <v>158</v>
      </c>
      <c r="J108" t="str">
        <f ca="1"/>
        <v>448</v>
      </c>
      <c r="K108" t="str">
        <f ca="1"/>
        <v>11.2</v>
      </c>
      <c r="L108" t="str">
        <f ca="1"/>
        <v>11.2</v>
      </c>
      <c r="M108" t="str">
        <f ca="1"/>
        <v>2.31</v>
      </c>
      <c r="N108" t="str">
        <f ca="1"/>
        <v>6.57</v>
      </c>
      <c r="O108" t="str">
        <f ca="1"/>
        <v>0</v>
      </c>
      <c r="P108" t="str">
        <f ca="1"/>
        <v>0</v>
      </c>
      <c r="Q108" t="str">
        <f ca="1"/>
        <v>68.2</v>
      </c>
      <c r="R108" t="str">
        <f ca="1"/>
        <v>kg/m²</v>
      </c>
      <c r="S108" t="str">
        <f ca="1"/>
        <v>No</v>
      </c>
    </row>
    <row r="109" spans="1:19" x14ac:dyDescent="0.25">
      <c r="A109" t="str">
        <f ca="1"/>
        <v>Curtain wall</v>
      </c>
      <c r="B109" t="str">
        <f ca="1"/>
        <v>Aluminium unitised type 7: opaque panel, 100% aluminium cladding</v>
      </c>
      <c r="C109" t="str">
        <f ca="1"/>
        <v>Represents a generic curtain wall as named in the material category. Includes glass, framing, spandrel/cladding material in one square meter rate.</v>
      </c>
      <c r="D109" t="str">
        <f ca="1"/>
        <v>m²</v>
      </c>
      <c r="E109" t="str">
        <f ca="1"/>
        <v>Untiered</v>
      </c>
      <c r="F109">
        <f ca="1"/>
        <v>1</v>
      </c>
      <c r="G109" t="str">
        <f ca="1"/>
        <v>1,190</v>
      </c>
      <c r="H109" t="str">
        <f ca="1"/>
        <v>1,190</v>
      </c>
      <c r="I109" t="str">
        <f ca="1"/>
        <v>199</v>
      </c>
      <c r="J109" t="str">
        <f ca="1"/>
        <v>680</v>
      </c>
      <c r="K109" t="str">
        <f ca="1"/>
        <v>33.6</v>
      </c>
      <c r="L109" t="str">
        <f ca="1"/>
        <v>33.6</v>
      </c>
      <c r="M109" t="str">
        <f ca="1"/>
        <v>5.62</v>
      </c>
      <c r="N109" t="str">
        <f ca="1"/>
        <v>19.2</v>
      </c>
      <c r="O109" t="str">
        <f ca="1"/>
        <v>0</v>
      </c>
      <c r="P109" t="str">
        <f ca="1"/>
        <v>0</v>
      </c>
      <c r="Q109" t="str">
        <f ca="1"/>
        <v>35.4</v>
      </c>
      <c r="R109" t="str">
        <f ca="1"/>
        <v>kg/m²</v>
      </c>
      <c r="S109" t="str">
        <f ca="1"/>
        <v>No</v>
      </c>
    </row>
    <row r="110" spans="1:19" x14ac:dyDescent="0.25">
      <c r="A110" t="str">
        <f ca="1"/>
        <v>Curtain wall</v>
      </c>
      <c r="B110" t="str">
        <f ca="1"/>
        <v>Double skin type 1: deep cavity aluminium façade, 100% single + DGU 66.2 + 8T-16-44.2</v>
      </c>
      <c r="C110" t="str">
        <f ca="1"/>
        <v>Represents a generic curtain wall as named in the material category. Includes glass, framing, spandrel/cladding material in one square meter rate.</v>
      </c>
      <c r="D110" t="str">
        <f ca="1"/>
        <v>m²</v>
      </c>
      <c r="E110" t="str">
        <f ca="1"/>
        <v>Untiered</v>
      </c>
      <c r="F110">
        <f ca="1"/>
        <v>1</v>
      </c>
      <c r="G110" t="str">
        <f ca="1"/>
        <v>1,300</v>
      </c>
      <c r="H110" t="str">
        <f ca="1"/>
        <v>1,300</v>
      </c>
      <c r="I110" t="str">
        <f ca="1"/>
        <v>363</v>
      </c>
      <c r="J110" t="str">
        <f ca="1"/>
        <v>802</v>
      </c>
      <c r="K110" t="str">
        <f ca="1"/>
        <v>9.70</v>
      </c>
      <c r="L110" t="str">
        <f ca="1"/>
        <v>9.70</v>
      </c>
      <c r="M110" t="str">
        <f ca="1"/>
        <v>2.70</v>
      </c>
      <c r="N110" t="str">
        <f ca="1"/>
        <v>5.96</v>
      </c>
      <c r="O110" t="str">
        <f ca="1"/>
        <v>0</v>
      </c>
      <c r="P110" t="str">
        <f ca="1"/>
        <v>0</v>
      </c>
      <c r="Q110" t="str">
        <f ca="1"/>
        <v>135</v>
      </c>
      <c r="R110" t="str">
        <f ca="1"/>
        <v>kg/m²</v>
      </c>
      <c r="S110" t="str">
        <f ca="1"/>
        <v>No</v>
      </c>
    </row>
    <row r="111" spans="1:19" x14ac:dyDescent="0.25">
      <c r="A111" t="str">
        <f ca="1"/>
        <v>Curtain wall</v>
      </c>
      <c r="B111" t="str">
        <f ca="1"/>
        <v>Double skin type 2: narrow cavity aluminium façade, 100% single + DGU 66.2 + 8T-16-44.2</v>
      </c>
      <c r="C111" t="str">
        <f ca="1"/>
        <v>Represents a generic curtain wall as named in the material category. Includes glass, framing, spandrel/cladding material in one square meter rate.</v>
      </c>
      <c r="D111" t="str">
        <f ca="1"/>
        <v>m²</v>
      </c>
      <c r="E111" t="str">
        <f ca="1"/>
        <v>Untiered</v>
      </c>
      <c r="F111">
        <f ca="1"/>
        <v>1</v>
      </c>
      <c r="G111" t="str">
        <f ca="1"/>
        <v>674</v>
      </c>
      <c r="H111" t="str">
        <f ca="1"/>
        <v>674</v>
      </c>
      <c r="I111" t="str">
        <f ca="1"/>
        <v>179</v>
      </c>
      <c r="J111" t="str">
        <f ca="1"/>
        <v>412</v>
      </c>
      <c r="K111" t="str">
        <f ca="1"/>
        <v>7.74</v>
      </c>
      <c r="L111" t="str">
        <f ca="1"/>
        <v>7.74</v>
      </c>
      <c r="M111" t="str">
        <f ca="1"/>
        <v>2.06</v>
      </c>
      <c r="N111" t="str">
        <f ca="1"/>
        <v>4.73</v>
      </c>
      <c r="O111" t="str">
        <f ca="1"/>
        <v>0</v>
      </c>
      <c r="P111" t="str">
        <f ca="1"/>
        <v>0</v>
      </c>
      <c r="Q111" t="str">
        <f ca="1"/>
        <v>87.0</v>
      </c>
      <c r="R111" t="str">
        <f ca="1"/>
        <v>kg/m²</v>
      </c>
      <c r="S111" t="str">
        <f ca="1"/>
        <v>No</v>
      </c>
    </row>
    <row r="112" spans="1:19" x14ac:dyDescent="0.25">
      <c r="A112" t="str">
        <f ca="1"/>
        <v>Lifts</v>
      </c>
      <c r="B112" t="str">
        <f ca="1"/>
        <v>Category 5, 6 for high rise buildings (&gt;10 floors)</v>
      </c>
      <c r="C112" t="str">
        <f ca="1"/>
        <v>Lift (elevator) classified as category 5 and 6 from ISO 25745. Typically used in high use environments, shopping centres, high-rise commercial.residential (10+ floors). Includes all elements of a lift installation i.e. lift cars, fittings, finishes, drive elements, electronics, guide rails, counterweights, ropes etc.</v>
      </c>
      <c r="D112" t="str">
        <f ca="1"/>
        <v>#</v>
      </c>
      <c r="E112" t="str">
        <f ca="1"/>
        <v>Tier 4</v>
      </c>
      <c r="F112">
        <f ca="1"/>
        <v>1.2</v>
      </c>
      <c r="G112" t="str">
        <f ca="1"/>
        <v>3.11E+05</v>
      </c>
      <c r="H112" t="str">
        <f ca="1"/>
        <v>2.59E+05</v>
      </c>
      <c r="I112" t="str">
        <f ca="1"/>
        <v>99,900</v>
      </c>
      <c r="J112" t="str">
        <f ca="1"/>
        <v>1.67E+05</v>
      </c>
      <c r="K112" t="str">
        <f ca="1"/>
        <v>0</v>
      </c>
      <c r="L112" t="str">
        <f ca="1"/>
        <v>0</v>
      </c>
      <c r="M112" t="str">
        <f ca="1"/>
        <v>0</v>
      </c>
      <c r="N112" t="str">
        <f ca="1"/>
        <v>0</v>
      </c>
      <c r="O112" t="str">
        <f ca="1"/>
        <v>0</v>
      </c>
      <c r="P112" t="str">
        <f ca="1"/>
        <v>0</v>
      </c>
      <c r="Q112" t="str">
        <f ca="1"/>
        <v/>
      </c>
      <c r="R112" t="str">
        <f ca="1"/>
        <v>kg/#</v>
      </c>
      <c r="S112" t="str">
        <f ca="1"/>
        <v>No</v>
      </c>
    </row>
    <row r="113" spans="1:19" x14ac:dyDescent="0.25">
      <c r="A113" t="str">
        <f ca="1"/>
        <v>Lifts</v>
      </c>
      <c r="B113" t="str">
        <f ca="1"/>
        <v>Category 3, 4 for medium rise buildings (4-10 floors)</v>
      </c>
      <c r="C113" t="str">
        <f ca="1"/>
        <v>Lift (elevator) classified as category 3 and 4 from ISO 25745. Typically used in medium rise (4-10 floor). Includes all elements of a lift installation i.e. lift cars, fittings, finishes, drive elements, electronics, guide rails, counterweights, ropes etc.</v>
      </c>
      <c r="D113" t="str">
        <f ca="1"/>
        <v>#</v>
      </c>
      <c r="E113" t="str">
        <f ca="1"/>
        <v>Tier 4</v>
      </c>
      <c r="F113">
        <f ca="1"/>
        <v>1.2</v>
      </c>
      <c r="G113" t="str">
        <f ca="1"/>
        <v>1.41E+05</v>
      </c>
      <c r="H113" t="str">
        <f ca="1"/>
        <v>1.17E+05</v>
      </c>
      <c r="I113" t="str">
        <f ca="1"/>
        <v>4,490</v>
      </c>
      <c r="J113" t="str">
        <f ca="1"/>
        <v>41,500</v>
      </c>
      <c r="K113" t="str">
        <f ca="1"/>
        <v>0</v>
      </c>
      <c r="L113" t="str">
        <f ca="1"/>
        <v>0</v>
      </c>
      <c r="M113" t="str">
        <f ca="1"/>
        <v>0</v>
      </c>
      <c r="N113" t="str">
        <f ca="1"/>
        <v>0</v>
      </c>
      <c r="O113" t="str">
        <f ca="1"/>
        <v>0</v>
      </c>
      <c r="P113" t="str">
        <f ca="1"/>
        <v>0</v>
      </c>
      <c r="Q113" t="str">
        <f ca="1"/>
        <v/>
      </c>
      <c r="R113" t="str">
        <f ca="1"/>
        <v>kg/#</v>
      </c>
      <c r="S113" t="str">
        <f ca="1"/>
        <v>No</v>
      </c>
    </row>
    <row r="114" spans="1:19" x14ac:dyDescent="0.25">
      <c r="A114" t="str">
        <f ca="1"/>
        <v>Lifts</v>
      </c>
      <c r="B114" t="str">
        <f ca="1"/>
        <v>Category 1, 2 for low rise buildings (&lt;4 floors)</v>
      </c>
      <c r="C114" t="str">
        <f ca="1"/>
        <v>Lift (elevator) classified as category 1 and 2 from ISO 25745. Typically used in low rise (less 4 floors) building. Includes all elements of a lift installation i.e. lift cars, fittings, finishes, drive elements, electronics, guide rails, counterweights, ropes etc.</v>
      </c>
      <c r="D114" t="str">
        <f ca="1"/>
        <v>#</v>
      </c>
      <c r="E114" t="str">
        <f ca="1"/>
        <v>Tier 4</v>
      </c>
      <c r="F114">
        <f ca="1"/>
        <v>1.2</v>
      </c>
      <c r="G114" t="str">
        <f ca="1"/>
        <v>34,600</v>
      </c>
      <c r="H114" t="str">
        <f ca="1"/>
        <v>28,800</v>
      </c>
      <c r="I114" t="str">
        <f ca="1"/>
        <v>4,500</v>
      </c>
      <c r="J114" t="str">
        <f ca="1"/>
        <v>14,200</v>
      </c>
      <c r="K114" t="str">
        <f ca="1"/>
        <v>0</v>
      </c>
      <c r="L114" t="str">
        <f ca="1"/>
        <v>0</v>
      </c>
      <c r="M114" t="str">
        <f ca="1"/>
        <v>0</v>
      </c>
      <c r="N114" t="str">
        <f ca="1"/>
        <v>0</v>
      </c>
      <c r="O114" t="str">
        <f ca="1"/>
        <v>0</v>
      </c>
      <c r="P114" t="str">
        <f ca="1"/>
        <v>0</v>
      </c>
      <c r="Q114" t="str">
        <f ca="1"/>
        <v/>
      </c>
      <c r="R114" t="str">
        <f ca="1"/>
        <v>kg/#</v>
      </c>
      <c r="S114" t="str">
        <f ca="1"/>
        <v>No</v>
      </c>
    </row>
    <row r="115" spans="1:19" x14ac:dyDescent="0.25">
      <c r="A115" t="str">
        <f ca="1"/>
        <v>Escalator</v>
      </c>
      <c r="B115" t="str">
        <f ca="1"/>
        <v>Escalator</v>
      </c>
      <c r="C115" t="str">
        <f ca="1"/>
        <v xml:space="preserve">Escalator/travelator. Including all componentry (i.e. truss, stairs, rails and balustrade, drive train etc.) </v>
      </c>
      <c r="D115" t="str">
        <f ca="1"/>
        <v>#</v>
      </c>
      <c r="E115" t="str">
        <f ca="1"/>
        <v>Tier 4</v>
      </c>
      <c r="F115">
        <f ca="1"/>
        <v>1.2</v>
      </c>
      <c r="G115" t="str">
        <f ca="1"/>
        <v>1.42E+05</v>
      </c>
      <c r="H115" t="str">
        <f ca="1"/>
        <v>1.18E+05</v>
      </c>
      <c r="I115" t="str">
        <f ca="1"/>
        <v>20,300</v>
      </c>
      <c r="J115" t="str">
        <f ca="1"/>
        <v>50,500</v>
      </c>
      <c r="K115" t="str">
        <f ca="1"/>
        <v>0</v>
      </c>
      <c r="L115" t="str">
        <f ca="1"/>
        <v>0</v>
      </c>
      <c r="M115" t="str">
        <f ca="1"/>
        <v>0</v>
      </c>
      <c r="N115" t="str">
        <f ca="1"/>
        <v>0</v>
      </c>
      <c r="O115" t="str">
        <f ca="1"/>
        <v>0</v>
      </c>
      <c r="P115" t="str">
        <f ca="1"/>
        <v>0</v>
      </c>
      <c r="Q115" t="str">
        <f ca="1"/>
        <v/>
      </c>
      <c r="R115">
        <f ca="1"/>
        <v>0</v>
      </c>
      <c r="S115" t="str">
        <f ca="1"/>
        <v>No</v>
      </c>
    </row>
    <row r="116" spans="1:19" x14ac:dyDescent="0.25">
      <c r="A116" t="str">
        <f ca="1"/>
        <v>Mechanical, electrical, and plumbing (MEP)</v>
      </c>
      <c r="B116" t="str">
        <f ca="1"/>
        <v>Low or mid rise office, hotel or retail building (≤10 floors)</v>
      </c>
      <c r="C116" t="str">
        <f ca="1"/>
        <v xml:space="preserve">Determination of a generic buildings services rate as named in the material category. Includes mechanical, electrical and heating, ventilation and air conditioning. </v>
      </c>
      <c r="D116" t="str">
        <f ca="1"/>
        <v>m²</v>
      </c>
      <c r="E116" t="str">
        <f ca="1"/>
        <v>Untiered</v>
      </c>
      <c r="F116">
        <f ca="1"/>
        <v>1</v>
      </c>
      <c r="G116" t="str">
        <f ca="1"/>
        <v>67.0</v>
      </c>
      <c r="H116" t="str">
        <f ca="1"/>
        <v>67.0</v>
      </c>
      <c r="I116" t="str">
        <f ca="1"/>
        <v>41.3</v>
      </c>
      <c r="J116" t="str">
        <f ca="1"/>
        <v>55.3</v>
      </c>
      <c r="K116" t="str">
        <f ca="1"/>
        <v>3.11</v>
      </c>
      <c r="L116" t="str">
        <f ca="1"/>
        <v>3.11</v>
      </c>
      <c r="M116" t="str">
        <f ca="1"/>
        <v>2.77</v>
      </c>
      <c r="N116" t="str">
        <f ca="1"/>
        <v>2.95</v>
      </c>
      <c r="O116" t="str">
        <f ca="1"/>
        <v>0</v>
      </c>
      <c r="P116" t="str">
        <f ca="1"/>
        <v>0</v>
      </c>
      <c r="Q116" t="str">
        <f ca="1"/>
        <v>18.8</v>
      </c>
      <c r="R116" t="str">
        <f ca="1"/>
        <v>kg/m²</v>
      </c>
      <c r="S116" t="str">
        <f ca="1"/>
        <v>No</v>
      </c>
    </row>
    <row r="117" spans="1:19" x14ac:dyDescent="0.25">
      <c r="A117" t="str">
        <f ca="1"/>
        <v>Mechanical, electrical, and plumbing (MEP)</v>
      </c>
      <c r="B117" t="str">
        <f ca="1"/>
        <v>Residential building</v>
      </c>
      <c r="C117" t="str">
        <f ca="1"/>
        <v xml:space="preserve">Determination of a generic buildings services rate as named in the material category. Includes mechanical, electrical and heating, ventilation and air conditioning. </v>
      </c>
      <c r="D117" t="str">
        <f ca="1"/>
        <v>m²</v>
      </c>
      <c r="E117" t="str">
        <f ca="1"/>
        <v>Untiered</v>
      </c>
      <c r="F117">
        <f ca="1"/>
        <v>1</v>
      </c>
      <c r="G117" t="str">
        <f ca="1"/>
        <v>57.4</v>
      </c>
      <c r="H117" t="str">
        <f ca="1"/>
        <v>57.4</v>
      </c>
      <c r="I117" t="str">
        <f ca="1"/>
        <v>41.2</v>
      </c>
      <c r="J117" t="str">
        <f ca="1"/>
        <v>46.8</v>
      </c>
      <c r="K117" t="str">
        <f ca="1"/>
        <v>2.69</v>
      </c>
      <c r="L117" t="str">
        <f ca="1"/>
        <v>2.69</v>
      </c>
      <c r="M117" t="str">
        <f ca="1"/>
        <v>2.26</v>
      </c>
      <c r="N117" t="str">
        <f ca="1"/>
        <v>2.26</v>
      </c>
      <c r="O117" t="str">
        <f ca="1"/>
        <v>0</v>
      </c>
      <c r="P117" t="str">
        <f ca="1"/>
        <v>0</v>
      </c>
      <c r="Q117" t="str">
        <f ca="1"/>
        <v>20.7</v>
      </c>
      <c r="R117" t="str">
        <f ca="1"/>
        <v>kg/m²</v>
      </c>
      <c r="S117" t="str">
        <f ca="1"/>
        <v>No</v>
      </c>
    </row>
    <row r="118" spans="1:19" x14ac:dyDescent="0.25">
      <c r="A118" t="str">
        <f ca="1"/>
        <v>Mechanical, electrical, and plumbing (MEP)</v>
      </c>
      <c r="B118" t="str">
        <f ca="1"/>
        <v>Warehouse or industrial building</v>
      </c>
      <c r="C118" t="str">
        <f ca="1"/>
        <v xml:space="preserve">Determination of a generic buildings services rate as named in the material category. Includes mechanical, electrical and heating, ventilation and air conditioning. </v>
      </c>
      <c r="D118" t="str">
        <f ca="1"/>
        <v>m²</v>
      </c>
      <c r="E118" t="str">
        <f ca="1"/>
        <v>Untiered</v>
      </c>
      <c r="F118">
        <f ca="1"/>
        <v>1</v>
      </c>
      <c r="G118" t="str">
        <f ca="1"/>
        <v>13.4</v>
      </c>
      <c r="H118" t="str">
        <f ca="1"/>
        <v>13.4</v>
      </c>
      <c r="I118" t="str">
        <f ca="1"/>
        <v>11.8</v>
      </c>
      <c r="J118" t="str">
        <f ca="1"/>
        <v>12.6</v>
      </c>
      <c r="K118" t="str">
        <f ca="1"/>
        <v>2.77</v>
      </c>
      <c r="L118" t="str">
        <f ca="1"/>
        <v>2.77</v>
      </c>
      <c r="M118" t="str">
        <f ca="1"/>
        <v>1.59</v>
      </c>
      <c r="N118" t="str">
        <f ca="1"/>
        <v>2.18</v>
      </c>
      <c r="O118" t="str">
        <f ca="1"/>
        <v>0</v>
      </c>
      <c r="P118" t="str">
        <f ca="1"/>
        <v>0</v>
      </c>
      <c r="Q118" t="str">
        <f ca="1"/>
        <v>5.77</v>
      </c>
      <c r="R118" t="str">
        <f ca="1"/>
        <v>kg/m²</v>
      </c>
      <c r="S118" t="str">
        <f ca="1"/>
        <v>No</v>
      </c>
    </row>
    <row r="119" spans="1:19" x14ac:dyDescent="0.25">
      <c r="A119" t="str">
        <f ca="1"/>
        <v>Mechanical, electrical, and plumbing (MEP)</v>
      </c>
      <c r="B119" t="str">
        <f ca="1"/>
        <v>High rise office, hotel or retail building (&gt;10 floors)</v>
      </c>
      <c r="C119" t="str">
        <f ca="1"/>
        <v xml:space="preserve">Determination of a generic buildings services rate as named in the material category. Includes mechanical, electrical and heating, ventilation and air conditioning. </v>
      </c>
      <c r="D119" t="str">
        <f ca="1"/>
        <v>m²</v>
      </c>
      <c r="E119" t="str">
        <f ca="1"/>
        <v>Untiered</v>
      </c>
      <c r="F119">
        <f ca="1"/>
        <v>1</v>
      </c>
      <c r="G119" t="str">
        <f ca="1"/>
        <v>74.8</v>
      </c>
      <c r="H119" t="str">
        <f ca="1"/>
        <v>74.8</v>
      </c>
      <c r="I119" t="str">
        <f ca="1"/>
        <v>48.9</v>
      </c>
      <c r="J119" t="str">
        <f ca="1"/>
        <v>62.6</v>
      </c>
      <c r="K119" t="str">
        <f ca="1"/>
        <v>3.88</v>
      </c>
      <c r="L119" t="str">
        <f ca="1"/>
        <v>3.88</v>
      </c>
      <c r="M119" t="str">
        <f ca="1"/>
        <v>2.88</v>
      </c>
      <c r="N119" t="str">
        <f ca="1"/>
        <v>3.24</v>
      </c>
      <c r="O119" t="str">
        <f ca="1"/>
        <v>0</v>
      </c>
      <c r="P119" t="str">
        <f ca="1"/>
        <v>0</v>
      </c>
      <c r="Q119" t="str">
        <f ca="1"/>
        <v>19.3</v>
      </c>
      <c r="R119" t="str">
        <f ca="1"/>
        <v>kg/m²</v>
      </c>
      <c r="S119" t="str">
        <f ca="1"/>
        <v>No</v>
      </c>
    </row>
    <row r="120" spans="1:19" x14ac:dyDescent="0.25">
      <c r="A120" t="str">
        <f ca="1"/>
        <v>Mechanical, electrical, and plumbing (MEP)</v>
      </c>
      <c r="B120" t="str">
        <f ca="1"/>
        <v>Hospital or high services intensity building</v>
      </c>
      <c r="C120" t="str">
        <f ca="1"/>
        <v xml:space="preserve">Determination of a generic buildings services rate as named in the material category. Includes mechanical, electrical and heating, ventilation and air conditioning. </v>
      </c>
      <c r="D120" t="str">
        <f ca="1"/>
        <v>m²</v>
      </c>
      <c r="E120" t="str">
        <f ca="1"/>
        <v>Untiered</v>
      </c>
      <c r="F120">
        <f ca="1"/>
        <v>1</v>
      </c>
      <c r="G120" t="str">
        <f ca="1"/>
        <v>74.8</v>
      </c>
      <c r="H120" t="str">
        <f ca="1"/>
        <v>74.8</v>
      </c>
      <c r="I120" t="str">
        <f ca="1"/>
        <v>55.1</v>
      </c>
      <c r="J120" t="str">
        <f ca="1"/>
        <v>66.0</v>
      </c>
      <c r="K120" t="str">
        <f ca="1"/>
        <v>3.95</v>
      </c>
      <c r="L120" t="str">
        <f ca="1"/>
        <v>3.95</v>
      </c>
      <c r="M120" t="str">
        <f ca="1"/>
        <v>2.91</v>
      </c>
      <c r="N120" t="str">
        <f ca="1"/>
        <v>3.29</v>
      </c>
      <c r="O120" t="str">
        <f ca="1"/>
        <v>0</v>
      </c>
      <c r="P120" t="str">
        <f ca="1"/>
        <v>0</v>
      </c>
      <c r="Q120" t="str">
        <f ca="1"/>
        <v>20.1</v>
      </c>
      <c r="R120" t="str">
        <f ca="1"/>
        <v>kg/m²</v>
      </c>
      <c r="S120" t="str">
        <f ca="1"/>
        <v>No</v>
      </c>
    </row>
    <row r="121" spans="1:19" x14ac:dyDescent="0.25">
      <c r="A121" t="str">
        <f ca="1"/>
        <v>Other</v>
      </c>
      <c r="B121" t="str">
        <f ca="1"/>
        <v>Other</v>
      </c>
      <c r="C121" t="str">
        <f ca="1"/>
        <v xml:space="preserve">Other/miscellaneous material </v>
      </c>
      <c r="D121" t="str">
        <f ca="1"/>
        <v>kg</v>
      </c>
      <c r="E121" t="str">
        <f ca="1"/>
        <v>Untiered</v>
      </c>
      <c r="F121">
        <f ca="1"/>
        <v>1</v>
      </c>
      <c r="G121" t="str">
        <f ca="1"/>
        <v>4.76</v>
      </c>
      <c r="H121" t="str">
        <f ca="1"/>
        <v>4.76</v>
      </c>
      <c r="I121" t="str">
        <f ca="1"/>
        <v>1.17</v>
      </c>
      <c r="J121" t="str">
        <f ca="1"/>
        <v>2.94</v>
      </c>
      <c r="K121" t="str">
        <f ca="1"/>
        <v>4.76</v>
      </c>
      <c r="L121" t="str">
        <f ca="1"/>
        <v>4.76</v>
      </c>
      <c r="M121" t="str">
        <f ca="1"/>
        <v>1.17</v>
      </c>
      <c r="N121" t="str">
        <f ca="1"/>
        <v>2.94</v>
      </c>
      <c r="O121" t="str">
        <f ca="1"/>
        <v>0</v>
      </c>
      <c r="P121" t="str">
        <f ca="1"/>
        <v>0</v>
      </c>
      <c r="Q121" t="str">
        <f ca="1"/>
        <v>1.00</v>
      </c>
      <c r="R121" t="str">
        <f ca="1"/>
        <v>kg/kg</v>
      </c>
      <c r="S121">
        <f ca="1"/>
        <v>0</v>
      </c>
    </row>
  </sheetData>
  <pageMargins left="0.7" right="0.7" top="0.75" bottom="0.75" header="0.3" footer="0.3"/>
  <pageSetup paperSize="9"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4E161-0BD7-4D49-9452-2FA0E228B969}">
  <sheetPr codeName="Sheet20">
    <tabColor rgb="FF00CCFF"/>
  </sheetPr>
  <dimension ref="A1:P67"/>
  <sheetViews>
    <sheetView workbookViewId="0"/>
  </sheetViews>
  <sheetFormatPr defaultColWidth="9.1796875" defaultRowHeight="12.5" x14ac:dyDescent="0.25"/>
  <cols>
    <col min="1" max="1" width="26.26953125" style="132" customWidth="1"/>
    <col min="2" max="2" width="98.26953125" style="132" customWidth="1"/>
    <col min="3" max="3" width="21" style="132" customWidth="1"/>
    <col min="4" max="6" width="19.7265625" style="198" customWidth="1"/>
    <col min="7" max="7" width="23.54296875" style="198" customWidth="1"/>
    <col min="8" max="10" width="9.1796875" style="132"/>
    <col min="11" max="11" width="25.1796875" style="132" customWidth="1"/>
    <col min="12" max="12" width="14.453125" style="132" customWidth="1"/>
    <col min="13" max="13" width="8.81640625" style="132" customWidth="1"/>
    <col min="14" max="14" width="10.26953125" style="132" customWidth="1"/>
    <col min="15" max="15" width="26.54296875" style="132" customWidth="1"/>
    <col min="16" max="16" width="109.453125" style="132" customWidth="1"/>
    <col min="17" max="16384" width="9.1796875" style="132"/>
  </cols>
  <sheetData>
    <row r="1" spans="1:16" ht="13" x14ac:dyDescent="0.25">
      <c r="A1" s="202" t="str">
        <f>B16</f>
        <v>Steel, reinforcing</v>
      </c>
      <c r="J1" s="202" t="s">
        <v>5700</v>
      </c>
    </row>
    <row r="2" spans="1:16" ht="13" x14ac:dyDescent="0.25">
      <c r="A2" s="202"/>
    </row>
    <row r="3" spans="1:16" ht="13" x14ac:dyDescent="0.3">
      <c r="A3" s="227" t="s">
        <v>5626</v>
      </c>
      <c r="B3" s="132" t="s">
        <v>5891</v>
      </c>
      <c r="L3" s="132" t="s">
        <v>5892</v>
      </c>
      <c r="M3" s="132" t="s">
        <v>5893</v>
      </c>
      <c r="N3" s="132" t="s">
        <v>5894</v>
      </c>
      <c r="O3" s="132" t="s">
        <v>5895</v>
      </c>
      <c r="P3" s="132" t="s">
        <v>5896</v>
      </c>
    </row>
    <row r="4" spans="1:16" ht="13" x14ac:dyDescent="0.3">
      <c r="A4" s="227"/>
      <c r="K4" s="132" t="s">
        <v>5897</v>
      </c>
      <c r="L4" s="132">
        <v>6.09</v>
      </c>
      <c r="M4" s="132" t="s">
        <v>5678</v>
      </c>
      <c r="N4" s="242">
        <f>L4/$L$6</f>
        <v>0.82520325203252032</v>
      </c>
      <c r="O4" s="132" t="s">
        <v>5898</v>
      </c>
      <c r="P4" s="243" t="s">
        <v>5899</v>
      </c>
    </row>
    <row r="5" spans="1:16" ht="75.5" x14ac:dyDescent="0.3">
      <c r="A5" s="227" t="s">
        <v>5628</v>
      </c>
      <c r="B5" s="200" t="s">
        <v>5900</v>
      </c>
      <c r="K5" s="132" t="s">
        <v>5901</v>
      </c>
      <c r="L5" s="132">
        <v>1.29</v>
      </c>
      <c r="M5" s="132" t="s">
        <v>5678</v>
      </c>
      <c r="N5" s="242">
        <f>L5/$L$6</f>
        <v>0.17479674796747968</v>
      </c>
      <c r="O5" s="132" t="s">
        <v>5898</v>
      </c>
      <c r="P5" s="243" t="s">
        <v>5899</v>
      </c>
    </row>
    <row r="6" spans="1:16" ht="13" x14ac:dyDescent="0.3">
      <c r="A6" s="227" t="s">
        <v>5630</v>
      </c>
      <c r="B6" s="201" t="s">
        <v>72</v>
      </c>
      <c r="L6" s="132">
        <f>SUM(L4:L5)</f>
        <v>7.38</v>
      </c>
      <c r="M6" s="132" t="s">
        <v>5678</v>
      </c>
    </row>
    <row r="7" spans="1:16" ht="13" x14ac:dyDescent="0.3">
      <c r="A7" s="227" t="s">
        <v>5631</v>
      </c>
      <c r="B7" s="201" t="s">
        <v>71</v>
      </c>
    </row>
    <row r="8" spans="1:16" ht="13" x14ac:dyDescent="0.3">
      <c r="A8" s="227" t="s">
        <v>5632</v>
      </c>
      <c r="B8" s="201" t="s">
        <v>71</v>
      </c>
      <c r="K8" s="244" t="s">
        <v>5689</v>
      </c>
      <c r="L8" s="244">
        <f>SUMIF(_xlfn.ANCHORARRAY($B$23),"*"&amp;"Australia"&amp;"*",_xlfn.ANCHORARRAY(D23))/COUNTIF(_xlfn.ANCHORARRAY($B$23),"*"&amp;"Australia"&amp;"*")</f>
        <v>1675.7120059353424</v>
      </c>
      <c r="M8" s="244">
        <f t="shared" ref="M8:O8" si="0">SUMIF(_xlfn.ANCHORARRAY($B$23),"*"&amp;"Australia"&amp;"*",_xlfn.ANCHORARRAY(E23))/COUNTIF(_xlfn.ANCHORARRAY($B$23),"*"&amp;"Australia"&amp;"*")</f>
        <v>1.6757120059353425</v>
      </c>
      <c r="N8" s="244">
        <f t="shared" si="0"/>
        <v>0</v>
      </c>
      <c r="O8" s="244">
        <f t="shared" si="0"/>
        <v>0</v>
      </c>
    </row>
    <row r="9" spans="1:16" ht="13" x14ac:dyDescent="0.3">
      <c r="A9" s="227" t="s">
        <v>5633</v>
      </c>
      <c r="B9" s="202" t="s">
        <v>72</v>
      </c>
      <c r="K9" s="132" t="s">
        <v>5902</v>
      </c>
      <c r="L9" s="132">
        <f>SUMIF(_xlfn.ANCHORARRAY($B$23),"*"&amp;"Global"&amp;"*",_xlfn.ANCHORARRAY(D23))/COUNTIF(_xlfn.ANCHORARRAY($B$23),"*"&amp;"Global"&amp;"*")</f>
        <v>1254.3905323529414</v>
      </c>
      <c r="M9" s="132">
        <f t="shared" ref="M9:O9" si="1">SUMIF(_xlfn.ANCHORARRAY($B$23),"*"&amp;"Global"&amp;"*",_xlfn.ANCHORARRAY(E23))/COUNTIF(_xlfn.ANCHORARRAY($B$23),"*"&amp;"Global"&amp;"*")</f>
        <v>1.2543905323529414</v>
      </c>
      <c r="N9" s="132">
        <f t="shared" si="1"/>
        <v>0</v>
      </c>
      <c r="O9" s="132">
        <f t="shared" si="1"/>
        <v>0</v>
      </c>
    </row>
    <row r="10" spans="1:16" ht="13" x14ac:dyDescent="0.3">
      <c r="A10" s="227"/>
      <c r="B10" s="202"/>
      <c r="K10" s="132" t="s">
        <v>5830</v>
      </c>
      <c r="L10" s="132">
        <f>SUMPRODUCT(L8:L9,$N$4:$N$5)</f>
        <v>1602.0663825042723</v>
      </c>
      <c r="M10" s="132">
        <f t="shared" ref="M10:O10" si="2">SUMPRODUCT(M8:M9,$N$4:$N$5)</f>
        <v>1.6020663825042725</v>
      </c>
      <c r="N10" s="132">
        <f t="shared" si="2"/>
        <v>0</v>
      </c>
      <c r="O10" s="132">
        <f t="shared" si="2"/>
        <v>0</v>
      </c>
    </row>
    <row r="11" spans="1:16" ht="13" x14ac:dyDescent="0.3">
      <c r="A11" s="227" t="s">
        <v>5634</v>
      </c>
      <c r="B11" s="200" t="s">
        <v>5903</v>
      </c>
    </row>
    <row r="12" spans="1:16" x14ac:dyDescent="0.25">
      <c r="A12" s="228"/>
    </row>
    <row r="13" spans="1:16" x14ac:dyDescent="0.25">
      <c r="A13" s="228"/>
    </row>
    <row r="14" spans="1:16" ht="13" x14ac:dyDescent="0.3">
      <c r="A14" s="227" t="s">
        <v>5635</v>
      </c>
    </row>
    <row r="15" spans="1:16" ht="13" x14ac:dyDescent="0.3">
      <c r="A15" s="227"/>
      <c r="B15" s="135"/>
      <c r="C15" s="135"/>
      <c r="D15" s="299" t="s">
        <v>77</v>
      </c>
      <c r="E15" s="300"/>
      <c r="F15" s="299" t="s">
        <v>5424</v>
      </c>
      <c r="G15" s="301"/>
    </row>
    <row r="16" spans="1:16" ht="39" x14ac:dyDescent="0.25">
      <c r="A16" s="133"/>
      <c r="B16" s="320" t="s">
        <v>5904</v>
      </c>
      <c r="C16" s="316" t="s">
        <v>24</v>
      </c>
      <c r="D16" s="314" t="s">
        <v>146</v>
      </c>
      <c r="E16" s="315" t="s">
        <v>153</v>
      </c>
      <c r="F16" s="314" t="s">
        <v>147</v>
      </c>
      <c r="G16" s="314" t="s">
        <v>154</v>
      </c>
      <c r="H16" s="131"/>
    </row>
    <row r="17" spans="1:8" ht="13" x14ac:dyDescent="0.3">
      <c r="A17" s="133"/>
      <c r="B17" s="211"/>
      <c r="C17" s="212" t="s">
        <v>5636</v>
      </c>
      <c r="D17" s="196" t="str" cm="1">
        <f t="array" ref="D17">IF(AND(_xlfn.ANCHORARRAY(C23)=C23),C23,"Mixed")</f>
        <v>tonne</v>
      </c>
      <c r="E17" s="196" t="s">
        <v>2774</v>
      </c>
      <c r="F17" s="196" t="str" cm="1">
        <f t="array" ref="F17">IF(AND(_xlfn.ANCHORARRAY(C23)=C23),C23,"Mixed")</f>
        <v>tonne</v>
      </c>
      <c r="G17" s="213" t="s">
        <v>2774</v>
      </c>
      <c r="H17" s="131"/>
    </row>
    <row r="18" spans="1:8" s="200" customFormat="1" ht="13" x14ac:dyDescent="0.3">
      <c r="A18" s="221"/>
      <c r="B18" s="214"/>
      <c r="C18" s="202" t="s">
        <v>5637</v>
      </c>
      <c r="D18" s="198">
        <f t="shared" ref="D18:G18" si="3">MAX(_xlfn.ANCHORARRAY(D23))</f>
        <v>3480.3890000000001</v>
      </c>
      <c r="E18" s="198">
        <f t="shared" si="3"/>
        <v>3.4803890000000002</v>
      </c>
      <c r="F18" s="198">
        <f t="shared" si="3"/>
        <v>0</v>
      </c>
      <c r="G18" s="215">
        <f t="shared" si="3"/>
        <v>0</v>
      </c>
      <c r="H18" s="222"/>
    </row>
    <row r="19" spans="1:8" ht="13" x14ac:dyDescent="0.25">
      <c r="A19" s="133"/>
      <c r="B19" s="204"/>
      <c r="C19" s="202" t="s">
        <v>5638</v>
      </c>
      <c r="D19" s="198">
        <f>MIN(_xlfn.ANCHORARRAY(D23))</f>
        <v>309</v>
      </c>
      <c r="E19" s="198">
        <f t="shared" ref="E19:G19" si="4">MIN(_xlfn.ANCHORARRAY(E23))</f>
        <v>0.309</v>
      </c>
      <c r="F19" s="198">
        <f t="shared" si="4"/>
        <v>0</v>
      </c>
      <c r="G19" s="215">
        <f t="shared" si="4"/>
        <v>0</v>
      </c>
      <c r="H19" s="131"/>
    </row>
    <row r="20" spans="1:8" ht="13" x14ac:dyDescent="0.25">
      <c r="A20" s="133"/>
      <c r="B20" s="204"/>
      <c r="C20" s="245" t="s">
        <v>5665</v>
      </c>
      <c r="D20" s="198">
        <f>L10</f>
        <v>1602.0663825042723</v>
      </c>
      <c r="E20" s="198">
        <f t="shared" ref="E20:G20" si="5">M10</f>
        <v>1.6020663825042725</v>
      </c>
      <c r="F20" s="198">
        <f t="shared" si="5"/>
        <v>0</v>
      </c>
      <c r="G20" s="215">
        <f t="shared" si="5"/>
        <v>0</v>
      </c>
      <c r="H20" s="131"/>
    </row>
    <row r="21" spans="1:8" ht="13" x14ac:dyDescent="0.25">
      <c r="A21" s="133"/>
      <c r="B21" s="204"/>
      <c r="C21" s="202" t="s">
        <v>5639</v>
      </c>
      <c r="D21" s="198">
        <f>AVERAGE(D23)</f>
        <v>1670</v>
      </c>
      <c r="E21" s="198">
        <f t="shared" ref="E21:G21" si="6">AVERAGE(E23)</f>
        <v>1.67</v>
      </c>
      <c r="F21" s="198">
        <f t="shared" si="6"/>
        <v>0</v>
      </c>
      <c r="G21" s="215">
        <f t="shared" si="6"/>
        <v>0</v>
      </c>
      <c r="H21" s="131"/>
    </row>
    <row r="22" spans="1:8" ht="13" x14ac:dyDescent="0.25">
      <c r="A22" s="133"/>
      <c r="B22" s="197" t="s">
        <v>5640</v>
      </c>
      <c r="D22" s="132"/>
      <c r="E22" s="132"/>
      <c r="F22" s="132"/>
      <c r="G22" s="216"/>
      <c r="H22" s="131"/>
    </row>
    <row r="23" spans="1:8" x14ac:dyDescent="0.25">
      <c r="A23" s="133"/>
      <c r="B23" s="204" t="str" cm="1">
        <f t="array" ref="B23:B66">_xlfn.UNIQUE(_xlfn._xlws.FILTER('EPD List'!D:D,ISNUMBER(SEARCH(B16,'EPD List'!C:C)),0))</f>
        <v>Steel, Reinforcing bar, Steel reinforcement, recycled, bar (ARC), Australia</v>
      </c>
      <c r="C23" s="132" t="str" cm="1">
        <f t="array" ref="C23:C66">_xlfn.IFNA(INDEX('EPD List'!$A:$AB,MATCH(_xlfn.ANCHORARRAY(B23),'EPD List'!$D:$D,0),MATCH(C$16,'EPD List'!$7:$7,0)),"")</f>
        <v>tonne</v>
      </c>
      <c r="D23" s="198" cm="1">
        <f t="array" ref="D23:D66">_xlfn.IFNA(VALUE((INDEX('EPD List'!$A:$AD,MATCH(_xlfn.ANCHORARRAY($B23),'EPD List'!$D:$D,0),MATCH(D$16,'EPD List'!$7:$7,0)))),"")</f>
        <v>1670</v>
      </c>
      <c r="E23" s="198" cm="1">
        <f t="array" ref="E23:E66">_xlfn.IFNA(VALUE((INDEX('EPD List'!$A:$AD,MATCH(_xlfn.ANCHORARRAY($B23),'EPD List'!$D:$D,0),MATCH(E$16,'EPD List'!$7:$7,0)))),"")</f>
        <v>1.67</v>
      </c>
      <c r="F23" s="198" cm="1">
        <f t="array" ref="F23:F66">_xlfn.IFNA(VALUE((INDEX('EPD List'!$A:$AD,MATCH(_xlfn.ANCHORARRAY($B23),'EPD List'!$D:$D,0),MATCH(F$16,'EPD List'!$7:$7,0)))),"")</f>
        <v>0</v>
      </c>
      <c r="G23" s="215" cm="1">
        <f t="array" ref="G23:G66">_xlfn.IFNA(VALUE((INDEX('EPD List'!$A:$AD,MATCH(_xlfn.ANCHORARRAY($B23),'EPD List'!$D:$D,0),MATCH(G$16,'EPD List'!$7:$7,0)))),"")</f>
        <v>0</v>
      </c>
      <c r="H23" s="131"/>
    </row>
    <row r="24" spans="1:8" x14ac:dyDescent="0.25">
      <c r="A24" s="133"/>
      <c r="B24" s="204" t="str">
        <v>Steel, Reinforcing mesh, Steel reinforcement, recycled, mesh (ARC)  , Australia</v>
      </c>
      <c r="C24" s="132" t="str">
        <v>tonne</v>
      </c>
      <c r="D24" s="198">
        <v>2060</v>
      </c>
      <c r="E24" s="198">
        <v>2.06</v>
      </c>
      <c r="F24" s="198">
        <v>0</v>
      </c>
      <c r="G24" s="215">
        <v>0</v>
      </c>
      <c r="H24" s="131"/>
    </row>
    <row r="25" spans="1:8" x14ac:dyDescent="0.25">
      <c r="A25" s="133"/>
      <c r="B25" s="204" t="str">
        <v>Steel, Reinforcing bar, Steel, Reinforcing bar, 10 mm to 50 mm,  (InfraBuild, Australia), Australia</v>
      </c>
      <c r="C25" s="132" t="str">
        <v>tonne</v>
      </c>
      <c r="D25" s="198">
        <v>1670</v>
      </c>
      <c r="E25" s="198">
        <v>1.67</v>
      </c>
      <c r="F25" s="198">
        <v>0</v>
      </c>
      <c r="G25" s="215">
        <v>0</v>
      </c>
      <c r="H25" s="131"/>
    </row>
    <row r="26" spans="1:8" x14ac:dyDescent="0.25">
      <c r="A26" s="133"/>
      <c r="B26" s="204" t="str">
        <v>Steel, Reinforcing bar, Steel, reinforcing component of (piles, ground beams, pad footings, columns, beams, arches and lattice girders), (InfraBuild, Australia), Australia</v>
      </c>
      <c r="C26" s="132" t="str">
        <v>tonne</v>
      </c>
      <c r="D26" s="198">
        <v>1670</v>
      </c>
      <c r="E26" s="198">
        <v>1.67</v>
      </c>
      <c r="F26" s="198">
        <v>0</v>
      </c>
      <c r="G26" s="215">
        <v>0</v>
      </c>
      <c r="H26" s="131"/>
    </row>
    <row r="27" spans="1:8" x14ac:dyDescent="0.25">
      <c r="A27" s="133"/>
      <c r="B27" s="204" t="str">
        <v>Steel, Reinforcing mesh, Steel, Reinforcing carpets (BAMTEC®) (InfraBuild, Australia), Australia</v>
      </c>
      <c r="C27" s="132" t="str">
        <v>tonne</v>
      </c>
      <c r="D27" s="198">
        <v>1670</v>
      </c>
      <c r="E27" s="198">
        <v>1.67</v>
      </c>
      <c r="F27" s="198">
        <v>0</v>
      </c>
      <c r="G27" s="215">
        <v>0</v>
      </c>
      <c r="H27" s="131"/>
    </row>
    <row r="28" spans="1:8" x14ac:dyDescent="0.25">
      <c r="A28" s="133"/>
      <c r="B28" s="204" t="str">
        <v>Steel, Reinforcing mesh, Steel, Reinforcing Mesh - SL53 to SL81, RL718 to RL1218 (mm) (InfraBuild, Australia), Australia</v>
      </c>
      <c r="C28" s="132" t="str">
        <v>tonne</v>
      </c>
      <c r="D28" s="198">
        <v>2060</v>
      </c>
      <c r="E28" s="198">
        <v>2.06</v>
      </c>
      <c r="F28" s="198">
        <v>0</v>
      </c>
      <c r="G28" s="215">
        <v>0</v>
      </c>
      <c r="H28" s="131"/>
    </row>
    <row r="29" spans="1:8" x14ac:dyDescent="0.25">
      <c r="A29" s="133"/>
      <c r="B29" s="204" t="str">
        <v>Steel, Reinforcing Prefabricated cages , Steel, Prefabricated cages,  (Ausreo), Australia</v>
      </c>
      <c r="C29" s="132" t="str">
        <v>tonne</v>
      </c>
      <c r="D29" s="198">
        <v>1660</v>
      </c>
      <c r="E29" s="198">
        <v>1.66</v>
      </c>
      <c r="F29" s="198">
        <v>0</v>
      </c>
      <c r="G29" s="215">
        <v>0</v>
      </c>
      <c r="H29" s="131"/>
    </row>
    <row r="30" spans="1:8" x14ac:dyDescent="0.25">
      <c r="A30" s="133"/>
      <c r="B30" s="204" t="str">
        <v>Steel, Reinforcing bar, Steel, Bars,  (Ausreo), Australia</v>
      </c>
      <c r="C30" s="132" t="str">
        <v>tonne</v>
      </c>
      <c r="D30" s="198">
        <v>1660</v>
      </c>
      <c r="E30" s="198">
        <v>1.66</v>
      </c>
      <c r="F30" s="198">
        <v>0</v>
      </c>
      <c r="G30" s="215">
        <v>0</v>
      </c>
      <c r="H30" s="131"/>
    </row>
    <row r="31" spans="1:8" x14ac:dyDescent="0.25">
      <c r="A31" s="133"/>
      <c r="B31" s="204" t="str">
        <v>Steel, reinforcing, Steel reinforcing bar/coil (NatSteel) (Global)</v>
      </c>
      <c r="C31" s="132" t="str">
        <v>tonne</v>
      </c>
      <c r="D31" s="198">
        <v>490</v>
      </c>
      <c r="E31" s="198">
        <v>0.49</v>
      </c>
      <c r="F31" s="198">
        <v>0</v>
      </c>
      <c r="G31" s="215">
        <v>0</v>
      </c>
      <c r="H31" s="131"/>
    </row>
    <row r="32" spans="1:8" x14ac:dyDescent="0.25">
      <c r="A32" s="133"/>
      <c r="B32" s="204" t="str">
        <v>Steel, Reinforcing, Carbon steel reinforcing bar (sector average) - maximum (Carbon steel reinforcing bar) (Global)</v>
      </c>
      <c r="C32" s="132" t="str">
        <v>tonne</v>
      </c>
      <c r="D32" s="198">
        <v>951</v>
      </c>
      <c r="E32" s="198">
        <v>0.95099999999999996</v>
      </c>
      <c r="F32" s="198">
        <v>0</v>
      </c>
      <c r="G32" s="215">
        <v>0</v>
      </c>
      <c r="H32" s="131"/>
    </row>
    <row r="33" spans="1:8" x14ac:dyDescent="0.25">
      <c r="A33" s="133"/>
      <c r="B33" s="204" t="str">
        <v>Steel, Reinforcing, Carbon steel reinforcing bar (sector average) - minimum (Carbon steel reinforcing bar) (Global)</v>
      </c>
      <c r="C33" s="132" t="str">
        <v>tonne</v>
      </c>
      <c r="D33" s="198">
        <v>309</v>
      </c>
      <c r="E33" s="198">
        <v>0.309</v>
      </c>
      <c r="F33" s="198">
        <v>0</v>
      </c>
      <c r="G33" s="215">
        <v>0</v>
      </c>
      <c r="H33" s="131"/>
    </row>
    <row r="34" spans="1:8" x14ac:dyDescent="0.25">
      <c r="A34" s="133"/>
      <c r="B34" s="204" t="str">
        <v>Steel, Reinforcing wire, Prestressed Concrete Steel Wire Strand (Siam Industrial Wire Co. Ltd) (Global)</v>
      </c>
      <c r="C34" s="132" t="str">
        <v>tonne</v>
      </c>
      <c r="D34" s="198">
        <v>2210.4789999999998</v>
      </c>
      <c r="E34" s="198">
        <v>2.2104789999999999</v>
      </c>
      <c r="F34" s="198">
        <v>0</v>
      </c>
      <c r="G34" s="215">
        <v>0</v>
      </c>
      <c r="H34" s="131"/>
    </row>
    <row r="35" spans="1:8" x14ac:dyDescent="0.25">
      <c r="A35" s="133"/>
      <c r="B35" s="204" t="str">
        <v>Steel, Reinforcing, Average reinforcement steel bars (Jindal) (India, Global)</v>
      </c>
      <c r="C35" s="132" t="str">
        <v>tonne</v>
      </c>
      <c r="D35" s="198">
        <v>3480.3890000000001</v>
      </c>
      <c r="E35" s="198">
        <v>3.4803890000000002</v>
      </c>
      <c r="F35" s="198">
        <v>0</v>
      </c>
      <c r="G35" s="215">
        <v>0</v>
      </c>
      <c r="H35" s="131"/>
    </row>
    <row r="36" spans="1:8" x14ac:dyDescent="0.25">
      <c r="A36" s="133"/>
      <c r="B36" s="204" t="str">
        <v>Steel, Reinforcing, Steel Rebar (Raajratna) (India, Global)</v>
      </c>
      <c r="C36" s="132" t="str">
        <v>tonne</v>
      </c>
      <c r="D36" s="198">
        <v>2786.37</v>
      </c>
      <c r="E36" s="198">
        <v>2.7863700000000002</v>
      </c>
      <c r="F36" s="198">
        <v>0</v>
      </c>
      <c r="G36" s="215">
        <v>0</v>
      </c>
      <c r="H36" s="131"/>
    </row>
    <row r="37" spans="1:8" x14ac:dyDescent="0.25">
      <c r="A37" s="133"/>
      <c r="B37" s="204" t="str">
        <v>Steel, Reinforcing strand, PC Strand (Galcore) (Global)</v>
      </c>
      <c r="C37" s="132" t="str">
        <v>tonne</v>
      </c>
      <c r="D37" s="198">
        <v>1847.3799999999999</v>
      </c>
      <c r="E37" s="198">
        <v>1.84738</v>
      </c>
      <c r="F37" s="198">
        <v>0</v>
      </c>
      <c r="G37" s="215">
        <v>0</v>
      </c>
      <c r="H37" s="131"/>
    </row>
    <row r="38" spans="1:8" x14ac:dyDescent="0.25">
      <c r="A38" s="133"/>
      <c r="B38" s="204" t="str">
        <v>Steel, Reinforcing strand, Multi-strand post-tensioning system anchorage Type GC (VSL International Ltd.) (Global)</v>
      </c>
      <c r="C38" s="132" t="str">
        <v>tonne</v>
      </c>
      <c r="D38" s="198">
        <v>2240.1</v>
      </c>
      <c r="E38" s="198">
        <v>2.2401</v>
      </c>
      <c r="F38" s="198">
        <v>0</v>
      </c>
      <c r="G38" s="215">
        <v>0</v>
      </c>
      <c r="H38" s="131"/>
    </row>
    <row r="39" spans="1:8" x14ac:dyDescent="0.25">
      <c r="A39" s="133"/>
      <c r="B39" s="204" t="str">
        <v>Steel, Reinforcing, Reinforcing steel in bars and coils (Sidenor) (Greece, Global)</v>
      </c>
      <c r="C39" s="132" t="str">
        <v>tonne</v>
      </c>
      <c r="D39" s="198">
        <v>658.77800000000002</v>
      </c>
      <c r="E39" s="198">
        <v>0.65877799999999997</v>
      </c>
      <c r="F39" s="198">
        <v>0</v>
      </c>
      <c r="G39" s="215">
        <v>0</v>
      </c>
      <c r="H39" s="131"/>
    </row>
    <row r="40" spans="1:8" x14ac:dyDescent="0.25">
      <c r="A40" s="133"/>
      <c r="B40" s="204" t="str">
        <v>Steel, reinforcing, , Steel reinforcement products for concrete (Denmark) (Celsa Steel Service A/S) (Global)</v>
      </c>
      <c r="C40" s="132" t="str">
        <v>tonne</v>
      </c>
      <c r="D40" s="198">
        <v>445.06299999999999</v>
      </c>
      <c r="E40" s="198">
        <v>0.44506299999999999</v>
      </c>
      <c r="F40" s="198">
        <v>0</v>
      </c>
      <c r="G40" s="215">
        <v>0</v>
      </c>
      <c r="H40" s="131"/>
    </row>
    <row r="41" spans="1:8" x14ac:dyDescent="0.25">
      <c r="A41" s="133"/>
      <c r="B41" s="204" t="str">
        <v>Steel, reinforcing, , Carbon steel reinforcing bar (secondary production route - scrap) (Conares Steel) (Global)</v>
      </c>
      <c r="C41" s="132" t="str">
        <v>tonne</v>
      </c>
      <c r="D41" s="198">
        <v>964</v>
      </c>
      <c r="E41" s="198">
        <v>0.96399999999999997</v>
      </c>
      <c r="F41" s="198">
        <v>0</v>
      </c>
      <c r="G41" s="215">
        <v>0</v>
      </c>
      <c r="H41" s="131"/>
    </row>
    <row r="42" spans="1:8" x14ac:dyDescent="0.25">
      <c r="A42" s="133"/>
      <c r="B42" s="204" t="str">
        <v>Steel, reinforcing, , Carbon steel reinforcing bar (secondary production route - scrap) (Kaptan Group) (Global)</v>
      </c>
      <c r="C42" s="132" t="str">
        <v>tonne</v>
      </c>
      <c r="D42" s="198">
        <v>738.899</v>
      </c>
      <c r="E42" s="198">
        <v>0.73889899999999997</v>
      </c>
      <c r="F42" s="198">
        <v>0</v>
      </c>
      <c r="G42" s="215">
        <v>0</v>
      </c>
      <c r="H42" s="131"/>
    </row>
    <row r="43" spans="1:8" x14ac:dyDescent="0.25">
      <c r="A43" s="133"/>
      <c r="B43" s="204" t="str">
        <v>Steel, reinforcing, , HOT ROLLED STEEL REINFORCING STEEL IN BARS AND COILS (Pittini Group) (Global)</v>
      </c>
      <c r="C43" s="132" t="str">
        <v>tonne</v>
      </c>
      <c r="D43" s="198">
        <v>689.46209999999996</v>
      </c>
      <c r="E43" s="198">
        <v>0.68946209999999997</v>
      </c>
      <c r="F43" s="198">
        <v>0</v>
      </c>
      <c r="G43" s="215">
        <v>0</v>
      </c>
      <c r="H43" s="131"/>
    </row>
    <row r="44" spans="1:8" x14ac:dyDescent="0.25">
      <c r="A44" s="133"/>
      <c r="B44" s="204" t="str">
        <v>Steel, reinforcing, , Reinforcing steel in Bars (Rebars) (ArcelorMittal Europe) (Global)</v>
      </c>
      <c r="C44" s="132" t="str">
        <v>tonne</v>
      </c>
      <c r="D44" s="198">
        <v>818</v>
      </c>
      <c r="E44" s="198">
        <v>0.81799999999999995</v>
      </c>
      <c r="F44" s="198">
        <v>0</v>
      </c>
      <c r="G44" s="215">
        <v>0</v>
      </c>
      <c r="H44" s="131"/>
    </row>
    <row r="45" spans="1:8" x14ac:dyDescent="0.25">
      <c r="A45" s="133"/>
      <c r="B45" s="204" t="str">
        <v>Steel, reinforcing, , Dramix® Steel fibres for Concrete Reinforcement Bekaert (Bekaert) (Global)</v>
      </c>
      <c r="C45" s="132" t="str">
        <v>tonne</v>
      </c>
      <c r="D45" s="198">
        <v>707.91899999999998</v>
      </c>
      <c r="E45" s="198">
        <v>0.70791899999999996</v>
      </c>
      <c r="F45" s="198">
        <v>0</v>
      </c>
      <c r="G45" s="215">
        <v>0</v>
      </c>
      <c r="H45" s="131"/>
    </row>
    <row r="46" spans="1:8" x14ac:dyDescent="0.25">
      <c r="A46" s="133"/>
      <c r="B46" s="204" t="str">
        <v>Steel, reinforcing, , Dramix® Steel fibers for Concrete Reinforcement Karawang (Karawang) (Global)</v>
      </c>
      <c r="C46" s="132" t="str">
        <v>tonne</v>
      </c>
      <c r="D46" s="198">
        <v>1489.3000000000002</v>
      </c>
      <c r="E46" s="198">
        <v>1.4893000000000003</v>
      </c>
      <c r="F46" s="198">
        <v>0</v>
      </c>
      <c r="G46" s="215">
        <v>0</v>
      </c>
      <c r="H46" s="131"/>
    </row>
    <row r="47" spans="1:8" x14ac:dyDescent="0.25">
      <c r="A47" s="133"/>
      <c r="B47" s="204" t="str">
        <v>Steel, reinforcing, , 1 tonne steel reinforcing bar/coil (NatSteel Holdings Pty Ltd) (Global)</v>
      </c>
      <c r="C47" s="132" t="str">
        <v>tonne</v>
      </c>
      <c r="D47" s="198">
        <v>490</v>
      </c>
      <c r="E47" s="198">
        <v>0.49</v>
      </c>
      <c r="F47" s="198">
        <v>0</v>
      </c>
      <c r="G47" s="215">
        <v>0</v>
      </c>
      <c r="H47" s="131"/>
    </row>
    <row r="48" spans="1:8" x14ac:dyDescent="0.25">
      <c r="A48" s="133"/>
      <c r="B48" s="204" t="str">
        <v>Steel, reinforcing, , High tensile prestressing steel wire and strand for the prestressing of concrete (Primary production route - Iron ore) (Silvery Dragon Prestressed Materials Co., Ltd) (Global)</v>
      </c>
      <c r="C48" s="132" t="str">
        <v>tonne</v>
      </c>
      <c r="D48" s="198">
        <v>2492.1460000000002</v>
      </c>
      <c r="E48" s="198">
        <v>2.492146</v>
      </c>
      <c r="F48" s="198">
        <v>0</v>
      </c>
      <c r="G48" s="215">
        <v>0</v>
      </c>
      <c r="H48" s="131"/>
    </row>
    <row r="49" spans="1:8" x14ac:dyDescent="0.25">
      <c r="A49" s="133"/>
      <c r="B49" s="204" t="str">
        <v>Steel, reinforcing, , Carbon Steel Reinforcing Bar (secondary production route - scrap) (TATA Steel Manufacturing (Thailand)) (Global)</v>
      </c>
      <c r="C49" s="132" t="str">
        <v>tonne</v>
      </c>
      <c r="D49" s="198">
        <v>950.13</v>
      </c>
      <c r="E49" s="198">
        <v>0.95012999999999992</v>
      </c>
      <c r="F49" s="198">
        <v>0</v>
      </c>
      <c r="G49" s="215">
        <v>0</v>
      </c>
      <c r="H49" s="131"/>
    </row>
    <row r="50" spans="1:8" x14ac:dyDescent="0.25">
      <c r="A50" s="133"/>
      <c r="B50" s="204" t="str">
        <v>Steel, reinforcing, , Rebar (Wei Chih Steel) (Global, Taiwan)</v>
      </c>
      <c r="C50" s="132" t="str">
        <v>tonne</v>
      </c>
      <c r="D50" s="198">
        <v>960</v>
      </c>
      <c r="E50" s="198">
        <v>0.96</v>
      </c>
      <c r="F50" s="198">
        <v>0</v>
      </c>
      <c r="G50" s="215">
        <v>0</v>
      </c>
      <c r="H50" s="131"/>
    </row>
    <row r="51" spans="1:8" x14ac:dyDescent="0.25">
      <c r="A51" s="133"/>
      <c r="B51" s="204" t="str">
        <v>Steel, reinforcing, , Steel Bars and Coil for Concrete Reinforced (Tung Ho Steel Enterprise Group) (Global)</v>
      </c>
      <c r="C51" s="132" t="str">
        <v>tonne</v>
      </c>
      <c r="D51" s="198">
        <v>1183.4650000000001</v>
      </c>
      <c r="E51" s="198">
        <v>1.183465</v>
      </c>
      <c r="F51" s="198">
        <v>0</v>
      </c>
      <c r="G51" s="215">
        <v>0</v>
      </c>
      <c r="H51" s="131"/>
    </row>
    <row r="52" spans="1:8" x14ac:dyDescent="0.25">
      <c r="A52" s="133"/>
      <c r="B52" s="204" t="str">
        <v>Steel, reinforcing, , Carbon steel reinforcing bar (secondary production route - scrap) (SN Seixal - Siderurgica Nacional S.A) (Global)</v>
      </c>
      <c r="C52" s="132" t="str">
        <v>tonne</v>
      </c>
      <c r="D52" s="198">
        <v>402.19600000000003</v>
      </c>
      <c r="E52" s="198">
        <v>0.402196</v>
      </c>
      <c r="F52" s="198">
        <v>0</v>
      </c>
      <c r="G52" s="215">
        <v>0</v>
      </c>
      <c r="H52" s="131"/>
    </row>
    <row r="53" spans="1:8" x14ac:dyDescent="0.25">
      <c r="A53" s="133"/>
      <c r="B53" s="204" t="str">
        <v>Steel, reinforcing, , Carbon steel reinforcing bar (secondary production route - scrap) (Kroman Celik Sanayii A.S) (Global)</v>
      </c>
      <c r="C53" s="132" t="str">
        <v>tonne</v>
      </c>
      <c r="D53" s="198">
        <v>825.33399999999995</v>
      </c>
      <c r="E53" s="198">
        <v>0.8253339999999999</v>
      </c>
      <c r="F53" s="198">
        <v>0</v>
      </c>
      <c r="G53" s="215">
        <v>0</v>
      </c>
      <c r="H53" s="131"/>
    </row>
    <row r="54" spans="1:8" x14ac:dyDescent="0.25">
      <c r="A54" s="133"/>
      <c r="B54" s="204" t="str">
        <v>Steel, reinforcing, , Carbon steel reinforcing bar (secondary production route - scrap) (Diler Demir Celik Endustri ve Ticaret A.S) (Global)</v>
      </c>
      <c r="C54" s="132" t="str">
        <v>tonne</v>
      </c>
      <c r="D54" s="198">
        <v>951.23199999999997</v>
      </c>
      <c r="E54" s="198">
        <v>0.95123199999999997</v>
      </c>
      <c r="F54" s="198">
        <v>0</v>
      </c>
      <c r="G54" s="215">
        <v>0</v>
      </c>
      <c r="H54" s="131"/>
    </row>
    <row r="55" spans="1:8" x14ac:dyDescent="0.25">
      <c r="A55" s="133"/>
      <c r="B55" s="204" t="str">
        <v>Steel, reinforcing, , Carbon steel reinforcing bar (ArcelorMittal Kryvyi Rih) (Global)</v>
      </c>
      <c r="C55" s="132" t="str">
        <v>tonne</v>
      </c>
      <c r="D55" s="198">
        <v>2540.335</v>
      </c>
      <c r="E55" s="198">
        <v>2.5403350000000002</v>
      </c>
      <c r="F55" s="198">
        <v>0</v>
      </c>
      <c r="G55" s="215">
        <v>0</v>
      </c>
      <c r="H55" s="131"/>
    </row>
    <row r="56" spans="1:8" x14ac:dyDescent="0.25">
      <c r="A56" s="133"/>
      <c r="B56" s="204" t="str">
        <v>Steel, reinforcing, , Carbon steel reinforcing bar (Direct Reduced Iron production route) (Qatar Steel Company (QPSC)) (Global)</v>
      </c>
      <c r="C56" s="132" t="str">
        <v>tonne</v>
      </c>
      <c r="D56" s="198">
        <v>2023.0550000000001</v>
      </c>
      <c r="E56" s="198">
        <v>2.0230549999999998</v>
      </c>
      <c r="F56" s="198">
        <v>0</v>
      </c>
      <c r="G56" s="215">
        <v>0</v>
      </c>
      <c r="H56" s="131"/>
    </row>
    <row r="57" spans="1:8" x14ac:dyDescent="0.25">
      <c r="A57" s="133"/>
      <c r="B57" s="204" t="str">
        <v>Steel, reinforcing, , Carbon steel reinforcing bar (secondary production route - scrap) (Ekinciler Demir ve Celik San. A.S) (Global)</v>
      </c>
      <c r="C57" s="132" t="str">
        <v>tonne</v>
      </c>
      <c r="D57" s="198">
        <v>799.26099999999997</v>
      </c>
      <c r="E57" s="198">
        <v>0.799261</v>
      </c>
      <c r="F57" s="198">
        <v>0</v>
      </c>
      <c r="G57" s="215">
        <v>0</v>
      </c>
      <c r="H57" s="131"/>
    </row>
    <row r="58" spans="1:8" x14ac:dyDescent="0.25">
      <c r="A58" s="133"/>
      <c r="B58" s="204" t="str">
        <v>Steel, reinforcing, , Coil rebar (Dongkuk Steel) (Global)</v>
      </c>
      <c r="C58" s="132" t="str">
        <v>tonne</v>
      </c>
      <c r="D58" s="198">
        <v>1338.9850000000001</v>
      </c>
      <c r="E58" s="198">
        <v>1.3389850000000001</v>
      </c>
      <c r="F58" s="198">
        <v>0</v>
      </c>
      <c r="G58" s="215">
        <v>0</v>
      </c>
      <c r="H58" s="131"/>
    </row>
    <row r="59" spans="1:8" x14ac:dyDescent="0.25">
      <c r="A59" s="133"/>
      <c r="B59" s="204" t="str">
        <v>Steel, reinforcing, , Carbon steel reinforcing bar (secondary production route - scrap) (ICDAS Celik Enerji Tersane ve Ulasim Sanayi A.S.) (Global)</v>
      </c>
      <c r="C59" s="132" t="str">
        <v>tonne</v>
      </c>
      <c r="D59" s="198">
        <v>850.298</v>
      </c>
      <c r="E59" s="198">
        <v>0.850298</v>
      </c>
      <c r="F59" s="198">
        <v>0</v>
      </c>
      <c r="G59" s="215">
        <v>0</v>
      </c>
      <c r="H59" s="131"/>
    </row>
    <row r="60" spans="1:8" x14ac:dyDescent="0.25">
      <c r="A60" s="133"/>
      <c r="B60" s="204" t="str">
        <v>Steel, reinforcing, , Carbon steel reinforcing bar (Direct Reduced Iron production route) (Jindal Shadeed Iron and Steel LLC) (Global)</v>
      </c>
      <c r="C60" s="132" t="str">
        <v>tonne</v>
      </c>
      <c r="D60" s="198">
        <v>1640</v>
      </c>
      <c r="E60" s="198">
        <v>1.64</v>
      </c>
      <c r="F60" s="198">
        <v>0</v>
      </c>
      <c r="G60" s="215">
        <v>0</v>
      </c>
      <c r="H60" s="131"/>
    </row>
    <row r="61" spans="1:8" x14ac:dyDescent="0.25">
      <c r="A61" s="133"/>
      <c r="B61" s="204" t="str">
        <v>Steel, reinforcing, , Carbon steel reinforcing bar (secondary production route - scrap) (Conares Metal Supply Ltd) (Global)</v>
      </c>
      <c r="C61" s="132" t="str">
        <v>tonne</v>
      </c>
      <c r="D61" s="198">
        <v>940.86199999999997</v>
      </c>
      <c r="E61" s="198">
        <v>0.94086200000000009</v>
      </c>
      <c r="F61" s="198">
        <v>0</v>
      </c>
      <c r="G61" s="215">
        <v>0</v>
      </c>
      <c r="H61" s="131"/>
    </row>
    <row r="62" spans="1:8" x14ac:dyDescent="0.25">
      <c r="A62" s="133"/>
      <c r="B62" s="204" t="str">
        <v>Steel, reinforcing, , Carbon steel reinforcing bar (secondary production route - scrap) (HABAS A.S.) (Global)</v>
      </c>
      <c r="C62" s="132" t="str">
        <v>tonne</v>
      </c>
      <c r="D62" s="198">
        <v>940.13200000000006</v>
      </c>
      <c r="E62" s="198">
        <v>0.94013199999999997</v>
      </c>
      <c r="F62" s="198">
        <v>0</v>
      </c>
      <c r="G62" s="215">
        <v>0</v>
      </c>
      <c r="H62" s="131"/>
    </row>
    <row r="63" spans="1:8" x14ac:dyDescent="0.25">
      <c r="A63" s="133"/>
      <c r="B63" s="204" t="str">
        <v>Steel, reinforcing, , TMT Rebar (100% Recycled Scrap) (Jindal Steel &amp; Power) (Global)</v>
      </c>
      <c r="C63" s="132" t="str">
        <v>tonne</v>
      </c>
      <c r="D63" s="198">
        <v>445</v>
      </c>
      <c r="E63" s="198">
        <v>0.44500000000000001</v>
      </c>
      <c r="F63" s="198">
        <v>0</v>
      </c>
      <c r="G63" s="215">
        <v>0</v>
      </c>
      <c r="H63" s="131"/>
    </row>
    <row r="64" spans="1:8" x14ac:dyDescent="0.25">
      <c r="A64" s="133"/>
      <c r="B64" s="204" t="str">
        <v>Steel, reinforcing, , Carbon Steel reinforcing bars from the primary production route (Iron Ore/Blast Furnace) and the secondary production (Shiu Wing Steel Ltd) (Global)</v>
      </c>
      <c r="C64" s="132" t="str">
        <v>tonne</v>
      </c>
      <c r="D64" s="198">
        <v>2050.7080000000001</v>
      </c>
      <c r="E64" s="198">
        <v>2.0507079999999998</v>
      </c>
      <c r="F64" s="198">
        <v>0</v>
      </c>
      <c r="G64" s="215">
        <v>0</v>
      </c>
      <c r="H64" s="131"/>
    </row>
    <row r="65" spans="1:8" x14ac:dyDescent="0.25">
      <c r="A65" s="133"/>
      <c r="B65" s="204" t="str">
        <v>Reinforcing steel, , Steel Reinforcing Bar (Stride Reinforcement Pty Ltd) (Australia)</v>
      </c>
      <c r="C65" s="132" t="str">
        <v>tonne</v>
      </c>
      <c r="D65" s="198">
        <v>1527.1200593534252</v>
      </c>
      <c r="E65" s="198">
        <v>1.5271200593534251</v>
      </c>
      <c r="F65" s="198">
        <v>0</v>
      </c>
      <c r="G65" s="215">
        <v>0</v>
      </c>
      <c r="H65" s="131"/>
    </row>
    <row r="66" spans="1:8" x14ac:dyDescent="0.25">
      <c r="A66" s="133"/>
      <c r="B66" s="217" t="str">
        <v>Reinforcing steel, , Steel deformed Reinforcing Bar (Reozone) (Australia)</v>
      </c>
      <c r="C66" s="218" t="str">
        <v>tonne</v>
      </c>
      <c r="D66" s="219">
        <v>1110</v>
      </c>
      <c r="E66" s="219">
        <v>1.1100000000000001</v>
      </c>
      <c r="F66" s="219">
        <v>0</v>
      </c>
      <c r="G66" s="220">
        <v>0</v>
      </c>
      <c r="H66" s="131"/>
    </row>
    <row r="67" spans="1:8" x14ac:dyDescent="0.25">
      <c r="B67" s="130"/>
      <c r="C67" s="130"/>
      <c r="D67" s="207"/>
      <c r="E67" s="207"/>
      <c r="F67" s="207"/>
      <c r="G67" s="207"/>
    </row>
  </sheetData>
  <dataValidations count="1">
    <dataValidation type="list" allowBlank="1" showInputMessage="1" showErrorMessage="1" sqref="B6:B9" xr:uid="{15C3E438-D00C-4770-9286-E34D13C50E26}">
      <formula1>"Tier 1,Tier 2,Tier 3,Tier 4"</formula1>
    </dataValidation>
  </dataValidations>
  <hyperlinks>
    <hyperlink ref="O4" r:id="rId1" display="https://www.steel.org.au/Membership/media/Australian-Steel-Institute/PDFs/Steel-Industry-Capability-document-050623.pdf" xr:uid="{3FB314EB-A656-4518-9230-F5A787E73B35}"/>
    <hyperlink ref="O5" r:id="rId2" display="https://www.steel.org.au/Membership/media/Australian-Steel-Institute/PDFs/Steel-Industry-Capability-document-050623.pdf" xr:uid="{990C7741-4F63-42EA-9A52-4D1FA77D0BB9}"/>
    <hyperlink ref="P5" r:id="rId3" xr:uid="{6C9B2DB8-74EA-4A31-887E-CDF22C1F371D}"/>
    <hyperlink ref="P4" r:id="rId4" xr:uid="{D2DF6DB4-4DCC-47EF-B411-3CFA135A43AE}"/>
  </hyperlinks>
  <pageMargins left="0.7" right="0.7" top="0.75" bottom="0.75" header="0.3" footer="0.3"/>
  <pageSetup paperSize="9" orientation="portrait" horizontalDpi="300" verticalDpi="300"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7B2D-6D15-45F9-8FF1-14FB39F8A8DE}">
  <sheetPr codeName="Sheet100">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Roller door</v>
      </c>
    </row>
    <row r="2" spans="1:8" ht="13" x14ac:dyDescent="0.25">
      <c r="A2" s="202"/>
      <c r="C2" s="202"/>
    </row>
    <row r="3" spans="1:8" ht="13" x14ac:dyDescent="0.3">
      <c r="A3" s="227" t="s">
        <v>5626</v>
      </c>
      <c r="B3" s="132" t="s">
        <v>5905</v>
      </c>
    </row>
    <row r="4" spans="1:8" ht="13" x14ac:dyDescent="0.25">
      <c r="A4" s="202"/>
    </row>
    <row r="5" spans="1:8" ht="92.25" customHeight="1" x14ac:dyDescent="0.3">
      <c r="A5" s="227" t="s">
        <v>5628</v>
      </c>
      <c r="B5" s="200" t="s">
        <v>5906</v>
      </c>
      <c r="D5" s="200"/>
      <c r="E5" s="271"/>
    </row>
    <row r="6" spans="1:8" ht="13" x14ac:dyDescent="0.3">
      <c r="A6" s="227" t="s">
        <v>5630</v>
      </c>
      <c r="B6" s="201" t="s">
        <v>74</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c r="B14" s="132" t="s">
        <v>5907</v>
      </c>
    </row>
    <row r="15" spans="1:8" ht="13" x14ac:dyDescent="0.3">
      <c r="A15" s="227"/>
      <c r="B15" s="135"/>
      <c r="C15" s="135"/>
      <c r="D15" s="299" t="s">
        <v>77</v>
      </c>
      <c r="E15" s="300"/>
      <c r="F15" s="299" t="s">
        <v>5424</v>
      </c>
      <c r="G15" s="301"/>
    </row>
    <row r="16" spans="1:8" ht="39" x14ac:dyDescent="0.25">
      <c r="A16" s="133"/>
      <c r="B16" s="312" t="s">
        <v>4719</v>
      </c>
      <c r="C16" s="316" t="s">
        <v>24</v>
      </c>
      <c r="D16" s="314" t="s">
        <v>146</v>
      </c>
      <c r="E16" s="315" t="s">
        <v>153</v>
      </c>
      <c r="F16" s="314" t="s">
        <v>147</v>
      </c>
      <c r="G16" s="314" t="s">
        <v>154</v>
      </c>
      <c r="H16" s="131"/>
    </row>
    <row r="17" spans="1:9" ht="13" x14ac:dyDescent="0.3">
      <c r="A17" s="133"/>
      <c r="B17" s="211"/>
      <c r="C17" s="212" t="s">
        <v>5636</v>
      </c>
      <c r="D17" s="196" t="str" cm="1">
        <f t="array" ref="D17">IF(AND(_xlfn.ANCHORARRAY(C23)=C23),C23,"Mixed")</f>
        <v>m²</v>
      </c>
      <c r="E17" s="196" t="s">
        <v>2774</v>
      </c>
      <c r="F17" s="196" t="str" cm="1">
        <f t="array" ref="F17">IF(AND(_xlfn.ANCHORARRAY(C23)=C23),C23,"Mixed")</f>
        <v>m²</v>
      </c>
      <c r="G17" s="213" t="s">
        <v>2774</v>
      </c>
      <c r="H17" s="131"/>
    </row>
    <row r="18" spans="1:9" s="200" customFormat="1" ht="13" x14ac:dyDescent="0.3">
      <c r="A18" s="221"/>
      <c r="B18" s="214"/>
      <c r="C18" s="202" t="s">
        <v>5637</v>
      </c>
      <c r="D18" s="198">
        <f>MAX(_xlfn.ANCHORARRAY(D23))</f>
        <v>110</v>
      </c>
      <c r="E18" s="198">
        <f t="shared" ref="E18:G18" si="0">MAX(_xlfn.ANCHORARRAY(E23))</f>
        <v>4.7222460719498578</v>
      </c>
      <c r="F18" s="198">
        <f t="shared" si="0"/>
        <v>0</v>
      </c>
      <c r="G18" s="215">
        <f t="shared" si="0"/>
        <v>0</v>
      </c>
      <c r="H18" s="131"/>
      <c r="I18" s="132"/>
    </row>
    <row r="19" spans="1:9" ht="13" x14ac:dyDescent="0.25">
      <c r="A19" s="133"/>
      <c r="B19" s="204"/>
      <c r="C19" s="202" t="s">
        <v>5638</v>
      </c>
      <c r="D19" s="198">
        <f>MIN(_xlfn.ANCHORARRAY(D23))</f>
        <v>96.7</v>
      </c>
      <c r="E19" s="198">
        <f t="shared" ref="E19:G19" si="1">MIN(_xlfn.ANCHORARRAY(E23))</f>
        <v>3.2565501448103995</v>
      </c>
      <c r="F19" s="198">
        <f t="shared" si="1"/>
        <v>0</v>
      </c>
      <c r="G19" s="215">
        <f t="shared" si="1"/>
        <v>0</v>
      </c>
      <c r="H19" s="131"/>
    </row>
    <row r="20" spans="1:9" ht="13" x14ac:dyDescent="0.25">
      <c r="A20" s="133"/>
      <c r="B20" s="204"/>
      <c r="C20" s="202" t="s">
        <v>5639</v>
      </c>
      <c r="D20" s="198">
        <f>AVERAGE(_xlfn.ANCHORARRAY(D23))</f>
        <v>103.35</v>
      </c>
      <c r="E20" s="198">
        <f t="shared" ref="E20:G20" si="2">AVERAGE(_xlfn.ANCHORARRAY(E23))</f>
        <v>3.9893981083801284</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4">_xlfn.UNIQUE(_xlfn._xlws.FILTER('EPD List'!D:D,ISNUMBER(SEARCH(B16,'EPD List'!C:C)),0))</f>
        <v>Roller doors, , Sectional door 601 - full vision (Loading Systems) (Europe)</v>
      </c>
      <c r="C23" s="132" t="str" cm="1">
        <f t="array" ref="C23:C24">_xlfn.IFNA(INDEX('EPD List'!$A:$AB,MATCH(_xlfn.ANCHORARRAY(B23),'EPD List'!$D:$D,0),MATCH(C$16,'EPD List'!$7:$7,0)),"")</f>
        <v>m²</v>
      </c>
      <c r="D23" s="198" cm="1">
        <f t="array" ref="D23:D24">_xlfn.IFNA(VALUE((INDEX('EPD List'!$A:$AD,MATCH(_xlfn.ANCHORARRAY($B23),'EPD List'!$D:$D,0),MATCH(D$16,'EPD List'!$7:$7,0)))),"")</f>
        <v>110</v>
      </c>
      <c r="E23" s="198" cm="1">
        <f t="array" ref="E23:E24">IFERROR(VALUE((INDEX('EPD List'!$A:$AD,MATCH(_xlfn.ANCHORARRAY($B23),'EPD List'!$D:$D,0),MATCH(E$16,'EPD List'!$7:$7,0)))),"")</f>
        <v>4.7222460719498578</v>
      </c>
      <c r="F23" s="198" cm="1">
        <f t="array" ref="F23:F24">_xlfn.IFNA(VALUE((INDEX('EPD List'!$A:$AD,MATCH(_xlfn.ANCHORARRAY($B23),'EPD List'!$D:$D,0),MATCH(F$16,'EPD List'!$7:$7,0)))),"")</f>
        <v>0</v>
      </c>
      <c r="G23" s="215" cm="1">
        <f t="array" ref="G23:G24">IFERROR(VALUE((INDEX('EPD List'!$A:$AD,MATCH(_xlfn.ANCHORARRAY($B23),'EPD List'!$D:$D,0),MATCH(G$16,'EPD List'!$7:$7,0)))),"")</f>
        <v>0</v>
      </c>
      <c r="H23" s="131"/>
    </row>
    <row r="24" spans="1:9" x14ac:dyDescent="0.25">
      <c r="A24" s="133"/>
      <c r="B24" s="217" t="str">
        <v>Roller doors, , Sectional door 601 (Loading Systems) (Europe)</v>
      </c>
      <c r="C24" s="218" t="str">
        <v>m²</v>
      </c>
      <c r="D24" s="219">
        <v>96.7</v>
      </c>
      <c r="E24" s="219">
        <v>3.2565501448103995</v>
      </c>
      <c r="F24" s="219">
        <v>0</v>
      </c>
      <c r="G24" s="220">
        <v>0</v>
      </c>
      <c r="H24" s="131"/>
    </row>
    <row r="25" spans="1:9" x14ac:dyDescent="0.25">
      <c r="B25" s="130"/>
      <c r="C25" s="130"/>
      <c r="D25" s="207"/>
      <c r="E25" s="207"/>
      <c r="F25" s="207"/>
      <c r="G25" s="207"/>
    </row>
    <row r="90" spans="9:9" x14ac:dyDescent="0.25">
      <c r="I90" s="198"/>
    </row>
  </sheetData>
  <dataValidations count="1">
    <dataValidation type="list" allowBlank="1" showInputMessage="1" showErrorMessage="1" sqref="B6:B9" xr:uid="{07AA7C56-D57A-480A-9CB4-CFCF61A3332D}">
      <formula1>"Tier 1,Tier 2,Tier 3,Tier 4"</formula1>
    </dataValidation>
  </dataValidations>
  <pageMargins left="0.7" right="0.7" top="0.75" bottom="0.75" header="0.3" footer="0.3"/>
  <pageSetup paperSize="9"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497F-D83C-48AC-9B53-BB22CF6B6005}">
  <sheetPr codeName="Sheet87">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Roof tiles - clay</v>
      </c>
    </row>
    <row r="2" spans="1:8" ht="13" x14ac:dyDescent="0.25">
      <c r="A2" s="202"/>
      <c r="C2" s="202"/>
    </row>
    <row r="3" spans="1:8" ht="13" x14ac:dyDescent="0.3">
      <c r="A3" s="227" t="s">
        <v>5626</v>
      </c>
      <c r="B3" s="132" t="s">
        <v>5908</v>
      </c>
    </row>
    <row r="4" spans="1:8" ht="13" x14ac:dyDescent="0.25">
      <c r="A4" s="202"/>
    </row>
    <row r="5" spans="1:8" ht="92.25" customHeight="1" x14ac:dyDescent="0.3">
      <c r="A5" s="227" t="s">
        <v>5628</v>
      </c>
      <c r="B5" s="200" t="s">
        <v>5909</v>
      </c>
      <c r="D5" s="200"/>
      <c r="E5" s="271"/>
    </row>
    <row r="6" spans="1:8" ht="13" x14ac:dyDescent="0.3">
      <c r="A6" s="227" t="s">
        <v>5630</v>
      </c>
      <c r="B6" s="201" t="s">
        <v>74</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4727</v>
      </c>
      <c r="C16" s="311" t="s">
        <v>24</v>
      </c>
      <c r="D16" s="208" t="s">
        <v>146</v>
      </c>
      <c r="E16" s="209" t="s">
        <v>153</v>
      </c>
      <c r="F16" s="208" t="s">
        <v>147</v>
      </c>
      <c r="G16" s="208" t="s">
        <v>154</v>
      </c>
      <c r="H16" s="131"/>
    </row>
    <row r="17" spans="1:9" ht="13" x14ac:dyDescent="0.3">
      <c r="A17" s="133"/>
      <c r="B17" s="317"/>
      <c r="C17" s="206" t="s">
        <v>5636</v>
      </c>
      <c r="D17" s="207" t="str" cm="1">
        <f t="array" ref="D17">IF(AND(_xlfn.ANCHORARRAY(C23)=C23),C23,"Mixed")</f>
        <v>tonne</v>
      </c>
      <c r="E17" s="207" t="s">
        <v>2774</v>
      </c>
      <c r="F17" s="207" t="str" cm="1">
        <f t="array" ref="F17">IF(AND(_xlfn.ANCHORARRAY(C23)=C23),C23,"Mixed")</f>
        <v>tonne</v>
      </c>
      <c r="G17" s="318" t="s">
        <v>2774</v>
      </c>
      <c r="H17" s="131"/>
    </row>
    <row r="18" spans="1:9" s="200" customFormat="1" ht="13" x14ac:dyDescent="0.3">
      <c r="A18" s="221"/>
      <c r="B18" s="214"/>
      <c r="C18" s="202" t="s">
        <v>5637</v>
      </c>
      <c r="D18" s="198">
        <f>MAX(_xlfn.ANCHORARRAY(D23))</f>
        <v>568.14395201599461</v>
      </c>
      <c r="E18" s="198">
        <f t="shared" ref="E18:G18" si="0">MAX(_xlfn.ANCHORARRAY(E23))</f>
        <v>0.56814395201599466</v>
      </c>
      <c r="F18" s="198">
        <f t="shared" si="0"/>
        <v>0</v>
      </c>
      <c r="G18" s="215">
        <f t="shared" si="0"/>
        <v>0</v>
      </c>
      <c r="H18" s="131"/>
      <c r="I18" s="132"/>
    </row>
    <row r="19" spans="1:9" ht="13" x14ac:dyDescent="0.25">
      <c r="A19" s="133"/>
      <c r="B19" s="204"/>
      <c r="C19" s="202" t="s">
        <v>5638</v>
      </c>
      <c r="D19" s="198">
        <f>MIN(_xlfn.ANCHORARRAY(D23))</f>
        <v>47.832090000000001</v>
      </c>
      <c r="E19" s="198">
        <f t="shared" ref="E19:G19" si="1">MIN(_xlfn.ANCHORARRAY(E23))</f>
        <v>4.7832090000000001E-2</v>
      </c>
      <c r="F19" s="198">
        <f t="shared" si="1"/>
        <v>0</v>
      </c>
      <c r="G19" s="215">
        <f t="shared" si="1"/>
        <v>0</v>
      </c>
      <c r="H19" s="131"/>
    </row>
    <row r="20" spans="1:9" ht="13" x14ac:dyDescent="0.25">
      <c r="A20" s="133"/>
      <c r="B20" s="204"/>
      <c r="C20" s="202" t="s">
        <v>5639</v>
      </c>
      <c r="D20" s="198">
        <f>AVERAGE(_xlfn.ANCHORARRAY(D23))</f>
        <v>310.24978400533155</v>
      </c>
      <c r="E20" s="198">
        <f t="shared" ref="E20:G20" si="2">AVERAGE(_xlfn.ANCHORARRAY(E23))</f>
        <v>0.3102497840053316</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5">_xlfn.UNIQUE(_xlfn._xlws.FILTER('EPD List'!D:D,ISNUMBER(SEARCH(B16,'EPD List'!C:C)),0))</f>
        <v>Roof tiles - clay, , Terracotta tiles (Sahtas) (Turkey)</v>
      </c>
      <c r="C23" s="132" t="str" cm="1">
        <f t="array" ref="C23:C25">_xlfn.IFNA(INDEX('EPD List'!$A:$AB,MATCH(_xlfn.ANCHORARRAY(B23),'EPD List'!$D:$D,0),MATCH(C$16,'EPD List'!$7:$7,0)),"")</f>
        <v>tonne</v>
      </c>
      <c r="D23" s="198" cm="1">
        <f t="array" ref="D23:D25">_xlfn.IFNA(VALUE((INDEX('EPD List'!$A:$AD,MATCH(_xlfn.ANCHORARRAY($B23),'EPD List'!$D:$D,0),MATCH(D$16,'EPD List'!$7:$7,0)))),"")</f>
        <v>568.14395201599461</v>
      </c>
      <c r="E23" s="198" cm="1">
        <f t="array" ref="E23:E25">IFERROR(VALUE((INDEX('EPD List'!$A:$AD,MATCH(_xlfn.ANCHORARRAY($B23),'EPD List'!$D:$D,0),MATCH(E$16,'EPD List'!$7:$7,0)))),"")</f>
        <v>0.56814395201599466</v>
      </c>
      <c r="F23" s="198" cm="1">
        <f t="array" ref="F23:F25">_xlfn.IFNA(VALUE((INDEX('EPD List'!$A:$AD,MATCH(_xlfn.ANCHORARRAY($B23),'EPD List'!$D:$D,0),MATCH(F$16,'EPD List'!$7:$7,0)))),"")</f>
        <v>0</v>
      </c>
      <c r="G23" s="215" cm="1">
        <f t="array" ref="G23:G25">IFERROR(VALUE((INDEX('EPD List'!$A:$AD,MATCH(_xlfn.ANCHORARRAY($B23),'EPD List'!$D:$D,0),MATCH(G$16,'EPD List'!$7:$7,0)))),"")</f>
        <v>0</v>
      </c>
      <c r="H23" s="131"/>
    </row>
    <row r="24" spans="1:9" x14ac:dyDescent="0.25">
      <c r="A24" s="133"/>
      <c r="B24" s="204" t="str">
        <v>Roof tiles - clay, , Tile (Prayag Clay Products Limited (PCPL) (Global)</v>
      </c>
      <c r="C24" s="132" t="str">
        <v>tonne</v>
      </c>
      <c r="D24" s="198">
        <v>47.832090000000001</v>
      </c>
      <c r="E24" s="198">
        <v>4.7832090000000001E-2</v>
      </c>
      <c r="F24" s="198">
        <v>0</v>
      </c>
      <c r="G24" s="215">
        <v>0</v>
      </c>
      <c r="H24" s="131"/>
    </row>
    <row r="25" spans="1:9" x14ac:dyDescent="0.25">
      <c r="A25" s="133"/>
      <c r="B25" s="217" t="str">
        <v>Roof tiles - clay, , Clay roofing tile (BMI Sverige AB) (Sweden)</v>
      </c>
      <c r="C25" s="218" t="str">
        <v>tonne</v>
      </c>
      <c r="D25" s="219">
        <v>314.77331000000004</v>
      </c>
      <c r="E25" s="219">
        <v>0.31477331000000008</v>
      </c>
      <c r="F25" s="219">
        <v>0</v>
      </c>
      <c r="G25" s="220">
        <v>0</v>
      </c>
      <c r="H25" s="131"/>
    </row>
    <row r="26" spans="1:9" x14ac:dyDescent="0.25">
      <c r="B26" s="130"/>
      <c r="C26" s="130"/>
      <c r="D26" s="207"/>
      <c r="E26" s="207"/>
      <c r="F26" s="207"/>
      <c r="G26" s="207"/>
    </row>
    <row r="90" spans="9:9" x14ac:dyDescent="0.25">
      <c r="I90" s="198"/>
    </row>
  </sheetData>
  <dataValidations count="1">
    <dataValidation type="list" allowBlank="1" showInputMessage="1" showErrorMessage="1" sqref="B6:B9" xr:uid="{5C2E1E9D-FEE8-4889-9188-E3BF5FF35435}">
      <formula1>"Tier 1,Tier 2,Tier 3,Tier 4"</formula1>
    </dataValidation>
  </dataValidations>
  <pageMargins left="0.7" right="0.7" top="0.75" bottom="0.75" header="0.3" footer="0.3"/>
  <pageSetup paperSize="9"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AF68D-B8AF-4FE0-9F90-988B26990EAF}">
  <sheetPr codeName="Sheet99">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Rubber flooring</v>
      </c>
    </row>
    <row r="2" spans="1:8" ht="13" x14ac:dyDescent="0.25">
      <c r="A2" s="202"/>
      <c r="C2" s="202"/>
    </row>
    <row r="3" spans="1:8" ht="13" x14ac:dyDescent="0.3">
      <c r="A3" s="227" t="s">
        <v>5626</v>
      </c>
      <c r="B3" s="132" t="s">
        <v>5910</v>
      </c>
    </row>
    <row r="4" spans="1:8" ht="13" x14ac:dyDescent="0.25">
      <c r="A4" s="202"/>
    </row>
    <row r="5" spans="1:8" ht="92.25" customHeight="1" x14ac:dyDescent="0.3">
      <c r="A5" s="227" t="s">
        <v>5628</v>
      </c>
      <c r="B5" s="200" t="s">
        <v>5911</v>
      </c>
      <c r="D5" s="200"/>
      <c r="E5" s="271"/>
    </row>
    <row r="6" spans="1:8" ht="13" x14ac:dyDescent="0.3">
      <c r="A6" s="227" t="s">
        <v>5630</v>
      </c>
      <c r="B6" s="201" t="s">
        <v>74</v>
      </c>
      <c r="D6" s="132"/>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4736</v>
      </c>
      <c r="C16" s="311" t="s">
        <v>24</v>
      </c>
      <c r="D16" s="208" t="s">
        <v>146</v>
      </c>
      <c r="E16" s="209" t="s">
        <v>153</v>
      </c>
      <c r="F16" s="208" t="s">
        <v>147</v>
      </c>
      <c r="G16" s="208" t="s">
        <v>154</v>
      </c>
      <c r="H16" s="131"/>
    </row>
    <row r="17" spans="1:9" ht="13" x14ac:dyDescent="0.3">
      <c r="A17" s="133"/>
      <c r="B17" s="317"/>
      <c r="C17" s="206" t="s">
        <v>5636</v>
      </c>
      <c r="D17" s="207" t="str" cm="1">
        <f t="array" ref="D17">IF(AND(_xlfn.ANCHORARRAY(C23)=C23),C23,"Mixed")</f>
        <v>m²</v>
      </c>
      <c r="E17" s="207" t="s">
        <v>2774</v>
      </c>
      <c r="F17" s="207" t="str" cm="1">
        <f t="array" ref="F17">IF(AND(_xlfn.ANCHORARRAY(C23)=C23),C23,"Mixed")</f>
        <v>m²</v>
      </c>
      <c r="G17" s="318" t="s">
        <v>2774</v>
      </c>
      <c r="H17" s="131"/>
    </row>
    <row r="18" spans="1:9" s="200" customFormat="1" ht="13" x14ac:dyDescent="0.3">
      <c r="A18" s="221"/>
      <c r="B18" s="214"/>
      <c r="C18" s="202" t="s">
        <v>5637</v>
      </c>
      <c r="D18" s="198">
        <f>MAX(_xlfn.ANCHORARRAY(D23))</f>
        <v>16.219000000000001</v>
      </c>
      <c r="E18" s="198">
        <f t="shared" ref="E18:G18" si="0">MAX(_xlfn.ANCHORARRAY(E23))</f>
        <v>8.5363157894736847</v>
      </c>
      <c r="F18" s="198">
        <f t="shared" si="0"/>
        <v>0</v>
      </c>
      <c r="G18" s="215">
        <f t="shared" si="0"/>
        <v>0</v>
      </c>
      <c r="H18" s="131"/>
      <c r="I18" s="132"/>
    </row>
    <row r="19" spans="1:9" ht="13" x14ac:dyDescent="0.25">
      <c r="A19" s="133"/>
      <c r="B19" s="204"/>
      <c r="C19" s="202" t="s">
        <v>5638</v>
      </c>
      <c r="D19" s="198">
        <f>MIN(_xlfn.ANCHORARRAY(D23))</f>
        <v>0.37834366000000003</v>
      </c>
      <c r="E19" s="198">
        <f t="shared" ref="E19:G19" si="1">MIN(_xlfn.ANCHORARRAY(E23))</f>
        <v>0.42993597727272731</v>
      </c>
      <c r="F19" s="198">
        <f t="shared" si="1"/>
        <v>0</v>
      </c>
      <c r="G19" s="215">
        <f t="shared" si="1"/>
        <v>0</v>
      </c>
      <c r="H19" s="131"/>
    </row>
    <row r="20" spans="1:9" ht="13" x14ac:dyDescent="0.25">
      <c r="A20" s="133"/>
      <c r="B20" s="204"/>
      <c r="C20" s="202" t="s">
        <v>5639</v>
      </c>
      <c r="D20" s="198">
        <f>AVERAGE(_xlfn.ANCHORARRAY(D23))</f>
        <v>8.6864478866666666</v>
      </c>
      <c r="E20" s="198">
        <f t="shared" ref="E20:G20" si="2">AVERAGE(_xlfn.ANCHORARRAY(E23))</f>
        <v>3.9445081646730462</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25">_xlfn.UNIQUE(_xlfn._xlws.FILTER('EPD List'!D:D,ISNUMBER(SEARCH(B16,'EPD List'!C:C)),0))</f>
        <v>Rubber floor, , FLEXXER Resilient rubber flooring 2cm thick (NAR Kauçuk ve Zemin Sistemleri SAN. TİC. A.Ş.) (Turkey)</v>
      </c>
      <c r="C23" s="132" t="str" cm="1">
        <f t="array" ref="C23:C25">_xlfn.IFNA(INDEX('EPD List'!$A:$AB,MATCH(_xlfn.ANCHORARRAY(B23),'EPD List'!$D:$D,0),MATCH(C$16,'EPD List'!$7:$7,0)),"")</f>
        <v>m²</v>
      </c>
      <c r="D23" s="198" cm="1">
        <f t="array" ref="D23:D25">_xlfn.IFNA(VALUE((INDEX('EPD List'!$A:$AD,MATCH(_xlfn.ANCHORARRAY($B23),'EPD List'!$D:$D,0),MATCH(D$16,'EPD List'!$7:$7,0)))),"")</f>
        <v>16.219000000000001</v>
      </c>
      <c r="E23" s="198" cm="1">
        <f t="array" ref="E23:E25">IFERROR(VALUE((INDEX('EPD List'!$A:$AD,MATCH(_xlfn.ANCHORARRAY($B23),'EPD List'!$D:$D,0),MATCH(E$16,'EPD List'!$7:$7,0)))),"")</f>
        <v>8.5363157894736847</v>
      </c>
      <c r="F23" s="198" cm="1">
        <f t="array" ref="F23:F25">_xlfn.IFNA(VALUE((INDEX('EPD List'!$A:$AD,MATCH(_xlfn.ANCHORARRAY($B23),'EPD List'!$D:$D,0),MATCH(F$16,'EPD List'!$7:$7,0)))),"")</f>
        <v>0</v>
      </c>
      <c r="G23" s="215" cm="1">
        <f t="array" ref="G23:G25">IFERROR(VALUE((INDEX('EPD List'!$A:$AD,MATCH(_xlfn.ANCHORARRAY($B23),'EPD List'!$D:$D,0),MATCH(G$16,'EPD List'!$7:$7,0)))),"")</f>
        <v>0</v>
      </c>
      <c r="H23" s="131"/>
    </row>
    <row r="24" spans="1:9" x14ac:dyDescent="0.25">
      <c r="A24" s="133"/>
      <c r="B24" s="204" t="str">
        <v>Rubbing Flooring, , Granito Rubber Flooring Technology Resilient Floor Covering (Artigo) (US/Europe/Global)</v>
      </c>
      <c r="C24" s="132" t="str">
        <v>m²</v>
      </c>
      <c r="D24" s="198">
        <v>9.4619999999999997</v>
      </c>
      <c r="E24" s="198">
        <v>2.8672727272727272</v>
      </c>
      <c r="F24" s="198">
        <v>0</v>
      </c>
      <c r="G24" s="215">
        <v>0</v>
      </c>
      <c r="H24" s="131"/>
    </row>
    <row r="25" spans="1:9" x14ac:dyDescent="0.25">
      <c r="A25" s="133"/>
      <c r="B25" s="217" t="str">
        <v>Rubber Floor, , REGUPOL rolls and sheets (REGUPOL BSW GmbH) (Global)</v>
      </c>
      <c r="C25" s="218" t="str">
        <v>m²</v>
      </c>
      <c r="D25" s="219">
        <v>0.37834366000000003</v>
      </c>
      <c r="E25" s="219">
        <v>0.42993597727272731</v>
      </c>
      <c r="F25" s="219">
        <v>0</v>
      </c>
      <c r="G25" s="220">
        <v>0</v>
      </c>
      <c r="H25" s="131"/>
    </row>
    <row r="26" spans="1:9" x14ac:dyDescent="0.25">
      <c r="B26" s="130"/>
      <c r="C26" s="130"/>
      <c r="D26" s="207"/>
      <c r="E26" s="207"/>
      <c r="F26" s="207"/>
      <c r="G26" s="207"/>
    </row>
    <row r="90" spans="9:9" x14ac:dyDescent="0.25">
      <c r="I90" s="198"/>
    </row>
  </sheetData>
  <dataValidations count="1">
    <dataValidation type="list" allowBlank="1" showInputMessage="1" showErrorMessage="1" sqref="B6:B9" xr:uid="{10D5B2CC-F0CE-4A29-9B75-C476D5EB6312}">
      <formula1>"Tier 1,Tier 2,Tier 3,Tier 4"</formula1>
    </dataValidation>
  </dataValidations>
  <pageMargins left="0.7" right="0.7" top="0.75" bottom="0.75" header="0.3" footer="0.3"/>
  <pageSetup paperSize="9"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931E2-156B-4F8E-8558-FCC0FE77C708}">
  <sheetPr codeName="Sheet32">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16384" width="9.1796875" style="132"/>
  </cols>
  <sheetData>
    <row r="1" spans="1:8" ht="13" x14ac:dyDescent="0.25">
      <c r="A1" s="202" t="str">
        <f>B16</f>
        <v>Stabilised sand</v>
      </c>
    </row>
    <row r="2" spans="1:8" ht="13" x14ac:dyDescent="0.25">
      <c r="A2" s="202"/>
    </row>
    <row r="3" spans="1:8" ht="13" x14ac:dyDescent="0.3">
      <c r="A3" s="227" t="s">
        <v>5626</v>
      </c>
      <c r="B3" s="132" t="s">
        <v>5912</v>
      </c>
    </row>
    <row r="4" spans="1:8" ht="13" x14ac:dyDescent="0.25">
      <c r="A4" s="202"/>
    </row>
    <row r="5" spans="1:8" ht="73.5" customHeight="1" x14ac:dyDescent="0.3">
      <c r="A5" s="227" t="s">
        <v>5628</v>
      </c>
      <c r="B5" s="200" t="s">
        <v>5878</v>
      </c>
    </row>
    <row r="6" spans="1:8" ht="13" x14ac:dyDescent="0.3">
      <c r="A6" s="227" t="s">
        <v>5630</v>
      </c>
      <c r="B6" s="132" t="s">
        <v>71</v>
      </c>
    </row>
    <row r="7" spans="1:8" ht="13" x14ac:dyDescent="0.3">
      <c r="A7" s="227" t="s">
        <v>5631</v>
      </c>
      <c r="B7" s="201" t="s">
        <v>71</v>
      </c>
    </row>
    <row r="8" spans="1:8" ht="13" x14ac:dyDescent="0.3">
      <c r="A8" s="227" t="s">
        <v>5632</v>
      </c>
      <c r="B8" s="201" t="s">
        <v>72</v>
      </c>
    </row>
    <row r="9" spans="1:8" ht="13" x14ac:dyDescent="0.3">
      <c r="A9" s="227" t="s">
        <v>5633</v>
      </c>
      <c r="B9" s="202" t="s">
        <v>72</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4814</v>
      </c>
      <c r="C16" s="311" t="s">
        <v>24</v>
      </c>
      <c r="D16" s="208" t="s">
        <v>146</v>
      </c>
      <c r="E16" s="209" t="s">
        <v>153</v>
      </c>
      <c r="F16" s="208" t="s">
        <v>147</v>
      </c>
      <c r="G16" s="208" t="s">
        <v>154</v>
      </c>
      <c r="H16" s="131"/>
    </row>
    <row r="17" spans="1:8" ht="13" x14ac:dyDescent="0.3">
      <c r="A17" s="133"/>
      <c r="B17" s="317"/>
      <c r="C17" s="206" t="s">
        <v>5636</v>
      </c>
      <c r="D17" s="207" t="str" cm="1">
        <f t="array" ref="D17">IF(AND(_xlfn.ANCHORARRAY(C23)=C23),C23,"Mixed")</f>
        <v>m³</v>
      </c>
      <c r="E17" s="207" t="s">
        <v>2774</v>
      </c>
      <c r="F17" s="207" t="str" cm="1">
        <f t="array" ref="F17">IF(AND(_xlfn.ANCHORARRAY(C23)=C23),C23,"Mixed")</f>
        <v>m³</v>
      </c>
      <c r="G17" s="318" t="s">
        <v>2774</v>
      </c>
      <c r="H17" s="131"/>
    </row>
    <row r="18" spans="1:8" s="200" customFormat="1" ht="13" x14ac:dyDescent="0.3">
      <c r="A18" s="221"/>
      <c r="B18" s="214"/>
      <c r="C18" s="202" t="s">
        <v>5637</v>
      </c>
      <c r="D18" s="198">
        <f t="shared" ref="D18:G18" si="0">MAX(_xlfn.ANCHORARRAY(D23))</f>
        <v>344</v>
      </c>
      <c r="E18" s="198">
        <f t="shared" si="0"/>
        <v>0.19657142857142856</v>
      </c>
      <c r="F18" s="198">
        <f t="shared" si="0"/>
        <v>0</v>
      </c>
      <c r="G18" s="215">
        <f t="shared" si="0"/>
        <v>0</v>
      </c>
      <c r="H18" s="131"/>
    </row>
    <row r="19" spans="1:8" ht="13" x14ac:dyDescent="0.25">
      <c r="A19" s="133"/>
      <c r="B19" s="204"/>
      <c r="C19" s="202" t="s">
        <v>5638</v>
      </c>
      <c r="D19" s="198">
        <f>MIN(_xlfn.ANCHORARRAY(D23))</f>
        <v>67.8</v>
      </c>
      <c r="E19" s="198">
        <f t="shared" ref="E19:G19" si="1">MIN(_xlfn.ANCHORARRAY(E23))</f>
        <v>3.8742857142857141E-2</v>
      </c>
      <c r="F19" s="198">
        <f t="shared" si="1"/>
        <v>0</v>
      </c>
      <c r="G19" s="215">
        <f t="shared" si="1"/>
        <v>0</v>
      </c>
      <c r="H19" s="131"/>
    </row>
    <row r="20" spans="1:8" ht="13" x14ac:dyDescent="0.25">
      <c r="A20" s="133"/>
      <c r="B20" s="204"/>
      <c r="C20" s="202" t="s">
        <v>5639</v>
      </c>
      <c r="D20" s="198">
        <f>AVERAGE(_xlfn.ANCHORARRAY(D23))</f>
        <v>184.63069999999999</v>
      </c>
      <c r="E20" s="198">
        <f t="shared" ref="E20:G20" si="2">AVERAGE(_xlfn.ANCHORARRAY(E23))</f>
        <v>0.10479222889610393</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44">_xlfn.UNIQUE(_xlfn._xlws.FILTER('EPD List'!D:D,ISNUMBER(SEARCH(B16,'EPD List'!C:C)),0))</f>
        <v>Concrete, ? MPa, in-situ, no reinforcement, (Stabilised Sand
12:1) (Adbri) (QLD)</v>
      </c>
      <c r="C23" s="132" t="str" cm="1">
        <f t="array" ref="C23:C44">_xlfn.IFNA(INDEX('EPD List'!$A:$AB,MATCH(_xlfn.ANCHORARRAY(B23),'EPD List'!$D:$D,0),MATCH(C$16,'EPD List'!$7:$7,0)),"")</f>
        <v>m³</v>
      </c>
      <c r="D23" s="198" cm="1">
        <f t="array" ref="D23:D44">_xlfn.IFNA(VALUE((INDEX('EPD List'!$A:$AD,MATCH(_xlfn.ANCHORARRAY($B23),'EPD List'!$D:$D,0),MATCH(D$16,'EPD List'!$7:$7,0)))),"")</f>
        <v>101.0754</v>
      </c>
      <c r="E23" s="198" cm="1">
        <f t="array" ref="E23:E44">_xlfn.IFNA(VALUE((INDEX('EPD List'!$A:$AD,MATCH(_xlfn.ANCHORARRAY($B23),'EPD List'!$D:$D,0),MATCH(E$16,'EPD List'!$7:$7,0)))),"")</f>
        <v>4.2114749999999999E-2</v>
      </c>
      <c r="F23" s="198" cm="1">
        <f t="array" ref="F23:F44">_xlfn.IFNA(VALUE((INDEX('EPD List'!$A:$AD,MATCH(_xlfn.ANCHORARRAY($B23),'EPD List'!$D:$D,0),MATCH(F$16,'EPD List'!$7:$7,0)))),"")</f>
        <v>0</v>
      </c>
      <c r="G23" s="215" cm="1">
        <f t="array" ref="G23:G44">_xlfn.IFNA(VALUE((INDEX('EPD List'!$A:$AD,MATCH(_xlfn.ANCHORARRAY($B23),'EPD List'!$D:$D,0),MATCH(G$16,'EPD List'!$7:$7,0)))),"")</f>
        <v>0</v>
      </c>
      <c r="H23" s="131"/>
    </row>
    <row r="24" spans="1:8" x14ac:dyDescent="0.25">
      <c r="A24" s="133"/>
      <c r="B24" s="204" t="str">
        <v>Concrete, Stabilised Sand, in-situ, no reinforcement, Pre-mix Concrete STABILISED SAND 14:1 (Boral) (ACT), (Canberra) STABILISED SAND 14:1</v>
      </c>
      <c r="C24" s="132" t="str">
        <v>m³</v>
      </c>
      <c r="D24" s="198">
        <v>117</v>
      </c>
      <c r="E24" s="198">
        <v>6.6857142857142851E-2</v>
      </c>
      <c r="F24" s="198">
        <v>0</v>
      </c>
      <c r="G24" s="215">
        <v>0</v>
      </c>
      <c r="H24" s="131"/>
    </row>
    <row r="25" spans="1:8" x14ac:dyDescent="0.25">
      <c r="A25" s="133"/>
      <c r="B25" s="204" t="str">
        <v>Concrete, Stabilised Sand, in-situ, no reinforcement, Pre-mix Concrete STABILISED SAND 8:1 (Boral) (ACT), (Canberra) STABILISED SAND 8:1</v>
      </c>
      <c r="C25" s="132" t="str">
        <v>m³</v>
      </c>
      <c r="D25" s="198">
        <v>188</v>
      </c>
      <c r="E25" s="198">
        <v>0.10742857142857143</v>
      </c>
      <c r="F25" s="198">
        <v>0</v>
      </c>
      <c r="G25" s="215">
        <v>0</v>
      </c>
      <c r="H25" s="131"/>
    </row>
    <row r="26" spans="1:8" x14ac:dyDescent="0.25">
      <c r="A26" s="133"/>
      <c r="B26" s="204" t="str">
        <v>Concrete, Stabilised Sand, in-situ, no reinforcement, Pre-mix Concrete STABILISED SAND 4:1 (Boral) (ACT), (Canberra) STABILISED SAND 4:1</v>
      </c>
      <c r="C26" s="132" t="str">
        <v>m³</v>
      </c>
      <c r="D26" s="198">
        <v>318</v>
      </c>
      <c r="E26" s="198">
        <v>0.18171428571428572</v>
      </c>
      <c r="F26" s="198">
        <v>0</v>
      </c>
      <c r="G26" s="215">
        <v>0</v>
      </c>
      <c r="H26" s="131"/>
    </row>
    <row r="27" spans="1:8" x14ac:dyDescent="0.25">
      <c r="A27" s="133"/>
      <c r="B27" s="204" t="str">
        <v>Concrete, Stabilised Sand, in-situ, no reinforcement, Pre-mix Concrete STABILISED SAND 8:1 (Boral) (NSW), (Newcastle) STABILISED SAND 8:1</v>
      </c>
      <c r="C27" s="132" t="str">
        <v>m³</v>
      </c>
      <c r="D27" s="198">
        <v>123</v>
      </c>
      <c r="E27" s="198">
        <v>7.0285714285714285E-2</v>
      </c>
      <c r="F27" s="198">
        <v>0</v>
      </c>
      <c r="G27" s="215">
        <v>0</v>
      </c>
      <c r="H27" s="131"/>
    </row>
    <row r="28" spans="1:8" x14ac:dyDescent="0.25">
      <c r="A28" s="133"/>
      <c r="B28" s="204" t="str">
        <v>Concrete, Stabilised Sand, in-situ, no reinforcement, Pre-mix Concrete STABILISED SAND 4:1 (Boral) (NSW), (Newcastle) STABILISED SAND 4:1</v>
      </c>
      <c r="C28" s="132" t="str">
        <v>m³</v>
      </c>
      <c r="D28" s="198">
        <v>210</v>
      </c>
      <c r="E28" s="198">
        <v>0.12</v>
      </c>
      <c r="F28" s="198">
        <v>0</v>
      </c>
      <c r="G28" s="215">
        <v>0</v>
      </c>
      <c r="H28" s="131"/>
    </row>
    <row r="29" spans="1:8" x14ac:dyDescent="0.25">
      <c r="A29" s="133"/>
      <c r="B29" s="204" t="str">
        <v>Concrete, ? MPa, in-situ, no reinforcement, Pre-mix Concrete STABILISED SAND 4:1 (Boral) (NSW), (Sydney) STABILISED SAND 4:1</v>
      </c>
      <c r="C29" s="132" t="str">
        <v>m³</v>
      </c>
      <c r="D29" s="198">
        <v>172</v>
      </c>
      <c r="E29" s="198">
        <v>9.8285714285714282E-2</v>
      </c>
      <c r="F29" s="198">
        <v>0</v>
      </c>
      <c r="G29" s="215">
        <v>0</v>
      </c>
      <c r="H29" s="131"/>
    </row>
    <row r="30" spans="1:8" x14ac:dyDescent="0.25">
      <c r="A30" s="133"/>
      <c r="B30" s="204" t="str">
        <v>Concrete, Stabilised Sand, in-situ, no reinforcement, Pre-mix Concrete STABILISED SAND 8:1 (Boral) (NSW), (Wollongong) STABILISED SAND 8:1</v>
      </c>
      <c r="C30" s="132" t="str">
        <v>m³</v>
      </c>
      <c r="D30" s="198">
        <v>185</v>
      </c>
      <c r="E30" s="198">
        <v>0.10571428571428572</v>
      </c>
      <c r="F30" s="198">
        <v>0</v>
      </c>
      <c r="G30" s="215">
        <v>0</v>
      </c>
      <c r="H30" s="131"/>
    </row>
    <row r="31" spans="1:8" x14ac:dyDescent="0.25">
      <c r="A31" s="133"/>
      <c r="B31" s="204" t="str">
        <v>Concrete, Stabilised Sand, in-situ, no reinforcement, Pre-mix Concrete STABILISED SAND 4:1 (Boral) (NSW), (Wollongong) STABILISED SAND 4:1</v>
      </c>
      <c r="C31" s="132" t="str">
        <v>m³</v>
      </c>
      <c r="D31" s="198">
        <v>314</v>
      </c>
      <c r="E31" s="198">
        <v>0.17942857142857144</v>
      </c>
      <c r="F31" s="198">
        <v>0</v>
      </c>
      <c r="G31" s="215">
        <v>0</v>
      </c>
      <c r="H31" s="131"/>
    </row>
    <row r="32" spans="1:8" x14ac:dyDescent="0.25">
      <c r="A32" s="133"/>
      <c r="B32" s="204" t="str">
        <v>Concrete, Stabilised sand MPa, in-situ, no reinforcement, SS1100, Special Class (WA Premix) (WA), (Perth)</v>
      </c>
      <c r="C32" s="132" t="str">
        <v>m³</v>
      </c>
      <c r="D32" s="198">
        <v>124</v>
      </c>
      <c r="E32" s="198">
        <v>7.0857142857142855E-2</v>
      </c>
      <c r="F32" s="198">
        <v>0</v>
      </c>
      <c r="G32" s="215">
        <v>0</v>
      </c>
      <c r="H32" s="131"/>
    </row>
    <row r="33" spans="1:8" x14ac:dyDescent="0.25">
      <c r="A33" s="133"/>
      <c r="B33" s="204" t="str">
        <v>Concrete, Stabilised sand MPa, in-situ, no reinforcement, SS1150, Special Class (WA Premix) (WA), (Perth)</v>
      </c>
      <c r="C33" s="132" t="str">
        <v>m³</v>
      </c>
      <c r="D33" s="198">
        <v>179</v>
      </c>
      <c r="E33" s="198">
        <v>0.10228571428571429</v>
      </c>
      <c r="F33" s="198">
        <v>0</v>
      </c>
      <c r="G33" s="215">
        <v>0</v>
      </c>
      <c r="H33" s="131"/>
    </row>
    <row r="34" spans="1:8" x14ac:dyDescent="0.25">
      <c r="A34" s="133"/>
      <c r="B34" s="204" t="str">
        <v>Concrete, Stabilised sand MPa, in-situ, no reinforcement, SS1250, Special Class (WA Premix) (WA), (Perth)</v>
      </c>
      <c r="C34" s="132" t="str">
        <v>m³</v>
      </c>
      <c r="D34" s="198">
        <v>289</v>
      </c>
      <c r="E34" s="198">
        <v>0.16514285714285715</v>
      </c>
      <c r="F34" s="198">
        <v>0</v>
      </c>
      <c r="G34" s="215">
        <v>0</v>
      </c>
      <c r="H34" s="131"/>
    </row>
    <row r="35" spans="1:8" x14ac:dyDescent="0.25">
      <c r="A35" s="133"/>
      <c r="B35" s="204" t="str">
        <v>Concrete, Stabilised sand MPa, in-situ, no reinforcement, SS1300, Special Class (WA Premix) (WA), (Perth)</v>
      </c>
      <c r="C35" s="132" t="str">
        <v>m³</v>
      </c>
      <c r="D35" s="198">
        <v>344</v>
      </c>
      <c r="E35" s="198">
        <v>0.19657142857142856</v>
      </c>
      <c r="F35" s="198">
        <v>0</v>
      </c>
      <c r="G35" s="215">
        <v>0</v>
      </c>
      <c r="H35" s="131"/>
    </row>
    <row r="36" spans="1:8" x14ac:dyDescent="0.25">
      <c r="A36" s="133"/>
      <c r="B36" s="204" t="str">
        <v>Concrete, Stabilised sand MPa, in-situ, no reinforcement, SS2065, Special Class (WA Premix) (WA), (Perth)</v>
      </c>
      <c r="C36" s="132" t="str">
        <v>m³</v>
      </c>
      <c r="D36" s="198">
        <v>67.8</v>
      </c>
      <c r="E36" s="198">
        <v>3.8742857142857141E-2</v>
      </c>
      <c r="F36" s="198">
        <v>0</v>
      </c>
      <c r="G36" s="215">
        <v>0</v>
      </c>
      <c r="H36" s="131"/>
    </row>
    <row r="37" spans="1:8" x14ac:dyDescent="0.25">
      <c r="A37" s="133"/>
      <c r="B37" s="204" t="str">
        <v>Concrete, Stabilised sand MPa, in-situ, no reinforcement, SS2110, Special Class (WA Premix) (WA), (Perth)</v>
      </c>
      <c r="C37" s="132" t="str">
        <v>m³</v>
      </c>
      <c r="D37" s="198">
        <v>108</v>
      </c>
      <c r="E37" s="198">
        <v>6.1714285714285715E-2</v>
      </c>
      <c r="F37" s="198">
        <v>0</v>
      </c>
      <c r="G37" s="215">
        <v>0</v>
      </c>
      <c r="H37" s="131"/>
    </row>
    <row r="38" spans="1:8" x14ac:dyDescent="0.25">
      <c r="A38" s="133"/>
      <c r="B38" s="204" t="str">
        <v>Concrete, Stabilised sand MPa, in-situ, no reinforcement, SS2150, Special Class (WA Premix) (WA), (Perth)</v>
      </c>
      <c r="C38" s="132" t="str">
        <v>m³</v>
      </c>
      <c r="D38" s="198">
        <v>138</v>
      </c>
      <c r="E38" s="198">
        <v>7.8857142857142862E-2</v>
      </c>
      <c r="F38" s="198">
        <v>0</v>
      </c>
      <c r="G38" s="215">
        <v>0</v>
      </c>
      <c r="H38" s="131"/>
    </row>
    <row r="39" spans="1:8" x14ac:dyDescent="0.25">
      <c r="A39" s="133"/>
      <c r="B39" s="204" t="str">
        <v>Concrete, Stabilised sand MPa, in-situ, no reinforcement, SS2250, Special Class (WA Premix) (WA), (Perth)</v>
      </c>
      <c r="C39" s="132" t="str">
        <v>m³</v>
      </c>
      <c r="D39" s="198">
        <v>221</v>
      </c>
      <c r="E39" s="198">
        <v>0.12628571428571428</v>
      </c>
      <c r="F39" s="198">
        <v>0</v>
      </c>
      <c r="G39" s="215">
        <v>0</v>
      </c>
      <c r="H39" s="131"/>
    </row>
    <row r="40" spans="1:8" x14ac:dyDescent="0.25">
      <c r="A40" s="133"/>
      <c r="B40" s="204" t="str">
        <v>Concrete, Stabilised sand MPa, in-situ, no reinforcement, SS2300, Special Class (WA Premix) (WA), (Perth)</v>
      </c>
      <c r="C40" s="132" t="str">
        <v>m³</v>
      </c>
      <c r="D40" s="198">
        <v>267</v>
      </c>
      <c r="E40" s="198">
        <v>0.15257142857142858</v>
      </c>
      <c r="F40" s="198">
        <v>0</v>
      </c>
      <c r="G40" s="215">
        <v>0</v>
      </c>
      <c r="H40" s="131"/>
    </row>
    <row r="41" spans="1:8" x14ac:dyDescent="0.25">
      <c r="A41" s="133"/>
      <c r="B41" s="204" t="str">
        <v>Concrete, Sta MPa, NO FINES 6:1 (Concrite) (NSW) (Sydney Region, NSW)</v>
      </c>
      <c r="C41" s="132" t="str">
        <v>m³</v>
      </c>
      <c r="D41" s="198">
        <v>182</v>
      </c>
      <c r="E41" s="198">
        <v>0.104</v>
      </c>
      <c r="F41" s="198">
        <v>0</v>
      </c>
      <c r="G41" s="215">
        <v>0</v>
      </c>
      <c r="H41" s="131"/>
    </row>
    <row r="42" spans="1:8" x14ac:dyDescent="0.25">
      <c r="A42" s="133"/>
      <c r="B42" s="204" t="str">
        <v>Concrete, Sta MPa, Stabilised Sand 14:1 (Concrite) (NSW) (Sydney Region, NSW)</v>
      </c>
      <c r="C42" s="132" t="str">
        <v>m³</v>
      </c>
      <c r="D42" s="198">
        <v>83</v>
      </c>
      <c r="E42" s="198">
        <v>4.7428571428571431E-2</v>
      </c>
      <c r="F42" s="198">
        <v>0</v>
      </c>
      <c r="G42" s="215">
        <v>0</v>
      </c>
      <c r="H42" s="131"/>
    </row>
    <row r="43" spans="1:8" x14ac:dyDescent="0.25">
      <c r="A43" s="133"/>
      <c r="B43" s="204" t="str">
        <v>Concrete, Sta MPa, Stabilised Sand 4:1 (Concrite) (NSW) (Sydney Region, NSW)</v>
      </c>
      <c r="C43" s="132" t="str">
        <v>m³</v>
      </c>
      <c r="D43" s="198">
        <v>210</v>
      </c>
      <c r="E43" s="198">
        <v>0.12</v>
      </c>
      <c r="F43" s="198">
        <v>0</v>
      </c>
      <c r="G43" s="215">
        <v>0</v>
      </c>
      <c r="H43" s="131"/>
    </row>
    <row r="44" spans="1:8" x14ac:dyDescent="0.25">
      <c r="A44" s="133"/>
      <c r="B44" s="217" t="str">
        <v>Concrete, Sta MPa, Stabilised Sand 8:1 (Concrite) (NSW) (Sydney Region, NSW)</v>
      </c>
      <c r="C44" s="218" t="str">
        <v>m³</v>
      </c>
      <c r="D44" s="219">
        <v>121</v>
      </c>
      <c r="E44" s="219">
        <v>6.9142857142857145E-2</v>
      </c>
      <c r="F44" s="219">
        <v>0</v>
      </c>
      <c r="G44" s="220">
        <v>0</v>
      </c>
      <c r="H44" s="131"/>
    </row>
    <row r="45" spans="1:8" x14ac:dyDescent="0.25">
      <c r="B45" s="130"/>
      <c r="C45" s="130"/>
      <c r="D45" s="207"/>
      <c r="E45" s="207"/>
      <c r="F45" s="207"/>
      <c r="G45" s="207"/>
    </row>
    <row r="90" spans="9:9" x14ac:dyDescent="0.25">
      <c r="I90" s="198"/>
    </row>
  </sheetData>
  <dataValidations count="1">
    <dataValidation type="list" allowBlank="1" showInputMessage="1" showErrorMessage="1" sqref="B6:B9" xr:uid="{1785BA0C-4A9C-4E3B-9CB7-30CE3F3E8CD8}">
      <formula1>"Tier 1,Tier 2,Tier 3,Tier 4"</formula1>
    </dataValidation>
  </dataValidations>
  <pageMargins left="0.7" right="0.7" top="0.75" bottom="0.75" header="0.3" footer="0.3"/>
  <pageSetup paperSize="9" orientation="portrait"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A0D80-7DA6-4996-A2DA-EA8FB014C8CB}">
  <sheetPr codeName="Sheet19">
    <tabColor rgb="FF00CCFF"/>
  </sheetPr>
  <dimension ref="A1:H35"/>
  <sheetViews>
    <sheetView workbookViewId="0"/>
  </sheetViews>
  <sheetFormatPr defaultColWidth="9.1796875" defaultRowHeight="12.5" x14ac:dyDescent="0.25"/>
  <cols>
    <col min="1" max="1" width="26.26953125" style="132" customWidth="1"/>
    <col min="2" max="2" width="109.179687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Stainless steel</v>
      </c>
    </row>
    <row r="2" spans="1:8" ht="13" x14ac:dyDescent="0.25">
      <c r="A2" s="202"/>
    </row>
    <row r="3" spans="1:8" ht="13" x14ac:dyDescent="0.3">
      <c r="A3" s="227" t="s">
        <v>5626</v>
      </c>
      <c r="B3" s="132" t="s">
        <v>5913</v>
      </c>
    </row>
    <row r="4" spans="1:8" ht="13" x14ac:dyDescent="0.3">
      <c r="A4" s="227"/>
    </row>
    <row r="5" spans="1:8" ht="73.5" customHeight="1" x14ac:dyDescent="0.3">
      <c r="A5" s="227" t="s">
        <v>5628</v>
      </c>
      <c r="B5" s="200" t="s">
        <v>5914</v>
      </c>
    </row>
    <row r="6" spans="1:8" ht="13" x14ac:dyDescent="0.3">
      <c r="A6" s="227" t="s">
        <v>5630</v>
      </c>
      <c r="B6" s="201" t="s">
        <v>74</v>
      </c>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4838</v>
      </c>
      <c r="C16" s="311" t="s">
        <v>24</v>
      </c>
      <c r="D16" s="208" t="s">
        <v>146</v>
      </c>
      <c r="E16" s="209" t="s">
        <v>153</v>
      </c>
      <c r="F16" s="208" t="s">
        <v>147</v>
      </c>
      <c r="G16" s="208" t="s">
        <v>154</v>
      </c>
      <c r="H16" s="131"/>
    </row>
    <row r="17" spans="1:8" ht="13" x14ac:dyDescent="0.3">
      <c r="A17" s="133"/>
      <c r="B17" s="317"/>
      <c r="C17" s="206" t="s">
        <v>5636</v>
      </c>
      <c r="D17" s="207" t="str" cm="1">
        <f t="array" ref="D17">IF(AND(_xlfn.ANCHORARRAY(C23)=C23),C23,"Mixed")</f>
        <v>tonne</v>
      </c>
      <c r="E17" s="207" t="s">
        <v>2774</v>
      </c>
      <c r="F17" s="207" t="str" cm="1">
        <f t="array" ref="F17">IF(AND(_xlfn.ANCHORARRAY(C23)=C23),C23,"Mixed")</f>
        <v>tonne</v>
      </c>
      <c r="G17" s="318" t="s">
        <v>2774</v>
      </c>
      <c r="H17" s="131"/>
    </row>
    <row r="18" spans="1:8" s="200" customFormat="1" ht="13" x14ac:dyDescent="0.3">
      <c r="A18" s="221"/>
      <c r="B18" s="214"/>
      <c r="C18" s="202" t="s">
        <v>5637</v>
      </c>
      <c r="D18" s="198">
        <f t="shared" ref="D18:G18" si="0">MAX(_xlfn.ANCHORARRAY(D23))</f>
        <v>4990</v>
      </c>
      <c r="E18" s="198">
        <f t="shared" si="0"/>
        <v>4.99</v>
      </c>
      <c r="F18" s="198">
        <f t="shared" si="0"/>
        <v>0</v>
      </c>
      <c r="G18" s="215">
        <f t="shared" si="0"/>
        <v>0</v>
      </c>
      <c r="H18" s="222"/>
    </row>
    <row r="19" spans="1:8" ht="13" x14ac:dyDescent="0.25">
      <c r="A19" s="133"/>
      <c r="B19" s="204"/>
      <c r="C19" s="202" t="s">
        <v>5638</v>
      </c>
      <c r="D19" s="198">
        <f>MIN(_xlfn.ANCHORARRAY(D23))</f>
        <v>2800</v>
      </c>
      <c r="E19" s="198">
        <f t="shared" ref="E19:G19" si="1">MIN(_xlfn.ANCHORARRAY(E23))</f>
        <v>2.8</v>
      </c>
      <c r="F19" s="198">
        <f t="shared" si="1"/>
        <v>0</v>
      </c>
      <c r="G19" s="215">
        <f t="shared" si="1"/>
        <v>0</v>
      </c>
      <c r="H19" s="131"/>
    </row>
    <row r="20" spans="1:8" ht="13" x14ac:dyDescent="0.25">
      <c r="A20" s="133"/>
      <c r="B20" s="204"/>
      <c r="C20" s="202" t="s">
        <v>5639</v>
      </c>
      <c r="D20" s="198">
        <f>AVERAGE(_xlfn.ANCHORARRAY(D23))</f>
        <v>3509.000833333333</v>
      </c>
      <c r="E20" s="198">
        <f t="shared" ref="E20:G20" si="2">AVERAGE(_xlfn.ANCHORARRAY(E23))</f>
        <v>3.5090008333333329</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34">_xlfn.UNIQUE(_xlfn._xlws.FILTER('EPD List'!D:D,ISNUMBER(SEARCH(B16,'EPD List'!C:C)),0))</f>
        <v>Stainless steel, , Stainless steel long and tube products (BE group) (Global)</v>
      </c>
      <c r="C23" s="132" t="str" cm="1">
        <f t="array" ref="C23:C34">_xlfn.IFNA(INDEX('EPD List'!$A:$AB,MATCH(_xlfn.ANCHORARRAY(B23),'EPD List'!$D:$D,0),MATCH(C$16,'EPD List'!$7:$7,0)),"")</f>
        <v>tonne</v>
      </c>
      <c r="D23" s="198" cm="1">
        <f t="array" ref="D23:D34">_xlfn.IFNA(VALUE((INDEX('EPD List'!$A:$AD,MATCH(_xlfn.ANCHORARRAY($B23),'EPD List'!$D:$D,0),MATCH(D$16,'EPD List'!$7:$7,0)))),"")</f>
        <v>3706.5</v>
      </c>
      <c r="E23" s="198" cm="1">
        <f t="array" ref="E23:E34">_xlfn.IFNA(VALUE((INDEX('EPD List'!$A:$AD,MATCH(_xlfn.ANCHORARRAY($B23),'EPD List'!$D:$D,0),MATCH(E$16,'EPD List'!$7:$7,0)))),"")</f>
        <v>3.7065000000000001</v>
      </c>
      <c r="F23" s="198" cm="1">
        <f t="array" ref="F23:F34">_xlfn.IFNA(VALUE((INDEX('EPD List'!$A:$AD,MATCH(_xlfn.ANCHORARRAY($B23),'EPD List'!$D:$D,0),MATCH(F$16,'EPD List'!$7:$7,0)))),"")</f>
        <v>0</v>
      </c>
      <c r="G23" s="215" cm="1">
        <f t="array" ref="G23:G34">_xlfn.IFNA(VALUE((INDEX('EPD List'!$A:$AD,MATCH(_xlfn.ANCHORARRAY($B23),'EPD List'!$D:$D,0),MATCH(G$16,'EPD List'!$7:$7,0)))),"")</f>
        <v>0</v>
      </c>
      <c r="H23" s="131"/>
    </row>
    <row r="24" spans="1:8" x14ac:dyDescent="0.25">
      <c r="A24" s="133"/>
      <c r="B24" s="204" t="str">
        <v>Stainless steel, , Stainless steel long and tube products (BE group) (Europe)</v>
      </c>
      <c r="C24" s="132" t="str">
        <v>tonne</v>
      </c>
      <c r="D24" s="198">
        <v>3706.5</v>
      </c>
      <c r="E24" s="198">
        <v>3.7065000000000001</v>
      </c>
      <c r="F24" s="198">
        <v>0</v>
      </c>
      <c r="G24" s="215">
        <v>0</v>
      </c>
      <c r="H24" s="131"/>
    </row>
    <row r="25" spans="1:8" x14ac:dyDescent="0.25">
      <c r="A25" s="133"/>
      <c r="B25" s="204" t="str">
        <v>Stainless steel, Flat, Stainless steel - Cold rolled (Acerinox) (Europe)</v>
      </c>
      <c r="C25" s="132" t="str">
        <v>tonne</v>
      </c>
      <c r="D25" s="198">
        <v>2802.48</v>
      </c>
      <c r="E25" s="198">
        <v>2.8024800000000001</v>
      </c>
      <c r="F25" s="198">
        <v>0</v>
      </c>
      <c r="G25" s="215">
        <v>0</v>
      </c>
      <c r="H25" s="131"/>
    </row>
    <row r="26" spans="1:8" x14ac:dyDescent="0.25">
      <c r="A26" s="133"/>
      <c r="B26" s="204" t="str">
        <v>Stainless steel, Flat, Stainless steel - Hot rolled austenitic stainless steel (Acerinox ) (Europe)</v>
      </c>
      <c r="C26" s="132" t="str">
        <v>tonne</v>
      </c>
      <c r="D26" s="198">
        <v>2832.35</v>
      </c>
      <c r="E26" s="198">
        <v>2.8323499999999999</v>
      </c>
      <c r="F26" s="198">
        <v>0</v>
      </c>
      <c r="G26" s="215">
        <v>0</v>
      </c>
      <c r="H26" s="131"/>
    </row>
    <row r="27" spans="1:8" x14ac:dyDescent="0.25">
      <c r="A27" s="133"/>
      <c r="B27" s="204" t="str">
        <v>Stainless steel, Flat, Stainless steel - ferritic stainless steel hot rolling (Acerinox ) (Europe)</v>
      </c>
      <c r="C27" s="132" t="str">
        <v>tonne</v>
      </c>
      <c r="D27" s="198">
        <v>2810.37</v>
      </c>
      <c r="E27" s="198">
        <v>2.8103699999999998</v>
      </c>
      <c r="F27" s="198">
        <v>0</v>
      </c>
      <c r="G27" s="215">
        <v>0</v>
      </c>
      <c r="H27" s="131"/>
    </row>
    <row r="28" spans="1:8" x14ac:dyDescent="0.25">
      <c r="A28" s="133"/>
      <c r="B28" s="204" t="str">
        <v>Stainless steel, , Stainless steel reinforcing bar (Rebarinox) (Europe)</v>
      </c>
      <c r="C28" s="132" t="str">
        <v>tonne</v>
      </c>
      <c r="D28" s="198">
        <v>4990</v>
      </c>
      <c r="E28" s="198">
        <v>4.99</v>
      </c>
      <c r="F28" s="198">
        <v>0</v>
      </c>
      <c r="G28" s="215">
        <v>0</v>
      </c>
      <c r="H28" s="131"/>
    </row>
    <row r="29" spans="1:8" x14ac:dyDescent="0.25">
      <c r="A29" s="133"/>
      <c r="B29" s="204" t="str">
        <v>Stainless steel, Flat, Stainless steel - Hot rolled (Marcegaglia Specialties S.p.A.) (Europe)</v>
      </c>
      <c r="C29" s="132" t="str">
        <v>tonne</v>
      </c>
      <c r="D29" s="198">
        <v>3860</v>
      </c>
      <c r="E29" s="198">
        <v>3.86</v>
      </c>
      <c r="F29" s="198">
        <v>0</v>
      </c>
      <c r="G29" s="215">
        <v>0</v>
      </c>
      <c r="H29" s="131"/>
    </row>
    <row r="30" spans="1:8" x14ac:dyDescent="0.25">
      <c r="A30" s="133"/>
      <c r="B30" s="204" t="str">
        <v>Stainless steel, Flat, Stainless steel - Cold rolled (Marcegaglia Specialties S.p.A.) (Europe)</v>
      </c>
      <c r="C30" s="132" t="str">
        <v>tonne</v>
      </c>
      <c r="D30" s="198">
        <v>4750</v>
      </c>
      <c r="E30" s="198">
        <v>4.75</v>
      </c>
      <c r="F30" s="198">
        <v>0</v>
      </c>
      <c r="G30" s="215">
        <v>0</v>
      </c>
      <c r="H30" s="131"/>
    </row>
    <row r="31" spans="1:8" x14ac:dyDescent="0.25">
      <c r="A31" s="133"/>
      <c r="B31" s="204" t="str">
        <v>Stainless steel, Flat, Cold rolled Stainless Steel  (Outokumpu Oyj) (Global)</v>
      </c>
      <c r="C31" s="132" t="str">
        <v>tonne</v>
      </c>
      <c r="D31" s="198">
        <v>3180</v>
      </c>
      <c r="E31" s="198">
        <v>3.18</v>
      </c>
      <c r="F31" s="198">
        <v>0</v>
      </c>
      <c r="G31" s="215">
        <v>0</v>
      </c>
      <c r="H31" s="131"/>
    </row>
    <row r="32" spans="1:8" x14ac:dyDescent="0.25">
      <c r="A32" s="133"/>
      <c r="B32" s="204" t="str">
        <v>Stainless steel, Flat, Hot rolled Stainless Steel Duplex (Outokumpu Oyj) (Global)</v>
      </c>
      <c r="C32" s="132" t="str">
        <v>tonne</v>
      </c>
      <c r="D32" s="198">
        <v>2800</v>
      </c>
      <c r="E32" s="198">
        <v>2.8</v>
      </c>
      <c r="F32" s="198">
        <v>0</v>
      </c>
      <c r="G32" s="215">
        <v>0</v>
      </c>
      <c r="H32" s="131"/>
    </row>
    <row r="33" spans="1:8" x14ac:dyDescent="0.25">
      <c r="A33" s="133"/>
      <c r="B33" s="204" t="str">
        <v>Stainless steel, Flat, Stainless steel flat products (BE group) (Europe)</v>
      </c>
      <c r="C33" s="132" t="str">
        <v>tonne</v>
      </c>
      <c r="D33" s="198">
        <v>3868.93</v>
      </c>
      <c r="E33" s="198">
        <v>3.8689299999999998</v>
      </c>
      <c r="F33" s="198">
        <v>0</v>
      </c>
      <c r="G33" s="215">
        <v>0</v>
      </c>
      <c r="H33" s="131"/>
    </row>
    <row r="34" spans="1:8" x14ac:dyDescent="0.25">
      <c r="A34" s="133"/>
      <c r="B34" s="217" t="str">
        <v>Stainless steel, Flat, Cold-rolled Ferritic stainless steel (Acerinox ) (Europe)</v>
      </c>
      <c r="C34" s="218" t="str">
        <v>tonne</v>
      </c>
      <c r="D34" s="219">
        <v>2800.88</v>
      </c>
      <c r="E34" s="219">
        <v>2.8008799999999998</v>
      </c>
      <c r="F34" s="219">
        <v>0</v>
      </c>
      <c r="G34" s="220">
        <v>0</v>
      </c>
      <c r="H34" s="131"/>
    </row>
    <row r="35" spans="1:8" x14ac:dyDescent="0.25">
      <c r="B35" s="130"/>
      <c r="C35" s="130"/>
      <c r="D35" s="207"/>
      <c r="E35" s="207"/>
      <c r="F35" s="207"/>
      <c r="G35" s="207"/>
    </row>
  </sheetData>
  <dataValidations count="1">
    <dataValidation type="list" allowBlank="1" showInputMessage="1" showErrorMessage="1" sqref="B6:B9" xr:uid="{31015C4F-1C0B-4DE4-AC6F-3EBC34EE8865}">
      <formula1>"Tier 1,Tier 2,Tier 3,Tier 4"</formula1>
    </dataValidation>
  </dataValidations>
  <pageMargins left="0.7" right="0.7" top="0.75" bottom="0.75" header="0.3" footer="0.3"/>
  <pageSetup paperSize="9"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56E39-774E-4657-8F99-5030B1066AC8}">
  <sheetPr codeName="Sheet27">
    <tabColor rgb="FF00CCFF"/>
  </sheetPr>
  <dimension ref="A1:I95"/>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16384" width="9.1796875" style="132"/>
  </cols>
  <sheetData>
    <row r="1" spans="1:8" ht="13" x14ac:dyDescent="0.25">
      <c r="A1" s="202" t="str">
        <f>B16</f>
        <v>Steel cladding - metallic coat</v>
      </c>
    </row>
    <row r="2" spans="1:8" ht="13" x14ac:dyDescent="0.25">
      <c r="A2" s="202"/>
    </row>
    <row r="3" spans="1:8" ht="13" x14ac:dyDescent="0.3">
      <c r="A3" s="227" t="s">
        <v>5626</v>
      </c>
      <c r="B3" s="132" t="s">
        <v>5915</v>
      </c>
    </row>
    <row r="4" spans="1:8" ht="13" x14ac:dyDescent="0.25">
      <c r="A4" s="202"/>
    </row>
    <row r="5" spans="1:8" ht="73.5" customHeight="1" x14ac:dyDescent="0.3">
      <c r="A5" s="227" t="s">
        <v>5628</v>
      </c>
      <c r="B5" s="200" t="s">
        <v>5916</v>
      </c>
    </row>
    <row r="6" spans="1:8" ht="13" x14ac:dyDescent="0.3">
      <c r="A6" s="227" t="s">
        <v>5630</v>
      </c>
      <c r="B6" s="201" t="s">
        <v>71</v>
      </c>
    </row>
    <row r="7" spans="1:8" ht="13" x14ac:dyDescent="0.3">
      <c r="A7" s="227" t="s">
        <v>5631</v>
      </c>
      <c r="B7" s="201" t="s">
        <v>71</v>
      </c>
    </row>
    <row r="8" spans="1:8" ht="13" x14ac:dyDescent="0.3">
      <c r="A8" s="227" t="s">
        <v>5632</v>
      </c>
      <c r="B8" s="201" t="s">
        <v>71</v>
      </c>
    </row>
    <row r="9" spans="1:8" ht="13" x14ac:dyDescent="0.3">
      <c r="A9" s="227" t="s">
        <v>5633</v>
      </c>
      <c r="B9" s="202" t="s">
        <v>71</v>
      </c>
    </row>
    <row r="10" spans="1:8" ht="13" x14ac:dyDescent="0.3">
      <c r="A10" s="227"/>
      <c r="B10" s="202"/>
    </row>
    <row r="11" spans="1:8" ht="25.5" x14ac:dyDescent="0.3">
      <c r="A11" s="227" t="s">
        <v>5634</v>
      </c>
      <c r="B11" s="200" t="s">
        <v>5647</v>
      </c>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4869</v>
      </c>
      <c r="C16" s="311" t="s">
        <v>24</v>
      </c>
      <c r="D16" s="208" t="s">
        <v>146</v>
      </c>
      <c r="E16" s="209" t="s">
        <v>153</v>
      </c>
      <c r="F16" s="208" t="s">
        <v>147</v>
      </c>
      <c r="G16" s="208" t="s">
        <v>154</v>
      </c>
      <c r="H16" s="131"/>
    </row>
    <row r="17" spans="1:8" ht="13" x14ac:dyDescent="0.3">
      <c r="A17" s="133"/>
      <c r="B17" s="317"/>
      <c r="C17" s="206" t="s">
        <v>5636</v>
      </c>
      <c r="D17" s="207" t="str" cm="1">
        <f t="array" ref="D17">IF(AND(_xlfn.ANCHORARRAY(C23)=C23),C23,"Mixed")</f>
        <v>m²</v>
      </c>
      <c r="E17" s="207" t="s">
        <v>2774</v>
      </c>
      <c r="F17" s="207" t="str" cm="1">
        <f t="array" ref="F17">IF(AND(_xlfn.ANCHORARRAY(C23)=C23),C23,"Mixed")</f>
        <v>m²</v>
      </c>
      <c r="G17" s="318" t="s">
        <v>2774</v>
      </c>
      <c r="H17" s="131"/>
    </row>
    <row r="18" spans="1:8" s="200" customFormat="1" ht="13" x14ac:dyDescent="0.3">
      <c r="A18" s="221"/>
      <c r="B18" s="214"/>
      <c r="C18" s="202" t="s">
        <v>5637</v>
      </c>
      <c r="D18" s="198">
        <f t="shared" ref="D18:G18" si="0">MAX(_xlfn.ANCHORARRAY(D23))</f>
        <v>62.707980000000006</v>
      </c>
      <c r="E18" s="198">
        <f t="shared" si="0"/>
        <v>5.0147249999999994</v>
      </c>
      <c r="F18" s="198">
        <f t="shared" si="0"/>
        <v>0</v>
      </c>
      <c r="G18" s="215">
        <f t="shared" si="0"/>
        <v>0</v>
      </c>
      <c r="H18" s="131"/>
    </row>
    <row r="19" spans="1:8" ht="13" x14ac:dyDescent="0.25">
      <c r="A19" s="133"/>
      <c r="B19" s="204"/>
      <c r="C19" s="202" t="s">
        <v>5638</v>
      </c>
      <c r="D19" s="198">
        <f>MIN(_xlfn.ANCHORARRAY(D23))</f>
        <v>8.4</v>
      </c>
      <c r="E19" s="198">
        <f t="shared" ref="E19:G19" si="1">MIN(_xlfn.ANCHORARRAY(E23))</f>
        <v>2.7205197396963126</v>
      </c>
      <c r="F19" s="198">
        <f t="shared" si="1"/>
        <v>0</v>
      </c>
      <c r="G19" s="215">
        <f t="shared" si="1"/>
        <v>0</v>
      </c>
      <c r="H19" s="131"/>
    </row>
    <row r="20" spans="1:8" ht="13" x14ac:dyDescent="0.25">
      <c r="A20" s="133"/>
      <c r="B20" s="204"/>
      <c r="C20" s="202" t="s">
        <v>5639</v>
      </c>
      <c r="D20" s="198">
        <f>AVERAGE(_xlfn.ANCHORARRAY(D23))</f>
        <v>19.056651401813699</v>
      </c>
      <c r="E20" s="198">
        <f t="shared" ref="E20:G20" si="2">AVERAGE(_xlfn.ANCHORARRAY(E23))</f>
        <v>3.1482318788116852</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94">_xlfn.UNIQUE(_xlfn._xlws.FILTER('EPD List'!D:D,ISNUMBER(SEARCH(B16,'EPD List'!C:C)),0))</f>
        <v>Steel, Steel cladding - metallic coated, ZINCALUME® steel in 1.20mm base material thickness (BMT), incl. rollforming (Bluescope)</v>
      </c>
      <c r="C23" s="132" t="str" cm="1">
        <f t="array" ref="C23:C94">_xlfn.IFNA(INDEX('EPD List'!$A:$AB,MATCH(_xlfn.ANCHORARRAY(B23),'EPD List'!$D:$D,0),MATCH(C$16,'EPD List'!$7:$7,0)),"")</f>
        <v>m²</v>
      </c>
      <c r="D23" s="198" cm="1">
        <f t="array" ref="D23:D94">_xlfn.IFNA(VALUE((INDEX('EPD List'!$A:$AD,MATCH(_xlfn.ANCHORARRAY($B23),'EPD List'!$D:$D,0),MATCH(D$16,'EPD List'!$7:$7,0)))),"")</f>
        <v>28</v>
      </c>
      <c r="E23" s="198" cm="1">
        <f t="array" ref="E23:E94">_xlfn.IFNA(VALUE((INDEX('EPD List'!$A:$AD,MATCH(_xlfn.ANCHORARRAY($B23),'EPD List'!$D:$D,0),MATCH(E$16,'EPD List'!$7:$7,0)))),"")</f>
        <v>2.9319371727748691</v>
      </c>
      <c r="F23" s="198" cm="1">
        <f t="array" ref="F23:F94">_xlfn.IFNA(VALUE((INDEX('EPD List'!$A:$AD,MATCH(_xlfn.ANCHORARRAY($B23),'EPD List'!$D:$D,0),MATCH(F$16,'EPD List'!$7:$7,0)))),"")</f>
        <v>0</v>
      </c>
      <c r="G23" s="215" cm="1">
        <f t="array" ref="G23:G94">_xlfn.IFNA(VALUE((INDEX('EPD List'!$A:$AD,MATCH(_xlfn.ANCHORARRAY($B23),'EPD List'!$D:$D,0),MATCH(G$16,'EPD List'!$7:$7,0)))),"")</f>
        <v>0</v>
      </c>
      <c r="H23" s="131"/>
    </row>
    <row r="24" spans="1:8" x14ac:dyDescent="0.25">
      <c r="A24" s="133"/>
      <c r="B24" s="204" t="str">
        <v>Steel, Steel cladding - metallic coated, ZINCALUME® steel in 1.15mm base material thickness (BMT), incl. rollforming (Bluescope)</v>
      </c>
      <c r="C24" s="132" t="str">
        <v>m²</v>
      </c>
      <c r="D24" s="198">
        <v>27</v>
      </c>
      <c r="E24" s="198">
        <v>2.947598253275109</v>
      </c>
      <c r="F24" s="198">
        <v>0</v>
      </c>
      <c r="G24" s="215">
        <v>0</v>
      </c>
      <c r="H24" s="131"/>
    </row>
    <row r="25" spans="1:8" x14ac:dyDescent="0.25">
      <c r="A25" s="133"/>
      <c r="B25" s="204" t="str">
        <v>Steel, Steel cladding - metallic coated, ZINCALUME® steel in 1.00mm base material thickness (BMT), incl. rollforming (Bluescope)</v>
      </c>
      <c r="C25" s="132" t="str">
        <v>m²</v>
      </c>
      <c r="D25" s="198">
        <v>23.7</v>
      </c>
      <c r="E25" s="198">
        <v>2.969924812030075</v>
      </c>
      <c r="F25" s="198">
        <v>0</v>
      </c>
      <c r="G25" s="215">
        <v>0</v>
      </c>
      <c r="H25" s="131"/>
    </row>
    <row r="26" spans="1:8" x14ac:dyDescent="0.25">
      <c r="A26" s="133"/>
      <c r="B26" s="204" t="str">
        <v>Steel, Steel cladding - metallic coated, ZINCALUME® steel in 0.95mm base material thickness (BMT), incl. rollforming (Bluescope)</v>
      </c>
      <c r="C26" s="132" t="str">
        <v>m²</v>
      </c>
      <c r="D26" s="198">
        <v>22.7</v>
      </c>
      <c r="E26" s="198">
        <v>2.9907773386034253</v>
      </c>
      <c r="F26" s="198">
        <v>0</v>
      </c>
      <c r="G26" s="215">
        <v>0</v>
      </c>
      <c r="H26" s="131"/>
    </row>
    <row r="27" spans="1:8" x14ac:dyDescent="0.25">
      <c r="A27" s="133"/>
      <c r="B27" s="204" t="str">
        <v>Steel, Steel cladding - metallic coated, ZINCALUME® steel in 0.75mm base material thickness (BMT), incl. rollforming (Bluescope)</v>
      </c>
      <c r="C27" s="132" t="str">
        <v>m²</v>
      </c>
      <c r="D27" s="198">
        <v>18.399999999999999</v>
      </c>
      <c r="E27" s="198">
        <v>3.0564784053156147</v>
      </c>
      <c r="F27" s="198">
        <v>0</v>
      </c>
      <c r="G27" s="215">
        <v>0</v>
      </c>
      <c r="H27" s="131"/>
    </row>
    <row r="28" spans="1:8" x14ac:dyDescent="0.25">
      <c r="A28" s="133"/>
      <c r="B28" s="204" t="str">
        <v>Steel, Steel cladding - metallic coated, ZINCALUME® steel in 0.70mm base material thickness (BMT), incl. rollforming (Bluescope)</v>
      </c>
      <c r="C28" s="132" t="str">
        <v>m²</v>
      </c>
      <c r="D28" s="198">
        <v>17.3</v>
      </c>
      <c r="E28" s="198">
        <v>3.0728241563055065</v>
      </c>
      <c r="F28" s="198">
        <v>0</v>
      </c>
      <c r="G28" s="215">
        <v>0</v>
      </c>
      <c r="H28" s="131"/>
    </row>
    <row r="29" spans="1:8" x14ac:dyDescent="0.25">
      <c r="A29" s="133"/>
      <c r="B29" s="204" t="str">
        <v>Steel, Steel cladding - metallic coated, ZINCALUME® steel in 0.60mm base material thickness (BMT), incl. rollforming (Bluescope)</v>
      </c>
      <c r="C29" s="132" t="str">
        <v>m²</v>
      </c>
      <c r="D29" s="198">
        <v>15.2</v>
      </c>
      <c r="E29" s="198">
        <v>3.1404958677685948</v>
      </c>
      <c r="F29" s="198">
        <v>0</v>
      </c>
      <c r="G29" s="215">
        <v>0</v>
      </c>
      <c r="H29" s="131"/>
    </row>
    <row r="30" spans="1:8" x14ac:dyDescent="0.25">
      <c r="A30" s="133"/>
      <c r="B30" s="204" t="str">
        <v>Steel, Steel cladding - metallic coated, ZINCALUME® steel in 0.55mm base material thickness (BMT), incl. rollforming (Bluescope)</v>
      </c>
      <c r="C30" s="132" t="str">
        <v>m²</v>
      </c>
      <c r="D30" s="198">
        <v>14.1</v>
      </c>
      <c r="E30" s="198">
        <v>3.1685393258426964</v>
      </c>
      <c r="F30" s="198">
        <v>0</v>
      </c>
      <c r="G30" s="215">
        <v>0</v>
      </c>
      <c r="H30" s="131"/>
    </row>
    <row r="31" spans="1:8" x14ac:dyDescent="0.25">
      <c r="A31" s="133"/>
      <c r="B31" s="204" t="str">
        <v>Steel, Steel cladding - metallic coated, ZINCALUME® steel in 0.50mm base material thickness (BMT), incl. rollforming (Bluescope)</v>
      </c>
      <c r="C31" s="132" t="str">
        <v>m²</v>
      </c>
      <c r="D31" s="198">
        <v>13</v>
      </c>
      <c r="E31" s="198">
        <v>3.201970443349754</v>
      </c>
      <c r="F31" s="198">
        <v>0</v>
      </c>
      <c r="G31" s="215">
        <v>0</v>
      </c>
      <c r="H31" s="131"/>
    </row>
    <row r="32" spans="1:8" x14ac:dyDescent="0.25">
      <c r="A32" s="133"/>
      <c r="B32" s="204" t="str">
        <v>Steel, Steel cladding - metallic coated, ZINCALUME® steel in 0.48mm base material thickness (BMT), incl. rollforming (Bluescope)</v>
      </c>
      <c r="C32" s="132" t="str">
        <v>m²</v>
      </c>
      <c r="D32" s="198">
        <v>12.6</v>
      </c>
      <c r="E32" s="198">
        <v>3.2307692307692308</v>
      </c>
      <c r="F32" s="198">
        <v>0</v>
      </c>
      <c r="G32" s="215">
        <v>0</v>
      </c>
      <c r="H32" s="131"/>
    </row>
    <row r="33" spans="1:8" x14ac:dyDescent="0.25">
      <c r="A33" s="133"/>
      <c r="B33" s="204" t="str">
        <v>Steel, Steel cladding - metallic coated, ZINCALUME® steel in 0.42mm base material thickness (BMT), incl. rollforming (Bluescope)</v>
      </c>
      <c r="C33" s="132" t="str">
        <v>m²</v>
      </c>
      <c r="D33" s="198">
        <v>11.3</v>
      </c>
      <c r="E33" s="198">
        <v>3.2944606413994171</v>
      </c>
      <c r="F33" s="198">
        <v>0</v>
      </c>
      <c r="G33" s="215">
        <v>0</v>
      </c>
      <c r="H33" s="131"/>
    </row>
    <row r="34" spans="1:8" x14ac:dyDescent="0.25">
      <c r="A34" s="133"/>
      <c r="B34" s="204" t="str">
        <v>Steel, Steel cladding - metallic coated, ZINCALUME® steel in 0.38mm base material thickness (BMT), incl. rollforming (Bluescope)</v>
      </c>
      <c r="C34" s="132" t="str">
        <v>m²</v>
      </c>
      <c r="D34" s="198">
        <v>10.4</v>
      </c>
      <c r="E34" s="198">
        <v>3.3333333333333335</v>
      </c>
      <c r="F34" s="198">
        <v>0</v>
      </c>
      <c r="G34" s="215">
        <v>0</v>
      </c>
      <c r="H34" s="131"/>
    </row>
    <row r="35" spans="1:8" x14ac:dyDescent="0.25">
      <c r="A35" s="133"/>
      <c r="B35" s="204" t="str">
        <v>Steel, Steel cladding - metallic coated, ZINCALUME® steel in 0.40mm base material thickness (BMT), incl. rollforming (Bluescope)</v>
      </c>
      <c r="C35" s="132" t="str">
        <v>m²</v>
      </c>
      <c r="D35" s="198">
        <v>10.9</v>
      </c>
      <c r="E35" s="198">
        <v>3.3333333333333335</v>
      </c>
      <c r="F35" s="198">
        <v>0</v>
      </c>
      <c r="G35" s="215">
        <v>0</v>
      </c>
      <c r="H35" s="131"/>
    </row>
    <row r="36" spans="1:8" x14ac:dyDescent="0.25">
      <c r="A36" s="133"/>
      <c r="B36" s="204" t="str">
        <v>Steel, Steel cladding - metallic coated, ZINCALUME® steel in 0.35mm base material thickness (BMT), incl. rollforming (Bluescope)</v>
      </c>
      <c r="C36" s="132" t="str">
        <v>m²</v>
      </c>
      <c r="D36" s="198">
        <v>9.8000000000000007</v>
      </c>
      <c r="E36" s="198">
        <v>3.4027777777777781</v>
      </c>
      <c r="F36" s="198">
        <v>0</v>
      </c>
      <c r="G36" s="215">
        <v>0</v>
      </c>
      <c r="H36" s="131"/>
    </row>
    <row r="37" spans="1:8" x14ac:dyDescent="0.25">
      <c r="A37" s="133"/>
      <c r="B37" s="204" t="str">
        <v>Steel, Steel cladding - metallic coated, ZINCALUME® steel in 0.30mm base material thickness (BMT), incl. rollforming (Bluescope)</v>
      </c>
      <c r="C37" s="132" t="str">
        <v>m²</v>
      </c>
      <c r="D37" s="198">
        <v>8.73</v>
      </c>
      <c r="E37" s="198">
        <v>3.5060240963855422</v>
      </c>
      <c r="F37" s="198">
        <v>0</v>
      </c>
      <c r="G37" s="215">
        <v>0</v>
      </c>
      <c r="H37" s="131"/>
    </row>
    <row r="38" spans="1:8" x14ac:dyDescent="0.25">
      <c r="A38" s="133"/>
      <c r="B38" s="204" t="str">
        <v>Steel cladding - metallic coated, , Galvanised steel product (JSW Steel) (Global)</v>
      </c>
      <c r="C38" s="132" t="str">
        <v>m²</v>
      </c>
      <c r="D38" s="198">
        <v>16.398150749999999</v>
      </c>
      <c r="E38" s="198">
        <v>5.0147249999999994</v>
      </c>
      <c r="F38" s="198">
        <v>0</v>
      </c>
      <c r="G38" s="215">
        <v>0</v>
      </c>
      <c r="H38" s="131"/>
    </row>
    <row r="39" spans="1:8" x14ac:dyDescent="0.25">
      <c r="A39" s="133"/>
      <c r="B39" s="204" t="str">
        <v>Steel, Steel cladding - metallic coated, GALVABOND® steel with a zinc coating class of Z100 in 0.37mm base metal thickness (BMT) (Bluescope)</v>
      </c>
      <c r="C39" s="132" t="str">
        <v>m²</v>
      </c>
      <c r="D39" s="198">
        <v>9.81</v>
      </c>
      <c r="E39" s="198">
        <v>3.2163934426229512</v>
      </c>
      <c r="F39" s="198">
        <v>0</v>
      </c>
      <c r="G39" s="215">
        <v>0</v>
      </c>
      <c r="H39" s="131"/>
    </row>
    <row r="40" spans="1:8" x14ac:dyDescent="0.25">
      <c r="A40" s="133"/>
      <c r="B40" s="204" t="str">
        <v>Steel, Steel cladding - metallic coated, GALVABOND® steel with a zinc coating class of Z100 in 0.40mm base metal thickness (BMT) (Bluescope)</v>
      </c>
      <c r="C40" s="132" t="str">
        <v>m²</v>
      </c>
      <c r="D40" s="198">
        <v>10.4</v>
      </c>
      <c r="E40" s="198">
        <v>3.1707317073170733</v>
      </c>
      <c r="F40" s="198">
        <v>0</v>
      </c>
      <c r="G40" s="215">
        <v>0</v>
      </c>
      <c r="H40" s="131"/>
    </row>
    <row r="41" spans="1:8" x14ac:dyDescent="0.25">
      <c r="A41" s="133"/>
      <c r="B41" s="204" t="str">
        <v>Steel, Steel cladding - metallic coated, GALVABOND® steel with a zinc coating class of Z275 in 0.40mm base metal thickness (BMT) (Bluescope)</v>
      </c>
      <c r="C41" s="132" t="str">
        <v>m²</v>
      </c>
      <c r="D41" s="198">
        <v>11.4</v>
      </c>
      <c r="E41" s="198">
        <v>3.3333333333333335</v>
      </c>
      <c r="F41" s="198">
        <v>0</v>
      </c>
      <c r="G41" s="215">
        <v>0</v>
      </c>
      <c r="H41" s="131"/>
    </row>
    <row r="42" spans="1:8" x14ac:dyDescent="0.25">
      <c r="A42" s="133"/>
      <c r="B42" s="204" t="str">
        <v>Steel, Steel cladding - metallic coated, GALVABOND® steel with a zinc coating class of Z100 in 0.45mm base metal thickness (BMT) (Bluescope)</v>
      </c>
      <c r="C42" s="132" t="str">
        <v>m²</v>
      </c>
      <c r="D42" s="198">
        <v>11.4</v>
      </c>
      <c r="E42" s="198">
        <v>3.0978260869565215</v>
      </c>
      <c r="F42" s="198">
        <v>0</v>
      </c>
      <c r="G42" s="215">
        <v>0</v>
      </c>
      <c r="H42" s="131"/>
    </row>
    <row r="43" spans="1:8" x14ac:dyDescent="0.25">
      <c r="A43" s="133"/>
      <c r="B43" s="204" t="str">
        <v>Steel, Steel cladding - metallic coated, GALVABOND® steel with a zinc coating class of Z100 in 0.50mm base metal thickness (BMT) (Bluescope)</v>
      </c>
      <c r="C43" s="132" t="str">
        <v>m²</v>
      </c>
      <c r="D43" s="198">
        <v>12.5</v>
      </c>
      <c r="E43" s="198">
        <v>3.071253071253071</v>
      </c>
      <c r="F43" s="198">
        <v>0</v>
      </c>
      <c r="G43" s="215">
        <v>0</v>
      </c>
      <c r="H43" s="131"/>
    </row>
    <row r="44" spans="1:8" x14ac:dyDescent="0.25">
      <c r="A44" s="133"/>
      <c r="B44" s="204" t="str">
        <v>Steel, Steel cladding - metallic coated, GALVABOND® steel with a zinc coating class of Z200 in 0.40mm base metal thickness (BMT) (Bluescope)</v>
      </c>
      <c r="C44" s="132" t="str">
        <v>m²</v>
      </c>
      <c r="D44" s="198">
        <v>10.6</v>
      </c>
      <c r="E44" s="198">
        <v>3.1641791044776117</v>
      </c>
      <c r="F44" s="198">
        <v>0</v>
      </c>
      <c r="G44" s="215">
        <v>0</v>
      </c>
      <c r="H44" s="131"/>
    </row>
    <row r="45" spans="1:8" x14ac:dyDescent="0.25">
      <c r="A45" s="133"/>
      <c r="B45" s="204" t="str">
        <v>Steel, Steel cladding - metallic coated, GALVABOND® steel with a zinc coating class of Z275 in 0.50mm base metal thickness (BMT) (Bluescope)</v>
      </c>
      <c r="C45" s="132" t="str">
        <v>m²</v>
      </c>
      <c r="D45" s="198">
        <v>13.5</v>
      </c>
      <c r="E45" s="198">
        <v>3.2066508313539193</v>
      </c>
      <c r="F45" s="198">
        <v>0</v>
      </c>
      <c r="G45" s="215">
        <v>0</v>
      </c>
      <c r="H45" s="131"/>
    </row>
    <row r="46" spans="1:8" x14ac:dyDescent="0.25">
      <c r="A46" s="133"/>
      <c r="B46" s="204" t="str">
        <v>Steel, Steel cladding - metallic coated, GALVABOND® steel with a zinc coating class of Z100 in 0.55mm base metal thickness (BMT) (Bluescope)</v>
      </c>
      <c r="C46" s="132" t="str">
        <v>m²</v>
      </c>
      <c r="D46" s="198">
        <v>13.5</v>
      </c>
      <c r="E46" s="198">
        <v>3.0269058295964126</v>
      </c>
      <c r="F46" s="198">
        <v>0</v>
      </c>
      <c r="G46" s="215">
        <v>0</v>
      </c>
      <c r="H46" s="131"/>
    </row>
    <row r="47" spans="1:8" x14ac:dyDescent="0.25">
      <c r="A47" s="133"/>
      <c r="B47" s="204" t="str">
        <v>Steel, Steel cladding - metallic coated, GALVABOND® steel with a zinc coating class of Z275 in 0.55mm base metal thickness (BMT) (Bluescope)</v>
      </c>
      <c r="C47" s="132" t="str">
        <v>m²</v>
      </c>
      <c r="D47" s="198">
        <v>14.5</v>
      </c>
      <c r="E47" s="198">
        <v>3.1521739130434785</v>
      </c>
      <c r="F47" s="198">
        <v>0</v>
      </c>
      <c r="G47" s="215">
        <v>0</v>
      </c>
      <c r="H47" s="131"/>
    </row>
    <row r="48" spans="1:8" x14ac:dyDescent="0.25">
      <c r="A48" s="133"/>
      <c r="B48" s="204" t="str">
        <v>Steel, Steel cladding - metallic coated, GALVABOND® steel with a zinc coating class of Z275 in 0.60mm base metal thickness (BMT) (Bluescope)</v>
      </c>
      <c r="C48" s="132" t="str">
        <v>m²</v>
      </c>
      <c r="D48" s="198">
        <v>15.5</v>
      </c>
      <c r="E48" s="198">
        <v>3.1062124248496992</v>
      </c>
      <c r="F48" s="198">
        <v>0</v>
      </c>
      <c r="G48" s="215">
        <v>0</v>
      </c>
      <c r="H48" s="131"/>
    </row>
    <row r="49" spans="1:8" x14ac:dyDescent="0.25">
      <c r="A49" s="133"/>
      <c r="B49" s="204" t="str">
        <v>Steel, Steel cladding - metallic coated, GALVABOND® steel with a zinc coating class of Z200 in 0.50mm base metal thickness (BMT) (Bluescope)</v>
      </c>
      <c r="C49" s="132" t="str">
        <v>m²</v>
      </c>
      <c r="D49" s="198">
        <v>12.7</v>
      </c>
      <c r="E49" s="198">
        <v>3.0750605326876514</v>
      </c>
      <c r="F49" s="198">
        <v>0</v>
      </c>
      <c r="G49" s="215">
        <v>0</v>
      </c>
      <c r="H49" s="131"/>
    </row>
    <row r="50" spans="1:8" x14ac:dyDescent="0.25">
      <c r="A50" s="133"/>
      <c r="B50" s="204" t="str">
        <v>Steel, Steel cladding - metallic coated, GALVABOND® steel with a zinc coating class of Z200 in 0.55mm base metal thickness (BMT) (Bluescope)</v>
      </c>
      <c r="C50" s="132" t="str">
        <v>m²</v>
      </c>
      <c r="D50" s="198">
        <v>13.7</v>
      </c>
      <c r="E50" s="198">
        <v>3.0309734513274336</v>
      </c>
      <c r="F50" s="198">
        <v>0</v>
      </c>
      <c r="G50" s="215">
        <v>0</v>
      </c>
      <c r="H50" s="131"/>
    </row>
    <row r="51" spans="1:8" x14ac:dyDescent="0.25">
      <c r="A51" s="133"/>
      <c r="B51" s="204" t="str">
        <v>Steel, Steel cladding - metallic coated, GALVABOND® steel with a zinc coating class of Z100 in 0.70mm base metal thickness (BMT) (Bluescope)</v>
      </c>
      <c r="C51" s="132" t="str">
        <v>m²</v>
      </c>
      <c r="D51" s="198">
        <v>16.600000000000001</v>
      </c>
      <c r="E51" s="198">
        <v>2.9432624113475181</v>
      </c>
      <c r="F51" s="198">
        <v>0</v>
      </c>
      <c r="G51" s="215">
        <v>0</v>
      </c>
      <c r="H51" s="131"/>
    </row>
    <row r="52" spans="1:8" x14ac:dyDescent="0.25">
      <c r="A52" s="133"/>
      <c r="B52" s="204" t="str">
        <v>Steel, Steel cladding - metallic coated, GALVABOND® steel with a zinc coating class of Z275 in 0.70mm base metal thickness (BMT) (Bluescope)</v>
      </c>
      <c r="C52" s="132" t="str">
        <v>m²</v>
      </c>
      <c r="D52" s="198">
        <v>17.600000000000001</v>
      </c>
      <c r="E52" s="198">
        <v>3.0449826989619377</v>
      </c>
      <c r="F52" s="198">
        <v>0</v>
      </c>
      <c r="G52" s="215">
        <v>0</v>
      </c>
      <c r="H52" s="131"/>
    </row>
    <row r="53" spans="1:8" x14ac:dyDescent="0.25">
      <c r="A53" s="133"/>
      <c r="B53" s="204" t="str">
        <v>Steel, Steel cladding - metallic coated, GALVABOND® steel with a zinc coating class of Z100 in 0.75mm base metal thickness (BMT) (Bluescope)</v>
      </c>
      <c r="C53" s="132" t="str">
        <v>m²</v>
      </c>
      <c r="D53" s="198">
        <v>17.600000000000001</v>
      </c>
      <c r="E53" s="198">
        <v>2.9187396351575456</v>
      </c>
      <c r="F53" s="198">
        <v>0</v>
      </c>
      <c r="G53" s="215">
        <v>0</v>
      </c>
      <c r="H53" s="131"/>
    </row>
    <row r="54" spans="1:8" x14ac:dyDescent="0.25">
      <c r="A54" s="133"/>
      <c r="B54" s="204" t="str">
        <v>Steel, Steel cladding - metallic coated, GALVABOND® steel with a zinc coating class of Z275 in 0.75mm base metal thickness (BMT) (Bluescope)</v>
      </c>
      <c r="C54" s="132" t="str">
        <v>m²</v>
      </c>
      <c r="D54" s="198">
        <v>18.600000000000001</v>
      </c>
      <c r="E54" s="198">
        <v>3.0145867098865482</v>
      </c>
      <c r="F54" s="198">
        <v>0</v>
      </c>
      <c r="G54" s="215">
        <v>0</v>
      </c>
      <c r="H54" s="131"/>
    </row>
    <row r="55" spans="1:8" x14ac:dyDescent="0.25">
      <c r="A55" s="133"/>
      <c r="B55" s="204" t="str">
        <v>Steel, Steel cladding - metallic coated, ZINCALUME® steel in 0.30mm base material thickness (BMT) (Bluescope)</v>
      </c>
      <c r="C55" s="132" t="str">
        <v>m²</v>
      </c>
      <c r="D55" s="198">
        <v>8.4</v>
      </c>
      <c r="E55" s="198">
        <v>3.3734939759036142</v>
      </c>
      <c r="F55" s="198">
        <v>0</v>
      </c>
      <c r="G55" s="215">
        <v>0</v>
      </c>
      <c r="H55" s="131"/>
    </row>
    <row r="56" spans="1:8" x14ac:dyDescent="0.25">
      <c r="A56" s="133"/>
      <c r="B56" s="204" t="str">
        <v>Steel, Steel cladding - metallic coated, GALVABOND® steel with a zinc coating class of Z275 in 0.80mm base metal thickness (BMT) (Bluescope)</v>
      </c>
      <c r="C56" s="132" t="str">
        <v>m²</v>
      </c>
      <c r="D56" s="198">
        <v>19.600000000000001</v>
      </c>
      <c r="E56" s="198">
        <v>2.9878048780487809</v>
      </c>
      <c r="F56" s="198">
        <v>0</v>
      </c>
      <c r="G56" s="215">
        <v>0</v>
      </c>
      <c r="H56" s="131"/>
    </row>
    <row r="57" spans="1:8" x14ac:dyDescent="0.25">
      <c r="A57" s="133"/>
      <c r="B57" s="204" t="str">
        <v>Steel, Steel cladding - metallic coated, GALVABOND® steel with a zinc coating class of Z275 in 0.85mm base metal thickness (BMT) (Bluescope)</v>
      </c>
      <c r="C57" s="132" t="str">
        <v>m²</v>
      </c>
      <c r="D57" s="198">
        <v>20.6</v>
      </c>
      <c r="E57" s="198">
        <v>2.9640287769784175</v>
      </c>
      <c r="F57" s="198">
        <v>0</v>
      </c>
      <c r="G57" s="215">
        <v>0</v>
      </c>
      <c r="H57" s="131"/>
    </row>
    <row r="58" spans="1:8" x14ac:dyDescent="0.25">
      <c r="A58" s="133"/>
      <c r="B58" s="204" t="str">
        <v>Steel, Steel cladding - metallic coated, ZINCALUME® steel in 0.35mm base material thickness (BMT) (Bluescope)</v>
      </c>
      <c r="C58" s="132" t="str">
        <v>m²</v>
      </c>
      <c r="D58" s="198">
        <v>9.43</v>
      </c>
      <c r="E58" s="198">
        <v>3.2743055555555554</v>
      </c>
      <c r="F58" s="198">
        <v>0</v>
      </c>
      <c r="G58" s="215">
        <v>0</v>
      </c>
      <c r="H58" s="131"/>
    </row>
    <row r="59" spans="1:8" x14ac:dyDescent="0.25">
      <c r="A59" s="133"/>
      <c r="B59" s="204" t="str">
        <v>Steel, Steel cladding - metallic coated, GALVABOND® steel with a zinc coating class of Z275 in 0.90mm base metal thickness (BMT) (Bluescope)</v>
      </c>
      <c r="C59" s="132" t="str">
        <v>m²</v>
      </c>
      <c r="D59" s="198">
        <v>21.7</v>
      </c>
      <c r="E59" s="198">
        <v>2.9523809523809526</v>
      </c>
      <c r="F59" s="198">
        <v>0</v>
      </c>
      <c r="G59" s="215">
        <v>0</v>
      </c>
      <c r="H59" s="131"/>
    </row>
    <row r="60" spans="1:8" x14ac:dyDescent="0.25">
      <c r="A60" s="133"/>
      <c r="B60" s="204" t="str">
        <v>Steel, Steel cladding - metallic coated, GALVABOND® steel with a zinc coating class of Z275 in 0.95mm base metal thickness (BMT) (Bluescope)</v>
      </c>
      <c r="C60" s="132" t="str">
        <v>m²</v>
      </c>
      <c r="D60" s="198">
        <v>22.7</v>
      </c>
      <c r="E60" s="198">
        <v>2.9328165374677</v>
      </c>
      <c r="F60" s="198">
        <v>0</v>
      </c>
      <c r="G60" s="215">
        <v>0</v>
      </c>
      <c r="H60" s="131"/>
    </row>
    <row r="61" spans="1:8" x14ac:dyDescent="0.25">
      <c r="A61" s="133"/>
      <c r="B61" s="204" t="str">
        <v>Steel, Steel cladding - metallic coated, ZINCALUME® steel in 0.38mm base material thickness (BMT) (Bluescope)</v>
      </c>
      <c r="C61" s="132" t="str">
        <v>m²</v>
      </c>
      <c r="D61" s="198">
        <v>10</v>
      </c>
      <c r="E61" s="198">
        <v>3.2051282051282048</v>
      </c>
      <c r="F61" s="198">
        <v>0</v>
      </c>
      <c r="G61" s="215">
        <v>0</v>
      </c>
      <c r="H61" s="131"/>
    </row>
    <row r="62" spans="1:8" x14ac:dyDescent="0.25">
      <c r="A62" s="133"/>
      <c r="B62" s="204" t="str">
        <v>Steel, Steel cladding - metallic coated, GALVABOND® steel with a zinc coating class of Z100 in 1.00mm base metal thickness (BMT) (Bluescope)</v>
      </c>
      <c r="C62" s="132" t="str">
        <v>m²</v>
      </c>
      <c r="D62" s="198">
        <v>22.7</v>
      </c>
      <c r="E62" s="198">
        <v>2.8410513141426783</v>
      </c>
      <c r="F62" s="198">
        <v>0</v>
      </c>
      <c r="G62" s="215">
        <v>0</v>
      </c>
      <c r="H62" s="131"/>
    </row>
    <row r="63" spans="1:8" x14ac:dyDescent="0.25">
      <c r="A63" s="133"/>
      <c r="B63" s="204" t="str">
        <v>Steel, Steel cladding - metallic coated, GALVABOND® steel with a zinc coating class of Z275 in 1.00mm base metal thickness (BMT) (Bluescope)</v>
      </c>
      <c r="C63" s="132" t="str">
        <v>m²</v>
      </c>
      <c r="D63" s="198">
        <v>23.7</v>
      </c>
      <c r="E63" s="198">
        <v>2.9151291512915125</v>
      </c>
      <c r="F63" s="198">
        <v>0</v>
      </c>
      <c r="G63" s="215">
        <v>0</v>
      </c>
      <c r="H63" s="131"/>
    </row>
    <row r="64" spans="1:8" x14ac:dyDescent="0.25">
      <c r="A64" s="133"/>
      <c r="B64" s="204" t="str">
        <v>Steel, Steel cladding - metallic coated, ZINCALUME® steel in 0.40mm base material thickness (BMT) (Bluescope)</v>
      </c>
      <c r="C64" s="132" t="str">
        <v>m²</v>
      </c>
      <c r="D64" s="198">
        <v>10.5</v>
      </c>
      <c r="E64" s="198">
        <v>3.2110091743119265</v>
      </c>
      <c r="F64" s="198">
        <v>0</v>
      </c>
      <c r="G64" s="215">
        <v>0</v>
      </c>
      <c r="H64" s="131"/>
    </row>
    <row r="65" spans="1:8" x14ac:dyDescent="0.25">
      <c r="A65" s="133"/>
      <c r="B65" s="204" t="str">
        <v>Steel, Steel cladding - metallic coated, ZINCALUME® steel in 0.42mm base material thickness (BMT) (Bluescope)</v>
      </c>
      <c r="C65" s="132" t="str">
        <v>m²</v>
      </c>
      <c r="D65" s="198">
        <v>10.9</v>
      </c>
      <c r="E65" s="198">
        <v>3.1778425655976674</v>
      </c>
      <c r="F65" s="198">
        <v>0</v>
      </c>
      <c r="G65" s="215">
        <v>0</v>
      </c>
      <c r="H65" s="131"/>
    </row>
    <row r="66" spans="1:8" x14ac:dyDescent="0.25">
      <c r="A66" s="133"/>
      <c r="B66" s="204" t="str">
        <v>Steel, Steel cladding - metallic coated, GALVABOND® steel with a zinc coating class of Z275 in 1.10mm base metal thickness (BMT) (Bluescope)</v>
      </c>
      <c r="C66" s="132" t="str">
        <v>m²</v>
      </c>
      <c r="D66" s="198">
        <v>25.8</v>
      </c>
      <c r="E66" s="198">
        <v>2.8923766816143499</v>
      </c>
      <c r="F66" s="198">
        <v>0</v>
      </c>
      <c r="G66" s="215">
        <v>0</v>
      </c>
      <c r="H66" s="131"/>
    </row>
    <row r="67" spans="1:8" x14ac:dyDescent="0.25">
      <c r="A67" s="133"/>
      <c r="B67" s="204" t="str">
        <v>Steel, Steel cladding - metallic coated, GALVABOND® steel with a zinc coating class of Z275 in 1.15mm base metal thickness (BMT) (Bluescope)</v>
      </c>
      <c r="C67" s="132" t="str">
        <v>m²</v>
      </c>
      <c r="D67" s="198">
        <v>26.8</v>
      </c>
      <c r="E67" s="198">
        <v>2.8786251342642317</v>
      </c>
      <c r="F67" s="198">
        <v>0</v>
      </c>
      <c r="G67" s="215">
        <v>0</v>
      </c>
      <c r="H67" s="131"/>
    </row>
    <row r="68" spans="1:8" x14ac:dyDescent="0.25">
      <c r="A68" s="133"/>
      <c r="B68" s="204" t="str">
        <v>Steel, Steel cladding - metallic coated, ZINCALUME® steel in 0.48mm base material thickness (BMT) (Bluescope)</v>
      </c>
      <c r="C68" s="132" t="str">
        <v>m²</v>
      </c>
      <c r="D68" s="198">
        <v>12.1</v>
      </c>
      <c r="E68" s="198">
        <v>3.1025641025641026</v>
      </c>
      <c r="F68" s="198">
        <v>0</v>
      </c>
      <c r="G68" s="215">
        <v>0</v>
      </c>
      <c r="H68" s="131"/>
    </row>
    <row r="69" spans="1:8" x14ac:dyDescent="0.25">
      <c r="A69" s="133"/>
      <c r="B69" s="204" t="str">
        <v>Steel, Steel cladding - metallic coated, GALVABOND® steel with a zinc coating class of Z275 in 1.20mm base metal thickness (BMT) (Bluescope)</v>
      </c>
      <c r="C69" s="132" t="str">
        <v>m²</v>
      </c>
      <c r="D69" s="198">
        <v>27.8</v>
      </c>
      <c r="E69" s="198">
        <v>2.8659793814432994</v>
      </c>
      <c r="F69" s="198">
        <v>0</v>
      </c>
      <c r="G69" s="215">
        <v>0</v>
      </c>
      <c r="H69" s="131"/>
    </row>
    <row r="70" spans="1:8" x14ac:dyDescent="0.25">
      <c r="A70" s="133"/>
      <c r="B70" s="204" t="str">
        <v>Steel, Steel cladding - metallic coated, ZINCALUME® steel in 0.50mm base material thickness (BMT) (Bluescope)</v>
      </c>
      <c r="C70" s="132" t="str">
        <v>m²</v>
      </c>
      <c r="D70" s="198">
        <v>12.5</v>
      </c>
      <c r="E70" s="198">
        <v>3.0788177339901481</v>
      </c>
      <c r="F70" s="198">
        <v>0</v>
      </c>
      <c r="G70" s="215">
        <v>0</v>
      </c>
      <c r="H70" s="131"/>
    </row>
    <row r="71" spans="1:8" x14ac:dyDescent="0.25">
      <c r="A71" s="133"/>
      <c r="B71" s="204" t="str">
        <v>Steel, Steel cladding - metallic coated, ZINCALUME® steel in 0.55mm base material thickness (BMT) (Bluescope)</v>
      </c>
      <c r="C71" s="132" t="str">
        <v>m²</v>
      </c>
      <c r="D71" s="198">
        <v>13.5</v>
      </c>
      <c r="E71" s="198">
        <v>3.0337078651685392</v>
      </c>
      <c r="F71" s="198">
        <v>0</v>
      </c>
      <c r="G71" s="215">
        <v>0</v>
      </c>
      <c r="H71" s="131"/>
    </row>
    <row r="72" spans="1:8" x14ac:dyDescent="0.25">
      <c r="A72" s="133"/>
      <c r="B72" s="204" t="str">
        <v>Steel, Steel cladding - metallic coated, ZINCALUME® steel in 0.60mm base material thickness (BMT) (Bluescope)</v>
      </c>
      <c r="C72" s="132" t="str">
        <v>m²</v>
      </c>
      <c r="D72" s="198">
        <v>14.6</v>
      </c>
      <c r="E72" s="198">
        <v>3.0165289256198347</v>
      </c>
      <c r="F72" s="198">
        <v>0</v>
      </c>
      <c r="G72" s="215">
        <v>0</v>
      </c>
      <c r="H72" s="131"/>
    </row>
    <row r="73" spans="1:8" x14ac:dyDescent="0.25">
      <c r="A73" s="133"/>
      <c r="B73" s="204" t="str">
        <v>Steel, Steel cladding - metallic coated, GALVABOND® steel with a zinc coating class of Z275 in 1.50mm base metal thickness (BMT) (Bluescope)</v>
      </c>
      <c r="C73" s="132" t="str">
        <v>m²</v>
      </c>
      <c r="D73" s="198">
        <v>34</v>
      </c>
      <c r="E73" s="198">
        <v>2.8192371475953566</v>
      </c>
      <c r="F73" s="198">
        <v>0</v>
      </c>
      <c r="G73" s="215">
        <v>0</v>
      </c>
      <c r="H73" s="131"/>
    </row>
    <row r="74" spans="1:8" x14ac:dyDescent="0.25">
      <c r="A74" s="133"/>
      <c r="B74" s="204" t="str">
        <v>Steel, Steel cladding - metallic coated, GALVABOND® steel with a zinc coating class of Z275 in 1.55mm base metal thickness (BMT) (Bluescope)</v>
      </c>
      <c r="C74" s="132" t="str">
        <v>m²</v>
      </c>
      <c r="D74" s="198">
        <v>35</v>
      </c>
      <c r="E74" s="198">
        <v>2.811244979919679</v>
      </c>
      <c r="F74" s="198">
        <v>0</v>
      </c>
      <c r="G74" s="215">
        <v>0</v>
      </c>
      <c r="H74" s="131"/>
    </row>
    <row r="75" spans="1:8" x14ac:dyDescent="0.25">
      <c r="A75" s="133"/>
      <c r="B75" s="204" t="str">
        <v>Steel, Steel cladding - metallic coated, GALVABOND® steel with a zinc coating class of Z275 in 1.60mm base metal thickness (BMT) (Bluescope)</v>
      </c>
      <c r="C75" s="132" t="str">
        <v>m²</v>
      </c>
      <c r="D75" s="198">
        <v>36</v>
      </c>
      <c r="E75" s="198">
        <v>2.8037383177570092</v>
      </c>
      <c r="F75" s="198">
        <v>0</v>
      </c>
      <c r="G75" s="215">
        <v>0</v>
      </c>
      <c r="H75" s="131"/>
    </row>
    <row r="76" spans="1:8" x14ac:dyDescent="0.25">
      <c r="A76" s="133"/>
      <c r="B76" s="204" t="str">
        <v>Steel, Steel cladding - metallic coated, GALVABOND® steel with a zinc coating class of Z200 in 1.40mm base metal thickness (BMT) (Bluescope)</v>
      </c>
      <c r="C76" s="132" t="str">
        <v>m²</v>
      </c>
      <c r="D76" s="198">
        <v>31.200403999999999</v>
      </c>
      <c r="E76" s="198">
        <v>2.7857503571428577</v>
      </c>
      <c r="F76" s="198">
        <v>0</v>
      </c>
      <c r="G76" s="215">
        <v>0</v>
      </c>
      <c r="H76" s="131"/>
    </row>
    <row r="77" spans="1:8" x14ac:dyDescent="0.25">
      <c r="A77" s="133"/>
      <c r="B77" s="204" t="str">
        <v>Steel, Steel cladding - metallic coated, GALVABOND® steel with a zinc coating class of Z275 in 1.90mm base metal thickness (BMT) (Bluescope)</v>
      </c>
      <c r="C77" s="132" t="str">
        <v>m²</v>
      </c>
      <c r="D77" s="198">
        <v>42.201730000000005</v>
      </c>
      <c r="E77" s="198">
        <v>2.7764296052631581</v>
      </c>
      <c r="F77" s="198">
        <v>0</v>
      </c>
      <c r="G77" s="215">
        <v>0</v>
      </c>
      <c r="H77" s="131"/>
    </row>
    <row r="78" spans="1:8" x14ac:dyDescent="0.25">
      <c r="A78" s="133"/>
      <c r="B78" s="204" t="str">
        <v>Steel, Steel cladding - metallic coated, GALVABOND® steel with a zinc coating class of Z275 in 1.95mm base metal thickness (BMT) (Bluescope)</v>
      </c>
      <c r="C78" s="132" t="str">
        <v>m²</v>
      </c>
      <c r="D78" s="198">
        <v>43.202040000000004</v>
      </c>
      <c r="E78" s="198">
        <v>2.7711379089159718</v>
      </c>
      <c r="F78" s="198">
        <v>0</v>
      </c>
      <c r="G78" s="215">
        <v>0</v>
      </c>
      <c r="H78" s="131"/>
    </row>
    <row r="79" spans="1:8" x14ac:dyDescent="0.25">
      <c r="A79" s="133"/>
      <c r="B79" s="204" t="str">
        <v>Steel, Steel cladding - metallic coated, GALVABOND® steel with a zinc coating class of Z275 in 2.40mm base metal thickness (BMT) (Bluescope)</v>
      </c>
      <c r="C79" s="132" t="str">
        <v>m²</v>
      </c>
      <c r="D79" s="198">
        <v>52.504860000000001</v>
      </c>
      <c r="E79" s="198">
        <v>2.7460700836820084</v>
      </c>
      <c r="F79" s="198">
        <v>0</v>
      </c>
      <c r="G79" s="215">
        <v>0</v>
      </c>
      <c r="H79" s="131"/>
    </row>
    <row r="80" spans="1:8" x14ac:dyDescent="0.25">
      <c r="A80" s="133"/>
      <c r="B80" s="204" t="str">
        <v>Steel, Steel cladding - metallic coated, GALVABOND® steel with a zinc coating class of Z275 in 2.90mm base metal thickness (BMT) (Bluescope)</v>
      </c>
      <c r="C80" s="132" t="str">
        <v>m²</v>
      </c>
      <c r="D80" s="198">
        <v>62.707980000000006</v>
      </c>
      <c r="E80" s="198">
        <v>2.7205197396963126</v>
      </c>
      <c r="F80" s="198">
        <v>0</v>
      </c>
      <c r="G80" s="215">
        <v>0</v>
      </c>
      <c r="H80" s="131"/>
    </row>
    <row r="81" spans="1:9" x14ac:dyDescent="0.25">
      <c r="A81" s="133"/>
      <c r="B81" s="204" t="str">
        <v>Steel, Steel cladding - metallic coated, ZINCALUME® steel in 0.70mm base material thickness (BMT) (Bluescope)</v>
      </c>
      <c r="C81" s="132" t="str">
        <v>m²</v>
      </c>
      <c r="D81" s="198">
        <v>16.600210000000001</v>
      </c>
      <c r="E81" s="198">
        <v>2.9485275310834815</v>
      </c>
      <c r="F81" s="198">
        <v>0</v>
      </c>
      <c r="G81" s="215">
        <v>0</v>
      </c>
      <c r="H81" s="131"/>
    </row>
    <row r="82" spans="1:9" x14ac:dyDescent="0.25">
      <c r="A82" s="133"/>
      <c r="B82" s="204" t="str">
        <v>Steel, Steel cladding - metallic coated, ZINCALUME® steel in 0.75mm base material thickness (BMT) (Bluescope)</v>
      </c>
      <c r="C82" s="132" t="str">
        <v>m²</v>
      </c>
      <c r="D82" s="198">
        <v>17.600522000000002</v>
      </c>
      <c r="E82" s="198">
        <v>2.9236747508305654</v>
      </c>
      <c r="F82" s="198">
        <v>0</v>
      </c>
      <c r="G82" s="215">
        <v>0</v>
      </c>
      <c r="H82" s="131"/>
    </row>
    <row r="83" spans="1:9" x14ac:dyDescent="0.25">
      <c r="A83" s="133"/>
      <c r="B83" s="204" t="str">
        <v>Steel, Steel cladding - metallic coated, ZINCALUME® steel in 0.95mm base material thickness (BMT) (Bluescope)</v>
      </c>
      <c r="C83" s="132" t="str">
        <v>m²</v>
      </c>
      <c r="D83" s="198">
        <v>21.70177</v>
      </c>
      <c r="E83" s="198">
        <v>2.8592582345191038</v>
      </c>
      <c r="F83" s="198">
        <v>0</v>
      </c>
      <c r="G83" s="215">
        <v>0</v>
      </c>
      <c r="H83" s="131"/>
    </row>
    <row r="84" spans="1:9" x14ac:dyDescent="0.25">
      <c r="A84" s="133"/>
      <c r="B84" s="204" t="str">
        <v>Steel, Steel cladding - metallic coated, ZINCALUME® steel in 1.00mm base material thickness (BMT) (Bluescope)</v>
      </c>
      <c r="C84" s="132" t="str">
        <v>m²</v>
      </c>
      <c r="D84" s="198">
        <v>22.80209</v>
      </c>
      <c r="E84" s="198">
        <v>2.8574047619047618</v>
      </c>
      <c r="F84" s="198">
        <v>0</v>
      </c>
      <c r="G84" s="215">
        <v>0</v>
      </c>
      <c r="H84" s="131"/>
    </row>
    <row r="85" spans="1:9" x14ac:dyDescent="0.25">
      <c r="A85" s="133"/>
      <c r="B85" s="204" t="str">
        <v>Steel, Steel cladding - metallic coated, ZINCALUME® steel in 1.15mm base material thickness (BMT) (Bluescope)</v>
      </c>
      <c r="C85" s="132" t="str">
        <v>m²</v>
      </c>
      <c r="D85" s="198">
        <v>25.80302</v>
      </c>
      <c r="E85" s="198">
        <v>2.8169235807860264</v>
      </c>
      <c r="F85" s="198">
        <v>0</v>
      </c>
      <c r="G85" s="215">
        <v>0</v>
      </c>
      <c r="H85" s="131"/>
    </row>
    <row r="86" spans="1:9" x14ac:dyDescent="0.25">
      <c r="A86" s="133"/>
      <c r="B86" s="204" t="str">
        <v>Steel, Steel cladding - metallic coated, ZINCALUME® steel in 1.20mm base material thickness (BMT) (Bluescope)</v>
      </c>
      <c r="C86" s="132" t="str">
        <v>m²</v>
      </c>
      <c r="D86" s="198">
        <v>26.90334</v>
      </c>
      <c r="E86" s="198">
        <v>2.8171036649214658</v>
      </c>
      <c r="F86" s="198">
        <v>0</v>
      </c>
      <c r="G86" s="215">
        <v>0</v>
      </c>
      <c r="H86" s="131"/>
    </row>
    <row r="87" spans="1:9" x14ac:dyDescent="0.25">
      <c r="A87" s="133"/>
      <c r="B87" s="204" t="str">
        <v>Steel cladding - metallic coated, , Magnaflow 0.42mm - flat (Colorcote) (New Zealand)</v>
      </c>
      <c r="C87" s="132" t="str">
        <v>m²</v>
      </c>
      <c r="D87" s="198">
        <v>11.7</v>
      </c>
      <c r="E87" s="198">
        <v>3.5486806187443132</v>
      </c>
      <c r="F87" s="198">
        <v>0</v>
      </c>
      <c r="G87" s="215">
        <v>0</v>
      </c>
      <c r="H87" s="131"/>
    </row>
    <row r="88" spans="1:9" x14ac:dyDescent="0.25">
      <c r="A88" s="133"/>
      <c r="B88" s="204" t="str">
        <v>Steel cladding - metallic coated, , Magnaflow 0.48mm - flat (Colorcote) (New Zealand)</v>
      </c>
      <c r="C88" s="132" t="str">
        <v>m²</v>
      </c>
      <c r="D88" s="198">
        <v>13.1</v>
      </c>
      <c r="E88" s="198">
        <v>3.4766454352441616</v>
      </c>
      <c r="F88" s="198">
        <v>0</v>
      </c>
      <c r="G88" s="215">
        <v>0</v>
      </c>
      <c r="H88" s="131"/>
    </row>
    <row r="89" spans="1:9" x14ac:dyDescent="0.25">
      <c r="A89" s="133"/>
      <c r="B89" s="204" t="str">
        <v>Steel cladding - painted, , Zinacore 0.42mm - flat (Colorcote) (New Zealand)</v>
      </c>
      <c r="C89" s="132" t="str">
        <v>m²</v>
      </c>
      <c r="D89" s="198">
        <v>14.5</v>
      </c>
      <c r="E89" s="198">
        <v>4.3979375189566277</v>
      </c>
      <c r="F89" s="198">
        <v>0</v>
      </c>
      <c r="G89" s="215">
        <v>0</v>
      </c>
      <c r="H89" s="131"/>
    </row>
    <row r="90" spans="1:9" x14ac:dyDescent="0.25">
      <c r="A90" s="133"/>
      <c r="B90" s="204" t="str">
        <v>Steel cladding - painted, , Zinacore 0.48mm - flat (Colorcote) (New Zealand)</v>
      </c>
      <c r="C90" s="132" t="str">
        <v>m²</v>
      </c>
      <c r="D90" s="198">
        <v>16.2</v>
      </c>
      <c r="E90" s="198">
        <v>4.2993630573248405</v>
      </c>
      <c r="F90" s="198">
        <v>0</v>
      </c>
      <c r="G90" s="215">
        <v>0</v>
      </c>
      <c r="H90" s="131"/>
      <c r="I90" s="198"/>
    </row>
    <row r="91" spans="1:9" x14ac:dyDescent="0.25">
      <c r="A91" s="133"/>
      <c r="B91" s="204" t="str">
        <v>Steel cladding/roofing, , ZinaCore™/ZinaCore PLUS™ 0.48mm (AU) (Fletcher Steel Ltd.) (Australia)</v>
      </c>
      <c r="C91" s="132" t="str">
        <v>m²</v>
      </c>
      <c r="D91" s="198">
        <v>16.192475269147483</v>
      </c>
      <c r="E91" s="198">
        <v>4.0684611229013763</v>
      </c>
      <c r="F91" s="198">
        <v>0</v>
      </c>
      <c r="G91" s="215">
        <v>0</v>
      </c>
      <c r="H91" s="131"/>
    </row>
    <row r="92" spans="1:9" x14ac:dyDescent="0.25">
      <c r="A92" s="133"/>
      <c r="B92" s="204" t="str">
        <v>Steel cladding/roofing, , ZinaCore™/ZinaCore PLUS™ 0.42mm (AU) (Fletcher Steel Ltd.) (Australia)</v>
      </c>
      <c r="C92" s="132" t="str">
        <v>m²</v>
      </c>
      <c r="D92" s="198">
        <v>14.486631946892032</v>
      </c>
      <c r="E92" s="198">
        <v>4.1155204394579625</v>
      </c>
      <c r="F92" s="198">
        <v>0</v>
      </c>
      <c r="G92" s="215">
        <v>0</v>
      </c>
      <c r="H92" s="131"/>
    </row>
    <row r="93" spans="1:9" x14ac:dyDescent="0.25">
      <c r="A93" s="133"/>
      <c r="B93" s="204" t="str">
        <v>Steel cladding/roofing, , MagnaFlow™/MagnaFlow PLUS™ 0.48mm (AU) (Fletcher Steel Ltd.) (Australia)</v>
      </c>
      <c r="C93" s="132" t="str">
        <v>m²</v>
      </c>
      <c r="D93" s="198">
        <v>13.153506244631568</v>
      </c>
      <c r="E93" s="198">
        <v>3.2081722547881881</v>
      </c>
      <c r="F93" s="198">
        <v>0</v>
      </c>
      <c r="G93" s="215">
        <v>0</v>
      </c>
      <c r="H93" s="131"/>
    </row>
    <row r="94" spans="1:9" x14ac:dyDescent="0.25">
      <c r="A94" s="133"/>
      <c r="B94" s="217" t="str">
        <v>Steel cladding/roofing, , MagnaFlow™/MagnaFlow PLUS™ 0.42mm (AU) (Fletcher Steel Ltd.) (Australia)</v>
      </c>
      <c r="C94" s="218" t="str">
        <v>m²</v>
      </c>
      <c r="D94" s="219">
        <v>11.750170719915225</v>
      </c>
      <c r="E94" s="219">
        <v>3.2280688790975893</v>
      </c>
      <c r="F94" s="219">
        <v>0</v>
      </c>
      <c r="G94" s="220">
        <v>0</v>
      </c>
      <c r="H94" s="131"/>
    </row>
    <row r="95" spans="1:9" x14ac:dyDescent="0.25">
      <c r="B95" s="130"/>
      <c r="C95" s="130"/>
      <c r="D95" s="207"/>
      <c r="E95" s="207"/>
      <c r="F95" s="207"/>
      <c r="G95" s="207"/>
    </row>
  </sheetData>
  <dataValidations count="1">
    <dataValidation type="list" allowBlank="1" showInputMessage="1" showErrorMessage="1" sqref="B6:B9" xr:uid="{D421FBFA-7F2A-4ED4-BC5C-535B5733012F}">
      <formula1>"Tier 1,Tier 2,Tier 3,Tier 4"</formula1>
    </dataValidation>
  </dataValidations>
  <pageMargins left="0.7" right="0.7" top="0.75" bottom="0.75" header="0.3" footer="0.3"/>
  <pageSetup paperSize="9" orientation="portrait"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D6B89-A4E8-44A1-9C83-DF3F71532A5A}">
  <sheetPr codeName="Sheet28">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16384" width="9.1796875" style="132"/>
  </cols>
  <sheetData>
    <row r="1" spans="1:8" ht="13" x14ac:dyDescent="0.25">
      <c r="A1" s="202" t="str">
        <f>B16</f>
        <v>Steel cladding - painted</v>
      </c>
    </row>
    <row r="2" spans="1:8" ht="13" x14ac:dyDescent="0.25">
      <c r="A2" s="202"/>
    </row>
    <row r="3" spans="1:8" ht="13" x14ac:dyDescent="0.3">
      <c r="A3" s="227" t="s">
        <v>5626</v>
      </c>
      <c r="B3" s="132" t="s">
        <v>5917</v>
      </c>
    </row>
    <row r="4" spans="1:8" ht="13" x14ac:dyDescent="0.25">
      <c r="A4" s="202"/>
    </row>
    <row r="5" spans="1:8" ht="73.5" customHeight="1" x14ac:dyDescent="0.3">
      <c r="A5" s="227" t="s">
        <v>5628</v>
      </c>
      <c r="B5" s="200" t="s">
        <v>5918</v>
      </c>
    </row>
    <row r="6" spans="1:8" ht="13" x14ac:dyDescent="0.3">
      <c r="A6" s="227" t="s">
        <v>5630</v>
      </c>
      <c r="B6" s="201" t="s">
        <v>71</v>
      </c>
    </row>
    <row r="7" spans="1:8" ht="13" x14ac:dyDescent="0.3">
      <c r="A7" s="227" t="s">
        <v>5631</v>
      </c>
      <c r="B7" s="201" t="s">
        <v>71</v>
      </c>
    </row>
    <row r="8" spans="1:8" ht="13" x14ac:dyDescent="0.3">
      <c r="A8" s="227" t="s">
        <v>5632</v>
      </c>
      <c r="B8" s="201" t="s">
        <v>71</v>
      </c>
    </row>
    <row r="9" spans="1:8" ht="13" x14ac:dyDescent="0.3">
      <c r="A9" s="227" t="s">
        <v>5633</v>
      </c>
      <c r="B9" s="202" t="s">
        <v>71</v>
      </c>
    </row>
    <row r="10" spans="1:8" ht="13" x14ac:dyDescent="0.3">
      <c r="A10" s="227"/>
      <c r="B10" s="202"/>
    </row>
    <row r="11" spans="1:8" ht="25.5" x14ac:dyDescent="0.3">
      <c r="A11" s="227" t="s">
        <v>5634</v>
      </c>
      <c r="B11" s="200" t="s">
        <v>5647</v>
      </c>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4960</v>
      </c>
      <c r="C16" s="316" t="s">
        <v>24</v>
      </c>
      <c r="D16" s="314" t="s">
        <v>146</v>
      </c>
      <c r="E16" s="315" t="s">
        <v>153</v>
      </c>
      <c r="F16" s="314" t="s">
        <v>147</v>
      </c>
      <c r="G16" s="314" t="s">
        <v>154</v>
      </c>
      <c r="H16" s="131"/>
    </row>
    <row r="17" spans="1:8" ht="13" x14ac:dyDescent="0.3">
      <c r="A17" s="133"/>
      <c r="B17" s="211"/>
      <c r="C17" s="212" t="s">
        <v>5636</v>
      </c>
      <c r="D17" s="196" t="str" cm="1">
        <f t="array" ref="D17">IF(AND(_xlfn.ANCHORARRAY(C23)=C23),C23,"Mixed")</f>
        <v>m²</v>
      </c>
      <c r="E17" s="196" t="s">
        <v>2774</v>
      </c>
      <c r="F17" s="196" t="str" cm="1">
        <f t="array" ref="F17">IF(AND(_xlfn.ANCHORARRAY(C23)=C23),C23,"Mixed")</f>
        <v>m²</v>
      </c>
      <c r="G17" s="213" t="s">
        <v>2774</v>
      </c>
      <c r="H17" s="131"/>
    </row>
    <row r="18" spans="1:8" s="200" customFormat="1" ht="13" x14ac:dyDescent="0.3">
      <c r="A18" s="221"/>
      <c r="B18" s="214"/>
      <c r="C18" s="202" t="s">
        <v>5637</v>
      </c>
      <c r="D18" s="198">
        <f t="shared" ref="D18:G18" si="0">MAX(_xlfn.ANCHORARRAY(D23))</f>
        <v>24.9</v>
      </c>
      <c r="E18" s="198">
        <f t="shared" si="0"/>
        <v>5.3781699999999999</v>
      </c>
      <c r="F18" s="198">
        <f t="shared" si="0"/>
        <v>0</v>
      </c>
      <c r="G18" s="215">
        <f t="shared" si="0"/>
        <v>0</v>
      </c>
      <c r="H18" s="131"/>
    </row>
    <row r="19" spans="1:8" ht="13" x14ac:dyDescent="0.25">
      <c r="A19" s="133"/>
      <c r="B19" s="204"/>
      <c r="C19" s="202" t="s">
        <v>5638</v>
      </c>
      <c r="D19" s="198">
        <f>MIN(_xlfn.ANCHORARRAY(D23))</f>
        <v>9.49</v>
      </c>
      <c r="E19" s="198">
        <f t="shared" ref="E19:G19" si="1">MIN(_xlfn.ANCHORARRAY(E23))</f>
        <v>2.9837702871410734</v>
      </c>
      <c r="F19" s="198">
        <f t="shared" si="1"/>
        <v>0</v>
      </c>
      <c r="G19" s="215">
        <f t="shared" si="1"/>
        <v>0</v>
      </c>
      <c r="H19" s="131"/>
    </row>
    <row r="20" spans="1:8" ht="13" x14ac:dyDescent="0.25">
      <c r="A20" s="133"/>
      <c r="B20" s="204"/>
      <c r="C20" s="202" t="s">
        <v>5639</v>
      </c>
      <c r="D20" s="198">
        <f>AVERAGE(_xlfn.ANCHORARRAY(D23))</f>
        <v>14.841955135714281</v>
      </c>
      <c r="E20" s="198">
        <f t="shared" ref="E20:G20" si="2">AVERAGE(_xlfn.ANCHORARRAY(E23))</f>
        <v>3.4701194542243821</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64">_xlfn.UNIQUE(_xlfn._xlws.FILTER('EPD List'!D:D,ISNUMBER(SEARCH(B16,'EPD List'!C:C)),0))</f>
        <v>Steel, Steel cladding - painted, COLORBOND® steel in 1.00mm base metal thickness (BMT), incl. rollforming (Bluescope)</v>
      </c>
      <c r="C23" s="132" t="str" cm="1">
        <f t="array" ref="C23:C64">_xlfn.IFNA(INDEX('EPD List'!$A:$AB,MATCH(_xlfn.ANCHORARRAY(B23),'EPD List'!$D:$D,0),MATCH(C$16,'EPD List'!$7:$7,0)),"")</f>
        <v>m²</v>
      </c>
      <c r="D23" s="198" cm="1">
        <f t="array" ref="D23:D64">_xlfn.IFNA(VALUE((INDEX('EPD List'!$A:$AD,MATCH(_xlfn.ANCHORARRAY($B23),'EPD List'!$D:$D,0),MATCH(D$16,'EPD List'!$7:$7,0)))),"")</f>
        <v>24.9</v>
      </c>
      <c r="E23" s="198" cm="1">
        <f t="array" ref="E23:E64">_xlfn.IFNA(VALUE((INDEX('EPD List'!$A:$AD,MATCH(_xlfn.ANCHORARRAY($B23),'EPD List'!$D:$D,0),MATCH(E$16,'EPD List'!$7:$7,0)))),"")</f>
        <v>3.1086142322097379</v>
      </c>
      <c r="F23" s="198" cm="1">
        <f t="array" ref="F23:F64">_xlfn.IFNA(VALUE((INDEX('EPD List'!$A:$AD,MATCH(_xlfn.ANCHORARRAY($B23),'EPD List'!$D:$D,0),MATCH(F$16,'EPD List'!$7:$7,0)))),"")</f>
        <v>0</v>
      </c>
      <c r="G23" s="215" cm="1">
        <f t="array" ref="G23:G64">_xlfn.IFNA(VALUE((INDEX('EPD List'!$A:$AD,MATCH(_xlfn.ANCHORARRAY($B23),'EPD List'!$D:$D,0),MATCH(G$16,'EPD List'!$7:$7,0)))),"")</f>
        <v>0</v>
      </c>
      <c r="H23" s="131"/>
    </row>
    <row r="24" spans="1:8" x14ac:dyDescent="0.25">
      <c r="A24" s="133"/>
      <c r="B24" s="204" t="str">
        <v>Steel, Roofing, COLORBOND® Coolmax® steel in 0.55mm base material thickness (BMT), incl. rollforming (Bluescope)</v>
      </c>
      <c r="C24" s="132" t="str">
        <v>m²</v>
      </c>
      <c r="D24" s="198">
        <v>15.3</v>
      </c>
      <c r="E24" s="198">
        <v>3.4000000000000004</v>
      </c>
      <c r="F24" s="198">
        <v>0</v>
      </c>
      <c r="G24" s="215">
        <v>0</v>
      </c>
      <c r="H24" s="131"/>
    </row>
    <row r="25" spans="1:8" x14ac:dyDescent="0.25">
      <c r="A25" s="133"/>
      <c r="B25" s="204" t="str">
        <v>Steel, Steel cladding - painted, COLORBOND® steel in 0.75mm base metal thickness (BMT), incl. rollforming (Bluescope)</v>
      </c>
      <c r="C25" s="132" t="str">
        <v>m²</v>
      </c>
      <c r="D25" s="198">
        <v>19.5</v>
      </c>
      <c r="E25" s="198">
        <v>3.2231404958677685</v>
      </c>
      <c r="F25" s="198">
        <v>0</v>
      </c>
      <c r="G25" s="215">
        <v>0</v>
      </c>
      <c r="H25" s="131"/>
    </row>
    <row r="26" spans="1:8" x14ac:dyDescent="0.25">
      <c r="A26" s="133"/>
      <c r="B26" s="204" t="str">
        <v>Steel, Steel cladding - painted, COLORBOND® steel in 0.70mm base metal thickness (BMT), incl. rollforming (Bluescope)</v>
      </c>
      <c r="C26" s="132" t="str">
        <v>m²</v>
      </c>
      <c r="D26" s="198">
        <v>18.399999999999999</v>
      </c>
      <c r="E26" s="198">
        <v>3.2566371681415927</v>
      </c>
      <c r="F26" s="198">
        <v>0</v>
      </c>
      <c r="G26" s="215">
        <v>0</v>
      </c>
      <c r="H26" s="131"/>
    </row>
    <row r="27" spans="1:8" x14ac:dyDescent="0.25">
      <c r="A27" s="133"/>
      <c r="B27" s="204" t="str">
        <v>Steel, Roofing, COLORBOND® Coolmax® steel in 0.48mm base material thickness (BMT), incl. rollforming (Bluescope)</v>
      </c>
      <c r="C27" s="132" t="str">
        <v>m²</v>
      </c>
      <c r="D27" s="198">
        <v>13.8</v>
      </c>
      <c r="E27" s="198">
        <v>3.4936708860759493</v>
      </c>
      <c r="F27" s="198">
        <v>0</v>
      </c>
      <c r="G27" s="215">
        <v>0</v>
      </c>
      <c r="H27" s="131"/>
    </row>
    <row r="28" spans="1:8" x14ac:dyDescent="0.25">
      <c r="A28" s="133"/>
      <c r="B28" s="204" t="str">
        <v>Steel, Steel cladding - painted, COLORBOND® steel in 0.60mm base metal thickness (BMT), incl. rollforming (Bluescope)</v>
      </c>
      <c r="C28" s="132" t="str">
        <v>m²</v>
      </c>
      <c r="D28" s="198">
        <v>16.3</v>
      </c>
      <c r="E28" s="198">
        <v>3.3470225872689938</v>
      </c>
      <c r="F28" s="198">
        <v>0</v>
      </c>
      <c r="G28" s="215">
        <v>0</v>
      </c>
      <c r="H28" s="131"/>
    </row>
    <row r="29" spans="1:8" x14ac:dyDescent="0.25">
      <c r="A29" s="133"/>
      <c r="B29" s="204" t="str">
        <v>Steel, Roofing, COLORBOND® Coolmax® steel in 0.42mm base material thickness (BMT), incl. rollforming (Bluescope)</v>
      </c>
      <c r="C29" s="132" t="str">
        <v>m²</v>
      </c>
      <c r="D29" s="198">
        <v>12.5</v>
      </c>
      <c r="E29" s="198">
        <v>3.5919540229885056</v>
      </c>
      <c r="F29" s="198">
        <v>0</v>
      </c>
      <c r="G29" s="215">
        <v>0</v>
      </c>
      <c r="H29" s="131"/>
    </row>
    <row r="30" spans="1:8" x14ac:dyDescent="0.25">
      <c r="A30" s="133"/>
      <c r="B30" s="204" t="str">
        <v>Steel, Steel cladding - painted, COLORBOND® steel in 0.55mm base metal thickness (BMT), incl. rollforming (Bluescope)</v>
      </c>
      <c r="C30" s="132" t="str">
        <v>m²</v>
      </c>
      <c r="D30" s="198">
        <v>15.2</v>
      </c>
      <c r="E30" s="198">
        <v>3.3928571428571423</v>
      </c>
      <c r="F30" s="198">
        <v>0</v>
      </c>
      <c r="G30" s="215">
        <v>0</v>
      </c>
      <c r="H30" s="131"/>
    </row>
    <row r="31" spans="1:8" x14ac:dyDescent="0.25">
      <c r="A31" s="133"/>
      <c r="B31" s="204" t="str">
        <v>Steel, Steel cladding - painted, COLORBOND® steel in 0.48mm base metal thickness (BMT), incl. rollforming (Bluescope)</v>
      </c>
      <c r="C31" s="132" t="str">
        <v>m²</v>
      </c>
      <c r="D31" s="198">
        <v>13.7</v>
      </c>
      <c r="E31" s="198">
        <v>3.4860050890585237</v>
      </c>
      <c r="F31" s="198">
        <v>0</v>
      </c>
      <c r="G31" s="215">
        <v>0</v>
      </c>
      <c r="H31" s="131"/>
    </row>
    <row r="32" spans="1:8" x14ac:dyDescent="0.25">
      <c r="A32" s="133"/>
      <c r="B32" s="204" t="str">
        <v>Steel, Steel cladding - painted, COLORBOND® steel in 0.45mm base metal thickness (BMT), incl. rollforming (Bluescope)</v>
      </c>
      <c r="C32" s="132" t="str">
        <v>m²</v>
      </c>
      <c r="D32" s="198">
        <v>13.1</v>
      </c>
      <c r="E32" s="198">
        <v>3.5501355013550135</v>
      </c>
      <c r="F32" s="198">
        <v>0</v>
      </c>
      <c r="G32" s="215">
        <v>0</v>
      </c>
      <c r="H32" s="131"/>
    </row>
    <row r="33" spans="1:8" x14ac:dyDescent="0.25">
      <c r="A33" s="133"/>
      <c r="B33" s="204" t="str">
        <v>Steel, Steel cladding - painted, COLORBOND® steel in 0.42mm base metal thickness (BMT), incl. rollforming (Bluescope)</v>
      </c>
      <c r="C33" s="132" t="str">
        <v>m²</v>
      </c>
      <c r="D33" s="198">
        <v>12.4</v>
      </c>
      <c r="E33" s="198">
        <v>3.5838150289017343</v>
      </c>
      <c r="F33" s="198">
        <v>0</v>
      </c>
      <c r="G33" s="215">
        <v>0</v>
      </c>
      <c r="H33" s="131"/>
    </row>
    <row r="34" spans="1:8" x14ac:dyDescent="0.25">
      <c r="A34" s="133"/>
      <c r="B34" s="204" t="str">
        <v>Steel, Steel cladding - painted, COLORBOND® steel in 0.40mm base metal thickness (BMT), incl. rollforming (Bluescope)</v>
      </c>
      <c r="C34" s="132" t="str">
        <v>m²</v>
      </c>
      <c r="D34" s="198">
        <v>12</v>
      </c>
      <c r="E34" s="198">
        <v>3.6363636363636367</v>
      </c>
      <c r="F34" s="198">
        <v>0</v>
      </c>
      <c r="G34" s="215">
        <v>0</v>
      </c>
      <c r="H34" s="131"/>
    </row>
    <row r="35" spans="1:8" x14ac:dyDescent="0.25">
      <c r="A35" s="133"/>
      <c r="B35" s="204" t="str">
        <v>Steel, Steel cladding - painted, COLORBOND® steel in 0.35mm base metal thickness (BMT), incl. rollforming (Bluescope)</v>
      </c>
      <c r="C35" s="132" t="str">
        <v>m²</v>
      </c>
      <c r="D35" s="198">
        <v>10.9</v>
      </c>
      <c r="E35" s="198">
        <v>3.7457044673539519</v>
      </c>
      <c r="F35" s="198">
        <v>0</v>
      </c>
      <c r="G35" s="215">
        <v>0</v>
      </c>
      <c r="H35" s="131"/>
    </row>
    <row r="36" spans="1:8" x14ac:dyDescent="0.25">
      <c r="A36" s="133"/>
      <c r="B36" s="204" t="str">
        <v>Steel, Steel cladding - painted, COLORBOND® steel in 0.30mm base metal thickness (BMT), incl. rollforming (Bluescope)</v>
      </c>
      <c r="C36" s="132" t="str">
        <v>m²</v>
      </c>
      <c r="D36" s="198">
        <v>9.84</v>
      </c>
      <c r="E36" s="198">
        <v>3.9203187250996017</v>
      </c>
      <c r="F36" s="198">
        <v>0</v>
      </c>
      <c r="G36" s="215">
        <v>0</v>
      </c>
      <c r="H36" s="131"/>
    </row>
    <row r="37" spans="1:8" x14ac:dyDescent="0.25">
      <c r="A37" s="133"/>
      <c r="B37" s="204" t="str">
        <v>Steel, Roofing, COLORBOND® Coolmax® steel in 0.42mm base material thickness (BMT) (Bluescope)</v>
      </c>
      <c r="C37" s="132" t="str">
        <v>m²</v>
      </c>
      <c r="D37" s="198">
        <v>12.1</v>
      </c>
      <c r="E37" s="198">
        <v>3.4770114942528734</v>
      </c>
      <c r="F37" s="198">
        <v>0</v>
      </c>
      <c r="G37" s="215">
        <v>0</v>
      </c>
      <c r="H37" s="131"/>
    </row>
    <row r="38" spans="1:8" x14ac:dyDescent="0.25">
      <c r="A38" s="133"/>
      <c r="B38" s="204" t="str">
        <v>Steel, Steel cladding - painted, COLORBOND® steel Metallic in 0.42mm base metal thickness (BMT) (Bluescope)</v>
      </c>
      <c r="C38" s="132" t="str">
        <v>m²</v>
      </c>
      <c r="D38" s="198">
        <v>12.4</v>
      </c>
      <c r="E38" s="198">
        <v>3.5734870317002883</v>
      </c>
      <c r="F38" s="198">
        <v>0</v>
      </c>
      <c r="G38" s="215">
        <v>0</v>
      </c>
      <c r="H38" s="131"/>
    </row>
    <row r="39" spans="1:8" x14ac:dyDescent="0.25">
      <c r="A39" s="133"/>
      <c r="B39" s="204" t="str">
        <v>Steel, Roofing, COLORBOND® Coolmax® steel in 0.48mm base material thickness (BMT) (Bluescope)</v>
      </c>
      <c r="C39" s="132" t="str">
        <v>m²</v>
      </c>
      <c r="D39" s="198">
        <v>13.3</v>
      </c>
      <c r="E39" s="198">
        <v>3.3670886075949369</v>
      </c>
      <c r="F39" s="198">
        <v>0</v>
      </c>
      <c r="G39" s="215">
        <v>0</v>
      </c>
      <c r="H39" s="131"/>
    </row>
    <row r="40" spans="1:8" x14ac:dyDescent="0.25">
      <c r="A40" s="133"/>
      <c r="B40" s="204" t="str">
        <v>Steel, Steel cladding - painted, COLORBOND® steel Metallic in 0.48mm base metal thickness (BMT) (Bluescope)</v>
      </c>
      <c r="C40" s="132" t="str">
        <v>m²</v>
      </c>
      <c r="D40" s="198">
        <v>13.7</v>
      </c>
      <c r="E40" s="198">
        <v>3.4771573604060912</v>
      </c>
      <c r="F40" s="198">
        <v>0</v>
      </c>
      <c r="G40" s="215">
        <v>0</v>
      </c>
      <c r="H40" s="131"/>
    </row>
    <row r="41" spans="1:8" x14ac:dyDescent="0.25">
      <c r="A41" s="133"/>
      <c r="B41" s="204" t="str">
        <v>Steel, Steel cladding - painted, COLORBOND® steel in 0.30mm base metal thickness (BMT) (Bluescope)</v>
      </c>
      <c r="C41" s="132" t="str">
        <v>m²</v>
      </c>
      <c r="D41" s="198">
        <v>9.49</v>
      </c>
      <c r="E41" s="198">
        <v>3.7808764940239046</v>
      </c>
      <c r="F41" s="198">
        <v>0</v>
      </c>
      <c r="G41" s="215">
        <v>0</v>
      </c>
      <c r="H41" s="131"/>
    </row>
    <row r="42" spans="1:8" x14ac:dyDescent="0.25">
      <c r="A42" s="133"/>
      <c r="B42" s="204" t="str">
        <v>Steel, Roofing, COLORBOND® Coolmax® steel in 0.55mm base material thickness (BMT) (Bluescope)</v>
      </c>
      <c r="C42" s="132" t="str">
        <v>m²</v>
      </c>
      <c r="D42" s="198">
        <v>14.8</v>
      </c>
      <c r="E42" s="198">
        <v>3.2888888888888892</v>
      </c>
      <c r="F42" s="198">
        <v>0</v>
      </c>
      <c r="G42" s="215">
        <v>0</v>
      </c>
      <c r="H42" s="131"/>
    </row>
    <row r="43" spans="1:8" x14ac:dyDescent="0.25">
      <c r="A43" s="133"/>
      <c r="B43" s="204" t="str">
        <v>Steel, Steel cladding - painted, COLORBOND® steel Metallic in 0.55mm base metal thickness (BMT) (Bluescope)</v>
      </c>
      <c r="C43" s="132" t="str">
        <v>m²</v>
      </c>
      <c r="D43" s="198">
        <v>15.1</v>
      </c>
      <c r="E43" s="198">
        <v>3.3630289532293984</v>
      </c>
      <c r="F43" s="198">
        <v>0</v>
      </c>
      <c r="G43" s="215">
        <v>0</v>
      </c>
      <c r="H43" s="131"/>
    </row>
    <row r="44" spans="1:8" x14ac:dyDescent="0.25">
      <c r="A44" s="133"/>
      <c r="B44" s="204" t="str">
        <v>Steel, Steel cladding - painted, COLORBOND® steel in 0.35mm base metal thickness (BMT) (Bluescope)</v>
      </c>
      <c r="C44" s="132" t="str">
        <v>m²</v>
      </c>
      <c r="D44" s="198">
        <v>10.5</v>
      </c>
      <c r="E44" s="198">
        <v>3.608247422680412</v>
      </c>
      <c r="F44" s="198">
        <v>0</v>
      </c>
      <c r="G44" s="215">
        <v>0</v>
      </c>
      <c r="H44" s="131"/>
    </row>
    <row r="45" spans="1:8" x14ac:dyDescent="0.25">
      <c r="A45" s="133"/>
      <c r="B45" s="204" t="str">
        <v>Steel, Steel cladding - painted, COLORBOND® steel Metallic in 0.60mm base metal thickness (BMT) (Bluescope)</v>
      </c>
      <c r="C45" s="132" t="str">
        <v>m²</v>
      </c>
      <c r="D45" s="198">
        <v>16.100000000000001</v>
      </c>
      <c r="E45" s="198">
        <v>3.2991803278688527</v>
      </c>
      <c r="F45" s="198">
        <v>0</v>
      </c>
      <c r="G45" s="215">
        <v>0</v>
      </c>
      <c r="H45" s="131"/>
    </row>
    <row r="46" spans="1:8" x14ac:dyDescent="0.25">
      <c r="A46" s="133"/>
      <c r="B46" s="204" t="str">
        <v>Steel, Steel cladding - painted, COLORBOND® steel in 0.40mm base metal thickness (BMT) (Bluescope)</v>
      </c>
      <c r="C46" s="132" t="str">
        <v>m²</v>
      </c>
      <c r="D46" s="198">
        <v>11.5</v>
      </c>
      <c r="E46" s="198">
        <v>3.4848484848484849</v>
      </c>
      <c r="F46" s="198">
        <v>0</v>
      </c>
      <c r="G46" s="215">
        <v>0</v>
      </c>
      <c r="H46" s="131"/>
    </row>
    <row r="47" spans="1:8" x14ac:dyDescent="0.25">
      <c r="A47" s="133"/>
      <c r="B47" s="204" t="str">
        <v>Steel, Steel cladding - painted, COLORBOND® steel in 0.42mm base metal thickness (BMT) (Bluescope)</v>
      </c>
      <c r="C47" s="132" t="str">
        <v>m²</v>
      </c>
      <c r="D47" s="198">
        <v>12</v>
      </c>
      <c r="E47" s="198">
        <v>3.4682080924855492</v>
      </c>
      <c r="F47" s="198">
        <v>0</v>
      </c>
      <c r="G47" s="215">
        <v>0</v>
      </c>
      <c r="H47" s="131"/>
    </row>
    <row r="48" spans="1:8" x14ac:dyDescent="0.25">
      <c r="A48" s="133"/>
      <c r="B48" s="204" t="str">
        <v>Steel, Steel cladding - painted, COLORBOND® steel Metallic in 0.70mm base metal thickness (BMT) (Bluescope)</v>
      </c>
      <c r="C48" s="132" t="str">
        <v>m²</v>
      </c>
      <c r="D48" s="198">
        <v>18.2</v>
      </c>
      <c r="E48" s="198">
        <v>3.2098765432098766</v>
      </c>
      <c r="F48" s="198">
        <v>0</v>
      </c>
      <c r="G48" s="215">
        <v>0</v>
      </c>
      <c r="H48" s="131"/>
    </row>
    <row r="49" spans="1:8" x14ac:dyDescent="0.25">
      <c r="A49" s="133"/>
      <c r="B49" s="204" t="str">
        <v>Steel, Steel cladding - painted, COLORBOND® steel in 0.45mm base metal thickness (BMT) (Bluescope)</v>
      </c>
      <c r="C49" s="132" t="str">
        <v>m²</v>
      </c>
      <c r="D49" s="198">
        <v>12.6</v>
      </c>
      <c r="E49" s="198">
        <v>3.4146341463414633</v>
      </c>
      <c r="F49" s="198">
        <v>0</v>
      </c>
      <c r="G49" s="215">
        <v>0</v>
      </c>
      <c r="H49" s="131"/>
    </row>
    <row r="50" spans="1:8" x14ac:dyDescent="0.25">
      <c r="A50" s="133"/>
      <c r="B50" s="204" t="str">
        <v>Steel, Steel cladding - painted, COLORBOND® steel in 0.48mm base metal thickness (BMT) (Bluescope)</v>
      </c>
      <c r="C50" s="132" t="str">
        <v>m²</v>
      </c>
      <c r="D50" s="198">
        <v>13.2</v>
      </c>
      <c r="E50" s="198">
        <v>3.3587786259541983</v>
      </c>
      <c r="F50" s="198">
        <v>0</v>
      </c>
      <c r="G50" s="215">
        <v>0</v>
      </c>
      <c r="H50" s="131"/>
    </row>
    <row r="51" spans="1:8" x14ac:dyDescent="0.25">
      <c r="A51" s="133"/>
      <c r="B51" s="204" t="str">
        <v>Steel, Steel cladding - painted, COLORBOND® steel Metallic in 0.75mm base metal thickness (BMT) (Bluescope)</v>
      </c>
      <c r="C51" s="132" t="str">
        <v>m²</v>
      </c>
      <c r="D51" s="198">
        <v>19.2</v>
      </c>
      <c r="E51" s="198">
        <v>3.1683168316831685</v>
      </c>
      <c r="F51" s="198">
        <v>0</v>
      </c>
      <c r="G51" s="215">
        <v>0</v>
      </c>
      <c r="H51" s="131"/>
    </row>
    <row r="52" spans="1:8" x14ac:dyDescent="0.25">
      <c r="A52" s="133"/>
      <c r="B52" s="204" t="str">
        <v>Steel, Steel cladding - painted, COLORBOND® steel in 0.55mm base metal thickness (BMT) (Bluescope)</v>
      </c>
      <c r="C52" s="132" t="str">
        <v>m²</v>
      </c>
      <c r="D52" s="198">
        <v>14.6</v>
      </c>
      <c r="E52" s="198">
        <v>3.2589285714285712</v>
      </c>
      <c r="F52" s="198">
        <v>0</v>
      </c>
      <c r="G52" s="215">
        <v>0</v>
      </c>
      <c r="H52" s="131"/>
    </row>
    <row r="53" spans="1:8" x14ac:dyDescent="0.25">
      <c r="A53" s="133"/>
      <c r="B53" s="204" t="str">
        <v>Steel, Steel cladding - painted, COLORBOND® Ultra steel in 0.42mm base metal thickness (BMT) (Bluescope)</v>
      </c>
      <c r="C53" s="132" t="str">
        <v>m²</v>
      </c>
      <c r="D53" s="198">
        <v>12.7</v>
      </c>
      <c r="E53" s="198">
        <v>3.6182336182336181</v>
      </c>
      <c r="F53" s="198">
        <v>0</v>
      </c>
      <c r="G53" s="215">
        <v>0</v>
      </c>
      <c r="H53" s="131"/>
    </row>
    <row r="54" spans="1:8" x14ac:dyDescent="0.25">
      <c r="A54" s="133"/>
      <c r="B54" s="204" t="str">
        <v>Steel, Steel cladding - painted, COLORBOND® steel in 0.60mm base metal thickness (BMT) (Bluescope)</v>
      </c>
      <c r="C54" s="132" t="str">
        <v>m²</v>
      </c>
      <c r="D54" s="198">
        <v>15.7</v>
      </c>
      <c r="E54" s="198">
        <v>3.223819301848049</v>
      </c>
      <c r="F54" s="198">
        <v>0</v>
      </c>
      <c r="G54" s="215">
        <v>0</v>
      </c>
      <c r="H54" s="131"/>
    </row>
    <row r="55" spans="1:8" x14ac:dyDescent="0.25">
      <c r="A55" s="133"/>
      <c r="B55" s="204" t="str">
        <v>Steel, Steel cladding - painted, COLORBOND® Ultra steel in 0.48mm base metal thickness (BMT) (Bluescope)</v>
      </c>
      <c r="C55" s="132" t="str">
        <v>m²</v>
      </c>
      <c r="D55" s="198">
        <v>13.9</v>
      </c>
      <c r="E55" s="198">
        <v>3.4924623115577891</v>
      </c>
      <c r="F55" s="198">
        <v>0</v>
      </c>
      <c r="G55" s="215">
        <v>0</v>
      </c>
      <c r="H55" s="131"/>
    </row>
    <row r="56" spans="1:8" x14ac:dyDescent="0.25">
      <c r="A56" s="133"/>
      <c r="B56" s="204" t="str">
        <v>Steel, Steel cladding - painted, COLORBOND® steel in 0.70mm base metal thickness (BMT) (Bluescope)</v>
      </c>
      <c r="C56" s="132" t="str">
        <v>m²</v>
      </c>
      <c r="D56" s="198">
        <v>17.7</v>
      </c>
      <c r="E56" s="198">
        <v>3.1327433628318579</v>
      </c>
      <c r="F56" s="198">
        <v>0</v>
      </c>
      <c r="G56" s="215">
        <v>0</v>
      </c>
      <c r="H56" s="131"/>
    </row>
    <row r="57" spans="1:8" x14ac:dyDescent="0.25">
      <c r="A57" s="133"/>
      <c r="B57" s="204" t="str">
        <v>Steel, Steel cladding - painted, COLORBOND® Ultra steel in 0.55mm base metal thickness (BMT) (Bluescope)</v>
      </c>
      <c r="C57" s="132" t="str">
        <v>m²</v>
      </c>
      <c r="D57" s="198">
        <v>15.4</v>
      </c>
      <c r="E57" s="198">
        <v>3.3995584988962473</v>
      </c>
      <c r="F57" s="198">
        <v>0</v>
      </c>
      <c r="G57" s="215">
        <v>0</v>
      </c>
      <c r="H57" s="131"/>
    </row>
    <row r="58" spans="1:8" x14ac:dyDescent="0.25">
      <c r="A58" s="133"/>
      <c r="B58" s="204" t="str">
        <v>Steel, Steel cladding - painted, COLORBOND® steel in 0.75mm base metal thickness (BMT) (Bluescope)</v>
      </c>
      <c r="C58" s="132" t="str">
        <v>m²</v>
      </c>
      <c r="D58" s="198">
        <v>18.8</v>
      </c>
      <c r="E58" s="198">
        <v>3.1074380165289259</v>
      </c>
      <c r="F58" s="198">
        <v>0</v>
      </c>
      <c r="G58" s="215">
        <v>0</v>
      </c>
      <c r="H58" s="131"/>
    </row>
    <row r="59" spans="1:8" x14ac:dyDescent="0.25">
      <c r="A59" s="133"/>
      <c r="B59" s="204" t="str">
        <v>Steel, Steel cladding - painted, COLORBOND® Ultra steel in 0.60mm base metal thickness (BMT) (Bluescope)</v>
      </c>
      <c r="C59" s="132" t="str">
        <v>m²</v>
      </c>
      <c r="D59" s="198">
        <v>16.399999999999999</v>
      </c>
      <c r="E59" s="198">
        <v>3.333333333333333</v>
      </c>
      <c r="F59" s="198">
        <v>0</v>
      </c>
      <c r="G59" s="215">
        <v>0</v>
      </c>
      <c r="H59" s="131"/>
    </row>
    <row r="60" spans="1:8" x14ac:dyDescent="0.25">
      <c r="A60" s="133"/>
      <c r="B60" s="204" t="str">
        <v>Steel, Steel cladding - painted, COLORBOND® Ultra steel in 0.70mm base metal thickness (BMT) (Bluescope)</v>
      </c>
      <c r="C60" s="132" t="str">
        <v>m²</v>
      </c>
      <c r="D60" s="198">
        <v>18.399999999999999</v>
      </c>
      <c r="E60" s="198">
        <v>3.2280701754385963</v>
      </c>
      <c r="F60" s="198">
        <v>0</v>
      </c>
      <c r="G60" s="215">
        <v>0</v>
      </c>
      <c r="H60" s="131"/>
    </row>
    <row r="61" spans="1:8" x14ac:dyDescent="0.25">
      <c r="A61" s="133"/>
      <c r="B61" s="204" t="str">
        <v>Steel, Steel cladding - painted, COLORBOND® Ultra steel in 0.75mm base metal thickness (BMT) (Bluescope)</v>
      </c>
      <c r="C61" s="132" t="str">
        <v>m²</v>
      </c>
      <c r="D61" s="198">
        <v>19.5</v>
      </c>
      <c r="E61" s="198">
        <v>3.1967213114754101</v>
      </c>
      <c r="F61" s="198">
        <v>0</v>
      </c>
      <c r="G61" s="215">
        <v>0</v>
      </c>
      <c r="H61" s="131"/>
    </row>
    <row r="62" spans="1:8" x14ac:dyDescent="0.25">
      <c r="A62" s="133"/>
      <c r="B62" s="204" t="str">
        <v>Steel, Steel cladding - painted, COLORBOND® steel in 1.00mm base metal thickness (BMT) (Bluescope)</v>
      </c>
      <c r="C62" s="132" t="str">
        <v>m²</v>
      </c>
      <c r="D62" s="198">
        <v>23.9</v>
      </c>
      <c r="E62" s="198">
        <v>2.9837702871410734</v>
      </c>
      <c r="F62" s="198">
        <v>0</v>
      </c>
      <c r="G62" s="215">
        <v>0</v>
      </c>
      <c r="H62" s="131"/>
    </row>
    <row r="63" spans="1:8" x14ac:dyDescent="0.25">
      <c r="A63" s="133"/>
      <c r="B63" s="204" t="str">
        <v>steel cladding - painted, , Pre-painted galvanised steel (JSW Steel) (Global)</v>
      </c>
      <c r="C63" s="132" t="str">
        <v>m²</v>
      </c>
      <c r="D63" s="198">
        <v>13.499206699999998</v>
      </c>
      <c r="E63" s="198">
        <v>5.3781699999999999</v>
      </c>
      <c r="F63" s="198">
        <v>0</v>
      </c>
      <c r="G63" s="215">
        <v>0</v>
      </c>
      <c r="H63" s="131"/>
    </row>
    <row r="64" spans="1:8" x14ac:dyDescent="0.25">
      <c r="A64" s="133"/>
      <c r="B64" s="217" t="str">
        <v>steel cladding - painted, , Pre-painted galvalume steel product (JSW Steel) (Global)</v>
      </c>
      <c r="C64" s="218" t="str">
        <v>m²</v>
      </c>
      <c r="D64" s="219">
        <v>10.832908999999999</v>
      </c>
      <c r="E64" s="219">
        <v>4.3158999999999992</v>
      </c>
      <c r="F64" s="219">
        <v>0</v>
      </c>
      <c r="G64" s="220">
        <v>0</v>
      </c>
      <c r="H64" s="131"/>
    </row>
    <row r="65" spans="2:7" x14ac:dyDescent="0.25">
      <c r="B65" s="130"/>
      <c r="C65" s="130"/>
      <c r="D65" s="207"/>
      <c r="E65" s="207"/>
      <c r="F65" s="207"/>
      <c r="G65" s="207"/>
    </row>
    <row r="90" spans="9:9" x14ac:dyDescent="0.25">
      <c r="I90" s="198"/>
    </row>
  </sheetData>
  <dataValidations count="1">
    <dataValidation type="list" allowBlank="1" showInputMessage="1" showErrorMessage="1" sqref="B6:B9" xr:uid="{4291074C-1705-4270-AEC7-BAF7DE9DDAF5}">
      <formula1>"Tier 1,Tier 2,Tier 3,Tier 4"</formula1>
    </dataValidation>
  </dataValidations>
  <pageMargins left="0.7" right="0.7" top="0.75" bottom="0.75" header="0.3" footer="0.3"/>
  <pageSetup paperSize="9" orientation="portrait"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45059-650B-40DC-B991-597B4B8AB0A0}">
  <sheetPr codeName="Sheet24">
    <tabColor rgb="FF00CCFF"/>
  </sheetPr>
  <dimension ref="A1:P71"/>
  <sheetViews>
    <sheetView workbookViewId="0"/>
  </sheetViews>
  <sheetFormatPr defaultColWidth="9.1796875" defaultRowHeight="12.5" x14ac:dyDescent="0.25"/>
  <cols>
    <col min="1" max="1" width="26.26953125" style="132" customWidth="1"/>
    <col min="2" max="2" width="146.1796875" style="132" customWidth="1"/>
    <col min="3" max="3" width="21" style="132" customWidth="1"/>
    <col min="4" max="6" width="19.7265625" style="198" customWidth="1"/>
    <col min="7" max="7" width="23.54296875" style="198" customWidth="1"/>
    <col min="8" max="8" width="14.453125" style="132" customWidth="1"/>
    <col min="9" max="10" width="9.1796875" style="132"/>
    <col min="11" max="11" width="25.1796875" style="132" customWidth="1"/>
    <col min="12" max="12" width="14.453125" style="132" customWidth="1"/>
    <col min="13" max="13" width="8.81640625" style="132" customWidth="1"/>
    <col min="14" max="14" width="10.26953125" style="132" customWidth="1"/>
    <col min="15" max="15" width="26.54296875" style="132" customWidth="1"/>
    <col min="16" max="16" width="109.453125" style="132" customWidth="1"/>
    <col min="17" max="16384" width="9.1796875" style="132"/>
  </cols>
  <sheetData>
    <row r="1" spans="1:16" ht="13" x14ac:dyDescent="0.25">
      <c r="A1" s="202" t="str">
        <f>B16</f>
        <v>Structural steel (cold rolled)</v>
      </c>
      <c r="J1" s="202"/>
    </row>
    <row r="2" spans="1:16" ht="13" x14ac:dyDescent="0.25">
      <c r="A2" s="202"/>
      <c r="J2" s="202"/>
    </row>
    <row r="3" spans="1:16" ht="13" x14ac:dyDescent="0.3">
      <c r="A3" s="227" t="s">
        <v>5626</v>
      </c>
      <c r="B3" s="132" t="s">
        <v>5919</v>
      </c>
      <c r="J3" s="202"/>
      <c r="P3" s="243"/>
    </row>
    <row r="4" spans="1:16" ht="13" x14ac:dyDescent="0.25">
      <c r="A4" s="202"/>
      <c r="J4" s="202"/>
      <c r="P4" s="243"/>
    </row>
    <row r="5" spans="1:16" ht="73.5" customHeight="1" x14ac:dyDescent="0.3">
      <c r="A5" s="227" t="s">
        <v>5628</v>
      </c>
      <c r="B5" s="200" t="s">
        <v>5920</v>
      </c>
      <c r="J5" s="202"/>
    </row>
    <row r="6" spans="1:16" ht="13" x14ac:dyDescent="0.3">
      <c r="A6" s="227" t="s">
        <v>5630</v>
      </c>
      <c r="B6" s="201" t="s">
        <v>72</v>
      </c>
      <c r="J6" s="202"/>
    </row>
    <row r="7" spans="1:16" ht="13" x14ac:dyDescent="0.3">
      <c r="A7" s="227" t="s">
        <v>5631</v>
      </c>
      <c r="B7" s="201" t="s">
        <v>71</v>
      </c>
      <c r="J7" s="202"/>
    </row>
    <row r="8" spans="1:16" ht="13" x14ac:dyDescent="0.3">
      <c r="A8" s="227" t="s">
        <v>5632</v>
      </c>
      <c r="B8" s="201" t="s">
        <v>72</v>
      </c>
      <c r="J8" s="202"/>
    </row>
    <row r="9" spans="1:16" ht="13" x14ac:dyDescent="0.3">
      <c r="A9" s="227" t="s">
        <v>5633</v>
      </c>
      <c r="B9" s="202" t="s">
        <v>72</v>
      </c>
      <c r="J9" s="202"/>
    </row>
    <row r="10" spans="1:16" ht="13" x14ac:dyDescent="0.3">
      <c r="A10" s="227"/>
      <c r="B10" s="202"/>
      <c r="J10" s="202"/>
    </row>
    <row r="11" spans="1:16" ht="13" x14ac:dyDescent="0.3">
      <c r="A11" s="227" t="s">
        <v>5634</v>
      </c>
      <c r="B11" s="200"/>
      <c r="J11" s="202"/>
    </row>
    <row r="12" spans="1:16" ht="13" x14ac:dyDescent="0.25">
      <c r="A12" s="228"/>
      <c r="J12" s="202"/>
    </row>
    <row r="13" spans="1:16" ht="13" x14ac:dyDescent="0.25">
      <c r="A13" s="228"/>
      <c r="J13" s="202"/>
    </row>
    <row r="14" spans="1:16" ht="13" x14ac:dyDescent="0.3">
      <c r="A14" s="227" t="s">
        <v>5635</v>
      </c>
      <c r="N14" s="242"/>
      <c r="P14" s="243"/>
    </row>
    <row r="15" spans="1:16" ht="13" x14ac:dyDescent="0.3">
      <c r="A15" s="227"/>
      <c r="B15" s="135"/>
      <c r="C15" s="135"/>
      <c r="D15" s="299" t="s">
        <v>77</v>
      </c>
      <c r="E15" s="300"/>
      <c r="F15" s="299" t="s">
        <v>5424</v>
      </c>
      <c r="G15" s="301"/>
      <c r="N15" s="242"/>
      <c r="P15" s="243"/>
    </row>
    <row r="16" spans="1:16" ht="39" x14ac:dyDescent="0.25">
      <c r="A16" s="133"/>
      <c r="B16" s="320" t="s">
        <v>5192</v>
      </c>
      <c r="C16" s="316" t="s">
        <v>24</v>
      </c>
      <c r="D16" s="314" t="s">
        <v>146</v>
      </c>
      <c r="E16" s="315" t="s">
        <v>153</v>
      </c>
      <c r="F16" s="314" t="s">
        <v>147</v>
      </c>
      <c r="G16" s="314" t="s">
        <v>154</v>
      </c>
      <c r="H16" s="131"/>
      <c r="N16" s="242"/>
    </row>
    <row r="17" spans="1:16" ht="13" x14ac:dyDescent="0.3">
      <c r="A17" s="133"/>
      <c r="B17" s="211"/>
      <c r="C17" s="212" t="s">
        <v>5636</v>
      </c>
      <c r="D17" s="196" t="str" cm="1">
        <f t="array" ref="D17">IF(AND(_xlfn.ANCHORARRAY(C22)=C22),C22,"Mixed")</f>
        <v>tonne</v>
      </c>
      <c r="E17" s="196" t="s">
        <v>2774</v>
      </c>
      <c r="F17" s="196" t="str" cm="1">
        <f t="array" ref="F17">IF(AND(_xlfn.ANCHORARRAY(C22)=C22),C22,"Mixed")</f>
        <v>tonne</v>
      </c>
      <c r="G17" s="213" t="s">
        <v>2774</v>
      </c>
      <c r="H17" s="131"/>
      <c r="N17" s="246"/>
    </row>
    <row r="18" spans="1:16" s="200" customFormat="1" ht="13" x14ac:dyDescent="0.3">
      <c r="A18" s="221"/>
      <c r="B18" s="214"/>
      <c r="C18" s="202" t="s">
        <v>5637</v>
      </c>
      <c r="D18" s="198">
        <f t="shared" ref="D18:G18" si="0">MAX(_xlfn.ANCHORARRAY(D22))</f>
        <v>3860</v>
      </c>
      <c r="E18" s="198">
        <f t="shared" si="0"/>
        <v>3.86</v>
      </c>
      <c r="F18" s="198">
        <f t="shared" si="0"/>
        <v>0</v>
      </c>
      <c r="G18" s="215">
        <f t="shared" si="0"/>
        <v>0</v>
      </c>
      <c r="H18" s="131"/>
      <c r="K18" s="132"/>
      <c r="L18" s="132"/>
      <c r="M18" s="132"/>
      <c r="N18" s="132"/>
      <c r="O18" s="132"/>
      <c r="P18" s="132"/>
    </row>
    <row r="19" spans="1:16" ht="13" x14ac:dyDescent="0.25">
      <c r="A19" s="133"/>
      <c r="B19" s="204"/>
      <c r="C19" s="202" t="s">
        <v>5638</v>
      </c>
      <c r="D19" s="198">
        <f>MIN(_xlfn.ANCHORARRAY(D22))</f>
        <v>2725.7525083612036</v>
      </c>
      <c r="E19" s="198">
        <f t="shared" ref="E19:G19" si="1">MIN(_xlfn.ANCHORARRAY(E22))</f>
        <v>2.7257525083612038</v>
      </c>
      <c r="F19" s="198">
        <f t="shared" si="1"/>
        <v>0</v>
      </c>
      <c r="G19" s="215">
        <f t="shared" si="1"/>
        <v>0</v>
      </c>
      <c r="H19" s="131"/>
    </row>
    <row r="20" spans="1:16" ht="13" x14ac:dyDescent="0.25">
      <c r="A20" s="133"/>
      <c r="B20" s="204"/>
      <c r="C20" s="202" t="s">
        <v>5639</v>
      </c>
      <c r="D20" s="198">
        <f>AVERAGE(_xlfn.ANCHORARRAY(D22))</f>
        <v>3012.9821218000197</v>
      </c>
      <c r="E20" s="198">
        <f t="shared" ref="E20:G20" si="2">AVERAGE(_xlfn.ANCHORARRAY(E22))</f>
        <v>3.0129821218000203</v>
      </c>
      <c r="F20" s="198">
        <f t="shared" si="2"/>
        <v>0</v>
      </c>
      <c r="G20" s="215">
        <f t="shared" si="2"/>
        <v>0</v>
      </c>
      <c r="H20" s="131"/>
    </row>
    <row r="21" spans="1:16" ht="13" x14ac:dyDescent="0.25">
      <c r="A21" s="133"/>
      <c r="B21" s="197" t="s">
        <v>5640</v>
      </c>
      <c r="D21" s="132"/>
      <c r="E21" s="132"/>
      <c r="F21" s="132"/>
      <c r="G21" s="216"/>
      <c r="H21" s="131"/>
    </row>
    <row r="22" spans="1:16" x14ac:dyDescent="0.25">
      <c r="A22" s="133"/>
      <c r="B22" s="204" t="str" cm="1">
        <f t="array" ref="B22:B70">_xlfn.UNIQUE(_xlfn._xlws.FILTER('EPD List'!D:D,ISNUMBER(SEARCH(B16,'EPD List'!C:C)),0))</f>
        <v>Steel, Structural purlins and grits (cold - rolled), GALVASPAN® steel in 3.00mm base metal thickness (BMT), incl. rollforming (Bluescope)</v>
      </c>
      <c r="C22" s="132" t="str" cm="1">
        <f t="array" ref="C22:C70">_xlfn.IFNA(INDEX('EPD List'!$A:$AB,MATCH(_xlfn.ANCHORARRAY(B22),'EPD List'!$D:$D,0),MATCH(C$16,'EPD List'!$7:$7,0)),"")</f>
        <v>tonne</v>
      </c>
      <c r="D22" s="198" cm="1">
        <f t="array" ref="D22:D70">_xlfn.IFNA(VALUE((INDEX('EPD List'!$A:$AD,MATCH(_xlfn.ANCHORARRAY($B22),'EPD List'!$D:$D,0),MATCH(D$16,'EPD List'!$7:$7,0)))),"")</f>
        <v>2846.9899665551839</v>
      </c>
      <c r="E22" s="198" cm="1">
        <f t="array" ref="E22:E70">_xlfn.IFNA(VALUE((INDEX('EPD List'!$A:$AD,MATCH(_xlfn.ANCHORARRAY($B22),'EPD List'!$D:$D,0),MATCH(E$16,'EPD List'!$7:$7,0)))),"")</f>
        <v>2.8469899665551837</v>
      </c>
      <c r="F22" s="198" cm="1">
        <f t="array" ref="F22:F70">_xlfn.IFNA(VALUE((INDEX('EPD List'!$A:$AD,MATCH(_xlfn.ANCHORARRAY($B22),'EPD List'!$D:$D,0),MATCH(F$16,'EPD List'!$7:$7,0)))),"")</f>
        <v>0</v>
      </c>
      <c r="G22" s="215" cm="1">
        <f t="array" ref="G22:G70">_xlfn.IFNA(VALUE((INDEX('EPD List'!$A:$AD,MATCH(_xlfn.ANCHORARRAY($B22),'EPD List'!$D:$D,0),MATCH(G$16,'EPD List'!$7:$7,0)))),"")</f>
        <v>0</v>
      </c>
      <c r="H22" s="131"/>
    </row>
    <row r="23" spans="1:16" x14ac:dyDescent="0.25">
      <c r="A23" s="133"/>
      <c r="B23" s="204" t="str">
        <v>Steel, Structural purlins and grits (cold - rolled), GALVASPAN® steel in 2.40mm base metal thickness (BMT), incl. rollforming (Bluescope)</v>
      </c>
      <c r="C23" s="132" t="str">
        <v>tonne</v>
      </c>
      <c r="D23" s="198">
        <v>2873.5033836543471</v>
      </c>
      <c r="E23" s="198">
        <v>2.8735033836543469</v>
      </c>
      <c r="F23" s="198">
        <v>0</v>
      </c>
      <c r="G23" s="215">
        <v>0</v>
      </c>
      <c r="H23" s="131"/>
    </row>
    <row r="24" spans="1:16" x14ac:dyDescent="0.25">
      <c r="A24" s="133"/>
      <c r="B24" s="204" t="str">
        <v>Steel, Structural purlins and grits (cold - rolled), GALVASPAN® steel in 1.90mm base metal thickness (BMT), incl. rollforming (Bluescope)</v>
      </c>
      <c r="C24" s="132" t="str">
        <v>tonne</v>
      </c>
      <c r="D24" s="198">
        <v>2910.3989535644214</v>
      </c>
      <c r="E24" s="198">
        <v>2.9103989535644215</v>
      </c>
      <c r="F24" s="198">
        <v>0</v>
      </c>
      <c r="G24" s="215">
        <v>0</v>
      </c>
      <c r="H24" s="131"/>
    </row>
    <row r="25" spans="1:16" x14ac:dyDescent="0.25">
      <c r="A25" s="133"/>
      <c r="B25" s="204" t="str">
        <v>Steel, Structural framing (cold - rolled), TRUECORE® steel in 1.60mm base material thickness (BMT), incl. rollforming (Bluescope)</v>
      </c>
      <c r="C25" s="132" t="str">
        <v>tonne</v>
      </c>
      <c r="D25" s="198">
        <v>2908.8050314465404</v>
      </c>
      <c r="E25" s="198">
        <v>2.9088050314465406</v>
      </c>
      <c r="F25" s="198">
        <v>0</v>
      </c>
      <c r="G25" s="215">
        <v>0</v>
      </c>
      <c r="H25" s="131"/>
    </row>
    <row r="26" spans="1:16" x14ac:dyDescent="0.25">
      <c r="A26" s="133"/>
      <c r="B26" s="204" t="str">
        <v>Steel, Structural purlins and grits (cold - rolled), GALVASPAN® steel in 1.50mm base metal thickness (BMT), incl. rollforming (Bluescope)</v>
      </c>
      <c r="C26" s="132" t="str">
        <v>tonne</v>
      </c>
      <c r="D26" s="198">
        <v>2954.7325102880654</v>
      </c>
      <c r="E26" s="198">
        <v>2.9547325102880655</v>
      </c>
      <c r="F26" s="198">
        <v>0</v>
      </c>
      <c r="G26" s="215">
        <v>0</v>
      </c>
      <c r="H26" s="131"/>
    </row>
    <row r="27" spans="1:16" x14ac:dyDescent="0.25">
      <c r="A27" s="133"/>
      <c r="B27" s="204" t="str">
        <v>Steel, Structural framing (cold - rolled), TRUECORE® steel in 1.50mm base material thickness (BMT), incl. rollforming (Bluescope)</v>
      </c>
      <c r="C27" s="132" t="str">
        <v>tonne</v>
      </c>
      <c r="D27" s="198">
        <v>2917.0159262363786</v>
      </c>
      <c r="E27" s="198">
        <v>2.9170159262363784</v>
      </c>
      <c r="F27" s="198">
        <v>0</v>
      </c>
      <c r="G27" s="215">
        <v>0</v>
      </c>
      <c r="H27" s="131"/>
    </row>
    <row r="28" spans="1:16" x14ac:dyDescent="0.25">
      <c r="A28" s="133"/>
      <c r="B28" s="204" t="str">
        <v>Steel, Structural purlins and grits (cold - rolled), GALVASPAN® steel in 1.20mm base metal thickness (BMT), incl. rollforming (Bluescope)</v>
      </c>
      <c r="C28" s="132" t="str">
        <v>tonne</v>
      </c>
      <c r="D28" s="198">
        <v>3013.2788559754854</v>
      </c>
      <c r="E28" s="198">
        <v>3.0132788559754853</v>
      </c>
      <c r="F28" s="198">
        <v>0</v>
      </c>
      <c r="G28" s="215">
        <v>0</v>
      </c>
      <c r="H28" s="131"/>
    </row>
    <row r="29" spans="1:16" x14ac:dyDescent="0.25">
      <c r="A29" s="133"/>
      <c r="B29" s="204" t="str">
        <v>Steel, Structural framing (cold - rolled), TRUECORE® steel in 1.20mm base material thickness (BMT), incl. rollforming (Bluescope)</v>
      </c>
      <c r="C29" s="132" t="str">
        <v>tonne</v>
      </c>
      <c r="D29" s="198">
        <v>2964.509394572025</v>
      </c>
      <c r="E29" s="198">
        <v>2.9645093945720249</v>
      </c>
      <c r="F29" s="198">
        <v>0</v>
      </c>
      <c r="G29" s="215">
        <v>0</v>
      </c>
      <c r="H29" s="131"/>
    </row>
    <row r="30" spans="1:16" x14ac:dyDescent="0.25">
      <c r="A30" s="133"/>
      <c r="B30" s="204" t="str">
        <v>Steel, Structural framing (cold - rolled), TRUECORE® steel in 1.15mm base material thickness (BMT), incl. rollforming (Bluescope)</v>
      </c>
      <c r="C30" s="132" t="str">
        <v>tonne</v>
      </c>
      <c r="D30" s="198">
        <v>2973.8562091503268</v>
      </c>
      <c r="E30" s="198">
        <v>2.9738562091503269</v>
      </c>
      <c r="F30" s="198">
        <v>0</v>
      </c>
      <c r="G30" s="215">
        <v>0</v>
      </c>
      <c r="H30" s="131"/>
    </row>
    <row r="31" spans="1:16" x14ac:dyDescent="0.25">
      <c r="A31" s="133"/>
      <c r="B31" s="204" t="str">
        <v>Steel, Structural purlins and grits (cold - rolled), GALVASPAN® steel in 1.00mm base metal thickness (BMT), incl. rollforming (Bluescope)</v>
      </c>
      <c r="C31" s="132" t="str">
        <v>tonne</v>
      </c>
      <c r="D31" s="198">
        <v>3065.6934306569342</v>
      </c>
      <c r="E31" s="198">
        <v>3.0656934306569341</v>
      </c>
      <c r="F31" s="198">
        <v>0</v>
      </c>
      <c r="G31" s="215">
        <v>0</v>
      </c>
      <c r="H31" s="131"/>
    </row>
    <row r="32" spans="1:16" x14ac:dyDescent="0.25">
      <c r="A32" s="133"/>
      <c r="B32" s="204" t="str">
        <v>Steel, Structural framing (cold - rolled), TRUECORE® steel in 1.00mm base material thickness (BMT), incl. rollforming (Bluescope)</v>
      </c>
      <c r="C32" s="132" t="str">
        <v>tonne</v>
      </c>
      <c r="D32" s="198">
        <v>3008.7390761548068</v>
      </c>
      <c r="E32" s="198">
        <v>3.0087390761548067</v>
      </c>
      <c r="F32" s="198">
        <v>0</v>
      </c>
      <c r="G32" s="215">
        <v>0</v>
      </c>
      <c r="H32" s="131"/>
    </row>
    <row r="33" spans="1:8" x14ac:dyDescent="0.25">
      <c r="A33" s="133"/>
      <c r="B33" s="204" t="str">
        <v>Steel, Structural framing (cold - rolled), TRUECORE® steel in 0.95mm base material thickness (BMT), incl. rollforming (Bluescope)</v>
      </c>
      <c r="C33" s="132" t="str">
        <v>tonne</v>
      </c>
      <c r="D33" s="198">
        <v>3022.3390275952693</v>
      </c>
      <c r="E33" s="198">
        <v>3.0223390275952693</v>
      </c>
      <c r="F33" s="198">
        <v>0</v>
      </c>
      <c r="G33" s="215">
        <v>0</v>
      </c>
      <c r="H33" s="131"/>
    </row>
    <row r="34" spans="1:8" x14ac:dyDescent="0.25">
      <c r="A34" s="133"/>
      <c r="B34" s="204" t="str">
        <v>Steel, Structural framing (cold - rolled), TRUECORE® steel in 0.75mm base material thickness (BMT), incl. rollforming (Bluescope)</v>
      </c>
      <c r="C34" s="132" t="str">
        <v>tonne</v>
      </c>
      <c r="D34" s="198">
        <v>3096.0264900662251</v>
      </c>
      <c r="E34" s="198">
        <v>3.0960264900662251</v>
      </c>
      <c r="F34" s="198">
        <v>0</v>
      </c>
      <c r="G34" s="215">
        <v>0</v>
      </c>
      <c r="H34" s="131"/>
    </row>
    <row r="35" spans="1:8" x14ac:dyDescent="0.25">
      <c r="A35" s="133"/>
      <c r="B35" s="204" t="str">
        <v>Steel, Structural framing (cold - rolled), TRUECORE® steel in 0.60mm base material thickness (BMT), incl. rollforming (Bluescope)</v>
      </c>
      <c r="C35" s="132" t="str">
        <v>tonne</v>
      </c>
      <c r="D35" s="198">
        <v>3182.7515400410675</v>
      </c>
      <c r="E35" s="198">
        <v>3.1827515400410675</v>
      </c>
      <c r="F35" s="198">
        <v>0</v>
      </c>
      <c r="G35" s="215">
        <v>0</v>
      </c>
      <c r="H35" s="131"/>
    </row>
    <row r="36" spans="1:8" x14ac:dyDescent="0.25">
      <c r="A36" s="133"/>
      <c r="B36" s="204" t="str">
        <v>Steel, Structural framing (cold - rolled), TRUECORE® steel in 0.55mm base material thickness (BMT), incl. rollforming (Bluescope)</v>
      </c>
      <c r="C36" s="132" t="str">
        <v>tonne</v>
      </c>
      <c r="D36" s="198">
        <v>3221.4765100671143</v>
      </c>
      <c r="E36" s="198">
        <v>3.2214765100671143</v>
      </c>
      <c r="F36" s="198">
        <v>0</v>
      </c>
      <c r="G36" s="215">
        <v>0</v>
      </c>
      <c r="H36" s="131"/>
    </row>
    <row r="37" spans="1:8" x14ac:dyDescent="0.25">
      <c r="A37" s="133"/>
      <c r="B37" s="204" t="str">
        <v>Steel, Structural framing (cold - rolled), TRUECORE® steel in 0.48mm base material thickness (BMT), incl. rollforming (Bluescope)</v>
      </c>
      <c r="C37" s="132" t="str">
        <v>tonne</v>
      </c>
      <c r="D37" s="198">
        <v>3290.8163265306125</v>
      </c>
      <c r="E37" s="198">
        <v>3.2908163265306127</v>
      </c>
      <c r="F37" s="198">
        <v>0</v>
      </c>
      <c r="G37" s="215">
        <v>0</v>
      </c>
      <c r="H37" s="131"/>
    </row>
    <row r="38" spans="1:8" x14ac:dyDescent="0.25">
      <c r="A38" s="133"/>
      <c r="B38" s="204" t="str">
        <v>Steel, Structural framing (cold - rolled), TRUECORE® steel in 0.42mm base material thickness (BMT), incl. rollforming (Bluescope)</v>
      </c>
      <c r="C38" s="132" t="str">
        <v>tonne</v>
      </c>
      <c r="D38" s="198">
        <v>3362.31884057971</v>
      </c>
      <c r="E38" s="198">
        <v>3.36231884057971</v>
      </c>
      <c r="F38" s="198">
        <v>0</v>
      </c>
      <c r="G38" s="215">
        <v>0</v>
      </c>
      <c r="H38" s="131"/>
    </row>
    <row r="39" spans="1:8" x14ac:dyDescent="0.25">
      <c r="A39" s="133"/>
      <c r="B39" s="204" t="str">
        <v>Steel, Structural purlins and grits (cold - rolled), GALVASPAN® steel in 1.00mm base metal thickness (BMT) (Bluescope)</v>
      </c>
      <c r="C39" s="132" t="str">
        <v>tonne</v>
      </c>
      <c r="D39" s="198">
        <v>2931.873479318735</v>
      </c>
      <c r="E39" s="198">
        <v>2.9318734793187349</v>
      </c>
      <c r="F39" s="198">
        <v>0</v>
      </c>
      <c r="G39" s="215">
        <v>0</v>
      </c>
      <c r="H39" s="131"/>
    </row>
    <row r="40" spans="1:8" x14ac:dyDescent="0.25">
      <c r="A40" s="133"/>
      <c r="B40" s="204" t="str">
        <v>Steel, Structural purlins and grits (cold - rolled), GALVASPAN® steel in 1.20mm base metal thickness (BMT) (Bluescope)</v>
      </c>
      <c r="C40" s="132" t="str">
        <v>tonne</v>
      </c>
      <c r="D40" s="198">
        <v>2880.4902962206334</v>
      </c>
      <c r="E40" s="198">
        <v>2.8804902962206334</v>
      </c>
      <c r="F40" s="198">
        <v>0</v>
      </c>
      <c r="G40" s="215">
        <v>0</v>
      </c>
      <c r="H40" s="131"/>
    </row>
    <row r="41" spans="1:8" x14ac:dyDescent="0.25">
      <c r="A41" s="133"/>
      <c r="B41" s="204" t="str">
        <v>Steel, Structural purlins and grits (cold - rolled), GALVASPAN® steel in 1.50mm base metal thickness (BMT) (Bluescope)</v>
      </c>
      <c r="C41" s="132" t="str">
        <v>tonne</v>
      </c>
      <c r="D41" s="198">
        <v>2831.2757201646091</v>
      </c>
      <c r="E41" s="198">
        <v>2.831275720164609</v>
      </c>
      <c r="F41" s="198">
        <v>0</v>
      </c>
      <c r="G41" s="215">
        <v>0</v>
      </c>
      <c r="H41" s="131"/>
    </row>
    <row r="42" spans="1:8" x14ac:dyDescent="0.25">
      <c r="A42" s="133"/>
      <c r="B42" s="204" t="str">
        <v>Steel, Structural purlins and grits (cold - rolled), GALVASPAN® steel in 1.90mm base metal thickness (BMT) (Bluescope)</v>
      </c>
      <c r="C42" s="132" t="str">
        <v>tonne</v>
      </c>
      <c r="D42" s="198">
        <v>2786.1347285807719</v>
      </c>
      <c r="E42" s="198">
        <v>2.7861347285807718</v>
      </c>
      <c r="F42" s="198">
        <v>0</v>
      </c>
      <c r="G42" s="215">
        <v>0</v>
      </c>
      <c r="H42" s="131"/>
    </row>
    <row r="43" spans="1:8" x14ac:dyDescent="0.25">
      <c r="A43" s="133"/>
      <c r="B43" s="204" t="str">
        <v>Steel, Structural purlins and grits (cold - rolled), GALVASPAN® steel in 2.40mm base metal thickness (BMT) (Bluescope)</v>
      </c>
      <c r="C43" s="132" t="str">
        <v>tonne</v>
      </c>
      <c r="D43" s="198">
        <v>2753.774076002082</v>
      </c>
      <c r="E43" s="198">
        <v>2.7537740760020819</v>
      </c>
      <c r="F43" s="198">
        <v>0</v>
      </c>
      <c r="G43" s="215">
        <v>0</v>
      </c>
      <c r="H43" s="131"/>
    </row>
    <row r="44" spans="1:8" x14ac:dyDescent="0.25">
      <c r="A44" s="133"/>
      <c r="B44" s="204" t="str">
        <v>Steel, Structural formwork and decking (cold - rolled), DECKFORM® steel in 0.60mm base material thickness (BMT) (Bluescope)</v>
      </c>
      <c r="C44" s="132" t="str">
        <v>tonne</v>
      </c>
      <c r="D44" s="198">
        <v>3051.1811023622045</v>
      </c>
      <c r="E44" s="198">
        <v>3.0511811023622046</v>
      </c>
      <c r="F44" s="198">
        <v>0</v>
      </c>
      <c r="G44" s="215">
        <v>0</v>
      </c>
      <c r="H44" s="131"/>
    </row>
    <row r="45" spans="1:8" x14ac:dyDescent="0.25">
      <c r="A45" s="133"/>
      <c r="B45" s="204" t="str">
        <v>Steel, Structural formwork and decking (cold - rolled), DECKFORM® steel in 0.75mm base material thickness (BMT) (Bluescope)</v>
      </c>
      <c r="C45" s="132" t="str">
        <v>tonne</v>
      </c>
      <c r="D45" s="198">
        <v>2955.2715654952076</v>
      </c>
      <c r="E45" s="198">
        <v>2.9552715654952078</v>
      </c>
      <c r="F45" s="198">
        <v>0</v>
      </c>
      <c r="G45" s="215">
        <v>0</v>
      </c>
      <c r="H45" s="131"/>
    </row>
    <row r="46" spans="1:8" x14ac:dyDescent="0.25">
      <c r="A46" s="133"/>
      <c r="B46" s="204" t="str">
        <v>Steel, Structural formwork and decking (cold - rolled), DECKFORM® steel in 0.90mm base material thickness (BMT) (Bluescope)</v>
      </c>
      <c r="C46" s="132" t="str">
        <v>tonne</v>
      </c>
      <c r="D46" s="198">
        <v>2903.2258064516132</v>
      </c>
      <c r="E46" s="198">
        <v>2.903225806451613</v>
      </c>
      <c r="F46" s="198">
        <v>0</v>
      </c>
      <c r="G46" s="215">
        <v>0</v>
      </c>
      <c r="H46" s="131"/>
    </row>
    <row r="47" spans="1:8" x14ac:dyDescent="0.25">
      <c r="A47" s="133"/>
      <c r="B47" s="204" t="str">
        <v>Steel, Structural formwork and decking (cold - rolled), Low Glare DECKFORM® steel in 0.60mm base material thickness (BMT) (Bluescope)</v>
      </c>
      <c r="C47" s="132" t="str">
        <v>tonne</v>
      </c>
      <c r="D47" s="198">
        <v>3346.4566929133857</v>
      </c>
      <c r="E47" s="198">
        <v>3.3464566929133857</v>
      </c>
      <c r="F47" s="198">
        <v>0</v>
      </c>
      <c r="G47" s="215">
        <v>0</v>
      </c>
      <c r="H47" s="131"/>
    </row>
    <row r="48" spans="1:8" x14ac:dyDescent="0.25">
      <c r="A48" s="133"/>
      <c r="B48" s="204" t="str">
        <v>Steel, Structural purlins and grits (cold - rolled), GALVASPAN® steel in 3.00mm base metal thickness (BMT) (Bluescope)</v>
      </c>
      <c r="C48" s="132" t="str">
        <v>tonne</v>
      </c>
      <c r="D48" s="198">
        <v>2725.7525083612036</v>
      </c>
      <c r="E48" s="198">
        <v>2.7257525083612038</v>
      </c>
      <c r="F48" s="198">
        <v>0</v>
      </c>
      <c r="G48" s="215">
        <v>0</v>
      </c>
      <c r="H48" s="131"/>
    </row>
    <row r="49" spans="1:8" x14ac:dyDescent="0.25">
      <c r="A49" s="133"/>
      <c r="B49" s="204" t="str">
        <v>Steel, Structural formwork and decking (cold - rolled), DECKFORM® steel in 1.00mm base material thickness (BMT) (Bluescope)</v>
      </c>
      <c r="C49" s="132" t="str">
        <v>tonne</v>
      </c>
      <c r="D49" s="198">
        <v>2883.2116788321164</v>
      </c>
      <c r="E49" s="198">
        <v>2.8832116788321165</v>
      </c>
      <c r="F49" s="198">
        <v>0</v>
      </c>
      <c r="G49" s="215">
        <v>0</v>
      </c>
      <c r="H49" s="131"/>
    </row>
    <row r="50" spans="1:8" x14ac:dyDescent="0.25">
      <c r="A50" s="133"/>
      <c r="B50" s="204" t="str">
        <v>Steel, Structural formwork and decking (cold - rolled), Low Glare DECKFORM® steel in 1.00mm base material thickness (BMT) (Bluescope)</v>
      </c>
      <c r="C50" s="132" t="str">
        <v>tonne</v>
      </c>
      <c r="D50" s="198">
        <v>2883.2116788321164</v>
      </c>
      <c r="E50" s="198">
        <v>2.8832116788321165</v>
      </c>
      <c r="F50" s="198">
        <v>0</v>
      </c>
      <c r="G50" s="215">
        <v>0</v>
      </c>
      <c r="H50" s="131"/>
    </row>
    <row r="51" spans="1:8" x14ac:dyDescent="0.25">
      <c r="A51" s="133"/>
      <c r="B51" s="204" t="str">
        <v>Steel, Structural formwork and decking (cold - rolled), Low Glare DECKFORM® steel in 0.75mm base material thickness (BMT) (Bluescope)</v>
      </c>
      <c r="C51" s="132" t="str">
        <v>tonne</v>
      </c>
      <c r="D51" s="198">
        <v>3194.8881789137381</v>
      </c>
      <c r="E51" s="198">
        <v>3.1948881789137382</v>
      </c>
      <c r="F51" s="198">
        <v>0</v>
      </c>
      <c r="G51" s="215">
        <v>0</v>
      </c>
      <c r="H51" s="131"/>
    </row>
    <row r="52" spans="1:8" x14ac:dyDescent="0.25">
      <c r="A52" s="133"/>
      <c r="B52" s="204" t="str">
        <v>Steel, Structural formwork and decking (cold - rolled), Low Glare DECKFORM® steel in 0.90mm base material thickness (BMT) (Bluescope)</v>
      </c>
      <c r="C52" s="132" t="str">
        <v>tonne</v>
      </c>
      <c r="D52" s="198">
        <v>3104.8387096774195</v>
      </c>
      <c r="E52" s="198">
        <v>3.1048387096774195</v>
      </c>
      <c r="F52" s="198">
        <v>0</v>
      </c>
      <c r="G52" s="215">
        <v>0</v>
      </c>
      <c r="H52" s="131"/>
    </row>
    <row r="53" spans="1:8" x14ac:dyDescent="0.25">
      <c r="A53" s="133"/>
      <c r="B53" s="204" t="str">
        <v>Steel, Structural framing (cold - rolled), TRUECORE® steel in 0.42mm base material thickness (BMT) (Bluescope)</v>
      </c>
      <c r="C53" s="132" t="str">
        <v>tonne</v>
      </c>
      <c r="D53" s="198">
        <v>3246.3768115942025</v>
      </c>
      <c r="E53" s="198">
        <v>3.2463768115942027</v>
      </c>
      <c r="F53" s="198">
        <v>0</v>
      </c>
      <c r="G53" s="215">
        <v>0</v>
      </c>
      <c r="H53" s="131"/>
    </row>
    <row r="54" spans="1:8" x14ac:dyDescent="0.25">
      <c r="A54" s="133"/>
      <c r="B54" s="204" t="str">
        <v>Steel, Structural framing (cold - rolled), TRUECORE® steel in 0.48mm base material thickness (BMT) (Bluescope)</v>
      </c>
      <c r="C54" s="132" t="str">
        <v>tonne</v>
      </c>
      <c r="D54" s="198">
        <v>3163.2653061224491</v>
      </c>
      <c r="E54" s="198">
        <v>3.1632653061224492</v>
      </c>
      <c r="F54" s="198">
        <v>0</v>
      </c>
      <c r="G54" s="215">
        <v>0</v>
      </c>
      <c r="H54" s="131"/>
    </row>
    <row r="55" spans="1:8" x14ac:dyDescent="0.25">
      <c r="A55" s="133"/>
      <c r="B55" s="204" t="str">
        <v>Steel, Structural framing (cold - rolled), TRUECORE® steel in 0.55mm base material thickness (BMT) (Bluescope)</v>
      </c>
      <c r="C55" s="132" t="str">
        <v>tonne</v>
      </c>
      <c r="D55" s="198">
        <v>3109.6196868008951</v>
      </c>
      <c r="E55" s="198">
        <v>3.1096196868008952</v>
      </c>
      <c r="F55" s="198">
        <v>0</v>
      </c>
      <c r="G55" s="215">
        <v>0</v>
      </c>
      <c r="H55" s="131"/>
    </row>
    <row r="56" spans="1:8" x14ac:dyDescent="0.25">
      <c r="A56" s="133"/>
      <c r="B56" s="204" t="str">
        <v>Steel, Structural framing (cold - rolled), TRUECORE® steel in 0.60mm base material thickness (BMT) (Bluescope)</v>
      </c>
      <c r="C56" s="132" t="str">
        <v>tonne</v>
      </c>
      <c r="D56" s="198">
        <v>3059.5482546201233</v>
      </c>
      <c r="E56" s="198">
        <v>3.0595482546201231</v>
      </c>
      <c r="F56" s="198">
        <v>0</v>
      </c>
      <c r="G56" s="215">
        <v>0</v>
      </c>
      <c r="H56" s="131"/>
    </row>
    <row r="57" spans="1:8" x14ac:dyDescent="0.25">
      <c r="A57" s="133"/>
      <c r="B57" s="204" t="str">
        <v>Steel, Structural framing (cold - rolled), TRUECORE® steel in 0.75mm base material thickness (BMT) (Bluescope)</v>
      </c>
      <c r="C57" s="132" t="str">
        <v>tonne</v>
      </c>
      <c r="D57" s="198">
        <v>2980.1324503311262</v>
      </c>
      <c r="E57" s="198">
        <v>2.9801324503311259</v>
      </c>
      <c r="F57" s="198">
        <v>0</v>
      </c>
      <c r="G57" s="215">
        <v>0</v>
      </c>
      <c r="H57" s="131"/>
    </row>
    <row r="58" spans="1:8" x14ac:dyDescent="0.25">
      <c r="A58" s="133"/>
      <c r="B58" s="204" t="str">
        <v>Steel, Structural formwork and decking (cold - rolled), DECKFORM® steel in 1.50mm base material thickness (BMT) (Bluescope)</v>
      </c>
      <c r="C58" s="132" t="str">
        <v>tonne</v>
      </c>
      <c r="D58" s="198">
        <v>2792.4217462932452</v>
      </c>
      <c r="E58" s="198">
        <v>2.792421746293245</v>
      </c>
      <c r="F58" s="198">
        <v>0</v>
      </c>
      <c r="G58" s="215">
        <v>0</v>
      </c>
      <c r="H58" s="131"/>
    </row>
    <row r="59" spans="1:8" x14ac:dyDescent="0.25">
      <c r="A59" s="133"/>
      <c r="B59" s="204" t="str">
        <v>Steel, Structural framing (cold - rolled), TRUECORE® steel in 0.95mm base material thickness (BMT) (Bluescope)</v>
      </c>
      <c r="C59" s="132" t="str">
        <v>tonne</v>
      </c>
      <c r="D59" s="198">
        <v>2904.0735873850194</v>
      </c>
      <c r="E59" s="198">
        <v>2.9040735873850196</v>
      </c>
      <c r="F59" s="198">
        <v>0</v>
      </c>
      <c r="G59" s="215">
        <v>0</v>
      </c>
      <c r="H59" s="131"/>
    </row>
    <row r="60" spans="1:8" x14ac:dyDescent="0.25">
      <c r="A60" s="133"/>
      <c r="B60" s="204" t="str">
        <v>Steel, Structural formwork and decking (cold - rolled), Low Glare DECKFORM® steel in 1.50mm base material thickness (BMT) (Bluescope)</v>
      </c>
      <c r="C60" s="132" t="str">
        <v>tonne</v>
      </c>
      <c r="D60" s="198">
        <v>2915.9803396425041</v>
      </c>
      <c r="E60" s="198">
        <v>2.9159803396425041</v>
      </c>
      <c r="F60" s="198">
        <v>0</v>
      </c>
      <c r="G60" s="215">
        <v>0</v>
      </c>
      <c r="H60" s="131"/>
    </row>
    <row r="61" spans="1:8" x14ac:dyDescent="0.25">
      <c r="A61" s="133"/>
      <c r="B61" s="204" t="str">
        <v>Steel, Structural framing (cold - rolled), TRUECORE® steel in 1.00mm base material thickness (BMT) (Bluescope)</v>
      </c>
      <c r="C61" s="132" t="str">
        <v>tonne</v>
      </c>
      <c r="D61" s="198">
        <v>2883.8954060861424</v>
      </c>
      <c r="E61" s="198">
        <v>2.8838954060861428</v>
      </c>
      <c r="F61" s="198">
        <v>0</v>
      </c>
      <c r="G61" s="215">
        <v>0</v>
      </c>
      <c r="H61" s="131"/>
    </row>
    <row r="62" spans="1:8" x14ac:dyDescent="0.25">
      <c r="A62" s="133"/>
      <c r="B62" s="204" t="str">
        <v>Steel, Structural framing (cold - rolled), TRUECORE® steel in 1.15mm base material thickness (BMT) (Bluescope)</v>
      </c>
      <c r="C62" s="132" t="str">
        <v>tonne</v>
      </c>
      <c r="D62" s="198">
        <v>2854.0317110893243</v>
      </c>
      <c r="E62" s="198">
        <v>2.8540317110893247</v>
      </c>
      <c r="F62" s="198">
        <v>0</v>
      </c>
      <c r="G62" s="215">
        <v>0</v>
      </c>
      <c r="H62" s="131"/>
    </row>
    <row r="63" spans="1:8" x14ac:dyDescent="0.25">
      <c r="A63" s="133"/>
      <c r="B63" s="204" t="str">
        <v>Steel, Structural framing (cold - rolled), TRUECORE® steel in 1.20mm base material thickness (BMT) (Bluescope)</v>
      </c>
      <c r="C63" s="132" t="str">
        <v>tonne</v>
      </c>
      <c r="D63" s="198">
        <v>2839.2499642379958</v>
      </c>
      <c r="E63" s="198">
        <v>2.8392499642379958</v>
      </c>
      <c r="F63" s="198">
        <v>0</v>
      </c>
      <c r="G63" s="215">
        <v>0</v>
      </c>
      <c r="H63" s="131"/>
    </row>
    <row r="64" spans="1:8" x14ac:dyDescent="0.25">
      <c r="A64" s="133"/>
      <c r="B64" s="204" t="str">
        <v>Steel, Structural framing (cold - rolled), TRUECORE® steel in 1.50mm base material thickness (BMT) (Bluescope)</v>
      </c>
      <c r="C64" s="132" t="str">
        <v>tonne</v>
      </c>
      <c r="D64" s="198">
        <v>2799.6681108130765</v>
      </c>
      <c r="E64" s="198">
        <v>2.7996681108130765</v>
      </c>
      <c r="F64" s="198">
        <v>0</v>
      </c>
      <c r="G64" s="215">
        <v>0</v>
      </c>
      <c r="H64" s="131"/>
    </row>
    <row r="65" spans="1:8" x14ac:dyDescent="0.25">
      <c r="A65" s="133"/>
      <c r="B65" s="204" t="str">
        <v>Steel, Structural framing (cold - rolled), TRUECORE® steel in 1.60mm base material thickness (BMT) (Bluescope)</v>
      </c>
      <c r="C65" s="132" t="str">
        <v>tonne</v>
      </c>
      <c r="D65" s="198">
        <v>2783.022897924528</v>
      </c>
      <c r="E65" s="198">
        <v>2.7830228979245279</v>
      </c>
      <c r="F65" s="198">
        <v>0</v>
      </c>
      <c r="G65" s="215">
        <v>0</v>
      </c>
      <c r="H65" s="131"/>
    </row>
    <row r="66" spans="1:8" x14ac:dyDescent="0.25">
      <c r="A66" s="133"/>
      <c r="B66" s="204" t="str">
        <v>Structural steel , Structural steel (cold - rolled), Representative product 681 (Rondo) (Australia)</v>
      </c>
      <c r="C66" s="132" t="str">
        <v>tonne</v>
      </c>
      <c r="D66" s="198">
        <v>2940</v>
      </c>
      <c r="E66" s="198">
        <v>2.94</v>
      </c>
      <c r="F66" s="198">
        <v>0</v>
      </c>
      <c r="G66" s="215">
        <v>0</v>
      </c>
      <c r="H66" s="131"/>
    </row>
    <row r="67" spans="1:8" x14ac:dyDescent="0.25">
      <c r="A67" s="133"/>
      <c r="B67" s="204" t="str">
        <v>Structural steel , Structural steel (cold - rolled), Representative product 592 (Rondo) (Australia)</v>
      </c>
      <c r="C67" s="132" t="str">
        <v>tonne</v>
      </c>
      <c r="D67" s="198">
        <v>3140</v>
      </c>
      <c r="E67" s="198">
        <v>3.14</v>
      </c>
      <c r="F67" s="198">
        <v>0</v>
      </c>
      <c r="G67" s="215">
        <v>0</v>
      </c>
      <c r="H67" s="131"/>
    </row>
    <row r="68" spans="1:8" x14ac:dyDescent="0.25">
      <c r="A68" s="133"/>
      <c r="B68" s="204" t="str">
        <v>Structural steel , Structural steel (cold - rolled), Representative product 495 (Rondo) (Australia)</v>
      </c>
      <c r="C68" s="132" t="str">
        <v>tonne</v>
      </c>
      <c r="D68" s="198">
        <v>3090</v>
      </c>
      <c r="E68" s="198">
        <v>3.09</v>
      </c>
      <c r="F68" s="198">
        <v>0</v>
      </c>
      <c r="G68" s="215">
        <v>0</v>
      </c>
      <c r="H68" s="131"/>
    </row>
    <row r="69" spans="1:8" x14ac:dyDescent="0.25">
      <c r="A69" s="133"/>
      <c r="B69" s="204" t="str">
        <v>Structural steel , Structural steel (cold - rolled), Representative product 107 (Rondo) (Australia)</v>
      </c>
      <c r="C69" s="132" t="str">
        <v>tonne</v>
      </c>
      <c r="D69" s="198">
        <v>3860</v>
      </c>
      <c r="E69" s="198">
        <v>3.86</v>
      </c>
      <c r="F69" s="198">
        <v>0</v>
      </c>
      <c r="G69" s="215">
        <v>0</v>
      </c>
      <c r="H69" s="131"/>
    </row>
    <row r="70" spans="1:8" x14ac:dyDescent="0.25">
      <c r="A70" s="133"/>
      <c r="B70" s="217" t="str">
        <v>Structural steel , Structural steel (cold - rolled), Representative product 506 (Rondo) (Australia)</v>
      </c>
      <c r="C70" s="218" t="str">
        <v>tonne</v>
      </c>
      <c r="D70" s="219">
        <v>3430</v>
      </c>
      <c r="E70" s="219">
        <v>3.43</v>
      </c>
      <c r="F70" s="219">
        <v>0</v>
      </c>
      <c r="G70" s="220">
        <v>0</v>
      </c>
      <c r="H70" s="131"/>
    </row>
    <row r="71" spans="1:8" x14ac:dyDescent="0.25">
      <c r="B71" s="130"/>
      <c r="C71" s="130"/>
      <c r="D71" s="207"/>
      <c r="E71" s="207"/>
      <c r="F71" s="207"/>
      <c r="G71" s="207"/>
    </row>
  </sheetData>
  <dataValidations count="1">
    <dataValidation type="list" allowBlank="1" showInputMessage="1" showErrorMessage="1" sqref="B6:B9" xr:uid="{ECB4FCFE-B3F0-4C5C-9A38-771FF5B2CF5D}">
      <formula1>"Tier 1,Tier 2,Tier 3,Tier 4"</formula1>
    </dataValidation>
  </dataValidations>
  <pageMargins left="0.7" right="0.7" top="0.75" bottom="0.75" header="0.3" footer="0.3"/>
  <pageSetup paperSize="9" orientation="portrait"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B223A-2EC9-4949-84A6-C1EA6BE6A4E0}">
  <sheetPr codeName="Sheet21">
    <tabColor rgb="FF00CCFF"/>
  </sheetPr>
  <dimension ref="A1:P67"/>
  <sheetViews>
    <sheetView workbookViewId="0"/>
  </sheetViews>
  <sheetFormatPr defaultColWidth="9.1796875" defaultRowHeight="12.5" x14ac:dyDescent="0.25"/>
  <cols>
    <col min="1" max="1" width="26.26953125" style="132" customWidth="1"/>
    <col min="2" max="2" width="174.7265625" style="132" customWidth="1"/>
    <col min="3" max="3" width="21" style="132" customWidth="1"/>
    <col min="4" max="6" width="19.7265625" style="198" customWidth="1"/>
    <col min="7" max="7" width="23.54296875" style="198" customWidth="1"/>
    <col min="8" max="8" width="9.1796875" style="132" customWidth="1"/>
    <col min="9" max="10" width="9.1796875" style="132"/>
    <col min="11" max="11" width="25.1796875" style="132" customWidth="1"/>
    <col min="12" max="12" width="14.453125" style="132" customWidth="1"/>
    <col min="13" max="13" width="8.81640625" style="132" customWidth="1"/>
    <col min="14" max="14" width="10.26953125" style="132" customWidth="1"/>
    <col min="15" max="15" width="26.54296875" style="132" customWidth="1"/>
    <col min="16" max="16" width="109.453125" style="132" customWidth="1"/>
    <col min="17" max="16384" width="9.1796875" style="132"/>
  </cols>
  <sheetData>
    <row r="1" spans="1:16" ht="13" x14ac:dyDescent="0.25">
      <c r="A1" s="202" t="str">
        <f>B16</f>
        <v>Structural steel (hot rolled)</v>
      </c>
      <c r="J1" s="202" t="s">
        <v>5700</v>
      </c>
    </row>
    <row r="2" spans="1:16" ht="13" x14ac:dyDescent="0.25">
      <c r="A2" s="202"/>
      <c r="L2" s="132" t="s">
        <v>5892</v>
      </c>
      <c r="M2" s="132" t="s">
        <v>5893</v>
      </c>
      <c r="N2" s="132" t="s">
        <v>5894</v>
      </c>
      <c r="O2" s="132" t="s">
        <v>5921</v>
      </c>
      <c r="P2" s="132" t="s">
        <v>5896</v>
      </c>
    </row>
    <row r="3" spans="1:16" ht="13" x14ac:dyDescent="0.3">
      <c r="A3" s="227" t="s">
        <v>5626</v>
      </c>
      <c r="B3" s="132" t="s">
        <v>5922</v>
      </c>
      <c r="K3" s="132" t="s">
        <v>5923</v>
      </c>
      <c r="L3" s="132">
        <f>1.2+0.475</f>
        <v>1.6749999999999998</v>
      </c>
      <c r="M3" s="132" t="s">
        <v>5678</v>
      </c>
      <c r="N3" s="242">
        <f>L3/$L$6</f>
        <v>0.26942255106964774</v>
      </c>
      <c r="O3" s="132">
        <f>L3/(L3+L4)</f>
        <v>0.35828877005347592</v>
      </c>
      <c r="P3" s="243" t="s">
        <v>5924</v>
      </c>
    </row>
    <row r="4" spans="1:16" ht="13" x14ac:dyDescent="0.3">
      <c r="A4" s="227"/>
      <c r="K4" s="132" t="s">
        <v>5925</v>
      </c>
      <c r="L4" s="132">
        <v>3</v>
      </c>
      <c r="M4" s="132" t="s">
        <v>5678</v>
      </c>
      <c r="N4" s="242">
        <f t="shared" ref="N4:N5" si="0">L4/$L$6</f>
        <v>0.48254785266205569</v>
      </c>
      <c r="O4" s="132">
        <f>L4/(L4+L5)</f>
        <v>0.66050198150594452</v>
      </c>
      <c r="P4" s="243" t="s">
        <v>5926</v>
      </c>
    </row>
    <row r="5" spans="1:16" ht="73.5" customHeight="1" x14ac:dyDescent="0.3">
      <c r="A5" s="227" t="s">
        <v>5628</v>
      </c>
      <c r="B5" s="200" t="s">
        <v>5927</v>
      </c>
      <c r="K5" s="132" t="s">
        <v>5928</v>
      </c>
      <c r="L5" s="132">
        <v>1.542</v>
      </c>
      <c r="M5" s="132" t="s">
        <v>5678</v>
      </c>
      <c r="N5" s="242">
        <f t="shared" si="0"/>
        <v>0.24802959626829663</v>
      </c>
    </row>
    <row r="6" spans="1:16" ht="13" x14ac:dyDescent="0.3">
      <c r="A6" s="227" t="s">
        <v>5630</v>
      </c>
      <c r="B6" s="201" t="s">
        <v>72</v>
      </c>
      <c r="L6" s="132">
        <f>SUM(L3:L5)</f>
        <v>6.2169999999999996</v>
      </c>
      <c r="M6" s="132" t="s">
        <v>5678</v>
      </c>
      <c r="N6" s="246"/>
    </row>
    <row r="7" spans="1:16" ht="13" x14ac:dyDescent="0.3">
      <c r="A7" s="227" t="s">
        <v>5631</v>
      </c>
      <c r="B7" s="201" t="s">
        <v>71</v>
      </c>
    </row>
    <row r="8" spans="1:16" ht="13" x14ac:dyDescent="0.3">
      <c r="A8" s="227" t="s">
        <v>5632</v>
      </c>
      <c r="B8" s="201" t="s">
        <v>72</v>
      </c>
      <c r="K8" s="132" t="s">
        <v>5929</v>
      </c>
      <c r="L8" s="198">
        <f>SUMIF(_xlfn.ANCHORARRAY($B$23),"*"&amp;"Australia"&amp;"*",_xlfn.ANCHORARRAY(D23))/COUNTIF(_xlfn.ANCHORARRAY($B$23),"*"&amp;"Australia"&amp;"*")</f>
        <v>2251.8590909090908</v>
      </c>
      <c r="M8" s="198">
        <f>SUMIF(_xlfn.ANCHORARRAY($B$23),"*"&amp;"Australia"&amp;"*",_xlfn.ANCHORARRAY(E23))/COUNTIF(_xlfn.ANCHORARRAY($B$23),"*"&amp;"Australia"&amp;"*")</f>
        <v>2.2518590909090901</v>
      </c>
      <c r="N8" s="198">
        <f>SUMIF(_xlfn.ANCHORARRAY($B$23),"*"&amp;"Australia"&amp;"*",_xlfn.ANCHORARRAY(F23))/COUNTIF(_xlfn.ANCHORARRAY($B$23),"*"&amp;"Australia"&amp;"*")</f>
        <v>0</v>
      </c>
      <c r="O8" s="198">
        <f>SUMIF(_xlfn.ANCHORARRAY($B$23),"*"&amp;"Australia"&amp;"*",_xlfn.ANCHORARRAY(G23))/COUNTIF(_xlfn.ANCHORARRAY($B$23),"*"&amp;"Australia"&amp;"*")</f>
        <v>0</v>
      </c>
    </row>
    <row r="9" spans="1:16" ht="13" x14ac:dyDescent="0.3">
      <c r="A9" s="227" t="s">
        <v>5633</v>
      </c>
      <c r="B9" s="202" t="s">
        <v>72</v>
      </c>
      <c r="K9" s="132" t="s">
        <v>5930</v>
      </c>
      <c r="L9" s="198">
        <f>SUMIF(_xlfn.ANCHORARRAY($B$23),"*"&amp;"Bluescope"&amp;"*",_xlfn.ANCHORARRAY(D23))/COUNTIF(_xlfn.ANCHORARRAY($B$23),"*"&amp;"Bluescope"&amp;"*")</f>
        <v>2612.8571428571427</v>
      </c>
      <c r="M9" s="198">
        <f>SUMIF(_xlfn.ANCHORARRAY($B$23),"*"&amp;"Bluescope"&amp;"*",_xlfn.ANCHORARRAY(E23))/COUNTIF(_xlfn.ANCHORARRAY($B$23),"*"&amp;"Bluescope"&amp;"*")</f>
        <v>2.6128571428571425</v>
      </c>
      <c r="N9" s="198">
        <f>SUMIF(_xlfn.ANCHORARRAY($B$23),"*"&amp;"Bluescope"&amp;"*",_xlfn.ANCHORARRAY(F23))/COUNTIF(_xlfn.ANCHORARRAY($B$23),"*"&amp;"Bluescope"&amp;"*")</f>
        <v>0</v>
      </c>
      <c r="O9" s="198">
        <f>SUMIF(_xlfn.ANCHORARRAY($B$23),"*"&amp;"Bluescope"&amp;"*",_xlfn.ANCHORARRAY(G23))/COUNTIF(_xlfn.ANCHORARRAY($B$23),"*"&amp;"Bluescope"&amp;"*")</f>
        <v>0</v>
      </c>
    </row>
    <row r="10" spans="1:16" ht="13" x14ac:dyDescent="0.3">
      <c r="A10" s="227"/>
      <c r="B10" s="202"/>
      <c r="K10" s="132" t="s">
        <v>5931</v>
      </c>
      <c r="L10" s="198">
        <f>SUMIF(_xlfn.ANCHORARRAY($B$23),"*"&amp;"Global"&amp;"*",_xlfn.ANCHORARRAY(D23))/COUNTIF(_xlfn.ANCHORARRAY($B$23),"*"&amp;"Global"&amp;"*")</f>
        <v>1627.8578666666665</v>
      </c>
      <c r="M10" s="198">
        <f>SUMIF(_xlfn.ANCHORARRAY($B$23),"*"&amp;"Global"&amp;"*",_xlfn.ANCHORARRAY(E23))/COUNTIF(_xlfn.ANCHORARRAY($B$23),"*"&amp;"Global"&amp;"*")</f>
        <v>1.627857866666667</v>
      </c>
      <c r="N10" s="198">
        <f>SUMIF(_xlfn.ANCHORARRAY($B$23),"*"&amp;"Global"&amp;"*",_xlfn.ANCHORARRAY(F23))/COUNTIF(_xlfn.ANCHORARRAY($B$23),"*"&amp;"Global"&amp;"*")</f>
        <v>0</v>
      </c>
      <c r="O10" s="198">
        <f>SUMIF(_xlfn.ANCHORARRAY($B$23),"*"&amp;"Global"&amp;"*",_xlfn.ANCHORARRAY(G23))/COUNTIF(_xlfn.ANCHORARRAY($B$23),"*"&amp;"Global"&amp;"*")</f>
        <v>0</v>
      </c>
    </row>
    <row r="11" spans="1:16" ht="13" x14ac:dyDescent="0.3">
      <c r="A11" s="227" t="s">
        <v>5634</v>
      </c>
      <c r="B11" s="200"/>
      <c r="K11" s="132" t="s">
        <v>5830</v>
      </c>
      <c r="L11" s="132">
        <f>SUMPRODUCT(L8:L10,N3:N5)</f>
        <v>2271.2871539720372</v>
      </c>
      <c r="M11" s="132">
        <f>SUMPRODUCT(M8:M10,N3:N5)</f>
        <v>2.2712871539720374</v>
      </c>
      <c r="N11" s="132">
        <f>SUMPRODUCT(N8:N10,O3:O5)</f>
        <v>0</v>
      </c>
      <c r="O11" s="132">
        <f>SUMPRODUCT(O8:O10,P3:P5)</f>
        <v>0</v>
      </c>
    </row>
    <row r="12" spans="1:16" x14ac:dyDescent="0.25">
      <c r="A12" s="228"/>
    </row>
    <row r="13" spans="1:16" x14ac:dyDescent="0.25">
      <c r="A13" s="228"/>
    </row>
    <row r="14" spans="1:16" ht="13" x14ac:dyDescent="0.3">
      <c r="A14" s="227" t="s">
        <v>5635</v>
      </c>
      <c r="N14" s="242"/>
      <c r="P14" s="243"/>
    </row>
    <row r="15" spans="1:16" ht="13" x14ac:dyDescent="0.3">
      <c r="A15" s="227"/>
      <c r="B15" s="135"/>
      <c r="C15" s="135"/>
      <c r="D15" s="299" t="s">
        <v>77</v>
      </c>
      <c r="E15" s="300"/>
      <c r="F15" s="299" t="s">
        <v>5424</v>
      </c>
      <c r="G15" s="301"/>
      <c r="N15" s="242"/>
      <c r="P15" s="243"/>
    </row>
    <row r="16" spans="1:16" ht="39" x14ac:dyDescent="0.25">
      <c r="A16" s="133"/>
      <c r="B16" s="319" t="s">
        <v>5254</v>
      </c>
      <c r="C16" s="311" t="s">
        <v>24</v>
      </c>
      <c r="D16" s="208" t="s">
        <v>146</v>
      </c>
      <c r="E16" s="209" t="s">
        <v>153</v>
      </c>
      <c r="F16" s="208" t="s">
        <v>147</v>
      </c>
      <c r="G16" s="208" t="s">
        <v>154</v>
      </c>
      <c r="H16" s="131"/>
      <c r="N16" s="242"/>
    </row>
    <row r="17" spans="1:16" ht="13" x14ac:dyDescent="0.3">
      <c r="A17" s="133"/>
      <c r="B17" s="317"/>
      <c r="C17" s="206" t="s">
        <v>5636</v>
      </c>
      <c r="D17" s="207" t="str" cm="1">
        <f t="array" ref="D17">IF(AND(_xlfn.ANCHORARRAY(C23)=C23),C23,"Mixed")</f>
        <v>tonne</v>
      </c>
      <c r="E17" s="207" t="s">
        <v>2774</v>
      </c>
      <c r="F17" s="207" t="str" cm="1">
        <f t="array" ref="F17">IF(AND(_xlfn.ANCHORARRAY(C23)=C23),C23,"Mixed")</f>
        <v>tonne</v>
      </c>
      <c r="G17" s="318" t="s">
        <v>2774</v>
      </c>
      <c r="H17" s="131"/>
      <c r="N17" s="246"/>
    </row>
    <row r="18" spans="1:16" s="200" customFormat="1" ht="13" x14ac:dyDescent="0.3">
      <c r="A18" s="221"/>
      <c r="B18" s="214"/>
      <c r="C18" s="202" t="s">
        <v>5637</v>
      </c>
      <c r="D18" s="198">
        <f>MAX(_xlfn.ANCHORARRAY(D23))</f>
        <v>3720</v>
      </c>
      <c r="E18" s="198">
        <f>MAX(_xlfn.ANCHORARRAY(E23))</f>
        <v>3.72</v>
      </c>
      <c r="F18" s="198">
        <f>MAX(_xlfn.ANCHORARRAY(F23))</f>
        <v>0</v>
      </c>
      <c r="G18" s="215">
        <f>MAX(_xlfn.ANCHORARRAY(G23))</f>
        <v>0</v>
      </c>
      <c r="H18" s="131"/>
      <c r="K18" s="132"/>
      <c r="L18" s="132"/>
      <c r="M18" s="132"/>
      <c r="N18" s="132"/>
      <c r="O18" s="132"/>
      <c r="P18" s="132"/>
    </row>
    <row r="19" spans="1:16" ht="13" x14ac:dyDescent="0.25">
      <c r="A19" s="133"/>
      <c r="B19" s="204"/>
      <c r="C19" s="202" t="s">
        <v>5638</v>
      </c>
      <c r="D19" s="198">
        <f>MIN(_xlfn.ANCHORARRAY(D23))</f>
        <v>558</v>
      </c>
      <c r="E19" s="198">
        <f>MIN(_xlfn.ANCHORARRAY(E23))</f>
        <v>0.55800000000000005</v>
      </c>
      <c r="F19" s="198">
        <f>MIN(_xlfn.ANCHORARRAY(F23))</f>
        <v>0</v>
      </c>
      <c r="G19" s="215">
        <f>MIN(_xlfn.ANCHORARRAY(G23))</f>
        <v>0</v>
      </c>
      <c r="H19" s="131"/>
    </row>
    <row r="20" spans="1:16" ht="13" x14ac:dyDescent="0.25">
      <c r="A20" s="133"/>
      <c r="B20" s="204"/>
      <c r="C20" s="245" t="s">
        <v>5665</v>
      </c>
      <c r="D20" s="198">
        <f>L11</f>
        <v>2271.2871539720372</v>
      </c>
      <c r="E20" s="198">
        <f>M11</f>
        <v>2.2712871539720374</v>
      </c>
      <c r="F20" s="198">
        <f>N11</f>
        <v>0</v>
      </c>
      <c r="G20" s="215">
        <f>O11</f>
        <v>0</v>
      </c>
      <c r="H20" s="131"/>
    </row>
    <row r="21" spans="1:16" ht="13" x14ac:dyDescent="0.25">
      <c r="A21" s="133"/>
      <c r="B21" s="204"/>
      <c r="C21" s="202" t="s">
        <v>5639</v>
      </c>
      <c r="D21" s="198">
        <f>AVERAGE(_xlfn.ANCHORARRAY(D23))</f>
        <v>2096.5629090909088</v>
      </c>
      <c r="E21" s="198">
        <f>AVERAGE(_xlfn.ANCHORARRAY(E23))</f>
        <v>2.0965629090909101</v>
      </c>
      <c r="F21" s="198">
        <f>AVERAGE(_xlfn.ANCHORARRAY(F23))</f>
        <v>0</v>
      </c>
      <c r="G21" s="215">
        <f>AVERAGE(_xlfn.ANCHORARRAY(G23))</f>
        <v>0</v>
      </c>
      <c r="H21" s="131"/>
    </row>
    <row r="22" spans="1:16" ht="13" x14ac:dyDescent="0.25">
      <c r="A22" s="133"/>
      <c r="B22" s="197" t="s">
        <v>5640</v>
      </c>
      <c r="D22" s="132"/>
      <c r="E22" s="132"/>
      <c r="F22" s="132"/>
      <c r="G22" s="216"/>
      <c r="H22" s="131"/>
    </row>
    <row r="23" spans="1:16" x14ac:dyDescent="0.25">
      <c r="A23" s="133"/>
      <c r="B23" s="204" t="str" cm="1">
        <f t="array" ref="B23:B66">_xlfn.UNIQUE(_xlfn._xlws.FILTER('EPD List'!D:D,ISNUMBER(SEARCH(B16,'EPD List'!C:C)),0))</f>
        <v>Steel, Structural sections (hot - rolled), XLERPLATE® steel – Low Carbon Steel (Bluescope)</v>
      </c>
      <c r="C23" s="132" t="str" cm="1">
        <f t="array" ref="C23:C66">_xlfn.IFNA(INDEX('EPD List'!$A:$AB,MATCH(_xlfn.ANCHORARRAY(B23),'EPD List'!$D:$D,0),MATCH(C$16,'EPD List'!$7:$7,0)),"")</f>
        <v>tonne</v>
      </c>
      <c r="D23" s="198" cm="1">
        <f t="array" ref="D23:D66">_xlfn.IFNA(VALUE((INDEX('EPD List'!$A:$AD,MATCH(_xlfn.ANCHORARRAY($B23),'EPD List'!$D:$D,0),MATCH(D$16,'EPD List'!$7:$7,0)))),"")</f>
        <v>2590</v>
      </c>
      <c r="E23" s="198" cm="1">
        <f t="array" ref="E23:E66">_xlfn.IFNA(VALUE((INDEX('EPD List'!$A:$AD,MATCH(_xlfn.ANCHORARRAY($B23),'EPD List'!$D:$D,0),MATCH(E$16,'EPD List'!$7:$7,0)))),"")</f>
        <v>2.59</v>
      </c>
      <c r="F23" s="198" cm="1">
        <f t="array" ref="F23:F66">_xlfn.IFNA(VALUE((INDEX('EPD List'!$A:$AD,MATCH(_xlfn.ANCHORARRAY($B23),'EPD List'!$D:$D,0),MATCH(F$16,'EPD List'!$7:$7,0)))),"")</f>
        <v>0</v>
      </c>
      <c r="G23" s="215" cm="1">
        <f t="array" ref="G23:G66">_xlfn.IFNA(VALUE((INDEX('EPD List'!$A:$AD,MATCH(_xlfn.ANCHORARRAY($B23),'EPD List'!$D:$D,0),MATCH(G$16,'EPD List'!$7:$7,0)))),"")</f>
        <v>0</v>
      </c>
      <c r="H23" s="131"/>
    </row>
    <row r="24" spans="1:16" x14ac:dyDescent="0.25">
      <c r="A24" s="133"/>
      <c r="B24" s="204" t="str">
        <v>Steel, Structural sections (hot - rolled), XLERPLATE® steel – Medium Carbon Steel (Bluescope)</v>
      </c>
      <c r="C24" s="132" t="str">
        <v>tonne</v>
      </c>
      <c r="D24" s="198">
        <v>2640</v>
      </c>
      <c r="E24" s="198">
        <v>2.64</v>
      </c>
      <c r="F24" s="198">
        <v>0</v>
      </c>
      <c r="G24" s="215">
        <v>0</v>
      </c>
      <c r="H24" s="131"/>
    </row>
    <row r="25" spans="1:16" x14ac:dyDescent="0.25">
      <c r="A25" s="133"/>
      <c r="B25" s="204" t="str">
        <v>Steel, Structural sections (hot - rolled), XLERPLATE® steel – Alloyed Steel (Bluescope)</v>
      </c>
      <c r="C25" s="132" t="str">
        <v>tonne</v>
      </c>
      <c r="D25" s="198">
        <v>2760</v>
      </c>
      <c r="E25" s="198">
        <v>2.76</v>
      </c>
      <c r="F25" s="198">
        <v>0</v>
      </c>
      <c r="G25" s="215">
        <v>0</v>
      </c>
      <c r="H25" s="131"/>
    </row>
    <row r="26" spans="1:16" x14ac:dyDescent="0.25">
      <c r="A26" s="133"/>
      <c r="B26" s="204" t="str">
        <v>Steel, Structural sections (hot - rolled), Steel – Welded Beams and Columns (Bluescope)</v>
      </c>
      <c r="C26" s="132" t="str">
        <v>tonne</v>
      </c>
      <c r="D26" s="198">
        <v>2860</v>
      </c>
      <c r="E26" s="198">
        <v>2.86</v>
      </c>
      <c r="F26" s="198">
        <v>0</v>
      </c>
      <c r="G26" s="215">
        <v>0</v>
      </c>
      <c r="H26" s="131"/>
    </row>
    <row r="27" spans="1:16" x14ac:dyDescent="0.25">
      <c r="A27" s="133"/>
      <c r="B27" s="204" t="str">
        <v>Steel, Structural sections (hot - rolled), Hot Rolled Coil – Low Carbon Steel (Bluescope)</v>
      </c>
      <c r="C27" s="132" t="str">
        <v>tonne</v>
      </c>
      <c r="D27" s="198">
        <v>2410</v>
      </c>
      <c r="E27" s="198">
        <v>2.41</v>
      </c>
      <c r="F27" s="198">
        <v>0</v>
      </c>
      <c r="G27" s="215">
        <v>0</v>
      </c>
      <c r="H27" s="131"/>
    </row>
    <row r="28" spans="1:16" x14ac:dyDescent="0.25">
      <c r="A28" s="133"/>
      <c r="B28" s="204" t="str">
        <v>Steel, Structural sections (hot - rolled), Hot Rolled Coil – Medium Carbon Steel (Bluescope)</v>
      </c>
      <c r="C28" s="132" t="str">
        <v>tonne</v>
      </c>
      <c r="D28" s="198">
        <v>2460</v>
      </c>
      <c r="E28" s="198">
        <v>2.46</v>
      </c>
      <c r="F28" s="198">
        <v>0</v>
      </c>
      <c r="G28" s="215">
        <v>0</v>
      </c>
      <c r="H28" s="131"/>
    </row>
    <row r="29" spans="1:16" x14ac:dyDescent="0.25">
      <c r="A29" s="133"/>
      <c r="B29" s="204" t="str">
        <v>Steel, Structural sections (hot - rolled), Hot Rolled Coil – Alloyed Steel (Bluescope)</v>
      </c>
      <c r="C29" s="132" t="str">
        <v>tonne</v>
      </c>
      <c r="D29" s="198">
        <v>2570</v>
      </c>
      <c r="E29" s="198">
        <v>2.57</v>
      </c>
      <c r="F29" s="198">
        <v>0</v>
      </c>
      <c r="G29" s="215">
        <v>0</v>
      </c>
      <c r="H29" s="131"/>
    </row>
    <row r="30" spans="1:16" x14ac:dyDescent="0.25">
      <c r="A30" s="133"/>
      <c r="B30" s="204" t="str">
        <v>Steel, Structural sections (hot - rolled), Steel, equal angle (EA), structural section, unpainted, 125 x 125 x 8 mm to 200 x 200 x 26 mm,  (InfraBuild via Distributor IBSC), Australia</v>
      </c>
      <c r="C30" s="132" t="str">
        <v>tonne</v>
      </c>
      <c r="D30" s="198">
        <v>3720</v>
      </c>
      <c r="E30" s="198">
        <v>3.72</v>
      </c>
      <c r="F30" s="198">
        <v>0</v>
      </c>
      <c r="G30" s="215">
        <v>0</v>
      </c>
      <c r="H30" s="131"/>
    </row>
    <row r="31" spans="1:16" x14ac:dyDescent="0.25">
      <c r="A31" s="133"/>
      <c r="B31" s="204" t="str">
        <v>Steel, Structural sections (hot - rolled), Steel, parallel flange channel (PFC), structural section, unpainted, 180 x 75 mm to 380 x 100 mm,  (InfraBuild via Distributor IBSC), Australia</v>
      </c>
      <c r="C31" s="132" t="str">
        <v>tonne</v>
      </c>
      <c r="D31" s="198">
        <v>3720</v>
      </c>
      <c r="E31" s="198">
        <v>3.72</v>
      </c>
      <c r="F31" s="198">
        <v>0</v>
      </c>
      <c r="G31" s="215">
        <v>0</v>
      </c>
      <c r="H31" s="131"/>
    </row>
    <row r="32" spans="1:16" x14ac:dyDescent="0.25">
      <c r="A32" s="133"/>
      <c r="B32" s="204" t="str">
        <v>Steel, Structural sections (hot - rolled), Steel, universal beam (UB),  structural section, unpainted, 150 x 75 mm to 612 x 229 mm,  (InfraBuild via Distributor IBSC), Australia</v>
      </c>
      <c r="C32" s="132" t="str">
        <v>tonne</v>
      </c>
      <c r="D32" s="198">
        <v>3720</v>
      </c>
      <c r="E32" s="198">
        <v>3.72</v>
      </c>
      <c r="F32" s="198">
        <v>0</v>
      </c>
      <c r="G32" s="215">
        <v>0</v>
      </c>
      <c r="H32" s="131"/>
    </row>
    <row r="33" spans="1:8" x14ac:dyDescent="0.25">
      <c r="A33" s="133"/>
      <c r="B33" s="204" t="str">
        <v>Steel, Structural sections (hot - rolled), Steel, universal column (UC), structural section, unpainted, 97 x 99 mm to 327 x 311 mm,  (InfraBuild via Distributor IBSC), Australia</v>
      </c>
      <c r="C33" s="132" t="str">
        <v>tonne</v>
      </c>
      <c r="D33" s="198">
        <v>3720</v>
      </c>
      <c r="E33" s="198">
        <v>3.72</v>
      </c>
      <c r="F33" s="198">
        <v>0</v>
      </c>
      <c r="G33" s="215">
        <v>0</v>
      </c>
      <c r="H33" s="131"/>
    </row>
    <row r="34" spans="1:8" x14ac:dyDescent="0.25">
      <c r="A34" s="133"/>
      <c r="B34" s="204" t="str">
        <v>Steel, Structural sections (hot - rolled), Steel, equal angle (EA), merchant bar, unpainted, 25 x 25 x 3 mm to 100 x 100 x 12 mm,  (InfraBuild via Distributor IBSC), Australia</v>
      </c>
      <c r="C34" s="132" t="str">
        <v>tonne</v>
      </c>
      <c r="D34" s="198">
        <v>1520</v>
      </c>
      <c r="E34" s="198">
        <v>1.52</v>
      </c>
      <c r="F34" s="198">
        <v>0</v>
      </c>
      <c r="G34" s="215">
        <v>0</v>
      </c>
      <c r="H34" s="131"/>
    </row>
    <row r="35" spans="1:8" x14ac:dyDescent="0.25">
      <c r="A35" s="133"/>
      <c r="B35" s="204" t="str">
        <v>Steel, Structural sections (hot - rolled), Steel, unequal angles, merchant bar, unpainted, 65 x 50 x 5 mm to 125 x 75 x 12 mm,  (InfraBuild via Distributor IBSC), Australia</v>
      </c>
      <c r="C35" s="132" t="str">
        <v>tonne</v>
      </c>
      <c r="D35" s="198">
        <v>1520</v>
      </c>
      <c r="E35" s="198">
        <v>1.52</v>
      </c>
      <c r="F35" s="198">
        <v>0</v>
      </c>
      <c r="G35" s="215">
        <v>0</v>
      </c>
      <c r="H35" s="131"/>
    </row>
    <row r="36" spans="1:8" x14ac:dyDescent="0.25">
      <c r="A36" s="133"/>
      <c r="B36" s="204" t="str">
        <v>Steel, Structural sections (hot - rolled), Steel, parallel flange channels (PFC),  merchant bar, unpainted, 180 x 75 mm to 380 x 100 mm,  (InfraBuild via Distributor IBSC), Australia</v>
      </c>
      <c r="C36" s="132" t="str">
        <v>tonne</v>
      </c>
      <c r="D36" s="198">
        <v>1520</v>
      </c>
      <c r="E36" s="198">
        <v>1.52</v>
      </c>
      <c r="F36" s="198">
        <v>0</v>
      </c>
      <c r="G36" s="215">
        <v>0</v>
      </c>
      <c r="H36" s="131"/>
    </row>
    <row r="37" spans="1:8" x14ac:dyDescent="0.25">
      <c r="A37" s="133"/>
      <c r="B37" s="204" t="str">
        <v>Steel, Structural sections (hot - rolled), Steel, flat Bar (SEF), merchant bar, unpainted, 20 x 10 mm to 150 x 25 mm,  (InfraBuild via Distributor IBSC), Australia</v>
      </c>
      <c r="C37" s="132" t="str">
        <v>tonne</v>
      </c>
      <c r="D37" s="198">
        <v>1520</v>
      </c>
      <c r="E37" s="198">
        <v>1.52</v>
      </c>
      <c r="F37" s="198">
        <v>0</v>
      </c>
      <c r="G37" s="215">
        <v>0</v>
      </c>
      <c r="H37" s="131"/>
    </row>
    <row r="38" spans="1:8" x14ac:dyDescent="0.25">
      <c r="A38" s="133"/>
      <c r="B38" s="204" t="str">
        <v>Steel, Structural sections (hot - rolled), Steel, square Bar, merchant bar, unpainted, 10 mm to 40 mm,  (InfraBuild via Distributor IBSC), Australia</v>
      </c>
      <c r="C38" s="132" t="str">
        <v>tonne</v>
      </c>
      <c r="D38" s="198">
        <v>1520</v>
      </c>
      <c r="E38" s="198">
        <v>1.52</v>
      </c>
      <c r="F38" s="198">
        <v>0</v>
      </c>
      <c r="G38" s="215">
        <v>0</v>
      </c>
      <c r="H38" s="131"/>
    </row>
    <row r="39" spans="1:8" x14ac:dyDescent="0.25">
      <c r="A39" s="133"/>
      <c r="B39" s="204" t="str">
        <v>Steel, Structural sections (hot - rolled), Steel, round Bar, merchant bar, unpainted, 10 mm to 90 mm,  (InfraBuild via Distributor IBSC), Australia</v>
      </c>
      <c r="C39" s="132" t="str">
        <v>tonne</v>
      </c>
      <c r="D39" s="198">
        <v>1520</v>
      </c>
      <c r="E39" s="198">
        <v>1.52</v>
      </c>
      <c r="F39" s="198">
        <v>0</v>
      </c>
      <c r="G39" s="215">
        <v>0</v>
      </c>
      <c r="H39" s="131"/>
    </row>
    <row r="40" spans="1:8" x14ac:dyDescent="0.25">
      <c r="A40" s="133"/>
      <c r="B40" s="204" t="str">
        <v>Steel, Structural sections (hot - rolled), Steel, equal angle (EA), merchant bar, unpainted, 25 x 25 x 3 mm to 100 x 100 x 12 mm,  (InfraBuild, Australia), Australia</v>
      </c>
      <c r="C40" s="132" t="str">
        <v>tonne</v>
      </c>
      <c r="D40" s="198">
        <v>1240</v>
      </c>
      <c r="E40" s="198">
        <v>1.24</v>
      </c>
      <c r="F40" s="198">
        <v>0</v>
      </c>
      <c r="G40" s="215">
        <v>0</v>
      </c>
      <c r="H40" s="131"/>
    </row>
    <row r="41" spans="1:8" x14ac:dyDescent="0.25">
      <c r="A41" s="133"/>
      <c r="B41" s="204" t="str">
        <v>Steel, Structural sections (hot - rolled), Steel, unequal angles, merchant bar, unpainted, 65 x 50 x 5 mm to 125 x 75 x 12 mm,  (InfraBuild, Australia), Australia</v>
      </c>
      <c r="C41" s="132" t="str">
        <v>tonne</v>
      </c>
      <c r="D41" s="198">
        <v>1240</v>
      </c>
      <c r="E41" s="198">
        <v>1.24</v>
      </c>
      <c r="F41" s="198">
        <v>0</v>
      </c>
      <c r="G41" s="215">
        <v>0</v>
      </c>
      <c r="H41" s="131"/>
    </row>
    <row r="42" spans="1:8" x14ac:dyDescent="0.25">
      <c r="A42" s="133"/>
      <c r="B42" s="204" t="str">
        <v>Steel, Structural sections (hot - rolled), Steel, flat Bar (SEF), merchant bar, unpainted, 20 x 10 mm to 150 x 25 mm,  (InfraBuild, Australia), Australia</v>
      </c>
      <c r="C42" s="132" t="str">
        <v>tonne</v>
      </c>
      <c r="D42" s="198">
        <v>1240</v>
      </c>
      <c r="E42" s="198">
        <v>1.24</v>
      </c>
      <c r="F42" s="198">
        <v>0</v>
      </c>
      <c r="G42" s="215">
        <v>0</v>
      </c>
      <c r="H42" s="131"/>
    </row>
    <row r="43" spans="1:8" x14ac:dyDescent="0.25">
      <c r="A43" s="133"/>
      <c r="B43" s="204" t="str">
        <v>Steel, Structural sections (hot - rolled), Steel, square Bar, merchant bar, unpainted, 10 mm to 40 mm,  (InfraBuild, Australia), Australia</v>
      </c>
      <c r="C43" s="132" t="str">
        <v>tonne</v>
      </c>
      <c r="D43" s="198">
        <v>1240</v>
      </c>
      <c r="E43" s="198">
        <v>1.24</v>
      </c>
      <c r="F43" s="198">
        <v>0</v>
      </c>
      <c r="G43" s="215">
        <v>0</v>
      </c>
      <c r="H43" s="131"/>
    </row>
    <row r="44" spans="1:8" x14ac:dyDescent="0.25">
      <c r="A44" s="133"/>
      <c r="B44" s="204" t="str">
        <v>Steel, Structural sections (hot - rolled), Steel, round Bar, merchant bar, unpainted, 10 mm to 90 mm,  (InfraBuild, Australia), Australia</v>
      </c>
      <c r="C44" s="132" t="str">
        <v>tonne</v>
      </c>
      <c r="D44" s="198">
        <v>1240</v>
      </c>
      <c r="E44" s="198">
        <v>1.24</v>
      </c>
      <c r="F44" s="198">
        <v>0</v>
      </c>
      <c r="G44" s="215">
        <v>0</v>
      </c>
      <c r="H44" s="131"/>
    </row>
    <row r="45" spans="1:8" x14ac:dyDescent="0.25">
      <c r="A45" s="133"/>
      <c r="B45" s="204" t="str">
        <v>Steel, Structural sections (hot - rolled), Steel, equal angle (EA), structural section, unpainted, 125 x 125 x 8 mm to 200 x 200 x 26 mm,  (Liberty Primary Steel, Australia), Australia</v>
      </c>
      <c r="C45" s="132" t="str">
        <v>tonne</v>
      </c>
      <c r="D45" s="198">
        <v>3320</v>
      </c>
      <c r="E45" s="198">
        <v>3.32</v>
      </c>
      <c r="F45" s="198">
        <v>0</v>
      </c>
      <c r="G45" s="215">
        <v>0</v>
      </c>
      <c r="H45" s="131"/>
    </row>
    <row r="46" spans="1:8" x14ac:dyDescent="0.25">
      <c r="A46" s="133"/>
      <c r="B46" s="204" t="str">
        <v>Steel, Structural sections (hot - rolled), Steel, parallel flange channel (PFC), structural section, unpainted, 180 x 75 mm to 380 x 100 mm,  (Liberty Primary Steel, Australia), Australia</v>
      </c>
      <c r="C46" s="132" t="str">
        <v>tonne</v>
      </c>
      <c r="D46" s="198">
        <v>3320</v>
      </c>
      <c r="E46" s="198">
        <v>3.32</v>
      </c>
      <c r="F46" s="198">
        <v>0</v>
      </c>
      <c r="G46" s="215">
        <v>0</v>
      </c>
      <c r="H46" s="131"/>
    </row>
    <row r="47" spans="1:8" x14ac:dyDescent="0.25">
      <c r="A47" s="133"/>
      <c r="B47" s="204" t="str">
        <v>Steel, Structural sections (hot - rolled), Steel, universal beam (UB),  structural section, unpainted, 150 x 75 mm to 612 x 229 mm,  (Liberty Primary Steel, Australia), Australia</v>
      </c>
      <c r="C47" s="132" t="str">
        <v>tonne</v>
      </c>
      <c r="D47" s="198">
        <v>3320</v>
      </c>
      <c r="E47" s="198">
        <v>3.32</v>
      </c>
      <c r="F47" s="198">
        <v>0</v>
      </c>
      <c r="G47" s="215">
        <v>0</v>
      </c>
      <c r="H47" s="131"/>
    </row>
    <row r="48" spans="1:8" x14ac:dyDescent="0.25">
      <c r="A48" s="133"/>
      <c r="B48" s="204" t="str">
        <v>Steel, Structural sections (hot - rolled), Steel, universal columns (UC),  structural section, unpainted, 97 x 99 mm to 327 x 311 mm,  (Liberty Primary Steel, Australia), Australia</v>
      </c>
      <c r="C48" s="132" t="str">
        <v>tonne</v>
      </c>
      <c r="D48" s="198">
        <v>3320</v>
      </c>
      <c r="E48" s="198">
        <v>3.32</v>
      </c>
      <c r="F48" s="198">
        <v>0</v>
      </c>
      <c r="G48" s="215">
        <v>0</v>
      </c>
      <c r="H48" s="131"/>
    </row>
    <row r="49" spans="1:8" x14ac:dyDescent="0.25">
      <c r="A49" s="133"/>
      <c r="B49" s="204" t="str">
        <v>Steel, Structural steel (hot - rolled), Steel structural hollow sections (Tata) (India, Global)</v>
      </c>
      <c r="C49" s="132" t="str">
        <v>tonne</v>
      </c>
      <c r="D49" s="198">
        <v>3000.5520000000001</v>
      </c>
      <c r="E49" s="198">
        <v>3.0005519999999999</v>
      </c>
      <c r="F49" s="198">
        <v>0</v>
      </c>
      <c r="G49" s="215">
        <v>0</v>
      </c>
      <c r="H49" s="131"/>
    </row>
    <row r="50" spans="1:8" x14ac:dyDescent="0.25">
      <c r="A50" s="133"/>
      <c r="B50" s="204" t="str">
        <v>Steel, Structural steel (hot - rolled), Average structural steel product (Jindal) (India, Global)</v>
      </c>
      <c r="C50" s="132" t="str">
        <v>tonne</v>
      </c>
      <c r="D50" s="198">
        <v>3670.5079999999998</v>
      </c>
      <c r="E50" s="198">
        <v>3.6705079999999999</v>
      </c>
      <c r="F50" s="198">
        <v>0</v>
      </c>
      <c r="G50" s="215">
        <v>0</v>
      </c>
      <c r="H50" s="131"/>
    </row>
    <row r="51" spans="1:8" x14ac:dyDescent="0.25">
      <c r="A51" s="133"/>
      <c r="B51" s="204" t="str">
        <v>Structural steel (hot rolled), , Hot Rolled Plate (GRP) (Indonesia, Australia, New Zealand)</v>
      </c>
      <c r="C51" s="132" t="str">
        <v>tonne</v>
      </c>
      <c r="D51" s="198">
        <v>2026.8799999999999</v>
      </c>
      <c r="E51" s="198">
        <v>2.0268800000000002</v>
      </c>
      <c r="F51" s="198">
        <v>0</v>
      </c>
      <c r="G51" s="215">
        <v>0</v>
      </c>
      <c r="H51" s="131"/>
    </row>
    <row r="52" spans="1:8" x14ac:dyDescent="0.25">
      <c r="A52" s="133"/>
      <c r="B52" s="204" t="str">
        <v>Structural steel (hot rolled), , Hot Rolled Sheet Coil Plate (GRP) (Indonesia, Australia, New Zealand)</v>
      </c>
      <c r="C52" s="132" t="str">
        <v>tonne</v>
      </c>
      <c r="D52" s="198">
        <v>1736.01</v>
      </c>
      <c r="E52" s="198">
        <v>1.7360100000000001</v>
      </c>
      <c r="F52" s="198">
        <v>0</v>
      </c>
      <c r="G52" s="215">
        <v>0</v>
      </c>
      <c r="H52" s="131"/>
    </row>
    <row r="53" spans="1:8" x14ac:dyDescent="0.25">
      <c r="A53" s="133"/>
      <c r="B53" s="204" t="str">
        <v>Structural steel (hot rolled), , Structural Steel Welded I-Section (GRP) (Indonesia, Australia, New Zealand)</v>
      </c>
      <c r="C53" s="132" t="str">
        <v>tonne</v>
      </c>
      <c r="D53" s="198">
        <v>2298.0099999999998</v>
      </c>
      <c r="E53" s="198">
        <v>2.2980100000000001</v>
      </c>
      <c r="F53" s="198">
        <v>0</v>
      </c>
      <c r="G53" s="215">
        <v>0</v>
      </c>
      <c r="H53" s="131"/>
    </row>
    <row r="54" spans="1:8" x14ac:dyDescent="0.25">
      <c r="A54" s="133"/>
      <c r="B54" s="204" t="str">
        <v>Structural steel (hot rolled), , Hot Rolled Steel Coil (Hyundai Steel Company) (South Korea, Global)</v>
      </c>
      <c r="C54" s="132" t="str">
        <v>tonne</v>
      </c>
      <c r="D54" s="198">
        <v>1770</v>
      </c>
      <c r="E54" s="198">
        <v>1.77</v>
      </c>
      <c r="F54" s="198">
        <v>0</v>
      </c>
      <c r="G54" s="215">
        <v>0</v>
      </c>
      <c r="H54" s="131"/>
    </row>
    <row r="55" spans="1:8" x14ac:dyDescent="0.25">
      <c r="A55" s="133"/>
      <c r="B55" s="204" t="str">
        <v>Structural steel (hot rolled), , Hot Rolled Steel Plate (Hyundai Steel Company) (South Korea, Global)</v>
      </c>
      <c r="C55" s="132" t="str">
        <v>tonne</v>
      </c>
      <c r="D55" s="198">
        <v>1940</v>
      </c>
      <c r="E55" s="198">
        <v>1.94</v>
      </c>
      <c r="F55" s="198">
        <v>0</v>
      </c>
      <c r="G55" s="215">
        <v>0</v>
      </c>
      <c r="H55" s="131"/>
    </row>
    <row r="56" spans="1:8" x14ac:dyDescent="0.25">
      <c r="A56" s="133"/>
      <c r="B56" s="204" t="str">
        <v>Structural steel (hot rolled), , Hot rolled structural steel plate (Tung Ho Steel Enterprise Group) (North America, Europe, Global)</v>
      </c>
      <c r="C56" s="132" t="str">
        <v>tonne</v>
      </c>
      <c r="D56" s="198">
        <v>933</v>
      </c>
      <c r="E56" s="198">
        <v>0.93300000000000005</v>
      </c>
      <c r="F56" s="198">
        <v>0</v>
      </c>
      <c r="G56" s="215">
        <v>0</v>
      </c>
      <c r="H56" s="131"/>
    </row>
    <row r="57" spans="1:8" x14ac:dyDescent="0.25">
      <c r="A57" s="133"/>
      <c r="B57" s="204" t="str">
        <v>Structural steel (hot rolled), , Hot rolled structural steel sections (Tung Ho Steel Enterprise Group) (Global)</v>
      </c>
      <c r="C57" s="132" t="str">
        <v>tonne</v>
      </c>
      <c r="D57" s="198">
        <v>619.51</v>
      </c>
      <c r="E57" s="198">
        <v>0.61951000000000001</v>
      </c>
      <c r="F57" s="198">
        <v>0</v>
      </c>
      <c r="G57" s="215">
        <v>0</v>
      </c>
      <c r="H57" s="131"/>
    </row>
    <row r="58" spans="1:8" x14ac:dyDescent="0.25">
      <c r="A58" s="133"/>
      <c r="B58" s="204" t="str">
        <v>Structural steel (hot rolled), , Hot rolled structural steel sections H beams channels (Tung Ho Steel Enterprise Group) (North America, Europe, Global)</v>
      </c>
      <c r="C58" s="132" t="str">
        <v>tonne</v>
      </c>
      <c r="D58" s="198">
        <v>934</v>
      </c>
      <c r="E58" s="198">
        <v>0.93400000000000005</v>
      </c>
      <c r="F58" s="198">
        <v>0</v>
      </c>
      <c r="G58" s="215">
        <v>0</v>
      </c>
      <c r="H58" s="131"/>
    </row>
    <row r="59" spans="1:8" x14ac:dyDescent="0.25">
      <c r="A59" s="133"/>
      <c r="B59" s="204" t="str">
        <v>Structural steel (hot rolled), , Non-alloy structural steel (Emirates Steel) (Global)</v>
      </c>
      <c r="C59" s="132" t="str">
        <v>tonne</v>
      </c>
      <c r="D59" s="198">
        <v>2490</v>
      </c>
      <c r="E59" s="198">
        <v>2.4900000000000002</v>
      </c>
      <c r="F59" s="198">
        <v>0</v>
      </c>
      <c r="G59" s="215">
        <v>0</v>
      </c>
      <c r="H59" s="131"/>
    </row>
    <row r="60" spans="1:8" x14ac:dyDescent="0.25">
      <c r="A60" s="133"/>
      <c r="B60" s="204" t="str">
        <v>Structural steel (hot rolled), , Hot rolled structural steel section (H- Beams, Angles, Channels) (POSCO YAMATO VINA STEEL JOINT STOCK COMPANY) (Global)</v>
      </c>
      <c r="C60" s="132" t="str">
        <v>tonne</v>
      </c>
      <c r="D60" s="198">
        <v>1010</v>
      </c>
      <c r="E60" s="198">
        <v>1.01</v>
      </c>
      <c r="F60" s="198">
        <v>0</v>
      </c>
      <c r="G60" s="215">
        <v>0</v>
      </c>
      <c r="H60" s="131"/>
    </row>
    <row r="61" spans="1:8" x14ac:dyDescent="0.25">
      <c r="A61" s="133"/>
      <c r="B61" s="204" t="str">
        <v>Structural steel (hot rolled), , Structural section steel (Celsa Group) (Global)</v>
      </c>
      <c r="C61" s="132" t="str">
        <v>tonne</v>
      </c>
      <c r="D61" s="198">
        <v>558</v>
      </c>
      <c r="E61" s="198">
        <v>0.55800000000000005</v>
      </c>
      <c r="F61" s="198">
        <v>0</v>
      </c>
      <c r="G61" s="215">
        <v>0</v>
      </c>
      <c r="H61" s="131"/>
    </row>
    <row r="62" spans="1:8" x14ac:dyDescent="0.25">
      <c r="A62" s="133"/>
      <c r="B62" s="204" t="str">
        <v>Structural steel (hot rolled), , Steel Plate (POSCO Co., LTD) (South Korea, Global)</v>
      </c>
      <c r="C62" s="132" t="str">
        <v>tonne</v>
      </c>
      <c r="D62" s="198">
        <v>2324.143</v>
      </c>
      <c r="E62" s="198">
        <v>2.3241429999999998</v>
      </c>
      <c r="F62" s="198">
        <v>0</v>
      </c>
      <c r="G62" s="215">
        <v>0</v>
      </c>
      <c r="H62" s="131"/>
    </row>
    <row r="63" spans="1:8" x14ac:dyDescent="0.25">
      <c r="A63" s="133"/>
      <c r="B63" s="204" t="str">
        <v>Structural steel (hot rolled), , Angles (Osaka Steel Co LTD) (Japan, Global)</v>
      </c>
      <c r="C63" s="132" t="str">
        <v>tonne</v>
      </c>
      <c r="D63" s="198">
        <v>760</v>
      </c>
      <c r="E63" s="198">
        <v>0.76</v>
      </c>
      <c r="F63" s="198">
        <v>0</v>
      </c>
      <c r="G63" s="215">
        <v>0</v>
      </c>
      <c r="H63" s="131"/>
    </row>
    <row r="64" spans="1:8" x14ac:dyDescent="0.25">
      <c r="A64" s="133"/>
      <c r="B64" s="204" t="str">
        <v>Structural steel (hot rolled), , Multiple steel products: 
- Deformed bar
- Wire rod
- Deformed bar in coil (Tung Ho Steel Vietnam Corporation) (Global)</v>
      </c>
      <c r="C64" s="132" t="str">
        <v>tonne</v>
      </c>
      <c r="D64" s="198">
        <v>1010.484</v>
      </c>
      <c r="E64" s="198">
        <v>1.0104839999999999</v>
      </c>
      <c r="F64" s="198">
        <v>0</v>
      </c>
      <c r="G64" s="215">
        <v>0</v>
      </c>
      <c r="H64" s="131"/>
    </row>
    <row r="65" spans="1:8" x14ac:dyDescent="0.25">
      <c r="A65" s="133"/>
      <c r="B65" s="204" t="str">
        <v>Structural steel (hot rolled), , HOT ROLLED STEEL REINFORCING STEEL IN BARS AND COILS - Jumbo Coils (FERRIERE NORD S.p.A.) (Global)</v>
      </c>
      <c r="C65" s="132" t="str">
        <v>tonne</v>
      </c>
      <c r="D65" s="198">
        <v>774.96100000000001</v>
      </c>
      <c r="E65" s="198">
        <v>0.77496100000000001</v>
      </c>
      <c r="F65" s="198">
        <v>0</v>
      </c>
      <c r="G65" s="215">
        <v>0</v>
      </c>
      <c r="H65" s="131"/>
    </row>
    <row r="66" spans="1:8" x14ac:dyDescent="0.25">
      <c r="A66" s="133"/>
      <c r="B66" s="217" t="str">
        <v>Structural steel (hot rolled), , Welded steel pipe &amp; hollow section (Maruichi Sun Steel Joint Stock Company) (Global)</v>
      </c>
      <c r="C66" s="218" t="str">
        <v>tonne</v>
      </c>
      <c r="D66" s="219">
        <v>2622.71</v>
      </c>
      <c r="E66" s="219">
        <v>2.6227100000000001</v>
      </c>
      <c r="F66" s="219">
        <v>0</v>
      </c>
      <c r="G66" s="220">
        <v>0</v>
      </c>
      <c r="H66" s="131"/>
    </row>
    <row r="67" spans="1:8" x14ac:dyDescent="0.25">
      <c r="B67" s="130"/>
      <c r="C67" s="130"/>
      <c r="D67" s="207"/>
      <c r="E67" s="207"/>
      <c r="F67" s="207"/>
      <c r="G67" s="207"/>
    </row>
  </sheetData>
  <dataValidations disablePrompts="1" count="1">
    <dataValidation type="list" allowBlank="1" showInputMessage="1" showErrorMessage="1" sqref="B6:B9" xr:uid="{59ED074F-F43B-4DC2-9368-1BF0573079D9}">
      <formula1>"Tier 1,Tier 2,Tier 3,Tier 4"</formula1>
    </dataValidation>
  </dataValidations>
  <hyperlinks>
    <hyperlink ref="P4" r:id="rId1" xr:uid="{87BEEE87-3148-43A6-8F20-E7390627EFAB}"/>
    <hyperlink ref="P3" r:id="rId2" display="https://www.gfgalliance.com/whyalla-transformation/about-the-steelworks/" xr:uid="{96E00E60-7DCE-4BBB-87B5-2EB1C8EA13CC}"/>
  </hyperlinks>
  <pageMargins left="0.7" right="0.7" top="0.75" bottom="0.75" header="0.3" footer="0.3"/>
  <pageSetup paperSize="9" orientation="portrait" horizontalDpi="300" verticalDpi="3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F14FC-5373-49ED-B2DD-4102162C45A3}">
  <sheetPr codeName="Sheet61">
    <tabColor rgb="FF00CCFF"/>
  </sheetPr>
  <dimension ref="A1:H27"/>
  <sheetViews>
    <sheetView workbookViewId="0"/>
  </sheetViews>
  <sheetFormatPr defaultColWidth="9.1796875" defaultRowHeight="12.5" x14ac:dyDescent="0.25"/>
  <cols>
    <col min="1" max="1" width="26.26953125" style="132" customWidth="1"/>
    <col min="2" max="2" width="109.179687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Solid AAC</v>
      </c>
    </row>
    <row r="2" spans="1:8" ht="13" x14ac:dyDescent="0.25">
      <c r="A2" s="202"/>
    </row>
    <row r="3" spans="1:8" ht="13" x14ac:dyDescent="0.3">
      <c r="A3" s="227" t="s">
        <v>5626</v>
      </c>
      <c r="B3" s="132" t="s">
        <v>5627</v>
      </c>
    </row>
    <row r="4" spans="1:8" ht="13" x14ac:dyDescent="0.3">
      <c r="A4" s="227"/>
    </row>
    <row r="5" spans="1:8" ht="73.5" customHeight="1" x14ac:dyDescent="0.3">
      <c r="A5" s="227" t="s">
        <v>5628</v>
      </c>
      <c r="B5" s="200" t="s">
        <v>5629</v>
      </c>
    </row>
    <row r="6" spans="1:8" ht="13" x14ac:dyDescent="0.3">
      <c r="A6" s="227" t="s">
        <v>5630</v>
      </c>
      <c r="B6" s="201" t="s">
        <v>74</v>
      </c>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19" t="s">
        <v>4804</v>
      </c>
      <c r="C16" s="311" t="s">
        <v>24</v>
      </c>
      <c r="D16" s="208" t="s">
        <v>146</v>
      </c>
      <c r="E16" s="209" t="s">
        <v>153</v>
      </c>
      <c r="F16" s="208" t="s">
        <v>147</v>
      </c>
      <c r="G16" s="208" t="s">
        <v>154</v>
      </c>
      <c r="H16" s="131"/>
    </row>
    <row r="17" spans="1:8" ht="13" x14ac:dyDescent="0.3">
      <c r="A17" s="133"/>
      <c r="B17" s="317"/>
      <c r="C17" s="206" t="s">
        <v>5636</v>
      </c>
      <c r="D17" s="207" t="str" cm="1">
        <f t="array" ref="D17">IF(AND(_xlfn.ANCHORARRAY(C23)=C23),C23,"Mixed")</f>
        <v>m³</v>
      </c>
      <c r="E17" s="207" t="s">
        <v>2774</v>
      </c>
      <c r="F17" s="207" t="str" cm="1">
        <f t="array" ref="F17">IF(AND(_xlfn.ANCHORARRAY(C23)=C23),C23,"Mixed")</f>
        <v>m³</v>
      </c>
      <c r="G17" s="318" t="s">
        <v>2774</v>
      </c>
      <c r="H17" s="131"/>
    </row>
    <row r="18" spans="1:8" s="200" customFormat="1" ht="13" x14ac:dyDescent="0.3">
      <c r="A18" s="221"/>
      <c r="B18" s="214"/>
      <c r="C18" s="202" t="s">
        <v>5637</v>
      </c>
      <c r="D18" s="198">
        <f t="shared" ref="D18:G18" si="0">MAX(_xlfn.ANCHORARRAY(D23))</f>
        <v>232</v>
      </c>
      <c r="E18" s="198">
        <f t="shared" si="0"/>
        <v>0.60333333333333339</v>
      </c>
      <c r="F18" s="198">
        <f t="shared" si="0"/>
        <v>0</v>
      </c>
      <c r="G18" s="215">
        <f t="shared" si="0"/>
        <v>0</v>
      </c>
      <c r="H18" s="222"/>
    </row>
    <row r="19" spans="1:8" ht="13" x14ac:dyDescent="0.25">
      <c r="A19" s="133"/>
      <c r="B19" s="204"/>
      <c r="C19" s="202" t="s">
        <v>5638</v>
      </c>
      <c r="D19" s="198">
        <f>MIN(_xlfn.ANCHORARRAY(D23))</f>
        <v>150.24699999999999</v>
      </c>
      <c r="E19" s="198">
        <f t="shared" ref="E19:G19" si="1">MIN(_xlfn.ANCHORARRAY(E23))</f>
        <v>0.33388222222222219</v>
      </c>
      <c r="F19" s="198">
        <f t="shared" si="1"/>
        <v>0</v>
      </c>
      <c r="G19" s="215">
        <f t="shared" si="1"/>
        <v>0</v>
      </c>
      <c r="H19" s="131"/>
    </row>
    <row r="20" spans="1:8" ht="13" x14ac:dyDescent="0.25">
      <c r="A20" s="133"/>
      <c r="B20" s="204"/>
      <c r="C20" s="202" t="s">
        <v>5639</v>
      </c>
      <c r="D20" s="198">
        <f>AVERAGE(_xlfn.ANCHORARRAY(D23))</f>
        <v>190.06174999999999</v>
      </c>
      <c r="E20" s="198">
        <f t="shared" ref="E20:G20" si="2">AVERAGE(_xlfn.ANCHORARRAY(E23))</f>
        <v>0.43690805555555556</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26">_xlfn.UNIQUE(_xlfn._xlws.FILTER('EPD List'!D:D,ISNUMBER(SEARCH(B16,'EPD List'!C:C)),0))</f>
        <v>AAC, , Autoclaved Aerated Concrete (Ytong) (Turkey)</v>
      </c>
      <c r="C23" s="132" t="str" cm="1">
        <f t="array" ref="C23:C26">_xlfn.IFNA(INDEX('EPD List'!$A:$AB,MATCH(_xlfn.ANCHORARRAY(B23),'EPD List'!$D:$D,0),MATCH(C$16,'EPD List'!$7:$7,0)),"")</f>
        <v>m³</v>
      </c>
      <c r="D23" s="198" cm="1">
        <f t="array" ref="D23:D26">_xlfn.IFNA(VALUE((INDEX('EPD List'!$A:$AD,MATCH(_xlfn.ANCHORARRAY($B23),'EPD List'!$D:$D,0),MATCH(D$16,'EPD List'!$7:$7,0)))),"")</f>
        <v>150.24699999999999</v>
      </c>
      <c r="E23" s="198" cm="1">
        <f t="array" ref="E23:E26">_xlfn.IFNA(VALUE((INDEX('EPD List'!$A:$AD,MATCH(_xlfn.ANCHORARRAY($B23),'EPD List'!$D:$D,0),MATCH(E$16,'EPD List'!$7:$7,0)))),"")</f>
        <v>0.33388222222222219</v>
      </c>
      <c r="F23" s="198" cm="1">
        <f t="array" ref="F23:F26">_xlfn.IFNA(VALUE((INDEX('EPD List'!$A:$AD,MATCH(_xlfn.ANCHORARRAY($B23),'EPD List'!$D:$D,0),MATCH(F$16,'EPD List'!$7:$7,0)))),"")</f>
        <v>0</v>
      </c>
      <c r="G23" s="215" cm="1">
        <f t="array" ref="G23:G26">_xlfn.IFNA(VALUE((INDEX('EPD List'!$A:$AD,MATCH(_xlfn.ANCHORARRAY($B23),'EPD List'!$D:$D,0),MATCH(G$16,'EPD List'!$7:$7,0)))),"")</f>
        <v>0</v>
      </c>
      <c r="H23" s="131"/>
    </row>
    <row r="24" spans="1:8" x14ac:dyDescent="0.25">
      <c r="A24" s="133"/>
      <c r="B24" s="204" t="str">
        <v>AAC, , Autoclaved Aerated Concrete blocks, Active (Gasbeton) (Italy)</v>
      </c>
      <c r="C24" s="132" t="str">
        <v>m³</v>
      </c>
      <c r="D24" s="198">
        <v>181</v>
      </c>
      <c r="E24" s="198">
        <v>0.60333333333333339</v>
      </c>
      <c r="F24" s="198">
        <v>0</v>
      </c>
      <c r="G24" s="215">
        <v>0</v>
      </c>
      <c r="H24" s="131"/>
    </row>
    <row r="25" spans="1:8" x14ac:dyDescent="0.25">
      <c r="A25" s="133"/>
      <c r="B25" s="204" t="str">
        <v>AAC, , Autoclaved Aerated Concrete blocks, Evolution (Gasbeton) (Italy)</v>
      </c>
      <c r="C25" s="132" t="str">
        <v>m³</v>
      </c>
      <c r="D25" s="198">
        <v>197</v>
      </c>
      <c r="E25" s="198">
        <v>0.41041666666666665</v>
      </c>
      <c r="F25" s="198">
        <v>0</v>
      </c>
      <c r="G25" s="215">
        <v>0</v>
      </c>
      <c r="H25" s="131"/>
    </row>
    <row r="26" spans="1:8" x14ac:dyDescent="0.25">
      <c r="A26" s="133"/>
      <c r="B26" s="217" t="str">
        <v>AAC, , Autoclaved Aerated Concrete blocks, Sysmic Idro (Gasbeton) (Italy)</v>
      </c>
      <c r="C26" s="218" t="str">
        <v>m³</v>
      </c>
      <c r="D26" s="219">
        <v>232</v>
      </c>
      <c r="E26" s="219">
        <v>0.4</v>
      </c>
      <c r="F26" s="219">
        <v>0</v>
      </c>
      <c r="G26" s="220">
        <v>0</v>
      </c>
      <c r="H26" s="131"/>
    </row>
    <row r="27" spans="1:8" x14ac:dyDescent="0.25">
      <c r="B27" s="130"/>
      <c r="C27" s="130"/>
      <c r="D27" s="207"/>
      <c r="E27" s="207"/>
      <c r="F27" s="207"/>
      <c r="G27" s="207"/>
    </row>
  </sheetData>
  <dataValidations count="1">
    <dataValidation type="list" allowBlank="1" showInputMessage="1" showErrorMessage="1" sqref="B6:B9" xr:uid="{6C76527B-A088-4E59-9D40-AC531B826652}">
      <formula1>"Tier 1,Tier 2,Tier 3,Tier 4"</formula1>
    </dataValidation>
  </dataValidations>
  <pageMargins left="0.7" right="0.7" top="0.75" bottom="0.75" header="0.3" footer="0.3"/>
  <pageSetup paperSize="9"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259C-28DD-44DC-B747-0CACAFB07D74}">
  <sheetPr codeName="Sheet23">
    <tabColor rgb="FF00CCFF"/>
  </sheetPr>
  <dimension ref="A1:Y516"/>
  <sheetViews>
    <sheetView workbookViewId="0"/>
  </sheetViews>
  <sheetFormatPr defaultColWidth="9.1796875" defaultRowHeight="12.5" x14ac:dyDescent="0.25"/>
  <cols>
    <col min="1" max="1" width="26.26953125" style="132" customWidth="1"/>
    <col min="2" max="2" width="73.54296875" style="143" customWidth="1"/>
    <col min="3" max="3" width="32" style="132" bestFit="1" customWidth="1"/>
    <col min="4" max="4" width="27.453125" style="132" customWidth="1"/>
    <col min="5" max="5" width="35.54296875" style="132" customWidth="1"/>
    <col min="6" max="6" width="26.81640625" style="132" customWidth="1"/>
    <col min="7" max="7" width="26.1796875" style="132" customWidth="1"/>
    <col min="8" max="8" width="13.7265625" style="132" bestFit="1" customWidth="1"/>
    <col min="9" max="9" width="9.453125" style="132" customWidth="1"/>
    <col min="10" max="10" width="27.7265625" style="132" bestFit="1" customWidth="1"/>
    <col min="11" max="11" width="21.453125" style="132" bestFit="1" customWidth="1"/>
    <col min="12" max="12" width="22.1796875" style="132" bestFit="1" customWidth="1"/>
    <col min="13" max="13" width="27" style="132" bestFit="1" customWidth="1"/>
    <col min="14" max="15" width="21.453125" style="132" bestFit="1" customWidth="1"/>
    <col min="16" max="16" width="27.1796875" style="132" bestFit="1" customWidth="1"/>
    <col min="17" max="18" width="21.453125" style="132" bestFit="1" customWidth="1"/>
    <col min="19" max="20" width="9.1796875" style="132"/>
    <col min="21" max="22" width="21" style="132" customWidth="1"/>
    <col min="23" max="16384" width="9.1796875" style="132"/>
  </cols>
  <sheetData>
    <row r="1" spans="1:18" ht="13" x14ac:dyDescent="0.25">
      <c r="A1" s="202" t="str">
        <f>B16</f>
        <v>Structural (galvanised) (hot rolled)</v>
      </c>
      <c r="F1" s="198"/>
      <c r="G1" s="198"/>
      <c r="H1" s="198"/>
      <c r="I1" s="198"/>
      <c r="L1" s="202"/>
    </row>
    <row r="2" spans="1:18" ht="13" x14ac:dyDescent="0.25">
      <c r="A2" s="202"/>
      <c r="F2" s="198"/>
      <c r="G2" s="198"/>
      <c r="H2" s="198"/>
      <c r="I2" s="198"/>
    </row>
    <row r="3" spans="1:18" ht="13" x14ac:dyDescent="0.3">
      <c r="A3" s="227" t="s">
        <v>5626</v>
      </c>
      <c r="B3" s="132" t="s">
        <v>5932</v>
      </c>
      <c r="F3" s="198"/>
      <c r="G3" s="198"/>
      <c r="H3" s="198"/>
      <c r="I3" s="198"/>
      <c r="P3" s="242"/>
      <c r="R3" s="243"/>
    </row>
    <row r="4" spans="1:18" ht="13" x14ac:dyDescent="0.25">
      <c r="A4" s="202"/>
      <c r="F4" s="198"/>
      <c r="G4" s="198"/>
      <c r="H4" s="198"/>
      <c r="I4" s="198"/>
      <c r="P4" s="242"/>
      <c r="R4" s="243"/>
    </row>
    <row r="5" spans="1:18" ht="73.5" customHeight="1" x14ac:dyDescent="0.3">
      <c r="A5" s="227" t="s">
        <v>5628</v>
      </c>
      <c r="B5" s="200" t="s">
        <v>5933</v>
      </c>
      <c r="F5" s="198"/>
      <c r="G5" s="198"/>
      <c r="H5" s="198"/>
      <c r="I5" s="198"/>
      <c r="P5" s="242"/>
    </row>
    <row r="6" spans="1:18" ht="13" x14ac:dyDescent="0.3">
      <c r="A6" s="227" t="s">
        <v>5630</v>
      </c>
      <c r="B6" s="247" t="s">
        <v>71</v>
      </c>
      <c r="F6" s="198"/>
      <c r="G6" s="198"/>
      <c r="H6" s="198"/>
      <c r="I6" s="198"/>
      <c r="P6" s="242"/>
    </row>
    <row r="7" spans="1:18" ht="13" x14ac:dyDescent="0.3">
      <c r="A7" s="227" t="s">
        <v>5631</v>
      </c>
      <c r="B7" s="247" t="s">
        <v>71</v>
      </c>
      <c r="F7" s="198"/>
      <c r="G7" s="198"/>
      <c r="H7" s="198"/>
      <c r="I7" s="198"/>
      <c r="P7" s="242"/>
    </row>
    <row r="8" spans="1:18" ht="13" x14ac:dyDescent="0.3">
      <c r="A8" s="227" t="s">
        <v>5632</v>
      </c>
      <c r="B8" s="247" t="s">
        <v>71</v>
      </c>
      <c r="F8" s="198"/>
      <c r="G8" s="198"/>
      <c r="H8" s="198"/>
      <c r="I8" s="198"/>
      <c r="P8" s="242"/>
    </row>
    <row r="9" spans="1:18" ht="13" x14ac:dyDescent="0.3">
      <c r="A9" s="227" t="s">
        <v>5633</v>
      </c>
      <c r="B9" s="248" t="s">
        <v>71</v>
      </c>
      <c r="F9" s="198"/>
      <c r="G9" s="198"/>
      <c r="H9" s="198"/>
      <c r="I9" s="198"/>
      <c r="P9" s="242"/>
    </row>
    <row r="10" spans="1:18" ht="13" x14ac:dyDescent="0.3">
      <c r="A10" s="227"/>
      <c r="B10" s="248"/>
      <c r="F10" s="198"/>
      <c r="G10" s="198"/>
      <c r="H10" s="198"/>
      <c r="I10" s="198"/>
      <c r="P10" s="242"/>
    </row>
    <row r="11" spans="1:18" ht="13" x14ac:dyDescent="0.3">
      <c r="A11" s="227" t="s">
        <v>5634</v>
      </c>
      <c r="B11" s="200"/>
      <c r="F11" s="198"/>
      <c r="G11" s="198"/>
      <c r="H11" s="198"/>
      <c r="I11" s="198"/>
      <c r="P11" s="242"/>
    </row>
    <row r="12" spans="1:18" ht="13" x14ac:dyDescent="0.3">
      <c r="A12" s="227"/>
      <c r="B12" s="200"/>
      <c r="F12" s="198"/>
      <c r="G12" s="198"/>
      <c r="H12" s="198"/>
      <c r="I12" s="198"/>
      <c r="P12" s="242"/>
    </row>
    <row r="13" spans="1:18" ht="13" x14ac:dyDescent="0.3">
      <c r="A13" s="227"/>
      <c r="B13" s="200"/>
      <c r="F13" s="198"/>
      <c r="G13" s="198"/>
      <c r="H13" s="198"/>
      <c r="I13" s="198"/>
      <c r="P13" s="242"/>
    </row>
    <row r="14" spans="1:18" ht="13" x14ac:dyDescent="0.3">
      <c r="A14" s="227"/>
      <c r="B14" s="200"/>
      <c r="F14" s="198"/>
      <c r="G14" s="198"/>
      <c r="H14" s="198"/>
      <c r="I14" s="198"/>
      <c r="P14" s="242"/>
    </row>
    <row r="15" spans="1:18" ht="13" x14ac:dyDescent="0.3">
      <c r="A15" s="227"/>
      <c r="B15" s="342"/>
      <c r="C15" s="135"/>
      <c r="D15" s="299" t="s">
        <v>77</v>
      </c>
      <c r="E15" s="300"/>
      <c r="F15" s="299" t="s">
        <v>5424</v>
      </c>
      <c r="G15" s="301"/>
      <c r="H15" s="198"/>
      <c r="I15" s="198"/>
      <c r="P15" s="242"/>
    </row>
    <row r="16" spans="1:18" ht="26" x14ac:dyDescent="0.3">
      <c r="A16" s="340"/>
      <c r="B16" s="320" t="s">
        <v>5934</v>
      </c>
      <c r="C16" s="316" t="s">
        <v>24</v>
      </c>
      <c r="D16" s="314" t="s">
        <v>146</v>
      </c>
      <c r="E16" s="315" t="s">
        <v>153</v>
      </c>
      <c r="F16" s="314" t="s">
        <v>147</v>
      </c>
      <c r="G16" s="314" t="s">
        <v>154</v>
      </c>
      <c r="H16" s="140"/>
      <c r="I16" s="198"/>
      <c r="P16" s="242"/>
    </row>
    <row r="17" spans="1:25" ht="13" x14ac:dyDescent="0.3">
      <c r="A17" s="340"/>
      <c r="B17" s="334"/>
      <c r="C17" s="212" t="s">
        <v>5636</v>
      </c>
      <c r="D17" s="196" t="s">
        <v>2848</v>
      </c>
      <c r="E17" s="196" t="s">
        <v>2774</v>
      </c>
      <c r="F17" s="196" t="s">
        <v>2848</v>
      </c>
      <c r="G17" s="213" t="s">
        <v>2774</v>
      </c>
      <c r="H17" s="140"/>
      <c r="I17" s="198"/>
      <c r="P17" s="242"/>
    </row>
    <row r="18" spans="1:25" ht="13" x14ac:dyDescent="0.3">
      <c r="A18" s="340"/>
      <c r="B18" s="335"/>
      <c r="C18" s="245" t="s">
        <v>5637</v>
      </c>
      <c r="D18" s="230">
        <f ca="1">MAX($L$34:$L$516)*1000</f>
        <v>4104.5668959775567</v>
      </c>
      <c r="E18" s="230">
        <f ca="1">MAX($L$34:$L$516)</f>
        <v>4.1045668959775563</v>
      </c>
      <c r="F18" s="230">
        <v>0</v>
      </c>
      <c r="G18" s="302">
        <v>0</v>
      </c>
      <c r="H18" s="140"/>
      <c r="I18" s="198"/>
      <c r="P18" s="242"/>
    </row>
    <row r="19" spans="1:25" ht="13" x14ac:dyDescent="0.3">
      <c r="A19" s="340"/>
      <c r="B19" s="335"/>
      <c r="C19" s="202" t="s">
        <v>5638</v>
      </c>
      <c r="D19" s="198">
        <f ca="1">MIN($R$34:$R$516)*1000</f>
        <v>580.79142122444239</v>
      </c>
      <c r="E19" s="198">
        <f ca="1">MIN($R$34:$R$516)</f>
        <v>0.58079142122444238</v>
      </c>
      <c r="F19" s="198">
        <v>0</v>
      </c>
      <c r="G19" s="215">
        <v>0</v>
      </c>
      <c r="H19" s="140"/>
      <c r="I19" s="198"/>
      <c r="P19" s="242"/>
    </row>
    <row r="20" spans="1:25" ht="13" x14ac:dyDescent="0.3">
      <c r="A20" s="340"/>
      <c r="B20" s="336"/>
      <c r="C20" s="337" t="s">
        <v>5639</v>
      </c>
      <c r="D20" s="338">
        <f ca="1">AVERAGE(O34:O516)*1000</f>
        <v>2399.3937650847065</v>
      </c>
      <c r="E20" s="338">
        <f ca="1">AVERAGE(O34:O516)</f>
        <v>2.3993937650847066</v>
      </c>
      <c r="F20" s="338">
        <v>0</v>
      </c>
      <c r="G20" s="339">
        <v>0</v>
      </c>
      <c r="H20" s="140"/>
      <c r="I20" s="198"/>
      <c r="P20" s="242"/>
    </row>
    <row r="21" spans="1:25" ht="13" x14ac:dyDescent="0.3">
      <c r="A21" s="227"/>
      <c r="B21" s="341"/>
      <c r="C21" s="130"/>
      <c r="D21" s="130"/>
      <c r="E21" s="130"/>
      <c r="F21" s="207"/>
      <c r="G21" s="207"/>
      <c r="H21" s="198"/>
      <c r="I21" s="198"/>
      <c r="P21" s="242"/>
    </row>
    <row r="22" spans="1:25" ht="13" x14ac:dyDescent="0.3">
      <c r="A22" s="227"/>
      <c r="B22" s="200"/>
      <c r="F22" s="198"/>
      <c r="G22" s="198"/>
      <c r="H22" s="198"/>
      <c r="I22" s="198"/>
      <c r="P22" s="242"/>
    </row>
    <row r="23" spans="1:25" ht="13" x14ac:dyDescent="0.3">
      <c r="A23" s="227"/>
      <c r="B23" s="200"/>
      <c r="F23" s="198"/>
      <c r="G23" s="198"/>
      <c r="H23" s="198"/>
      <c r="I23" s="198"/>
      <c r="P23" s="242"/>
    </row>
    <row r="24" spans="1:25" ht="13" x14ac:dyDescent="0.3">
      <c r="A24" s="227"/>
      <c r="B24" s="200"/>
      <c r="F24" s="198"/>
      <c r="G24" s="198"/>
      <c r="H24" s="198"/>
      <c r="I24" s="198"/>
      <c r="P24" s="242"/>
    </row>
    <row r="25" spans="1:25" ht="13" x14ac:dyDescent="0.3">
      <c r="A25" s="227"/>
      <c r="B25" s="200"/>
      <c r="F25" s="198"/>
      <c r="G25" s="198"/>
      <c r="H25" s="198"/>
      <c r="I25" s="198"/>
      <c r="P25" s="242"/>
    </row>
    <row r="26" spans="1:25" x14ac:dyDescent="0.25">
      <c r="A26" s="228"/>
      <c r="F26" s="198"/>
      <c r="G26" s="198"/>
      <c r="H26" s="198"/>
      <c r="I26" s="198"/>
      <c r="P26" s="242"/>
    </row>
    <row r="27" spans="1:25" x14ac:dyDescent="0.25">
      <c r="A27" s="228"/>
      <c r="F27" s="198"/>
      <c r="G27" s="198"/>
      <c r="H27" s="198"/>
      <c r="I27" s="198"/>
      <c r="P27" s="242"/>
    </row>
    <row r="28" spans="1:25" ht="69" customHeight="1" x14ac:dyDescent="0.3">
      <c r="A28" s="227" t="s">
        <v>5635</v>
      </c>
      <c r="B28" s="143" t="s">
        <v>5935</v>
      </c>
      <c r="F28" s="198"/>
      <c r="G28" s="198"/>
      <c r="H28" s="198"/>
      <c r="I28" s="198"/>
      <c r="M28" s="132" t="s">
        <v>5936</v>
      </c>
      <c r="P28" s="242"/>
      <c r="R28" s="243"/>
    </row>
    <row r="29" spans="1:25" ht="13" x14ac:dyDescent="0.3">
      <c r="C29" s="227"/>
      <c r="F29" s="229" t="s">
        <v>5937</v>
      </c>
      <c r="G29" s="229"/>
      <c r="H29" s="229" t="s">
        <v>5938</v>
      </c>
      <c r="I29" s="229"/>
      <c r="M29" s="249">
        <v>1.42</v>
      </c>
      <c r="N29" s="132" t="s">
        <v>5939</v>
      </c>
      <c r="O29" s="241" t="s">
        <v>5940</v>
      </c>
      <c r="P29" s="242"/>
      <c r="R29" s="243"/>
    </row>
    <row r="30" spans="1:25" ht="14" x14ac:dyDescent="0.25">
      <c r="C30" s="439" t="s">
        <v>5941</v>
      </c>
      <c r="D30" s="439" t="s">
        <v>5942</v>
      </c>
      <c r="E30" s="439"/>
      <c r="F30" s="439" t="s">
        <v>5943</v>
      </c>
      <c r="G30" s="439"/>
      <c r="H30" s="439"/>
      <c r="I30" s="439"/>
      <c r="J30" s="132" t="s">
        <v>5944</v>
      </c>
      <c r="M30" s="132" t="s">
        <v>5945</v>
      </c>
      <c r="P30" s="132" t="s">
        <v>5946</v>
      </c>
    </row>
    <row r="31" spans="1:25" ht="14" x14ac:dyDescent="0.25">
      <c r="C31" s="439"/>
      <c r="D31" s="439"/>
      <c r="E31" s="439"/>
      <c r="F31" s="439"/>
      <c r="G31" s="439"/>
      <c r="H31" s="439"/>
      <c r="I31" s="439"/>
      <c r="J31" s="132" t="s">
        <v>5947</v>
      </c>
      <c r="K31" s="132" t="s">
        <v>5948</v>
      </c>
      <c r="L31" s="132" t="s">
        <v>5949</v>
      </c>
      <c r="M31" s="132" t="s">
        <v>5950</v>
      </c>
      <c r="N31" s="132" t="s">
        <v>5948</v>
      </c>
      <c r="O31" s="132" t="s">
        <v>5951</v>
      </c>
      <c r="P31" s="132" t="s">
        <v>5952</v>
      </c>
      <c r="Q31" s="132" t="s">
        <v>5948</v>
      </c>
      <c r="R31" s="132" t="s">
        <v>5953</v>
      </c>
      <c r="U31" s="251" t="s">
        <v>5954</v>
      </c>
    </row>
    <row r="32" spans="1:25" ht="14" x14ac:dyDescent="0.25">
      <c r="C32" s="439"/>
      <c r="D32" s="439"/>
      <c r="E32" s="439"/>
      <c r="F32" s="439"/>
      <c r="G32" s="439"/>
      <c r="H32" s="439"/>
      <c r="I32" s="439"/>
      <c r="J32" s="252" t="str">
        <f ca="1">'Emission Factors database'!M26</f>
        <v>3.72</v>
      </c>
      <c r="K32" s="132">
        <f>V34</f>
        <v>7.9641599999999997</v>
      </c>
      <c r="M32" s="253" t="str">
        <f ca="1">'Emission Factors database'!O26</f>
        <v>2.27</v>
      </c>
      <c r="N32" s="132">
        <v>7.96</v>
      </c>
      <c r="P32" s="253" t="str">
        <f ca="1">'Emission Factors database'!N26</f>
        <v>0.558</v>
      </c>
      <c r="Q32" s="132">
        <v>7.96</v>
      </c>
      <c r="X32" s="254"/>
      <c r="Y32" s="254"/>
    </row>
    <row r="33" spans="3:25" ht="14" x14ac:dyDescent="0.3">
      <c r="C33" s="439"/>
      <c r="D33" s="255" t="s">
        <v>5016</v>
      </c>
      <c r="E33" s="255" t="s">
        <v>5955</v>
      </c>
      <c r="F33" s="256" t="s">
        <v>5016</v>
      </c>
      <c r="G33" s="255" t="s">
        <v>5955</v>
      </c>
      <c r="H33" s="255" t="s">
        <v>5956</v>
      </c>
      <c r="I33" s="398" t="s">
        <v>5957</v>
      </c>
      <c r="J33" s="132" t="s">
        <v>5958</v>
      </c>
      <c r="K33" s="132" t="s">
        <v>5959</v>
      </c>
      <c r="L33" s="132" t="s">
        <v>5960</v>
      </c>
      <c r="M33" s="132" t="s">
        <v>5958</v>
      </c>
      <c r="N33" s="132" t="s">
        <v>5959</v>
      </c>
      <c r="O33" s="132" t="s">
        <v>5961</v>
      </c>
      <c r="P33" s="132" t="s">
        <v>5958</v>
      </c>
      <c r="Q33" s="132" t="s">
        <v>5959</v>
      </c>
      <c r="R33" s="132" t="s">
        <v>5961</v>
      </c>
      <c r="U33" s="227" t="s">
        <v>5962</v>
      </c>
      <c r="V33" s="251" t="s">
        <v>5963</v>
      </c>
      <c r="W33" s="251" t="s">
        <v>5964</v>
      </c>
      <c r="X33" s="254"/>
      <c r="Y33" s="254"/>
    </row>
    <row r="34" spans="3:25" ht="14" x14ac:dyDescent="0.3">
      <c r="C34" s="255" t="s">
        <v>5965</v>
      </c>
      <c r="D34" s="398">
        <v>0.99381148927139351</v>
      </c>
      <c r="E34" s="399">
        <v>6.1885107286065279E-3</v>
      </c>
      <c r="F34" s="400">
        <v>254.97599999999997</v>
      </c>
      <c r="G34" s="400">
        <v>3.7340760576000003</v>
      </c>
      <c r="H34" s="257">
        <v>258.71007605759996</v>
      </c>
      <c r="I34" s="398">
        <v>1.4433438830456046E-2</v>
      </c>
      <c r="J34" s="258">
        <f ca="1">$D34*$J$32</f>
        <v>3.6969787400895839</v>
      </c>
      <c r="K34" s="258">
        <f>$E34*$K$32</f>
        <v>4.9286289604338965E-2</v>
      </c>
      <c r="L34" s="258">
        <f ca="1">SUM(J34:K34)</f>
        <v>3.7462650296939231</v>
      </c>
      <c r="M34" s="258">
        <f ca="1">$D34*$M$32</f>
        <v>2.2559520806460633</v>
      </c>
      <c r="N34" s="258">
        <f>$E34*$N$32</f>
        <v>4.9260545399707964E-2</v>
      </c>
      <c r="O34" s="258">
        <f ca="1">SUM(M34:N34)</f>
        <v>2.3052126260457713</v>
      </c>
      <c r="P34" s="258">
        <f ca="1">$D34*$P$32</f>
        <v>0.55454681101343761</v>
      </c>
      <c r="Q34" s="258">
        <f>$E34*$Q$32</f>
        <v>4.9260545399707964E-2</v>
      </c>
      <c r="R34" s="258">
        <f ca="1">SUM(P34:Q34)</f>
        <v>0.60380735641314554</v>
      </c>
      <c r="U34" s="132">
        <v>7.8079999999999998</v>
      </c>
      <c r="V34" s="132">
        <v>7.9641599999999997</v>
      </c>
      <c r="W34" s="132" t="s">
        <v>5966</v>
      </c>
    </row>
    <row r="35" spans="3:25" ht="14" x14ac:dyDescent="0.3">
      <c r="C35" s="255" t="s">
        <v>5967</v>
      </c>
      <c r="D35" s="398">
        <v>0.99210546192651505</v>
      </c>
      <c r="E35" s="399">
        <v>7.8945380734849122E-3</v>
      </c>
      <c r="F35" s="400">
        <v>199.53199999999998</v>
      </c>
      <c r="G35" s="400">
        <v>3.7340760576000003</v>
      </c>
      <c r="H35" s="257">
        <v>203.26607605759997</v>
      </c>
      <c r="I35" s="398">
        <v>1.8370384916280208E-2</v>
      </c>
      <c r="J35" s="258">
        <f t="shared" ref="J35:J98" ca="1" si="0">$D35*$J$32</f>
        <v>3.6906323183666361</v>
      </c>
      <c r="K35" s="258">
        <f t="shared" ref="K35:K98" si="1">E35*$K$32</f>
        <v>6.2873364343325591E-2</v>
      </c>
      <c r="L35" s="258">
        <f t="shared" ref="L35:L98" ca="1" si="2">SUM(J35:K35)</f>
        <v>3.7535056827099615</v>
      </c>
      <c r="M35" s="258">
        <f t="shared" ref="M35:M98" ca="1" si="3">$D35*$M$32</f>
        <v>2.2520793985731893</v>
      </c>
      <c r="N35" s="258">
        <f t="shared" ref="N35:N98" si="4">$E35*$N$32</f>
        <v>6.2840523064939896E-2</v>
      </c>
      <c r="O35" s="258">
        <f t="shared" ref="O35:O98" ca="1" si="5">SUM(M35:N35)</f>
        <v>2.3149199216381291</v>
      </c>
      <c r="P35" s="258">
        <f t="shared" ref="P35:P98" ca="1" si="6">$D35*$P$32</f>
        <v>0.55359484775499546</v>
      </c>
      <c r="Q35" s="258">
        <f t="shared" ref="Q35:Q98" si="7">$E35*$Q$32</f>
        <v>6.2840523064939896E-2</v>
      </c>
      <c r="R35" s="258">
        <f t="shared" ref="R35:R98" ca="1" si="8">SUM(P35:Q35)</f>
        <v>0.61643537081993538</v>
      </c>
    </row>
    <row r="36" spans="3:25" ht="14" x14ac:dyDescent="0.3">
      <c r="C36" s="255" t="s">
        <v>5968</v>
      </c>
      <c r="D36" s="398">
        <v>0.99128548538727479</v>
      </c>
      <c r="E36" s="399">
        <v>8.714514612725207E-3</v>
      </c>
      <c r="F36" s="400">
        <v>180.60799999999998</v>
      </c>
      <c r="G36" s="400">
        <v>3.7340760576000003</v>
      </c>
      <c r="H36" s="257">
        <v>184.34207605759997</v>
      </c>
      <c r="I36" s="398">
        <v>2.0256233072004907E-2</v>
      </c>
      <c r="J36" s="258">
        <f t="shared" ca="1" si="0"/>
        <v>3.6875820056406625</v>
      </c>
      <c r="K36" s="258">
        <f t="shared" si="1"/>
        <v>6.9403788698081587E-2</v>
      </c>
      <c r="L36" s="258">
        <f t="shared" ca="1" si="2"/>
        <v>3.7569857943387439</v>
      </c>
      <c r="M36" s="258">
        <f t="shared" ca="1" si="3"/>
        <v>2.2502180518291137</v>
      </c>
      <c r="N36" s="258">
        <f t="shared" si="4"/>
        <v>6.9367536317292644E-2</v>
      </c>
      <c r="O36" s="258">
        <f t="shared" ca="1" si="5"/>
        <v>2.3195855881464063</v>
      </c>
      <c r="P36" s="258">
        <f t="shared" ca="1" si="6"/>
        <v>0.55313730084609936</v>
      </c>
      <c r="Q36" s="258">
        <f t="shared" si="7"/>
        <v>6.9367536317292644E-2</v>
      </c>
      <c r="R36" s="258">
        <f t="shared" ca="1" si="8"/>
        <v>0.622504837163392</v>
      </c>
    </row>
    <row r="37" spans="3:25" ht="14" x14ac:dyDescent="0.3">
      <c r="C37" s="255" t="s">
        <v>5969</v>
      </c>
      <c r="D37" s="398">
        <v>0.99027543020594488</v>
      </c>
      <c r="E37" s="399">
        <v>9.7245697940551643E-3</v>
      </c>
      <c r="F37" s="400">
        <v>161.684</v>
      </c>
      <c r="G37" s="400">
        <v>3.7340760576000003</v>
      </c>
      <c r="H37" s="257">
        <v>165.41807605759999</v>
      </c>
      <c r="I37" s="398">
        <v>2.2573567209787659E-2</v>
      </c>
      <c r="J37" s="258">
        <f t="shared" ca="1" si="0"/>
        <v>3.683824600366115</v>
      </c>
      <c r="K37" s="258">
        <f t="shared" si="1"/>
        <v>7.7448029771022373E-2</v>
      </c>
      <c r="L37" s="258">
        <f t="shared" ca="1" si="2"/>
        <v>3.7612726301371375</v>
      </c>
      <c r="M37" s="258">
        <f t="shared" ca="1" si="3"/>
        <v>2.2479252265674949</v>
      </c>
      <c r="N37" s="258">
        <f t="shared" si="4"/>
        <v>7.7407575560679107E-2</v>
      </c>
      <c r="O37" s="258">
        <f t="shared" ca="1" si="5"/>
        <v>2.3253328021281741</v>
      </c>
      <c r="P37" s="258">
        <f t="shared" ca="1" si="6"/>
        <v>0.5525736900549173</v>
      </c>
      <c r="Q37" s="258">
        <f t="shared" si="7"/>
        <v>7.7407575560679107E-2</v>
      </c>
      <c r="R37" s="258">
        <f t="shared" ca="1" si="8"/>
        <v>0.62998126561559642</v>
      </c>
    </row>
    <row r="38" spans="3:25" ht="14" x14ac:dyDescent="0.3">
      <c r="C38" s="255" t="s">
        <v>5970</v>
      </c>
      <c r="D38" s="398">
        <v>0.9881853254222247</v>
      </c>
      <c r="E38" s="399">
        <v>1.1814674577775339E-2</v>
      </c>
      <c r="F38" s="400">
        <v>132.79999999999998</v>
      </c>
      <c r="G38" s="400">
        <v>3.7340760576000003</v>
      </c>
      <c r="H38" s="257">
        <v>136.53407605759998</v>
      </c>
      <c r="I38" s="398">
        <v>2.7349041099635055E-2</v>
      </c>
      <c r="J38" s="258">
        <f t="shared" ca="1" si="0"/>
        <v>3.676049410570676</v>
      </c>
      <c r="K38" s="258">
        <f t="shared" si="1"/>
        <v>9.4093958685335238E-2</v>
      </c>
      <c r="L38" s="258">
        <f t="shared" ca="1" si="2"/>
        <v>3.7701433692560111</v>
      </c>
      <c r="M38" s="258">
        <f t="shared" ca="1" si="3"/>
        <v>2.24318068870845</v>
      </c>
      <c r="N38" s="258">
        <f t="shared" si="4"/>
        <v>9.4044809639091689E-2</v>
      </c>
      <c r="O38" s="258">
        <f t="shared" ca="1" si="5"/>
        <v>2.3372254983475416</v>
      </c>
      <c r="P38" s="258">
        <f t="shared" ca="1" si="6"/>
        <v>0.55140741158560147</v>
      </c>
      <c r="Q38" s="258">
        <f t="shared" si="7"/>
        <v>9.4044809639091689E-2</v>
      </c>
      <c r="R38" s="258">
        <f t="shared" ca="1" si="8"/>
        <v>0.64545222122469315</v>
      </c>
    </row>
    <row r="39" spans="3:25" ht="14" x14ac:dyDescent="0.3">
      <c r="C39" s="255" t="s">
        <v>5971</v>
      </c>
      <c r="D39" s="398">
        <v>0.99156647978661117</v>
      </c>
      <c r="E39" s="399">
        <v>8.4335202133888742E-3</v>
      </c>
      <c r="F39" s="400">
        <v>139.77199999999999</v>
      </c>
      <c r="G39" s="400">
        <v>2.7958183679999999</v>
      </c>
      <c r="H39" s="257">
        <v>142.56781836799999</v>
      </c>
      <c r="I39" s="398">
        <v>1.9610445049971632E-2</v>
      </c>
      <c r="J39" s="258">
        <f t="shared" ca="1" si="0"/>
        <v>3.6886273048061939</v>
      </c>
      <c r="K39" s="258">
        <f t="shared" si="1"/>
        <v>6.7165904342663132E-2</v>
      </c>
      <c r="L39" s="258">
        <f t="shared" ca="1" si="2"/>
        <v>3.7557932091488571</v>
      </c>
      <c r="M39" s="258">
        <f t="shared" ca="1" si="3"/>
        <v>2.2508559091156073</v>
      </c>
      <c r="N39" s="258">
        <f t="shared" si="4"/>
        <v>6.7130820898575444E-2</v>
      </c>
      <c r="O39" s="258">
        <f t="shared" ca="1" si="5"/>
        <v>2.3179867300141828</v>
      </c>
      <c r="P39" s="258">
        <f t="shared" ca="1" si="6"/>
        <v>0.55329409572092914</v>
      </c>
      <c r="Q39" s="258">
        <f t="shared" si="7"/>
        <v>6.7130820898575444E-2</v>
      </c>
      <c r="R39" s="258">
        <f t="shared" ca="1" si="8"/>
        <v>0.62042491661950461</v>
      </c>
    </row>
    <row r="40" spans="3:25" ht="14" x14ac:dyDescent="0.3">
      <c r="C40" s="255" t="s">
        <v>5972</v>
      </c>
      <c r="D40" s="398">
        <v>0.98998628868990168</v>
      </c>
      <c r="E40" s="399">
        <v>1.0013711310098355E-2</v>
      </c>
      <c r="F40" s="400">
        <v>117.52799999999999</v>
      </c>
      <c r="G40" s="400">
        <v>2.7958183679999999</v>
      </c>
      <c r="H40" s="257">
        <v>120.32381836799999</v>
      </c>
      <c r="I40" s="398">
        <v>2.3235784950318243E-2</v>
      </c>
      <c r="J40" s="258">
        <f t="shared" ca="1" si="0"/>
        <v>3.6827489939264346</v>
      </c>
      <c r="K40" s="258">
        <f t="shared" si="1"/>
        <v>7.9750799067432904E-2</v>
      </c>
      <c r="L40" s="258">
        <f t="shared" ca="1" si="2"/>
        <v>3.7624997929938675</v>
      </c>
      <c r="M40" s="258">
        <f t="shared" ca="1" si="3"/>
        <v>2.247268875326077</v>
      </c>
      <c r="N40" s="258">
        <f t="shared" si="4"/>
        <v>7.9709142028382904E-2</v>
      </c>
      <c r="O40" s="258">
        <f t="shared" ca="1" si="5"/>
        <v>2.3269780173544601</v>
      </c>
      <c r="P40" s="258">
        <f t="shared" ca="1" si="6"/>
        <v>0.55241234908896519</v>
      </c>
      <c r="Q40" s="258">
        <f t="shared" si="7"/>
        <v>7.9709142028382904E-2</v>
      </c>
      <c r="R40" s="258">
        <f t="shared" ca="1" si="8"/>
        <v>0.63212149111734806</v>
      </c>
      <c r="U40" s="251"/>
    </row>
    <row r="41" spans="3:25" ht="14" x14ac:dyDescent="0.3">
      <c r="C41" s="255" t="s">
        <v>5973</v>
      </c>
      <c r="D41" s="398">
        <v>0.9870536524401865</v>
      </c>
      <c r="E41" s="399">
        <v>1.2946347559813552E-2</v>
      </c>
      <c r="F41" s="400">
        <v>90.635999999999996</v>
      </c>
      <c r="G41" s="400">
        <v>2.7958183679999999</v>
      </c>
      <c r="H41" s="257">
        <v>93.431818367999995</v>
      </c>
      <c r="I41" s="398">
        <v>2.9923621490358963E-2</v>
      </c>
      <c r="J41" s="258">
        <f t="shared" ca="1" si="0"/>
        <v>3.671839587077494</v>
      </c>
      <c r="K41" s="258">
        <f t="shared" si="1"/>
        <v>0.10310678338196469</v>
      </c>
      <c r="L41" s="258">
        <f t="shared" ca="1" si="2"/>
        <v>3.7749463704594586</v>
      </c>
      <c r="M41" s="258">
        <f t="shared" ca="1" si="3"/>
        <v>2.2406117910392234</v>
      </c>
      <c r="N41" s="258">
        <f t="shared" si="4"/>
        <v>0.10305292657611587</v>
      </c>
      <c r="O41" s="258">
        <f t="shared" ca="1" si="5"/>
        <v>2.3436647176153391</v>
      </c>
      <c r="P41" s="258">
        <f t="shared" ca="1" si="6"/>
        <v>0.55077593806162417</v>
      </c>
      <c r="Q41" s="258">
        <f t="shared" si="7"/>
        <v>0.10305292657611587</v>
      </c>
      <c r="R41" s="258">
        <f t="shared" ca="1" si="8"/>
        <v>0.65382886463774004</v>
      </c>
    </row>
    <row r="42" spans="3:25" ht="14" x14ac:dyDescent="0.3">
      <c r="C42" s="255" t="s">
        <v>5974</v>
      </c>
      <c r="D42" s="398">
        <v>0.98391275686019686</v>
      </c>
      <c r="E42" s="399">
        <v>1.6087243139803087E-2</v>
      </c>
      <c r="F42" s="400">
        <v>72.707999999999998</v>
      </c>
      <c r="G42" s="400">
        <v>2.7958183679999999</v>
      </c>
      <c r="H42" s="257">
        <v>75.503818367999997</v>
      </c>
      <c r="I42" s="398">
        <v>3.7028834149464986E-2</v>
      </c>
      <c r="J42" s="258">
        <f t="shared" ca="1" si="0"/>
        <v>3.6601554555199325</v>
      </c>
      <c r="K42" s="258">
        <f t="shared" si="1"/>
        <v>0.12812137832429416</v>
      </c>
      <c r="L42" s="258">
        <f t="shared" ca="1" si="2"/>
        <v>3.7882768338442268</v>
      </c>
      <c r="M42" s="258">
        <f t="shared" ca="1" si="3"/>
        <v>2.2334819580726468</v>
      </c>
      <c r="N42" s="258">
        <f t="shared" si="4"/>
        <v>0.12805445539283258</v>
      </c>
      <c r="O42" s="258">
        <f t="shared" ca="1" si="5"/>
        <v>2.3615364134654793</v>
      </c>
      <c r="P42" s="258">
        <f t="shared" ca="1" si="6"/>
        <v>0.5490233183279899</v>
      </c>
      <c r="Q42" s="258">
        <f t="shared" si="7"/>
        <v>0.12805445539283258</v>
      </c>
      <c r="R42" s="258">
        <f t="shared" ca="1" si="8"/>
        <v>0.67707777372082245</v>
      </c>
    </row>
    <row r="43" spans="3:25" ht="14" x14ac:dyDescent="0.3">
      <c r="C43" s="255" t="s">
        <v>5975</v>
      </c>
      <c r="D43" s="398">
        <v>0.9898636634243938</v>
      </c>
      <c r="E43" s="399">
        <v>1.0136336575606249E-2</v>
      </c>
      <c r="F43" s="400">
        <v>96.611999999999995</v>
      </c>
      <c r="G43" s="400">
        <v>2.3266895231999998</v>
      </c>
      <c r="H43" s="257">
        <v>98.938689523199997</v>
      </c>
      <c r="I43" s="398">
        <v>2.351647807761207E-2</v>
      </c>
      <c r="J43" s="258">
        <f t="shared" ca="1" si="0"/>
        <v>3.682292827938745</v>
      </c>
      <c r="K43" s="258">
        <f t="shared" si="1"/>
        <v>8.0727406301980262E-2</v>
      </c>
      <c r="L43" s="258">
        <f t="shared" ca="1" si="2"/>
        <v>3.7630202342407251</v>
      </c>
      <c r="M43" s="258">
        <f t="shared" ca="1" si="3"/>
        <v>2.2469905159733741</v>
      </c>
      <c r="N43" s="258">
        <f t="shared" si="4"/>
        <v>8.0685239141825751E-2</v>
      </c>
      <c r="O43" s="258">
        <f t="shared" ca="1" si="5"/>
        <v>2.3276757551151999</v>
      </c>
      <c r="P43" s="258">
        <f t="shared" ca="1" si="6"/>
        <v>0.5523439241908118</v>
      </c>
      <c r="Q43" s="258">
        <f t="shared" si="7"/>
        <v>8.0685239141825751E-2</v>
      </c>
      <c r="R43" s="258">
        <f t="shared" ca="1" si="8"/>
        <v>0.63302916333263759</v>
      </c>
      <c r="U43" s="251"/>
    </row>
    <row r="44" spans="3:25" ht="14" x14ac:dyDescent="0.3">
      <c r="C44" s="255" t="s">
        <v>5976</v>
      </c>
      <c r="D44" s="398">
        <v>0.9869292017652137</v>
      </c>
      <c r="E44" s="399">
        <v>1.3070798234786324E-2</v>
      </c>
      <c r="F44" s="400">
        <v>74.7</v>
      </c>
      <c r="G44" s="400">
        <v>2.3266895231999998</v>
      </c>
      <c r="H44" s="257">
        <v>77.026689523200005</v>
      </c>
      <c r="I44" s="398">
        <v>3.020627703984622E-2</v>
      </c>
      <c r="J44" s="258">
        <f t="shared" ca="1" si="0"/>
        <v>3.6713766305665954</v>
      </c>
      <c r="K44" s="258">
        <f t="shared" si="1"/>
        <v>0.10409792846955584</v>
      </c>
      <c r="L44" s="258">
        <f t="shared" ca="1" si="2"/>
        <v>3.7754745590361511</v>
      </c>
      <c r="M44" s="258">
        <f t="shared" ca="1" si="3"/>
        <v>2.2403292880070351</v>
      </c>
      <c r="N44" s="258">
        <f t="shared" si="4"/>
        <v>0.10404355394889914</v>
      </c>
      <c r="O44" s="258">
        <f t="shared" ca="1" si="5"/>
        <v>2.3443728419559342</v>
      </c>
      <c r="P44" s="258">
        <f t="shared" ca="1" si="6"/>
        <v>0.55070649458498933</v>
      </c>
      <c r="Q44" s="258">
        <f t="shared" si="7"/>
        <v>0.10404355394889914</v>
      </c>
      <c r="R44" s="258">
        <f t="shared" ca="1" si="8"/>
        <v>0.65475004853388841</v>
      </c>
      <c r="U44" s="227"/>
      <c r="V44" s="201"/>
    </row>
    <row r="45" spans="3:25" ht="14" x14ac:dyDescent="0.3">
      <c r="C45" s="255" t="s">
        <v>5977</v>
      </c>
      <c r="D45" s="398">
        <v>0.9837147176165747</v>
      </c>
      <c r="E45" s="399">
        <v>1.6285282383425338E-2</v>
      </c>
      <c r="F45" s="400">
        <v>59.76</v>
      </c>
      <c r="G45" s="400">
        <v>2.3266895231999998</v>
      </c>
      <c r="H45" s="257">
        <v>62.0866895232</v>
      </c>
      <c r="I45" s="398">
        <v>3.7474852356729108E-2</v>
      </c>
      <c r="J45" s="258">
        <f t="shared" ca="1" si="0"/>
        <v>3.6594187495336579</v>
      </c>
      <c r="K45" s="258">
        <f t="shared" si="1"/>
        <v>0.12969859454678073</v>
      </c>
      <c r="L45" s="258">
        <f t="shared" ca="1" si="2"/>
        <v>3.7891173440804384</v>
      </c>
      <c r="M45" s="258">
        <f t="shared" ca="1" si="3"/>
        <v>2.2330324089896245</v>
      </c>
      <c r="N45" s="258">
        <f t="shared" si="4"/>
        <v>0.12963084777206568</v>
      </c>
      <c r="O45" s="258">
        <f t="shared" ca="1" si="5"/>
        <v>2.3626632567616901</v>
      </c>
      <c r="P45" s="258">
        <f t="shared" ca="1" si="6"/>
        <v>0.54891281243004875</v>
      </c>
      <c r="Q45" s="258">
        <f t="shared" si="7"/>
        <v>0.12963084777206568</v>
      </c>
      <c r="R45" s="258">
        <f t="shared" ca="1" si="8"/>
        <v>0.67854366020211443</v>
      </c>
      <c r="U45" s="227"/>
      <c r="V45" s="201"/>
    </row>
    <row r="46" spans="3:25" ht="14" x14ac:dyDescent="0.3">
      <c r="C46" s="255" t="s">
        <v>5978</v>
      </c>
      <c r="D46" s="398">
        <v>0.98039293740982647</v>
      </c>
      <c r="E46" s="399">
        <v>1.960706259017353E-2</v>
      </c>
      <c r="F46" s="400">
        <v>49.467999999999996</v>
      </c>
      <c r="G46" s="400">
        <v>2.3266895231999998</v>
      </c>
      <c r="H46" s="257">
        <v>51.794689523199999</v>
      </c>
      <c r="I46" s="398">
        <v>4.492139145187507E-2</v>
      </c>
      <c r="J46" s="258">
        <f t="shared" ca="1" si="0"/>
        <v>3.6470617271645547</v>
      </c>
      <c r="K46" s="258">
        <f t="shared" si="1"/>
        <v>0.1561537835981564</v>
      </c>
      <c r="L46" s="258">
        <f t="shared" ca="1" si="2"/>
        <v>3.803215510762711</v>
      </c>
      <c r="M46" s="258">
        <f t="shared" ca="1" si="3"/>
        <v>2.225491967920306</v>
      </c>
      <c r="N46" s="258">
        <f t="shared" si="4"/>
        <v>0.15607221821778131</v>
      </c>
      <c r="O46" s="258">
        <f t="shared" ca="1" si="5"/>
        <v>2.3815641861380872</v>
      </c>
      <c r="P46" s="258">
        <f t="shared" ca="1" si="6"/>
        <v>0.54705925907468322</v>
      </c>
      <c r="Q46" s="258">
        <f t="shared" si="7"/>
        <v>0.15607221821778131</v>
      </c>
      <c r="R46" s="258">
        <f t="shared" ca="1" si="8"/>
        <v>0.7031314772924645</v>
      </c>
      <c r="U46" s="227"/>
      <c r="V46" s="201"/>
    </row>
    <row r="47" spans="3:25" ht="14" x14ac:dyDescent="0.3">
      <c r="C47" s="255" t="s">
        <v>5979</v>
      </c>
      <c r="D47" s="398">
        <v>0.9867373139364638</v>
      </c>
      <c r="E47" s="399">
        <v>1.3262686063536252E-2</v>
      </c>
      <c r="F47" s="400">
        <v>21.948</v>
      </c>
      <c r="G47" s="400">
        <v>1.8575606784000001</v>
      </c>
      <c r="H47" s="257">
        <v>23.805560678399999</v>
      </c>
      <c r="I47" s="398">
        <v>7.8030536793256874E-2</v>
      </c>
      <c r="J47" s="258">
        <f t="shared" ca="1" si="0"/>
        <v>3.6706628078436454</v>
      </c>
      <c r="K47" s="258">
        <f t="shared" si="1"/>
        <v>0.10562615383977288</v>
      </c>
      <c r="L47" s="258">
        <f t="shared" ca="1" si="2"/>
        <v>3.7762889616834183</v>
      </c>
      <c r="M47" s="258">
        <f t="shared" ca="1" si="3"/>
        <v>2.239893702635773</v>
      </c>
      <c r="N47" s="258">
        <f t="shared" si="4"/>
        <v>0.10557098106574857</v>
      </c>
      <c r="O47" s="258">
        <f t="shared" ca="1" si="5"/>
        <v>2.3454646837015214</v>
      </c>
      <c r="P47" s="258">
        <f t="shared" ca="1" si="6"/>
        <v>0.55059942117654681</v>
      </c>
      <c r="Q47" s="258">
        <f t="shared" si="7"/>
        <v>0.10557098106574857</v>
      </c>
      <c r="R47" s="258">
        <f t="shared" ca="1" si="8"/>
        <v>0.65617040224229539</v>
      </c>
      <c r="U47" s="227"/>
      <c r="V47" s="202"/>
      <c r="W47" s="240"/>
    </row>
    <row r="48" spans="3:25" ht="14" x14ac:dyDescent="0.3">
      <c r="C48" s="255" t="s">
        <v>5980</v>
      </c>
      <c r="D48" s="398">
        <v>0.98352220746046204</v>
      </c>
      <c r="E48" s="399">
        <v>1.647779253953801E-2</v>
      </c>
      <c r="F48" s="400">
        <v>17.608000000000001</v>
      </c>
      <c r="G48" s="400">
        <v>1.8575606784000001</v>
      </c>
      <c r="H48" s="257">
        <v>19.465560678399999</v>
      </c>
      <c r="I48" s="398">
        <v>9.5428059283247171E-2</v>
      </c>
      <c r="J48" s="258">
        <f t="shared" ca="1" si="0"/>
        <v>3.6587026117529189</v>
      </c>
      <c r="K48" s="258">
        <f t="shared" si="1"/>
        <v>0.13123177623168703</v>
      </c>
      <c r="L48" s="258">
        <f t="shared" ca="1" si="2"/>
        <v>3.7899343879846059</v>
      </c>
      <c r="M48" s="258">
        <f t="shared" ca="1" si="3"/>
        <v>2.2325954109352488</v>
      </c>
      <c r="N48" s="258">
        <f t="shared" si="4"/>
        <v>0.13116322861472254</v>
      </c>
      <c r="O48" s="258">
        <f t="shared" ca="1" si="5"/>
        <v>2.3637586395499715</v>
      </c>
      <c r="P48" s="258">
        <f t="shared" ca="1" si="6"/>
        <v>0.54880539176293786</v>
      </c>
      <c r="Q48" s="258">
        <f t="shared" si="7"/>
        <v>0.13116322861472254</v>
      </c>
      <c r="R48" s="258">
        <f t="shared" ca="1" si="8"/>
        <v>0.67996862037766037</v>
      </c>
    </row>
    <row r="49" spans="3:18" ht="14" x14ac:dyDescent="0.3">
      <c r="C49" s="255" t="s">
        <v>5981</v>
      </c>
      <c r="D49" s="398">
        <v>0.98023702596485063</v>
      </c>
      <c r="E49" s="399">
        <v>1.9762974035149369E-2</v>
      </c>
      <c r="F49" s="400">
        <v>14.632000000000001</v>
      </c>
      <c r="G49" s="400">
        <v>1.8575606784000001</v>
      </c>
      <c r="H49" s="257">
        <v>16.4895606784</v>
      </c>
      <c r="I49" s="398">
        <v>0.11265070759788375</v>
      </c>
      <c r="J49" s="258">
        <f t="shared" ca="1" si="0"/>
        <v>3.6464817365892443</v>
      </c>
      <c r="K49" s="258">
        <f t="shared" si="1"/>
        <v>0.15739548729177519</v>
      </c>
      <c r="L49" s="258">
        <f t="shared" ca="1" si="2"/>
        <v>3.8038772238810195</v>
      </c>
      <c r="M49" s="258">
        <f t="shared" ca="1" si="3"/>
        <v>2.2251380489402108</v>
      </c>
      <c r="N49" s="258">
        <f t="shared" si="4"/>
        <v>0.15731327331978898</v>
      </c>
      <c r="O49" s="258">
        <f t="shared" ca="1" si="5"/>
        <v>2.3824513222599997</v>
      </c>
      <c r="P49" s="258">
        <f t="shared" ca="1" si="6"/>
        <v>0.54697226048838665</v>
      </c>
      <c r="Q49" s="258">
        <f t="shared" si="7"/>
        <v>0.15731327331978898</v>
      </c>
      <c r="R49" s="258">
        <f t="shared" ca="1" si="8"/>
        <v>0.7042855338081756</v>
      </c>
    </row>
    <row r="50" spans="3:18" ht="14" x14ac:dyDescent="0.3">
      <c r="C50" s="255" t="s">
        <v>5982</v>
      </c>
      <c r="D50" s="398">
        <v>0.97905908061478408</v>
      </c>
      <c r="E50" s="399">
        <v>2.0940919385215879E-2</v>
      </c>
      <c r="F50" s="400">
        <v>11.3584</v>
      </c>
      <c r="G50" s="400">
        <v>1.5297558527999997</v>
      </c>
      <c r="H50" s="257">
        <v>12.888155852799999</v>
      </c>
      <c r="I50" s="398">
        <v>0.11869470467861037</v>
      </c>
      <c r="J50" s="258">
        <f t="shared" ca="1" si="0"/>
        <v>3.6420997798869972</v>
      </c>
      <c r="K50" s="258">
        <f t="shared" si="1"/>
        <v>0.1667768325309609</v>
      </c>
      <c r="L50" s="258">
        <f t="shared" ca="1" si="2"/>
        <v>3.8088766124179583</v>
      </c>
      <c r="M50" s="258">
        <f t="shared" ca="1" si="3"/>
        <v>2.22246411299556</v>
      </c>
      <c r="N50" s="258">
        <f t="shared" si="4"/>
        <v>0.1666897183063184</v>
      </c>
      <c r="O50" s="258">
        <f t="shared" ca="1" si="5"/>
        <v>2.3891538313018783</v>
      </c>
      <c r="P50" s="258">
        <f t="shared" ca="1" si="6"/>
        <v>0.5463149669830496</v>
      </c>
      <c r="Q50" s="258">
        <f t="shared" si="7"/>
        <v>0.1666897183063184</v>
      </c>
      <c r="R50" s="258">
        <f t="shared" ca="1" si="8"/>
        <v>0.713004685289368</v>
      </c>
    </row>
    <row r="51" spans="3:18" ht="14" x14ac:dyDescent="0.3">
      <c r="C51" s="255" t="s">
        <v>5983</v>
      </c>
      <c r="D51" s="398">
        <v>0.9834571054109903</v>
      </c>
      <c r="E51" s="399">
        <v>1.6542894589009711E-2</v>
      </c>
      <c r="F51" s="400">
        <v>15.747999999999999</v>
      </c>
      <c r="G51" s="400">
        <v>1.6680136703999997</v>
      </c>
      <c r="H51" s="257">
        <v>17.416013670399998</v>
      </c>
      <c r="I51" s="398">
        <v>9.5774710675321256E-2</v>
      </c>
      <c r="J51" s="258">
        <f t="shared" ca="1" si="0"/>
        <v>3.6584604321288841</v>
      </c>
      <c r="K51" s="258">
        <f t="shared" si="1"/>
        <v>0.13175025937000759</v>
      </c>
      <c r="L51" s="258">
        <f t="shared" ca="1" si="2"/>
        <v>3.7902106914988916</v>
      </c>
      <c r="M51" s="258">
        <f t="shared" ca="1" si="3"/>
        <v>2.232447629282948</v>
      </c>
      <c r="N51" s="258">
        <f t="shared" si="4"/>
        <v>0.1316814409285173</v>
      </c>
      <c r="O51" s="258">
        <f t="shared" ca="1" si="5"/>
        <v>2.3641290702114652</v>
      </c>
      <c r="P51" s="258">
        <f t="shared" ca="1" si="6"/>
        <v>0.54876906481933263</v>
      </c>
      <c r="Q51" s="258">
        <f t="shared" si="7"/>
        <v>0.1316814409285173</v>
      </c>
      <c r="R51" s="258">
        <f t="shared" ca="1" si="8"/>
        <v>0.68045050574784993</v>
      </c>
    </row>
    <row r="52" spans="3:18" ht="14" x14ac:dyDescent="0.3">
      <c r="C52" s="255" t="s">
        <v>5984</v>
      </c>
      <c r="D52" s="398">
        <v>0.98024448555141819</v>
      </c>
      <c r="E52" s="399">
        <v>1.9755514448581774E-2</v>
      </c>
      <c r="F52" s="400">
        <v>13.144</v>
      </c>
      <c r="G52" s="400">
        <v>1.6680136703999997</v>
      </c>
      <c r="H52" s="257">
        <v>14.812013670399999</v>
      </c>
      <c r="I52" s="398">
        <v>0.11261221515973358</v>
      </c>
      <c r="J52" s="258">
        <f t="shared" ca="1" si="0"/>
        <v>3.6465094862512757</v>
      </c>
      <c r="K52" s="258">
        <f t="shared" si="1"/>
        <v>0.15733607795081703</v>
      </c>
      <c r="L52" s="258">
        <f t="shared" ca="1" si="2"/>
        <v>3.8038455642020925</v>
      </c>
      <c r="M52" s="258">
        <f t="shared" ca="1" si="3"/>
        <v>2.2251549822017194</v>
      </c>
      <c r="N52" s="258">
        <f t="shared" si="4"/>
        <v>0.15725389501071091</v>
      </c>
      <c r="O52" s="258">
        <f t="shared" ca="1" si="5"/>
        <v>2.3824088772124301</v>
      </c>
      <c r="P52" s="258">
        <f t="shared" ca="1" si="6"/>
        <v>0.54697642293769144</v>
      </c>
      <c r="Q52" s="258">
        <f t="shared" si="7"/>
        <v>0.15725389501071091</v>
      </c>
      <c r="R52" s="258">
        <f t="shared" ca="1" si="8"/>
        <v>0.70423031794840241</v>
      </c>
    </row>
    <row r="53" spans="3:18" ht="14" x14ac:dyDescent="0.3">
      <c r="C53" s="255" t="s">
        <v>5985</v>
      </c>
      <c r="D53" s="398">
        <v>0.97904584621576629</v>
      </c>
      <c r="E53" s="399">
        <v>2.0954153784233726E-2</v>
      </c>
      <c r="F53" s="400">
        <v>10.1928</v>
      </c>
      <c r="G53" s="400">
        <v>1.3736583167999996</v>
      </c>
      <c r="H53" s="257">
        <v>11.5664583168</v>
      </c>
      <c r="I53" s="398">
        <v>0.11876222428474879</v>
      </c>
      <c r="J53" s="258">
        <f t="shared" ca="1" si="0"/>
        <v>3.6420505479226506</v>
      </c>
      <c r="K53" s="258">
        <f t="shared" si="1"/>
        <v>0.16688223340224287</v>
      </c>
      <c r="L53" s="258">
        <f t="shared" ca="1" si="2"/>
        <v>3.8089327813248937</v>
      </c>
      <c r="M53" s="258">
        <f t="shared" ca="1" si="3"/>
        <v>2.2224340709097894</v>
      </c>
      <c r="N53" s="258">
        <f t="shared" si="4"/>
        <v>0.16679506412250045</v>
      </c>
      <c r="O53" s="258">
        <f t="shared" ca="1" si="5"/>
        <v>2.3892291350322896</v>
      </c>
      <c r="P53" s="258">
        <f t="shared" ca="1" si="6"/>
        <v>0.54630758218839759</v>
      </c>
      <c r="Q53" s="258">
        <f t="shared" si="7"/>
        <v>0.16679506412250045</v>
      </c>
      <c r="R53" s="258">
        <f t="shared" ca="1" si="8"/>
        <v>0.71310264631089804</v>
      </c>
    </row>
    <row r="54" spans="3:18" ht="14" x14ac:dyDescent="0.3">
      <c r="C54" s="255" t="s">
        <v>5986</v>
      </c>
      <c r="D54" s="398">
        <v>0.98340252553502994</v>
      </c>
      <c r="E54" s="399">
        <v>1.6597474464970022E-2</v>
      </c>
      <c r="F54" s="400">
        <v>13.02</v>
      </c>
      <c r="G54" s="400">
        <v>1.3836931583999998</v>
      </c>
      <c r="H54" s="257">
        <v>14.403693158399999</v>
      </c>
      <c r="I54" s="398">
        <v>9.6065164897868746E-2</v>
      </c>
      <c r="J54" s="258">
        <f t="shared" ca="1" si="0"/>
        <v>3.6582573949903114</v>
      </c>
      <c r="K54" s="258">
        <f t="shared" si="1"/>
        <v>0.13218494223493565</v>
      </c>
      <c r="L54" s="258">
        <f t="shared" ca="1" si="2"/>
        <v>3.7904423372252469</v>
      </c>
      <c r="M54" s="258">
        <f t="shared" ca="1" si="3"/>
        <v>2.232323732964518</v>
      </c>
      <c r="N54" s="258">
        <f t="shared" si="4"/>
        <v>0.13211589674116136</v>
      </c>
      <c r="O54" s="258">
        <f t="shared" ca="1" si="5"/>
        <v>2.3644396297056796</v>
      </c>
      <c r="P54" s="258">
        <f t="shared" ca="1" si="6"/>
        <v>0.54873860924854678</v>
      </c>
      <c r="Q54" s="258">
        <f t="shared" si="7"/>
        <v>0.13211589674116136</v>
      </c>
      <c r="R54" s="258">
        <f t="shared" ca="1" si="8"/>
        <v>0.6808545059897082</v>
      </c>
    </row>
    <row r="55" spans="3:18" ht="14" x14ac:dyDescent="0.3">
      <c r="C55" s="255" t="s">
        <v>5987</v>
      </c>
      <c r="D55" s="398">
        <v>0.980104353158745</v>
      </c>
      <c r="E55" s="399">
        <v>1.989564684125502E-2</v>
      </c>
      <c r="F55" s="400">
        <v>10.825200000000001</v>
      </c>
      <c r="G55" s="400">
        <v>1.3836931583999998</v>
      </c>
      <c r="H55" s="257">
        <v>12.2088931584</v>
      </c>
      <c r="I55" s="398">
        <v>0.11333485684965529</v>
      </c>
      <c r="J55" s="258">
        <f t="shared" ca="1" si="0"/>
        <v>3.6459881937505316</v>
      </c>
      <c r="K55" s="258">
        <f t="shared" si="1"/>
        <v>0.15845211474724957</v>
      </c>
      <c r="L55" s="258">
        <f t="shared" ca="1" si="2"/>
        <v>3.8044403084977811</v>
      </c>
      <c r="M55" s="258">
        <f t="shared" ca="1" si="3"/>
        <v>2.2248368816703512</v>
      </c>
      <c r="N55" s="258">
        <f t="shared" si="4"/>
        <v>0.15836934885638995</v>
      </c>
      <c r="O55" s="258">
        <f t="shared" ca="1" si="5"/>
        <v>2.3832062305267412</v>
      </c>
      <c r="P55" s="258">
        <f t="shared" ca="1" si="6"/>
        <v>0.54689822906257979</v>
      </c>
      <c r="Q55" s="258">
        <f t="shared" si="7"/>
        <v>0.15836934885638995</v>
      </c>
      <c r="R55" s="258">
        <f t="shared" ca="1" si="8"/>
        <v>0.70526757791896977</v>
      </c>
    </row>
    <row r="56" spans="3:18" ht="14" x14ac:dyDescent="0.3">
      <c r="C56" s="255" t="s">
        <v>5988</v>
      </c>
      <c r="D56" s="398">
        <v>0.97901914530162237</v>
      </c>
      <c r="E56" s="399">
        <v>2.0980854698377571E-2</v>
      </c>
      <c r="F56" s="400">
        <v>8.4443999999999999</v>
      </c>
      <c r="G56" s="400">
        <v>1.1395120127999998</v>
      </c>
      <c r="H56" s="257">
        <v>9.583912012799999</v>
      </c>
      <c r="I56" s="398">
        <v>0.11889842177996836</v>
      </c>
      <c r="J56" s="258">
        <f t="shared" ca="1" si="0"/>
        <v>3.6419512205220355</v>
      </c>
      <c r="K56" s="258">
        <f t="shared" si="1"/>
        <v>0.16709488375463072</v>
      </c>
      <c r="L56" s="258">
        <f t="shared" ca="1" si="2"/>
        <v>3.8090461042766663</v>
      </c>
      <c r="M56" s="258">
        <f t="shared" ca="1" si="3"/>
        <v>2.2223734598346829</v>
      </c>
      <c r="N56" s="258">
        <f t="shared" si="4"/>
        <v>0.16700760339908546</v>
      </c>
      <c r="O56" s="258">
        <f t="shared" ca="1" si="5"/>
        <v>2.3893810632337682</v>
      </c>
      <c r="P56" s="258">
        <f t="shared" ca="1" si="6"/>
        <v>0.54629268307830536</v>
      </c>
      <c r="Q56" s="258">
        <f t="shared" si="7"/>
        <v>0.16700760339908546</v>
      </c>
      <c r="R56" s="258">
        <f t="shared" ca="1" si="8"/>
        <v>0.71330028647739085</v>
      </c>
    </row>
    <row r="57" spans="3:18" ht="14" x14ac:dyDescent="0.3">
      <c r="C57" s="255" t="s">
        <v>5989</v>
      </c>
      <c r="D57" s="398">
        <v>0.97305332834460401</v>
      </c>
      <c r="E57" s="399">
        <v>2.6946671655395989E-2</v>
      </c>
      <c r="F57" s="400">
        <v>6.5347999999999997</v>
      </c>
      <c r="G57" s="400">
        <v>1.1395120127999998</v>
      </c>
      <c r="H57" s="257">
        <v>7.6743120127999997</v>
      </c>
      <c r="I57" s="398">
        <v>0.14848393066367455</v>
      </c>
      <c r="J57" s="258">
        <f t="shared" ca="1" si="0"/>
        <v>3.619758381441927</v>
      </c>
      <c r="K57" s="258">
        <f t="shared" si="1"/>
        <v>0.21460760453103853</v>
      </c>
      <c r="L57" s="258">
        <f t="shared" ca="1" si="2"/>
        <v>3.8343659859729655</v>
      </c>
      <c r="M57" s="258">
        <f t="shared" ca="1" si="3"/>
        <v>2.2088310553422512</v>
      </c>
      <c r="N57" s="258">
        <f t="shared" si="4"/>
        <v>0.21449550637695208</v>
      </c>
      <c r="O57" s="258">
        <f t="shared" ca="1" si="5"/>
        <v>2.4233265617192035</v>
      </c>
      <c r="P57" s="258">
        <f t="shared" ca="1" si="6"/>
        <v>0.54296375721628909</v>
      </c>
      <c r="Q57" s="258">
        <f t="shared" si="7"/>
        <v>0.21449550637695208</v>
      </c>
      <c r="R57" s="258">
        <f t="shared" ca="1" si="8"/>
        <v>0.75745926359324112</v>
      </c>
    </row>
    <row r="58" spans="3:18" ht="14" x14ac:dyDescent="0.3">
      <c r="C58" s="255" t="s">
        <v>5990</v>
      </c>
      <c r="D58" s="398">
        <v>0.98313203741198885</v>
      </c>
      <c r="E58" s="399">
        <v>1.6867962588011161E-2</v>
      </c>
      <c r="F58" s="400">
        <v>11.184799999999999</v>
      </c>
      <c r="G58" s="400">
        <v>1.2083621759999998</v>
      </c>
      <c r="H58" s="257">
        <v>12.393162175999999</v>
      </c>
      <c r="I58" s="398">
        <v>9.7502329013337358E-2</v>
      </c>
      <c r="J58" s="258">
        <f t="shared" ca="1" si="0"/>
        <v>3.6572511791725986</v>
      </c>
      <c r="K58" s="258">
        <f t="shared" si="1"/>
        <v>0.13433915292493495</v>
      </c>
      <c r="L58" s="258">
        <f t="shared" ca="1" si="2"/>
        <v>3.7915903320975337</v>
      </c>
      <c r="M58" s="258">
        <f t="shared" ca="1" si="3"/>
        <v>2.2317097249252149</v>
      </c>
      <c r="N58" s="258">
        <f t="shared" si="4"/>
        <v>0.13426898220056885</v>
      </c>
      <c r="O58" s="258">
        <f t="shared" ca="1" si="5"/>
        <v>2.3659787071257838</v>
      </c>
      <c r="P58" s="258">
        <f t="shared" ca="1" si="6"/>
        <v>0.54858767687588983</v>
      </c>
      <c r="Q58" s="258">
        <f t="shared" si="7"/>
        <v>0.13426898220056885</v>
      </c>
      <c r="R58" s="258">
        <f t="shared" ca="1" si="8"/>
        <v>0.68285665907645865</v>
      </c>
    </row>
    <row r="59" spans="3:18" ht="14" x14ac:dyDescent="0.3">
      <c r="C59" s="255" t="s">
        <v>5991</v>
      </c>
      <c r="D59" s="398">
        <v>0.97980895551908709</v>
      </c>
      <c r="E59" s="399">
        <v>2.0191044480912936E-2</v>
      </c>
      <c r="F59" s="400">
        <v>9.3124000000000002</v>
      </c>
      <c r="G59" s="400">
        <v>1.2083621759999998</v>
      </c>
      <c r="H59" s="257">
        <v>10.520762176</v>
      </c>
      <c r="I59" s="398">
        <v>0.11485500344799353</v>
      </c>
      <c r="J59" s="258">
        <f t="shared" ca="1" si="0"/>
        <v>3.644889314531004</v>
      </c>
      <c r="K59" s="258">
        <f t="shared" si="1"/>
        <v>0.16080470881310757</v>
      </c>
      <c r="L59" s="258">
        <f t="shared" ca="1" si="2"/>
        <v>3.8056940233441114</v>
      </c>
      <c r="M59" s="258">
        <f t="shared" ca="1" si="3"/>
        <v>2.2241663290283276</v>
      </c>
      <c r="N59" s="258">
        <f t="shared" si="4"/>
        <v>0.16072071406806698</v>
      </c>
      <c r="O59" s="258">
        <f t="shared" ca="1" si="5"/>
        <v>2.3848870430963944</v>
      </c>
      <c r="P59" s="258">
        <f t="shared" ca="1" si="6"/>
        <v>0.54673339717965064</v>
      </c>
      <c r="Q59" s="258">
        <f t="shared" si="7"/>
        <v>0.16072071406806698</v>
      </c>
      <c r="R59" s="258">
        <f t="shared" ca="1" si="8"/>
        <v>0.70745411124771762</v>
      </c>
    </row>
    <row r="60" spans="3:18" ht="14" x14ac:dyDescent="0.3">
      <c r="C60" s="255" t="s">
        <v>5992</v>
      </c>
      <c r="D60" s="398">
        <v>0.97874946498086102</v>
      </c>
      <c r="E60" s="399">
        <v>2.1250535019138966E-2</v>
      </c>
      <c r="F60" s="400">
        <v>7.2788000000000004</v>
      </c>
      <c r="G60" s="400">
        <v>0.99512179199999984</v>
      </c>
      <c r="H60" s="257">
        <v>8.2739217919999994</v>
      </c>
      <c r="I60" s="398">
        <v>0.12027208100542799</v>
      </c>
      <c r="J60" s="258">
        <f t="shared" ca="1" si="0"/>
        <v>3.6409480097288034</v>
      </c>
      <c r="K60" s="258">
        <f t="shared" si="1"/>
        <v>0.16924266097802579</v>
      </c>
      <c r="L60" s="258">
        <f t="shared" ca="1" si="2"/>
        <v>3.8101906707068292</v>
      </c>
      <c r="M60" s="258">
        <f t="shared" ca="1" si="3"/>
        <v>2.2217612855065547</v>
      </c>
      <c r="N60" s="258">
        <f t="shared" si="4"/>
        <v>0.16915425875234616</v>
      </c>
      <c r="O60" s="258">
        <f t="shared" ca="1" si="5"/>
        <v>2.3909155442589007</v>
      </c>
      <c r="P60" s="258">
        <f t="shared" ca="1" si="6"/>
        <v>0.54614220145932046</v>
      </c>
      <c r="Q60" s="258">
        <f t="shared" si="7"/>
        <v>0.16915425875234616</v>
      </c>
      <c r="R60" s="258">
        <f t="shared" ca="1" si="8"/>
        <v>0.7152964602116666</v>
      </c>
    </row>
    <row r="61" spans="3:18" ht="14" x14ac:dyDescent="0.3">
      <c r="C61" s="255" t="s">
        <v>5993</v>
      </c>
      <c r="D61" s="398">
        <v>0.97281058417915589</v>
      </c>
      <c r="E61" s="399">
        <v>2.7189415820844127E-2</v>
      </c>
      <c r="F61" s="400">
        <v>5.6543999999999999</v>
      </c>
      <c r="G61" s="400">
        <v>0.99512179199999984</v>
      </c>
      <c r="H61" s="257">
        <v>6.6495217919999998</v>
      </c>
      <c r="I61" s="398">
        <v>0.14965313644016101</v>
      </c>
      <c r="J61" s="258">
        <f t="shared" ca="1" si="0"/>
        <v>3.6188553731464599</v>
      </c>
      <c r="K61" s="258">
        <f t="shared" si="1"/>
        <v>0.21654085790373395</v>
      </c>
      <c r="L61" s="258">
        <f t="shared" ca="1" si="2"/>
        <v>3.8353962310501939</v>
      </c>
      <c r="M61" s="258">
        <f t="shared" ca="1" si="3"/>
        <v>2.2082800260866837</v>
      </c>
      <c r="N61" s="258">
        <f t="shared" si="4"/>
        <v>0.21642774993391925</v>
      </c>
      <c r="O61" s="258">
        <f t="shared" ca="1" si="5"/>
        <v>2.4247077760206031</v>
      </c>
      <c r="P61" s="258">
        <f t="shared" ca="1" si="6"/>
        <v>0.54282830597196907</v>
      </c>
      <c r="Q61" s="258">
        <f t="shared" si="7"/>
        <v>0.21642774993391925</v>
      </c>
      <c r="R61" s="258">
        <f t="shared" ca="1" si="8"/>
        <v>0.75925605590588829</v>
      </c>
    </row>
    <row r="62" spans="3:18" ht="14" x14ac:dyDescent="0.3">
      <c r="C62" s="255" t="s">
        <v>5994</v>
      </c>
      <c r="D62" s="398">
        <v>0.97866840352185636</v>
      </c>
      <c r="E62" s="399">
        <v>2.1331596478143634E-2</v>
      </c>
      <c r="F62" s="400">
        <v>6.1132</v>
      </c>
      <c r="G62" s="400">
        <v>0.83902425599999997</v>
      </c>
      <c r="H62" s="257">
        <v>6.952224256</v>
      </c>
      <c r="I62" s="398">
        <v>0.12068429111386823</v>
      </c>
      <c r="J62" s="258">
        <f t="shared" ca="1" si="0"/>
        <v>3.6406464611013059</v>
      </c>
      <c r="K62" s="258">
        <f t="shared" si="1"/>
        <v>0.16988824740737241</v>
      </c>
      <c r="L62" s="258">
        <f t="shared" ca="1" si="2"/>
        <v>3.810534708508678</v>
      </c>
      <c r="M62" s="258">
        <f t="shared" ca="1" si="3"/>
        <v>2.2215772759946137</v>
      </c>
      <c r="N62" s="258">
        <f t="shared" si="4"/>
        <v>0.16979950796602333</v>
      </c>
      <c r="O62" s="258">
        <f t="shared" ca="1" si="5"/>
        <v>2.391376783960637</v>
      </c>
      <c r="P62" s="258">
        <f t="shared" ca="1" si="6"/>
        <v>0.5460969691651959</v>
      </c>
      <c r="Q62" s="258">
        <f t="shared" si="7"/>
        <v>0.16979950796602333</v>
      </c>
      <c r="R62" s="258">
        <f t="shared" ca="1" si="8"/>
        <v>0.71589647713121929</v>
      </c>
    </row>
    <row r="63" spans="3:18" ht="14" x14ac:dyDescent="0.3">
      <c r="C63" s="255" t="s">
        <v>5995</v>
      </c>
      <c r="D63" s="398">
        <v>0.9727781708578459</v>
      </c>
      <c r="E63" s="399">
        <v>2.7221829142154048E-2</v>
      </c>
      <c r="F63" s="400">
        <v>4.7615999999999996</v>
      </c>
      <c r="G63" s="400">
        <v>0.83902425599999997</v>
      </c>
      <c r="H63" s="257">
        <v>5.6006242559999997</v>
      </c>
      <c r="I63" s="398">
        <v>0.14980906014202713</v>
      </c>
      <c r="J63" s="258">
        <f t="shared" ca="1" si="0"/>
        <v>3.618734795591187</v>
      </c>
      <c r="K63" s="258">
        <f t="shared" si="1"/>
        <v>0.21679900278077757</v>
      </c>
      <c r="L63" s="258">
        <f t="shared" ca="1" si="2"/>
        <v>3.8355337983719648</v>
      </c>
      <c r="M63" s="258">
        <f t="shared" ca="1" si="3"/>
        <v>2.20820644784731</v>
      </c>
      <c r="N63" s="258">
        <f t="shared" si="4"/>
        <v>0.21668575997154624</v>
      </c>
      <c r="O63" s="258">
        <f t="shared" ca="1" si="5"/>
        <v>2.4248922078188562</v>
      </c>
      <c r="P63" s="258">
        <f t="shared" ca="1" si="6"/>
        <v>0.54281021933867801</v>
      </c>
      <c r="Q63" s="258">
        <f t="shared" si="7"/>
        <v>0.21668575997154624</v>
      </c>
      <c r="R63" s="258">
        <f t="shared" ca="1" si="8"/>
        <v>0.75949597931022428</v>
      </c>
    </row>
    <row r="64" spans="3:18" ht="14" x14ac:dyDescent="0.3">
      <c r="C64" s="255" t="s">
        <v>5996</v>
      </c>
      <c r="D64" s="398">
        <v>0.97958978125742935</v>
      </c>
      <c r="E64" s="399">
        <v>2.041021874257062E-2</v>
      </c>
      <c r="F64" s="400">
        <v>7.0431999999999997</v>
      </c>
      <c r="G64" s="400">
        <v>0.92404166399999998</v>
      </c>
      <c r="H64" s="257">
        <v>7.9672416639999994</v>
      </c>
      <c r="I64" s="398">
        <v>0.11598012247768064</v>
      </c>
      <c r="J64" s="258">
        <f t="shared" ca="1" si="0"/>
        <v>3.6440739862776375</v>
      </c>
      <c r="K64" s="258">
        <f t="shared" si="1"/>
        <v>0.16255024770083124</v>
      </c>
      <c r="L64" s="258">
        <f t="shared" ca="1" si="2"/>
        <v>3.8066242339784688</v>
      </c>
      <c r="M64" s="258">
        <f t="shared" ca="1" si="3"/>
        <v>2.2236688034543648</v>
      </c>
      <c r="N64" s="258">
        <f t="shared" si="4"/>
        <v>0.16246534119086214</v>
      </c>
      <c r="O64" s="258">
        <f t="shared" ca="1" si="5"/>
        <v>2.3861341446452271</v>
      </c>
      <c r="P64" s="258">
        <f t="shared" ca="1" si="6"/>
        <v>0.54661109794164564</v>
      </c>
      <c r="Q64" s="258">
        <f t="shared" si="7"/>
        <v>0.16246534119086214</v>
      </c>
      <c r="R64" s="258">
        <f t="shared" ca="1" si="8"/>
        <v>0.70907643913250773</v>
      </c>
    </row>
    <row r="65" spans="3:18" ht="14" x14ac:dyDescent="0.3">
      <c r="C65" s="255" t="s">
        <v>5997</v>
      </c>
      <c r="D65" s="398">
        <v>0.97861506659080577</v>
      </c>
      <c r="E65" s="399">
        <v>2.1384933409194284E-2</v>
      </c>
      <c r="F65" s="400">
        <v>5.5304000000000002</v>
      </c>
      <c r="G65" s="400">
        <v>0.76097548799999992</v>
      </c>
      <c r="H65" s="257">
        <v>6.2913754879999999</v>
      </c>
      <c r="I65" s="398">
        <v>0.12095534425682652</v>
      </c>
      <c r="J65" s="258">
        <f t="shared" ca="1" si="0"/>
        <v>3.6404480477177978</v>
      </c>
      <c r="K65" s="258">
        <f t="shared" si="1"/>
        <v>0.17031303126016875</v>
      </c>
      <c r="L65" s="258">
        <f t="shared" ca="1" si="2"/>
        <v>3.8107610789779667</v>
      </c>
      <c r="M65" s="258">
        <f t="shared" ca="1" si="3"/>
        <v>2.221456201161129</v>
      </c>
      <c r="N65" s="258">
        <f t="shared" si="4"/>
        <v>0.1702240699371865</v>
      </c>
      <c r="O65" s="258">
        <f t="shared" ca="1" si="5"/>
        <v>2.3916802710983154</v>
      </c>
      <c r="P65" s="258">
        <f t="shared" ca="1" si="6"/>
        <v>0.54606720715766965</v>
      </c>
      <c r="Q65" s="258">
        <f t="shared" si="7"/>
        <v>0.1702240699371865</v>
      </c>
      <c r="R65" s="258">
        <f t="shared" ca="1" si="8"/>
        <v>0.71629127709485618</v>
      </c>
    </row>
    <row r="66" spans="3:18" ht="14" x14ac:dyDescent="0.3">
      <c r="C66" s="255" t="s">
        <v>5998</v>
      </c>
      <c r="D66" s="398">
        <v>0.97275693571502242</v>
      </c>
      <c r="E66" s="399">
        <v>2.7243064284977529E-2</v>
      </c>
      <c r="F66" s="400">
        <v>4.3151999999999999</v>
      </c>
      <c r="G66" s="400">
        <v>0.76097548799999992</v>
      </c>
      <c r="H66" s="257">
        <v>5.0761754879999996</v>
      </c>
      <c r="I66" s="398">
        <v>0.14991118604920856</v>
      </c>
      <c r="J66" s="258">
        <f t="shared" ca="1" si="0"/>
        <v>3.6186558008598837</v>
      </c>
      <c r="K66" s="258">
        <f t="shared" si="1"/>
        <v>0.21696812285584663</v>
      </c>
      <c r="L66" s="258">
        <f t="shared" ca="1" si="2"/>
        <v>3.8356239237157301</v>
      </c>
      <c r="M66" s="258">
        <f t="shared" ca="1" si="3"/>
        <v>2.2081582440731009</v>
      </c>
      <c r="N66" s="258">
        <f t="shared" si="4"/>
        <v>0.21685479170842112</v>
      </c>
      <c r="O66" s="258">
        <f t="shared" ca="1" si="5"/>
        <v>2.4250130357815221</v>
      </c>
      <c r="P66" s="258">
        <f t="shared" ca="1" si="6"/>
        <v>0.54279837012898258</v>
      </c>
      <c r="Q66" s="258">
        <f t="shared" si="7"/>
        <v>0.21685479170842112</v>
      </c>
      <c r="R66" s="258">
        <f t="shared" ca="1" si="8"/>
        <v>0.75965316183740372</v>
      </c>
    </row>
    <row r="67" spans="3:18" ht="14" x14ac:dyDescent="0.3">
      <c r="C67" s="255" t="s">
        <v>5999</v>
      </c>
      <c r="D67" s="398">
        <v>0.96791366210134056</v>
      </c>
      <c r="E67" s="399">
        <v>3.2086337898659438E-2</v>
      </c>
      <c r="F67" s="400">
        <v>2.8643999999999998</v>
      </c>
      <c r="G67" s="400">
        <v>0.59790931199999997</v>
      </c>
      <c r="H67" s="257">
        <v>3.4623093119999999</v>
      </c>
      <c r="I67" s="398">
        <v>0.17269090024040001</v>
      </c>
      <c r="J67" s="258">
        <f t="shared" ca="1" si="0"/>
        <v>3.600638823016987</v>
      </c>
      <c r="K67" s="258">
        <f t="shared" si="1"/>
        <v>0.25554072883898754</v>
      </c>
      <c r="L67" s="258">
        <f t="shared" ca="1" si="2"/>
        <v>3.8561795518559747</v>
      </c>
      <c r="M67" s="258">
        <f t="shared" ca="1" si="3"/>
        <v>2.1971640129700432</v>
      </c>
      <c r="N67" s="258">
        <f t="shared" si="4"/>
        <v>0.25540724967332912</v>
      </c>
      <c r="O67" s="258">
        <f t="shared" ca="1" si="5"/>
        <v>2.4525712626433722</v>
      </c>
      <c r="P67" s="258">
        <f t="shared" ca="1" si="6"/>
        <v>0.54009582345254803</v>
      </c>
      <c r="Q67" s="258">
        <f t="shared" si="7"/>
        <v>0.25540724967332912</v>
      </c>
      <c r="R67" s="258">
        <f t="shared" ca="1" si="8"/>
        <v>0.7955030731258772</v>
      </c>
    </row>
    <row r="68" spans="3:18" ht="14" x14ac:dyDescent="0.3">
      <c r="C68" s="255" t="s">
        <v>6000</v>
      </c>
      <c r="D68" s="398">
        <v>0.97844343697357838</v>
      </c>
      <c r="E68" s="399">
        <v>2.1556563026421664E-2</v>
      </c>
      <c r="F68" s="400">
        <v>4.9228000000000005</v>
      </c>
      <c r="G68" s="400">
        <v>0.68292671999999988</v>
      </c>
      <c r="H68" s="257">
        <v>5.6057267200000007</v>
      </c>
      <c r="I68" s="398">
        <v>0.12182661662108277</v>
      </c>
      <c r="J68" s="258">
        <f t="shared" ca="1" si="0"/>
        <v>3.6398095855417116</v>
      </c>
      <c r="K68" s="258">
        <f t="shared" si="1"/>
        <v>0.17167991699250634</v>
      </c>
      <c r="L68" s="258">
        <f t="shared" ca="1" si="2"/>
        <v>3.8114895025342181</v>
      </c>
      <c r="M68" s="258">
        <f t="shared" ca="1" si="3"/>
        <v>2.2210666019300231</v>
      </c>
      <c r="N68" s="258">
        <f t="shared" si="4"/>
        <v>0.17159024169031645</v>
      </c>
      <c r="O68" s="258">
        <f t="shared" ca="1" si="5"/>
        <v>2.3926568436203395</v>
      </c>
      <c r="P68" s="258">
        <f t="shared" ca="1" si="6"/>
        <v>0.54597143783125679</v>
      </c>
      <c r="Q68" s="258">
        <f t="shared" si="7"/>
        <v>0.17159024169031645</v>
      </c>
      <c r="R68" s="258">
        <f t="shared" ca="1" si="8"/>
        <v>0.71756167952157324</v>
      </c>
    </row>
    <row r="69" spans="3:18" ht="14" x14ac:dyDescent="0.3">
      <c r="C69" s="255" t="s">
        <v>6001</v>
      </c>
      <c r="D69" s="398">
        <v>0.9725596986947308</v>
      </c>
      <c r="E69" s="399">
        <v>2.744030130526923E-2</v>
      </c>
      <c r="F69" s="400">
        <v>3.8439999999999999</v>
      </c>
      <c r="G69" s="400">
        <v>0.68292671999999988</v>
      </c>
      <c r="H69" s="257">
        <v>4.5269267199999996</v>
      </c>
      <c r="I69" s="398">
        <v>0.15085879720182435</v>
      </c>
      <c r="J69" s="258">
        <f t="shared" ca="1" si="0"/>
        <v>3.6179220791443987</v>
      </c>
      <c r="K69" s="258">
        <f t="shared" si="1"/>
        <v>0.21853895004337298</v>
      </c>
      <c r="L69" s="258">
        <f t="shared" ca="1" si="2"/>
        <v>3.8364610291877717</v>
      </c>
      <c r="M69" s="258">
        <f t="shared" ca="1" si="3"/>
        <v>2.2077105160370389</v>
      </c>
      <c r="N69" s="258">
        <f t="shared" si="4"/>
        <v>0.21842479838994308</v>
      </c>
      <c r="O69" s="258">
        <f t="shared" ca="1" si="5"/>
        <v>2.4261353144269822</v>
      </c>
      <c r="P69" s="258">
        <f t="shared" ca="1" si="6"/>
        <v>0.54268831187165989</v>
      </c>
      <c r="Q69" s="258">
        <f t="shared" si="7"/>
        <v>0.21842479838994308</v>
      </c>
      <c r="R69" s="258">
        <f t="shared" ca="1" si="8"/>
        <v>0.761113110261603</v>
      </c>
    </row>
    <row r="70" spans="3:18" ht="14" x14ac:dyDescent="0.3">
      <c r="C70" s="255" t="s">
        <v>6002</v>
      </c>
      <c r="D70" s="398">
        <v>0.9677165530030335</v>
      </c>
      <c r="E70" s="399">
        <v>3.2283446996966489E-2</v>
      </c>
      <c r="F70" s="400">
        <v>2.5544000000000002</v>
      </c>
      <c r="G70" s="400">
        <v>0.53658527999999994</v>
      </c>
      <c r="H70" s="257">
        <v>3.0909852799999999</v>
      </c>
      <c r="I70" s="398">
        <v>0.17359684093998659</v>
      </c>
      <c r="J70" s="258">
        <f t="shared" ca="1" si="0"/>
        <v>3.5999055771712847</v>
      </c>
      <c r="K70" s="258">
        <f t="shared" si="1"/>
        <v>0.25711053723536065</v>
      </c>
      <c r="L70" s="258">
        <f t="shared" ca="1" si="2"/>
        <v>3.8570161144066453</v>
      </c>
      <c r="M70" s="258">
        <f t="shared" ca="1" si="3"/>
        <v>2.196716575316886</v>
      </c>
      <c r="N70" s="258">
        <f t="shared" si="4"/>
        <v>0.25697623809585324</v>
      </c>
      <c r="O70" s="258">
        <f t="shared" ca="1" si="5"/>
        <v>2.4536928134127391</v>
      </c>
      <c r="P70" s="258">
        <f t="shared" ca="1" si="6"/>
        <v>0.53998583657569277</v>
      </c>
      <c r="Q70" s="258">
        <f t="shared" si="7"/>
        <v>0.25697623809585324</v>
      </c>
      <c r="R70" s="258">
        <f t="shared" ca="1" si="8"/>
        <v>0.79696207467154601</v>
      </c>
    </row>
    <row r="71" spans="3:18" ht="14" x14ac:dyDescent="0.3">
      <c r="C71" s="255" t="s">
        <v>6003</v>
      </c>
      <c r="D71" s="398">
        <v>0.97834530501871575</v>
      </c>
      <c r="E71" s="399">
        <v>2.1654694981284254E-2</v>
      </c>
      <c r="F71" s="400">
        <v>4.34</v>
      </c>
      <c r="G71" s="400">
        <v>0.60487795199999994</v>
      </c>
      <c r="H71" s="257">
        <v>4.9448779519999997</v>
      </c>
      <c r="I71" s="398">
        <v>0.12232414184365292</v>
      </c>
      <c r="J71" s="258">
        <f t="shared" ca="1" si="0"/>
        <v>3.6394445346696229</v>
      </c>
      <c r="K71" s="258">
        <f t="shared" si="1"/>
        <v>0.17246145558214479</v>
      </c>
      <c r="L71" s="258">
        <f t="shared" ca="1" si="2"/>
        <v>3.8119059902517676</v>
      </c>
      <c r="M71" s="258">
        <f t="shared" ca="1" si="3"/>
        <v>2.2208438423924846</v>
      </c>
      <c r="N71" s="258">
        <f t="shared" si="4"/>
        <v>0.17237137205102265</v>
      </c>
      <c r="O71" s="258">
        <f t="shared" ca="1" si="5"/>
        <v>2.393215214443507</v>
      </c>
      <c r="P71" s="258">
        <f t="shared" ca="1" si="6"/>
        <v>0.54591668020044348</v>
      </c>
      <c r="Q71" s="258">
        <f t="shared" si="7"/>
        <v>0.17237137205102265</v>
      </c>
      <c r="R71" s="258">
        <f t="shared" ca="1" si="8"/>
        <v>0.71828805225146608</v>
      </c>
    </row>
    <row r="72" spans="3:18" ht="14" x14ac:dyDescent="0.3">
      <c r="C72" s="255" t="s">
        <v>6004</v>
      </c>
      <c r="D72" s="398">
        <v>0.9724061067103501</v>
      </c>
      <c r="E72" s="399">
        <v>2.7593893289649861E-2</v>
      </c>
      <c r="F72" s="400">
        <v>3.3851999999999998</v>
      </c>
      <c r="G72" s="400">
        <v>0.60487795199999994</v>
      </c>
      <c r="H72" s="257">
        <v>3.9900779519999996</v>
      </c>
      <c r="I72" s="398">
        <v>0.15159552251273911</v>
      </c>
      <c r="J72" s="258">
        <f t="shared" ca="1" si="0"/>
        <v>3.6173507169625028</v>
      </c>
      <c r="K72" s="258">
        <f t="shared" si="1"/>
        <v>0.21976218118169782</v>
      </c>
      <c r="L72" s="258">
        <f t="shared" ca="1" si="2"/>
        <v>3.8371128981442006</v>
      </c>
      <c r="M72" s="258">
        <f t="shared" ca="1" si="3"/>
        <v>2.2073618622324949</v>
      </c>
      <c r="N72" s="258">
        <f t="shared" si="4"/>
        <v>0.21964739058561289</v>
      </c>
      <c r="O72" s="258">
        <f t="shared" ca="1" si="5"/>
        <v>2.4270092528181078</v>
      </c>
      <c r="P72" s="258">
        <f t="shared" ca="1" si="6"/>
        <v>0.54260260754437539</v>
      </c>
      <c r="Q72" s="258">
        <f t="shared" si="7"/>
        <v>0.21964739058561289</v>
      </c>
      <c r="R72" s="258">
        <f t="shared" ca="1" si="8"/>
        <v>0.76224999812998828</v>
      </c>
    </row>
    <row r="73" spans="3:18" ht="14" x14ac:dyDescent="0.3">
      <c r="C73" s="255" t="s">
        <v>6005</v>
      </c>
      <c r="D73" s="398">
        <v>0.96780923686655096</v>
      </c>
      <c r="E73" s="399">
        <v>3.2190763133448992E-2</v>
      </c>
      <c r="F73" s="400">
        <v>2.2692000000000001</v>
      </c>
      <c r="G73" s="400">
        <v>0.47526124799999997</v>
      </c>
      <c r="H73" s="257">
        <v>2.7444612479999999</v>
      </c>
      <c r="I73" s="398">
        <v>0.17317105437227145</v>
      </c>
      <c r="J73" s="258">
        <f t="shared" ca="1" si="0"/>
        <v>3.6002503611435697</v>
      </c>
      <c r="K73" s="258">
        <f t="shared" si="1"/>
        <v>0.25637238811688912</v>
      </c>
      <c r="L73" s="258">
        <f t="shared" ca="1" si="2"/>
        <v>3.8566227492604588</v>
      </c>
      <c r="M73" s="258">
        <f t="shared" ca="1" si="3"/>
        <v>2.1969269676870709</v>
      </c>
      <c r="N73" s="258">
        <f t="shared" si="4"/>
        <v>0.25623847454225396</v>
      </c>
      <c r="O73" s="258">
        <f t="shared" ca="1" si="5"/>
        <v>2.453165442229325</v>
      </c>
      <c r="P73" s="258">
        <f t="shared" ca="1" si="6"/>
        <v>0.54003755417153554</v>
      </c>
      <c r="Q73" s="258">
        <f t="shared" si="7"/>
        <v>0.25623847454225396</v>
      </c>
      <c r="R73" s="258">
        <f t="shared" ca="1" si="8"/>
        <v>0.79627602871378955</v>
      </c>
    </row>
    <row r="74" spans="3:18" ht="14" x14ac:dyDescent="0.3">
      <c r="C74" s="255" t="s">
        <v>6006</v>
      </c>
      <c r="D74" s="398">
        <v>0.9780410677916177</v>
      </c>
      <c r="E74" s="399">
        <v>2.1958932208382343E-2</v>
      </c>
      <c r="F74" s="400">
        <v>3.1743999999999999</v>
      </c>
      <c r="G74" s="400">
        <v>0.44878041599999996</v>
      </c>
      <c r="H74" s="257">
        <v>3.6231804159999998</v>
      </c>
      <c r="I74" s="398">
        <v>0.12386366795817876</v>
      </c>
      <c r="J74" s="258">
        <f t="shared" ca="1" si="0"/>
        <v>3.6383127721848179</v>
      </c>
      <c r="K74" s="258">
        <f t="shared" si="1"/>
        <v>0.17488444953671031</v>
      </c>
      <c r="L74" s="258">
        <f t="shared" ca="1" si="2"/>
        <v>3.813197221721528</v>
      </c>
      <c r="M74" s="258">
        <f t="shared" ca="1" si="3"/>
        <v>2.2201532238869723</v>
      </c>
      <c r="N74" s="258">
        <f t="shared" si="4"/>
        <v>0.17479310037872345</v>
      </c>
      <c r="O74" s="258">
        <f t="shared" ca="1" si="5"/>
        <v>2.3949463242656956</v>
      </c>
      <c r="P74" s="258">
        <f t="shared" ca="1" si="6"/>
        <v>0.54574691582772272</v>
      </c>
      <c r="Q74" s="258">
        <f t="shared" si="7"/>
        <v>0.17479310037872345</v>
      </c>
      <c r="R74" s="258">
        <f t="shared" ca="1" si="8"/>
        <v>0.72054001620644614</v>
      </c>
    </row>
    <row r="75" spans="3:18" ht="14" x14ac:dyDescent="0.3">
      <c r="C75" s="255" t="s">
        <v>6007</v>
      </c>
      <c r="D75" s="398">
        <v>0.9721994488935064</v>
      </c>
      <c r="E75" s="399">
        <v>2.7800551106493567E-2</v>
      </c>
      <c r="F75" s="400">
        <v>2.4923999999999995</v>
      </c>
      <c r="G75" s="400">
        <v>0.44878041599999996</v>
      </c>
      <c r="H75" s="257">
        <v>2.9411804159999995</v>
      </c>
      <c r="I75" s="398">
        <v>0.15258513675619417</v>
      </c>
      <c r="J75" s="258">
        <f t="shared" ca="1" si="0"/>
        <v>3.6165819498838441</v>
      </c>
      <c r="K75" s="258">
        <f t="shared" si="1"/>
        <v>0.2214080371002918</v>
      </c>
      <c r="L75" s="258">
        <f t="shared" ca="1" si="2"/>
        <v>3.8379899869841361</v>
      </c>
      <c r="M75" s="258">
        <f t="shared" ca="1" si="3"/>
        <v>2.2068927489882597</v>
      </c>
      <c r="N75" s="258">
        <f t="shared" si="4"/>
        <v>0.22129238680768878</v>
      </c>
      <c r="O75" s="258">
        <f t="shared" ca="1" si="5"/>
        <v>2.4281851357959483</v>
      </c>
      <c r="P75" s="258">
        <f t="shared" ca="1" si="6"/>
        <v>0.54248729248257666</v>
      </c>
      <c r="Q75" s="258">
        <f t="shared" si="7"/>
        <v>0.22129238680768878</v>
      </c>
      <c r="R75" s="258">
        <f t="shared" ca="1" si="8"/>
        <v>0.76377967929026547</v>
      </c>
    </row>
    <row r="76" spans="3:18" ht="14" x14ac:dyDescent="0.3">
      <c r="C76" s="255" t="s">
        <v>6008</v>
      </c>
      <c r="D76" s="398">
        <v>0.96763060594103689</v>
      </c>
      <c r="E76" s="399">
        <v>3.2369394058963108E-2</v>
      </c>
      <c r="F76" s="400">
        <v>1.6740000000000002</v>
      </c>
      <c r="G76" s="400">
        <v>0.35261318399999997</v>
      </c>
      <c r="H76" s="257">
        <v>2.0266131840000003</v>
      </c>
      <c r="I76" s="398">
        <v>0.17399135996146756</v>
      </c>
      <c r="J76" s="258">
        <f t="shared" ca="1" si="0"/>
        <v>3.5995858541006576</v>
      </c>
      <c r="K76" s="258">
        <f t="shared" si="1"/>
        <v>0.25779503338863163</v>
      </c>
      <c r="L76" s="258">
        <f t="shared" ca="1" si="2"/>
        <v>3.8573808874892892</v>
      </c>
      <c r="M76" s="258">
        <f t="shared" ca="1" si="3"/>
        <v>2.1965214754861537</v>
      </c>
      <c r="N76" s="258">
        <f t="shared" si="4"/>
        <v>0.25766037670934633</v>
      </c>
      <c r="O76" s="258">
        <f t="shared" ca="1" si="5"/>
        <v>2.4541818521955001</v>
      </c>
      <c r="P76" s="258">
        <f t="shared" ca="1" si="6"/>
        <v>0.53993787811509864</v>
      </c>
      <c r="Q76" s="258">
        <f t="shared" si="7"/>
        <v>0.25766037670934633</v>
      </c>
      <c r="R76" s="258">
        <f t="shared" ca="1" si="8"/>
        <v>0.79759825482444491</v>
      </c>
    </row>
    <row r="77" spans="3:18" ht="14" x14ac:dyDescent="0.3">
      <c r="C77" s="255" t="s">
        <v>6009</v>
      </c>
      <c r="D77" s="398">
        <v>0.97761315691338835</v>
      </c>
      <c r="E77" s="399">
        <v>2.2386843086611628E-2</v>
      </c>
      <c r="F77" s="400">
        <v>2.5792000000000002</v>
      </c>
      <c r="G77" s="400">
        <v>0.37190237951999999</v>
      </c>
      <c r="H77" s="257">
        <v>2.95110237952</v>
      </c>
      <c r="I77" s="398">
        <v>0.12602151050431884</v>
      </c>
      <c r="J77" s="258">
        <f t="shared" ca="1" si="0"/>
        <v>3.6367209437178047</v>
      </c>
      <c r="K77" s="258">
        <f t="shared" si="1"/>
        <v>0.17829240023666884</v>
      </c>
      <c r="L77" s="258">
        <f t="shared" ca="1" si="2"/>
        <v>3.8150133439544738</v>
      </c>
      <c r="M77" s="258">
        <f t="shared" ca="1" si="3"/>
        <v>2.2191818661933915</v>
      </c>
      <c r="N77" s="258">
        <f t="shared" si="4"/>
        <v>0.17819927096942856</v>
      </c>
      <c r="O77" s="258">
        <f t="shared" ca="1" si="5"/>
        <v>2.39738113716282</v>
      </c>
      <c r="P77" s="258">
        <f t="shared" ca="1" si="6"/>
        <v>0.5455081415576708</v>
      </c>
      <c r="Q77" s="258">
        <f t="shared" si="7"/>
        <v>0.17819927096942856</v>
      </c>
      <c r="R77" s="258">
        <f t="shared" ca="1" si="8"/>
        <v>0.72370741252709936</v>
      </c>
    </row>
    <row r="78" spans="3:18" ht="14" x14ac:dyDescent="0.3">
      <c r="C78" s="255" t="s">
        <v>6010</v>
      </c>
      <c r="D78" s="398">
        <v>0.9719427003374479</v>
      </c>
      <c r="E78" s="399">
        <v>2.8057299662552097E-2</v>
      </c>
      <c r="F78" s="400">
        <v>2.0459999999999998</v>
      </c>
      <c r="G78" s="400">
        <v>0.37190237951999999</v>
      </c>
      <c r="H78" s="257">
        <v>2.4179023795199996</v>
      </c>
      <c r="I78" s="398">
        <v>0.15381199119950814</v>
      </c>
      <c r="J78" s="258">
        <f t="shared" ca="1" si="0"/>
        <v>3.6156268452553064</v>
      </c>
      <c r="K78" s="258">
        <f t="shared" si="1"/>
        <v>0.22345282368051089</v>
      </c>
      <c r="L78" s="258">
        <f t="shared" ca="1" si="2"/>
        <v>3.8390796689358173</v>
      </c>
      <c r="M78" s="258">
        <f t="shared" ca="1" si="3"/>
        <v>2.2063099297660069</v>
      </c>
      <c r="N78" s="258">
        <f t="shared" si="4"/>
        <v>0.22333610531391471</v>
      </c>
      <c r="O78" s="258">
        <f t="shared" ca="1" si="5"/>
        <v>2.4296460350799216</v>
      </c>
      <c r="P78" s="258">
        <f t="shared" ca="1" si="6"/>
        <v>0.54234402678829596</v>
      </c>
      <c r="Q78" s="258">
        <f t="shared" si="7"/>
        <v>0.22333610531391471</v>
      </c>
      <c r="R78" s="258">
        <f t="shared" ca="1" si="8"/>
        <v>0.76568013210221064</v>
      </c>
    </row>
    <row r="79" spans="3:18" ht="14" x14ac:dyDescent="0.3">
      <c r="C79" s="255" t="s">
        <v>6011</v>
      </c>
      <c r="D79" s="398">
        <v>0.96766586836248503</v>
      </c>
      <c r="E79" s="399">
        <v>3.2334131637515022E-2</v>
      </c>
      <c r="F79" s="400">
        <v>1.3888</v>
      </c>
      <c r="G79" s="400">
        <v>0.29220901247999997</v>
      </c>
      <c r="H79" s="257">
        <v>1.6810090124800001</v>
      </c>
      <c r="I79" s="398">
        <v>0.17382953351862326</v>
      </c>
      <c r="J79" s="258">
        <f t="shared" ca="1" si="0"/>
        <v>3.5997170303084447</v>
      </c>
      <c r="K79" s="258">
        <f t="shared" si="1"/>
        <v>0.25751419782223162</v>
      </c>
      <c r="L79" s="258">
        <f t="shared" ca="1" si="2"/>
        <v>3.8572312281306762</v>
      </c>
      <c r="M79" s="258">
        <f t="shared" ca="1" si="3"/>
        <v>2.1966015211828411</v>
      </c>
      <c r="N79" s="258">
        <f t="shared" si="4"/>
        <v>0.25737968783461956</v>
      </c>
      <c r="O79" s="258">
        <f t="shared" ca="1" si="5"/>
        <v>2.4539812090174609</v>
      </c>
      <c r="P79" s="258">
        <f t="shared" ca="1" si="6"/>
        <v>0.5399575545462667</v>
      </c>
      <c r="Q79" s="258">
        <f t="shared" si="7"/>
        <v>0.25737968783461956</v>
      </c>
      <c r="R79" s="258">
        <f t="shared" ca="1" si="8"/>
        <v>0.79733724238088621</v>
      </c>
    </row>
    <row r="80" spans="3:18" ht="14" x14ac:dyDescent="0.3">
      <c r="C80" s="255" t="s">
        <v>6012</v>
      </c>
      <c r="D80" s="399">
        <v>0.9869292017652137</v>
      </c>
      <c r="E80" s="399">
        <v>1.3070798234786324E-2</v>
      </c>
      <c r="F80" s="400">
        <v>74.7</v>
      </c>
      <c r="G80" s="400">
        <v>2.3266895231999998</v>
      </c>
      <c r="H80" s="257">
        <v>77.026689523200005</v>
      </c>
      <c r="I80" s="398">
        <v>3.020627703984622E-2</v>
      </c>
      <c r="J80" s="258">
        <f t="shared" ca="1" si="0"/>
        <v>3.6713766305665954</v>
      </c>
      <c r="K80" s="258">
        <f t="shared" si="1"/>
        <v>0.10409792846955584</v>
      </c>
      <c r="L80" s="258">
        <f t="shared" ca="1" si="2"/>
        <v>3.7754745590361511</v>
      </c>
      <c r="M80" s="258">
        <f t="shared" ca="1" si="3"/>
        <v>2.2403292880070351</v>
      </c>
      <c r="N80" s="258">
        <f t="shared" si="4"/>
        <v>0.10404355394889914</v>
      </c>
      <c r="O80" s="258">
        <f t="shared" ca="1" si="5"/>
        <v>2.3443728419559342</v>
      </c>
      <c r="P80" s="258">
        <f t="shared" ca="1" si="6"/>
        <v>0.55070649458498933</v>
      </c>
      <c r="Q80" s="258">
        <f t="shared" si="7"/>
        <v>0.10404355394889914</v>
      </c>
      <c r="R80" s="258">
        <f t="shared" ca="1" si="8"/>
        <v>0.65475004853388841</v>
      </c>
    </row>
    <row r="81" spans="3:18" ht="14" x14ac:dyDescent="0.3">
      <c r="C81" s="255" t="s">
        <v>6013</v>
      </c>
      <c r="D81" s="399">
        <v>0.9837147176165747</v>
      </c>
      <c r="E81" s="399">
        <v>1.6285282383425338E-2</v>
      </c>
      <c r="F81" s="400">
        <v>59.76</v>
      </c>
      <c r="G81" s="400">
        <v>2.3266895231999998</v>
      </c>
      <c r="H81" s="257">
        <v>62.0866895232</v>
      </c>
      <c r="I81" s="398">
        <v>3.7474852356729108E-2</v>
      </c>
      <c r="J81" s="258">
        <f t="shared" ca="1" si="0"/>
        <v>3.6594187495336579</v>
      </c>
      <c r="K81" s="258">
        <f t="shared" si="1"/>
        <v>0.12969859454678073</v>
      </c>
      <c r="L81" s="258">
        <f t="shared" ca="1" si="2"/>
        <v>3.7891173440804384</v>
      </c>
      <c r="M81" s="258">
        <f t="shared" ca="1" si="3"/>
        <v>2.2330324089896245</v>
      </c>
      <c r="N81" s="258">
        <f t="shared" si="4"/>
        <v>0.12963084777206568</v>
      </c>
      <c r="O81" s="258">
        <f t="shared" ca="1" si="5"/>
        <v>2.3626632567616901</v>
      </c>
      <c r="P81" s="258">
        <f t="shared" ca="1" si="6"/>
        <v>0.54891281243004875</v>
      </c>
      <c r="Q81" s="258">
        <f t="shared" si="7"/>
        <v>0.12963084777206568</v>
      </c>
      <c r="R81" s="258">
        <f t="shared" ca="1" si="8"/>
        <v>0.67854366020211443</v>
      </c>
    </row>
    <row r="82" spans="3:18" ht="14" x14ac:dyDescent="0.3">
      <c r="C82" s="255" t="s">
        <v>6014</v>
      </c>
      <c r="D82" s="399">
        <v>0.98985838990081332</v>
      </c>
      <c r="E82" s="399">
        <v>1.0141610099186685E-2</v>
      </c>
      <c r="F82" s="400">
        <v>92.627999999999986</v>
      </c>
      <c r="G82" s="400">
        <v>2.2319160191999998</v>
      </c>
      <c r="H82" s="257">
        <v>94.859916019199986</v>
      </c>
      <c r="I82" s="398">
        <v>2.3528547281743872E-2</v>
      </c>
      <c r="J82" s="258">
        <f t="shared" ca="1" si="0"/>
        <v>3.6822732104310258</v>
      </c>
      <c r="K82" s="258">
        <f t="shared" si="1"/>
        <v>8.0769405487538623E-2</v>
      </c>
      <c r="L82" s="258">
        <f t="shared" ca="1" si="2"/>
        <v>3.7630426159185646</v>
      </c>
      <c r="M82" s="258">
        <f t="shared" ca="1" si="3"/>
        <v>2.2469785450748461</v>
      </c>
      <c r="N82" s="258">
        <f t="shared" si="4"/>
        <v>8.0727216389526013E-2</v>
      </c>
      <c r="O82" s="258">
        <f t="shared" ca="1" si="5"/>
        <v>2.3277057614643719</v>
      </c>
      <c r="P82" s="258">
        <f t="shared" ca="1" si="6"/>
        <v>0.55234098156465383</v>
      </c>
      <c r="Q82" s="258">
        <f t="shared" si="7"/>
        <v>8.0727216389526013E-2</v>
      </c>
      <c r="R82" s="258">
        <f t="shared" ca="1" si="8"/>
        <v>0.6330681979541799</v>
      </c>
    </row>
    <row r="83" spans="3:18" ht="14" x14ac:dyDescent="0.3">
      <c r="C83" s="255" t="s">
        <v>6015</v>
      </c>
      <c r="D83" s="399">
        <v>0.98693905416942473</v>
      </c>
      <c r="E83" s="399">
        <v>1.3060945830575215E-2</v>
      </c>
      <c r="F83" s="400">
        <v>71.712000000000003</v>
      </c>
      <c r="G83" s="400">
        <v>2.2319160191999998</v>
      </c>
      <c r="H83" s="257">
        <v>73.943916019200003</v>
      </c>
      <c r="I83" s="398">
        <v>3.0183903414318345E-2</v>
      </c>
      <c r="J83" s="258">
        <f t="shared" ca="1" si="0"/>
        <v>3.6714132815102603</v>
      </c>
      <c r="K83" s="258">
        <f t="shared" si="1"/>
        <v>0.1040194623460339</v>
      </c>
      <c r="L83" s="258">
        <f t="shared" ca="1" si="2"/>
        <v>3.7754327438562942</v>
      </c>
      <c r="M83" s="258">
        <f t="shared" ca="1" si="3"/>
        <v>2.2403516529645944</v>
      </c>
      <c r="N83" s="258">
        <f t="shared" si="4"/>
        <v>0.10396512881137872</v>
      </c>
      <c r="O83" s="258">
        <f t="shared" ca="1" si="5"/>
        <v>2.3443167817759729</v>
      </c>
      <c r="P83" s="258">
        <f t="shared" ca="1" si="6"/>
        <v>0.5507119922265391</v>
      </c>
      <c r="Q83" s="258">
        <f t="shared" si="7"/>
        <v>0.10396512881137872</v>
      </c>
      <c r="R83" s="258">
        <f t="shared" ca="1" si="8"/>
        <v>0.65467712103791786</v>
      </c>
    </row>
    <row r="84" spans="3:18" ht="14" x14ac:dyDescent="0.3">
      <c r="C84" s="255" t="s">
        <v>6016</v>
      </c>
      <c r="D84" s="399">
        <v>0.98374546003602592</v>
      </c>
      <c r="E84" s="399">
        <v>1.6254539963974104E-2</v>
      </c>
      <c r="F84" s="400">
        <v>57.436</v>
      </c>
      <c r="G84" s="400">
        <v>2.2319160191999998</v>
      </c>
      <c r="H84" s="257">
        <v>59.6679160192</v>
      </c>
      <c r="I84" s="398">
        <v>3.7405630498001836E-2</v>
      </c>
      <c r="J84" s="258">
        <f t="shared" ca="1" si="0"/>
        <v>3.6595331113340168</v>
      </c>
      <c r="K84" s="258">
        <f t="shared" si="1"/>
        <v>0.129453756999484</v>
      </c>
      <c r="L84" s="258">
        <f t="shared" ca="1" si="2"/>
        <v>3.7889868683335006</v>
      </c>
      <c r="M84" s="258">
        <f t="shared" ca="1" si="3"/>
        <v>2.2331021942817788</v>
      </c>
      <c r="N84" s="258">
        <f t="shared" si="4"/>
        <v>0.12938613811323388</v>
      </c>
      <c r="O84" s="258">
        <f t="shared" ca="1" si="5"/>
        <v>2.3624883323950128</v>
      </c>
      <c r="P84" s="258">
        <f t="shared" ca="1" si="6"/>
        <v>0.54892996670010252</v>
      </c>
      <c r="Q84" s="258">
        <f t="shared" si="7"/>
        <v>0.12938613811323388</v>
      </c>
      <c r="R84" s="258">
        <f t="shared" ca="1" si="8"/>
        <v>0.67831610481333637</v>
      </c>
    </row>
    <row r="85" spans="3:18" ht="14" x14ac:dyDescent="0.3">
      <c r="C85" s="255" t="s">
        <v>6017</v>
      </c>
      <c r="D85" s="399">
        <v>0.98040224587804103</v>
      </c>
      <c r="E85" s="399">
        <v>1.959775412195898E-2</v>
      </c>
      <c r="F85" s="400">
        <v>47.475999999999999</v>
      </c>
      <c r="G85" s="400">
        <v>2.2319160191999998</v>
      </c>
      <c r="H85" s="257">
        <v>49.707916019199999</v>
      </c>
      <c r="I85" s="398">
        <v>4.4900615393691182E-2</v>
      </c>
      <c r="J85" s="258">
        <f t="shared" ca="1" si="0"/>
        <v>3.6470963546663127</v>
      </c>
      <c r="K85" s="258">
        <f t="shared" si="1"/>
        <v>0.15607964946794081</v>
      </c>
      <c r="L85" s="258">
        <f t="shared" ca="1" si="2"/>
        <v>3.8031760041342535</v>
      </c>
      <c r="M85" s="258">
        <f t="shared" ca="1" si="3"/>
        <v>2.225513098143153</v>
      </c>
      <c r="N85" s="258">
        <f t="shared" si="4"/>
        <v>0.15599812281079348</v>
      </c>
      <c r="O85" s="258">
        <f t="shared" ca="1" si="5"/>
        <v>2.3815112209539464</v>
      </c>
      <c r="P85" s="258">
        <f t="shared" ca="1" si="6"/>
        <v>0.5470644531999469</v>
      </c>
      <c r="Q85" s="258">
        <f t="shared" si="7"/>
        <v>0.15599812281079348</v>
      </c>
      <c r="R85" s="258">
        <f t="shared" ca="1" si="8"/>
        <v>0.7030625760107404</v>
      </c>
    </row>
    <row r="86" spans="3:18" ht="14" x14ac:dyDescent="0.3">
      <c r="C86" s="255" t="s">
        <v>6018</v>
      </c>
      <c r="D86" s="399">
        <v>0.9867373139364638</v>
      </c>
      <c r="E86" s="399">
        <v>1.3262686063536252E-2</v>
      </c>
      <c r="F86" s="400">
        <v>21.948</v>
      </c>
      <c r="G86" s="400">
        <v>1.8575606784000001</v>
      </c>
      <c r="H86" s="257">
        <v>23.805560678399999</v>
      </c>
      <c r="I86" s="398">
        <v>7.8030536793256874E-2</v>
      </c>
      <c r="J86" s="258">
        <f t="shared" ca="1" si="0"/>
        <v>3.6706628078436454</v>
      </c>
      <c r="K86" s="258">
        <f t="shared" si="1"/>
        <v>0.10562615383977288</v>
      </c>
      <c r="L86" s="258">
        <f t="shared" ca="1" si="2"/>
        <v>3.7762889616834183</v>
      </c>
      <c r="M86" s="258">
        <f t="shared" ca="1" si="3"/>
        <v>2.239893702635773</v>
      </c>
      <c r="N86" s="258">
        <f t="shared" si="4"/>
        <v>0.10557098106574857</v>
      </c>
      <c r="O86" s="258">
        <f t="shared" ca="1" si="5"/>
        <v>2.3454646837015214</v>
      </c>
      <c r="P86" s="258">
        <f t="shared" ca="1" si="6"/>
        <v>0.55059942117654681</v>
      </c>
      <c r="Q86" s="258">
        <f t="shared" si="7"/>
        <v>0.10557098106574857</v>
      </c>
      <c r="R86" s="258">
        <f t="shared" ca="1" si="8"/>
        <v>0.65617040224229539</v>
      </c>
    </row>
    <row r="87" spans="3:18" ht="14" x14ac:dyDescent="0.3">
      <c r="C87" s="255" t="s">
        <v>6019</v>
      </c>
      <c r="D87" s="399">
        <v>0.98352220746046204</v>
      </c>
      <c r="E87" s="399">
        <v>1.647779253953801E-2</v>
      </c>
      <c r="F87" s="400">
        <v>17.608000000000001</v>
      </c>
      <c r="G87" s="400">
        <v>1.8575606784000001</v>
      </c>
      <c r="H87" s="257">
        <v>19.465560678399999</v>
      </c>
      <c r="I87" s="398">
        <v>9.5428059283247171E-2</v>
      </c>
      <c r="J87" s="258">
        <f t="shared" ca="1" si="0"/>
        <v>3.6587026117529189</v>
      </c>
      <c r="K87" s="258">
        <f t="shared" si="1"/>
        <v>0.13123177623168703</v>
      </c>
      <c r="L87" s="258">
        <f t="shared" ca="1" si="2"/>
        <v>3.7899343879846059</v>
      </c>
      <c r="M87" s="258">
        <f t="shared" ca="1" si="3"/>
        <v>2.2325954109352488</v>
      </c>
      <c r="N87" s="258">
        <f t="shared" si="4"/>
        <v>0.13116322861472254</v>
      </c>
      <c r="O87" s="258">
        <f t="shared" ca="1" si="5"/>
        <v>2.3637586395499715</v>
      </c>
      <c r="P87" s="258">
        <f t="shared" ca="1" si="6"/>
        <v>0.54880539176293786</v>
      </c>
      <c r="Q87" s="258">
        <f t="shared" si="7"/>
        <v>0.13116322861472254</v>
      </c>
      <c r="R87" s="258">
        <f t="shared" ca="1" si="8"/>
        <v>0.67996862037766037</v>
      </c>
    </row>
    <row r="88" spans="3:18" ht="14" x14ac:dyDescent="0.3">
      <c r="C88" s="255" t="s">
        <v>6020</v>
      </c>
      <c r="D88" s="399">
        <v>0.98023702596485063</v>
      </c>
      <c r="E88" s="399">
        <v>1.9762974035149369E-2</v>
      </c>
      <c r="F88" s="400">
        <v>14.632000000000001</v>
      </c>
      <c r="G88" s="400">
        <v>1.8575606784000001</v>
      </c>
      <c r="H88" s="257">
        <v>16.4895606784</v>
      </c>
      <c r="I88" s="398">
        <v>0.11265070759788375</v>
      </c>
      <c r="J88" s="258">
        <f t="shared" ca="1" si="0"/>
        <v>3.6464817365892443</v>
      </c>
      <c r="K88" s="258">
        <f t="shared" si="1"/>
        <v>0.15739548729177519</v>
      </c>
      <c r="L88" s="258">
        <f t="shared" ca="1" si="2"/>
        <v>3.8038772238810195</v>
      </c>
      <c r="M88" s="258">
        <f t="shared" ca="1" si="3"/>
        <v>2.2251380489402108</v>
      </c>
      <c r="N88" s="258">
        <f t="shared" si="4"/>
        <v>0.15731327331978898</v>
      </c>
      <c r="O88" s="258">
        <f t="shared" ca="1" si="5"/>
        <v>2.3824513222599997</v>
      </c>
      <c r="P88" s="258">
        <f t="shared" ca="1" si="6"/>
        <v>0.54697226048838665</v>
      </c>
      <c r="Q88" s="258">
        <f t="shared" si="7"/>
        <v>0.15731327331978898</v>
      </c>
      <c r="R88" s="258">
        <f t="shared" ca="1" si="8"/>
        <v>0.7042855338081756</v>
      </c>
    </row>
    <row r="89" spans="3:18" ht="14" x14ac:dyDescent="0.3">
      <c r="C89" s="255" t="s">
        <v>6021</v>
      </c>
      <c r="D89" s="399">
        <v>0.97905908061478408</v>
      </c>
      <c r="E89" s="399">
        <v>2.0940919385215879E-2</v>
      </c>
      <c r="F89" s="400">
        <v>11.3584</v>
      </c>
      <c r="G89" s="400">
        <v>1.5297558527999997</v>
      </c>
      <c r="H89" s="257">
        <v>12.888155852799999</v>
      </c>
      <c r="I89" s="398">
        <v>0.11869470467861037</v>
      </c>
      <c r="J89" s="258">
        <f t="shared" ca="1" si="0"/>
        <v>3.6420997798869972</v>
      </c>
      <c r="K89" s="258">
        <f t="shared" si="1"/>
        <v>0.1667768325309609</v>
      </c>
      <c r="L89" s="258">
        <f t="shared" ca="1" si="2"/>
        <v>3.8088766124179583</v>
      </c>
      <c r="M89" s="258">
        <f t="shared" ca="1" si="3"/>
        <v>2.22246411299556</v>
      </c>
      <c r="N89" s="258">
        <f t="shared" si="4"/>
        <v>0.1666897183063184</v>
      </c>
      <c r="O89" s="258">
        <f t="shared" ca="1" si="5"/>
        <v>2.3891538313018783</v>
      </c>
      <c r="P89" s="258">
        <f t="shared" ca="1" si="6"/>
        <v>0.5463149669830496</v>
      </c>
      <c r="Q89" s="258">
        <f t="shared" si="7"/>
        <v>0.1666897183063184</v>
      </c>
      <c r="R89" s="258">
        <f t="shared" ca="1" si="8"/>
        <v>0.713004685289368</v>
      </c>
    </row>
    <row r="90" spans="3:18" ht="14" x14ac:dyDescent="0.3">
      <c r="C90" s="255" t="s">
        <v>6022</v>
      </c>
      <c r="D90" s="399">
        <v>0.98353687761211328</v>
      </c>
      <c r="E90" s="399">
        <v>1.6463122387886671E-2</v>
      </c>
      <c r="F90" s="400">
        <v>15.375999999999999</v>
      </c>
      <c r="G90" s="400">
        <v>1.6206269183999999</v>
      </c>
      <c r="H90" s="257">
        <v>16.996626918400001</v>
      </c>
      <c r="I90" s="398">
        <v>9.5349914202421046E-2</v>
      </c>
      <c r="J90" s="258">
        <f t="shared" ca="1" si="0"/>
        <v>3.6587571847170617</v>
      </c>
      <c r="K90" s="258">
        <f t="shared" si="1"/>
        <v>0.13111494079671152</v>
      </c>
      <c r="L90" s="258">
        <f t="shared" ca="1" si="2"/>
        <v>3.7898721255137731</v>
      </c>
      <c r="M90" s="258">
        <f t="shared" ca="1" si="3"/>
        <v>2.2326287121794972</v>
      </c>
      <c r="N90" s="258">
        <f t="shared" si="4"/>
        <v>0.13104645420757791</v>
      </c>
      <c r="O90" s="258">
        <f t="shared" ca="1" si="5"/>
        <v>2.363675166387075</v>
      </c>
      <c r="P90" s="258">
        <f t="shared" ca="1" si="6"/>
        <v>0.54881357770755923</v>
      </c>
      <c r="Q90" s="258">
        <f t="shared" si="7"/>
        <v>0.13104645420757791</v>
      </c>
      <c r="R90" s="258">
        <f t="shared" ca="1" si="8"/>
        <v>0.67986003191513711</v>
      </c>
    </row>
    <row r="91" spans="3:18" ht="14" x14ac:dyDescent="0.3">
      <c r="C91" s="255" t="s">
        <v>6023</v>
      </c>
      <c r="D91" s="399">
        <v>0.98024662205586499</v>
      </c>
      <c r="E91" s="399">
        <v>1.9753377944135037E-2</v>
      </c>
      <c r="F91" s="400">
        <v>12.772</v>
      </c>
      <c r="G91" s="400">
        <v>1.6206269183999999</v>
      </c>
      <c r="H91" s="257">
        <v>14.3926269184</v>
      </c>
      <c r="I91" s="398">
        <v>0.11260119001126459</v>
      </c>
      <c r="J91" s="258">
        <f t="shared" ca="1" si="0"/>
        <v>3.6465174340478179</v>
      </c>
      <c r="K91" s="258">
        <f t="shared" si="1"/>
        <v>0.1573190624875625</v>
      </c>
      <c r="L91" s="258">
        <f t="shared" ca="1" si="2"/>
        <v>3.8038364965353804</v>
      </c>
      <c r="M91" s="258">
        <f t="shared" ca="1" si="3"/>
        <v>2.2251598320668133</v>
      </c>
      <c r="N91" s="258">
        <f t="shared" si="4"/>
        <v>0.15723688843531489</v>
      </c>
      <c r="O91" s="258">
        <f t="shared" ca="1" si="5"/>
        <v>2.3823967205021281</v>
      </c>
      <c r="P91" s="258">
        <f t="shared" ca="1" si="6"/>
        <v>0.54697761510717269</v>
      </c>
      <c r="Q91" s="258">
        <f t="shared" si="7"/>
        <v>0.15723688843531489</v>
      </c>
      <c r="R91" s="258">
        <f t="shared" ca="1" si="8"/>
        <v>0.7042145035424876</v>
      </c>
    </row>
    <row r="92" spans="3:18" ht="14" x14ac:dyDescent="0.3">
      <c r="C92" s="255" t="s">
        <v>6024</v>
      </c>
      <c r="D92" s="399">
        <v>0.97902919465058447</v>
      </c>
      <c r="E92" s="399">
        <v>2.0970805349415523E-2</v>
      </c>
      <c r="F92" s="400">
        <v>9.8952000000000009</v>
      </c>
      <c r="G92" s="400">
        <v>1.3346339328000001</v>
      </c>
      <c r="H92" s="257">
        <v>11.229833932800002</v>
      </c>
      <c r="I92" s="398">
        <v>0.1188471655757805</v>
      </c>
      <c r="J92" s="258">
        <f t="shared" ca="1" si="0"/>
        <v>3.6419886041001743</v>
      </c>
      <c r="K92" s="258">
        <f t="shared" si="1"/>
        <v>0.16701484913160111</v>
      </c>
      <c r="L92" s="258">
        <f t="shared" ca="1" si="2"/>
        <v>3.8090034532317754</v>
      </c>
      <c r="M92" s="258">
        <f t="shared" ca="1" si="3"/>
        <v>2.2223962718568266</v>
      </c>
      <c r="N92" s="258">
        <f t="shared" si="4"/>
        <v>0.16692761058134756</v>
      </c>
      <c r="O92" s="258">
        <f t="shared" ca="1" si="5"/>
        <v>2.3893238824381742</v>
      </c>
      <c r="P92" s="258">
        <f t="shared" ca="1" si="6"/>
        <v>0.54629829061502622</v>
      </c>
      <c r="Q92" s="258">
        <f t="shared" si="7"/>
        <v>0.16692761058134756</v>
      </c>
      <c r="R92" s="258">
        <f t="shared" ca="1" si="8"/>
        <v>0.71322590119637375</v>
      </c>
    </row>
    <row r="93" spans="3:18" ht="14" x14ac:dyDescent="0.3">
      <c r="C93" s="255" t="s">
        <v>6025</v>
      </c>
      <c r="D93" s="399">
        <v>0.97992925967930211</v>
      </c>
      <c r="E93" s="399">
        <v>2.0070740320697909E-2</v>
      </c>
      <c r="F93" s="400">
        <v>8.9652000000000012</v>
      </c>
      <c r="G93" s="400">
        <v>1.1562367487999998</v>
      </c>
      <c r="H93" s="257">
        <v>10.121436748800001</v>
      </c>
      <c r="I93" s="398">
        <v>0.11423642487684206</v>
      </c>
      <c r="J93" s="258">
        <f t="shared" ca="1" si="0"/>
        <v>3.6453368460070039</v>
      </c>
      <c r="K93" s="258">
        <f t="shared" si="1"/>
        <v>0.15984658723248946</v>
      </c>
      <c r="L93" s="258">
        <f t="shared" ca="1" si="2"/>
        <v>3.8051834332394936</v>
      </c>
      <c r="M93" s="258">
        <f t="shared" ca="1" si="3"/>
        <v>2.2244394194720156</v>
      </c>
      <c r="N93" s="258">
        <f t="shared" si="4"/>
        <v>0.15976309295275537</v>
      </c>
      <c r="O93" s="258">
        <f t="shared" ca="1" si="5"/>
        <v>2.3842025124247712</v>
      </c>
      <c r="P93" s="258">
        <f t="shared" ca="1" si="6"/>
        <v>0.54680052690105063</v>
      </c>
      <c r="Q93" s="258">
        <f t="shared" si="7"/>
        <v>0.15976309295275537</v>
      </c>
      <c r="R93" s="258">
        <f t="shared" ca="1" si="8"/>
        <v>0.706563619853806</v>
      </c>
    </row>
    <row r="94" spans="3:18" ht="14" x14ac:dyDescent="0.3">
      <c r="C94" s="255" t="s">
        <v>6026</v>
      </c>
      <c r="D94" s="399">
        <v>0.97890829656258604</v>
      </c>
      <c r="E94" s="399">
        <v>2.1091703437413997E-2</v>
      </c>
      <c r="F94" s="400">
        <v>7.0183999999999997</v>
      </c>
      <c r="G94" s="400">
        <v>0.95219496959999983</v>
      </c>
      <c r="H94" s="257">
        <v>7.9705949695999996</v>
      </c>
      <c r="I94" s="398">
        <v>0.11946347458774276</v>
      </c>
      <c r="J94" s="258">
        <f t="shared" ca="1" si="0"/>
        <v>3.6415388632128205</v>
      </c>
      <c r="K94" s="258">
        <f t="shared" si="1"/>
        <v>0.16797770084811506</v>
      </c>
      <c r="L94" s="258">
        <f t="shared" ca="1" si="2"/>
        <v>3.8095165640609356</v>
      </c>
      <c r="M94" s="258">
        <f t="shared" ca="1" si="3"/>
        <v>2.2221218331970705</v>
      </c>
      <c r="N94" s="258">
        <f t="shared" si="4"/>
        <v>0.16788995936181542</v>
      </c>
      <c r="O94" s="258">
        <f t="shared" ca="1" si="5"/>
        <v>2.390011792558886</v>
      </c>
      <c r="P94" s="258">
        <f t="shared" ca="1" si="6"/>
        <v>0.54623082948192303</v>
      </c>
      <c r="Q94" s="258">
        <f t="shared" si="7"/>
        <v>0.16788995936181542</v>
      </c>
      <c r="R94" s="258">
        <f t="shared" ca="1" si="8"/>
        <v>0.71412078884373842</v>
      </c>
    </row>
    <row r="95" spans="3:18" ht="14" x14ac:dyDescent="0.3">
      <c r="C95" s="255" t="s">
        <v>6027</v>
      </c>
      <c r="D95" s="399">
        <v>0.97303128790952009</v>
      </c>
      <c r="E95" s="399">
        <v>2.6968712090479876E-2</v>
      </c>
      <c r="F95" s="400">
        <v>5.4560000000000004</v>
      </c>
      <c r="G95" s="400">
        <v>0.95219496959999983</v>
      </c>
      <c r="H95" s="257">
        <v>6.4081949696000002</v>
      </c>
      <c r="I95" s="398">
        <v>0.14859019959866107</v>
      </c>
      <c r="J95" s="258">
        <f t="shared" ca="1" si="0"/>
        <v>3.6196763910234151</v>
      </c>
      <c r="K95" s="258">
        <f t="shared" si="1"/>
        <v>0.2147831380825162</v>
      </c>
      <c r="L95" s="258">
        <f t="shared" ca="1" si="2"/>
        <v>3.8344595291059314</v>
      </c>
      <c r="M95" s="258">
        <f t="shared" ca="1" si="3"/>
        <v>2.2087810235546108</v>
      </c>
      <c r="N95" s="258">
        <f t="shared" si="4"/>
        <v>0.21467094824021982</v>
      </c>
      <c r="O95" s="258">
        <f t="shared" ca="1" si="5"/>
        <v>2.4234519717948304</v>
      </c>
      <c r="P95" s="258">
        <f t="shared" ca="1" si="6"/>
        <v>0.54295145865351224</v>
      </c>
      <c r="Q95" s="258">
        <f t="shared" si="7"/>
        <v>0.21467094824021982</v>
      </c>
      <c r="R95" s="258">
        <f t="shared" ca="1" si="8"/>
        <v>0.75762240689373206</v>
      </c>
    </row>
    <row r="96" spans="3:18" ht="14" x14ac:dyDescent="0.3">
      <c r="C96" s="255" t="s">
        <v>6028</v>
      </c>
      <c r="D96" s="399">
        <v>0.97969948201549006</v>
      </c>
      <c r="E96" s="399">
        <v>2.0300517984509901E-2</v>
      </c>
      <c r="F96" s="400">
        <v>8.1715999999999998</v>
      </c>
      <c r="G96" s="400">
        <v>1.0662019200000001</v>
      </c>
      <c r="H96" s="257">
        <v>9.237801919999999</v>
      </c>
      <c r="I96" s="398">
        <v>0.11541727450246089</v>
      </c>
      <c r="J96" s="258">
        <f t="shared" ca="1" si="0"/>
        <v>3.6444820730976231</v>
      </c>
      <c r="K96" s="258">
        <f t="shared" si="1"/>
        <v>0.16167657331151436</v>
      </c>
      <c r="L96" s="258">
        <f t="shared" ca="1" si="2"/>
        <v>3.8061586464091373</v>
      </c>
      <c r="M96" s="258">
        <f t="shared" ca="1" si="3"/>
        <v>2.2239178241751625</v>
      </c>
      <c r="N96" s="258">
        <f t="shared" si="4"/>
        <v>0.16159212315669882</v>
      </c>
      <c r="O96" s="258">
        <f t="shared" ca="1" si="5"/>
        <v>2.3855099473318613</v>
      </c>
      <c r="P96" s="258">
        <f t="shared" ca="1" si="6"/>
        <v>0.54667231096464353</v>
      </c>
      <c r="Q96" s="258">
        <f t="shared" si="7"/>
        <v>0.16159212315669882</v>
      </c>
      <c r="R96" s="258">
        <f t="shared" ca="1" si="8"/>
        <v>0.70826443412134232</v>
      </c>
    </row>
    <row r="97" spans="3:18" ht="14" x14ac:dyDescent="0.3">
      <c r="C97" s="255" t="s">
        <v>6029</v>
      </c>
      <c r="D97" s="399">
        <v>0.97867122621245706</v>
      </c>
      <c r="E97" s="399">
        <v>2.1328773787542995E-2</v>
      </c>
      <c r="F97" s="400">
        <v>6.3984000000000005</v>
      </c>
      <c r="G97" s="400">
        <v>0.87804863999999994</v>
      </c>
      <c r="H97" s="257">
        <v>7.2764486400000008</v>
      </c>
      <c r="I97" s="398">
        <v>0.12066994263839123</v>
      </c>
      <c r="J97" s="258">
        <f t="shared" ca="1" si="0"/>
        <v>3.6406569615103406</v>
      </c>
      <c r="K97" s="258">
        <f t="shared" si="1"/>
        <v>0.1698657670477984</v>
      </c>
      <c r="L97" s="258">
        <f t="shared" ca="1" si="2"/>
        <v>3.8105227285581389</v>
      </c>
      <c r="M97" s="258">
        <f t="shared" ca="1" si="3"/>
        <v>2.2215836835022778</v>
      </c>
      <c r="N97" s="258">
        <f t="shared" si="4"/>
        <v>0.16977703934884225</v>
      </c>
      <c r="O97" s="258">
        <f t="shared" ca="1" si="5"/>
        <v>2.39136072285112</v>
      </c>
      <c r="P97" s="258">
        <f t="shared" ca="1" si="6"/>
        <v>0.54609854422655113</v>
      </c>
      <c r="Q97" s="258">
        <f t="shared" si="7"/>
        <v>0.16977703934884225</v>
      </c>
      <c r="R97" s="258">
        <f t="shared" ca="1" si="8"/>
        <v>0.71587558357539338</v>
      </c>
    </row>
    <row r="98" spans="3:18" ht="14" x14ac:dyDescent="0.3">
      <c r="C98" s="255" t="s">
        <v>6030</v>
      </c>
      <c r="D98" s="399">
        <v>0.97278736247581643</v>
      </c>
      <c r="E98" s="399">
        <v>2.7212637524183569E-2</v>
      </c>
      <c r="F98" s="400">
        <v>4.984799999999999</v>
      </c>
      <c r="G98" s="400">
        <v>0.87804863999999994</v>
      </c>
      <c r="H98" s="257">
        <v>5.8628486399999993</v>
      </c>
      <c r="I98" s="398">
        <v>0.14976484878176899</v>
      </c>
      <c r="J98" s="258">
        <f t="shared" ca="1" si="0"/>
        <v>3.6187689884100371</v>
      </c>
      <c r="K98" s="258">
        <f t="shared" si="1"/>
        <v>0.21672579926460181</v>
      </c>
      <c r="L98" s="258">
        <f t="shared" ca="1" si="2"/>
        <v>3.835494787674639</v>
      </c>
      <c r="M98" s="258">
        <f t="shared" ca="1" si="3"/>
        <v>2.2082273128201031</v>
      </c>
      <c r="N98" s="258">
        <f t="shared" si="4"/>
        <v>0.21661259469250121</v>
      </c>
      <c r="O98" s="258">
        <f t="shared" ca="1" si="5"/>
        <v>2.4248399075126041</v>
      </c>
      <c r="P98" s="258">
        <f t="shared" ca="1" si="6"/>
        <v>0.54281534826150557</v>
      </c>
      <c r="Q98" s="258">
        <f t="shared" si="7"/>
        <v>0.21661259469250121</v>
      </c>
      <c r="R98" s="258">
        <f t="shared" ca="1" si="8"/>
        <v>0.75942794295400673</v>
      </c>
    </row>
    <row r="99" spans="3:18" ht="14" x14ac:dyDescent="0.3">
      <c r="C99" s="255" t="s">
        <v>6031</v>
      </c>
      <c r="D99" s="399">
        <v>0.98772859945076918</v>
      </c>
      <c r="E99" s="399">
        <v>1.2271400549230779E-2</v>
      </c>
      <c r="F99" s="400">
        <v>183.26400000000001</v>
      </c>
      <c r="G99" s="400">
        <v>5.3547029759999987</v>
      </c>
      <c r="H99" s="257">
        <v>188.61870297600001</v>
      </c>
      <c r="I99" s="398">
        <v>2.838903508249304E-2</v>
      </c>
      <c r="J99" s="258">
        <f t="shared" ref="J99:J162" ca="1" si="9">$D99*$J$32</f>
        <v>3.6743503899568615</v>
      </c>
      <c r="K99" s="258">
        <f t="shared" ref="K99:K162" si="10">E99*$K$32</f>
        <v>9.7731397398161793E-2</v>
      </c>
      <c r="L99" s="258">
        <f t="shared" ref="L99:L162" ca="1" si="11">SUM(J99:K99)</f>
        <v>3.7720817873550234</v>
      </c>
      <c r="M99" s="258">
        <f t="shared" ref="M99:M162" ca="1" si="12">$D99*$M$32</f>
        <v>2.2421439207532461</v>
      </c>
      <c r="N99" s="258">
        <f t="shared" ref="N99:N162" si="13">$E99*$N$32</f>
        <v>9.7680348371877002E-2</v>
      </c>
      <c r="O99" s="258">
        <f t="shared" ref="O99:O162" ca="1" si="14">SUM(M99:N99)</f>
        <v>2.3398242691251232</v>
      </c>
      <c r="P99" s="258">
        <f t="shared" ref="P99:P162" ca="1" si="15">$D99*$P$32</f>
        <v>0.55115255849352929</v>
      </c>
      <c r="Q99" s="258">
        <f t="shared" ref="Q99:Q162" si="16">$E99*$Q$32</f>
        <v>9.7680348371877002E-2</v>
      </c>
      <c r="R99" s="258">
        <f t="shared" ref="R99:R162" ca="1" si="17">SUM(P99:Q99)</f>
        <v>0.64883290686540629</v>
      </c>
    </row>
    <row r="100" spans="3:18" ht="14" x14ac:dyDescent="0.3">
      <c r="C100" s="255" t="s">
        <v>6032</v>
      </c>
      <c r="D100" s="399">
        <v>0.98609069160191165</v>
      </c>
      <c r="E100" s="399">
        <v>1.3909308398088342E-2</v>
      </c>
      <c r="F100" s="400">
        <v>133.13200000000001</v>
      </c>
      <c r="G100" s="400">
        <v>4.4164452864000001</v>
      </c>
      <c r="H100" s="257">
        <v>137.54844528640001</v>
      </c>
      <c r="I100" s="398">
        <v>3.2108289389997727E-2</v>
      </c>
      <c r="J100" s="258">
        <f t="shared" ca="1" si="9"/>
        <v>3.6682573727591117</v>
      </c>
      <c r="K100" s="258">
        <f t="shared" si="10"/>
        <v>0.11077595757171925</v>
      </c>
      <c r="L100" s="258">
        <f t="shared" ca="1" si="11"/>
        <v>3.7790333303308308</v>
      </c>
      <c r="M100" s="258">
        <f t="shared" ca="1" si="12"/>
        <v>2.2384258699363393</v>
      </c>
      <c r="N100" s="258">
        <f t="shared" si="13"/>
        <v>0.1107180948487832</v>
      </c>
      <c r="O100" s="258">
        <f t="shared" ca="1" si="14"/>
        <v>2.3491439647851227</v>
      </c>
      <c r="P100" s="258">
        <f t="shared" ca="1" si="15"/>
        <v>0.55023860591386675</v>
      </c>
      <c r="Q100" s="258">
        <f t="shared" si="16"/>
        <v>0.1107180948487832</v>
      </c>
      <c r="R100" s="258">
        <f t="shared" ca="1" si="17"/>
        <v>0.66095670076265001</v>
      </c>
    </row>
    <row r="101" spans="3:18" ht="14" x14ac:dyDescent="0.3">
      <c r="C101" s="255" t="s">
        <v>6033</v>
      </c>
      <c r="D101" s="399">
        <v>0.98594255327671121</v>
      </c>
      <c r="E101" s="399">
        <v>1.4057446723288802E-2</v>
      </c>
      <c r="F101" s="400">
        <v>117.86</v>
      </c>
      <c r="G101" s="400">
        <v>3.9520551168</v>
      </c>
      <c r="H101" s="257">
        <v>121.8120551168</v>
      </c>
      <c r="I101" s="398">
        <v>3.2443875222452782E-2</v>
      </c>
      <c r="J101" s="258">
        <f t="shared" ca="1" si="9"/>
        <v>3.667706298189366</v>
      </c>
      <c r="K101" s="258">
        <f t="shared" si="10"/>
        <v>0.11195575489574774</v>
      </c>
      <c r="L101" s="258">
        <f t="shared" ca="1" si="11"/>
        <v>3.7796620530851137</v>
      </c>
      <c r="M101" s="258">
        <f t="shared" ca="1" si="12"/>
        <v>2.2380895959381344</v>
      </c>
      <c r="N101" s="258">
        <f t="shared" si="13"/>
        <v>0.11189727591737886</v>
      </c>
      <c r="O101" s="258">
        <f t="shared" ca="1" si="14"/>
        <v>2.3499868718555135</v>
      </c>
      <c r="P101" s="258">
        <f t="shared" ca="1" si="15"/>
        <v>0.5501559447284049</v>
      </c>
      <c r="Q101" s="258">
        <f t="shared" si="16"/>
        <v>0.11189727591737886</v>
      </c>
      <c r="R101" s="258">
        <f t="shared" ca="1" si="17"/>
        <v>0.66205322064578376</v>
      </c>
    </row>
    <row r="102" spans="3:18" ht="14" x14ac:dyDescent="0.3">
      <c r="C102" s="255" t="s">
        <v>6034</v>
      </c>
      <c r="D102" s="399">
        <v>0.98249186577957071</v>
      </c>
      <c r="E102" s="399">
        <v>1.7508134220429281E-2</v>
      </c>
      <c r="F102" s="400">
        <v>83.331999999999994</v>
      </c>
      <c r="G102" s="400">
        <v>3.4924036223999995</v>
      </c>
      <c r="H102" s="257">
        <v>86.824403622399998</v>
      </c>
      <c r="I102" s="398">
        <v>4.0223755956775582E-2</v>
      </c>
      <c r="J102" s="258">
        <f t="shared" ca="1" si="9"/>
        <v>3.6548697407000033</v>
      </c>
      <c r="K102" s="258">
        <f t="shared" si="10"/>
        <v>0.13943758223297406</v>
      </c>
      <c r="L102" s="258">
        <f t="shared" ca="1" si="11"/>
        <v>3.7943073229329771</v>
      </c>
      <c r="M102" s="258">
        <f t="shared" ca="1" si="12"/>
        <v>2.2302565353196253</v>
      </c>
      <c r="N102" s="258">
        <f t="shared" si="13"/>
        <v>0.13936474839461707</v>
      </c>
      <c r="O102" s="258">
        <f t="shared" ca="1" si="14"/>
        <v>2.3696212837142423</v>
      </c>
      <c r="P102" s="258">
        <f t="shared" ca="1" si="15"/>
        <v>0.54823046110500051</v>
      </c>
      <c r="Q102" s="258">
        <f t="shared" si="16"/>
        <v>0.13936474839461707</v>
      </c>
      <c r="R102" s="258">
        <f t="shared" ca="1" si="17"/>
        <v>0.68759520949961761</v>
      </c>
    </row>
    <row r="103" spans="3:18" ht="14" x14ac:dyDescent="0.3">
      <c r="C103" s="255" t="s">
        <v>6035</v>
      </c>
      <c r="D103" s="399">
        <v>0.98541820313732709</v>
      </c>
      <c r="E103" s="399">
        <v>1.4581796862672861E-2</v>
      </c>
      <c r="F103" s="400">
        <v>76.027999999999992</v>
      </c>
      <c r="G103" s="400">
        <v>2.6458532352000002</v>
      </c>
      <c r="H103" s="257">
        <v>78.673853235199985</v>
      </c>
      <c r="I103" s="398">
        <v>3.3630655248193711E-2</v>
      </c>
      <c r="J103" s="258">
        <f t="shared" ca="1" si="9"/>
        <v>3.6657557156708571</v>
      </c>
      <c r="K103" s="258">
        <f t="shared" si="10"/>
        <v>0.11613176330182469</v>
      </c>
      <c r="L103" s="258">
        <f t="shared" ca="1" si="11"/>
        <v>3.7818874789726817</v>
      </c>
      <c r="M103" s="258">
        <f t="shared" ca="1" si="12"/>
        <v>2.2368993211217325</v>
      </c>
      <c r="N103" s="258">
        <f t="shared" si="13"/>
        <v>0.11607110302687597</v>
      </c>
      <c r="O103" s="258">
        <f t="shared" ca="1" si="14"/>
        <v>2.3529704241486087</v>
      </c>
      <c r="P103" s="258">
        <f t="shared" ca="1" si="15"/>
        <v>0.54986335735062852</v>
      </c>
      <c r="Q103" s="258">
        <f t="shared" si="16"/>
        <v>0.11607110302687597</v>
      </c>
      <c r="R103" s="258">
        <f t="shared" ca="1" si="17"/>
        <v>0.66593446037750448</v>
      </c>
    </row>
    <row r="104" spans="3:18" ht="14" x14ac:dyDescent="0.3">
      <c r="C104" s="255" t="s">
        <v>6036</v>
      </c>
      <c r="D104" s="399">
        <v>0.98497222689364017</v>
      </c>
      <c r="E104" s="399">
        <v>1.5027773106359789E-2</v>
      </c>
      <c r="F104" s="400">
        <v>69.387999999999991</v>
      </c>
      <c r="G104" s="400">
        <v>2.4897556991999994</v>
      </c>
      <c r="H104" s="257">
        <v>71.877755699199994</v>
      </c>
      <c r="I104" s="398">
        <v>3.4638751237856341E-2</v>
      </c>
      <c r="J104" s="258">
        <f t="shared" ca="1" si="9"/>
        <v>3.6640966840443414</v>
      </c>
      <c r="K104" s="258">
        <f t="shared" si="10"/>
        <v>0.11968358946274636</v>
      </c>
      <c r="L104" s="258">
        <f t="shared" ca="1" si="11"/>
        <v>3.7837802735070878</v>
      </c>
      <c r="M104" s="258">
        <f t="shared" ca="1" si="12"/>
        <v>2.2358869550485632</v>
      </c>
      <c r="N104" s="258">
        <f t="shared" si="13"/>
        <v>0.11962107392662391</v>
      </c>
      <c r="O104" s="258">
        <f t="shared" ca="1" si="14"/>
        <v>2.3555080289751871</v>
      </c>
      <c r="P104" s="258">
        <f t="shared" ca="1" si="15"/>
        <v>0.54961450260665123</v>
      </c>
      <c r="Q104" s="258">
        <f t="shared" si="16"/>
        <v>0.11962107392662391</v>
      </c>
      <c r="R104" s="258">
        <f t="shared" ca="1" si="17"/>
        <v>0.66923557653327514</v>
      </c>
    </row>
    <row r="105" spans="3:18" ht="14" x14ac:dyDescent="0.3">
      <c r="C105" s="255" t="s">
        <v>6037</v>
      </c>
      <c r="D105" s="399">
        <v>0.98391361278503353</v>
      </c>
      <c r="E105" s="399">
        <v>1.6086387214966479E-2</v>
      </c>
      <c r="F105" s="400">
        <v>58.763999999999996</v>
      </c>
      <c r="G105" s="400">
        <v>2.2595118336</v>
      </c>
      <c r="H105" s="257">
        <v>61.023511833599997</v>
      </c>
      <c r="I105" s="398">
        <v>3.7026905953254169E-2</v>
      </c>
      <c r="J105" s="258">
        <f t="shared" ca="1" si="9"/>
        <v>3.6601586395603247</v>
      </c>
      <c r="K105" s="258">
        <f t="shared" si="10"/>
        <v>0.12811456160194742</v>
      </c>
      <c r="L105" s="258">
        <f t="shared" ca="1" si="11"/>
        <v>3.788273201162272</v>
      </c>
      <c r="M105" s="258">
        <f t="shared" ca="1" si="12"/>
        <v>2.233483901022026</v>
      </c>
      <c r="N105" s="258">
        <f t="shared" si="13"/>
        <v>0.12804764223113319</v>
      </c>
      <c r="O105" s="258">
        <f t="shared" ca="1" si="14"/>
        <v>2.3615315432531592</v>
      </c>
      <c r="P105" s="258">
        <f t="shared" ca="1" si="15"/>
        <v>0.54902379593404871</v>
      </c>
      <c r="Q105" s="258">
        <f t="shared" si="16"/>
        <v>0.12804764223113319</v>
      </c>
      <c r="R105" s="258">
        <f t="shared" ca="1" si="17"/>
        <v>0.67707143816518189</v>
      </c>
    </row>
    <row r="106" spans="3:18" ht="14" x14ac:dyDescent="0.3">
      <c r="C106" s="255" t="s">
        <v>6038</v>
      </c>
      <c r="D106" s="399">
        <v>0.97967372946114029</v>
      </c>
      <c r="E106" s="399">
        <v>2.0326270538859735E-2</v>
      </c>
      <c r="F106" s="400">
        <v>39.508000000000003</v>
      </c>
      <c r="G106" s="400">
        <v>1.9278045695999999</v>
      </c>
      <c r="H106" s="257">
        <v>41.435804569600002</v>
      </c>
      <c r="I106" s="398">
        <v>4.6525090791029615E-2</v>
      </c>
      <c r="J106" s="258">
        <f t="shared" ca="1" si="9"/>
        <v>3.6443862735954422</v>
      </c>
      <c r="K106" s="258">
        <f t="shared" si="10"/>
        <v>0.16188167077476515</v>
      </c>
      <c r="L106" s="258">
        <f t="shared" ca="1" si="11"/>
        <v>3.8062679443702074</v>
      </c>
      <c r="M106" s="258">
        <f t="shared" ca="1" si="12"/>
        <v>2.2238593658767885</v>
      </c>
      <c r="N106" s="258">
        <f t="shared" si="13"/>
        <v>0.16179711348932349</v>
      </c>
      <c r="O106" s="258">
        <f t="shared" ca="1" si="14"/>
        <v>2.3856564793661121</v>
      </c>
      <c r="P106" s="258">
        <f t="shared" ca="1" si="15"/>
        <v>0.54665794103931631</v>
      </c>
      <c r="Q106" s="258">
        <f t="shared" si="16"/>
        <v>0.16179711348932349</v>
      </c>
      <c r="R106" s="258">
        <f t="shared" ca="1" si="17"/>
        <v>0.70845505452863977</v>
      </c>
    </row>
    <row r="107" spans="3:18" ht="14" x14ac:dyDescent="0.3">
      <c r="C107" s="255" t="s">
        <v>6039</v>
      </c>
      <c r="D107" s="399">
        <v>0.9774215619196559</v>
      </c>
      <c r="E107" s="399">
        <v>2.257843808034405E-2</v>
      </c>
      <c r="F107" s="400">
        <v>27.6556</v>
      </c>
      <c r="G107" s="400">
        <v>1.5024387839999997</v>
      </c>
      <c r="H107" s="257">
        <v>29.158038783999999</v>
      </c>
      <c r="I107" s="398">
        <v>5.1527429369647409E-2</v>
      </c>
      <c r="J107" s="258">
        <f t="shared" ca="1" si="9"/>
        <v>3.63600821034112</v>
      </c>
      <c r="K107" s="258">
        <f t="shared" si="10"/>
        <v>0.17981829342195285</v>
      </c>
      <c r="L107" s="258">
        <f t="shared" ca="1" si="11"/>
        <v>3.815826503763073</v>
      </c>
      <c r="M107" s="258">
        <f t="shared" ca="1" si="12"/>
        <v>2.2187469455576188</v>
      </c>
      <c r="N107" s="258">
        <f t="shared" si="13"/>
        <v>0.17972436711953862</v>
      </c>
      <c r="O107" s="258">
        <f t="shared" ca="1" si="14"/>
        <v>2.3984713126771573</v>
      </c>
      <c r="P107" s="258">
        <f t="shared" ca="1" si="15"/>
        <v>0.54540123155116804</v>
      </c>
      <c r="Q107" s="258">
        <f t="shared" si="16"/>
        <v>0.17972436711953862</v>
      </c>
      <c r="R107" s="258">
        <f t="shared" ca="1" si="17"/>
        <v>0.72512559867070669</v>
      </c>
    </row>
    <row r="108" spans="3:18" ht="14" x14ac:dyDescent="0.3">
      <c r="C108" s="255" t="s">
        <v>6040</v>
      </c>
      <c r="D108" s="399">
        <v>0.97561927433438378</v>
      </c>
      <c r="E108" s="399">
        <v>2.4380725665616245E-2</v>
      </c>
      <c r="F108" s="400">
        <v>19.654399999999999</v>
      </c>
      <c r="G108" s="400">
        <v>1.1551217663999995</v>
      </c>
      <c r="H108" s="257">
        <v>20.8095217664</v>
      </c>
      <c r="I108" s="398">
        <v>5.5509289418900133E-2</v>
      </c>
      <c r="J108" s="258">
        <f t="shared" ca="1" si="9"/>
        <v>3.6293037005239079</v>
      </c>
      <c r="K108" s="258">
        <f t="shared" si="10"/>
        <v>0.19417200011707428</v>
      </c>
      <c r="L108" s="258">
        <f t="shared" ca="1" si="11"/>
        <v>3.8234757006409823</v>
      </c>
      <c r="M108" s="258">
        <f t="shared" ca="1" si="12"/>
        <v>2.2146557527390511</v>
      </c>
      <c r="N108" s="258">
        <f t="shared" si="13"/>
        <v>0.19407057629830532</v>
      </c>
      <c r="O108" s="258">
        <f t="shared" ca="1" si="14"/>
        <v>2.4087263290373566</v>
      </c>
      <c r="P108" s="258">
        <f t="shared" ca="1" si="15"/>
        <v>0.54439555507858617</v>
      </c>
      <c r="Q108" s="258">
        <f t="shared" si="16"/>
        <v>0.19407057629830532</v>
      </c>
      <c r="R108" s="258">
        <f t="shared" ca="1" si="17"/>
        <v>0.73846613137689143</v>
      </c>
    </row>
    <row r="109" spans="3:18" ht="14" x14ac:dyDescent="0.3">
      <c r="C109" s="255" t="s">
        <v>6041</v>
      </c>
      <c r="D109" s="399">
        <v>0.98995456670833004</v>
      </c>
      <c r="E109" s="399">
        <v>1.0045433291669972E-2</v>
      </c>
      <c r="F109" s="400">
        <v>415</v>
      </c>
      <c r="G109" s="400">
        <v>9.9038311679999982</v>
      </c>
      <c r="H109" s="257">
        <v>424.90383116800001</v>
      </c>
      <c r="I109" s="398">
        <v>2.3308406376981304E-2</v>
      </c>
      <c r="J109" s="258">
        <f t="shared" ca="1" si="9"/>
        <v>3.6826309881549881</v>
      </c>
      <c r="K109" s="258">
        <f t="shared" si="10"/>
        <v>8.0003438004186328E-2</v>
      </c>
      <c r="L109" s="258">
        <f t="shared" ca="1" si="11"/>
        <v>3.7626344261591744</v>
      </c>
      <c r="M109" s="258">
        <f t="shared" ca="1" si="12"/>
        <v>2.2471968664279092</v>
      </c>
      <c r="N109" s="258">
        <f t="shared" si="13"/>
        <v>7.9961649001692975E-2</v>
      </c>
      <c r="O109" s="258">
        <f t="shared" ca="1" si="14"/>
        <v>2.3271585154296019</v>
      </c>
      <c r="P109" s="258">
        <f t="shared" ca="1" si="15"/>
        <v>0.55239464822324824</v>
      </c>
      <c r="Q109" s="258">
        <f t="shared" si="16"/>
        <v>7.9961649001692975E-2</v>
      </c>
      <c r="R109" s="258">
        <f t="shared" ca="1" si="17"/>
        <v>0.63235629722494124</v>
      </c>
    </row>
    <row r="110" spans="3:18" ht="14" x14ac:dyDescent="0.3">
      <c r="C110" s="255" t="s">
        <v>6042</v>
      </c>
      <c r="D110" s="399">
        <v>0.9889521616008744</v>
      </c>
      <c r="E110" s="399">
        <v>1.1047838399125549E-2</v>
      </c>
      <c r="F110" s="400">
        <v>375.15999999999997</v>
      </c>
      <c r="G110" s="400">
        <v>9.8564444160000004</v>
      </c>
      <c r="H110" s="257">
        <v>385.01644441599996</v>
      </c>
      <c r="I110" s="398">
        <v>2.5600060877790393E-2</v>
      </c>
      <c r="J110" s="258">
        <f t="shared" ca="1" si="9"/>
        <v>3.6789020411552529</v>
      </c>
      <c r="K110" s="258">
        <f t="shared" si="10"/>
        <v>8.7986752664779733E-2</v>
      </c>
      <c r="L110" s="258">
        <f t="shared" ca="1" si="11"/>
        <v>3.7668887938200326</v>
      </c>
      <c r="M110" s="258">
        <f t="shared" ca="1" si="12"/>
        <v>2.2449214068339849</v>
      </c>
      <c r="N110" s="258">
        <f t="shared" si="13"/>
        <v>8.7940793657039371E-2</v>
      </c>
      <c r="O110" s="258">
        <f t="shared" ca="1" si="14"/>
        <v>2.3328622004910242</v>
      </c>
      <c r="P110" s="258">
        <f t="shared" ca="1" si="15"/>
        <v>0.55183530617328802</v>
      </c>
      <c r="Q110" s="258">
        <f t="shared" si="16"/>
        <v>8.7940793657039371E-2</v>
      </c>
      <c r="R110" s="258">
        <f t="shared" ca="1" si="17"/>
        <v>0.63977609983032735</v>
      </c>
    </row>
    <row r="111" spans="3:18" ht="14" x14ac:dyDescent="0.3">
      <c r="C111" s="255" t="s">
        <v>6043</v>
      </c>
      <c r="D111" s="399">
        <v>0.98771436861244022</v>
      </c>
      <c r="E111" s="399">
        <v>1.2285631387559823E-2</v>
      </c>
      <c r="F111" s="400">
        <v>335.32</v>
      </c>
      <c r="G111" s="400">
        <v>9.8090576639999991</v>
      </c>
      <c r="H111" s="257">
        <v>345.12905766400002</v>
      </c>
      <c r="I111" s="398">
        <v>2.8421419310192059E-2</v>
      </c>
      <c r="J111" s="258">
        <f t="shared" ca="1" si="9"/>
        <v>3.674297451238278</v>
      </c>
      <c r="K111" s="258">
        <f t="shared" si="10"/>
        <v>9.7844734071548436E-2</v>
      </c>
      <c r="L111" s="258">
        <f t="shared" ca="1" si="11"/>
        <v>3.7721421853098263</v>
      </c>
      <c r="M111" s="258">
        <f t="shared" ca="1" si="12"/>
        <v>2.2421116167502393</v>
      </c>
      <c r="N111" s="258">
        <f t="shared" si="13"/>
        <v>9.7793625844976195E-2</v>
      </c>
      <c r="O111" s="258">
        <f t="shared" ca="1" si="14"/>
        <v>2.3399052425952154</v>
      </c>
      <c r="P111" s="258">
        <f t="shared" ca="1" si="15"/>
        <v>0.55114461768574174</v>
      </c>
      <c r="Q111" s="258">
        <f t="shared" si="16"/>
        <v>9.7793625844976195E-2</v>
      </c>
      <c r="R111" s="258">
        <f t="shared" ca="1" si="17"/>
        <v>0.64893824353071794</v>
      </c>
    </row>
    <row r="112" spans="3:18" ht="14" x14ac:dyDescent="0.3">
      <c r="C112" s="255" t="s">
        <v>6044</v>
      </c>
      <c r="D112" s="399">
        <v>0.98793063110355894</v>
      </c>
      <c r="E112" s="399">
        <v>1.2069368896441071E-2</v>
      </c>
      <c r="F112" s="400">
        <v>306.76800000000003</v>
      </c>
      <c r="G112" s="400">
        <v>8.8139358720000001</v>
      </c>
      <c r="H112" s="257">
        <v>315.58193587200003</v>
      </c>
      <c r="I112" s="398">
        <v>2.7929152052527273E-2</v>
      </c>
      <c r="J112" s="258">
        <f t="shared" ca="1" si="9"/>
        <v>3.6751019477052393</v>
      </c>
      <c r="K112" s="258">
        <f t="shared" si="10"/>
        <v>9.6122384990280113E-2</v>
      </c>
      <c r="L112" s="258">
        <f t="shared" ca="1" si="11"/>
        <v>3.7712243326955193</v>
      </c>
      <c r="M112" s="258">
        <f t="shared" ca="1" si="12"/>
        <v>2.2426025326050789</v>
      </c>
      <c r="N112" s="258">
        <f t="shared" si="13"/>
        <v>9.6072176415670923E-2</v>
      </c>
      <c r="O112" s="258">
        <f t="shared" ca="1" si="14"/>
        <v>2.3386747090207498</v>
      </c>
      <c r="P112" s="258">
        <f t="shared" ca="1" si="15"/>
        <v>0.5512652921557859</v>
      </c>
      <c r="Q112" s="258">
        <f t="shared" si="16"/>
        <v>9.6072176415670923E-2</v>
      </c>
      <c r="R112" s="258">
        <f t="shared" ca="1" si="17"/>
        <v>0.6473374685714568</v>
      </c>
    </row>
    <row r="113" spans="3:18" ht="14" x14ac:dyDescent="0.3">
      <c r="C113" s="255" t="s">
        <v>6045</v>
      </c>
      <c r="D113" s="399">
        <v>0.98649268945757518</v>
      </c>
      <c r="E113" s="399">
        <v>1.350731054242481E-2</v>
      </c>
      <c r="F113" s="400">
        <v>272.24</v>
      </c>
      <c r="G113" s="400">
        <v>8.7665491200000005</v>
      </c>
      <c r="H113" s="257">
        <v>281.00654911999999</v>
      </c>
      <c r="I113" s="398">
        <v>3.1196956609920029E-2</v>
      </c>
      <c r="J113" s="258">
        <f t="shared" ca="1" si="9"/>
        <v>3.6697528047821799</v>
      </c>
      <c r="K113" s="258">
        <f t="shared" si="10"/>
        <v>0.10757438232955797</v>
      </c>
      <c r="L113" s="258">
        <f t="shared" ca="1" si="11"/>
        <v>3.7773271871117378</v>
      </c>
      <c r="M113" s="258">
        <f t="shared" ca="1" si="12"/>
        <v>2.2393384050686955</v>
      </c>
      <c r="N113" s="258">
        <f t="shared" si="13"/>
        <v>0.10751819191770148</v>
      </c>
      <c r="O113" s="258">
        <f t="shared" ca="1" si="14"/>
        <v>2.346856596986397</v>
      </c>
      <c r="P113" s="258">
        <f t="shared" ca="1" si="15"/>
        <v>0.55046292071732705</v>
      </c>
      <c r="Q113" s="258">
        <f t="shared" si="16"/>
        <v>0.10751819191770148</v>
      </c>
      <c r="R113" s="258">
        <f t="shared" ca="1" si="17"/>
        <v>0.65798111263502856</v>
      </c>
    </row>
    <row r="114" spans="3:18" ht="14" x14ac:dyDescent="0.3">
      <c r="C114" s="255" t="s">
        <v>6046</v>
      </c>
      <c r="D114" s="399">
        <v>0.98794983982517259</v>
      </c>
      <c r="E114" s="399">
        <v>1.2050160174827412E-2</v>
      </c>
      <c r="F114" s="400">
        <v>272.57199999999995</v>
      </c>
      <c r="G114" s="400">
        <v>7.8188140799999992</v>
      </c>
      <c r="H114" s="257">
        <v>280.39081407999993</v>
      </c>
      <c r="I114" s="398">
        <v>2.7885414526344535E-2</v>
      </c>
      <c r="J114" s="258">
        <f t="shared" ca="1" si="9"/>
        <v>3.6751734041496422</v>
      </c>
      <c r="K114" s="258">
        <f t="shared" si="10"/>
        <v>9.5969403657953478E-2</v>
      </c>
      <c r="L114" s="258">
        <f t="shared" ca="1" si="11"/>
        <v>3.7711428078075957</v>
      </c>
      <c r="M114" s="258">
        <f t="shared" ca="1" si="12"/>
        <v>2.2426461364031418</v>
      </c>
      <c r="N114" s="258">
        <f t="shared" si="13"/>
        <v>9.5919274991626197E-2</v>
      </c>
      <c r="O114" s="258">
        <f t="shared" ca="1" si="14"/>
        <v>2.338565411394768</v>
      </c>
      <c r="P114" s="258">
        <f t="shared" ca="1" si="15"/>
        <v>0.55127601062244636</v>
      </c>
      <c r="Q114" s="258">
        <f t="shared" si="16"/>
        <v>9.5919274991626197E-2</v>
      </c>
      <c r="R114" s="258">
        <f t="shared" ca="1" si="17"/>
        <v>0.64719528561407258</v>
      </c>
    </row>
    <row r="115" spans="3:18" ht="14" x14ac:dyDescent="0.3">
      <c r="C115" s="255" t="s">
        <v>6047</v>
      </c>
      <c r="D115" s="399">
        <v>0.98683362868672975</v>
      </c>
      <c r="E115" s="399">
        <v>1.3166371313270255E-2</v>
      </c>
      <c r="F115" s="400">
        <v>247.67199999999997</v>
      </c>
      <c r="G115" s="400">
        <v>7.7714273279999988</v>
      </c>
      <c r="H115" s="257">
        <v>255.44342732799996</v>
      </c>
      <c r="I115" s="398">
        <v>3.0423281621653017E-2</v>
      </c>
      <c r="J115" s="258">
        <f t="shared" ca="1" si="9"/>
        <v>3.6710210987146348</v>
      </c>
      <c r="K115" s="258">
        <f t="shared" si="10"/>
        <v>0.10485908775829443</v>
      </c>
      <c r="L115" s="258">
        <f t="shared" ca="1" si="11"/>
        <v>3.775880186472929</v>
      </c>
      <c r="M115" s="258">
        <f t="shared" ca="1" si="12"/>
        <v>2.2401123371188767</v>
      </c>
      <c r="N115" s="258">
        <f t="shared" si="13"/>
        <v>0.10480431565363123</v>
      </c>
      <c r="O115" s="258">
        <f t="shared" ca="1" si="14"/>
        <v>2.344916652772508</v>
      </c>
      <c r="P115" s="258">
        <f t="shared" ca="1" si="15"/>
        <v>0.55065316480719528</v>
      </c>
      <c r="Q115" s="258">
        <f t="shared" si="16"/>
        <v>0.10480431565363123</v>
      </c>
      <c r="R115" s="258">
        <f t="shared" ca="1" si="17"/>
        <v>0.65545748046082652</v>
      </c>
    </row>
    <row r="116" spans="3:18" ht="14" x14ac:dyDescent="0.3">
      <c r="C116" s="255" t="s">
        <v>6048</v>
      </c>
      <c r="D116" s="399">
        <v>0.98547131825382062</v>
      </c>
      <c r="E116" s="399">
        <v>1.4528681746179391E-2</v>
      </c>
      <c r="F116" s="400">
        <v>222.77199999999996</v>
      </c>
      <c r="G116" s="400">
        <v>7.7240405759999993</v>
      </c>
      <c r="H116" s="257">
        <v>230.49604057599996</v>
      </c>
      <c r="I116" s="398">
        <v>3.3510513051321598E-2</v>
      </c>
      <c r="J116" s="258">
        <f t="shared" ca="1" si="9"/>
        <v>3.6659533039042129</v>
      </c>
      <c r="K116" s="258">
        <f t="shared" si="10"/>
        <v>0.11570874601565205</v>
      </c>
      <c r="L116" s="258">
        <f t="shared" ca="1" si="11"/>
        <v>3.781662049919865</v>
      </c>
      <c r="M116" s="258">
        <f t="shared" ca="1" si="12"/>
        <v>2.2370198924361726</v>
      </c>
      <c r="N116" s="258">
        <f t="shared" si="13"/>
        <v>0.11564830669958795</v>
      </c>
      <c r="O116" s="258">
        <f t="shared" ca="1" si="14"/>
        <v>2.3526681991357608</v>
      </c>
      <c r="P116" s="258">
        <f t="shared" ca="1" si="15"/>
        <v>0.54989299558563198</v>
      </c>
      <c r="Q116" s="258">
        <f t="shared" si="16"/>
        <v>0.11564830669958795</v>
      </c>
      <c r="R116" s="258">
        <f t="shared" ca="1" si="17"/>
        <v>0.6655413022852199</v>
      </c>
    </row>
    <row r="117" spans="3:18" ht="14" x14ac:dyDescent="0.3">
      <c r="C117" s="255" t="s">
        <v>6049</v>
      </c>
      <c r="D117" s="399">
        <v>0.98507892536502495</v>
      </c>
      <c r="E117" s="399">
        <v>1.4921074634975044E-2</v>
      </c>
      <c r="F117" s="400">
        <v>198.20400000000001</v>
      </c>
      <c r="G117" s="400">
        <v>7.0606260479999996</v>
      </c>
      <c r="H117" s="257">
        <v>205.264626048</v>
      </c>
      <c r="I117" s="398">
        <v>3.4397675741503125E-2</v>
      </c>
      <c r="J117" s="258">
        <f t="shared" ca="1" si="9"/>
        <v>3.6644936023578931</v>
      </c>
      <c r="K117" s="258">
        <f t="shared" si="10"/>
        <v>0.11883382576488284</v>
      </c>
      <c r="L117" s="258">
        <f t="shared" ca="1" si="11"/>
        <v>3.7833274281227758</v>
      </c>
      <c r="M117" s="258">
        <f t="shared" ca="1" si="12"/>
        <v>2.2361291605786064</v>
      </c>
      <c r="N117" s="258">
        <f t="shared" si="13"/>
        <v>0.11877175409440136</v>
      </c>
      <c r="O117" s="258">
        <f t="shared" ca="1" si="14"/>
        <v>2.3549009146730078</v>
      </c>
      <c r="P117" s="258">
        <f t="shared" ca="1" si="15"/>
        <v>0.54967404035368395</v>
      </c>
      <c r="Q117" s="258">
        <f t="shared" si="16"/>
        <v>0.11877175409440136</v>
      </c>
      <c r="R117" s="258">
        <f t="shared" ca="1" si="17"/>
        <v>0.66844579444808527</v>
      </c>
    </row>
    <row r="118" spans="3:18" ht="14" x14ac:dyDescent="0.3">
      <c r="C118" s="255" t="s">
        <v>6050</v>
      </c>
      <c r="D118" s="399">
        <v>0.98354869203409079</v>
      </c>
      <c r="E118" s="399">
        <v>1.6451307965909212E-2</v>
      </c>
      <c r="F118" s="400">
        <v>178.28399999999999</v>
      </c>
      <c r="G118" s="400">
        <v>7.0132392960000001</v>
      </c>
      <c r="H118" s="257">
        <v>185.29723929599999</v>
      </c>
      <c r="I118" s="398">
        <v>3.7848590311681966E-2</v>
      </c>
      <c r="J118" s="258">
        <f t="shared" ca="1" si="9"/>
        <v>3.6588011343668181</v>
      </c>
      <c r="K118" s="258">
        <f t="shared" si="10"/>
        <v>0.1310208488497755</v>
      </c>
      <c r="L118" s="258">
        <f t="shared" ca="1" si="11"/>
        <v>3.7898219832165934</v>
      </c>
      <c r="M118" s="258">
        <f t="shared" ca="1" si="12"/>
        <v>2.2326555309173859</v>
      </c>
      <c r="N118" s="258">
        <f t="shared" si="13"/>
        <v>0.13095241140863734</v>
      </c>
      <c r="O118" s="258">
        <f t="shared" ca="1" si="14"/>
        <v>2.3636079423260234</v>
      </c>
      <c r="P118" s="258">
        <f t="shared" ca="1" si="15"/>
        <v>0.54882017015502271</v>
      </c>
      <c r="Q118" s="258">
        <f t="shared" si="16"/>
        <v>0.13095241140863734</v>
      </c>
      <c r="R118" s="258">
        <f t="shared" ca="1" si="17"/>
        <v>0.67977258156366005</v>
      </c>
    </row>
    <row r="119" spans="3:18" ht="14" x14ac:dyDescent="0.3">
      <c r="C119" s="255" t="s">
        <v>6051</v>
      </c>
      <c r="D119" s="399">
        <v>0.9855478532760158</v>
      </c>
      <c r="E119" s="399">
        <v>1.4452146723984184E-2</v>
      </c>
      <c r="F119" s="400">
        <v>188.244</v>
      </c>
      <c r="G119" s="400">
        <v>6.4919850240000008</v>
      </c>
      <c r="H119" s="257">
        <v>194.735985024</v>
      </c>
      <c r="I119" s="398">
        <v>3.3337367118870732E-2</v>
      </c>
      <c r="J119" s="258">
        <f t="shared" ca="1" si="9"/>
        <v>3.6662380141867787</v>
      </c>
      <c r="K119" s="258">
        <f t="shared" si="10"/>
        <v>0.11509920885328588</v>
      </c>
      <c r="L119" s="258">
        <f t="shared" ca="1" si="11"/>
        <v>3.7813372230400648</v>
      </c>
      <c r="M119" s="258">
        <f t="shared" ca="1" si="12"/>
        <v>2.237193626936556</v>
      </c>
      <c r="N119" s="258">
        <f t="shared" si="13"/>
        <v>0.1150390879229141</v>
      </c>
      <c r="O119" s="258">
        <f t="shared" ca="1" si="14"/>
        <v>2.3522327148594702</v>
      </c>
      <c r="P119" s="258">
        <f t="shared" ca="1" si="15"/>
        <v>0.5499357021280169</v>
      </c>
      <c r="Q119" s="258">
        <f t="shared" si="16"/>
        <v>0.1150390879229141</v>
      </c>
      <c r="R119" s="258">
        <f t="shared" ca="1" si="17"/>
        <v>0.66497479005093096</v>
      </c>
    </row>
    <row r="120" spans="3:18" ht="14" x14ac:dyDescent="0.3">
      <c r="C120" s="255" t="s">
        <v>6052</v>
      </c>
      <c r="D120" s="399">
        <v>0.98398102185905112</v>
      </c>
      <c r="E120" s="399">
        <v>1.6018978140948933E-2</v>
      </c>
      <c r="F120" s="400">
        <v>168.32400000000001</v>
      </c>
      <c r="G120" s="400">
        <v>6.4445982720000003</v>
      </c>
      <c r="H120" s="257">
        <v>174.76859827200002</v>
      </c>
      <c r="I120" s="398">
        <v>3.687503553681875E-2</v>
      </c>
      <c r="J120" s="258">
        <f t="shared" ca="1" si="9"/>
        <v>3.6604094013156705</v>
      </c>
      <c r="K120" s="258">
        <f t="shared" si="10"/>
        <v>0.12757770495101986</v>
      </c>
      <c r="L120" s="258">
        <f t="shared" ca="1" si="11"/>
        <v>3.7879871062666903</v>
      </c>
      <c r="M120" s="258">
        <f t="shared" ca="1" si="12"/>
        <v>2.2336369196200461</v>
      </c>
      <c r="N120" s="258">
        <f t="shared" si="13"/>
        <v>0.1275110660019535</v>
      </c>
      <c r="O120" s="258">
        <f t="shared" ca="1" si="14"/>
        <v>2.3611479856219995</v>
      </c>
      <c r="P120" s="258">
        <f t="shared" ca="1" si="15"/>
        <v>0.54906141019735055</v>
      </c>
      <c r="Q120" s="258">
        <f t="shared" si="16"/>
        <v>0.1275110660019535</v>
      </c>
      <c r="R120" s="258">
        <f t="shared" ca="1" si="17"/>
        <v>0.67657247619930405</v>
      </c>
    </row>
    <row r="121" spans="3:18" ht="14" x14ac:dyDescent="0.3">
      <c r="C121" s="255" t="s">
        <v>6053</v>
      </c>
      <c r="D121" s="399">
        <v>0.98200071771730313</v>
      </c>
      <c r="E121" s="399">
        <v>1.7999282282696916E-2</v>
      </c>
      <c r="F121" s="400">
        <v>148.404</v>
      </c>
      <c r="G121" s="400">
        <v>6.3972115199999999</v>
      </c>
      <c r="H121" s="257">
        <v>154.80121152000001</v>
      </c>
      <c r="I121" s="398">
        <v>4.1325332387166056E-2</v>
      </c>
      <c r="J121" s="258">
        <f t="shared" ca="1" si="9"/>
        <v>3.653042669908368</v>
      </c>
      <c r="K121" s="258">
        <f t="shared" si="10"/>
        <v>0.14334916398456346</v>
      </c>
      <c r="L121" s="258">
        <f t="shared" ca="1" si="11"/>
        <v>3.7963918338929314</v>
      </c>
      <c r="M121" s="258">
        <f t="shared" ca="1" si="12"/>
        <v>2.2291416292182782</v>
      </c>
      <c r="N121" s="258">
        <f t="shared" si="13"/>
        <v>0.14327428697026745</v>
      </c>
      <c r="O121" s="258">
        <f t="shared" ca="1" si="14"/>
        <v>2.3724159161885456</v>
      </c>
      <c r="P121" s="258">
        <f t="shared" ca="1" si="15"/>
        <v>0.54795640048625516</v>
      </c>
      <c r="Q121" s="258">
        <f t="shared" si="16"/>
        <v>0.14327428697026745</v>
      </c>
      <c r="R121" s="258">
        <f t="shared" ca="1" si="17"/>
        <v>0.69123068745652261</v>
      </c>
    </row>
    <row r="122" spans="3:18" ht="14" x14ac:dyDescent="0.3">
      <c r="C122" s="255" t="s">
        <v>6054</v>
      </c>
      <c r="D122" s="399">
        <v>0.9838448208396221</v>
      </c>
      <c r="E122" s="399">
        <v>1.6155179160377883E-2</v>
      </c>
      <c r="F122" s="400">
        <v>153.38400000000001</v>
      </c>
      <c r="G122" s="400">
        <v>5.9233440000000002</v>
      </c>
      <c r="H122" s="257">
        <v>159.307344</v>
      </c>
      <c r="I122" s="398">
        <v>3.7181864007474759E-2</v>
      </c>
      <c r="J122" s="258">
        <f t="shared" ca="1" si="9"/>
        <v>3.6599027335233942</v>
      </c>
      <c r="K122" s="258">
        <f t="shared" si="10"/>
        <v>0.12866243166191513</v>
      </c>
      <c r="L122" s="258">
        <f t="shared" ca="1" si="11"/>
        <v>3.7885651651853092</v>
      </c>
      <c r="M122" s="258">
        <f t="shared" ca="1" si="12"/>
        <v>2.2333277433059422</v>
      </c>
      <c r="N122" s="258">
        <f t="shared" si="13"/>
        <v>0.12859522611660795</v>
      </c>
      <c r="O122" s="258">
        <f t="shared" ca="1" si="14"/>
        <v>2.3619229694225501</v>
      </c>
      <c r="P122" s="258">
        <f t="shared" ca="1" si="15"/>
        <v>0.5489854100285092</v>
      </c>
      <c r="Q122" s="258">
        <f t="shared" si="16"/>
        <v>0.12859522611660795</v>
      </c>
      <c r="R122" s="258">
        <f t="shared" ca="1" si="17"/>
        <v>0.6775806361451171</v>
      </c>
    </row>
    <row r="123" spans="3:18" ht="14" x14ac:dyDescent="0.3">
      <c r="C123" s="255" t="s">
        <v>6055</v>
      </c>
      <c r="D123" s="399">
        <v>0.98171301923506282</v>
      </c>
      <c r="E123" s="399">
        <v>1.8286980764937174E-2</v>
      </c>
      <c r="F123" s="400">
        <v>134.12799999999999</v>
      </c>
      <c r="G123" s="400">
        <v>5.8759572479999989</v>
      </c>
      <c r="H123" s="257">
        <v>140.00395724799998</v>
      </c>
      <c r="I123" s="398">
        <v>4.1969936875365994E-2</v>
      </c>
      <c r="J123" s="258">
        <f t="shared" ca="1" si="9"/>
        <v>3.6519724315544337</v>
      </c>
      <c r="K123" s="258">
        <f t="shared" si="10"/>
        <v>0.14564044072888205</v>
      </c>
      <c r="L123" s="258">
        <f t="shared" ca="1" si="11"/>
        <v>3.7976128722833158</v>
      </c>
      <c r="M123" s="258">
        <f t="shared" ca="1" si="12"/>
        <v>2.2284885536635928</v>
      </c>
      <c r="N123" s="258">
        <f t="shared" si="13"/>
        <v>0.1455643668888999</v>
      </c>
      <c r="O123" s="258">
        <f t="shared" ca="1" si="14"/>
        <v>2.3740529205524927</v>
      </c>
      <c r="P123" s="258">
        <f t="shared" ca="1" si="15"/>
        <v>0.54779586473316511</v>
      </c>
      <c r="Q123" s="258">
        <f t="shared" si="16"/>
        <v>0.1455643668888999</v>
      </c>
      <c r="R123" s="258">
        <f t="shared" ca="1" si="17"/>
        <v>0.69336023162206506</v>
      </c>
    </row>
    <row r="124" spans="3:18" ht="14" x14ac:dyDescent="0.3">
      <c r="C124" s="255" t="s">
        <v>6056</v>
      </c>
      <c r="D124" s="399">
        <v>0.98220466149421326</v>
      </c>
      <c r="E124" s="399">
        <v>1.7795338505786778E-2</v>
      </c>
      <c r="F124" s="400">
        <v>106.24</v>
      </c>
      <c r="G124" s="400">
        <v>4.5268285439999998</v>
      </c>
      <c r="H124" s="257">
        <v>110.76682854399999</v>
      </c>
      <c r="I124" s="398">
        <v>4.0868088429577128E-2</v>
      </c>
      <c r="J124" s="258">
        <f t="shared" ca="1" si="9"/>
        <v>3.6538013407584735</v>
      </c>
      <c r="K124" s="258">
        <f t="shared" si="10"/>
        <v>0.14172492311424681</v>
      </c>
      <c r="L124" s="258">
        <f t="shared" ca="1" si="11"/>
        <v>3.7955262638727203</v>
      </c>
      <c r="M124" s="258">
        <f t="shared" ca="1" si="12"/>
        <v>2.2296045815918641</v>
      </c>
      <c r="N124" s="258">
        <f t="shared" si="13"/>
        <v>0.14165089450606275</v>
      </c>
      <c r="O124" s="258">
        <f t="shared" ca="1" si="14"/>
        <v>2.371255476097927</v>
      </c>
      <c r="P124" s="258">
        <f t="shared" ca="1" si="15"/>
        <v>0.54807020111377103</v>
      </c>
      <c r="Q124" s="258">
        <f t="shared" si="16"/>
        <v>0.14165089450606275</v>
      </c>
      <c r="R124" s="258">
        <f t="shared" ca="1" si="17"/>
        <v>0.68972109561983375</v>
      </c>
    </row>
    <row r="125" spans="3:18" ht="14" x14ac:dyDescent="0.3">
      <c r="C125" s="255" t="s">
        <v>6057</v>
      </c>
      <c r="D125" s="399">
        <v>0.98288818029004577</v>
      </c>
      <c r="E125" s="399">
        <v>1.7111819709954179E-2</v>
      </c>
      <c r="F125" s="400">
        <v>123.83599999999998</v>
      </c>
      <c r="G125" s="400">
        <v>5.0703824640000006</v>
      </c>
      <c r="H125" s="257">
        <v>128.90638246399999</v>
      </c>
      <c r="I125" s="398">
        <v>3.9333835664933182E-2</v>
      </c>
      <c r="J125" s="258">
        <f t="shared" ca="1" si="9"/>
        <v>3.6563440306789703</v>
      </c>
      <c r="K125" s="258">
        <f t="shared" si="10"/>
        <v>0.13628127006122867</v>
      </c>
      <c r="L125" s="258">
        <f t="shared" ca="1" si="11"/>
        <v>3.7926253007401991</v>
      </c>
      <c r="M125" s="258">
        <f t="shared" ca="1" si="12"/>
        <v>2.2311561692584041</v>
      </c>
      <c r="N125" s="258">
        <f t="shared" si="13"/>
        <v>0.13621008489123526</v>
      </c>
      <c r="O125" s="258">
        <f t="shared" ca="1" si="14"/>
        <v>2.3673662541496392</v>
      </c>
      <c r="P125" s="258">
        <f t="shared" ca="1" si="15"/>
        <v>0.54845160460184561</v>
      </c>
      <c r="Q125" s="258">
        <f t="shared" si="16"/>
        <v>0.13621008489123526</v>
      </c>
      <c r="R125" s="258">
        <f t="shared" ca="1" si="17"/>
        <v>0.68466168949308082</v>
      </c>
    </row>
    <row r="126" spans="3:18" ht="14" x14ac:dyDescent="0.3">
      <c r="C126" s="255" t="s">
        <v>6058</v>
      </c>
      <c r="D126" s="399">
        <v>0.97992361214573498</v>
      </c>
      <c r="E126" s="399">
        <v>2.0076387854265014E-2</v>
      </c>
      <c r="F126" s="400">
        <v>104.24799999999999</v>
      </c>
      <c r="G126" s="400">
        <v>5.0229957119999993</v>
      </c>
      <c r="H126" s="257">
        <v>109.27099571199999</v>
      </c>
      <c r="I126" s="398">
        <v>4.5968243258612318E-2</v>
      </c>
      <c r="J126" s="258">
        <f t="shared" ca="1" si="9"/>
        <v>3.6453158371821344</v>
      </c>
      <c r="K126" s="258">
        <f t="shared" si="10"/>
        <v>0.15989156509342325</v>
      </c>
      <c r="L126" s="258">
        <f t="shared" ca="1" si="11"/>
        <v>3.8052074022755575</v>
      </c>
      <c r="M126" s="258">
        <f t="shared" ca="1" si="12"/>
        <v>2.2244265995708186</v>
      </c>
      <c r="N126" s="258">
        <f t="shared" si="13"/>
        <v>0.15980804731994952</v>
      </c>
      <c r="O126" s="258">
        <f t="shared" ca="1" si="14"/>
        <v>2.3842346468907682</v>
      </c>
      <c r="P126" s="258">
        <f t="shared" ca="1" si="15"/>
        <v>0.54679737557732022</v>
      </c>
      <c r="Q126" s="258">
        <f t="shared" si="16"/>
        <v>0.15980804731994952</v>
      </c>
      <c r="R126" s="258">
        <f t="shared" ca="1" si="17"/>
        <v>0.7066054228972698</v>
      </c>
    </row>
    <row r="127" spans="3:18" ht="14" x14ac:dyDescent="0.3">
      <c r="C127" s="255" t="s">
        <v>6059</v>
      </c>
      <c r="D127" s="399">
        <v>0.98165385206051703</v>
      </c>
      <c r="E127" s="399">
        <v>1.8346147939482971E-2</v>
      </c>
      <c r="F127" s="400">
        <v>85.323999999999998</v>
      </c>
      <c r="G127" s="400">
        <v>3.7502433023999995</v>
      </c>
      <c r="H127" s="257">
        <v>89.074243302399992</v>
      </c>
      <c r="I127" s="398">
        <v>4.2102443572472698E-2</v>
      </c>
      <c r="J127" s="258">
        <f t="shared" ca="1" si="9"/>
        <v>3.6517523296651238</v>
      </c>
      <c r="K127" s="258">
        <f t="shared" si="10"/>
        <v>0.14611165757371269</v>
      </c>
      <c r="L127" s="258">
        <f t="shared" ca="1" si="11"/>
        <v>3.7978639872388364</v>
      </c>
      <c r="M127" s="258">
        <f t="shared" ca="1" si="12"/>
        <v>2.2283542441773738</v>
      </c>
      <c r="N127" s="258">
        <f t="shared" si="13"/>
        <v>0.14603533759828444</v>
      </c>
      <c r="O127" s="258">
        <f t="shared" ca="1" si="14"/>
        <v>2.3743895817756582</v>
      </c>
      <c r="P127" s="258">
        <f t="shared" ca="1" si="15"/>
        <v>0.54776284944976861</v>
      </c>
      <c r="Q127" s="258">
        <f t="shared" si="16"/>
        <v>0.14603533759828444</v>
      </c>
      <c r="R127" s="258">
        <f t="shared" ca="1" si="17"/>
        <v>0.69379818704805307</v>
      </c>
    </row>
    <row r="128" spans="3:18" ht="14" x14ac:dyDescent="0.3">
      <c r="C128" s="255" t="s">
        <v>6060</v>
      </c>
      <c r="D128" s="399">
        <v>0.98156884464649952</v>
      </c>
      <c r="E128" s="399">
        <v>1.8431155353500522E-2</v>
      </c>
      <c r="F128" s="400">
        <v>98.935999999999993</v>
      </c>
      <c r="G128" s="400">
        <v>4.3690585343999997</v>
      </c>
      <c r="H128" s="257">
        <v>103.30505853439999</v>
      </c>
      <c r="I128" s="398">
        <v>4.2292784074510044E-2</v>
      </c>
      <c r="J128" s="258">
        <f t="shared" ca="1" si="9"/>
        <v>3.6514361020849786</v>
      </c>
      <c r="K128" s="258">
        <f t="shared" si="10"/>
        <v>0.1467886702201347</v>
      </c>
      <c r="L128" s="258">
        <f t="shared" ca="1" si="11"/>
        <v>3.7982247723051135</v>
      </c>
      <c r="M128" s="258">
        <f t="shared" ca="1" si="12"/>
        <v>2.2281612773475539</v>
      </c>
      <c r="N128" s="258">
        <f t="shared" si="13"/>
        <v>0.14671199661386417</v>
      </c>
      <c r="O128" s="258">
        <f t="shared" ca="1" si="14"/>
        <v>2.374873273961418</v>
      </c>
      <c r="P128" s="258">
        <f t="shared" ca="1" si="15"/>
        <v>0.54771541531274681</v>
      </c>
      <c r="Q128" s="258">
        <f t="shared" si="16"/>
        <v>0.14671199661386417</v>
      </c>
      <c r="R128" s="258">
        <f t="shared" ca="1" si="17"/>
        <v>0.69442741192661095</v>
      </c>
    </row>
    <row r="129" spans="3:18" ht="14" x14ac:dyDescent="0.3">
      <c r="C129" s="255" t="s">
        <v>6061</v>
      </c>
      <c r="D129" s="399">
        <v>0.98237079147711814</v>
      </c>
      <c r="E129" s="399">
        <v>1.7629208522881908E-2</v>
      </c>
      <c r="F129" s="400">
        <v>84.327999999999989</v>
      </c>
      <c r="G129" s="400">
        <v>3.5590238207999998</v>
      </c>
      <c r="H129" s="257">
        <v>87.887023820799982</v>
      </c>
      <c r="I129" s="398">
        <v>4.0495441375472944E-2</v>
      </c>
      <c r="J129" s="258">
        <f t="shared" ca="1" si="9"/>
        <v>3.6544193442948796</v>
      </c>
      <c r="K129" s="258">
        <f t="shared" si="10"/>
        <v>0.14040183734959516</v>
      </c>
      <c r="L129" s="258">
        <f t="shared" ca="1" si="11"/>
        <v>3.7948211816444748</v>
      </c>
      <c r="M129" s="258">
        <f t="shared" ca="1" si="12"/>
        <v>2.2299816966530583</v>
      </c>
      <c r="N129" s="258">
        <f t="shared" si="13"/>
        <v>0.14032849984213999</v>
      </c>
      <c r="O129" s="258">
        <f t="shared" ca="1" si="14"/>
        <v>2.3703101964951983</v>
      </c>
      <c r="P129" s="258">
        <f t="shared" ca="1" si="15"/>
        <v>0.54816290164423198</v>
      </c>
      <c r="Q129" s="258">
        <f t="shared" si="16"/>
        <v>0.14032849984213999</v>
      </c>
      <c r="R129" s="258">
        <f t="shared" ca="1" si="17"/>
        <v>0.688491401486372</v>
      </c>
    </row>
    <row r="130" spans="3:18" ht="14" x14ac:dyDescent="0.3">
      <c r="C130" s="255" t="s">
        <v>6062</v>
      </c>
      <c r="D130" s="399">
        <v>0.98001223301368523</v>
      </c>
      <c r="E130" s="399">
        <v>1.9987766986314721E-2</v>
      </c>
      <c r="F130" s="400">
        <v>74.036000000000001</v>
      </c>
      <c r="G130" s="400">
        <v>3.5512189439999999</v>
      </c>
      <c r="H130" s="257">
        <v>77.587218944</v>
      </c>
      <c r="I130" s="398">
        <v>4.5770669349073555E-2</v>
      </c>
      <c r="J130" s="258">
        <f t="shared" ca="1" si="9"/>
        <v>3.6456455068109093</v>
      </c>
      <c r="K130" s="258">
        <f t="shared" si="10"/>
        <v>0.15918577432172826</v>
      </c>
      <c r="L130" s="258">
        <f t="shared" ca="1" si="11"/>
        <v>3.8048312811326377</v>
      </c>
      <c r="M130" s="258">
        <f t="shared" ca="1" si="12"/>
        <v>2.2246277689410654</v>
      </c>
      <c r="N130" s="258">
        <f t="shared" si="13"/>
        <v>0.15910262521106519</v>
      </c>
      <c r="O130" s="258">
        <f t="shared" ca="1" si="14"/>
        <v>2.3837303941521304</v>
      </c>
      <c r="P130" s="258">
        <f t="shared" ca="1" si="15"/>
        <v>0.54684682602163637</v>
      </c>
      <c r="Q130" s="258">
        <f t="shared" si="16"/>
        <v>0.15910262521106519</v>
      </c>
      <c r="R130" s="258">
        <f t="shared" ca="1" si="17"/>
        <v>0.70594945123270159</v>
      </c>
    </row>
    <row r="131" spans="3:18" ht="14" x14ac:dyDescent="0.3">
      <c r="C131" s="255" t="s">
        <v>6063</v>
      </c>
      <c r="D131" s="399">
        <v>0.97945052524164555</v>
      </c>
      <c r="E131" s="399">
        <v>2.0549474758354488E-2</v>
      </c>
      <c r="F131" s="400">
        <v>60.423999999999992</v>
      </c>
      <c r="G131" s="400">
        <v>2.9814629375999999</v>
      </c>
      <c r="H131" s="257">
        <v>63.405462937599992</v>
      </c>
      <c r="I131" s="398">
        <v>4.7022177576941347E-2</v>
      </c>
      <c r="J131" s="258">
        <f t="shared" ca="1" si="9"/>
        <v>3.6435559538989217</v>
      </c>
      <c r="K131" s="258">
        <f t="shared" si="10"/>
        <v>0.16365930489149647</v>
      </c>
      <c r="L131" s="258">
        <f t="shared" ca="1" si="11"/>
        <v>3.8072152587904182</v>
      </c>
      <c r="M131" s="258">
        <f t="shared" ca="1" si="12"/>
        <v>2.2233526922985356</v>
      </c>
      <c r="N131" s="258">
        <f t="shared" si="13"/>
        <v>0.16357381907650173</v>
      </c>
      <c r="O131" s="258">
        <f t="shared" ca="1" si="14"/>
        <v>2.3869265113750373</v>
      </c>
      <c r="P131" s="258">
        <f t="shared" ca="1" si="15"/>
        <v>0.54653339308483828</v>
      </c>
      <c r="Q131" s="258">
        <f t="shared" si="16"/>
        <v>0.16357381907650173</v>
      </c>
      <c r="R131" s="258">
        <f t="shared" ca="1" si="17"/>
        <v>0.71010721216133998</v>
      </c>
    </row>
    <row r="132" spans="3:18" ht="14" x14ac:dyDescent="0.3">
      <c r="C132" s="255" t="s">
        <v>6064</v>
      </c>
      <c r="D132" s="399">
        <v>0.98468147004853124</v>
      </c>
      <c r="E132" s="399">
        <v>1.5318529951468774E-2</v>
      </c>
      <c r="F132" s="400">
        <v>73.703999999999994</v>
      </c>
      <c r="G132" s="400">
        <v>2.6965849343999997</v>
      </c>
      <c r="H132" s="257">
        <v>76.400584934399987</v>
      </c>
      <c r="I132" s="398">
        <v>3.5295344096061235E-2</v>
      </c>
      <c r="J132" s="258">
        <f t="shared" ca="1" si="9"/>
        <v>3.6630150685805365</v>
      </c>
      <c r="K132" s="258">
        <f t="shared" si="10"/>
        <v>0.12199922349828955</v>
      </c>
      <c r="L132" s="258">
        <f t="shared" ca="1" si="11"/>
        <v>3.7850142920788259</v>
      </c>
      <c r="M132" s="258">
        <f t="shared" ca="1" si="12"/>
        <v>2.2352269370101658</v>
      </c>
      <c r="N132" s="258">
        <f t="shared" si="13"/>
        <v>0.12193549841369145</v>
      </c>
      <c r="O132" s="258">
        <f t="shared" ca="1" si="14"/>
        <v>2.3571624354238572</v>
      </c>
      <c r="P132" s="258">
        <f t="shared" ca="1" si="15"/>
        <v>0.5494522602870805</v>
      </c>
      <c r="Q132" s="258">
        <f t="shared" si="16"/>
        <v>0.12193549841369145</v>
      </c>
      <c r="R132" s="258">
        <f t="shared" ca="1" si="17"/>
        <v>0.67138775870077194</v>
      </c>
    </row>
    <row r="133" spans="3:18" ht="14" x14ac:dyDescent="0.3">
      <c r="C133" s="255" t="s">
        <v>6065</v>
      </c>
      <c r="D133" s="399">
        <v>0.98143605567247538</v>
      </c>
      <c r="E133" s="399">
        <v>1.8563944327524621E-2</v>
      </c>
      <c r="F133" s="400">
        <v>60.091999999999999</v>
      </c>
      <c r="G133" s="400">
        <v>2.6731703039999997</v>
      </c>
      <c r="H133" s="257">
        <v>62.765170304000002</v>
      </c>
      <c r="I133" s="398">
        <v>4.2590027097076794E-2</v>
      </c>
      <c r="J133" s="258">
        <f t="shared" ca="1" si="9"/>
        <v>3.6509421271016085</v>
      </c>
      <c r="K133" s="258">
        <f t="shared" si="10"/>
        <v>0.14784622285549848</v>
      </c>
      <c r="L133" s="258">
        <f t="shared" ca="1" si="11"/>
        <v>3.7987883499571069</v>
      </c>
      <c r="M133" s="258">
        <f t="shared" ca="1" si="12"/>
        <v>2.2278598463765191</v>
      </c>
      <c r="N133" s="258">
        <f t="shared" si="13"/>
        <v>0.14776899684709599</v>
      </c>
      <c r="O133" s="258">
        <f t="shared" ca="1" si="14"/>
        <v>2.3756288432236152</v>
      </c>
      <c r="P133" s="258">
        <f t="shared" ca="1" si="15"/>
        <v>0.54764131906524127</v>
      </c>
      <c r="Q133" s="258">
        <f t="shared" si="16"/>
        <v>0.14776899684709599</v>
      </c>
      <c r="R133" s="258">
        <f t="shared" ca="1" si="17"/>
        <v>0.69541031591233726</v>
      </c>
    </row>
    <row r="134" spans="3:18" ht="14" x14ac:dyDescent="0.3">
      <c r="C134" s="255" t="s">
        <v>6066</v>
      </c>
      <c r="D134" s="399">
        <v>0.97926729347721131</v>
      </c>
      <c r="E134" s="399">
        <v>2.0732706522788743E-2</v>
      </c>
      <c r="F134" s="400">
        <v>53.452000000000005</v>
      </c>
      <c r="G134" s="400">
        <v>2.6614629888000003</v>
      </c>
      <c r="H134" s="257">
        <v>56.113462988800009</v>
      </c>
      <c r="I134" s="398">
        <v>4.7430025648768394E-2</v>
      </c>
      <c r="J134" s="258">
        <f t="shared" ca="1" si="9"/>
        <v>3.6428743317352263</v>
      </c>
      <c r="K134" s="258">
        <f t="shared" si="10"/>
        <v>0.16511859198053319</v>
      </c>
      <c r="L134" s="258">
        <f t="shared" ca="1" si="11"/>
        <v>3.8079929237157595</v>
      </c>
      <c r="M134" s="258">
        <f t="shared" ca="1" si="12"/>
        <v>2.2229367561932696</v>
      </c>
      <c r="N134" s="258">
        <f t="shared" si="13"/>
        <v>0.1650323439213984</v>
      </c>
      <c r="O134" s="258">
        <f t="shared" ca="1" si="14"/>
        <v>2.3879691001146681</v>
      </c>
      <c r="P134" s="258">
        <f t="shared" ca="1" si="15"/>
        <v>0.54643114976028395</v>
      </c>
      <c r="Q134" s="258">
        <f t="shared" si="16"/>
        <v>0.1650323439213984</v>
      </c>
      <c r="R134" s="258">
        <f t="shared" ca="1" si="17"/>
        <v>0.71146349368168238</v>
      </c>
    </row>
    <row r="135" spans="3:18" ht="14" x14ac:dyDescent="0.3">
      <c r="C135" s="255" t="s">
        <v>6067</v>
      </c>
      <c r="D135" s="399">
        <v>0.98404302078639994</v>
      </c>
      <c r="E135" s="399">
        <v>1.5956979213600047E-2</v>
      </c>
      <c r="F135" s="400">
        <v>59.76</v>
      </c>
      <c r="G135" s="400">
        <v>2.2790240255999996</v>
      </c>
      <c r="H135" s="257">
        <v>62.0390240256</v>
      </c>
      <c r="I135" s="398">
        <v>3.6735330082877757E-2</v>
      </c>
      <c r="J135" s="258">
        <f t="shared" ca="1" si="9"/>
        <v>3.660640037325408</v>
      </c>
      <c r="K135" s="258">
        <f t="shared" si="10"/>
        <v>0.12708393557378495</v>
      </c>
      <c r="L135" s="258">
        <f t="shared" ca="1" si="11"/>
        <v>3.7877239728991929</v>
      </c>
      <c r="M135" s="258">
        <f t="shared" ca="1" si="12"/>
        <v>2.233777657185128</v>
      </c>
      <c r="N135" s="258">
        <f t="shared" si="13"/>
        <v>0.12701755454025637</v>
      </c>
      <c r="O135" s="258">
        <f t="shared" ca="1" si="14"/>
        <v>2.3607952117253843</v>
      </c>
      <c r="P135" s="258">
        <f t="shared" ca="1" si="15"/>
        <v>0.54909600559881122</v>
      </c>
      <c r="Q135" s="258">
        <f t="shared" si="16"/>
        <v>0.12701755454025637</v>
      </c>
      <c r="R135" s="258">
        <f t="shared" ca="1" si="17"/>
        <v>0.67611356013906754</v>
      </c>
    </row>
    <row r="136" spans="3:18" ht="14" x14ac:dyDescent="0.3">
      <c r="C136" s="255" t="s">
        <v>6068</v>
      </c>
      <c r="D136" s="399">
        <v>0.97985112533942043</v>
      </c>
      <c r="E136" s="399">
        <v>2.0148874660579564E-2</v>
      </c>
      <c r="F136" s="400">
        <v>46.48</v>
      </c>
      <c r="G136" s="400">
        <v>2.2478045183999993</v>
      </c>
      <c r="H136" s="257">
        <v>48.727804518399999</v>
      </c>
      <c r="I136" s="398">
        <v>4.6129813165524641E-2</v>
      </c>
      <c r="J136" s="258">
        <f t="shared" ca="1" si="9"/>
        <v>3.6450461862626442</v>
      </c>
      <c r="K136" s="258">
        <f t="shared" si="10"/>
        <v>0.16046886161680132</v>
      </c>
      <c r="L136" s="258">
        <f t="shared" ca="1" si="11"/>
        <v>3.8055150478794455</v>
      </c>
      <c r="M136" s="258">
        <f t="shared" ca="1" si="12"/>
        <v>2.2242620545204845</v>
      </c>
      <c r="N136" s="258">
        <f t="shared" si="13"/>
        <v>0.16038504229821332</v>
      </c>
      <c r="O136" s="258">
        <f t="shared" ca="1" si="14"/>
        <v>2.3846470968186977</v>
      </c>
      <c r="P136" s="258">
        <f t="shared" ca="1" si="15"/>
        <v>0.54675692793939668</v>
      </c>
      <c r="Q136" s="258">
        <f t="shared" si="16"/>
        <v>0.16038504229821332</v>
      </c>
      <c r="R136" s="258">
        <f t="shared" ca="1" si="17"/>
        <v>0.70714197023761005</v>
      </c>
    </row>
    <row r="137" spans="3:18" ht="14" x14ac:dyDescent="0.3">
      <c r="C137" s="255" t="s">
        <v>6069</v>
      </c>
      <c r="D137" s="259">
        <v>0.99298190555691279</v>
      </c>
      <c r="E137" s="399">
        <v>7.0180944430872291E-3</v>
      </c>
      <c r="F137" s="400">
        <v>524.55999999999995</v>
      </c>
      <c r="G137" s="400">
        <v>8.7191623679999992</v>
      </c>
      <c r="H137" s="257">
        <v>533.2791623679999</v>
      </c>
      <c r="I137" s="398">
        <v>1.6350090127810333E-2</v>
      </c>
      <c r="J137" s="258">
        <f t="shared" ca="1" si="9"/>
        <v>3.6938926886717156</v>
      </c>
      <c r="K137" s="258">
        <f t="shared" si="10"/>
        <v>5.5893227039857586E-2</v>
      </c>
      <c r="L137" s="258">
        <f t="shared" ca="1" si="11"/>
        <v>3.7497859157115734</v>
      </c>
      <c r="M137" s="258">
        <f t="shared" ca="1" si="12"/>
        <v>2.2540689256141921</v>
      </c>
      <c r="N137" s="258">
        <f t="shared" si="13"/>
        <v>5.5864031766974347E-2</v>
      </c>
      <c r="O137" s="258">
        <f t="shared" ca="1" si="14"/>
        <v>2.3099329573811667</v>
      </c>
      <c r="P137" s="258">
        <f t="shared" ca="1" si="15"/>
        <v>0.55408390330075741</v>
      </c>
      <c r="Q137" s="258">
        <f t="shared" si="16"/>
        <v>5.5864031766974347E-2</v>
      </c>
      <c r="R137" s="258">
        <f t="shared" ca="1" si="17"/>
        <v>0.60994793506773171</v>
      </c>
    </row>
    <row r="138" spans="3:18" ht="14" x14ac:dyDescent="0.3">
      <c r="C138" s="255" t="s">
        <v>6070</v>
      </c>
      <c r="D138" s="259">
        <v>0.9920020163273684</v>
      </c>
      <c r="E138" s="399">
        <v>7.9979836726315721E-3</v>
      </c>
      <c r="F138" s="400">
        <v>454.84</v>
      </c>
      <c r="G138" s="400">
        <v>8.6243888639999984</v>
      </c>
      <c r="H138" s="257">
        <v>463.464388864</v>
      </c>
      <c r="I138" s="398">
        <v>1.8608525425522517E-2</v>
      </c>
      <c r="J138" s="258">
        <f t="shared" ca="1" si="9"/>
        <v>3.6902475007378106</v>
      </c>
      <c r="K138" s="258">
        <f t="shared" si="10"/>
        <v>6.369722164622546E-2</v>
      </c>
      <c r="L138" s="258">
        <f t="shared" ca="1" si="11"/>
        <v>3.7539447223840359</v>
      </c>
      <c r="M138" s="258">
        <f t="shared" ca="1" si="12"/>
        <v>2.2518445770631264</v>
      </c>
      <c r="N138" s="258">
        <f t="shared" si="13"/>
        <v>6.3663950034147321E-2</v>
      </c>
      <c r="O138" s="258">
        <f t="shared" ca="1" si="14"/>
        <v>2.3155085270972737</v>
      </c>
      <c r="P138" s="258">
        <f t="shared" ca="1" si="15"/>
        <v>0.55353712511067166</v>
      </c>
      <c r="Q138" s="258">
        <f t="shared" si="16"/>
        <v>6.3663950034147321E-2</v>
      </c>
      <c r="R138" s="258">
        <f t="shared" ca="1" si="17"/>
        <v>0.61720107514481892</v>
      </c>
    </row>
    <row r="139" spans="3:18" ht="14" x14ac:dyDescent="0.3">
      <c r="C139" s="255" t="s">
        <v>6071</v>
      </c>
      <c r="D139" s="259">
        <v>0.99077663361455404</v>
      </c>
      <c r="E139" s="399">
        <v>9.223366385445915E-3</v>
      </c>
      <c r="F139" s="400">
        <v>391.76</v>
      </c>
      <c r="G139" s="400">
        <v>8.5770021120000006</v>
      </c>
      <c r="H139" s="257">
        <v>400.33700211199999</v>
      </c>
      <c r="I139" s="398">
        <v>2.1424455063487891E-2</v>
      </c>
      <c r="J139" s="258">
        <f t="shared" ca="1" si="9"/>
        <v>3.685689077046141</v>
      </c>
      <c r="K139" s="258">
        <f t="shared" si="10"/>
        <v>7.3456365632312934E-2</v>
      </c>
      <c r="L139" s="258">
        <f t="shared" ca="1" si="11"/>
        <v>3.7591454426784541</v>
      </c>
      <c r="M139" s="258">
        <f t="shared" ca="1" si="12"/>
        <v>2.2490629583050379</v>
      </c>
      <c r="N139" s="258">
        <f t="shared" si="13"/>
        <v>7.3417996428149487E-2</v>
      </c>
      <c r="O139" s="258">
        <f t="shared" ca="1" si="14"/>
        <v>2.3224809547331873</v>
      </c>
      <c r="P139" s="258">
        <f t="shared" ca="1" si="15"/>
        <v>0.55285336155692122</v>
      </c>
      <c r="Q139" s="258">
        <f t="shared" si="16"/>
        <v>7.3417996428149487E-2</v>
      </c>
      <c r="R139" s="258">
        <f t="shared" ca="1" si="17"/>
        <v>0.62627135798507072</v>
      </c>
    </row>
    <row r="140" spans="3:18" ht="14" x14ac:dyDescent="0.3">
      <c r="C140" s="255" t="s">
        <v>6072</v>
      </c>
      <c r="D140" s="259">
        <v>0.9889019154468226</v>
      </c>
      <c r="E140" s="399">
        <v>1.1098084553177387E-2</v>
      </c>
      <c r="F140" s="400">
        <v>321.37599999999998</v>
      </c>
      <c r="G140" s="400">
        <v>8.482228607999998</v>
      </c>
      <c r="H140" s="257">
        <v>329.85822860799999</v>
      </c>
      <c r="I140" s="398">
        <v>2.5714770384219179E-2</v>
      </c>
      <c r="J140" s="258">
        <f t="shared" ca="1" si="9"/>
        <v>3.6787151254621802</v>
      </c>
      <c r="K140" s="258">
        <f t="shared" si="10"/>
        <v>8.8386921075033209E-2</v>
      </c>
      <c r="L140" s="258">
        <f t="shared" ca="1" si="11"/>
        <v>3.7671020465372136</v>
      </c>
      <c r="M140" s="258">
        <f t="shared" ca="1" si="12"/>
        <v>2.2448073480642874</v>
      </c>
      <c r="N140" s="258">
        <f t="shared" si="13"/>
        <v>8.8340753043292003E-2</v>
      </c>
      <c r="O140" s="258">
        <f t="shared" ca="1" si="14"/>
        <v>2.3331481011075792</v>
      </c>
      <c r="P140" s="258">
        <f t="shared" ca="1" si="15"/>
        <v>0.55180726881932707</v>
      </c>
      <c r="Q140" s="258">
        <f t="shared" si="16"/>
        <v>8.8340753043292003E-2</v>
      </c>
      <c r="R140" s="258">
        <f t="shared" ca="1" si="17"/>
        <v>0.6401480218626191</v>
      </c>
    </row>
    <row r="141" spans="3:18" ht="14" x14ac:dyDescent="0.3">
      <c r="C141" s="255" t="s">
        <v>6073</v>
      </c>
      <c r="D141" s="259">
        <v>0.98993090945892814</v>
      </c>
      <c r="E141" s="399">
        <v>1.00690905410719E-2</v>
      </c>
      <c r="F141" s="400">
        <v>297.14</v>
      </c>
      <c r="G141" s="400">
        <v>7.1080127999999991</v>
      </c>
      <c r="H141" s="257">
        <v>304.24801279999997</v>
      </c>
      <c r="I141" s="398">
        <v>2.3362561137490526E-2</v>
      </c>
      <c r="J141" s="258">
        <f t="shared" ca="1" si="9"/>
        <v>3.6825429831872127</v>
      </c>
      <c r="K141" s="258">
        <f t="shared" si="10"/>
        <v>8.0191848123583181E-2</v>
      </c>
      <c r="L141" s="258">
        <f t="shared" ca="1" si="11"/>
        <v>3.7627348313107958</v>
      </c>
      <c r="M141" s="258">
        <f t="shared" ca="1" si="12"/>
        <v>2.2471431644717668</v>
      </c>
      <c r="N141" s="258">
        <f t="shared" si="13"/>
        <v>8.0149960706932324E-2</v>
      </c>
      <c r="O141" s="258">
        <f t="shared" ca="1" si="14"/>
        <v>2.327293125178699</v>
      </c>
      <c r="P141" s="258">
        <f t="shared" ca="1" si="15"/>
        <v>0.55238144747808193</v>
      </c>
      <c r="Q141" s="258">
        <f t="shared" si="16"/>
        <v>8.0149960706932324E-2</v>
      </c>
      <c r="R141" s="258">
        <f t="shared" ca="1" si="17"/>
        <v>0.6325314081850143</v>
      </c>
    </row>
    <row r="142" spans="3:18" ht="14" x14ac:dyDescent="0.3">
      <c r="C142" s="255" t="s">
        <v>6074</v>
      </c>
      <c r="D142" s="259">
        <v>0.98782881081183915</v>
      </c>
      <c r="E142" s="399">
        <v>1.2171189188160817E-2</v>
      </c>
      <c r="F142" s="400">
        <v>242.02800000000002</v>
      </c>
      <c r="G142" s="400">
        <v>7.0132392960000001</v>
      </c>
      <c r="H142" s="257">
        <v>249.04123929600001</v>
      </c>
      <c r="I142" s="398">
        <v>2.8160955654675156E-2</v>
      </c>
      <c r="J142" s="258">
        <f t="shared" ca="1" si="9"/>
        <v>3.6747231762200419</v>
      </c>
      <c r="K142" s="258">
        <f t="shared" si="10"/>
        <v>9.6933298084782848E-2</v>
      </c>
      <c r="L142" s="258">
        <f t="shared" ca="1" si="11"/>
        <v>3.7716564743048249</v>
      </c>
      <c r="M142" s="258">
        <f t="shared" ca="1" si="12"/>
        <v>2.2423714005428748</v>
      </c>
      <c r="N142" s="258">
        <f t="shared" si="13"/>
        <v>9.6882665937760112E-2</v>
      </c>
      <c r="O142" s="258">
        <f t="shared" ca="1" si="14"/>
        <v>2.3392540664806347</v>
      </c>
      <c r="P142" s="258">
        <f t="shared" ca="1" si="15"/>
        <v>0.5512084764330063</v>
      </c>
      <c r="Q142" s="258">
        <f t="shared" si="16"/>
        <v>9.6882665937760112E-2</v>
      </c>
      <c r="R142" s="258">
        <f t="shared" ca="1" si="17"/>
        <v>0.64809114237076637</v>
      </c>
    </row>
    <row r="143" spans="3:18" ht="14" x14ac:dyDescent="0.3">
      <c r="C143" s="255" t="s">
        <v>6075</v>
      </c>
      <c r="D143" s="259">
        <v>0.98770894982833624</v>
      </c>
      <c r="E143" s="399">
        <v>1.2291050171663816E-2</v>
      </c>
      <c r="F143" s="400">
        <v>197.54</v>
      </c>
      <c r="G143" s="400">
        <v>5.7811837439999998</v>
      </c>
      <c r="H143" s="257">
        <v>203.321183744</v>
      </c>
      <c r="I143" s="398">
        <v>2.8433750175677907E-2</v>
      </c>
      <c r="J143" s="258">
        <f t="shared" ca="1" si="9"/>
        <v>3.6742772933614112</v>
      </c>
      <c r="K143" s="258">
        <f t="shared" si="10"/>
        <v>9.7887890135158098E-2</v>
      </c>
      <c r="L143" s="258">
        <f t="shared" ca="1" si="11"/>
        <v>3.7721651834965693</v>
      </c>
      <c r="M143" s="258">
        <f t="shared" ca="1" si="12"/>
        <v>2.2420993161103233</v>
      </c>
      <c r="N143" s="258">
        <f t="shared" si="13"/>
        <v>9.7836759366443982E-2</v>
      </c>
      <c r="O143" s="258">
        <f t="shared" ca="1" si="14"/>
        <v>2.3399360754767673</v>
      </c>
      <c r="P143" s="258">
        <f t="shared" ca="1" si="15"/>
        <v>0.5511415940042117</v>
      </c>
      <c r="Q143" s="258">
        <f t="shared" si="16"/>
        <v>9.7836759366443982E-2</v>
      </c>
      <c r="R143" s="258">
        <f t="shared" ca="1" si="17"/>
        <v>0.64897835337065568</v>
      </c>
    </row>
    <row r="144" spans="3:18" ht="14" x14ac:dyDescent="0.3">
      <c r="C144" s="255" t="s">
        <v>6076</v>
      </c>
      <c r="D144" s="259">
        <v>0.98635334793551999</v>
      </c>
      <c r="E144" s="399">
        <v>1.3646652064480069E-2</v>
      </c>
      <c r="F144" s="400">
        <v>173.304</v>
      </c>
      <c r="G144" s="400">
        <v>5.6390234879999994</v>
      </c>
      <c r="H144" s="257">
        <v>178.94302348799999</v>
      </c>
      <c r="I144" s="398">
        <v>3.151295523056899E-2</v>
      </c>
      <c r="J144" s="258">
        <f t="shared" ca="1" si="9"/>
        <v>3.6692344543201347</v>
      </c>
      <c r="K144" s="258">
        <f t="shared" si="10"/>
        <v>0.10868412050584958</v>
      </c>
      <c r="L144" s="258">
        <f t="shared" ca="1" si="11"/>
        <v>3.7779185748259843</v>
      </c>
      <c r="M144" s="258">
        <f t="shared" ca="1" si="12"/>
        <v>2.2390220998136305</v>
      </c>
      <c r="N144" s="258">
        <f t="shared" si="13"/>
        <v>0.10862735043326135</v>
      </c>
      <c r="O144" s="258">
        <f t="shared" ca="1" si="14"/>
        <v>2.3476494502468919</v>
      </c>
      <c r="P144" s="258">
        <f t="shared" ca="1" si="15"/>
        <v>0.55038516814802019</v>
      </c>
      <c r="Q144" s="258">
        <f t="shared" si="16"/>
        <v>0.10862735043326135</v>
      </c>
      <c r="R144" s="258">
        <f t="shared" ca="1" si="17"/>
        <v>0.65901251858128151</v>
      </c>
    </row>
    <row r="145" spans="3:18" ht="14" x14ac:dyDescent="0.3">
      <c r="C145" s="255" t="s">
        <v>6077</v>
      </c>
      <c r="D145" s="259">
        <v>0.98473570141381195</v>
      </c>
      <c r="E145" s="399">
        <v>1.5264298586188095E-2</v>
      </c>
      <c r="F145" s="400">
        <v>153.38400000000001</v>
      </c>
      <c r="G145" s="400">
        <v>5.5916367359999999</v>
      </c>
      <c r="H145" s="257">
        <v>158.97563673600001</v>
      </c>
      <c r="I145" s="398">
        <v>3.517291611975519E-2</v>
      </c>
      <c r="J145" s="258">
        <f t="shared" ca="1" si="9"/>
        <v>3.6632168092593806</v>
      </c>
      <c r="K145" s="258">
        <f t="shared" si="10"/>
        <v>0.12156731622817578</v>
      </c>
      <c r="L145" s="258">
        <f t="shared" ca="1" si="11"/>
        <v>3.7847841254875565</v>
      </c>
      <c r="M145" s="258">
        <f t="shared" ca="1" si="12"/>
        <v>2.2353500422093533</v>
      </c>
      <c r="N145" s="258">
        <f t="shared" si="13"/>
        <v>0.12150381674605724</v>
      </c>
      <c r="O145" s="258">
        <f t="shared" ca="1" si="14"/>
        <v>2.3568538589554104</v>
      </c>
      <c r="P145" s="258">
        <f t="shared" ca="1" si="15"/>
        <v>0.54948252138890707</v>
      </c>
      <c r="Q145" s="258">
        <f t="shared" si="16"/>
        <v>0.12150381674605724</v>
      </c>
      <c r="R145" s="258">
        <f t="shared" ca="1" si="17"/>
        <v>0.67098633813496433</v>
      </c>
    </row>
    <row r="146" spans="3:18" ht="14" x14ac:dyDescent="0.3">
      <c r="C146" s="255" t="s">
        <v>6078</v>
      </c>
      <c r="D146" s="259">
        <v>0.98540265825399809</v>
      </c>
      <c r="E146" s="399">
        <v>1.4597341746001913E-2</v>
      </c>
      <c r="F146" s="400">
        <v>123.504</v>
      </c>
      <c r="G146" s="400">
        <v>4.3027170816</v>
      </c>
      <c r="H146" s="257">
        <v>127.8067170816</v>
      </c>
      <c r="I146" s="398">
        <v>3.3665813345732598E-2</v>
      </c>
      <c r="J146" s="258">
        <f t="shared" ca="1" si="9"/>
        <v>3.665697888704873</v>
      </c>
      <c r="K146" s="258">
        <f t="shared" si="10"/>
        <v>0.11625556523983858</v>
      </c>
      <c r="L146" s="258">
        <f t="shared" ca="1" si="11"/>
        <v>3.7819534539447117</v>
      </c>
      <c r="M146" s="258">
        <f t="shared" ca="1" si="12"/>
        <v>2.2368640342365755</v>
      </c>
      <c r="N146" s="258">
        <f t="shared" si="13"/>
        <v>0.11619484029817523</v>
      </c>
      <c r="O146" s="258">
        <f t="shared" ca="1" si="14"/>
        <v>2.3530588745347507</v>
      </c>
      <c r="P146" s="258">
        <f t="shared" ca="1" si="15"/>
        <v>0.54985468330573095</v>
      </c>
      <c r="Q146" s="258">
        <f t="shared" si="16"/>
        <v>0.11619484029817523</v>
      </c>
      <c r="R146" s="258">
        <f t="shared" ca="1" si="17"/>
        <v>0.66604952360390612</v>
      </c>
    </row>
    <row r="147" spans="3:18" ht="14" x14ac:dyDescent="0.3">
      <c r="C147" s="255" t="s">
        <v>6079</v>
      </c>
      <c r="D147" s="259">
        <v>0.98213808061953112</v>
      </c>
      <c r="E147" s="399">
        <v>1.7861919380468869E-2</v>
      </c>
      <c r="F147" s="400">
        <v>99.6</v>
      </c>
      <c r="G147" s="400">
        <v>4.2600690048000001</v>
      </c>
      <c r="H147" s="257">
        <v>103.8600690048</v>
      </c>
      <c r="I147" s="398">
        <v>4.1017390471819508E-2</v>
      </c>
      <c r="J147" s="258">
        <f t="shared" ca="1" si="9"/>
        <v>3.6535536599046559</v>
      </c>
      <c r="K147" s="258">
        <f t="shared" si="10"/>
        <v>0.14225518385315494</v>
      </c>
      <c r="L147" s="258">
        <f t="shared" ca="1" si="11"/>
        <v>3.7958088437578108</v>
      </c>
      <c r="M147" s="258">
        <f t="shared" ca="1" si="12"/>
        <v>2.2294534430063355</v>
      </c>
      <c r="N147" s="258">
        <f t="shared" si="13"/>
        <v>0.14218087826853221</v>
      </c>
      <c r="O147" s="258">
        <f t="shared" ca="1" si="14"/>
        <v>2.3716343212748678</v>
      </c>
      <c r="P147" s="258">
        <f t="shared" ca="1" si="15"/>
        <v>0.54803304898569838</v>
      </c>
      <c r="Q147" s="258">
        <f t="shared" si="16"/>
        <v>0.14218087826853221</v>
      </c>
      <c r="R147" s="258">
        <f t="shared" ca="1" si="17"/>
        <v>0.69021392725423059</v>
      </c>
    </row>
    <row r="148" spans="3:18" ht="14" x14ac:dyDescent="0.3">
      <c r="C148" s="255" t="s">
        <v>6080</v>
      </c>
      <c r="D148" s="259">
        <v>0.97756176169412956</v>
      </c>
      <c r="E148" s="399">
        <v>2.2438238305870425E-2</v>
      </c>
      <c r="F148" s="400">
        <v>77.687999999999988</v>
      </c>
      <c r="G148" s="400">
        <v>4.1937275519999995</v>
      </c>
      <c r="H148" s="257">
        <v>81.881727551999987</v>
      </c>
      <c r="I148" s="398">
        <v>5.1216891452817992E-2</v>
      </c>
      <c r="J148" s="258">
        <f t="shared" ca="1" si="9"/>
        <v>3.6365297535021623</v>
      </c>
      <c r="K148" s="258">
        <f t="shared" si="10"/>
        <v>0.178701719986081</v>
      </c>
      <c r="L148" s="258">
        <f t="shared" ca="1" si="11"/>
        <v>3.8152314734882435</v>
      </c>
      <c r="M148" s="258">
        <f t="shared" ca="1" si="12"/>
        <v>2.2190651990456742</v>
      </c>
      <c r="N148" s="258">
        <f t="shared" si="13"/>
        <v>0.17860837691472858</v>
      </c>
      <c r="O148" s="258">
        <f t="shared" ca="1" si="14"/>
        <v>2.3976735759604026</v>
      </c>
      <c r="P148" s="258">
        <f t="shared" ca="1" si="15"/>
        <v>0.54547946302532435</v>
      </c>
      <c r="Q148" s="258">
        <f t="shared" si="16"/>
        <v>0.17860837691472858</v>
      </c>
      <c r="R148" s="258">
        <f t="shared" ca="1" si="17"/>
        <v>0.72408783994005299</v>
      </c>
    </row>
    <row r="149" spans="3:18" ht="14" x14ac:dyDescent="0.3">
      <c r="C149" s="255" t="s">
        <v>6081</v>
      </c>
      <c r="D149" s="259">
        <v>0.98134207466880663</v>
      </c>
      <c r="E149" s="399">
        <v>1.8657925331193332E-2</v>
      </c>
      <c r="F149" s="400">
        <v>49.136000000000003</v>
      </c>
      <c r="G149" s="400">
        <v>2.1970728191999997</v>
      </c>
      <c r="H149" s="257">
        <v>51.333072819200005</v>
      </c>
      <c r="I149" s="398">
        <v>4.2800337064143823E-2</v>
      </c>
      <c r="J149" s="258">
        <f t="shared" ca="1" si="9"/>
        <v>3.650592517767961</v>
      </c>
      <c r="K149" s="258">
        <f t="shared" si="10"/>
        <v>0.14859470260567667</v>
      </c>
      <c r="L149" s="258">
        <f t="shared" ca="1" si="11"/>
        <v>3.7991872203736379</v>
      </c>
      <c r="M149" s="258">
        <f t="shared" ca="1" si="12"/>
        <v>2.2276465094981912</v>
      </c>
      <c r="N149" s="258">
        <f t="shared" si="13"/>
        <v>0.14851708563629892</v>
      </c>
      <c r="O149" s="258">
        <f t="shared" ca="1" si="14"/>
        <v>2.3761635951344902</v>
      </c>
      <c r="P149" s="258">
        <f t="shared" ca="1" si="15"/>
        <v>0.54758887766519415</v>
      </c>
      <c r="Q149" s="258">
        <f t="shared" si="16"/>
        <v>0.14851708563629892</v>
      </c>
      <c r="R149" s="258">
        <f t="shared" ca="1" si="17"/>
        <v>0.6961059633014931</v>
      </c>
    </row>
    <row r="150" spans="3:18" ht="14" x14ac:dyDescent="0.3">
      <c r="C150" s="255" t="s">
        <v>6082</v>
      </c>
      <c r="D150" s="399">
        <v>0.99420487157633886</v>
      </c>
      <c r="E150" s="399">
        <v>5.7951284236611028E-3</v>
      </c>
      <c r="F150" s="400">
        <v>1292.2</v>
      </c>
      <c r="G150" s="400">
        <v>20.708010623999996</v>
      </c>
      <c r="H150" s="257">
        <v>1312.9080106240001</v>
      </c>
      <c r="I150" s="398">
        <v>1.5772628742022735E-2</v>
      </c>
      <c r="J150" s="258">
        <f t="shared" ca="1" si="9"/>
        <v>3.6984421222639807</v>
      </c>
      <c r="K150" s="258">
        <f t="shared" si="10"/>
        <v>4.6153329986584807E-2</v>
      </c>
      <c r="L150" s="258">
        <f t="shared" ca="1" si="11"/>
        <v>3.7445954522505653</v>
      </c>
      <c r="M150" s="258">
        <f t="shared" ca="1" si="12"/>
        <v>2.2568450584782891</v>
      </c>
      <c r="N150" s="258">
        <f t="shared" si="13"/>
        <v>4.6129222252342381E-2</v>
      </c>
      <c r="O150" s="258">
        <f t="shared" ca="1" si="14"/>
        <v>2.3029742807306315</v>
      </c>
      <c r="P150" s="258">
        <f t="shared" ca="1" si="15"/>
        <v>0.55476631833959711</v>
      </c>
      <c r="Q150" s="258">
        <f t="shared" si="16"/>
        <v>4.6129222252342381E-2</v>
      </c>
      <c r="R150" s="258">
        <f t="shared" ca="1" si="17"/>
        <v>0.6008955405919395</v>
      </c>
    </row>
    <row r="151" spans="3:18" ht="14" x14ac:dyDescent="0.3">
      <c r="C151" s="255" t="s">
        <v>6083</v>
      </c>
      <c r="D151" s="399">
        <v>0.99379754039337675</v>
      </c>
      <c r="E151" s="399">
        <v>6.2024596066232165E-3</v>
      </c>
      <c r="F151" s="400">
        <v>1201.32</v>
      </c>
      <c r="G151" s="400">
        <v>20.613237120000001</v>
      </c>
      <c r="H151" s="257">
        <v>1221.9332371199998</v>
      </c>
      <c r="I151" s="398">
        <v>1.6869364457737294E-2</v>
      </c>
      <c r="J151" s="258">
        <f t="shared" ca="1" si="9"/>
        <v>3.6969268502633619</v>
      </c>
      <c r="K151" s="258">
        <f t="shared" si="10"/>
        <v>4.9397380700684355E-2</v>
      </c>
      <c r="L151" s="258">
        <f t="shared" ca="1" si="11"/>
        <v>3.7463242309640461</v>
      </c>
      <c r="M151" s="258">
        <f t="shared" ca="1" si="12"/>
        <v>2.2559204166929652</v>
      </c>
      <c r="N151" s="258">
        <f t="shared" si="13"/>
        <v>4.9371578468720805E-2</v>
      </c>
      <c r="O151" s="258">
        <f t="shared" ca="1" si="14"/>
        <v>2.3052919951616859</v>
      </c>
      <c r="P151" s="258">
        <f t="shared" ca="1" si="15"/>
        <v>0.55453902753950424</v>
      </c>
      <c r="Q151" s="258">
        <f t="shared" si="16"/>
        <v>4.9371578468720805E-2</v>
      </c>
      <c r="R151" s="258">
        <f t="shared" ca="1" si="17"/>
        <v>0.60391060600822499</v>
      </c>
    </row>
    <row r="152" spans="3:18" ht="14" x14ac:dyDescent="0.3">
      <c r="C152" s="255" t="s">
        <v>6084</v>
      </c>
      <c r="D152" s="399">
        <v>0.99332559698247547</v>
      </c>
      <c r="E152" s="399">
        <v>6.674403017524499E-3</v>
      </c>
      <c r="F152" s="400">
        <v>1113.28</v>
      </c>
      <c r="G152" s="400">
        <v>20.565850368</v>
      </c>
      <c r="H152" s="257">
        <v>1133.8458503679999</v>
      </c>
      <c r="I152" s="398">
        <v>1.8138136115526785E-2</v>
      </c>
      <c r="J152" s="258">
        <f t="shared" ca="1" si="9"/>
        <v>3.6951712207748089</v>
      </c>
      <c r="K152" s="258">
        <f t="shared" si="10"/>
        <v>5.3156013536047909E-2</v>
      </c>
      <c r="L152" s="258">
        <f t="shared" ca="1" si="11"/>
        <v>3.7483272343108567</v>
      </c>
      <c r="M152" s="258">
        <f t="shared" ca="1" si="12"/>
        <v>2.2548491051502193</v>
      </c>
      <c r="N152" s="258">
        <f t="shared" si="13"/>
        <v>5.3128248019495013E-2</v>
      </c>
      <c r="O152" s="258">
        <f t="shared" ca="1" si="14"/>
        <v>2.3079773531697145</v>
      </c>
      <c r="P152" s="258">
        <f t="shared" ca="1" si="15"/>
        <v>0.55427568311622133</v>
      </c>
      <c r="Q152" s="258">
        <f t="shared" si="16"/>
        <v>5.3128248019495013E-2</v>
      </c>
      <c r="R152" s="258">
        <f t="shared" ca="1" si="17"/>
        <v>0.60740393113571634</v>
      </c>
    </row>
    <row r="153" spans="3:18" ht="14" x14ac:dyDescent="0.3">
      <c r="C153" s="255" t="s">
        <v>6085</v>
      </c>
      <c r="D153" s="399">
        <v>0.99305677352613775</v>
      </c>
      <c r="E153" s="399">
        <v>6.9432264738621963E-3</v>
      </c>
      <c r="F153" s="400">
        <v>971.28</v>
      </c>
      <c r="G153" s="400">
        <v>18.670380287999997</v>
      </c>
      <c r="H153" s="257">
        <v>989.95038028800002</v>
      </c>
      <c r="I153" s="398">
        <v>1.8859915264205808E-2</v>
      </c>
      <c r="J153" s="258">
        <f t="shared" ca="1" si="9"/>
        <v>3.6941711975172327</v>
      </c>
      <c r="K153" s="258">
        <f t="shared" si="10"/>
        <v>5.5296966554074345E-2</v>
      </c>
      <c r="L153" s="258">
        <f t="shared" ca="1" si="11"/>
        <v>3.749468164071307</v>
      </c>
      <c r="M153" s="258">
        <f t="shared" ca="1" si="12"/>
        <v>2.2542388759043326</v>
      </c>
      <c r="N153" s="258">
        <f t="shared" si="13"/>
        <v>5.5268082731943079E-2</v>
      </c>
      <c r="O153" s="258">
        <f t="shared" ca="1" si="14"/>
        <v>2.3095069586362755</v>
      </c>
      <c r="P153" s="258">
        <f t="shared" ca="1" si="15"/>
        <v>0.55412567962758497</v>
      </c>
      <c r="Q153" s="258">
        <f t="shared" si="16"/>
        <v>5.5268082731943079E-2</v>
      </c>
      <c r="R153" s="258">
        <f t="shared" ca="1" si="17"/>
        <v>0.60939376235952802</v>
      </c>
    </row>
    <row r="154" spans="3:18" ht="14" x14ac:dyDescent="0.3">
      <c r="C154" s="255" t="s">
        <v>6086</v>
      </c>
      <c r="D154" s="399">
        <v>0.99255102044139099</v>
      </c>
      <c r="E154" s="399">
        <v>7.4489795586089903E-3</v>
      </c>
      <c r="F154" s="400">
        <v>900.28</v>
      </c>
      <c r="G154" s="400">
        <v>18.575606783999998</v>
      </c>
      <c r="H154" s="257">
        <v>918.85560678399997</v>
      </c>
      <c r="I154" s="398">
        <v>2.0216023765708663E-2</v>
      </c>
      <c r="J154" s="258">
        <f t="shared" ca="1" si="9"/>
        <v>3.6922897960419747</v>
      </c>
      <c r="K154" s="258">
        <f t="shared" si="10"/>
        <v>5.9324865041491377E-2</v>
      </c>
      <c r="L154" s="258">
        <f t="shared" ca="1" si="11"/>
        <v>3.7516146610834662</v>
      </c>
      <c r="M154" s="258">
        <f t="shared" ca="1" si="12"/>
        <v>2.2530908164019574</v>
      </c>
      <c r="N154" s="258">
        <f t="shared" si="13"/>
        <v>5.929387728652756E-2</v>
      </c>
      <c r="O154" s="258">
        <f t="shared" ca="1" si="14"/>
        <v>2.3123846936884851</v>
      </c>
      <c r="P154" s="258">
        <f t="shared" ca="1" si="15"/>
        <v>0.55384346940629625</v>
      </c>
      <c r="Q154" s="258">
        <f t="shared" si="16"/>
        <v>5.929387728652756E-2</v>
      </c>
      <c r="R154" s="258">
        <f t="shared" ca="1" si="17"/>
        <v>0.61313734669282383</v>
      </c>
    </row>
    <row r="155" spans="3:18" ht="14" x14ac:dyDescent="0.3">
      <c r="C155" s="255" t="s">
        <v>6087</v>
      </c>
      <c r="D155" s="399">
        <v>0.99196579427901854</v>
      </c>
      <c r="E155" s="399">
        <v>8.0342057209814525E-3</v>
      </c>
      <c r="F155" s="400">
        <v>789.52</v>
      </c>
      <c r="G155" s="400">
        <v>17.580484991999999</v>
      </c>
      <c r="H155" s="257">
        <v>807.10048499200002</v>
      </c>
      <c r="I155" s="398">
        <v>2.1782275341061474E-2</v>
      </c>
      <c r="J155" s="258">
        <f t="shared" ca="1" si="9"/>
        <v>3.6901127547179491</v>
      </c>
      <c r="K155" s="258">
        <f t="shared" si="10"/>
        <v>6.3985699834811643E-2</v>
      </c>
      <c r="L155" s="258">
        <f t="shared" ca="1" si="11"/>
        <v>3.7540984545527607</v>
      </c>
      <c r="M155" s="258">
        <f t="shared" ca="1" si="12"/>
        <v>2.2517623530133721</v>
      </c>
      <c r="N155" s="258">
        <f t="shared" si="13"/>
        <v>6.3952277539012364E-2</v>
      </c>
      <c r="O155" s="258">
        <f t="shared" ca="1" si="14"/>
        <v>2.3157146305523844</v>
      </c>
      <c r="P155" s="258">
        <f t="shared" ca="1" si="15"/>
        <v>0.55351691320769236</v>
      </c>
      <c r="Q155" s="258">
        <f t="shared" si="16"/>
        <v>6.3952277539012364E-2</v>
      </c>
      <c r="R155" s="258">
        <f t="shared" ca="1" si="17"/>
        <v>0.6174691907467047</v>
      </c>
    </row>
    <row r="156" spans="3:18" ht="14" x14ac:dyDescent="0.3">
      <c r="C156" s="255" t="s">
        <v>6088</v>
      </c>
      <c r="D156" s="399">
        <v>0.99175714787755065</v>
      </c>
      <c r="E156" s="399">
        <v>8.2428521224493165E-3</v>
      </c>
      <c r="F156" s="400">
        <v>707.16</v>
      </c>
      <c r="G156" s="400">
        <v>16.158882432000002</v>
      </c>
      <c r="H156" s="257">
        <v>723.31888243200001</v>
      </c>
      <c r="I156" s="398">
        <v>2.233991511139503E-2</v>
      </c>
      <c r="J156" s="258">
        <f t="shared" ca="1" si="9"/>
        <v>3.6893365901044888</v>
      </c>
      <c r="K156" s="258">
        <f t="shared" si="10"/>
        <v>6.5647393159525946E-2</v>
      </c>
      <c r="L156" s="258">
        <f t="shared" ca="1" si="11"/>
        <v>3.7549839832640148</v>
      </c>
      <c r="M156" s="258">
        <f t="shared" ca="1" si="12"/>
        <v>2.25128872568204</v>
      </c>
      <c r="N156" s="258">
        <f t="shared" si="13"/>
        <v>6.5613102894696559E-2</v>
      </c>
      <c r="O156" s="258">
        <f t="shared" ca="1" si="14"/>
        <v>2.3169018285767367</v>
      </c>
      <c r="P156" s="258">
        <f t="shared" ca="1" si="15"/>
        <v>0.55340048851567336</v>
      </c>
      <c r="Q156" s="258">
        <f t="shared" si="16"/>
        <v>6.5613102894696559E-2</v>
      </c>
      <c r="R156" s="258">
        <f t="shared" ca="1" si="17"/>
        <v>0.61901359141036993</v>
      </c>
    </row>
    <row r="157" spans="3:18" ht="14" x14ac:dyDescent="0.3">
      <c r="C157" s="255" t="s">
        <v>6089</v>
      </c>
      <c r="D157" s="399">
        <v>0.99322332363011723</v>
      </c>
      <c r="E157" s="399">
        <v>6.7766763698827569E-3</v>
      </c>
      <c r="F157" s="400">
        <v>914.4799999999999</v>
      </c>
      <c r="G157" s="400">
        <v>17.154004224000001</v>
      </c>
      <c r="H157" s="257">
        <v>931.63400422399991</v>
      </c>
      <c r="I157" s="398">
        <v>1.8412814631308297E-2</v>
      </c>
      <c r="J157" s="258">
        <f t="shared" ca="1" si="9"/>
        <v>3.6947907639040363</v>
      </c>
      <c r="K157" s="258">
        <f t="shared" si="10"/>
        <v>5.3970534877965458E-2</v>
      </c>
      <c r="L157" s="258">
        <f t="shared" ca="1" si="11"/>
        <v>3.7487612987820018</v>
      </c>
      <c r="M157" s="258">
        <f t="shared" ca="1" si="12"/>
        <v>2.2546169446403663</v>
      </c>
      <c r="N157" s="258">
        <f t="shared" si="13"/>
        <v>5.3942343904266742E-2</v>
      </c>
      <c r="O157" s="258">
        <f t="shared" ca="1" si="14"/>
        <v>2.3085592885446329</v>
      </c>
      <c r="P157" s="258">
        <f t="shared" ca="1" si="15"/>
        <v>0.55421861458560551</v>
      </c>
      <c r="Q157" s="258">
        <f t="shared" si="16"/>
        <v>5.3942343904266742E-2</v>
      </c>
      <c r="R157" s="258">
        <f t="shared" ca="1" si="17"/>
        <v>0.60816095848987228</v>
      </c>
    </row>
    <row r="158" spans="3:18" ht="14" x14ac:dyDescent="0.3">
      <c r="C158" s="255" t="s">
        <v>6090</v>
      </c>
      <c r="D158" s="399">
        <v>0.9926728669371655</v>
      </c>
      <c r="E158" s="399">
        <v>7.3271330628344499E-3</v>
      </c>
      <c r="F158" s="400">
        <v>840.64</v>
      </c>
      <c r="G158" s="400">
        <v>17.059230720000002</v>
      </c>
      <c r="H158" s="257">
        <v>857.69923071999995</v>
      </c>
      <c r="I158" s="398">
        <v>1.9889525499142101E-2</v>
      </c>
      <c r="J158" s="258">
        <f t="shared" ca="1" si="9"/>
        <v>3.692743065006256</v>
      </c>
      <c r="K158" s="258">
        <f t="shared" si="10"/>
        <v>5.8354460053703608E-2</v>
      </c>
      <c r="L158" s="258">
        <f t="shared" ca="1" si="11"/>
        <v>3.7510975250599596</v>
      </c>
      <c r="M158" s="258">
        <f t="shared" ca="1" si="12"/>
        <v>2.2533674079473656</v>
      </c>
      <c r="N158" s="258">
        <f t="shared" si="13"/>
        <v>5.8323979180162223E-2</v>
      </c>
      <c r="O158" s="258">
        <f t="shared" ca="1" si="14"/>
        <v>2.311691387127528</v>
      </c>
      <c r="P158" s="258">
        <f t="shared" ca="1" si="15"/>
        <v>0.55391145975093836</v>
      </c>
      <c r="Q158" s="258">
        <f t="shared" si="16"/>
        <v>5.8323979180162223E-2</v>
      </c>
      <c r="R158" s="258">
        <f t="shared" ca="1" si="17"/>
        <v>0.61223543893110055</v>
      </c>
    </row>
    <row r="159" spans="3:18" ht="14" x14ac:dyDescent="0.3">
      <c r="C159" s="255" t="s">
        <v>6091</v>
      </c>
      <c r="D159" s="399">
        <v>0.9920887039891898</v>
      </c>
      <c r="E159" s="399">
        <v>7.911296010810167E-3</v>
      </c>
      <c r="F159" s="400">
        <v>732.71999999999991</v>
      </c>
      <c r="G159" s="400">
        <v>16.064108928</v>
      </c>
      <c r="H159" s="257">
        <v>748.78410892799991</v>
      </c>
      <c r="I159" s="398">
        <v>2.1453592212311037E-2</v>
      </c>
      <c r="J159" s="258">
        <f t="shared" ca="1" si="9"/>
        <v>3.6905699788397861</v>
      </c>
      <c r="K159" s="258">
        <f t="shared" si="10"/>
        <v>6.3006827237453891E-2</v>
      </c>
      <c r="L159" s="258">
        <f t="shared" ca="1" si="11"/>
        <v>3.7535768060772399</v>
      </c>
      <c r="M159" s="258">
        <f t="shared" ca="1" si="12"/>
        <v>2.252041358055461</v>
      </c>
      <c r="N159" s="258">
        <f t="shared" si="13"/>
        <v>6.2973916246048922E-2</v>
      </c>
      <c r="O159" s="258">
        <f t="shared" ca="1" si="14"/>
        <v>2.3150152743015098</v>
      </c>
      <c r="P159" s="258">
        <f t="shared" ca="1" si="15"/>
        <v>0.55358549682596792</v>
      </c>
      <c r="Q159" s="258">
        <f t="shared" si="16"/>
        <v>6.2973916246048922E-2</v>
      </c>
      <c r="R159" s="258">
        <f t="shared" ca="1" si="17"/>
        <v>0.61655941307201689</v>
      </c>
    </row>
    <row r="160" spans="3:18" ht="14" x14ac:dyDescent="0.3">
      <c r="C160" s="255" t="s">
        <v>6092</v>
      </c>
      <c r="D160" s="399">
        <v>0.99113111446244551</v>
      </c>
      <c r="E160" s="399">
        <v>8.8688855375544575E-3</v>
      </c>
      <c r="F160" s="400">
        <v>610.6</v>
      </c>
      <c r="G160" s="400">
        <v>15.021600383999997</v>
      </c>
      <c r="H160" s="257">
        <v>625.62160038399998</v>
      </c>
      <c r="I160" s="398">
        <v>2.4010680537212746E-2</v>
      </c>
      <c r="J160" s="258">
        <f t="shared" ca="1" si="9"/>
        <v>3.6870077458002974</v>
      </c>
      <c r="K160" s="258">
        <f t="shared" si="10"/>
        <v>7.0633223442769705E-2</v>
      </c>
      <c r="L160" s="258">
        <f t="shared" ca="1" si="11"/>
        <v>3.757640969243067</v>
      </c>
      <c r="M160" s="258">
        <f t="shared" ca="1" si="12"/>
        <v>2.2498676298297515</v>
      </c>
      <c r="N160" s="258">
        <f t="shared" si="13"/>
        <v>7.0596328878933481E-2</v>
      </c>
      <c r="O160" s="258">
        <f t="shared" ca="1" si="14"/>
        <v>2.320463958708685</v>
      </c>
      <c r="P160" s="258">
        <f t="shared" ca="1" si="15"/>
        <v>0.55305116187004466</v>
      </c>
      <c r="Q160" s="258">
        <f t="shared" si="16"/>
        <v>7.0596328878933481E-2</v>
      </c>
      <c r="R160" s="258">
        <f t="shared" ca="1" si="17"/>
        <v>0.62364749074897818</v>
      </c>
    </row>
    <row r="161" spans="3:18" ht="14" x14ac:dyDescent="0.3">
      <c r="C161" s="255" t="s">
        <v>6093</v>
      </c>
      <c r="D161" s="399">
        <v>0.9926935012559579</v>
      </c>
      <c r="E161" s="399">
        <v>7.3064987440420691E-3</v>
      </c>
      <c r="F161" s="400">
        <v>800.88</v>
      </c>
      <c r="G161" s="400">
        <v>16.206269184</v>
      </c>
      <c r="H161" s="257">
        <v>817.086269184</v>
      </c>
      <c r="I161" s="398">
        <v>1.9834220443068665E-2</v>
      </c>
      <c r="J161" s="258">
        <f t="shared" ca="1" si="9"/>
        <v>3.6928198246721635</v>
      </c>
      <c r="K161" s="258">
        <f t="shared" si="10"/>
        <v>5.8190125037350084E-2</v>
      </c>
      <c r="L161" s="258">
        <f t="shared" ca="1" si="11"/>
        <v>3.7510099497095135</v>
      </c>
      <c r="M161" s="258">
        <f t="shared" ca="1" si="12"/>
        <v>2.2534142478510244</v>
      </c>
      <c r="N161" s="258">
        <f t="shared" si="13"/>
        <v>5.8159730002574871E-2</v>
      </c>
      <c r="O161" s="258">
        <f t="shared" ca="1" si="14"/>
        <v>2.3115739778535991</v>
      </c>
      <c r="P161" s="258">
        <f t="shared" ca="1" si="15"/>
        <v>0.55392297370082455</v>
      </c>
      <c r="Q161" s="258">
        <f t="shared" si="16"/>
        <v>5.8159730002574871E-2</v>
      </c>
      <c r="R161" s="258">
        <f t="shared" ca="1" si="17"/>
        <v>0.61208270370339946</v>
      </c>
    </row>
    <row r="162" spans="3:18" ht="14" x14ac:dyDescent="0.3">
      <c r="C162" s="255" t="s">
        <v>6094</v>
      </c>
      <c r="D162" s="399">
        <v>0.99201168501757686</v>
      </c>
      <c r="E162" s="399">
        <v>7.9883149824231166E-3</v>
      </c>
      <c r="F162" s="400">
        <v>729.88</v>
      </c>
      <c r="G162" s="400">
        <v>16.158882432000002</v>
      </c>
      <c r="H162" s="257">
        <v>746.03888243200004</v>
      </c>
      <c r="I162" s="398">
        <v>2.1659571387651972E-2</v>
      </c>
      <c r="J162" s="258">
        <f t="shared" ca="1" si="9"/>
        <v>3.690283468265386</v>
      </c>
      <c r="K162" s="258">
        <f t="shared" si="10"/>
        <v>6.3620218650414881E-2</v>
      </c>
      <c r="L162" s="258">
        <f t="shared" ca="1" si="11"/>
        <v>3.7539036869158009</v>
      </c>
      <c r="M162" s="258">
        <f t="shared" ca="1" si="12"/>
        <v>2.2518665249898997</v>
      </c>
      <c r="N162" s="258">
        <f t="shared" si="13"/>
        <v>6.3586987260088004E-2</v>
      </c>
      <c r="O162" s="258">
        <f t="shared" ca="1" si="14"/>
        <v>2.3154535122499875</v>
      </c>
      <c r="P162" s="258">
        <f t="shared" ca="1" si="15"/>
        <v>0.55354252023980799</v>
      </c>
      <c r="Q162" s="258">
        <f t="shared" si="16"/>
        <v>6.3586987260088004E-2</v>
      </c>
      <c r="R162" s="258">
        <f t="shared" ca="1" si="17"/>
        <v>0.61712950749989604</v>
      </c>
    </row>
    <row r="163" spans="3:18" ht="14" x14ac:dyDescent="0.3">
      <c r="C163" s="255" t="s">
        <v>6095</v>
      </c>
      <c r="D163" s="399">
        <v>0.99117003894843592</v>
      </c>
      <c r="E163" s="399">
        <v>8.82996105156412E-3</v>
      </c>
      <c r="F163" s="400">
        <v>619.12</v>
      </c>
      <c r="G163" s="400">
        <v>15.16376064</v>
      </c>
      <c r="H163" s="257">
        <v>634.28376063999997</v>
      </c>
      <c r="I163" s="398">
        <v>2.3906903472823555E-2</v>
      </c>
      <c r="J163" s="258">
        <f t="shared" ref="J163:J226" ca="1" si="18">$D163*$J$32</f>
        <v>3.6871525448881819</v>
      </c>
      <c r="K163" s="258">
        <f t="shared" ref="K163:K226" si="19">E163*$K$32</f>
        <v>7.0323222608424898E-2</v>
      </c>
      <c r="L163" s="258">
        <f t="shared" ref="L163:L226" ca="1" si="20">SUM(J163:K163)</f>
        <v>3.7574757674966066</v>
      </c>
      <c r="M163" s="258">
        <f t="shared" ref="M163:M226" ca="1" si="21">$D163*$M$32</f>
        <v>2.2499559884129496</v>
      </c>
      <c r="N163" s="258">
        <f t="shared" ref="N163:N226" si="22">$E163*$N$32</f>
        <v>7.0286489970450394E-2</v>
      </c>
      <c r="O163" s="258">
        <f t="shared" ref="O163:O226" ca="1" si="23">SUM(M163:N163)</f>
        <v>2.3202424783833999</v>
      </c>
      <c r="P163" s="258">
        <f t="shared" ref="P163:P226" ca="1" si="24">$D163*$P$32</f>
        <v>0.55307288173322733</v>
      </c>
      <c r="Q163" s="258">
        <f t="shared" ref="Q163:Q226" si="25">$E163*$Q$32</f>
        <v>7.0286489970450394E-2</v>
      </c>
      <c r="R163" s="258">
        <f t="shared" ref="R163:R226" ca="1" si="26">SUM(P163:Q163)</f>
        <v>0.62335937170367772</v>
      </c>
    </row>
    <row r="164" spans="3:18" ht="14" x14ac:dyDescent="0.3">
      <c r="C164" s="255" t="s">
        <v>6096</v>
      </c>
      <c r="D164" s="399">
        <v>0.9897710722855152</v>
      </c>
      <c r="E164" s="399">
        <v>1.0228927714484777E-2</v>
      </c>
      <c r="F164" s="400">
        <v>497</v>
      </c>
      <c r="G164" s="400">
        <v>14.121252095999999</v>
      </c>
      <c r="H164" s="257">
        <v>511.12125209599998</v>
      </c>
      <c r="I164" s="398">
        <v>2.7627988541058968E-2</v>
      </c>
      <c r="J164" s="258">
        <f t="shared" ca="1" si="18"/>
        <v>3.6819483889021165</v>
      </c>
      <c r="K164" s="258">
        <f t="shared" si="19"/>
        <v>8.1464816946591079E-2</v>
      </c>
      <c r="L164" s="258">
        <f t="shared" ca="1" si="20"/>
        <v>3.7634132058487078</v>
      </c>
      <c r="M164" s="258">
        <f t="shared" ca="1" si="21"/>
        <v>2.2467803340881196</v>
      </c>
      <c r="N164" s="258">
        <f t="shared" si="22"/>
        <v>8.142226460729883E-2</v>
      </c>
      <c r="O164" s="258">
        <f t="shared" ca="1" si="23"/>
        <v>2.3282025986954182</v>
      </c>
      <c r="P164" s="258">
        <f t="shared" ca="1" si="24"/>
        <v>0.55229225833531748</v>
      </c>
      <c r="Q164" s="258">
        <f t="shared" si="25"/>
        <v>8.142226460729883E-2</v>
      </c>
      <c r="R164" s="258">
        <f t="shared" ca="1" si="26"/>
        <v>0.63371452294261632</v>
      </c>
    </row>
    <row r="165" spans="3:18" ht="14" x14ac:dyDescent="0.3">
      <c r="C165" s="255" t="s">
        <v>6097</v>
      </c>
      <c r="D165" s="399">
        <v>0.99119596512619479</v>
      </c>
      <c r="E165" s="399">
        <v>8.8040348738051884E-3</v>
      </c>
      <c r="F165" s="400">
        <v>545.28</v>
      </c>
      <c r="G165" s="400">
        <v>13.315677311999998</v>
      </c>
      <c r="H165" s="257">
        <v>558.59567731200002</v>
      </c>
      <c r="I165" s="398">
        <v>2.3837773639917754E-2</v>
      </c>
      <c r="J165" s="258">
        <f t="shared" ca="1" si="18"/>
        <v>3.687248990269445</v>
      </c>
      <c r="K165" s="258">
        <f t="shared" si="19"/>
        <v>7.0116742380564326E-2</v>
      </c>
      <c r="L165" s="258">
        <f t="shared" ca="1" si="20"/>
        <v>3.7573657326500092</v>
      </c>
      <c r="M165" s="258">
        <f t="shared" ca="1" si="21"/>
        <v>2.250014840836462</v>
      </c>
      <c r="N165" s="258">
        <f t="shared" si="22"/>
        <v>7.0080117595489294E-2</v>
      </c>
      <c r="O165" s="258">
        <f t="shared" ca="1" si="23"/>
        <v>2.3200949584319512</v>
      </c>
      <c r="P165" s="258">
        <f t="shared" ca="1" si="24"/>
        <v>0.55308734854041675</v>
      </c>
      <c r="Q165" s="258">
        <f t="shared" si="25"/>
        <v>7.0080117595489294E-2</v>
      </c>
      <c r="R165" s="258">
        <f t="shared" ca="1" si="26"/>
        <v>0.62316746613590601</v>
      </c>
    </row>
    <row r="166" spans="3:18" ht="14" x14ac:dyDescent="0.3">
      <c r="C166" s="255" t="s">
        <v>6098</v>
      </c>
      <c r="D166" s="399">
        <v>0.99034046667318643</v>
      </c>
      <c r="E166" s="399">
        <v>9.6595333268135915E-3</v>
      </c>
      <c r="F166" s="400">
        <v>477.12</v>
      </c>
      <c r="G166" s="400">
        <v>12.79442304</v>
      </c>
      <c r="H166" s="257">
        <v>489.91442304000003</v>
      </c>
      <c r="I166" s="398">
        <v>2.6115628441000956E-2</v>
      </c>
      <c r="J166" s="258">
        <f t="shared" ca="1" si="18"/>
        <v>3.6840665360242535</v>
      </c>
      <c r="K166" s="258">
        <f t="shared" si="19"/>
        <v>7.693006894007573E-2</v>
      </c>
      <c r="L166" s="258">
        <f t="shared" ca="1" si="20"/>
        <v>3.7609966049643293</v>
      </c>
      <c r="M166" s="258">
        <f t="shared" ca="1" si="21"/>
        <v>2.2480728593481332</v>
      </c>
      <c r="N166" s="258">
        <f t="shared" si="22"/>
        <v>7.6889885281436185E-2</v>
      </c>
      <c r="O166" s="258">
        <f t="shared" ca="1" si="23"/>
        <v>2.3249627446295693</v>
      </c>
      <c r="P166" s="258">
        <f t="shared" ca="1" si="24"/>
        <v>0.55260998040363807</v>
      </c>
      <c r="Q166" s="258">
        <f t="shared" si="25"/>
        <v>7.6889885281436185E-2</v>
      </c>
      <c r="R166" s="258">
        <f t="shared" ca="1" si="26"/>
        <v>0.62949986568507421</v>
      </c>
    </row>
    <row r="167" spans="3:18" ht="14" x14ac:dyDescent="0.3">
      <c r="C167" s="255" t="s">
        <v>6099</v>
      </c>
      <c r="D167" s="399">
        <v>0.98898238400191751</v>
      </c>
      <c r="E167" s="399">
        <v>1.1017615998082512E-2</v>
      </c>
      <c r="F167" s="400">
        <v>414.64</v>
      </c>
      <c r="G167" s="400">
        <v>12.699649536000001</v>
      </c>
      <c r="H167" s="257">
        <v>427.33964953599997</v>
      </c>
      <c r="I167" s="398">
        <v>2.9717929402968156E-2</v>
      </c>
      <c r="J167" s="258">
        <f t="shared" ca="1" si="18"/>
        <v>3.6790144684871335</v>
      </c>
      <c r="K167" s="258">
        <f t="shared" si="19"/>
        <v>8.7746056627288821E-2</v>
      </c>
      <c r="L167" s="258">
        <f t="shared" ca="1" si="20"/>
        <v>3.7667605251144223</v>
      </c>
      <c r="M167" s="258">
        <f t="shared" ca="1" si="21"/>
        <v>2.2449900116843526</v>
      </c>
      <c r="N167" s="258">
        <f t="shared" si="22"/>
        <v>8.7700223344736802E-2</v>
      </c>
      <c r="O167" s="258">
        <f t="shared" ca="1" si="23"/>
        <v>2.3326902350290895</v>
      </c>
      <c r="P167" s="258">
        <f t="shared" ca="1" si="24"/>
        <v>0.55185217027306999</v>
      </c>
      <c r="Q167" s="258">
        <f t="shared" si="25"/>
        <v>8.7700223344736802E-2</v>
      </c>
      <c r="R167" s="258">
        <f t="shared" ca="1" si="26"/>
        <v>0.6395523936178068</v>
      </c>
    </row>
    <row r="168" spans="3:18" ht="14" x14ac:dyDescent="0.3">
      <c r="C168" s="255" t="s">
        <v>6100</v>
      </c>
      <c r="D168" s="399">
        <v>0.98742518878274621</v>
      </c>
      <c r="E168" s="399">
        <v>1.2574811217253743E-2</v>
      </c>
      <c r="F168" s="400">
        <v>346.47999999999996</v>
      </c>
      <c r="G168" s="400">
        <v>12.131008511999999</v>
      </c>
      <c r="H168" s="257">
        <v>358.61100851199996</v>
      </c>
      <c r="I168" s="398">
        <v>3.382776385570458E-2</v>
      </c>
      <c r="J168" s="258">
        <f t="shared" ca="1" si="18"/>
        <v>3.6732217022718161</v>
      </c>
      <c r="K168" s="258">
        <f t="shared" si="19"/>
        <v>0.10014780850400357</v>
      </c>
      <c r="L168" s="258">
        <f t="shared" ca="1" si="20"/>
        <v>3.7733695107758196</v>
      </c>
      <c r="M168" s="258">
        <f t="shared" ca="1" si="21"/>
        <v>2.241455178536834</v>
      </c>
      <c r="N168" s="258">
        <f t="shared" si="22"/>
        <v>0.10009549728933979</v>
      </c>
      <c r="O168" s="258">
        <f t="shared" ca="1" si="23"/>
        <v>2.3415506758261739</v>
      </c>
      <c r="P168" s="258">
        <f t="shared" ca="1" si="24"/>
        <v>0.55098325534077242</v>
      </c>
      <c r="Q168" s="258">
        <f t="shared" si="25"/>
        <v>0.10009549728933979</v>
      </c>
      <c r="R168" s="258">
        <f t="shared" ca="1" si="26"/>
        <v>0.65107875263011217</v>
      </c>
    </row>
    <row r="169" spans="3:18" ht="14" x14ac:dyDescent="0.3">
      <c r="C169" s="255" t="s">
        <v>6101</v>
      </c>
      <c r="D169" s="399">
        <v>0.99127154463524725</v>
      </c>
      <c r="E169" s="399">
        <v>8.7284553647527172E-3</v>
      </c>
      <c r="F169" s="400">
        <v>491.32</v>
      </c>
      <c r="G169" s="400">
        <v>11.894074751999996</v>
      </c>
      <c r="H169" s="257">
        <v>503.21407475199999</v>
      </c>
      <c r="I169" s="398">
        <v>2.3636212397003756E-2</v>
      </c>
      <c r="J169" s="258">
        <f t="shared" ca="1" si="18"/>
        <v>3.68753014604312</v>
      </c>
      <c r="K169" s="258">
        <f t="shared" si="19"/>
        <v>6.9514815077748995E-2</v>
      </c>
      <c r="L169" s="258">
        <f t="shared" ca="1" si="20"/>
        <v>3.7570449611208692</v>
      </c>
      <c r="M169" s="258">
        <f t="shared" ca="1" si="21"/>
        <v>2.2501864063220114</v>
      </c>
      <c r="N169" s="258">
        <f t="shared" si="22"/>
        <v>6.9478504703431629E-2</v>
      </c>
      <c r="O169" s="258">
        <f t="shared" ca="1" si="23"/>
        <v>2.319664911025443</v>
      </c>
      <c r="P169" s="258">
        <f t="shared" ca="1" si="24"/>
        <v>0.55312952190646802</v>
      </c>
      <c r="Q169" s="258">
        <f t="shared" si="25"/>
        <v>6.9478504703431629E-2</v>
      </c>
      <c r="R169" s="258">
        <f t="shared" ca="1" si="26"/>
        <v>0.62260802660989967</v>
      </c>
    </row>
    <row r="170" spans="3:18" ht="14" x14ac:dyDescent="0.3">
      <c r="C170" s="255" t="s">
        <v>6102</v>
      </c>
      <c r="D170" s="399">
        <v>0.9903829850618554</v>
      </c>
      <c r="E170" s="399">
        <v>9.6170149381446402E-3</v>
      </c>
      <c r="F170" s="400">
        <v>426</v>
      </c>
      <c r="G170" s="400">
        <v>11.372820479999998</v>
      </c>
      <c r="H170" s="257">
        <v>437.37282047999997</v>
      </c>
      <c r="I170" s="398">
        <v>2.6002577086337377E-2</v>
      </c>
      <c r="J170" s="258">
        <f t="shared" ca="1" si="18"/>
        <v>3.6842247044301022</v>
      </c>
      <c r="K170" s="258">
        <f t="shared" si="19"/>
        <v>7.659144568977401E-2</v>
      </c>
      <c r="L170" s="258">
        <f t="shared" ca="1" si="20"/>
        <v>3.7608161501198762</v>
      </c>
      <c r="M170" s="258">
        <f t="shared" ca="1" si="21"/>
        <v>2.2481693760904116</v>
      </c>
      <c r="N170" s="258">
        <f t="shared" si="22"/>
        <v>7.6551438907631331E-2</v>
      </c>
      <c r="O170" s="258">
        <f t="shared" ca="1" si="23"/>
        <v>2.324720814998043</v>
      </c>
      <c r="P170" s="258">
        <f t="shared" ca="1" si="24"/>
        <v>0.55263370566451542</v>
      </c>
      <c r="Q170" s="258">
        <f t="shared" si="25"/>
        <v>7.6551438907631331E-2</v>
      </c>
      <c r="R170" s="258">
        <f t="shared" ca="1" si="26"/>
        <v>0.6291851445721468</v>
      </c>
    </row>
    <row r="171" spans="3:18" ht="14" x14ac:dyDescent="0.3">
      <c r="C171" s="255" t="s">
        <v>6103</v>
      </c>
      <c r="D171" s="399">
        <v>0.98901115788694327</v>
      </c>
      <c r="E171" s="399">
        <v>1.0988842113056724E-2</v>
      </c>
      <c r="F171" s="400">
        <v>369.2</v>
      </c>
      <c r="G171" s="400">
        <v>11.278046975999999</v>
      </c>
      <c r="H171" s="257">
        <v>380.47804697599997</v>
      </c>
      <c r="I171" s="398">
        <v>2.9641781084708423E-2</v>
      </c>
      <c r="J171" s="258">
        <f t="shared" ca="1" si="18"/>
        <v>3.679121507339429</v>
      </c>
      <c r="K171" s="258">
        <f t="shared" si="19"/>
        <v>8.751689680312183E-2</v>
      </c>
      <c r="L171" s="258">
        <f t="shared" ca="1" si="20"/>
        <v>3.7666384041425509</v>
      </c>
      <c r="M171" s="258">
        <f t="shared" ca="1" si="21"/>
        <v>2.2450553284033612</v>
      </c>
      <c r="N171" s="258">
        <f t="shared" si="22"/>
        <v>8.7471183219931525E-2</v>
      </c>
      <c r="O171" s="258">
        <f t="shared" ca="1" si="23"/>
        <v>2.3325265116232927</v>
      </c>
      <c r="P171" s="258">
        <f t="shared" ca="1" si="24"/>
        <v>0.55186822610091435</v>
      </c>
      <c r="Q171" s="258">
        <f t="shared" si="25"/>
        <v>8.7471183219931525E-2</v>
      </c>
      <c r="R171" s="258">
        <f t="shared" ca="1" si="26"/>
        <v>0.63933940932084588</v>
      </c>
    </row>
    <row r="172" spans="3:18" ht="14" x14ac:dyDescent="0.3">
      <c r="C172" s="255" t="s">
        <v>6104</v>
      </c>
      <c r="D172" s="399">
        <v>0.98769856649037302</v>
      </c>
      <c r="E172" s="399">
        <v>1.2301433509626935E-2</v>
      </c>
      <c r="F172" s="400">
        <v>326.59999999999997</v>
      </c>
      <c r="G172" s="400">
        <v>11.183273472</v>
      </c>
      <c r="H172" s="257">
        <v>337.78327347199996</v>
      </c>
      <c r="I172" s="398">
        <v>3.3107836741143488E-2</v>
      </c>
      <c r="J172" s="258">
        <f t="shared" ca="1" si="18"/>
        <v>3.6742386673441878</v>
      </c>
      <c r="K172" s="258">
        <f t="shared" si="19"/>
        <v>9.797058470003045E-2</v>
      </c>
      <c r="L172" s="258">
        <f t="shared" ca="1" si="20"/>
        <v>3.7722092520442181</v>
      </c>
      <c r="M172" s="258">
        <f t="shared" ca="1" si="21"/>
        <v>2.2420757459331466</v>
      </c>
      <c r="N172" s="258">
        <f t="shared" si="22"/>
        <v>9.7919410736630408E-2</v>
      </c>
      <c r="O172" s="258">
        <f t="shared" ca="1" si="23"/>
        <v>2.3399951566697772</v>
      </c>
      <c r="P172" s="258">
        <f t="shared" ca="1" si="24"/>
        <v>0.55113580010162821</v>
      </c>
      <c r="Q172" s="258">
        <f t="shared" si="25"/>
        <v>9.7919410736630408E-2</v>
      </c>
      <c r="R172" s="258">
        <f t="shared" ca="1" si="26"/>
        <v>0.64905521083825857</v>
      </c>
    </row>
    <row r="173" spans="3:18" ht="14" x14ac:dyDescent="0.3">
      <c r="C173" s="255" t="s">
        <v>6105</v>
      </c>
      <c r="D173" s="259">
        <v>0.99604328144901622</v>
      </c>
      <c r="E173" s="399">
        <v>3.9567185509837609E-3</v>
      </c>
      <c r="F173" s="400">
        <v>1249.5999999999999</v>
      </c>
      <c r="G173" s="400">
        <v>13.647384575999999</v>
      </c>
      <c r="H173" s="257">
        <v>1263.2473845759998</v>
      </c>
      <c r="I173" s="398">
        <v>1.0803414076001152E-2</v>
      </c>
      <c r="J173" s="258">
        <f t="shared" ca="1" si="18"/>
        <v>3.7052810069903406</v>
      </c>
      <c r="K173" s="258">
        <f t="shared" si="19"/>
        <v>3.1511939615002829E-2</v>
      </c>
      <c r="L173" s="258">
        <f t="shared" ca="1" si="20"/>
        <v>3.7367929466053433</v>
      </c>
      <c r="M173" s="258">
        <f t="shared" ca="1" si="21"/>
        <v>2.2610182488892669</v>
      </c>
      <c r="N173" s="258">
        <f t="shared" si="22"/>
        <v>3.1495479665830738E-2</v>
      </c>
      <c r="O173" s="258">
        <f t="shared" ca="1" si="23"/>
        <v>2.2925137285550976</v>
      </c>
      <c r="P173" s="258">
        <f t="shared" ca="1" si="24"/>
        <v>0.55579215104855106</v>
      </c>
      <c r="Q173" s="258">
        <f t="shared" si="25"/>
        <v>3.1495479665830738E-2</v>
      </c>
      <c r="R173" s="258">
        <f t="shared" ca="1" si="26"/>
        <v>0.58728763071438184</v>
      </c>
    </row>
    <row r="174" spans="3:18" ht="14" x14ac:dyDescent="0.3">
      <c r="C174" s="255" t="s">
        <v>6106</v>
      </c>
      <c r="D174" s="259">
        <v>0.99576676458132662</v>
      </c>
      <c r="E174" s="399">
        <v>4.2332354186733834E-3</v>
      </c>
      <c r="F174" s="400">
        <v>1175.76</v>
      </c>
      <c r="G174" s="400">
        <v>13.742158080000001</v>
      </c>
      <c r="H174" s="257">
        <v>1189.5021580800001</v>
      </c>
      <c r="I174" s="398">
        <v>1.1552865193772747E-2</v>
      </c>
      <c r="J174" s="258">
        <f t="shared" ca="1" si="18"/>
        <v>3.7042523642425351</v>
      </c>
      <c r="K174" s="258">
        <f t="shared" si="19"/>
        <v>3.371416419198181E-2</v>
      </c>
      <c r="L174" s="258">
        <f t="shared" ca="1" si="20"/>
        <v>3.7379665284345167</v>
      </c>
      <c r="M174" s="258">
        <f t="shared" ca="1" si="21"/>
        <v>2.2603905555996113</v>
      </c>
      <c r="N174" s="258">
        <f t="shared" si="22"/>
        <v>3.3696553932640129E-2</v>
      </c>
      <c r="O174" s="258">
        <f t="shared" ca="1" si="23"/>
        <v>2.2940871095322515</v>
      </c>
      <c r="P174" s="258">
        <f t="shared" ca="1" si="24"/>
        <v>0.55563785463638027</v>
      </c>
      <c r="Q174" s="258">
        <f t="shared" si="25"/>
        <v>3.3696553932640129E-2</v>
      </c>
      <c r="R174" s="258">
        <f t="shared" ca="1" si="26"/>
        <v>0.58933440856902042</v>
      </c>
    </row>
    <row r="175" spans="3:18" ht="14" x14ac:dyDescent="0.3">
      <c r="C175" s="255" t="s">
        <v>6107</v>
      </c>
      <c r="D175" s="259">
        <v>0.99545709768084178</v>
      </c>
      <c r="E175" s="399">
        <v>4.5429023191582464E-3</v>
      </c>
      <c r="F175" s="400">
        <v>1087.72</v>
      </c>
      <c r="G175" s="400">
        <v>13.647384575999999</v>
      </c>
      <c r="H175" s="257">
        <v>1101.3673845759999</v>
      </c>
      <c r="I175" s="398">
        <v>1.2391309899969404E-2</v>
      </c>
      <c r="J175" s="258">
        <f t="shared" ca="1" si="18"/>
        <v>3.7031004033727317</v>
      </c>
      <c r="K175" s="258">
        <f t="shared" si="19"/>
        <v>3.6180400934147337E-2</v>
      </c>
      <c r="L175" s="258">
        <f t="shared" ca="1" si="20"/>
        <v>3.7392808043068793</v>
      </c>
      <c r="M175" s="258">
        <f t="shared" ca="1" si="21"/>
        <v>2.2596876117355107</v>
      </c>
      <c r="N175" s="258">
        <f t="shared" si="22"/>
        <v>3.6161502460499644E-2</v>
      </c>
      <c r="O175" s="258">
        <f t="shared" ca="1" si="23"/>
        <v>2.2958491141960105</v>
      </c>
      <c r="P175" s="258">
        <f t="shared" ca="1" si="24"/>
        <v>0.55546506050590971</v>
      </c>
      <c r="Q175" s="258">
        <f t="shared" si="25"/>
        <v>3.6161502460499644E-2</v>
      </c>
      <c r="R175" s="258">
        <f t="shared" ca="1" si="26"/>
        <v>0.59162656296640936</v>
      </c>
    </row>
    <row r="176" spans="3:18" ht="14" x14ac:dyDescent="0.3">
      <c r="C176" s="255" t="s">
        <v>6108</v>
      </c>
      <c r="D176" s="259">
        <v>0.99470884523951741</v>
      </c>
      <c r="E176" s="399">
        <v>5.2911547604825651E-3</v>
      </c>
      <c r="F176" s="400">
        <v>965.59999999999991</v>
      </c>
      <c r="G176" s="400">
        <v>14.121252095999999</v>
      </c>
      <c r="H176" s="257">
        <v>979.72125209599994</v>
      </c>
      <c r="I176" s="398">
        <v>1.4413540653312582E-2</v>
      </c>
      <c r="J176" s="258">
        <f t="shared" ca="1" si="18"/>
        <v>3.7003169042910051</v>
      </c>
      <c r="K176" s="258">
        <f t="shared" si="19"/>
        <v>4.2139603097244821E-2</v>
      </c>
      <c r="L176" s="258">
        <f t="shared" ca="1" si="20"/>
        <v>3.7424565073882499</v>
      </c>
      <c r="M176" s="258">
        <f t="shared" ca="1" si="21"/>
        <v>2.2579890786937047</v>
      </c>
      <c r="N176" s="258">
        <f t="shared" si="22"/>
        <v>4.211759189344122E-2</v>
      </c>
      <c r="O176" s="258">
        <f t="shared" ca="1" si="23"/>
        <v>2.3001066705871458</v>
      </c>
      <c r="P176" s="258">
        <f t="shared" ca="1" si="24"/>
        <v>0.55504753564365072</v>
      </c>
      <c r="Q176" s="258">
        <f t="shared" si="25"/>
        <v>4.211759189344122E-2</v>
      </c>
      <c r="R176" s="258">
        <f t="shared" ca="1" si="26"/>
        <v>0.59716512753709194</v>
      </c>
    </row>
    <row r="177" spans="3:18" ht="14" x14ac:dyDescent="0.3">
      <c r="C177" s="255" t="s">
        <v>6109</v>
      </c>
      <c r="D177" s="259">
        <v>0.99382290061517742</v>
      </c>
      <c r="E177" s="399">
        <v>6.1770993848225958E-3</v>
      </c>
      <c r="F177" s="400">
        <v>823.59999999999991</v>
      </c>
      <c r="G177" s="400">
        <v>14.073865344</v>
      </c>
      <c r="H177" s="257">
        <v>837.67386534399986</v>
      </c>
      <c r="I177" s="398">
        <v>1.6801127415167018E-2</v>
      </c>
      <c r="J177" s="258">
        <f t="shared" ca="1" si="18"/>
        <v>3.69702119028846</v>
      </c>
      <c r="K177" s="258">
        <f t="shared" si="19"/>
        <v>4.9195407836628721E-2</v>
      </c>
      <c r="L177" s="258">
        <f t="shared" ca="1" si="20"/>
        <v>3.7462165981250886</v>
      </c>
      <c r="M177" s="258">
        <f t="shared" ca="1" si="21"/>
        <v>2.2559779843964529</v>
      </c>
      <c r="N177" s="258">
        <f t="shared" si="22"/>
        <v>4.9169711103187859E-2</v>
      </c>
      <c r="O177" s="258">
        <f t="shared" ca="1" si="23"/>
        <v>2.3051476954996408</v>
      </c>
      <c r="P177" s="258">
        <f t="shared" ca="1" si="24"/>
        <v>0.55455317854326902</v>
      </c>
      <c r="Q177" s="258">
        <f t="shared" si="25"/>
        <v>4.9169711103187859E-2</v>
      </c>
      <c r="R177" s="258">
        <f t="shared" ca="1" si="26"/>
        <v>0.60372288964645693</v>
      </c>
    </row>
    <row r="178" spans="3:18" ht="14" x14ac:dyDescent="0.3">
      <c r="C178" s="255" t="s">
        <v>6110</v>
      </c>
      <c r="D178" s="259">
        <v>0.99331678608938634</v>
      </c>
      <c r="E178" s="399">
        <v>6.6832139106136326E-3</v>
      </c>
      <c r="F178" s="400">
        <v>758.28</v>
      </c>
      <c r="G178" s="400">
        <v>14.026478592</v>
      </c>
      <c r="H178" s="257">
        <v>772.30647859199996</v>
      </c>
      <c r="I178" s="398">
        <v>1.8161803611400257E-2</v>
      </c>
      <c r="J178" s="258">
        <f t="shared" ca="1" si="18"/>
        <v>3.6951384442525175</v>
      </c>
      <c r="K178" s="258">
        <f t="shared" si="19"/>
        <v>5.3226184898352666E-2</v>
      </c>
      <c r="L178" s="258">
        <f t="shared" ca="1" si="20"/>
        <v>3.7483646291508701</v>
      </c>
      <c r="M178" s="258">
        <f t="shared" ca="1" si="21"/>
        <v>2.2548291044229072</v>
      </c>
      <c r="N178" s="258">
        <f t="shared" si="22"/>
        <v>5.3198382728484518E-2</v>
      </c>
      <c r="O178" s="258">
        <f t="shared" ca="1" si="23"/>
        <v>2.3080274871513917</v>
      </c>
      <c r="P178" s="258">
        <f t="shared" ca="1" si="24"/>
        <v>0.55427076663787767</v>
      </c>
      <c r="Q178" s="258">
        <f t="shared" si="25"/>
        <v>5.3198382728484518E-2</v>
      </c>
      <c r="R178" s="258">
        <f t="shared" ca="1" si="26"/>
        <v>0.6074691493663622</v>
      </c>
    </row>
    <row r="179" spans="3:18" ht="14" x14ac:dyDescent="0.3">
      <c r="C179" s="255" t="s">
        <v>6111</v>
      </c>
      <c r="D179" s="259">
        <v>0.99223495204541534</v>
      </c>
      <c r="E179" s="399">
        <v>7.7650479545846741E-3</v>
      </c>
      <c r="F179" s="400">
        <v>647.52</v>
      </c>
      <c r="G179" s="400">
        <v>13.931705087999998</v>
      </c>
      <c r="H179" s="257">
        <v>661.45170508799993</v>
      </c>
      <c r="I179" s="398">
        <v>2.1062316388082356E-2</v>
      </c>
      <c r="J179" s="258">
        <f t="shared" ca="1" si="18"/>
        <v>3.6911140216089451</v>
      </c>
      <c r="K179" s="258">
        <f t="shared" si="19"/>
        <v>6.1842084317985074E-2</v>
      </c>
      <c r="L179" s="258">
        <f t="shared" ca="1" si="20"/>
        <v>3.7529561059269301</v>
      </c>
      <c r="M179" s="258">
        <f t="shared" ca="1" si="21"/>
        <v>2.2523733411430928</v>
      </c>
      <c r="N179" s="258">
        <f t="shared" si="22"/>
        <v>6.1809781718494008E-2</v>
      </c>
      <c r="O179" s="258">
        <f t="shared" ca="1" si="23"/>
        <v>2.314183122861587</v>
      </c>
      <c r="P179" s="258">
        <f t="shared" ca="1" si="24"/>
        <v>0.55366710324134183</v>
      </c>
      <c r="Q179" s="258">
        <f t="shared" si="25"/>
        <v>6.1809781718494008E-2</v>
      </c>
      <c r="R179" s="258">
        <f t="shared" ca="1" si="26"/>
        <v>0.61547688495983588</v>
      </c>
    </row>
    <row r="180" spans="3:18" ht="14" x14ac:dyDescent="0.3">
      <c r="C180" s="255" t="s">
        <v>6112</v>
      </c>
      <c r="D180" s="259">
        <v>0.99601477657724857</v>
      </c>
      <c r="E180" s="399">
        <v>3.9852234227514194E-3</v>
      </c>
      <c r="F180" s="400">
        <v>1025.24</v>
      </c>
      <c r="G180" s="400">
        <v>11.278046975999999</v>
      </c>
      <c r="H180" s="257">
        <v>1036.5180469760001</v>
      </c>
      <c r="I180" s="398">
        <v>1.088070488391712E-2</v>
      </c>
      <c r="J180" s="258">
        <f t="shared" ca="1" si="18"/>
        <v>3.705174968867365</v>
      </c>
      <c r="K180" s="258">
        <f t="shared" si="19"/>
        <v>3.1738956974539941E-2</v>
      </c>
      <c r="L180" s="258">
        <f t="shared" ca="1" si="20"/>
        <v>3.7369139258419048</v>
      </c>
      <c r="M180" s="258">
        <f t="shared" ca="1" si="21"/>
        <v>2.2609535428303542</v>
      </c>
      <c r="N180" s="258">
        <f t="shared" si="22"/>
        <v>3.1722378445101299E-2</v>
      </c>
      <c r="O180" s="258">
        <f t="shared" ca="1" si="23"/>
        <v>2.2926759212754555</v>
      </c>
      <c r="P180" s="258">
        <f t="shared" ca="1" si="24"/>
        <v>0.55577624533010472</v>
      </c>
      <c r="Q180" s="258">
        <f t="shared" si="25"/>
        <v>3.1722378445101299E-2</v>
      </c>
      <c r="R180" s="258">
        <f t="shared" ca="1" si="26"/>
        <v>0.58749862377520601</v>
      </c>
    </row>
    <row r="181" spans="3:18" ht="14" x14ac:dyDescent="0.3">
      <c r="C181" s="255" t="s">
        <v>6113</v>
      </c>
      <c r="D181" s="259">
        <v>0.99557890120627734</v>
      </c>
      <c r="E181" s="399">
        <v>4.4210987937226068E-3</v>
      </c>
      <c r="F181" s="400">
        <v>931.52</v>
      </c>
      <c r="G181" s="400">
        <v>11.372820479999998</v>
      </c>
      <c r="H181" s="257">
        <v>942.89282047999995</v>
      </c>
      <c r="I181" s="398">
        <v>1.2061625916517656E-2</v>
      </c>
      <c r="J181" s="258">
        <f t="shared" ca="1" si="18"/>
        <v>3.703553512487352</v>
      </c>
      <c r="K181" s="258">
        <f t="shared" si="19"/>
        <v>3.5210338169013831E-2</v>
      </c>
      <c r="L181" s="258">
        <f t="shared" ca="1" si="20"/>
        <v>3.7387638506563659</v>
      </c>
      <c r="M181" s="258">
        <f t="shared" ca="1" si="21"/>
        <v>2.2599641057382498</v>
      </c>
      <c r="N181" s="258">
        <f t="shared" si="22"/>
        <v>3.5191946398031949E-2</v>
      </c>
      <c r="O181" s="258">
        <f t="shared" ca="1" si="23"/>
        <v>2.2951560521362819</v>
      </c>
      <c r="P181" s="258">
        <f t="shared" ca="1" si="24"/>
        <v>0.5555330268731028</v>
      </c>
      <c r="Q181" s="258">
        <f t="shared" si="25"/>
        <v>3.5191946398031949E-2</v>
      </c>
      <c r="R181" s="258">
        <f t="shared" ca="1" si="26"/>
        <v>0.59072497327113471</v>
      </c>
    </row>
    <row r="182" spans="3:18" ht="14" x14ac:dyDescent="0.3">
      <c r="C182" s="255" t="s">
        <v>6114</v>
      </c>
      <c r="D182" s="259">
        <v>0.99523570812700712</v>
      </c>
      <c r="E182" s="399">
        <v>4.7642918729929066E-3</v>
      </c>
      <c r="F182" s="400">
        <v>860.52</v>
      </c>
      <c r="G182" s="400">
        <v>11.325433728</v>
      </c>
      <c r="H182" s="257">
        <v>871.84543372799999</v>
      </c>
      <c r="I182" s="398">
        <v>1.2990185289578899E-2</v>
      </c>
      <c r="J182" s="258">
        <f t="shared" ca="1" si="18"/>
        <v>3.7022768342324666</v>
      </c>
      <c r="K182" s="258">
        <f t="shared" si="19"/>
        <v>3.7943582763215189E-2</v>
      </c>
      <c r="L182" s="258">
        <f t="shared" ca="1" si="20"/>
        <v>3.7402204169956819</v>
      </c>
      <c r="M182" s="258">
        <f t="shared" ca="1" si="21"/>
        <v>2.2591850574483061</v>
      </c>
      <c r="N182" s="258">
        <f t="shared" si="22"/>
        <v>3.7923763309023535E-2</v>
      </c>
      <c r="O182" s="258">
        <f t="shared" ca="1" si="23"/>
        <v>2.2971088207573298</v>
      </c>
      <c r="P182" s="258">
        <f t="shared" ca="1" si="24"/>
        <v>0.55534152513487001</v>
      </c>
      <c r="Q182" s="258">
        <f t="shared" si="25"/>
        <v>3.7923763309023535E-2</v>
      </c>
      <c r="R182" s="258">
        <f t="shared" ca="1" si="26"/>
        <v>0.59326528844389359</v>
      </c>
    </row>
    <row r="183" spans="3:18" ht="14" x14ac:dyDescent="0.3">
      <c r="C183" s="255" t="s">
        <v>6115</v>
      </c>
      <c r="D183" s="259">
        <v>0.99467875600700317</v>
      </c>
      <c r="E183" s="399">
        <v>5.3212439929968425E-3</v>
      </c>
      <c r="F183" s="400">
        <v>766.8</v>
      </c>
      <c r="G183" s="400">
        <v>11.278046975999999</v>
      </c>
      <c r="H183" s="257">
        <v>778.078046976</v>
      </c>
      <c r="I183" s="398">
        <v>1.4494750262948716E-2</v>
      </c>
      <c r="J183" s="258">
        <f t="shared" ca="1" si="18"/>
        <v>3.7002049723460519</v>
      </c>
      <c r="K183" s="258">
        <f t="shared" si="19"/>
        <v>4.2379238559265731E-2</v>
      </c>
      <c r="L183" s="258">
        <f t="shared" ca="1" si="20"/>
        <v>3.7425842109053176</v>
      </c>
      <c r="M183" s="258">
        <f t="shared" ca="1" si="21"/>
        <v>2.2579207761358973</v>
      </c>
      <c r="N183" s="258">
        <f t="shared" si="22"/>
        <v>4.2357102184254869E-2</v>
      </c>
      <c r="O183" s="258">
        <f t="shared" ca="1" si="23"/>
        <v>2.3002778783201521</v>
      </c>
      <c r="P183" s="258">
        <f t="shared" ca="1" si="24"/>
        <v>0.55503074585190781</v>
      </c>
      <c r="Q183" s="258">
        <f t="shared" si="25"/>
        <v>4.2357102184254869E-2</v>
      </c>
      <c r="R183" s="258">
        <f t="shared" ca="1" si="26"/>
        <v>0.59738784803616274</v>
      </c>
    </row>
    <row r="184" spans="3:18" ht="14" x14ac:dyDescent="0.3">
      <c r="C184" s="255" t="s">
        <v>6116</v>
      </c>
      <c r="D184" s="259">
        <v>0.99328928139100081</v>
      </c>
      <c r="E184" s="399">
        <v>6.7107186089991888E-3</v>
      </c>
      <c r="F184" s="400">
        <v>602.07999999999993</v>
      </c>
      <c r="G184" s="400">
        <v>11.183273472</v>
      </c>
      <c r="H184" s="257">
        <v>613.26327347199992</v>
      </c>
      <c r="I184" s="398">
        <v>1.8235681078186398E-2</v>
      </c>
      <c r="J184" s="258">
        <f t="shared" ca="1" si="18"/>
        <v>3.6950361267745233</v>
      </c>
      <c r="K184" s="258">
        <f t="shared" si="19"/>
        <v>5.3445236717046977E-2</v>
      </c>
      <c r="L184" s="258">
        <f t="shared" ca="1" si="20"/>
        <v>3.7484813634915701</v>
      </c>
      <c r="M184" s="258">
        <f t="shared" ca="1" si="21"/>
        <v>2.254766668757572</v>
      </c>
      <c r="N184" s="258">
        <f t="shared" si="22"/>
        <v>5.341732012763354E-2</v>
      </c>
      <c r="O184" s="258">
        <f t="shared" ca="1" si="23"/>
        <v>2.3081839888852054</v>
      </c>
      <c r="P184" s="258">
        <f t="shared" ca="1" si="24"/>
        <v>0.55425541901617847</v>
      </c>
      <c r="Q184" s="258">
        <f t="shared" si="25"/>
        <v>5.341732012763354E-2</v>
      </c>
      <c r="R184" s="258">
        <f t="shared" ca="1" si="26"/>
        <v>0.60767273914381204</v>
      </c>
    </row>
    <row r="185" spans="3:18" ht="14" x14ac:dyDescent="0.3">
      <c r="C185" s="255" t="s">
        <v>6117</v>
      </c>
      <c r="D185" s="259">
        <v>0.99221497169506701</v>
      </c>
      <c r="E185" s="399">
        <v>7.7850283049329429E-3</v>
      </c>
      <c r="F185" s="400">
        <v>514.04</v>
      </c>
      <c r="G185" s="400">
        <v>11.088499967999999</v>
      </c>
      <c r="H185" s="257">
        <v>525.12849996799991</v>
      </c>
      <c r="I185" s="398">
        <v>2.1115783981779136E-2</v>
      </c>
      <c r="J185" s="258">
        <f t="shared" ca="1" si="18"/>
        <v>3.6910396947056494</v>
      </c>
      <c r="K185" s="258">
        <f t="shared" si="19"/>
        <v>6.2001211025014741E-2</v>
      </c>
      <c r="L185" s="258">
        <f t="shared" ca="1" si="20"/>
        <v>3.7530409057306642</v>
      </c>
      <c r="M185" s="258">
        <f t="shared" ca="1" si="21"/>
        <v>2.2523279857478022</v>
      </c>
      <c r="N185" s="258">
        <f t="shared" si="22"/>
        <v>6.1968825307266225E-2</v>
      </c>
      <c r="O185" s="258">
        <f t="shared" ca="1" si="23"/>
        <v>2.3142968110550686</v>
      </c>
      <c r="P185" s="258">
        <f t="shared" ca="1" si="24"/>
        <v>0.55365595420584746</v>
      </c>
      <c r="Q185" s="258">
        <f t="shared" si="25"/>
        <v>6.1968825307266225E-2</v>
      </c>
      <c r="R185" s="258">
        <f t="shared" ca="1" si="26"/>
        <v>0.61562477951311367</v>
      </c>
    </row>
    <row r="186" spans="3:18" ht="14" x14ac:dyDescent="0.3">
      <c r="C186" s="255" t="s">
        <v>6118</v>
      </c>
      <c r="D186" s="259">
        <v>0.99027551507272571</v>
      </c>
      <c r="E186" s="399">
        <v>9.7244849272742698E-3</v>
      </c>
      <c r="F186" s="400">
        <v>408.96</v>
      </c>
      <c r="G186" s="400">
        <v>11.041113215999999</v>
      </c>
      <c r="H186" s="257">
        <v>420.00111321599996</v>
      </c>
      <c r="I186" s="398">
        <v>2.628829512249823E-2</v>
      </c>
      <c r="J186" s="258">
        <f t="shared" ca="1" si="18"/>
        <v>3.6838249160705399</v>
      </c>
      <c r="K186" s="258">
        <f t="shared" si="19"/>
        <v>7.744735387840064E-2</v>
      </c>
      <c r="L186" s="258">
        <f t="shared" ca="1" si="20"/>
        <v>3.7612722699489405</v>
      </c>
      <c r="M186" s="258">
        <f t="shared" ca="1" si="21"/>
        <v>2.2479254192150875</v>
      </c>
      <c r="N186" s="258">
        <f t="shared" si="22"/>
        <v>7.7406900021103189E-2</v>
      </c>
      <c r="O186" s="258">
        <f t="shared" ca="1" si="23"/>
        <v>2.3253323192361908</v>
      </c>
      <c r="P186" s="258">
        <f t="shared" ca="1" si="24"/>
        <v>0.55257373741058102</v>
      </c>
      <c r="Q186" s="258">
        <f t="shared" si="25"/>
        <v>7.7406900021103189E-2</v>
      </c>
      <c r="R186" s="258">
        <f t="shared" ca="1" si="26"/>
        <v>0.6299806374316842</v>
      </c>
    </row>
    <row r="187" spans="3:18" ht="14" x14ac:dyDescent="0.3">
      <c r="C187" s="255" t="s">
        <v>6119</v>
      </c>
      <c r="D187" s="259">
        <v>0.99557628124133923</v>
      </c>
      <c r="E187" s="399">
        <v>4.423718758660735E-3</v>
      </c>
      <c r="F187" s="400">
        <v>795.19999999999993</v>
      </c>
      <c r="G187" s="400">
        <v>9.7142841599999983</v>
      </c>
      <c r="H187" s="257">
        <v>804.91428415999997</v>
      </c>
      <c r="I187" s="398">
        <v>1.206871880791347E-2</v>
      </c>
      <c r="J187" s="258">
        <f t="shared" ca="1" si="18"/>
        <v>3.7035437662177824</v>
      </c>
      <c r="K187" s="258">
        <f t="shared" si="19"/>
        <v>3.5231203988975481E-2</v>
      </c>
      <c r="L187" s="258">
        <f t="shared" ca="1" si="20"/>
        <v>3.7387749702067579</v>
      </c>
      <c r="M187" s="258">
        <f t="shared" ca="1" si="21"/>
        <v>2.2599581584178399</v>
      </c>
      <c r="N187" s="258">
        <f t="shared" si="22"/>
        <v>3.5212801318939453E-2</v>
      </c>
      <c r="O187" s="258">
        <f t="shared" ca="1" si="23"/>
        <v>2.2951709597367795</v>
      </c>
      <c r="P187" s="258">
        <f t="shared" ca="1" si="24"/>
        <v>0.55553156493266731</v>
      </c>
      <c r="Q187" s="258">
        <f t="shared" si="25"/>
        <v>3.5212801318939453E-2</v>
      </c>
      <c r="R187" s="258">
        <f t="shared" ca="1" si="26"/>
        <v>0.59074436625160676</v>
      </c>
    </row>
    <row r="188" spans="3:18" ht="14" x14ac:dyDescent="0.3">
      <c r="C188" s="255" t="s">
        <v>6120</v>
      </c>
      <c r="D188" s="259">
        <v>0.99522417378224948</v>
      </c>
      <c r="E188" s="399">
        <v>4.7758262177505133E-3</v>
      </c>
      <c r="F188" s="400">
        <v>732.71999999999991</v>
      </c>
      <c r="G188" s="400">
        <v>9.6668974079999987</v>
      </c>
      <c r="H188" s="257">
        <v>742.38689740799987</v>
      </c>
      <c r="I188" s="398">
        <v>1.3021373951710895E-2</v>
      </c>
      <c r="J188" s="258">
        <f t="shared" ca="1" si="18"/>
        <v>3.7022339264699684</v>
      </c>
      <c r="K188" s="258">
        <f t="shared" si="19"/>
        <v>3.8035444130359926E-2</v>
      </c>
      <c r="L188" s="258">
        <f t="shared" ca="1" si="20"/>
        <v>3.7402693706003283</v>
      </c>
      <c r="M188" s="258">
        <f t="shared" ca="1" si="21"/>
        <v>2.2591588744857063</v>
      </c>
      <c r="N188" s="258">
        <f t="shared" si="22"/>
        <v>3.8015576693294084E-2</v>
      </c>
      <c r="O188" s="258">
        <f t="shared" ca="1" si="23"/>
        <v>2.2971744511790004</v>
      </c>
      <c r="P188" s="258">
        <f t="shared" ca="1" si="24"/>
        <v>0.55533508897049522</v>
      </c>
      <c r="Q188" s="258">
        <f t="shared" si="25"/>
        <v>3.8015576693294084E-2</v>
      </c>
      <c r="R188" s="258">
        <f t="shared" ca="1" si="26"/>
        <v>0.59335066566378925</v>
      </c>
    </row>
    <row r="189" spans="3:18" ht="14" x14ac:dyDescent="0.3">
      <c r="C189" s="255" t="s">
        <v>6121</v>
      </c>
      <c r="D189" s="259">
        <v>0.99467198760247755</v>
      </c>
      <c r="E189" s="399">
        <v>5.3280123975224577E-3</v>
      </c>
      <c r="F189" s="400">
        <v>653.19999999999993</v>
      </c>
      <c r="G189" s="400">
        <v>9.6195106559999992</v>
      </c>
      <c r="H189" s="257">
        <v>662.81951065599992</v>
      </c>
      <c r="I189" s="398">
        <v>1.4513016743395894E-2</v>
      </c>
      <c r="J189" s="258">
        <f t="shared" ca="1" si="18"/>
        <v>3.7001797938812166</v>
      </c>
      <c r="K189" s="258">
        <f t="shared" si="19"/>
        <v>4.2433143215852454E-2</v>
      </c>
      <c r="L189" s="258">
        <f t="shared" ca="1" si="20"/>
        <v>3.7426129370970691</v>
      </c>
      <c r="M189" s="258">
        <f t="shared" ca="1" si="21"/>
        <v>2.2579054118576241</v>
      </c>
      <c r="N189" s="258">
        <f t="shared" si="22"/>
        <v>4.2410978684278761E-2</v>
      </c>
      <c r="O189" s="258">
        <f t="shared" ca="1" si="23"/>
        <v>2.3003163905419028</v>
      </c>
      <c r="P189" s="258">
        <f t="shared" ca="1" si="24"/>
        <v>0.55502696908218252</v>
      </c>
      <c r="Q189" s="258">
        <f t="shared" si="25"/>
        <v>4.2410978684278761E-2</v>
      </c>
      <c r="R189" s="258">
        <f t="shared" ca="1" si="26"/>
        <v>0.59743794776646131</v>
      </c>
    </row>
    <row r="190" spans="3:18" ht="14" x14ac:dyDescent="0.3">
      <c r="C190" s="255" t="s">
        <v>6122</v>
      </c>
      <c r="D190" s="259">
        <v>0.99381545113435155</v>
      </c>
      <c r="E190" s="399">
        <v>6.1845488656484494E-3</v>
      </c>
      <c r="F190" s="400">
        <v>559.48</v>
      </c>
      <c r="G190" s="400">
        <v>9.5721239039999997</v>
      </c>
      <c r="H190" s="257">
        <v>569.05212390400004</v>
      </c>
      <c r="I190" s="398">
        <v>1.6821172440812875E-2</v>
      </c>
      <c r="J190" s="258">
        <f t="shared" ca="1" si="18"/>
        <v>3.6969934782197877</v>
      </c>
      <c r="K190" s="258">
        <f t="shared" si="19"/>
        <v>4.9254736693842754E-2</v>
      </c>
      <c r="L190" s="258">
        <f t="shared" ca="1" si="20"/>
        <v>3.7462482149136305</v>
      </c>
      <c r="M190" s="258">
        <f t="shared" ca="1" si="21"/>
        <v>2.2559610740749778</v>
      </c>
      <c r="N190" s="258">
        <f t="shared" si="22"/>
        <v>4.9229008970561657E-2</v>
      </c>
      <c r="O190" s="258">
        <f t="shared" ca="1" si="23"/>
        <v>2.3051900830455394</v>
      </c>
      <c r="P190" s="258">
        <f t="shared" ca="1" si="24"/>
        <v>0.55454902173296816</v>
      </c>
      <c r="Q190" s="258">
        <f t="shared" si="25"/>
        <v>4.9229008970561657E-2</v>
      </c>
      <c r="R190" s="258">
        <f t="shared" ca="1" si="26"/>
        <v>0.60377803070352987</v>
      </c>
    </row>
    <row r="191" spans="3:18" ht="14" x14ac:dyDescent="0.25">
      <c r="C191" s="255" t="s">
        <v>6123</v>
      </c>
      <c r="D191" s="132">
        <v>0.98679488519175007</v>
      </c>
      <c r="E191" s="132">
        <v>1.3205114808249924E-2</v>
      </c>
      <c r="F191" s="132">
        <v>77.259</v>
      </c>
      <c r="G191" s="132">
        <v>2.9569333248</v>
      </c>
      <c r="H191" s="132">
        <v>80.215933324800005</v>
      </c>
      <c r="I191" s="401">
        <v>3.6862169424959096E-2</v>
      </c>
      <c r="J191" s="258">
        <f t="shared" ca="1" si="18"/>
        <v>3.6708769729133106</v>
      </c>
      <c r="K191" s="258">
        <f t="shared" si="19"/>
        <v>0.10516764715127171</v>
      </c>
      <c r="L191" s="258">
        <f t="shared" ca="1" si="20"/>
        <v>3.7760446200645825</v>
      </c>
      <c r="M191" s="258">
        <f t="shared" ca="1" si="21"/>
        <v>2.2400243893852725</v>
      </c>
      <c r="N191" s="258">
        <f t="shared" si="22"/>
        <v>0.1051127138736694</v>
      </c>
      <c r="O191" s="258">
        <f t="shared" ca="1" si="23"/>
        <v>2.3451371032589421</v>
      </c>
      <c r="P191" s="258">
        <f t="shared" ca="1" si="24"/>
        <v>0.55063154593699659</v>
      </c>
      <c r="Q191" s="258">
        <f t="shared" si="25"/>
        <v>0.1051127138736694</v>
      </c>
      <c r="R191" s="258">
        <f t="shared" ca="1" si="26"/>
        <v>0.65574425981066597</v>
      </c>
    </row>
    <row r="192" spans="3:18" ht="14" x14ac:dyDescent="0.25">
      <c r="C192" s="255" t="s">
        <v>6124</v>
      </c>
      <c r="D192" s="132">
        <v>0.98430623802410033</v>
      </c>
      <c r="E192" s="132">
        <v>1.5693761975899678E-2</v>
      </c>
      <c r="F192" s="132">
        <v>64.427999999999997</v>
      </c>
      <c r="G192" s="132">
        <v>2.9379786239999994</v>
      </c>
      <c r="H192" s="132">
        <v>67.365978623999993</v>
      </c>
      <c r="I192" s="401">
        <v>4.3612201351637563E-2</v>
      </c>
      <c r="J192" s="258">
        <f t="shared" ca="1" si="18"/>
        <v>3.6616192054496532</v>
      </c>
      <c r="K192" s="258">
        <f t="shared" si="19"/>
        <v>0.12498763137798118</v>
      </c>
      <c r="L192" s="258">
        <f t="shared" ca="1" si="20"/>
        <v>3.7866068368276342</v>
      </c>
      <c r="M192" s="258">
        <f t="shared" ca="1" si="21"/>
        <v>2.2343751603147077</v>
      </c>
      <c r="N192" s="258">
        <f t="shared" si="22"/>
        <v>0.12492234532816143</v>
      </c>
      <c r="O192" s="258">
        <f t="shared" ca="1" si="23"/>
        <v>2.3592975056428691</v>
      </c>
      <c r="P192" s="258">
        <f t="shared" ca="1" si="24"/>
        <v>0.54924288081744799</v>
      </c>
      <c r="Q192" s="258">
        <f t="shared" si="25"/>
        <v>0.12492234532816143</v>
      </c>
      <c r="R192" s="258">
        <f t="shared" ca="1" si="26"/>
        <v>0.67416522614560948</v>
      </c>
    </row>
    <row r="193" spans="3:18" ht="14" x14ac:dyDescent="0.25">
      <c r="C193" s="255" t="s">
        <v>6125</v>
      </c>
      <c r="D193" s="132">
        <v>0.98050206963125153</v>
      </c>
      <c r="E193" s="132">
        <v>1.9497930368748469E-2</v>
      </c>
      <c r="F193" s="132">
        <v>51.323999999999998</v>
      </c>
      <c r="G193" s="132">
        <v>2.9190239231999997</v>
      </c>
      <c r="H193" s="132">
        <v>54.243023923199999</v>
      </c>
      <c r="I193" s="401">
        <v>5.3813812580450905E-2</v>
      </c>
      <c r="J193" s="258">
        <f t="shared" ca="1" si="18"/>
        <v>3.647467699028256</v>
      </c>
      <c r="K193" s="258">
        <f t="shared" si="19"/>
        <v>0.15528463712557181</v>
      </c>
      <c r="L193" s="258">
        <f t="shared" ca="1" si="20"/>
        <v>3.8027523361538278</v>
      </c>
      <c r="M193" s="258">
        <f t="shared" ca="1" si="21"/>
        <v>2.2257396980629411</v>
      </c>
      <c r="N193" s="258">
        <f t="shared" si="22"/>
        <v>0.15520352573523782</v>
      </c>
      <c r="O193" s="258">
        <f t="shared" ca="1" si="23"/>
        <v>2.3809432237981789</v>
      </c>
      <c r="P193" s="258">
        <f t="shared" ca="1" si="24"/>
        <v>0.54712015485423837</v>
      </c>
      <c r="Q193" s="258">
        <f t="shared" si="25"/>
        <v>0.15520352573523782</v>
      </c>
      <c r="R193" s="258">
        <f t="shared" ca="1" si="26"/>
        <v>0.70232368058947614</v>
      </c>
    </row>
    <row r="194" spans="3:18" ht="14" x14ac:dyDescent="0.25">
      <c r="C194" s="255" t="s">
        <v>6126</v>
      </c>
      <c r="D194" s="132">
        <v>0.9787671665348594</v>
      </c>
      <c r="E194" s="132">
        <v>2.1232833465140644E-2</v>
      </c>
      <c r="F194" s="132">
        <v>38.493000000000002</v>
      </c>
      <c r="G194" s="132">
        <v>2.3882923007999999</v>
      </c>
      <c r="H194" s="132">
        <v>40.881292300799998</v>
      </c>
      <c r="I194" s="401">
        <v>5.842017623188648E-2</v>
      </c>
      <c r="J194" s="258">
        <f t="shared" ca="1" si="18"/>
        <v>3.6410138595096773</v>
      </c>
      <c r="K194" s="258">
        <f t="shared" si="19"/>
        <v>0.16910168296973452</v>
      </c>
      <c r="L194" s="258">
        <f t="shared" ca="1" si="20"/>
        <v>3.8101155424794118</v>
      </c>
      <c r="M194" s="258">
        <f t="shared" ca="1" si="21"/>
        <v>2.2218014680341307</v>
      </c>
      <c r="N194" s="258">
        <f t="shared" si="22"/>
        <v>0.16901335438251952</v>
      </c>
      <c r="O194" s="258">
        <f t="shared" ca="1" si="23"/>
        <v>2.3908148224166501</v>
      </c>
      <c r="P194" s="258">
        <f t="shared" ca="1" si="24"/>
        <v>0.54615207892645157</v>
      </c>
      <c r="Q194" s="258">
        <f t="shared" si="25"/>
        <v>0.16901335438251952</v>
      </c>
      <c r="R194" s="258">
        <f t="shared" ca="1" si="26"/>
        <v>0.71516543330897109</v>
      </c>
    </row>
    <row r="195" spans="3:18" ht="14" x14ac:dyDescent="0.25">
      <c r="C195" s="255" t="s">
        <v>6127</v>
      </c>
      <c r="D195" s="132">
        <v>0.9867039304046612</v>
      </c>
      <c r="E195" s="132">
        <v>1.3296069595338838E-2</v>
      </c>
      <c r="F195" s="132">
        <v>64.427999999999997</v>
      </c>
      <c r="G195" s="132">
        <v>2.4830658047999998</v>
      </c>
      <c r="H195" s="132">
        <v>66.911065804800003</v>
      </c>
      <c r="I195" s="401">
        <v>3.7109942502543007E-2</v>
      </c>
      <c r="J195" s="258">
        <f t="shared" ca="1" si="18"/>
        <v>3.6705386211053397</v>
      </c>
      <c r="K195" s="258">
        <f t="shared" si="19"/>
        <v>0.10589202562841375</v>
      </c>
      <c r="L195" s="258">
        <f t="shared" ca="1" si="20"/>
        <v>3.7764306467337536</v>
      </c>
      <c r="M195" s="258">
        <f t="shared" ca="1" si="21"/>
        <v>2.239817922018581</v>
      </c>
      <c r="N195" s="258">
        <f t="shared" si="22"/>
        <v>0.10583671397889714</v>
      </c>
      <c r="O195" s="258">
        <f t="shared" ca="1" si="23"/>
        <v>2.3456546359974779</v>
      </c>
      <c r="P195" s="258">
        <f t="shared" ca="1" si="24"/>
        <v>0.550580793165801</v>
      </c>
      <c r="Q195" s="258">
        <f t="shared" si="25"/>
        <v>0.10583671397889714</v>
      </c>
      <c r="R195" s="258">
        <f t="shared" ca="1" si="26"/>
        <v>0.65641750714469815</v>
      </c>
    </row>
    <row r="196" spans="3:18" ht="14" x14ac:dyDescent="0.25">
      <c r="C196" s="255" t="s">
        <v>6128</v>
      </c>
      <c r="D196" s="132">
        <v>0.98415371918720151</v>
      </c>
      <c r="E196" s="132">
        <v>1.5846280812798496E-2</v>
      </c>
      <c r="F196" s="132">
        <v>53.508000000000003</v>
      </c>
      <c r="G196" s="132">
        <v>2.4641111040000001</v>
      </c>
      <c r="H196" s="132">
        <v>55.972111104</v>
      </c>
      <c r="I196" s="401">
        <v>4.402390861087075E-2</v>
      </c>
      <c r="J196" s="258">
        <f t="shared" ca="1" si="18"/>
        <v>3.6610518353763899</v>
      </c>
      <c r="K196" s="258">
        <f t="shared" si="19"/>
        <v>0.12620231579805727</v>
      </c>
      <c r="L196" s="258">
        <f t="shared" ca="1" si="20"/>
        <v>3.7872541511744471</v>
      </c>
      <c r="M196" s="258">
        <f t="shared" ca="1" si="21"/>
        <v>2.2340289425549473</v>
      </c>
      <c r="N196" s="258">
        <f t="shared" si="22"/>
        <v>0.12613639526987602</v>
      </c>
      <c r="O196" s="258">
        <f t="shared" ca="1" si="23"/>
        <v>2.3601653378248235</v>
      </c>
      <c r="P196" s="258">
        <f t="shared" ca="1" si="24"/>
        <v>0.54915777530645848</v>
      </c>
      <c r="Q196" s="258">
        <f t="shared" si="25"/>
        <v>0.12613639526987602</v>
      </c>
      <c r="R196" s="258">
        <f t="shared" ca="1" si="26"/>
        <v>0.67529417057633445</v>
      </c>
    </row>
    <row r="197" spans="3:18" ht="14" x14ac:dyDescent="0.25">
      <c r="C197" s="255" t="s">
        <v>6129</v>
      </c>
      <c r="D197" s="132">
        <v>0.98044356066026794</v>
      </c>
      <c r="E197" s="132">
        <v>1.9556439339732088E-2</v>
      </c>
      <c r="F197" s="132">
        <v>42.860999999999997</v>
      </c>
      <c r="G197" s="132">
        <v>2.4451564031999999</v>
      </c>
      <c r="H197" s="132">
        <v>45.306156403199999</v>
      </c>
      <c r="I197" s="401">
        <v>5.3969627911920975E-2</v>
      </c>
      <c r="J197" s="258">
        <f t="shared" ca="1" si="18"/>
        <v>3.6472500456561971</v>
      </c>
      <c r="K197" s="258">
        <f t="shared" si="19"/>
        <v>0.15575061193192069</v>
      </c>
      <c r="L197" s="258">
        <f t="shared" ca="1" si="20"/>
        <v>3.8030006575881177</v>
      </c>
      <c r="M197" s="258">
        <f t="shared" ca="1" si="21"/>
        <v>2.2256068826988082</v>
      </c>
      <c r="N197" s="258">
        <f t="shared" si="22"/>
        <v>0.15566925714426741</v>
      </c>
      <c r="O197" s="258">
        <f t="shared" ca="1" si="23"/>
        <v>2.3812761398430755</v>
      </c>
      <c r="P197" s="258">
        <f t="shared" ca="1" si="24"/>
        <v>0.54708750684842955</v>
      </c>
      <c r="Q197" s="258">
        <f t="shared" si="25"/>
        <v>0.15566925714426741</v>
      </c>
      <c r="R197" s="258">
        <f t="shared" ca="1" si="26"/>
        <v>0.70275676399269693</v>
      </c>
    </row>
    <row r="198" spans="3:18" ht="14" x14ac:dyDescent="0.25">
      <c r="C198" s="255" t="s">
        <v>6130</v>
      </c>
      <c r="D198" s="132">
        <v>0.97877407319717113</v>
      </c>
      <c r="E198" s="132">
        <v>2.1225926802828848E-2</v>
      </c>
      <c r="F198" s="132">
        <v>32.213999999999999</v>
      </c>
      <c r="G198" s="132">
        <v>1.9980484608</v>
      </c>
      <c r="H198" s="132">
        <v>34.212048460799998</v>
      </c>
      <c r="I198" s="401">
        <v>5.8401894966603779E-2</v>
      </c>
      <c r="J198" s="258">
        <f t="shared" ca="1" si="18"/>
        <v>3.6410395522934769</v>
      </c>
      <c r="K198" s="258">
        <f t="shared" si="19"/>
        <v>0.16904667720601738</v>
      </c>
      <c r="L198" s="258">
        <f t="shared" ca="1" si="20"/>
        <v>3.8100862294994942</v>
      </c>
      <c r="M198" s="258">
        <f t="shared" ca="1" si="21"/>
        <v>2.2218171461575786</v>
      </c>
      <c r="N198" s="258">
        <f t="shared" si="22"/>
        <v>0.16895837735051764</v>
      </c>
      <c r="O198" s="258">
        <f t="shared" ca="1" si="23"/>
        <v>2.3907755235080961</v>
      </c>
      <c r="P198" s="258">
        <f t="shared" ca="1" si="24"/>
        <v>0.54615593284402153</v>
      </c>
      <c r="Q198" s="258">
        <f t="shared" si="25"/>
        <v>0.16895837735051764</v>
      </c>
      <c r="R198" s="258">
        <f t="shared" ca="1" si="26"/>
        <v>0.71511431019453919</v>
      </c>
    </row>
    <row r="199" spans="3:18" ht="14" x14ac:dyDescent="0.25">
      <c r="C199" s="255" t="s">
        <v>6131</v>
      </c>
      <c r="D199" s="132">
        <v>0.99309872197291571</v>
      </c>
      <c r="E199" s="132">
        <v>6.9012780270843056E-3</v>
      </c>
      <c r="F199" s="132">
        <v>107.28899999999999</v>
      </c>
      <c r="G199" s="132">
        <v>2.1324038400000003</v>
      </c>
      <c r="H199" s="132">
        <v>109.42140383999998</v>
      </c>
      <c r="I199" s="401">
        <v>1.9487995631257665E-2</v>
      </c>
      <c r="J199" s="258">
        <f t="shared" ca="1" si="18"/>
        <v>3.6943272457392466</v>
      </c>
      <c r="K199" s="258">
        <f t="shared" si="19"/>
        <v>5.4962882412183743E-2</v>
      </c>
      <c r="L199" s="258">
        <f t="shared" ca="1" si="20"/>
        <v>3.7492901281514306</v>
      </c>
      <c r="M199" s="258">
        <f t="shared" ca="1" si="21"/>
        <v>2.2543340988785188</v>
      </c>
      <c r="N199" s="258">
        <f t="shared" si="22"/>
        <v>5.4934173095591073E-2</v>
      </c>
      <c r="O199" s="258">
        <f t="shared" ca="1" si="23"/>
        <v>2.3092682719741098</v>
      </c>
      <c r="P199" s="258">
        <f t="shared" ca="1" si="24"/>
        <v>0.55414908686088704</v>
      </c>
      <c r="Q199" s="258">
        <f t="shared" si="25"/>
        <v>5.4934173095591073E-2</v>
      </c>
      <c r="R199" s="258">
        <f t="shared" ca="1" si="26"/>
        <v>0.60908325995647816</v>
      </c>
    </row>
    <row r="200" spans="3:18" ht="14" x14ac:dyDescent="0.25">
      <c r="C200" s="255" t="s">
        <v>6132</v>
      </c>
      <c r="D200" s="132">
        <v>0.99156738256147492</v>
      </c>
      <c r="E200" s="132">
        <v>8.4326174385250321E-3</v>
      </c>
      <c r="F200" s="132">
        <v>85.721999999999994</v>
      </c>
      <c r="G200" s="132">
        <v>2.0850170879999999</v>
      </c>
      <c r="H200" s="132">
        <v>87.807017087999995</v>
      </c>
      <c r="I200" s="401">
        <v>2.3745449477123228E-2</v>
      </c>
      <c r="J200" s="258">
        <f t="shared" ca="1" si="18"/>
        <v>3.6886306631286869</v>
      </c>
      <c r="K200" s="258">
        <f t="shared" si="19"/>
        <v>6.715871449920352E-2</v>
      </c>
      <c r="L200" s="258">
        <f t="shared" ca="1" si="20"/>
        <v>3.7557893776278903</v>
      </c>
      <c r="M200" s="258">
        <f t="shared" ca="1" si="21"/>
        <v>2.2508579584145481</v>
      </c>
      <c r="N200" s="258">
        <f t="shared" si="22"/>
        <v>6.712363481065925E-2</v>
      </c>
      <c r="O200" s="258">
        <f t="shared" ca="1" si="23"/>
        <v>2.3179815932252072</v>
      </c>
      <c r="P200" s="258">
        <f t="shared" ca="1" si="24"/>
        <v>0.55329459946930304</v>
      </c>
      <c r="Q200" s="258">
        <f t="shared" si="25"/>
        <v>6.712363481065925E-2</v>
      </c>
      <c r="R200" s="258">
        <f t="shared" ca="1" si="26"/>
        <v>0.62041823427996223</v>
      </c>
    </row>
    <row r="201" spans="3:18" ht="14" x14ac:dyDescent="0.25">
      <c r="C201" s="255" t="s">
        <v>6133</v>
      </c>
      <c r="D201" s="132">
        <v>0.98966252933580534</v>
      </c>
      <c r="E201" s="132">
        <v>1.0337470664194617E-2</v>
      </c>
      <c r="F201" s="132">
        <v>68.52300000000001</v>
      </c>
      <c r="G201" s="132">
        <v>2.0471076864</v>
      </c>
      <c r="H201" s="132">
        <v>70.570107686400007</v>
      </c>
      <c r="I201" s="401">
        <v>2.9008141740366231E-2</v>
      </c>
      <c r="J201" s="258">
        <f t="shared" ca="1" si="18"/>
        <v>3.6815446091291961</v>
      </c>
      <c r="K201" s="258">
        <f t="shared" si="19"/>
        <v>8.2329270364952203E-2</v>
      </c>
      <c r="L201" s="258">
        <f t="shared" ca="1" si="20"/>
        <v>3.7638738794941484</v>
      </c>
      <c r="M201" s="258">
        <f t="shared" ca="1" si="21"/>
        <v>2.2465339415922783</v>
      </c>
      <c r="N201" s="258">
        <f t="shared" si="22"/>
        <v>8.2286266486989154E-2</v>
      </c>
      <c r="O201" s="258">
        <f t="shared" ca="1" si="23"/>
        <v>2.3288202080792675</v>
      </c>
      <c r="P201" s="258">
        <f t="shared" ca="1" si="24"/>
        <v>0.55223169136937944</v>
      </c>
      <c r="Q201" s="258">
        <f t="shared" si="25"/>
        <v>8.2286266486989154E-2</v>
      </c>
      <c r="R201" s="258">
        <f t="shared" ca="1" si="26"/>
        <v>0.63451795785636855</v>
      </c>
    </row>
    <row r="202" spans="3:18" ht="14" x14ac:dyDescent="0.25">
      <c r="C202" s="255" t="s">
        <v>6134</v>
      </c>
      <c r="D202" s="132">
        <v>0.98649728690157867</v>
      </c>
      <c r="E202" s="132">
        <v>1.3502713098421321E-2</v>
      </c>
      <c r="F202" s="132">
        <v>51.323999999999998</v>
      </c>
      <c r="G202" s="132">
        <v>2.0091982848000001</v>
      </c>
      <c r="H202" s="132">
        <v>53.333198284799998</v>
      </c>
      <c r="I202" s="401">
        <v>3.7672563232957722E-2</v>
      </c>
      <c r="J202" s="258">
        <f t="shared" ca="1" si="18"/>
        <v>3.669769907273873</v>
      </c>
      <c r="K202" s="258">
        <f t="shared" si="19"/>
        <v>0.10753776754992314</v>
      </c>
      <c r="L202" s="258">
        <f t="shared" ca="1" si="20"/>
        <v>3.7773076748237959</v>
      </c>
      <c r="M202" s="258">
        <f t="shared" ca="1" si="21"/>
        <v>2.2393488412665836</v>
      </c>
      <c r="N202" s="258">
        <f t="shared" si="22"/>
        <v>0.10748159626343372</v>
      </c>
      <c r="O202" s="258">
        <f t="shared" ca="1" si="23"/>
        <v>2.3468304375300173</v>
      </c>
      <c r="P202" s="258">
        <f t="shared" ca="1" si="24"/>
        <v>0.55046548609108092</v>
      </c>
      <c r="Q202" s="258">
        <f t="shared" si="25"/>
        <v>0.10748159626343372</v>
      </c>
      <c r="R202" s="258">
        <f t="shared" ca="1" si="26"/>
        <v>0.6579470823545146</v>
      </c>
    </row>
    <row r="203" spans="3:18" ht="14" x14ac:dyDescent="0.25">
      <c r="C203" s="255" t="s">
        <v>6135</v>
      </c>
      <c r="D203" s="132">
        <v>0.98402384020255096</v>
      </c>
      <c r="E203" s="132">
        <v>1.5976159797449031E-2</v>
      </c>
      <c r="F203" s="132">
        <v>42.860999999999997</v>
      </c>
      <c r="G203" s="132">
        <v>1.9902435839999997</v>
      </c>
      <c r="H203" s="132">
        <v>44.851243583999995</v>
      </c>
      <c r="I203" s="401">
        <v>4.4374323317759444E-2</v>
      </c>
      <c r="J203" s="258">
        <f t="shared" ca="1" si="18"/>
        <v>3.6605686855534896</v>
      </c>
      <c r="K203" s="258">
        <f t="shared" si="19"/>
        <v>0.12723669281245167</v>
      </c>
      <c r="L203" s="258">
        <f t="shared" ca="1" si="20"/>
        <v>3.7878053783659413</v>
      </c>
      <c r="M203" s="258">
        <f t="shared" ca="1" si="21"/>
        <v>2.2337341172597909</v>
      </c>
      <c r="N203" s="258">
        <f t="shared" si="22"/>
        <v>0.12717023198769428</v>
      </c>
      <c r="O203" s="258">
        <f t="shared" ca="1" si="23"/>
        <v>2.3609043492474853</v>
      </c>
      <c r="P203" s="258">
        <f t="shared" ca="1" si="24"/>
        <v>0.54908530283302348</v>
      </c>
      <c r="Q203" s="258">
        <f t="shared" si="25"/>
        <v>0.12717023198769428</v>
      </c>
      <c r="R203" s="258">
        <f t="shared" ca="1" si="26"/>
        <v>0.67625553482071776</v>
      </c>
    </row>
    <row r="204" spans="3:18" ht="14" x14ac:dyDescent="0.25">
      <c r="C204" s="255" t="s">
        <v>6136</v>
      </c>
      <c r="D204" s="132">
        <v>0.98035627454158536</v>
      </c>
      <c r="E204" s="132">
        <v>1.9643725458414592E-2</v>
      </c>
      <c r="F204" s="132">
        <v>34.397999999999996</v>
      </c>
      <c r="G204" s="132">
        <v>1.9712888831999997</v>
      </c>
      <c r="H204" s="132">
        <v>36.369288883199999</v>
      </c>
      <c r="I204" s="401">
        <v>5.4202018893764893E-2</v>
      </c>
      <c r="J204" s="258">
        <f t="shared" ca="1" si="18"/>
        <v>3.6469253412946978</v>
      </c>
      <c r="K204" s="258">
        <f t="shared" si="19"/>
        <v>0.15644577254688716</v>
      </c>
      <c r="L204" s="258">
        <f t="shared" ca="1" si="20"/>
        <v>3.8033711138415849</v>
      </c>
      <c r="M204" s="258">
        <f t="shared" ca="1" si="21"/>
        <v>2.2254087432093987</v>
      </c>
      <c r="N204" s="258">
        <f t="shared" si="22"/>
        <v>0.15636405464898015</v>
      </c>
      <c r="O204" s="258">
        <f t="shared" ca="1" si="23"/>
        <v>2.3817727978583787</v>
      </c>
      <c r="P204" s="258">
        <f t="shared" ca="1" si="24"/>
        <v>0.54703880119420467</v>
      </c>
      <c r="Q204" s="258">
        <f t="shared" si="25"/>
        <v>0.15636405464898015</v>
      </c>
      <c r="R204" s="258">
        <f t="shared" ca="1" si="26"/>
        <v>0.70340285584318485</v>
      </c>
    </row>
    <row r="205" spans="3:18" ht="14" x14ac:dyDescent="0.25">
      <c r="C205" s="255" t="s">
        <v>6137</v>
      </c>
      <c r="D205" s="132">
        <v>0.97860800304378259</v>
      </c>
      <c r="E205" s="132">
        <v>2.1391996956217452E-2</v>
      </c>
      <c r="F205" s="132">
        <v>25.7166</v>
      </c>
      <c r="G205" s="132">
        <v>1.6078046207999999</v>
      </c>
      <c r="H205" s="132">
        <v>27.324404620799999</v>
      </c>
      <c r="I205" s="401">
        <v>5.8841341398381285E-2</v>
      </c>
      <c r="J205" s="258">
        <f t="shared" ca="1" si="18"/>
        <v>3.6404217713228713</v>
      </c>
      <c r="K205" s="258">
        <f t="shared" si="19"/>
        <v>0.17036928647882879</v>
      </c>
      <c r="L205" s="258">
        <f t="shared" ca="1" si="20"/>
        <v>3.8107910578016999</v>
      </c>
      <c r="M205" s="258">
        <f t="shared" ca="1" si="21"/>
        <v>2.2214401669093866</v>
      </c>
      <c r="N205" s="258">
        <f t="shared" si="22"/>
        <v>0.17028029577149092</v>
      </c>
      <c r="O205" s="258">
        <f t="shared" ca="1" si="23"/>
        <v>2.3917204626808775</v>
      </c>
      <c r="P205" s="258">
        <f t="shared" ca="1" si="24"/>
        <v>0.54606326569843078</v>
      </c>
      <c r="Q205" s="258">
        <f t="shared" si="25"/>
        <v>0.17028029577149092</v>
      </c>
      <c r="R205" s="258">
        <f t="shared" ca="1" si="26"/>
        <v>0.71634356146992173</v>
      </c>
    </row>
    <row r="206" spans="3:18" ht="14" x14ac:dyDescent="0.25">
      <c r="C206" s="255" t="s">
        <v>6138</v>
      </c>
      <c r="D206" s="132">
        <v>0.99149486594849268</v>
      </c>
      <c r="E206" s="132">
        <v>8.5051340515072821E-3</v>
      </c>
      <c r="F206" s="132">
        <v>77.259</v>
      </c>
      <c r="G206" s="132">
        <v>1.8954700799999999</v>
      </c>
      <c r="H206" s="132">
        <v>79.154470079999996</v>
      </c>
      <c r="I206" s="401">
        <v>2.3946469202361945E-2</v>
      </c>
      <c r="J206" s="258">
        <f t="shared" ca="1" si="18"/>
        <v>3.6883609013283931</v>
      </c>
      <c r="K206" s="258">
        <f t="shared" si="19"/>
        <v>6.773624840765223E-2</v>
      </c>
      <c r="L206" s="258">
        <f t="shared" ca="1" si="20"/>
        <v>3.7560971497360454</v>
      </c>
      <c r="M206" s="258">
        <f t="shared" ca="1" si="21"/>
        <v>2.2506933457030782</v>
      </c>
      <c r="N206" s="258">
        <f t="shared" si="22"/>
        <v>6.7700867049997962E-2</v>
      </c>
      <c r="O206" s="258">
        <f t="shared" ca="1" si="23"/>
        <v>2.3183942127530761</v>
      </c>
      <c r="P206" s="258">
        <f t="shared" ca="1" si="24"/>
        <v>0.55325413519925892</v>
      </c>
      <c r="Q206" s="258">
        <f t="shared" si="25"/>
        <v>6.7700867049997962E-2</v>
      </c>
      <c r="R206" s="258">
        <f t="shared" ca="1" si="26"/>
        <v>0.62095500224925693</v>
      </c>
    </row>
    <row r="207" spans="3:18" ht="14" x14ac:dyDescent="0.25">
      <c r="C207" s="255" t="s">
        <v>6139</v>
      </c>
      <c r="D207" s="132">
        <v>0.98647658972675389</v>
      </c>
      <c r="E207" s="132">
        <v>1.3523410273246123E-2</v>
      </c>
      <c r="F207" s="132">
        <v>46.41</v>
      </c>
      <c r="G207" s="132">
        <v>1.8196512767999999</v>
      </c>
      <c r="H207" s="132">
        <v>48.229651276799999</v>
      </c>
      <c r="I207" s="401">
        <v>3.7728891431469055E-2</v>
      </c>
      <c r="J207" s="258">
        <f t="shared" ca="1" si="18"/>
        <v>3.6696929137835248</v>
      </c>
      <c r="K207" s="258">
        <f t="shared" si="19"/>
        <v>0.10770260316177584</v>
      </c>
      <c r="L207" s="258">
        <f t="shared" ca="1" si="20"/>
        <v>3.7773955169453006</v>
      </c>
      <c r="M207" s="258">
        <f t="shared" ca="1" si="21"/>
        <v>2.2393018586797315</v>
      </c>
      <c r="N207" s="258">
        <f t="shared" si="22"/>
        <v>0.10764634577503913</v>
      </c>
      <c r="O207" s="258">
        <f t="shared" ca="1" si="23"/>
        <v>2.3469482044547707</v>
      </c>
      <c r="P207" s="258">
        <f t="shared" ca="1" si="24"/>
        <v>0.55045393706752876</v>
      </c>
      <c r="Q207" s="258">
        <f t="shared" si="25"/>
        <v>0.10764634577503913</v>
      </c>
      <c r="R207" s="258">
        <f t="shared" ca="1" si="26"/>
        <v>0.65810028284256794</v>
      </c>
    </row>
    <row r="208" spans="3:18" ht="14" x14ac:dyDescent="0.25">
      <c r="C208" s="255" t="s">
        <v>6140</v>
      </c>
      <c r="D208" s="132">
        <v>0.98390704883570301</v>
      </c>
      <c r="E208" s="132">
        <v>1.6092951164296987E-2</v>
      </c>
      <c r="F208" s="132">
        <v>38.493000000000002</v>
      </c>
      <c r="G208" s="132">
        <v>1.800696576</v>
      </c>
      <c r="H208" s="132">
        <v>40.293696576000002</v>
      </c>
      <c r="I208" s="401">
        <v>4.4689287134617048E-2</v>
      </c>
      <c r="J208" s="258">
        <f t="shared" ca="1" si="18"/>
        <v>3.6601342216688155</v>
      </c>
      <c r="K208" s="258">
        <f t="shared" si="19"/>
        <v>0.12816683794464748</v>
      </c>
      <c r="L208" s="258">
        <f t="shared" ca="1" si="20"/>
        <v>3.7883010596134632</v>
      </c>
      <c r="M208" s="258">
        <f t="shared" ca="1" si="21"/>
        <v>2.2334690008570459</v>
      </c>
      <c r="N208" s="258">
        <f t="shared" si="22"/>
        <v>0.12809989126780402</v>
      </c>
      <c r="O208" s="258">
        <f t="shared" ca="1" si="23"/>
        <v>2.3615688921248501</v>
      </c>
      <c r="P208" s="258">
        <f t="shared" ca="1" si="24"/>
        <v>0.54902013325032228</v>
      </c>
      <c r="Q208" s="258">
        <f t="shared" si="25"/>
        <v>0.12809989126780402</v>
      </c>
      <c r="R208" s="258">
        <f t="shared" ca="1" si="26"/>
        <v>0.67712002451812636</v>
      </c>
    </row>
    <row r="209" spans="3:18" ht="14" x14ac:dyDescent="0.25">
      <c r="C209" s="255" t="s">
        <v>6141</v>
      </c>
      <c r="D209" s="132">
        <v>0.97854521160440155</v>
      </c>
      <c r="E209" s="132">
        <v>2.1454788395598501E-2</v>
      </c>
      <c r="F209" s="132">
        <v>23.150400000000001</v>
      </c>
      <c r="G209" s="132">
        <v>1.4517070847999998</v>
      </c>
      <c r="H209" s="132">
        <v>24.6021070848</v>
      </c>
      <c r="I209" s="401">
        <v>5.9007428908270737E-2</v>
      </c>
      <c r="J209" s="258">
        <f t="shared" ca="1" si="18"/>
        <v>3.6401881871683739</v>
      </c>
      <c r="K209" s="258">
        <f t="shared" si="19"/>
        <v>0.17086936754868975</v>
      </c>
      <c r="L209" s="258">
        <f t="shared" ca="1" si="20"/>
        <v>3.8110575547170638</v>
      </c>
      <c r="M209" s="258">
        <f t="shared" ca="1" si="21"/>
        <v>2.2212976303419913</v>
      </c>
      <c r="N209" s="258">
        <f t="shared" si="22"/>
        <v>0.17078011562896406</v>
      </c>
      <c r="O209" s="258">
        <f t="shared" ca="1" si="23"/>
        <v>2.3920777459709552</v>
      </c>
      <c r="P209" s="258">
        <f t="shared" ca="1" si="24"/>
        <v>0.54602822807525608</v>
      </c>
      <c r="Q209" s="258">
        <f t="shared" si="25"/>
        <v>0.17078011562896406</v>
      </c>
      <c r="R209" s="258">
        <f t="shared" ca="1" si="26"/>
        <v>0.71680834370422009</v>
      </c>
    </row>
    <row r="210" spans="3:18" ht="14" x14ac:dyDescent="0.25">
      <c r="C210" s="255" t="s">
        <v>6142</v>
      </c>
      <c r="D210" s="132">
        <v>0.99589535557691256</v>
      </c>
      <c r="E210" s="132">
        <v>4.1046444230874585E-3</v>
      </c>
      <c r="F210" s="132">
        <v>160.797</v>
      </c>
      <c r="G210" s="132">
        <v>1.8954700799999999</v>
      </c>
      <c r="H210" s="132">
        <v>162.69247007999999</v>
      </c>
      <c r="I210" s="401">
        <v>1.1650631888912556E-2</v>
      </c>
      <c r="J210" s="258">
        <f t="shared" ca="1" si="18"/>
        <v>3.704730722746115</v>
      </c>
      <c r="K210" s="258">
        <f t="shared" si="19"/>
        <v>3.269004492857621E-2</v>
      </c>
      <c r="L210" s="258">
        <f t="shared" ca="1" si="20"/>
        <v>3.7374207676746911</v>
      </c>
      <c r="M210" s="258">
        <f t="shared" ca="1" si="21"/>
        <v>2.2606824571595916</v>
      </c>
      <c r="N210" s="258">
        <f t="shared" si="22"/>
        <v>3.2672969607776166E-2</v>
      </c>
      <c r="O210" s="258">
        <f t="shared" ca="1" si="23"/>
        <v>2.2933554267673677</v>
      </c>
      <c r="P210" s="258">
        <f t="shared" ca="1" si="24"/>
        <v>0.5557096084119173</v>
      </c>
      <c r="Q210" s="258">
        <f t="shared" si="25"/>
        <v>3.2672969607776166E-2</v>
      </c>
      <c r="R210" s="258">
        <f t="shared" ca="1" si="26"/>
        <v>0.58838257801969351</v>
      </c>
    </row>
    <row r="211" spans="3:18" ht="14" x14ac:dyDescent="0.25">
      <c r="C211" s="255" t="s">
        <v>6143</v>
      </c>
      <c r="D211" s="132">
        <v>0.99282682618084339</v>
      </c>
      <c r="E211" s="132">
        <v>7.1731738191565938E-3</v>
      </c>
      <c r="F211" s="132">
        <v>36.455999999999996</v>
      </c>
      <c r="G211" s="132">
        <v>1.6585363199999998</v>
      </c>
      <c r="H211" s="132">
        <v>38.114536319999999</v>
      </c>
      <c r="I211" s="401">
        <v>4.351453487654549E-2</v>
      </c>
      <c r="J211" s="258">
        <f t="shared" ca="1" si="18"/>
        <v>3.6933157933927374</v>
      </c>
      <c r="K211" s="258">
        <f t="shared" si="19"/>
        <v>5.7128304003574173E-2</v>
      </c>
      <c r="L211" s="258">
        <f t="shared" ca="1" si="20"/>
        <v>3.7504440973963118</v>
      </c>
      <c r="M211" s="258">
        <f t="shared" ca="1" si="21"/>
        <v>2.2537168954305145</v>
      </c>
      <c r="N211" s="258">
        <f t="shared" si="22"/>
        <v>5.7098463600486489E-2</v>
      </c>
      <c r="O211" s="258">
        <f t="shared" ca="1" si="23"/>
        <v>2.3108153590310008</v>
      </c>
      <c r="P211" s="258">
        <f t="shared" ca="1" si="24"/>
        <v>0.55399736900891061</v>
      </c>
      <c r="Q211" s="258">
        <f t="shared" si="25"/>
        <v>5.7098463600486489E-2</v>
      </c>
      <c r="R211" s="258">
        <f t="shared" ca="1" si="26"/>
        <v>0.61109583260939715</v>
      </c>
    </row>
    <row r="212" spans="3:18" ht="14" x14ac:dyDescent="0.25">
      <c r="C212" s="255" t="s">
        <v>6144</v>
      </c>
      <c r="D212" s="132">
        <v>0.99133231114090337</v>
      </c>
      <c r="E212" s="132">
        <v>8.667688859096646E-3</v>
      </c>
      <c r="F212" s="132">
        <v>29.264000000000003</v>
      </c>
      <c r="G212" s="132">
        <v>1.6111495680000001</v>
      </c>
      <c r="H212" s="132">
        <v>30.875149568000005</v>
      </c>
      <c r="I212" s="401">
        <v>5.218272917031784E-2</v>
      </c>
      <c r="J212" s="258">
        <f t="shared" ca="1" si="18"/>
        <v>3.6877561974441608</v>
      </c>
      <c r="K212" s="258">
        <f t="shared" si="19"/>
        <v>6.9030860904063143E-2</v>
      </c>
      <c r="L212" s="258">
        <f t="shared" ca="1" si="20"/>
        <v>3.7567870583482241</v>
      </c>
      <c r="M212" s="258">
        <f t="shared" ca="1" si="21"/>
        <v>2.2503243462898506</v>
      </c>
      <c r="N212" s="258">
        <f t="shared" si="22"/>
        <v>6.8994803318409306E-2</v>
      </c>
      <c r="O212" s="258">
        <f t="shared" ca="1" si="23"/>
        <v>2.3193191496082597</v>
      </c>
      <c r="P212" s="258">
        <f t="shared" ca="1" si="24"/>
        <v>0.55316342961662412</v>
      </c>
      <c r="Q212" s="258">
        <f t="shared" si="25"/>
        <v>6.8994803318409306E-2</v>
      </c>
      <c r="R212" s="258">
        <f t="shared" ca="1" si="26"/>
        <v>0.62215823293503347</v>
      </c>
    </row>
    <row r="213" spans="3:18" ht="14" x14ac:dyDescent="0.25">
      <c r="C213" s="255" t="s">
        <v>6145</v>
      </c>
      <c r="D213" s="132">
        <v>0.98939605307179368</v>
      </c>
      <c r="E213" s="132">
        <v>1.0603946928206286E-2</v>
      </c>
      <c r="F213" s="132">
        <v>23.312000000000001</v>
      </c>
      <c r="G213" s="132">
        <v>1.5732401664</v>
      </c>
      <c r="H213" s="132">
        <v>24.885240166400003</v>
      </c>
      <c r="I213" s="401">
        <v>6.321981045311291E-2</v>
      </c>
      <c r="J213" s="258">
        <f t="shared" ca="1" si="18"/>
        <v>3.6805533174270728</v>
      </c>
      <c r="K213" s="258">
        <f t="shared" si="19"/>
        <v>8.4451529967743369E-2</v>
      </c>
      <c r="L213" s="258">
        <f t="shared" ca="1" si="20"/>
        <v>3.7650048473948163</v>
      </c>
      <c r="M213" s="258">
        <f t="shared" ca="1" si="21"/>
        <v>2.2459290404729715</v>
      </c>
      <c r="N213" s="258">
        <f t="shared" si="22"/>
        <v>8.4407417548522032E-2</v>
      </c>
      <c r="O213" s="258">
        <f t="shared" ca="1" si="23"/>
        <v>2.3303364580214936</v>
      </c>
      <c r="P213" s="258">
        <f t="shared" ca="1" si="24"/>
        <v>0.55208299761406088</v>
      </c>
      <c r="Q213" s="258">
        <f t="shared" si="25"/>
        <v>8.4407417548522032E-2</v>
      </c>
      <c r="R213" s="258">
        <f t="shared" ca="1" si="26"/>
        <v>0.63649041516258287</v>
      </c>
    </row>
    <row r="214" spans="3:18" ht="14" x14ac:dyDescent="0.25">
      <c r="C214" s="255" t="s">
        <v>6146</v>
      </c>
      <c r="D214" s="132">
        <v>0.98624602280553331</v>
      </c>
      <c r="E214" s="132">
        <v>1.375397719446665E-2</v>
      </c>
      <c r="F214" s="132">
        <v>17.483999999999998</v>
      </c>
      <c r="G214" s="132">
        <v>1.5353307648000001</v>
      </c>
      <c r="H214" s="132">
        <v>19.019330764799999</v>
      </c>
      <c r="I214" s="401">
        <v>8.0724752294729071E-2</v>
      </c>
      <c r="J214" s="258">
        <f t="shared" ca="1" si="18"/>
        <v>3.6688352048365842</v>
      </c>
      <c r="K214" s="258">
        <f t="shared" si="19"/>
        <v>0.10953887501308351</v>
      </c>
      <c r="L214" s="258">
        <f t="shared" ca="1" si="20"/>
        <v>3.7783740798496677</v>
      </c>
      <c r="M214" s="258">
        <f t="shared" ca="1" si="21"/>
        <v>2.2387784717685606</v>
      </c>
      <c r="N214" s="258">
        <f t="shared" si="22"/>
        <v>0.10948165846795453</v>
      </c>
      <c r="O214" s="258">
        <f t="shared" ca="1" si="23"/>
        <v>2.3482601302365151</v>
      </c>
      <c r="P214" s="258">
        <f t="shared" ca="1" si="24"/>
        <v>0.55032528072548759</v>
      </c>
      <c r="Q214" s="258">
        <f t="shared" si="25"/>
        <v>0.10948165846795453</v>
      </c>
      <c r="R214" s="258">
        <f t="shared" ca="1" si="26"/>
        <v>0.65980693919344213</v>
      </c>
    </row>
    <row r="215" spans="3:18" ht="14" x14ac:dyDescent="0.25">
      <c r="C215" s="255" t="s">
        <v>6147</v>
      </c>
      <c r="D215" s="132">
        <v>0.98380818475050624</v>
      </c>
      <c r="E215" s="132">
        <v>1.6191815249493754E-2</v>
      </c>
      <c r="F215" s="132">
        <v>14.632000000000001</v>
      </c>
      <c r="G215" s="132">
        <v>1.5163760639999999</v>
      </c>
      <c r="H215" s="132">
        <v>16.148376064000001</v>
      </c>
      <c r="I215" s="401">
        <v>9.3902696964092688E-2</v>
      </c>
      <c r="J215" s="258">
        <f t="shared" ca="1" si="18"/>
        <v>3.6597664472718834</v>
      </c>
      <c r="K215" s="258">
        <f t="shared" si="19"/>
        <v>0.12895420733740817</v>
      </c>
      <c r="L215" s="258">
        <f t="shared" ca="1" si="20"/>
        <v>3.7887206546092917</v>
      </c>
      <c r="M215" s="258">
        <f t="shared" ca="1" si="21"/>
        <v>2.2332445793836491</v>
      </c>
      <c r="N215" s="258">
        <f t="shared" si="22"/>
        <v>0.12888684938597028</v>
      </c>
      <c r="O215" s="258">
        <f t="shared" ca="1" si="23"/>
        <v>2.3621314287696196</v>
      </c>
      <c r="P215" s="258">
        <f t="shared" ca="1" si="24"/>
        <v>0.54896496709078257</v>
      </c>
      <c r="Q215" s="258">
        <f t="shared" si="25"/>
        <v>0.12888684938597028</v>
      </c>
      <c r="R215" s="258">
        <f t="shared" ca="1" si="26"/>
        <v>0.67785181647675286</v>
      </c>
    </row>
    <row r="216" spans="3:18" ht="14" x14ac:dyDescent="0.25">
      <c r="C216" s="255" t="s">
        <v>6148</v>
      </c>
      <c r="D216" s="132">
        <v>0.9800473593841158</v>
      </c>
      <c r="E216" s="132">
        <v>1.995264061588423E-2</v>
      </c>
      <c r="F216" s="132">
        <v>11.6808</v>
      </c>
      <c r="G216" s="132">
        <v>1.4974213632</v>
      </c>
      <c r="H216" s="132">
        <v>13.178221363199999</v>
      </c>
      <c r="I216" s="401">
        <v>0.11362848763350784</v>
      </c>
      <c r="J216" s="258">
        <f t="shared" ca="1" si="18"/>
        <v>3.6457761769089108</v>
      </c>
      <c r="K216" s="258">
        <f t="shared" si="19"/>
        <v>0.15890602228740053</v>
      </c>
      <c r="L216" s="258">
        <f t="shared" ca="1" si="20"/>
        <v>3.8046821991963111</v>
      </c>
      <c r="M216" s="258">
        <f t="shared" ca="1" si="21"/>
        <v>2.224707505801943</v>
      </c>
      <c r="N216" s="258">
        <f t="shared" si="22"/>
        <v>0.15882301930243847</v>
      </c>
      <c r="O216" s="258">
        <f t="shared" ca="1" si="23"/>
        <v>2.3835305251043817</v>
      </c>
      <c r="P216" s="258">
        <f t="shared" ca="1" si="24"/>
        <v>0.54686642653633666</v>
      </c>
      <c r="Q216" s="258">
        <f t="shared" si="25"/>
        <v>0.15882301930243847</v>
      </c>
      <c r="R216" s="258">
        <f t="shared" ca="1" si="26"/>
        <v>0.70568944583877513</v>
      </c>
    </row>
    <row r="217" spans="3:18" ht="14" x14ac:dyDescent="0.25">
      <c r="C217" s="255" t="s">
        <v>6149</v>
      </c>
      <c r="D217" s="132">
        <v>0.97841974168168844</v>
      </c>
      <c r="E217" s="132">
        <v>2.1580258318311521E-2</v>
      </c>
      <c r="F217" s="132">
        <v>8.7667999999999999</v>
      </c>
      <c r="G217" s="132">
        <v>1.2175607807999997</v>
      </c>
      <c r="H217" s="132">
        <v>9.9843607807999994</v>
      </c>
      <c r="I217" s="401">
        <v>0.12194679334318309</v>
      </c>
      <c r="J217" s="258">
        <f t="shared" ca="1" si="18"/>
        <v>3.6397214390558812</v>
      </c>
      <c r="K217" s="258">
        <f t="shared" si="19"/>
        <v>0.17186863008836387</v>
      </c>
      <c r="L217" s="258">
        <f t="shared" ca="1" si="20"/>
        <v>3.8115900691442453</v>
      </c>
      <c r="M217" s="258">
        <f t="shared" ca="1" si="21"/>
        <v>2.221012813617433</v>
      </c>
      <c r="N217" s="258">
        <f t="shared" si="22"/>
        <v>0.17177885621375971</v>
      </c>
      <c r="O217" s="258">
        <f t="shared" ca="1" si="23"/>
        <v>2.3927916698311926</v>
      </c>
      <c r="P217" s="258">
        <f t="shared" ca="1" si="24"/>
        <v>0.54595821585838222</v>
      </c>
      <c r="Q217" s="258">
        <f t="shared" si="25"/>
        <v>0.17177885621375971</v>
      </c>
      <c r="R217" s="258">
        <f t="shared" ca="1" si="26"/>
        <v>0.71773707207214188</v>
      </c>
    </row>
    <row r="218" spans="3:18" ht="14" x14ac:dyDescent="0.25">
      <c r="C218" s="255" t="s">
        <v>6150</v>
      </c>
      <c r="D218" s="132">
        <v>0.97436896788685012</v>
      </c>
      <c r="E218" s="132">
        <v>2.563103211314988E-2</v>
      </c>
      <c r="F218" s="132">
        <v>7.3035999999999994</v>
      </c>
      <c r="G218" s="132">
        <v>1.2097559039999999</v>
      </c>
      <c r="H218" s="132">
        <v>8.5133559039999991</v>
      </c>
      <c r="I218" s="401">
        <v>0.14210094322869743</v>
      </c>
      <c r="J218" s="258">
        <f t="shared" ca="1" si="18"/>
        <v>3.6246525605390825</v>
      </c>
      <c r="K218" s="258">
        <f t="shared" si="19"/>
        <v>0.20412964071426373</v>
      </c>
      <c r="L218" s="258">
        <f t="shared" ca="1" si="20"/>
        <v>3.8287822012533463</v>
      </c>
      <c r="M218" s="258">
        <f t="shared" ca="1" si="21"/>
        <v>2.2118175571031498</v>
      </c>
      <c r="N218" s="258">
        <f t="shared" si="22"/>
        <v>0.20402301562067304</v>
      </c>
      <c r="O218" s="258">
        <f t="shared" ca="1" si="23"/>
        <v>2.4158405727238228</v>
      </c>
      <c r="P218" s="258">
        <f t="shared" ca="1" si="24"/>
        <v>0.54369788408086239</v>
      </c>
      <c r="Q218" s="258">
        <f t="shared" si="25"/>
        <v>0.20402301562067304</v>
      </c>
      <c r="R218" s="258">
        <f t="shared" ca="1" si="26"/>
        <v>0.74772089970153544</v>
      </c>
    </row>
    <row r="219" spans="3:18" ht="14" x14ac:dyDescent="0.25">
      <c r="C219" s="255" t="s">
        <v>6151</v>
      </c>
      <c r="D219" s="132">
        <v>0.99267603620488043</v>
      </c>
      <c r="E219" s="132">
        <v>7.3239637951196066E-3</v>
      </c>
      <c r="F219" s="132">
        <v>31.62</v>
      </c>
      <c r="G219" s="132">
        <v>1.4689893119999997</v>
      </c>
      <c r="H219" s="132">
        <v>33.088989312000002</v>
      </c>
      <c r="I219" s="401">
        <v>4.4395109749310421E-2</v>
      </c>
      <c r="J219" s="258">
        <f t="shared" ca="1" si="18"/>
        <v>3.6927548546821556</v>
      </c>
      <c r="K219" s="258">
        <f t="shared" si="19"/>
        <v>5.8329219498539767E-2</v>
      </c>
      <c r="L219" s="258">
        <f t="shared" ca="1" si="20"/>
        <v>3.7510840741806954</v>
      </c>
      <c r="M219" s="258">
        <f t="shared" ca="1" si="21"/>
        <v>2.2533746021850787</v>
      </c>
      <c r="N219" s="258">
        <f t="shared" si="22"/>
        <v>5.8298751809152068E-2</v>
      </c>
      <c r="O219" s="258">
        <f t="shared" ca="1" si="23"/>
        <v>2.3116733539942307</v>
      </c>
      <c r="P219" s="258">
        <f t="shared" ca="1" si="24"/>
        <v>0.55391322820232336</v>
      </c>
      <c r="Q219" s="258">
        <f t="shared" si="25"/>
        <v>5.8298751809152068E-2</v>
      </c>
      <c r="R219" s="258">
        <f t="shared" ca="1" si="26"/>
        <v>0.61221198001147548</v>
      </c>
    </row>
    <row r="220" spans="3:18" ht="14" x14ac:dyDescent="0.25">
      <c r="C220" s="255" t="s">
        <v>6152</v>
      </c>
      <c r="D220" s="132">
        <v>0.99115395098743708</v>
      </c>
      <c r="E220" s="132">
        <v>8.846049012562876E-3</v>
      </c>
      <c r="F220" s="132">
        <v>25.295999999999999</v>
      </c>
      <c r="G220" s="132">
        <v>1.4216025599999997</v>
      </c>
      <c r="H220" s="132">
        <v>26.71760256</v>
      </c>
      <c r="I220" s="401">
        <v>5.3208462728176753E-2</v>
      </c>
      <c r="J220" s="258">
        <f t="shared" ca="1" si="18"/>
        <v>3.6870926976732661</v>
      </c>
      <c r="K220" s="258">
        <f t="shared" si="19"/>
        <v>7.0451349703892746E-2</v>
      </c>
      <c r="L220" s="258">
        <f t="shared" ca="1" si="20"/>
        <v>3.7575440473771589</v>
      </c>
      <c r="M220" s="258">
        <f t="shared" ca="1" si="21"/>
        <v>2.2499194687414823</v>
      </c>
      <c r="N220" s="258">
        <f t="shared" si="22"/>
        <v>7.041455014000049E-2</v>
      </c>
      <c r="O220" s="258">
        <f t="shared" ca="1" si="23"/>
        <v>2.3203340188814829</v>
      </c>
      <c r="P220" s="258">
        <f t="shared" ca="1" si="24"/>
        <v>0.55306390465098998</v>
      </c>
      <c r="Q220" s="258">
        <f t="shared" si="25"/>
        <v>7.041455014000049E-2</v>
      </c>
      <c r="R220" s="258">
        <f t="shared" ca="1" si="26"/>
        <v>0.62347845479099051</v>
      </c>
    </row>
    <row r="221" spans="3:18" ht="14" x14ac:dyDescent="0.25">
      <c r="C221" s="255" t="s">
        <v>6153</v>
      </c>
      <c r="D221" s="132">
        <v>0.98924485708591969</v>
      </c>
      <c r="E221" s="132">
        <v>1.0755142914080355E-2</v>
      </c>
      <c r="F221" s="132">
        <v>20.212</v>
      </c>
      <c r="G221" s="132">
        <v>1.3836931583999998</v>
      </c>
      <c r="H221" s="132">
        <v>21.5956931584</v>
      </c>
      <c r="I221" s="401">
        <v>6.4072643941127203E-2</v>
      </c>
      <c r="J221" s="258">
        <f t="shared" ca="1" si="18"/>
        <v>3.6799908683596216</v>
      </c>
      <c r="K221" s="258">
        <f t="shared" si="19"/>
        <v>8.5655678990602196E-2</v>
      </c>
      <c r="L221" s="258">
        <f t="shared" ca="1" si="20"/>
        <v>3.7656465473502236</v>
      </c>
      <c r="M221" s="258">
        <f t="shared" ca="1" si="21"/>
        <v>2.2455858255850378</v>
      </c>
      <c r="N221" s="258">
        <f t="shared" si="22"/>
        <v>8.5610937596079628E-2</v>
      </c>
      <c r="O221" s="258">
        <f t="shared" ca="1" si="23"/>
        <v>2.3311967631811177</v>
      </c>
      <c r="P221" s="258">
        <f t="shared" ca="1" si="24"/>
        <v>0.55199863025394325</v>
      </c>
      <c r="Q221" s="258">
        <f t="shared" si="25"/>
        <v>8.5610937596079628E-2</v>
      </c>
      <c r="R221" s="258">
        <f t="shared" ca="1" si="26"/>
        <v>0.63760956785002287</v>
      </c>
    </row>
    <row r="222" spans="3:18" ht="14" x14ac:dyDescent="0.25">
      <c r="C222" s="255" t="s">
        <v>6154</v>
      </c>
      <c r="D222" s="132">
        <v>0.98606897911373348</v>
      </c>
      <c r="E222" s="132">
        <v>1.3931020886266512E-2</v>
      </c>
      <c r="F222" s="132">
        <v>15.127999999999998</v>
      </c>
      <c r="G222" s="132">
        <v>1.3457837567999997</v>
      </c>
      <c r="H222" s="132">
        <v>16.4737837568</v>
      </c>
      <c r="I222" s="401">
        <v>8.1692450056866331E-2</v>
      </c>
      <c r="J222" s="258">
        <f t="shared" ca="1" si="18"/>
        <v>3.6681766023030886</v>
      </c>
      <c r="K222" s="258">
        <f t="shared" si="19"/>
        <v>0.1109488793015683</v>
      </c>
      <c r="L222" s="258">
        <f t="shared" ca="1" si="20"/>
        <v>3.7791254816046571</v>
      </c>
      <c r="M222" s="258">
        <f t="shared" ca="1" si="21"/>
        <v>2.2383765825881752</v>
      </c>
      <c r="N222" s="258">
        <f t="shared" si="22"/>
        <v>0.11089092625468143</v>
      </c>
      <c r="O222" s="258">
        <f t="shared" ca="1" si="23"/>
        <v>2.3492675088428565</v>
      </c>
      <c r="P222" s="258">
        <f t="shared" ca="1" si="24"/>
        <v>0.55022649034546334</v>
      </c>
      <c r="Q222" s="258">
        <f t="shared" si="25"/>
        <v>0.11089092625468143</v>
      </c>
      <c r="R222" s="258">
        <f t="shared" ca="1" si="26"/>
        <v>0.66111741660014478</v>
      </c>
    </row>
    <row r="223" spans="3:18" ht="14" x14ac:dyDescent="0.25">
      <c r="C223" s="255" t="s">
        <v>6155</v>
      </c>
      <c r="D223" s="132">
        <v>0.9836130072984085</v>
      </c>
      <c r="E223" s="132">
        <v>1.6386992701591489E-2</v>
      </c>
      <c r="F223" s="132">
        <v>12.648</v>
      </c>
      <c r="G223" s="132">
        <v>1.3268290560000002</v>
      </c>
      <c r="H223" s="132">
        <v>13.974829056000001</v>
      </c>
      <c r="I223" s="401">
        <v>9.4944206521820382E-2</v>
      </c>
      <c r="J223" s="258">
        <f t="shared" ca="1" si="18"/>
        <v>3.6590403871500796</v>
      </c>
      <c r="K223" s="258">
        <f t="shared" si="19"/>
        <v>0.13050863179430688</v>
      </c>
      <c r="L223" s="258">
        <f t="shared" ca="1" si="20"/>
        <v>3.7895490189443866</v>
      </c>
      <c r="M223" s="258">
        <f t="shared" ca="1" si="21"/>
        <v>2.2328015265673873</v>
      </c>
      <c r="N223" s="258">
        <f t="shared" si="22"/>
        <v>0.13044046190466826</v>
      </c>
      <c r="O223" s="258">
        <f t="shared" ca="1" si="23"/>
        <v>2.3632419884720557</v>
      </c>
      <c r="P223" s="258">
        <f t="shared" ca="1" si="24"/>
        <v>0.54885605807251203</v>
      </c>
      <c r="Q223" s="258">
        <f t="shared" si="25"/>
        <v>0.13044046190466826</v>
      </c>
      <c r="R223" s="258">
        <f t="shared" ca="1" si="26"/>
        <v>0.67929651997718032</v>
      </c>
    </row>
    <row r="224" spans="3:18" ht="14" x14ac:dyDescent="0.25">
      <c r="C224" s="255" t="s">
        <v>6156</v>
      </c>
      <c r="D224" s="132">
        <v>0.97988540240218902</v>
      </c>
      <c r="E224" s="132">
        <v>2.0114597597810934E-2</v>
      </c>
      <c r="F224" s="132">
        <v>10.118399999999999</v>
      </c>
      <c r="G224" s="132">
        <v>1.3078743552000001</v>
      </c>
      <c r="H224" s="132">
        <v>11.4262743552</v>
      </c>
      <c r="I224" s="401">
        <v>0.11446201224853292</v>
      </c>
      <c r="J224" s="258">
        <f t="shared" ca="1" si="18"/>
        <v>3.6451736969361432</v>
      </c>
      <c r="K224" s="258">
        <f t="shared" si="19"/>
        <v>0.16019587360458193</v>
      </c>
      <c r="L224" s="258">
        <f t="shared" ca="1" si="20"/>
        <v>3.8053695705407251</v>
      </c>
      <c r="M224" s="258">
        <f t="shared" ca="1" si="21"/>
        <v>2.2243398634529692</v>
      </c>
      <c r="N224" s="258">
        <f t="shared" si="22"/>
        <v>0.16011219687857503</v>
      </c>
      <c r="O224" s="258">
        <f t="shared" ca="1" si="23"/>
        <v>2.3844520603315442</v>
      </c>
      <c r="P224" s="258">
        <f t="shared" ca="1" si="24"/>
        <v>0.54677605454042155</v>
      </c>
      <c r="Q224" s="258">
        <f t="shared" si="25"/>
        <v>0.16011219687857503</v>
      </c>
      <c r="R224" s="258">
        <f t="shared" ca="1" si="26"/>
        <v>0.70688825141899658</v>
      </c>
    </row>
    <row r="225" spans="3:18" ht="14" x14ac:dyDescent="0.25">
      <c r="C225" s="255" t="s">
        <v>6157</v>
      </c>
      <c r="D225" s="132">
        <v>0.97826937625544574</v>
      </c>
      <c r="E225" s="132">
        <v>2.1730623744554294E-2</v>
      </c>
      <c r="F225" s="132">
        <v>7.5888</v>
      </c>
      <c r="G225" s="132">
        <v>1.0614632447999997</v>
      </c>
      <c r="H225" s="132">
        <v>8.6502632447999996</v>
      </c>
      <c r="I225" s="401">
        <v>0.12270877946264645</v>
      </c>
      <c r="J225" s="258">
        <f t="shared" ca="1" si="18"/>
        <v>3.6391620796702582</v>
      </c>
      <c r="K225" s="258">
        <f t="shared" si="19"/>
        <v>0.17306616440142952</v>
      </c>
      <c r="L225" s="258">
        <f t="shared" ca="1" si="20"/>
        <v>3.8122282440716875</v>
      </c>
      <c r="M225" s="258">
        <f t="shared" ca="1" si="21"/>
        <v>2.2206714840998618</v>
      </c>
      <c r="N225" s="258">
        <f t="shared" si="22"/>
        <v>0.17297576500665218</v>
      </c>
      <c r="O225" s="258">
        <f t="shared" ca="1" si="23"/>
        <v>2.3936472491065142</v>
      </c>
      <c r="P225" s="258">
        <f t="shared" ca="1" si="24"/>
        <v>0.54587431195053882</v>
      </c>
      <c r="Q225" s="258">
        <f t="shared" si="25"/>
        <v>0.17297576500665218</v>
      </c>
      <c r="R225" s="258">
        <f t="shared" ca="1" si="26"/>
        <v>0.71885007695719105</v>
      </c>
    </row>
    <row r="226" spans="3:18" ht="14" x14ac:dyDescent="0.25">
      <c r="C226" s="255" t="s">
        <v>6158</v>
      </c>
      <c r="D226" s="132">
        <v>0.97422208366619256</v>
      </c>
      <c r="E226" s="132">
        <v>2.5777916333807459E-2</v>
      </c>
      <c r="F226" s="132">
        <v>6.3239999999999998</v>
      </c>
      <c r="G226" s="132">
        <v>1.053658368</v>
      </c>
      <c r="H226" s="132">
        <v>7.3776583679999996</v>
      </c>
      <c r="I226" s="401">
        <v>0.14281745175002389</v>
      </c>
      <c r="J226" s="258">
        <f t="shared" ca="1" si="18"/>
        <v>3.6241061512382364</v>
      </c>
      <c r="K226" s="258">
        <f t="shared" si="19"/>
        <v>0.20529945014905601</v>
      </c>
      <c r="L226" s="258">
        <f t="shared" ca="1" si="20"/>
        <v>3.8294056013872924</v>
      </c>
      <c r="M226" s="258">
        <f t="shared" ca="1" si="21"/>
        <v>2.211484129922257</v>
      </c>
      <c r="N226" s="258">
        <f t="shared" si="22"/>
        <v>0.20519221401710738</v>
      </c>
      <c r="O226" s="258">
        <f t="shared" ca="1" si="23"/>
        <v>2.4166763439393644</v>
      </c>
      <c r="P226" s="258">
        <f t="shared" ca="1" si="24"/>
        <v>0.54361592268573555</v>
      </c>
      <c r="Q226" s="258">
        <f t="shared" si="25"/>
        <v>0.20519221401710738</v>
      </c>
      <c r="R226" s="258">
        <f t="shared" ca="1" si="26"/>
        <v>0.74880813670284296</v>
      </c>
    </row>
    <row r="227" spans="3:18" ht="14" x14ac:dyDescent="0.25">
      <c r="C227" s="255" t="s">
        <v>6159</v>
      </c>
      <c r="D227" s="132">
        <v>0.98596108965234219</v>
      </c>
      <c r="E227" s="132">
        <v>1.4038910347657842E-2</v>
      </c>
      <c r="F227" s="132">
        <v>12.896000000000001</v>
      </c>
      <c r="G227" s="132">
        <v>1.1562367487999998</v>
      </c>
      <c r="H227" s="132">
        <v>14.0522367488</v>
      </c>
      <c r="I227" s="401">
        <v>8.228133139720531E-2</v>
      </c>
      <c r="J227" s="258">
        <f t="shared" ref="J227:J290" ca="1" si="27">$D227*$J$32</f>
        <v>3.6677752535067132</v>
      </c>
      <c r="K227" s="258">
        <f t="shared" ref="K227:K290" si="28">E227*$K$32</f>
        <v>0.11180812823440267</v>
      </c>
      <c r="L227" s="258">
        <f t="shared" ref="L227:L290" ca="1" si="29">SUM(J227:K227)</f>
        <v>3.7795833817411157</v>
      </c>
      <c r="M227" s="258">
        <f t="shared" ref="M227:M290" ca="1" si="30">$D227*$M$32</f>
        <v>2.238131673510817</v>
      </c>
      <c r="N227" s="258">
        <f t="shared" ref="N227:N290" si="31">$E227*$N$32</f>
        <v>0.11174972636735642</v>
      </c>
      <c r="O227" s="258">
        <f t="shared" ref="O227:O290" ca="1" si="32">SUM(M227:N227)</f>
        <v>2.3498813998781736</v>
      </c>
      <c r="P227" s="258">
        <f t="shared" ref="P227:P290" ca="1" si="33">$D227*$P$32</f>
        <v>0.55016628802600698</v>
      </c>
      <c r="Q227" s="258">
        <f t="shared" ref="Q227:Q290" si="34">$E227*$Q$32</f>
        <v>0.11174972636735642</v>
      </c>
      <c r="R227" s="258">
        <f t="shared" ref="R227:R290" ca="1" si="35">SUM(P227:Q227)</f>
        <v>0.66191601439336334</v>
      </c>
    </row>
    <row r="228" spans="3:18" ht="14" x14ac:dyDescent="0.25">
      <c r="C228" s="255" t="s">
        <v>6160</v>
      </c>
      <c r="D228" s="132">
        <v>0.98342115830622101</v>
      </c>
      <c r="E228" s="132">
        <v>1.6578841693779038E-2</v>
      </c>
      <c r="F228" s="132">
        <v>10.713600000000001</v>
      </c>
      <c r="G228" s="132">
        <v>1.1372820479999999</v>
      </c>
      <c r="H228" s="132">
        <v>11.850882048000001</v>
      </c>
      <c r="I228" s="401">
        <v>9.5966025431156149E-2</v>
      </c>
      <c r="J228" s="258">
        <f t="shared" ca="1" si="27"/>
        <v>3.6583267088991422</v>
      </c>
      <c r="K228" s="258">
        <f t="shared" si="28"/>
        <v>0.13203654786392727</v>
      </c>
      <c r="L228" s="258">
        <f t="shared" ca="1" si="29"/>
        <v>3.7903632567630696</v>
      </c>
      <c r="M228" s="258">
        <f t="shared" ca="1" si="30"/>
        <v>2.2323660293551217</v>
      </c>
      <c r="N228" s="258">
        <f t="shared" si="31"/>
        <v>0.13196757988248115</v>
      </c>
      <c r="O228" s="258">
        <f t="shared" ca="1" si="32"/>
        <v>2.3643336092376028</v>
      </c>
      <c r="P228" s="258">
        <f t="shared" ca="1" si="33"/>
        <v>0.54874900633487134</v>
      </c>
      <c r="Q228" s="258">
        <f t="shared" si="34"/>
        <v>0.13196757988248115</v>
      </c>
      <c r="R228" s="258">
        <f t="shared" ca="1" si="35"/>
        <v>0.68071658621735254</v>
      </c>
    </row>
    <row r="229" spans="3:18" ht="14" x14ac:dyDescent="0.25">
      <c r="C229" s="255" t="s">
        <v>6161</v>
      </c>
      <c r="D229" s="132">
        <v>0.97969321396142506</v>
      </c>
      <c r="E229" s="132">
        <v>2.0306786038574904E-2</v>
      </c>
      <c r="F229" s="132">
        <v>8.5684000000000005</v>
      </c>
      <c r="G229" s="132">
        <v>1.1183273471999999</v>
      </c>
      <c r="H229" s="132">
        <v>9.6867273471999997</v>
      </c>
      <c r="I229" s="401">
        <v>0.1154494502752014</v>
      </c>
      <c r="J229" s="258">
        <f t="shared" ca="1" si="27"/>
        <v>3.6444587559365016</v>
      </c>
      <c r="K229" s="258">
        <f t="shared" si="28"/>
        <v>0.1617264930969767</v>
      </c>
      <c r="L229" s="258">
        <f t="shared" ca="1" si="29"/>
        <v>3.8061852490334784</v>
      </c>
      <c r="M229" s="258">
        <f t="shared" ca="1" si="30"/>
        <v>2.2239035956924349</v>
      </c>
      <c r="N229" s="258">
        <f t="shared" si="31"/>
        <v>0.16164201686705623</v>
      </c>
      <c r="O229" s="258">
        <f t="shared" ca="1" si="32"/>
        <v>2.3855456125594912</v>
      </c>
      <c r="P229" s="258">
        <f t="shared" ca="1" si="33"/>
        <v>0.54666881339047524</v>
      </c>
      <c r="Q229" s="258">
        <f t="shared" si="34"/>
        <v>0.16164201686705623</v>
      </c>
      <c r="R229" s="258">
        <f t="shared" ca="1" si="35"/>
        <v>0.7083108302575315</v>
      </c>
    </row>
    <row r="230" spans="3:18" ht="14" x14ac:dyDescent="0.25">
      <c r="C230" s="255" t="s">
        <v>6162</v>
      </c>
      <c r="D230" s="132">
        <v>0.97810524623931749</v>
      </c>
      <c r="E230" s="132">
        <v>2.1894753760682496E-2</v>
      </c>
      <c r="F230" s="132">
        <v>6.4231999999999996</v>
      </c>
      <c r="G230" s="132">
        <v>0.90536570879999989</v>
      </c>
      <c r="H230" s="132">
        <v>7.3285657087999994</v>
      </c>
      <c r="I230" s="401">
        <v>0.12353927695740714</v>
      </c>
      <c r="J230" s="258">
        <f t="shared" ca="1" si="27"/>
        <v>3.6385515160102613</v>
      </c>
      <c r="K230" s="258">
        <f t="shared" si="28"/>
        <v>0.1743733221106771</v>
      </c>
      <c r="L230" s="258">
        <f t="shared" ca="1" si="29"/>
        <v>3.8129248381209382</v>
      </c>
      <c r="M230" s="258">
        <f t="shared" ca="1" si="30"/>
        <v>2.2202989089632506</v>
      </c>
      <c r="N230" s="258">
        <f t="shared" si="31"/>
        <v>0.17428223993503267</v>
      </c>
      <c r="O230" s="258">
        <f t="shared" ca="1" si="32"/>
        <v>2.3945811488982831</v>
      </c>
      <c r="P230" s="258">
        <f t="shared" ca="1" si="33"/>
        <v>0.54578272740153921</v>
      </c>
      <c r="Q230" s="258">
        <f t="shared" si="34"/>
        <v>0.17428223993503267</v>
      </c>
      <c r="R230" s="258">
        <f t="shared" ca="1" si="35"/>
        <v>0.72006496733657188</v>
      </c>
    </row>
    <row r="231" spans="3:18" ht="14" x14ac:dyDescent="0.25">
      <c r="C231" s="255" t="s">
        <v>6163</v>
      </c>
      <c r="D231" s="132">
        <v>0.99538853965863494</v>
      </c>
      <c r="E231" s="132">
        <v>4.6114603413650798E-3</v>
      </c>
      <c r="F231" s="132">
        <v>48.731999999999999</v>
      </c>
      <c r="G231" s="132">
        <v>1.4216025599999997</v>
      </c>
      <c r="H231" s="132">
        <v>50.153602559999996</v>
      </c>
      <c r="I231" s="401">
        <v>2.8344973988644214E-2</v>
      </c>
      <c r="J231" s="258">
        <f t="shared" ca="1" si="27"/>
        <v>3.7028453675301223</v>
      </c>
      <c r="K231" s="258">
        <f t="shared" si="28"/>
        <v>3.672640799228611E-2</v>
      </c>
      <c r="L231" s="258">
        <f t="shared" ca="1" si="29"/>
        <v>3.7395717755224083</v>
      </c>
      <c r="M231" s="258">
        <f t="shared" ca="1" si="30"/>
        <v>2.2595319850251014</v>
      </c>
      <c r="N231" s="258">
        <f t="shared" si="31"/>
        <v>3.6707224317266036E-2</v>
      </c>
      <c r="O231" s="258">
        <f t="shared" ca="1" si="32"/>
        <v>2.2962392093423674</v>
      </c>
      <c r="P231" s="258">
        <f t="shared" ca="1" si="33"/>
        <v>0.55542680512951836</v>
      </c>
      <c r="Q231" s="258">
        <f t="shared" si="34"/>
        <v>3.6707224317266036E-2</v>
      </c>
      <c r="R231" s="258">
        <f t="shared" ca="1" si="35"/>
        <v>0.59213402944678439</v>
      </c>
    </row>
    <row r="232" spans="3:18" ht="14" x14ac:dyDescent="0.25">
      <c r="C232" s="255" t="s">
        <v>6164</v>
      </c>
      <c r="D232" s="132">
        <v>0.99231839244420428</v>
      </c>
      <c r="E232" s="132">
        <v>7.6816075557957593E-3</v>
      </c>
      <c r="F232" s="132">
        <v>24.304000000000002</v>
      </c>
      <c r="G232" s="132">
        <v>1.1846687999999999</v>
      </c>
      <c r="H232" s="132">
        <v>25.488668800000003</v>
      </c>
      <c r="I232" s="401">
        <v>4.6478253113006816E-2</v>
      </c>
      <c r="J232" s="258">
        <f t="shared" ca="1" si="27"/>
        <v>3.69142441989244</v>
      </c>
      <c r="K232" s="258">
        <f t="shared" si="28"/>
        <v>6.1177551631566351E-2</v>
      </c>
      <c r="L232" s="258">
        <f t="shared" ca="1" si="29"/>
        <v>3.7526019715240064</v>
      </c>
      <c r="M232" s="258">
        <f t="shared" ca="1" si="30"/>
        <v>2.2525627508483437</v>
      </c>
      <c r="N232" s="258">
        <f t="shared" si="31"/>
        <v>6.1145596144134243E-2</v>
      </c>
      <c r="O232" s="258">
        <f t="shared" ca="1" si="32"/>
        <v>2.313708346992478</v>
      </c>
      <c r="P232" s="258">
        <f t="shared" ca="1" si="33"/>
        <v>0.55371366298386604</v>
      </c>
      <c r="Q232" s="258">
        <f t="shared" si="34"/>
        <v>6.1145596144134243E-2</v>
      </c>
      <c r="R232" s="258">
        <f t="shared" ca="1" si="35"/>
        <v>0.61485925912800032</v>
      </c>
    </row>
    <row r="233" spans="3:18" ht="14" x14ac:dyDescent="0.25">
      <c r="C233" s="255" t="s">
        <v>6165</v>
      </c>
      <c r="D233" s="132">
        <v>0.99080782771000453</v>
      </c>
      <c r="E233" s="132">
        <v>9.1921722899954393E-3</v>
      </c>
      <c r="F233" s="132">
        <v>19.468</v>
      </c>
      <c r="G233" s="132">
        <v>1.1372820479999999</v>
      </c>
      <c r="H233" s="132">
        <v>20.605282047999999</v>
      </c>
      <c r="I233" s="401">
        <v>5.5193714182154928E-2</v>
      </c>
      <c r="J233" s="258">
        <f t="shared" ca="1" si="27"/>
        <v>3.6858051190812171</v>
      </c>
      <c r="K233" s="258">
        <f t="shared" si="28"/>
        <v>7.3207930865090073E-2</v>
      </c>
      <c r="L233" s="258">
        <f t="shared" ca="1" si="29"/>
        <v>3.759013049946307</v>
      </c>
      <c r="M233" s="258">
        <f t="shared" ca="1" si="30"/>
        <v>2.2491337689017104</v>
      </c>
      <c r="N233" s="258">
        <f t="shared" si="31"/>
        <v>7.3169691428363701E-2</v>
      </c>
      <c r="O233" s="258">
        <f t="shared" ca="1" si="32"/>
        <v>2.3223034603300738</v>
      </c>
      <c r="P233" s="258">
        <f t="shared" ca="1" si="33"/>
        <v>0.55287076786218259</v>
      </c>
      <c r="Q233" s="258">
        <f t="shared" si="34"/>
        <v>7.3169691428363701E-2</v>
      </c>
      <c r="R233" s="258">
        <f t="shared" ca="1" si="35"/>
        <v>0.6260404592905463</v>
      </c>
    </row>
    <row r="234" spans="3:18" ht="14" x14ac:dyDescent="0.25">
      <c r="C234" s="255" t="s">
        <v>6166</v>
      </c>
      <c r="D234" s="132">
        <v>0.9889488265133225</v>
      </c>
      <c r="E234" s="132">
        <v>1.1051173486677541E-2</v>
      </c>
      <c r="F234" s="132">
        <v>15.623999999999999</v>
      </c>
      <c r="G234" s="132">
        <v>1.0993726464</v>
      </c>
      <c r="H234" s="132">
        <v>16.723372646399998</v>
      </c>
      <c r="I234" s="401">
        <v>6.5738692167256071E-2</v>
      </c>
      <c r="J234" s="258">
        <f t="shared" ca="1" si="27"/>
        <v>3.6788896346295599</v>
      </c>
      <c r="K234" s="258">
        <f t="shared" si="28"/>
        <v>8.8013313835657803E-2</v>
      </c>
      <c r="L234" s="258">
        <f t="shared" ca="1" si="29"/>
        <v>3.7669029484652174</v>
      </c>
      <c r="M234" s="258">
        <f t="shared" ca="1" si="30"/>
        <v>2.2449138361852419</v>
      </c>
      <c r="N234" s="258">
        <f t="shared" si="31"/>
        <v>8.7967340953953227E-2</v>
      </c>
      <c r="O234" s="258">
        <f t="shared" ca="1" si="32"/>
        <v>2.3328811771391953</v>
      </c>
      <c r="P234" s="258">
        <f t="shared" ca="1" si="33"/>
        <v>0.551833445194434</v>
      </c>
      <c r="Q234" s="258">
        <f t="shared" si="34"/>
        <v>8.7967340953953227E-2</v>
      </c>
      <c r="R234" s="258">
        <f t="shared" ca="1" si="35"/>
        <v>0.6398007861483872</v>
      </c>
    </row>
    <row r="235" spans="3:18" ht="14" x14ac:dyDescent="0.25">
      <c r="C235" s="255" t="s">
        <v>6167</v>
      </c>
      <c r="D235" s="132">
        <v>0.98577371558080029</v>
      </c>
      <c r="E235" s="132">
        <v>1.4226284419199705E-2</v>
      </c>
      <c r="F235" s="132">
        <v>11.6808</v>
      </c>
      <c r="G235" s="132">
        <v>1.0614632447999997</v>
      </c>
      <c r="H235" s="132">
        <v>12.7422632448</v>
      </c>
      <c r="I235" s="401">
        <v>8.3302567558645679E-2</v>
      </c>
      <c r="J235" s="258">
        <f t="shared" ca="1" si="27"/>
        <v>3.6670782219605771</v>
      </c>
      <c r="K235" s="258">
        <f t="shared" si="28"/>
        <v>0.11330040532001352</v>
      </c>
      <c r="L235" s="258">
        <f t="shared" ca="1" si="29"/>
        <v>3.7803786272805908</v>
      </c>
      <c r="M235" s="258">
        <f t="shared" ca="1" si="30"/>
        <v>2.2377063343684167</v>
      </c>
      <c r="N235" s="258">
        <f t="shared" si="31"/>
        <v>0.11324122397682965</v>
      </c>
      <c r="O235" s="258">
        <f t="shared" ca="1" si="32"/>
        <v>2.3509475583452462</v>
      </c>
      <c r="P235" s="258">
        <f t="shared" ca="1" si="33"/>
        <v>0.55006173329408659</v>
      </c>
      <c r="Q235" s="258">
        <f t="shared" si="34"/>
        <v>0.11324122397682965</v>
      </c>
      <c r="R235" s="258">
        <f t="shared" ca="1" si="35"/>
        <v>0.66330295727091626</v>
      </c>
    </row>
    <row r="236" spans="3:18" ht="14" x14ac:dyDescent="0.25">
      <c r="C236" s="255" t="s">
        <v>6168</v>
      </c>
      <c r="D236" s="132">
        <v>0.98327579395449471</v>
      </c>
      <c r="E236" s="132">
        <v>1.6724206045505254E-2</v>
      </c>
      <c r="F236" s="132">
        <v>9.734</v>
      </c>
      <c r="G236" s="132">
        <v>1.0425085439999999</v>
      </c>
      <c r="H236" s="132">
        <v>10.776508544</v>
      </c>
      <c r="I236" s="401">
        <v>9.6738989232318093E-2</v>
      </c>
      <c r="J236" s="258">
        <f t="shared" ca="1" si="27"/>
        <v>3.6577859535107207</v>
      </c>
      <c r="K236" s="258">
        <f t="shared" si="28"/>
        <v>0.13319425281937111</v>
      </c>
      <c r="L236" s="258">
        <f t="shared" ca="1" si="29"/>
        <v>3.7909802063300919</v>
      </c>
      <c r="M236" s="258">
        <f t="shared" ca="1" si="30"/>
        <v>2.2320360522767029</v>
      </c>
      <c r="N236" s="258">
        <f t="shared" si="31"/>
        <v>0.13312468012222181</v>
      </c>
      <c r="O236" s="258">
        <f t="shared" ca="1" si="32"/>
        <v>2.3651607323989245</v>
      </c>
      <c r="P236" s="258">
        <f t="shared" ca="1" si="33"/>
        <v>0.54866789302660812</v>
      </c>
      <c r="Q236" s="258">
        <f t="shared" si="34"/>
        <v>0.13312468012222181</v>
      </c>
      <c r="R236" s="258">
        <f t="shared" ca="1" si="35"/>
        <v>0.68179257314882991</v>
      </c>
    </row>
    <row r="237" spans="3:18" ht="14" x14ac:dyDescent="0.25">
      <c r="C237" s="255" t="s">
        <v>6169</v>
      </c>
      <c r="D237" s="132">
        <v>0.97955255786129614</v>
      </c>
      <c r="E237" s="132">
        <v>2.0447442138703892E-2</v>
      </c>
      <c r="F237" s="132">
        <v>7.7872000000000003</v>
      </c>
      <c r="G237" s="132">
        <v>1.0235538432</v>
      </c>
      <c r="H237" s="132">
        <v>8.8107538432000005</v>
      </c>
      <c r="I237" s="401">
        <v>0.11617097258822666</v>
      </c>
      <c r="J237" s="258">
        <f t="shared" ca="1" si="27"/>
        <v>3.643935515244022</v>
      </c>
      <c r="K237" s="258">
        <f t="shared" si="28"/>
        <v>0.16284670078337998</v>
      </c>
      <c r="L237" s="258">
        <f t="shared" ca="1" si="29"/>
        <v>3.8067822160274019</v>
      </c>
      <c r="M237" s="258">
        <f t="shared" ca="1" si="30"/>
        <v>2.2235843063451424</v>
      </c>
      <c r="N237" s="258">
        <f t="shared" si="31"/>
        <v>0.16276163942408298</v>
      </c>
      <c r="O237" s="258">
        <f t="shared" ca="1" si="32"/>
        <v>2.3863459457692255</v>
      </c>
      <c r="P237" s="258">
        <f t="shared" ca="1" si="33"/>
        <v>0.54659032728660328</v>
      </c>
      <c r="Q237" s="258">
        <f t="shared" si="34"/>
        <v>0.16276163942408298</v>
      </c>
      <c r="R237" s="258">
        <f t="shared" ca="1" si="35"/>
        <v>0.70935196671068623</v>
      </c>
    </row>
    <row r="238" spans="3:18" ht="14" x14ac:dyDescent="0.25">
      <c r="C238" s="255" t="s">
        <v>6170</v>
      </c>
      <c r="D238" s="132">
        <v>0.97799864350965215</v>
      </c>
      <c r="E238" s="132">
        <v>2.2001356490347835E-2</v>
      </c>
      <c r="F238" s="132">
        <v>5.8403999999999998</v>
      </c>
      <c r="G238" s="132">
        <v>0.82731694079999984</v>
      </c>
      <c r="H238" s="132">
        <v>6.6677169408000001</v>
      </c>
      <c r="I238" s="401">
        <v>0.12407799373389979</v>
      </c>
      <c r="J238" s="258">
        <f t="shared" ca="1" si="27"/>
        <v>3.6381549538559064</v>
      </c>
      <c r="K238" s="258">
        <f t="shared" si="28"/>
        <v>0.1752223233061686</v>
      </c>
      <c r="L238" s="258">
        <f t="shared" ca="1" si="29"/>
        <v>3.8133772771620751</v>
      </c>
      <c r="M238" s="258">
        <f t="shared" ca="1" si="30"/>
        <v>2.2200569207669103</v>
      </c>
      <c r="N238" s="258">
        <f t="shared" si="31"/>
        <v>0.17513079766316877</v>
      </c>
      <c r="O238" s="258">
        <f t="shared" ca="1" si="32"/>
        <v>2.3951877184300789</v>
      </c>
      <c r="P238" s="258">
        <f t="shared" ca="1" si="33"/>
        <v>0.54572324307838593</v>
      </c>
      <c r="Q238" s="258">
        <f t="shared" si="34"/>
        <v>0.17513079766316877</v>
      </c>
      <c r="R238" s="258">
        <f t="shared" ca="1" si="35"/>
        <v>0.72085404074155468</v>
      </c>
    </row>
    <row r="239" spans="3:18" ht="14" x14ac:dyDescent="0.25">
      <c r="C239" s="255" t="s">
        <v>6171</v>
      </c>
      <c r="D239" s="132">
        <v>0.97398783333060712</v>
      </c>
      <c r="E239" s="132">
        <v>2.6012166669392833E-2</v>
      </c>
      <c r="F239" s="132">
        <v>4.8731999999999998</v>
      </c>
      <c r="G239" s="132">
        <v>0.81951206399999987</v>
      </c>
      <c r="H239" s="132">
        <v>5.6927120639999993</v>
      </c>
      <c r="I239" s="401">
        <v>0.14395810903251052</v>
      </c>
      <c r="J239" s="258">
        <f t="shared" ca="1" si="27"/>
        <v>3.6232347399898588</v>
      </c>
      <c r="K239" s="258">
        <f t="shared" si="28"/>
        <v>0.20716505730171161</v>
      </c>
      <c r="L239" s="258">
        <f t="shared" ca="1" si="29"/>
        <v>3.8303997972915704</v>
      </c>
      <c r="M239" s="258">
        <f t="shared" ca="1" si="30"/>
        <v>2.2109523816604781</v>
      </c>
      <c r="N239" s="258">
        <f t="shared" si="31"/>
        <v>0.20705684668836694</v>
      </c>
      <c r="O239" s="258">
        <f t="shared" ca="1" si="32"/>
        <v>2.4180092283488452</v>
      </c>
      <c r="P239" s="258">
        <f t="shared" ca="1" si="33"/>
        <v>0.5434852109984788</v>
      </c>
      <c r="Q239" s="258">
        <f t="shared" si="34"/>
        <v>0.20705684668836694</v>
      </c>
      <c r="R239" s="258">
        <f t="shared" ca="1" si="35"/>
        <v>0.75054205768684579</v>
      </c>
    </row>
    <row r="240" spans="3:18" ht="14" x14ac:dyDescent="0.25">
      <c r="C240" s="255" t="s">
        <v>6172</v>
      </c>
      <c r="D240" s="132">
        <v>0.98561013846939116</v>
      </c>
      <c r="E240" s="132">
        <v>1.4389861530608844E-2</v>
      </c>
      <c r="F240" s="132">
        <v>10.5152</v>
      </c>
      <c r="G240" s="132">
        <v>0.96668974079999992</v>
      </c>
      <c r="H240" s="132">
        <v>11.4818897408</v>
      </c>
      <c r="I240" s="401">
        <v>8.4192564344608131E-2</v>
      </c>
      <c r="J240" s="258">
        <f t="shared" ca="1" si="27"/>
        <v>3.6664697151061354</v>
      </c>
      <c r="K240" s="258">
        <f t="shared" si="28"/>
        <v>0.11460315960761372</v>
      </c>
      <c r="L240" s="258">
        <f t="shared" ca="1" si="29"/>
        <v>3.781072874713749</v>
      </c>
      <c r="M240" s="258">
        <f t="shared" ca="1" si="30"/>
        <v>2.237335014325518</v>
      </c>
      <c r="N240" s="258">
        <f t="shared" si="31"/>
        <v>0.1145432977836464</v>
      </c>
      <c r="O240" s="258">
        <f t="shared" ca="1" si="32"/>
        <v>2.3518783121091644</v>
      </c>
      <c r="P240" s="258">
        <f t="shared" ca="1" si="33"/>
        <v>0.54997045726592031</v>
      </c>
      <c r="Q240" s="258">
        <f t="shared" si="34"/>
        <v>0.1145432977836464</v>
      </c>
      <c r="R240" s="258">
        <f t="shared" ca="1" si="35"/>
        <v>0.66451375504956667</v>
      </c>
    </row>
    <row r="241" spans="3:18" ht="14" x14ac:dyDescent="0.25">
      <c r="C241" s="255" t="s">
        <v>6173</v>
      </c>
      <c r="D241" s="132">
        <v>0.98312145930266515</v>
      </c>
      <c r="E241" s="132">
        <v>1.6878540697334864E-2</v>
      </c>
      <c r="F241" s="132">
        <v>8.7667999999999999</v>
      </c>
      <c r="G241" s="132">
        <v>0.94773503999999997</v>
      </c>
      <c r="H241" s="132">
        <v>9.7145350399999995</v>
      </c>
      <c r="I241" s="401">
        <v>9.7558456076143815E-2</v>
      </c>
      <c r="J241" s="258">
        <f t="shared" ca="1" si="27"/>
        <v>3.6572118286059143</v>
      </c>
      <c r="K241" s="258">
        <f t="shared" si="28"/>
        <v>0.13442339868008643</v>
      </c>
      <c r="L241" s="258">
        <f t="shared" ca="1" si="29"/>
        <v>3.7916352272860006</v>
      </c>
      <c r="M241" s="258">
        <f t="shared" ca="1" si="30"/>
        <v>2.23168571261705</v>
      </c>
      <c r="N241" s="258">
        <f t="shared" si="31"/>
        <v>0.13435318395078552</v>
      </c>
      <c r="O241" s="258">
        <f t="shared" ca="1" si="32"/>
        <v>2.3660388965678356</v>
      </c>
      <c r="P241" s="258">
        <f t="shared" ca="1" si="33"/>
        <v>0.54858177429088717</v>
      </c>
      <c r="Q241" s="258">
        <f t="shared" si="34"/>
        <v>0.13435318395078552</v>
      </c>
      <c r="R241" s="258">
        <f t="shared" ca="1" si="35"/>
        <v>0.68293495824167272</v>
      </c>
    </row>
    <row r="242" spans="3:18" ht="14" x14ac:dyDescent="0.25">
      <c r="C242" s="255" t="s">
        <v>6174</v>
      </c>
      <c r="D242" s="132">
        <v>0.97938058909967785</v>
      </c>
      <c r="E242" s="132">
        <v>2.061941090032221E-2</v>
      </c>
      <c r="F242" s="132">
        <v>7.0060000000000002</v>
      </c>
      <c r="G242" s="132">
        <v>0.92878033920000003</v>
      </c>
      <c r="H242" s="132">
        <v>7.9347803392000005</v>
      </c>
      <c r="I242" s="401">
        <v>0.11705180225488654</v>
      </c>
      <c r="J242" s="258">
        <f t="shared" ca="1" si="27"/>
        <v>3.643295791450802</v>
      </c>
      <c r="K242" s="258">
        <f t="shared" si="28"/>
        <v>0.16421628751591014</v>
      </c>
      <c r="L242" s="258">
        <f t="shared" ca="1" si="29"/>
        <v>3.8075120789667123</v>
      </c>
      <c r="M242" s="258">
        <f t="shared" ca="1" si="30"/>
        <v>2.2231939372562688</v>
      </c>
      <c r="N242" s="258">
        <f t="shared" si="31"/>
        <v>0.16413051076656479</v>
      </c>
      <c r="O242" s="258">
        <f t="shared" ca="1" si="32"/>
        <v>2.3873244480228335</v>
      </c>
      <c r="P242" s="258">
        <f t="shared" ca="1" si="33"/>
        <v>0.54649436871762025</v>
      </c>
      <c r="Q242" s="258">
        <f t="shared" si="34"/>
        <v>0.16413051076656479</v>
      </c>
      <c r="R242" s="258">
        <f t="shared" ca="1" si="35"/>
        <v>0.71062487948418507</v>
      </c>
    </row>
    <row r="243" spans="3:18" ht="14" x14ac:dyDescent="0.25">
      <c r="C243" s="255" t="s">
        <v>6175</v>
      </c>
      <c r="D243" s="132">
        <v>0.97786843868727991</v>
      </c>
      <c r="E243" s="132">
        <v>2.2131561312720111E-2</v>
      </c>
      <c r="F243" s="132">
        <v>5.2576000000000001</v>
      </c>
      <c r="G243" s="132">
        <v>0.74926817279999991</v>
      </c>
      <c r="H243" s="132">
        <v>6.0068681728</v>
      </c>
      <c r="I243" s="401">
        <v>0.12473524493059437</v>
      </c>
      <c r="J243" s="258">
        <f t="shared" ca="1" si="27"/>
        <v>3.6376705919166814</v>
      </c>
      <c r="K243" s="258">
        <f t="shared" si="28"/>
        <v>0.17625929534431301</v>
      </c>
      <c r="L243" s="258">
        <f t="shared" ca="1" si="29"/>
        <v>3.8139298872609944</v>
      </c>
      <c r="M243" s="258">
        <f t="shared" ca="1" si="30"/>
        <v>2.2197613558201255</v>
      </c>
      <c r="N243" s="258">
        <f t="shared" si="31"/>
        <v>0.17616722804925208</v>
      </c>
      <c r="O243" s="258">
        <f t="shared" ca="1" si="32"/>
        <v>2.3959285838693773</v>
      </c>
      <c r="P243" s="258">
        <f t="shared" ca="1" si="33"/>
        <v>0.54565058878750228</v>
      </c>
      <c r="Q243" s="258">
        <f t="shared" si="34"/>
        <v>0.17616722804925208</v>
      </c>
      <c r="R243" s="258">
        <f t="shared" ca="1" si="35"/>
        <v>0.72181781683675439</v>
      </c>
    </row>
    <row r="244" spans="3:18" ht="14" x14ac:dyDescent="0.25">
      <c r="C244" s="255" t="s">
        <v>6176</v>
      </c>
      <c r="D244" s="132">
        <v>0.99412007462471863</v>
      </c>
      <c r="E244" s="132">
        <v>5.8799253752813809E-3</v>
      </c>
      <c r="F244" s="132">
        <v>29.264000000000003</v>
      </c>
      <c r="G244" s="132">
        <v>1.0898952959999999</v>
      </c>
      <c r="H244" s="132">
        <v>30.353895296000005</v>
      </c>
      <c r="I244" s="401">
        <v>3.5906274478835168E-2</v>
      </c>
      <c r="J244" s="258">
        <f t="shared" ca="1" si="27"/>
        <v>3.6981266776039536</v>
      </c>
      <c r="K244" s="258">
        <f t="shared" si="28"/>
        <v>4.6828666476800958E-2</v>
      </c>
      <c r="L244" s="258">
        <f t="shared" ca="1" si="29"/>
        <v>3.7449553440807546</v>
      </c>
      <c r="M244" s="258">
        <f t="shared" ca="1" si="30"/>
        <v>2.2566525693981112</v>
      </c>
      <c r="N244" s="258">
        <f t="shared" si="31"/>
        <v>4.6804205987239791E-2</v>
      </c>
      <c r="O244" s="258">
        <f t="shared" ca="1" si="32"/>
        <v>2.3034567753853512</v>
      </c>
      <c r="P244" s="258">
        <f t="shared" ca="1" si="33"/>
        <v>0.55471900164059307</v>
      </c>
      <c r="Q244" s="258">
        <f t="shared" si="34"/>
        <v>4.6804205987239791E-2</v>
      </c>
      <c r="R244" s="258">
        <f t="shared" ca="1" si="35"/>
        <v>0.60152320762783285</v>
      </c>
    </row>
    <row r="245" spans="3:18" ht="14" x14ac:dyDescent="0.25">
      <c r="C245" s="255" t="s">
        <v>6177</v>
      </c>
      <c r="D245" s="132">
        <v>0.99181047918614862</v>
      </c>
      <c r="E245" s="132">
        <v>8.1895208138513427E-3</v>
      </c>
      <c r="F245" s="132">
        <v>18.227999999999998</v>
      </c>
      <c r="G245" s="132">
        <v>0.94773503999999997</v>
      </c>
      <c r="H245" s="132">
        <v>19.175735039999999</v>
      </c>
      <c r="I245" s="401">
        <v>4.9423661623559857E-2</v>
      </c>
      <c r="J245" s="258">
        <f t="shared" ca="1" si="27"/>
        <v>3.6895349825724733</v>
      </c>
      <c r="K245" s="258">
        <f t="shared" si="28"/>
        <v>6.5222654084842305E-2</v>
      </c>
      <c r="L245" s="258">
        <f t="shared" ca="1" si="29"/>
        <v>3.7547576366573154</v>
      </c>
      <c r="M245" s="258">
        <f t="shared" ca="1" si="30"/>
        <v>2.2514097877525572</v>
      </c>
      <c r="N245" s="258">
        <f t="shared" si="31"/>
        <v>6.5188585678256694E-2</v>
      </c>
      <c r="O245" s="258">
        <f t="shared" ca="1" si="32"/>
        <v>2.3165983734308138</v>
      </c>
      <c r="P245" s="258">
        <f t="shared" ca="1" si="33"/>
        <v>0.55343024738587099</v>
      </c>
      <c r="Q245" s="258">
        <f t="shared" si="34"/>
        <v>6.5188585678256694E-2</v>
      </c>
      <c r="R245" s="258">
        <f t="shared" ca="1" si="35"/>
        <v>0.61861883306412768</v>
      </c>
    </row>
    <row r="246" spans="3:18" ht="14" x14ac:dyDescent="0.25">
      <c r="C246" s="255" t="s">
        <v>6178</v>
      </c>
      <c r="D246" s="132">
        <v>0.99032245150797993</v>
      </c>
      <c r="E246" s="132">
        <v>9.677548492020056E-3</v>
      </c>
      <c r="F246" s="132">
        <v>14.632000000000001</v>
      </c>
      <c r="G246" s="132">
        <v>0.900348288</v>
      </c>
      <c r="H246" s="132">
        <v>15.532348288000001</v>
      </c>
      <c r="I246" s="401">
        <v>5.7966012048261371E-2</v>
      </c>
      <c r="J246" s="258">
        <f t="shared" ca="1" si="27"/>
        <v>3.6839995196096855</v>
      </c>
      <c r="K246" s="258">
        <f t="shared" si="28"/>
        <v>7.707354459820645E-2</v>
      </c>
      <c r="L246" s="258">
        <f t="shared" ca="1" si="29"/>
        <v>3.761073064207892</v>
      </c>
      <c r="M246" s="258">
        <f t="shared" ca="1" si="30"/>
        <v>2.2480319649231144</v>
      </c>
      <c r="N246" s="258">
        <f t="shared" si="31"/>
        <v>7.7033285996479642E-2</v>
      </c>
      <c r="O246" s="258">
        <f t="shared" ca="1" si="32"/>
        <v>2.3250652509195939</v>
      </c>
      <c r="P246" s="258">
        <f t="shared" ca="1" si="33"/>
        <v>0.55259992794145285</v>
      </c>
      <c r="Q246" s="258">
        <f t="shared" si="34"/>
        <v>7.7033285996479642E-2</v>
      </c>
      <c r="R246" s="258">
        <f t="shared" ca="1" si="35"/>
        <v>0.62963321393793248</v>
      </c>
    </row>
    <row r="247" spans="3:18" ht="14" x14ac:dyDescent="0.25">
      <c r="C247" s="255" t="s">
        <v>6179</v>
      </c>
      <c r="D247" s="132">
        <v>0.98841022902598219</v>
      </c>
      <c r="E247" s="132">
        <v>1.1589770974017841E-2</v>
      </c>
      <c r="F247" s="132">
        <v>11.6808</v>
      </c>
      <c r="G247" s="132">
        <v>0.86243888639999988</v>
      </c>
      <c r="H247" s="132">
        <v>12.543238886399999</v>
      </c>
      <c r="I247" s="401">
        <v>6.8757271882551707E-2</v>
      </c>
      <c r="J247" s="258">
        <f t="shared" ca="1" si="27"/>
        <v>3.6768860519766537</v>
      </c>
      <c r="K247" s="258">
        <f t="shared" si="28"/>
        <v>9.2302790400433932E-2</v>
      </c>
      <c r="L247" s="258">
        <f t="shared" ca="1" si="29"/>
        <v>3.7691888423770878</v>
      </c>
      <c r="M247" s="258">
        <f t="shared" ca="1" si="30"/>
        <v>2.2436912198889796</v>
      </c>
      <c r="N247" s="258">
        <f t="shared" si="31"/>
        <v>9.225457695318201E-2</v>
      </c>
      <c r="O247" s="258">
        <f t="shared" ca="1" si="32"/>
        <v>2.3359457968421617</v>
      </c>
      <c r="P247" s="258">
        <f t="shared" ca="1" si="33"/>
        <v>0.55153290779649811</v>
      </c>
      <c r="Q247" s="258">
        <f t="shared" si="34"/>
        <v>9.225457695318201E-2</v>
      </c>
      <c r="R247" s="258">
        <f t="shared" ca="1" si="35"/>
        <v>0.64378748474968006</v>
      </c>
    </row>
    <row r="248" spans="3:18" ht="14" x14ac:dyDescent="0.25">
      <c r="C248" s="255" t="s">
        <v>6180</v>
      </c>
      <c r="D248" s="132">
        <v>0.98528337823038814</v>
      </c>
      <c r="E248" s="132">
        <v>1.4716621769611868E-2</v>
      </c>
      <c r="F248" s="132">
        <v>8.7667999999999999</v>
      </c>
      <c r="G248" s="132">
        <v>0.82452948479999988</v>
      </c>
      <c r="H248" s="132">
        <v>9.5913294847999992</v>
      </c>
      <c r="I248" s="401">
        <v>8.5966130775372185E-2</v>
      </c>
      <c r="J248" s="258">
        <f t="shared" ca="1" si="27"/>
        <v>3.6652541670170442</v>
      </c>
      <c r="K248" s="258">
        <f t="shared" si="28"/>
        <v>0.11720553043267205</v>
      </c>
      <c r="L248" s="258">
        <f t="shared" ca="1" si="29"/>
        <v>3.7824596974497164</v>
      </c>
      <c r="M248" s="258">
        <f t="shared" ca="1" si="30"/>
        <v>2.2365932685829812</v>
      </c>
      <c r="N248" s="258">
        <f t="shared" si="31"/>
        <v>0.11714430928611047</v>
      </c>
      <c r="O248" s="258">
        <f t="shared" ca="1" si="32"/>
        <v>2.3537375778690919</v>
      </c>
      <c r="P248" s="258">
        <f t="shared" ca="1" si="33"/>
        <v>0.54978812505255659</v>
      </c>
      <c r="Q248" s="258">
        <f t="shared" si="34"/>
        <v>0.11714430928611047</v>
      </c>
      <c r="R248" s="258">
        <f t="shared" ca="1" si="35"/>
        <v>0.66693243433866711</v>
      </c>
    </row>
    <row r="249" spans="3:18" ht="14" x14ac:dyDescent="0.25">
      <c r="C249" s="255" t="s">
        <v>6181</v>
      </c>
      <c r="D249" s="132">
        <v>0.9827849120991502</v>
      </c>
      <c r="E249" s="132">
        <v>1.721508790084985E-2</v>
      </c>
      <c r="F249" s="132">
        <v>7.3035999999999994</v>
      </c>
      <c r="G249" s="132">
        <v>0.80557478400000004</v>
      </c>
      <c r="H249" s="132">
        <v>8.1091747840000004</v>
      </c>
      <c r="I249" s="401">
        <v>9.9341154366219667E-2</v>
      </c>
      <c r="J249" s="258">
        <f t="shared" ca="1" si="27"/>
        <v>3.6559598730088387</v>
      </c>
      <c r="K249" s="258">
        <f t="shared" si="28"/>
        <v>0.13710371445643232</v>
      </c>
      <c r="L249" s="258">
        <f t="shared" ca="1" si="29"/>
        <v>3.7930635874652712</v>
      </c>
      <c r="M249" s="258">
        <f t="shared" ca="1" si="30"/>
        <v>2.2309217504650709</v>
      </c>
      <c r="N249" s="258">
        <f t="shared" si="31"/>
        <v>0.1370320996907648</v>
      </c>
      <c r="O249" s="258">
        <f t="shared" ca="1" si="32"/>
        <v>2.3679538501558355</v>
      </c>
      <c r="P249" s="258">
        <f t="shared" ca="1" si="33"/>
        <v>0.54839398095132585</v>
      </c>
      <c r="Q249" s="258">
        <f t="shared" si="34"/>
        <v>0.1370320996907648</v>
      </c>
      <c r="R249" s="258">
        <f t="shared" ca="1" si="35"/>
        <v>0.68542608064209065</v>
      </c>
    </row>
    <row r="250" spans="3:18" ht="14" x14ac:dyDescent="0.25">
      <c r="C250" s="255" t="s">
        <v>6182</v>
      </c>
      <c r="D250" s="132">
        <v>0.97905825571230609</v>
      </c>
      <c r="E250" s="132">
        <v>2.0941744287693961E-2</v>
      </c>
      <c r="F250" s="132">
        <v>5.8403999999999998</v>
      </c>
      <c r="G250" s="132">
        <v>0.78662008319999999</v>
      </c>
      <c r="H250" s="132">
        <v>6.6270200831999997</v>
      </c>
      <c r="I250" s="401">
        <v>0.11869891343684649</v>
      </c>
      <c r="J250" s="258">
        <f t="shared" ca="1" si="27"/>
        <v>3.6420967112497791</v>
      </c>
      <c r="K250" s="258">
        <f t="shared" si="28"/>
        <v>0.16678340218628074</v>
      </c>
      <c r="L250" s="258">
        <f t="shared" ca="1" si="29"/>
        <v>3.8088801134360599</v>
      </c>
      <c r="M250" s="258">
        <f t="shared" ca="1" si="30"/>
        <v>2.222462240466935</v>
      </c>
      <c r="N250" s="258">
        <f t="shared" si="31"/>
        <v>0.16669628453004393</v>
      </c>
      <c r="O250" s="258">
        <f t="shared" ca="1" si="32"/>
        <v>2.3891585249969789</v>
      </c>
      <c r="P250" s="258">
        <f t="shared" ca="1" si="33"/>
        <v>0.54631450668746684</v>
      </c>
      <c r="Q250" s="258">
        <f t="shared" si="34"/>
        <v>0.16669628453004393</v>
      </c>
      <c r="R250" s="258">
        <f t="shared" ca="1" si="35"/>
        <v>0.71301079121751076</v>
      </c>
    </row>
    <row r="251" spans="3:18" ht="14" x14ac:dyDescent="0.25">
      <c r="C251" s="255" t="s">
        <v>6183</v>
      </c>
      <c r="D251" s="132">
        <v>0.97757731196480413</v>
      </c>
      <c r="E251" s="132">
        <v>2.2422688035195881E-2</v>
      </c>
      <c r="F251" s="132">
        <v>4.3771999999999993</v>
      </c>
      <c r="G251" s="132">
        <v>0.6321950207999999</v>
      </c>
      <c r="H251" s="132">
        <v>5.0093950207999995</v>
      </c>
      <c r="I251" s="401">
        <v>0.12620187032066768</v>
      </c>
      <c r="J251" s="258">
        <f t="shared" ca="1" si="27"/>
        <v>3.6365876005090714</v>
      </c>
      <c r="K251" s="258">
        <f t="shared" si="28"/>
        <v>0.17857787514238563</v>
      </c>
      <c r="L251" s="258">
        <f t="shared" ca="1" si="29"/>
        <v>3.8151654756514568</v>
      </c>
      <c r="M251" s="258">
        <f t="shared" ca="1" si="30"/>
        <v>2.2191004981601052</v>
      </c>
      <c r="N251" s="258">
        <f t="shared" si="31"/>
        <v>0.17848459676015921</v>
      </c>
      <c r="O251" s="258">
        <f t="shared" ca="1" si="32"/>
        <v>2.3975850949202644</v>
      </c>
      <c r="P251" s="258">
        <f t="shared" ca="1" si="33"/>
        <v>0.54548814007636071</v>
      </c>
      <c r="Q251" s="258">
        <f t="shared" si="34"/>
        <v>0.17848459676015921</v>
      </c>
      <c r="R251" s="258">
        <f t="shared" ca="1" si="35"/>
        <v>0.72397273683651986</v>
      </c>
    </row>
    <row r="252" spans="3:18" ht="14" x14ac:dyDescent="0.25">
      <c r="C252" s="255" t="s">
        <v>6184</v>
      </c>
      <c r="D252" s="132">
        <v>0.97352024922118385</v>
      </c>
      <c r="E252" s="132">
        <v>2.6479750778816195E-2</v>
      </c>
      <c r="F252" s="132">
        <v>3.6456</v>
      </c>
      <c r="G252" s="132">
        <v>0.62439014399999981</v>
      </c>
      <c r="H252" s="132">
        <v>4.2699901439999994</v>
      </c>
      <c r="I252" s="401">
        <v>0.14622753752192266</v>
      </c>
      <c r="J252" s="258">
        <f t="shared" ca="1" si="27"/>
        <v>3.6214953271028043</v>
      </c>
      <c r="K252" s="258">
        <f t="shared" si="28"/>
        <v>0.21088897196261677</v>
      </c>
      <c r="L252" s="258">
        <f t="shared" ca="1" si="29"/>
        <v>3.8323842990654211</v>
      </c>
      <c r="M252" s="258">
        <f t="shared" ca="1" si="30"/>
        <v>2.2098909657320873</v>
      </c>
      <c r="N252" s="258">
        <f t="shared" si="31"/>
        <v>0.21077881619937691</v>
      </c>
      <c r="O252" s="258">
        <f t="shared" ca="1" si="32"/>
        <v>2.4206697819314642</v>
      </c>
      <c r="P252" s="258">
        <f t="shared" ca="1" si="33"/>
        <v>0.54322429906542069</v>
      </c>
      <c r="Q252" s="258">
        <f t="shared" si="34"/>
        <v>0.21077881619937691</v>
      </c>
      <c r="R252" s="258">
        <f t="shared" ca="1" si="35"/>
        <v>0.75400311526479757</v>
      </c>
    </row>
    <row r="253" spans="3:18" ht="14" x14ac:dyDescent="0.25">
      <c r="C253" s="255" t="s">
        <v>6185</v>
      </c>
      <c r="D253" s="132">
        <v>0.98998628868990168</v>
      </c>
      <c r="E253" s="132">
        <v>1.0013711310098357E-2</v>
      </c>
      <c r="F253" s="132">
        <v>12.648</v>
      </c>
      <c r="G253" s="132">
        <v>0.80557478400000004</v>
      </c>
      <c r="H253" s="132">
        <v>13.453574784000001</v>
      </c>
      <c r="I253" s="401">
        <v>5.9878121386596067E-2</v>
      </c>
      <c r="J253" s="258">
        <f t="shared" ca="1" si="27"/>
        <v>3.6827489939264346</v>
      </c>
      <c r="K253" s="258">
        <f t="shared" si="28"/>
        <v>7.9750799067432918E-2</v>
      </c>
      <c r="L253" s="258">
        <f t="shared" ca="1" si="29"/>
        <v>3.7624997929938675</v>
      </c>
      <c r="M253" s="258">
        <f t="shared" ca="1" si="30"/>
        <v>2.247268875326077</v>
      </c>
      <c r="N253" s="258">
        <f t="shared" si="31"/>
        <v>7.9709142028382918E-2</v>
      </c>
      <c r="O253" s="258">
        <f t="shared" ca="1" si="32"/>
        <v>2.3269780173544601</v>
      </c>
      <c r="P253" s="258">
        <f t="shared" ca="1" si="33"/>
        <v>0.55241234908896519</v>
      </c>
      <c r="Q253" s="258">
        <f t="shared" si="34"/>
        <v>7.9709142028382918E-2</v>
      </c>
      <c r="R253" s="258">
        <f t="shared" ca="1" si="35"/>
        <v>0.63212149111734806</v>
      </c>
    </row>
    <row r="254" spans="3:18" ht="14" x14ac:dyDescent="0.25">
      <c r="C254" s="255" t="s">
        <v>6186</v>
      </c>
      <c r="D254" s="132">
        <v>0.98809469405500472</v>
      </c>
      <c r="E254" s="132">
        <v>1.190530594499524E-2</v>
      </c>
      <c r="F254" s="132">
        <v>10.118399999999999</v>
      </c>
      <c r="G254" s="132">
        <v>0.76766538240000004</v>
      </c>
      <c r="H254" s="132">
        <v>10.8860653824</v>
      </c>
      <c r="I254" s="401">
        <v>7.0518167531964285E-2</v>
      </c>
      <c r="J254" s="258">
        <f t="shared" ca="1" si="27"/>
        <v>3.6757122618846179</v>
      </c>
      <c r="K254" s="258">
        <f t="shared" si="28"/>
        <v>9.4815761394893283E-2</v>
      </c>
      <c r="L254" s="258">
        <f t="shared" ca="1" si="29"/>
        <v>3.7705280232795113</v>
      </c>
      <c r="M254" s="258">
        <f t="shared" ca="1" si="30"/>
        <v>2.2429749555048608</v>
      </c>
      <c r="N254" s="258">
        <f t="shared" si="31"/>
        <v>9.4766235322162107E-2</v>
      </c>
      <c r="O254" s="258">
        <f t="shared" ca="1" si="32"/>
        <v>2.3377411908270229</v>
      </c>
      <c r="P254" s="258">
        <f t="shared" ca="1" si="33"/>
        <v>0.55135683928269263</v>
      </c>
      <c r="Q254" s="258">
        <f t="shared" si="34"/>
        <v>9.4766235322162107E-2</v>
      </c>
      <c r="R254" s="258">
        <f t="shared" ca="1" si="35"/>
        <v>0.64612307460485474</v>
      </c>
    </row>
    <row r="255" spans="3:18" ht="14" x14ac:dyDescent="0.25">
      <c r="C255" s="255" t="s">
        <v>6187</v>
      </c>
      <c r="D255" s="132">
        <v>0.98495804899509654</v>
      </c>
      <c r="E255" s="132">
        <v>1.5041951004903449E-2</v>
      </c>
      <c r="F255" s="132">
        <v>7.5888</v>
      </c>
      <c r="G255" s="132">
        <v>0.72975598079999993</v>
      </c>
      <c r="H255" s="132">
        <v>8.3185559807999994</v>
      </c>
      <c r="I255" s="401">
        <v>8.7726281157973166E-2</v>
      </c>
      <c r="J255" s="258">
        <f t="shared" ca="1" si="27"/>
        <v>3.6640439422617592</v>
      </c>
      <c r="K255" s="258">
        <f t="shared" si="28"/>
        <v>0.11979650451521184</v>
      </c>
      <c r="L255" s="258">
        <f t="shared" ca="1" si="29"/>
        <v>3.7838404467769711</v>
      </c>
      <c r="M255" s="258">
        <f t="shared" ca="1" si="30"/>
        <v>2.235854771218869</v>
      </c>
      <c r="N255" s="258">
        <f t="shared" si="31"/>
        <v>0.11973392999903146</v>
      </c>
      <c r="O255" s="258">
        <f t="shared" ca="1" si="32"/>
        <v>2.3555887012179006</v>
      </c>
      <c r="P255" s="258">
        <f t="shared" ca="1" si="33"/>
        <v>0.54960659133926393</v>
      </c>
      <c r="Q255" s="258">
        <f t="shared" si="34"/>
        <v>0.11973392999903146</v>
      </c>
      <c r="R255" s="258">
        <f t="shared" ca="1" si="35"/>
        <v>0.66934052133829536</v>
      </c>
    </row>
    <row r="256" spans="3:18" ht="14" x14ac:dyDescent="0.25">
      <c r="C256" s="255" t="s">
        <v>6188</v>
      </c>
      <c r="D256" s="132">
        <v>0.98246303482831454</v>
      </c>
      <c r="E256" s="132">
        <v>1.7536965171685414E-2</v>
      </c>
      <c r="F256" s="132">
        <v>6.3239999999999998</v>
      </c>
      <c r="G256" s="132">
        <v>0.71080127999999987</v>
      </c>
      <c r="H256" s="132">
        <v>7.0348012799999999</v>
      </c>
      <c r="I256" s="401">
        <v>0.10104070487688316</v>
      </c>
      <c r="J256" s="258">
        <f t="shared" ca="1" si="27"/>
        <v>3.6547624895613304</v>
      </c>
      <c r="K256" s="258">
        <f t="shared" si="28"/>
        <v>0.1396671965417301</v>
      </c>
      <c r="L256" s="258">
        <f t="shared" ca="1" si="29"/>
        <v>3.7944296861030606</v>
      </c>
      <c r="M256" s="258">
        <f t="shared" ca="1" si="30"/>
        <v>2.2301910890602739</v>
      </c>
      <c r="N256" s="258">
        <f t="shared" si="31"/>
        <v>0.13959424276661589</v>
      </c>
      <c r="O256" s="258">
        <f t="shared" ca="1" si="32"/>
        <v>2.3697853318268898</v>
      </c>
      <c r="P256" s="258">
        <f t="shared" ca="1" si="33"/>
        <v>0.54821437343419954</v>
      </c>
      <c r="Q256" s="258">
        <f t="shared" si="34"/>
        <v>0.13959424276661589</v>
      </c>
      <c r="R256" s="258">
        <f t="shared" ca="1" si="35"/>
        <v>0.68780861620081546</v>
      </c>
    </row>
    <row r="257" spans="3:18" ht="14" x14ac:dyDescent="0.25">
      <c r="C257" s="255" t="s">
        <v>6189</v>
      </c>
      <c r="D257" s="132">
        <v>0.9787441244766778</v>
      </c>
      <c r="E257" s="132">
        <v>2.1255875523322247E-2</v>
      </c>
      <c r="F257" s="132">
        <v>5.0591999999999997</v>
      </c>
      <c r="G257" s="132">
        <v>0.69184657919999992</v>
      </c>
      <c r="H257" s="132">
        <v>5.7510465791999996</v>
      </c>
      <c r="I257" s="401">
        <v>0.12029924808855215</v>
      </c>
      <c r="J257" s="258">
        <f t="shared" ca="1" si="27"/>
        <v>3.6409281430532414</v>
      </c>
      <c r="K257" s="258">
        <f t="shared" si="28"/>
        <v>0.1692851936078221</v>
      </c>
      <c r="L257" s="258">
        <f t="shared" ca="1" si="29"/>
        <v>3.8102133366610635</v>
      </c>
      <c r="M257" s="258">
        <f t="shared" ca="1" si="30"/>
        <v>2.2217491625620585</v>
      </c>
      <c r="N257" s="258">
        <f t="shared" si="31"/>
        <v>0.16919676916564508</v>
      </c>
      <c r="O257" s="258">
        <f t="shared" ca="1" si="32"/>
        <v>2.3909459317277033</v>
      </c>
      <c r="P257" s="258">
        <f t="shared" ca="1" si="33"/>
        <v>0.54613922145798621</v>
      </c>
      <c r="Q257" s="258">
        <f t="shared" si="34"/>
        <v>0.16919676916564508</v>
      </c>
      <c r="R257" s="258">
        <f t="shared" ca="1" si="35"/>
        <v>0.71533599062363129</v>
      </c>
    </row>
    <row r="258" spans="3:18" ht="14" x14ac:dyDescent="0.25">
      <c r="C258" s="255" t="s">
        <v>6190</v>
      </c>
      <c r="D258" s="132">
        <v>0.97733240378162489</v>
      </c>
      <c r="E258" s="132">
        <v>2.2667596218375146E-2</v>
      </c>
      <c r="F258" s="132">
        <v>3.7944</v>
      </c>
      <c r="G258" s="132">
        <v>0.55414625279999985</v>
      </c>
      <c r="H258" s="132">
        <v>4.3485462528000003</v>
      </c>
      <c r="I258" s="401">
        <v>0.12743253045616998</v>
      </c>
      <c r="J258" s="258">
        <f t="shared" ca="1" si="27"/>
        <v>3.6356765420676447</v>
      </c>
      <c r="K258" s="258">
        <f t="shared" si="28"/>
        <v>0.18052836309853459</v>
      </c>
      <c r="L258" s="258">
        <f t="shared" ca="1" si="29"/>
        <v>3.8162049051661793</v>
      </c>
      <c r="M258" s="258">
        <f t="shared" ca="1" si="30"/>
        <v>2.2185445565842885</v>
      </c>
      <c r="N258" s="258">
        <f t="shared" si="31"/>
        <v>0.18043406589826616</v>
      </c>
      <c r="O258" s="258">
        <f t="shared" ca="1" si="32"/>
        <v>2.3989786224825549</v>
      </c>
      <c r="P258" s="258">
        <f t="shared" ca="1" si="33"/>
        <v>0.54535148131014677</v>
      </c>
      <c r="Q258" s="258">
        <f t="shared" si="34"/>
        <v>0.18043406589826616</v>
      </c>
      <c r="R258" s="258">
        <f t="shared" ca="1" si="35"/>
        <v>0.72578554720841293</v>
      </c>
    </row>
    <row r="259" spans="3:18" ht="14" x14ac:dyDescent="0.25">
      <c r="C259" s="255" t="s">
        <v>6191</v>
      </c>
      <c r="D259" s="132">
        <v>0.97329284435100838</v>
      </c>
      <c r="E259" s="132">
        <v>2.6707155648991669E-2</v>
      </c>
      <c r="F259" s="132">
        <v>3.1619999999999999</v>
      </c>
      <c r="G259" s="132">
        <v>0.54634137599999988</v>
      </c>
      <c r="H259" s="132">
        <v>3.7083413759999999</v>
      </c>
      <c r="I259" s="401">
        <v>0.14732769197999529</v>
      </c>
      <c r="J259" s="258">
        <f t="shared" ca="1" si="27"/>
        <v>3.6206493809857512</v>
      </c>
      <c r="K259" s="258">
        <f t="shared" si="28"/>
        <v>0.21270006073347347</v>
      </c>
      <c r="L259" s="258">
        <f t="shared" ca="1" si="29"/>
        <v>3.8333494417192249</v>
      </c>
      <c r="M259" s="258">
        <f t="shared" ca="1" si="30"/>
        <v>2.2093747566767892</v>
      </c>
      <c r="N259" s="258">
        <f t="shared" si="31"/>
        <v>0.21258895896597368</v>
      </c>
      <c r="O259" s="258">
        <f t="shared" ca="1" si="32"/>
        <v>2.4219637156427627</v>
      </c>
      <c r="P259" s="258">
        <f t="shared" ca="1" si="33"/>
        <v>0.5430974071478627</v>
      </c>
      <c r="Q259" s="258">
        <f t="shared" si="34"/>
        <v>0.21258895896597368</v>
      </c>
      <c r="R259" s="258">
        <f t="shared" ca="1" si="35"/>
        <v>0.75568636611383644</v>
      </c>
    </row>
    <row r="260" spans="3:18" ht="14" x14ac:dyDescent="0.25">
      <c r="C260" s="255" t="s">
        <v>6192</v>
      </c>
      <c r="D260" s="132">
        <v>0.99080550669702716</v>
      </c>
      <c r="E260" s="132">
        <v>9.1944933029728705E-3</v>
      </c>
      <c r="F260" s="132">
        <v>12.164400000000001</v>
      </c>
      <c r="G260" s="132">
        <v>0.71080127999999987</v>
      </c>
      <c r="H260" s="132">
        <v>12.875201280000001</v>
      </c>
      <c r="I260" s="401">
        <v>5.5207003334708245E-2</v>
      </c>
      <c r="J260" s="258">
        <f t="shared" ca="1" si="27"/>
        <v>3.6857964849129412</v>
      </c>
      <c r="K260" s="258">
        <f t="shared" si="28"/>
        <v>7.3226415783804413E-2</v>
      </c>
      <c r="L260" s="258">
        <f t="shared" ca="1" si="29"/>
        <v>3.7590229006967455</v>
      </c>
      <c r="M260" s="258">
        <f t="shared" ca="1" si="30"/>
        <v>2.2491285002022519</v>
      </c>
      <c r="N260" s="258">
        <f t="shared" si="31"/>
        <v>7.3188166691664044E-2</v>
      </c>
      <c r="O260" s="258">
        <f t="shared" ca="1" si="32"/>
        <v>2.3223166668939159</v>
      </c>
      <c r="P260" s="258">
        <f t="shared" ca="1" si="33"/>
        <v>0.5528694727369412</v>
      </c>
      <c r="Q260" s="258">
        <f t="shared" si="34"/>
        <v>7.3188166691664044E-2</v>
      </c>
      <c r="R260" s="258">
        <f t="shared" ca="1" si="35"/>
        <v>0.62605763942860526</v>
      </c>
    </row>
    <row r="261" spans="3:18" ht="14" x14ac:dyDescent="0.25">
      <c r="C261" s="255" t="s">
        <v>6193</v>
      </c>
      <c r="D261" s="132">
        <v>0.98929220364649328</v>
      </c>
      <c r="E261" s="132">
        <v>1.0707796353506747E-2</v>
      </c>
      <c r="F261" s="132">
        <v>9.734</v>
      </c>
      <c r="G261" s="132">
        <v>0.66341452800000011</v>
      </c>
      <c r="H261" s="132">
        <v>10.397414528000001</v>
      </c>
      <c r="I261" s="401">
        <v>6.3805720760044704E-2</v>
      </c>
      <c r="J261" s="258">
        <f t="shared" ca="1" si="27"/>
        <v>3.6801669975649554</v>
      </c>
      <c r="K261" s="258">
        <f t="shared" si="28"/>
        <v>8.5278603406744286E-2</v>
      </c>
      <c r="L261" s="258">
        <f t="shared" ca="1" si="29"/>
        <v>3.7654456009716997</v>
      </c>
      <c r="M261" s="258">
        <f t="shared" ca="1" si="30"/>
        <v>2.2456933022775396</v>
      </c>
      <c r="N261" s="258">
        <f t="shared" si="31"/>
        <v>8.5234058973913701E-2</v>
      </c>
      <c r="O261" s="258">
        <f t="shared" ca="1" si="32"/>
        <v>2.3309273612514532</v>
      </c>
      <c r="P261" s="258">
        <f t="shared" ca="1" si="33"/>
        <v>0.5520250496347433</v>
      </c>
      <c r="Q261" s="258">
        <f t="shared" si="34"/>
        <v>8.5234058973913701E-2</v>
      </c>
      <c r="R261" s="258">
        <f t="shared" ca="1" si="35"/>
        <v>0.63725910860865698</v>
      </c>
    </row>
    <row r="262" spans="3:18" ht="14" x14ac:dyDescent="0.25">
      <c r="C262" s="255" t="s">
        <v>6194</v>
      </c>
      <c r="D262" s="132">
        <v>0.98740418170073385</v>
      </c>
      <c r="E262" s="132">
        <v>1.2595818299266107E-2</v>
      </c>
      <c r="F262" s="132">
        <v>7.7872000000000003</v>
      </c>
      <c r="G262" s="132">
        <v>0.6255051264</v>
      </c>
      <c r="H262" s="132">
        <v>8.4127051264000006</v>
      </c>
      <c r="I262" s="401">
        <v>7.4352436820481871E-2</v>
      </c>
      <c r="J262" s="258">
        <f t="shared" ca="1" si="27"/>
        <v>3.67314355592673</v>
      </c>
      <c r="K262" s="258">
        <f t="shared" si="28"/>
        <v>0.10031511226628315</v>
      </c>
      <c r="L262" s="258">
        <f t="shared" ca="1" si="29"/>
        <v>3.7734586681930131</v>
      </c>
      <c r="M262" s="258">
        <f t="shared" ca="1" si="30"/>
        <v>2.2414074924606657</v>
      </c>
      <c r="N262" s="258">
        <f t="shared" si="31"/>
        <v>0.10026271366215821</v>
      </c>
      <c r="O262" s="258">
        <f t="shared" ca="1" si="32"/>
        <v>2.3416702061228238</v>
      </c>
      <c r="P262" s="258">
        <f t="shared" ca="1" si="33"/>
        <v>0.5509715333890095</v>
      </c>
      <c r="Q262" s="258">
        <f t="shared" si="34"/>
        <v>0.10026271366215821</v>
      </c>
      <c r="R262" s="258">
        <f t="shared" ca="1" si="35"/>
        <v>0.65123424705116773</v>
      </c>
    </row>
    <row r="263" spans="3:18" ht="14" x14ac:dyDescent="0.25">
      <c r="C263" s="255" t="s">
        <v>6195</v>
      </c>
      <c r="D263" s="132">
        <v>0.98427344194529542</v>
      </c>
      <c r="E263" s="132">
        <v>1.5726558054704538E-2</v>
      </c>
      <c r="F263" s="132">
        <v>5.8403999999999998</v>
      </c>
      <c r="G263" s="132">
        <v>0.5875957248</v>
      </c>
      <c r="H263" s="132">
        <v>6.4279957247999997</v>
      </c>
      <c r="I263" s="401">
        <v>9.141196571319786E-2</v>
      </c>
      <c r="J263" s="258">
        <f t="shared" ca="1" si="27"/>
        <v>3.661497204036499</v>
      </c>
      <c r="K263" s="258">
        <f t="shared" si="28"/>
        <v>0.12524882459695569</v>
      </c>
      <c r="L263" s="258">
        <f t="shared" ca="1" si="29"/>
        <v>3.7867460286334547</v>
      </c>
      <c r="M263" s="258">
        <f t="shared" ca="1" si="30"/>
        <v>2.2343007132158208</v>
      </c>
      <c r="N263" s="258">
        <f t="shared" si="31"/>
        <v>0.12518340211544812</v>
      </c>
      <c r="O263" s="258">
        <f t="shared" ca="1" si="32"/>
        <v>2.3594841153312691</v>
      </c>
      <c r="P263" s="258">
        <f t="shared" ca="1" si="33"/>
        <v>0.54922458060547485</v>
      </c>
      <c r="Q263" s="258">
        <f t="shared" si="34"/>
        <v>0.12518340211544812</v>
      </c>
      <c r="R263" s="258">
        <f t="shared" ca="1" si="35"/>
        <v>0.67440798272092295</v>
      </c>
    </row>
    <row r="264" spans="3:18" ht="14" x14ac:dyDescent="0.25">
      <c r="C264" s="255" t="s">
        <v>6196</v>
      </c>
      <c r="D264" s="132">
        <v>0.98180586325467889</v>
      </c>
      <c r="E264" s="132">
        <v>1.8194136745321055E-2</v>
      </c>
      <c r="F264" s="132">
        <v>4.8731999999999998</v>
      </c>
      <c r="G264" s="132">
        <v>0.56864102399999994</v>
      </c>
      <c r="H264" s="132">
        <v>5.4418410239999995</v>
      </c>
      <c r="I264" s="401">
        <v>0.10449423669161563</v>
      </c>
      <c r="J264" s="258">
        <f t="shared" ca="1" si="27"/>
        <v>3.6523178113074057</v>
      </c>
      <c r="K264" s="258">
        <f t="shared" si="28"/>
        <v>0.14490101610161613</v>
      </c>
      <c r="L264" s="258">
        <f t="shared" ca="1" si="29"/>
        <v>3.7972188274090217</v>
      </c>
      <c r="M264" s="258">
        <f t="shared" ca="1" si="30"/>
        <v>2.2286993095881211</v>
      </c>
      <c r="N264" s="258">
        <f t="shared" si="31"/>
        <v>0.14482532849275559</v>
      </c>
      <c r="O264" s="258">
        <f t="shared" ca="1" si="32"/>
        <v>2.3735246380808768</v>
      </c>
      <c r="P264" s="258">
        <f t="shared" ca="1" si="33"/>
        <v>0.54784767169611082</v>
      </c>
      <c r="Q264" s="258">
        <f t="shared" si="34"/>
        <v>0.14482532849275559</v>
      </c>
      <c r="R264" s="258">
        <f t="shared" ca="1" si="35"/>
        <v>0.69267300018886635</v>
      </c>
    </row>
    <row r="265" spans="3:18" ht="14" x14ac:dyDescent="0.25">
      <c r="C265" s="255" t="s">
        <v>6197</v>
      </c>
      <c r="D265" s="132">
        <v>0.97807114651493321</v>
      </c>
      <c r="E265" s="132">
        <v>2.1928853485066846E-2</v>
      </c>
      <c r="F265" s="132">
        <v>3.8936000000000002</v>
      </c>
      <c r="G265" s="132">
        <v>0.54968632319999999</v>
      </c>
      <c r="H265" s="132">
        <v>4.4432863232000006</v>
      </c>
      <c r="I265" s="401">
        <v>0.12371165916765017</v>
      </c>
      <c r="J265" s="258">
        <f t="shared" ca="1" si="27"/>
        <v>3.6384246650355516</v>
      </c>
      <c r="K265" s="258">
        <f t="shared" si="28"/>
        <v>0.17464489777162998</v>
      </c>
      <c r="L265" s="258">
        <f t="shared" ca="1" si="29"/>
        <v>3.8130695628071818</v>
      </c>
      <c r="M265" s="258">
        <f t="shared" ca="1" si="30"/>
        <v>2.2202215025888985</v>
      </c>
      <c r="N265" s="258">
        <f t="shared" si="31"/>
        <v>0.17455367374113209</v>
      </c>
      <c r="O265" s="258">
        <f t="shared" ca="1" si="32"/>
        <v>2.3947751763300307</v>
      </c>
      <c r="P265" s="258">
        <f t="shared" ca="1" si="33"/>
        <v>0.54576369975533279</v>
      </c>
      <c r="Q265" s="258">
        <f t="shared" si="34"/>
        <v>0.17455367374113209</v>
      </c>
      <c r="R265" s="258">
        <f t="shared" ca="1" si="35"/>
        <v>0.72031737349646485</v>
      </c>
    </row>
    <row r="266" spans="3:18" ht="14" x14ac:dyDescent="0.25">
      <c r="C266" s="255" t="s">
        <v>6198</v>
      </c>
      <c r="D266" s="132">
        <v>0.9768302487572732</v>
      </c>
      <c r="E266" s="132">
        <v>2.3169751242726754E-2</v>
      </c>
      <c r="F266" s="132">
        <v>2.9263999999999997</v>
      </c>
      <c r="G266" s="132">
        <v>0.43707310079999995</v>
      </c>
      <c r="H266" s="132">
        <v>3.3634731007999994</v>
      </c>
      <c r="I266" s="401">
        <v>0.12994695890270164</v>
      </c>
      <c r="J266" s="258">
        <f t="shared" ca="1" si="27"/>
        <v>3.6338085253770567</v>
      </c>
      <c r="K266" s="258">
        <f t="shared" si="28"/>
        <v>0.1845276060572747</v>
      </c>
      <c r="L266" s="258">
        <f t="shared" ca="1" si="29"/>
        <v>3.8183361314343314</v>
      </c>
      <c r="M266" s="258">
        <f t="shared" ca="1" si="30"/>
        <v>2.2174046646790102</v>
      </c>
      <c r="N266" s="258">
        <f t="shared" si="31"/>
        <v>0.18443121989210495</v>
      </c>
      <c r="O266" s="258">
        <f t="shared" ca="1" si="32"/>
        <v>2.4018358845711152</v>
      </c>
      <c r="P266" s="258">
        <f t="shared" ca="1" si="33"/>
        <v>0.54507127880655848</v>
      </c>
      <c r="Q266" s="258">
        <f t="shared" si="34"/>
        <v>0.18443121989210495</v>
      </c>
      <c r="R266" s="258">
        <f t="shared" ca="1" si="35"/>
        <v>0.72950249869866346</v>
      </c>
    </row>
    <row r="267" spans="3:18" ht="14" x14ac:dyDescent="0.25">
      <c r="C267" s="255" t="s">
        <v>6199</v>
      </c>
      <c r="D267" s="132">
        <v>0.97271533485725403</v>
      </c>
      <c r="E267" s="132">
        <v>2.7284665142745971E-2</v>
      </c>
      <c r="F267" s="132">
        <v>2.4304000000000001</v>
      </c>
      <c r="G267" s="132">
        <v>0.42926822399999992</v>
      </c>
      <c r="H267" s="132">
        <v>2.859668224</v>
      </c>
      <c r="I267" s="401">
        <v>0.15011119835417661</v>
      </c>
      <c r="J267" s="258">
        <f t="shared" ca="1" si="27"/>
        <v>3.6185010456689852</v>
      </c>
      <c r="K267" s="258">
        <f t="shared" si="28"/>
        <v>0.21729943874325175</v>
      </c>
      <c r="L267" s="258">
        <f t="shared" ca="1" si="29"/>
        <v>3.8358004844122369</v>
      </c>
      <c r="M267" s="258">
        <f t="shared" ca="1" si="30"/>
        <v>2.2080638101259669</v>
      </c>
      <c r="N267" s="258">
        <f t="shared" si="31"/>
        <v>0.21718593453625792</v>
      </c>
      <c r="O267" s="258">
        <f t="shared" ca="1" si="32"/>
        <v>2.4252497446622248</v>
      </c>
      <c r="P267" s="258">
        <f t="shared" ca="1" si="33"/>
        <v>0.54277515685034783</v>
      </c>
      <c r="Q267" s="258">
        <f t="shared" si="34"/>
        <v>0.21718593453625792</v>
      </c>
      <c r="R267" s="258">
        <f t="shared" ca="1" si="35"/>
        <v>0.75996109138660572</v>
      </c>
    </row>
    <row r="268" spans="3:18" ht="14" x14ac:dyDescent="0.25">
      <c r="C268" s="255" t="s">
        <v>6200</v>
      </c>
      <c r="D268" s="132">
        <v>0.98853612910659627</v>
      </c>
      <c r="E268" s="132">
        <v>1.1463870893403691E-2</v>
      </c>
      <c r="F268" s="132">
        <v>7.7872000000000003</v>
      </c>
      <c r="G268" s="132">
        <v>0.56864102399999994</v>
      </c>
      <c r="H268" s="132">
        <v>8.3558410240000001</v>
      </c>
      <c r="I268" s="401">
        <v>6.8053116660157259E-2</v>
      </c>
      <c r="J268" s="258">
        <f t="shared" ca="1" si="27"/>
        <v>3.6773544002765384</v>
      </c>
      <c r="K268" s="258">
        <f t="shared" si="28"/>
        <v>9.130010201440994E-2</v>
      </c>
      <c r="L268" s="258">
        <f t="shared" ca="1" si="29"/>
        <v>3.7686545022909481</v>
      </c>
      <c r="M268" s="258">
        <f t="shared" ca="1" si="30"/>
        <v>2.2439770130719734</v>
      </c>
      <c r="N268" s="258">
        <f t="shared" si="31"/>
        <v>9.1252412311493378E-2</v>
      </c>
      <c r="O268" s="258">
        <f t="shared" ca="1" si="32"/>
        <v>2.3352294253834667</v>
      </c>
      <c r="P268" s="258">
        <f t="shared" ca="1" si="33"/>
        <v>0.5516031600414808</v>
      </c>
      <c r="Q268" s="258">
        <f t="shared" si="34"/>
        <v>9.1252412311493378E-2</v>
      </c>
      <c r="R268" s="258">
        <f t="shared" ca="1" si="35"/>
        <v>0.64285557235297419</v>
      </c>
    </row>
    <row r="269" spans="3:18" ht="14" x14ac:dyDescent="0.25">
      <c r="C269" s="255" t="s">
        <v>6201</v>
      </c>
      <c r="D269" s="132">
        <v>0.98664049461899639</v>
      </c>
      <c r="E269" s="132">
        <v>1.3359505381003608E-2</v>
      </c>
      <c r="F269" s="132">
        <v>6.2247999999999992</v>
      </c>
      <c r="G269" s="132">
        <v>0.53073162239999983</v>
      </c>
      <c r="H269" s="132">
        <v>6.7555316223999995</v>
      </c>
      <c r="I269" s="401">
        <v>7.8562525063194041E-2</v>
      </c>
      <c r="J269" s="258">
        <f t="shared" ca="1" si="27"/>
        <v>3.6703026399826668</v>
      </c>
      <c r="K269" s="258">
        <f t="shared" si="28"/>
        <v>0.10639723837517369</v>
      </c>
      <c r="L269" s="258">
        <f t="shared" ca="1" si="29"/>
        <v>3.7766998783578405</v>
      </c>
      <c r="M269" s="258">
        <f t="shared" ca="1" si="30"/>
        <v>2.2396739227851219</v>
      </c>
      <c r="N269" s="258">
        <f t="shared" si="31"/>
        <v>0.10634166283278872</v>
      </c>
      <c r="O269" s="258">
        <f t="shared" ca="1" si="32"/>
        <v>2.3460155856179106</v>
      </c>
      <c r="P269" s="258">
        <f t="shared" ca="1" si="33"/>
        <v>0.55054539599740004</v>
      </c>
      <c r="Q269" s="258">
        <f t="shared" si="34"/>
        <v>0.10634166283278872</v>
      </c>
      <c r="R269" s="258">
        <f t="shared" ca="1" si="35"/>
        <v>0.65688705883018872</v>
      </c>
    </row>
    <row r="270" spans="3:18" ht="14" x14ac:dyDescent="0.25">
      <c r="C270" s="255" t="s">
        <v>6202</v>
      </c>
      <c r="D270" s="132">
        <v>0.98353361243077964</v>
      </c>
      <c r="E270" s="132">
        <v>1.6466387569220416E-2</v>
      </c>
      <c r="F270" s="132">
        <v>4.6748000000000003</v>
      </c>
      <c r="G270" s="132">
        <v>0.49282222079999993</v>
      </c>
      <c r="H270" s="132">
        <v>5.1676222208000002</v>
      </c>
      <c r="I270" s="401">
        <v>9.5367308162806461E-2</v>
      </c>
      <c r="J270" s="258">
        <f t="shared" ca="1" si="27"/>
        <v>3.6587450382425004</v>
      </c>
      <c r="K270" s="258">
        <f t="shared" si="28"/>
        <v>0.13114094522328246</v>
      </c>
      <c r="L270" s="258">
        <f t="shared" ca="1" si="29"/>
        <v>3.789885983465783</v>
      </c>
      <c r="M270" s="258">
        <f t="shared" ca="1" si="30"/>
        <v>2.2326213002178696</v>
      </c>
      <c r="N270" s="258">
        <f t="shared" si="31"/>
        <v>0.13107244505099452</v>
      </c>
      <c r="O270" s="258">
        <f t="shared" ca="1" si="32"/>
        <v>2.363693745268864</v>
      </c>
      <c r="P270" s="258">
        <f t="shared" ca="1" si="33"/>
        <v>0.54881175573637508</v>
      </c>
      <c r="Q270" s="258">
        <f t="shared" si="34"/>
        <v>0.13107244505099452</v>
      </c>
      <c r="R270" s="258">
        <f t="shared" ca="1" si="35"/>
        <v>0.67988420078736955</v>
      </c>
    </row>
    <row r="271" spans="3:18" ht="14" x14ac:dyDescent="0.25">
      <c r="C271" s="255" t="s">
        <v>6203</v>
      </c>
      <c r="D271" s="132">
        <v>0.98103846358129032</v>
      </c>
      <c r="E271" s="132">
        <v>1.8961536418709714E-2</v>
      </c>
      <c r="F271" s="132">
        <v>3.8936000000000002</v>
      </c>
      <c r="G271" s="132">
        <v>0.47386751999999999</v>
      </c>
      <c r="H271" s="132">
        <v>4.3674675199999999</v>
      </c>
      <c r="I271" s="401">
        <v>0.10849938043729286</v>
      </c>
      <c r="J271" s="258">
        <f t="shared" ca="1" si="27"/>
        <v>3.6494630845224001</v>
      </c>
      <c r="K271" s="258">
        <f t="shared" si="28"/>
        <v>0.15101270988443113</v>
      </c>
      <c r="L271" s="258">
        <f t="shared" ca="1" si="29"/>
        <v>3.800475794406831</v>
      </c>
      <c r="M271" s="258">
        <f t="shared" ca="1" si="30"/>
        <v>2.226957312329529</v>
      </c>
      <c r="N271" s="258">
        <f t="shared" si="31"/>
        <v>0.15093382989292933</v>
      </c>
      <c r="O271" s="258">
        <f t="shared" ca="1" si="32"/>
        <v>2.3778911422224582</v>
      </c>
      <c r="P271" s="258">
        <f t="shared" ca="1" si="33"/>
        <v>0.54741946267836006</v>
      </c>
      <c r="Q271" s="258">
        <f t="shared" si="34"/>
        <v>0.15093382989292933</v>
      </c>
      <c r="R271" s="258">
        <f t="shared" ca="1" si="35"/>
        <v>0.69835329257128942</v>
      </c>
    </row>
    <row r="272" spans="3:18" ht="14" x14ac:dyDescent="0.25">
      <c r="C272" s="255" t="s">
        <v>6204</v>
      </c>
      <c r="D272" s="132">
        <v>0.97731446755596307</v>
      </c>
      <c r="E272" s="132">
        <v>2.2685532444036875E-2</v>
      </c>
      <c r="F272" s="132">
        <v>3.1123999999999996</v>
      </c>
      <c r="G272" s="132">
        <v>0.45491281919999998</v>
      </c>
      <c r="H272" s="132">
        <v>3.5673128191999997</v>
      </c>
      <c r="I272" s="401">
        <v>0.12752254771478608</v>
      </c>
      <c r="J272" s="258">
        <f t="shared" ca="1" si="27"/>
        <v>3.6356098193081827</v>
      </c>
      <c r="K272" s="258">
        <f t="shared" si="28"/>
        <v>0.18067121006950071</v>
      </c>
      <c r="L272" s="258">
        <f t="shared" ca="1" si="29"/>
        <v>3.8162810293776834</v>
      </c>
      <c r="M272" s="258">
        <f t="shared" ca="1" si="30"/>
        <v>2.2185038413520362</v>
      </c>
      <c r="N272" s="258">
        <f t="shared" si="31"/>
        <v>0.18057683825453352</v>
      </c>
      <c r="O272" s="258">
        <f t="shared" ca="1" si="32"/>
        <v>2.3990806796065698</v>
      </c>
      <c r="P272" s="258">
        <f t="shared" ca="1" si="33"/>
        <v>0.54534147289622747</v>
      </c>
      <c r="Q272" s="258">
        <f t="shared" si="34"/>
        <v>0.18057683825453352</v>
      </c>
      <c r="R272" s="258">
        <f t="shared" ca="1" si="35"/>
        <v>0.725918311150761</v>
      </c>
    </row>
    <row r="273" spans="3:18" ht="14" x14ac:dyDescent="0.25">
      <c r="C273" s="255" t="s">
        <v>6205</v>
      </c>
      <c r="D273" s="132">
        <v>0.97612562861452057</v>
      </c>
      <c r="E273" s="132">
        <v>2.3874371385479484E-2</v>
      </c>
      <c r="F273" s="132">
        <v>2.3311999999999999</v>
      </c>
      <c r="G273" s="132">
        <v>0.3590243327999999</v>
      </c>
      <c r="H273" s="132">
        <v>2.6902243327999997</v>
      </c>
      <c r="I273" s="401">
        <v>0.13345516521528356</v>
      </c>
      <c r="J273" s="258">
        <f t="shared" ca="1" si="27"/>
        <v>3.6311873384460167</v>
      </c>
      <c r="K273" s="258">
        <f t="shared" si="28"/>
        <v>0.19013931361338027</v>
      </c>
      <c r="L273" s="258">
        <f t="shared" ca="1" si="29"/>
        <v>3.8213266520593971</v>
      </c>
      <c r="M273" s="258">
        <f t="shared" ca="1" si="30"/>
        <v>2.2158051769549618</v>
      </c>
      <c r="N273" s="258">
        <f t="shared" si="31"/>
        <v>0.19003999622841669</v>
      </c>
      <c r="O273" s="258">
        <f t="shared" ca="1" si="32"/>
        <v>2.4058451731833785</v>
      </c>
      <c r="P273" s="258">
        <f t="shared" ca="1" si="33"/>
        <v>0.54467810076690248</v>
      </c>
      <c r="Q273" s="258">
        <f t="shared" si="34"/>
        <v>0.19003999622841669</v>
      </c>
      <c r="R273" s="258">
        <f t="shared" ca="1" si="35"/>
        <v>0.7347180969953192</v>
      </c>
    </row>
    <row r="274" spans="3:18" ht="14" x14ac:dyDescent="0.25">
      <c r="C274" s="255" t="s">
        <v>6206</v>
      </c>
      <c r="D274" s="132">
        <v>0.9721470579857856</v>
      </c>
      <c r="E274" s="132">
        <v>2.7852942014214396E-2</v>
      </c>
      <c r="F274" s="132">
        <v>1.9468000000000001</v>
      </c>
      <c r="G274" s="132">
        <v>0.35121945599999993</v>
      </c>
      <c r="H274" s="132">
        <v>2.298019456</v>
      </c>
      <c r="I274" s="401">
        <v>0.15283571907234536</v>
      </c>
      <c r="J274" s="258">
        <f t="shared" ca="1" si="27"/>
        <v>3.6163870557071225</v>
      </c>
      <c r="K274" s="258">
        <f t="shared" si="28"/>
        <v>0.22182528667192572</v>
      </c>
      <c r="L274" s="258">
        <f t="shared" ca="1" si="29"/>
        <v>3.8382123423790482</v>
      </c>
      <c r="M274" s="258">
        <f t="shared" ca="1" si="30"/>
        <v>2.2067738216277335</v>
      </c>
      <c r="N274" s="258">
        <f t="shared" si="31"/>
        <v>0.22170941843314659</v>
      </c>
      <c r="O274" s="258">
        <f t="shared" ca="1" si="32"/>
        <v>2.42848324006088</v>
      </c>
      <c r="P274" s="258">
        <f t="shared" ca="1" si="33"/>
        <v>0.54245805835606842</v>
      </c>
      <c r="Q274" s="258">
        <f t="shared" si="34"/>
        <v>0.22170941843314659</v>
      </c>
      <c r="R274" s="258">
        <f t="shared" ca="1" si="35"/>
        <v>0.76416747678921504</v>
      </c>
    </row>
    <row r="275" spans="3:18" ht="14" x14ac:dyDescent="0.25">
      <c r="C275" s="255" t="s">
        <v>6207</v>
      </c>
      <c r="D275" s="132">
        <v>0.98256607871131207</v>
      </c>
      <c r="E275" s="132">
        <v>1.7433921288687967E-2</v>
      </c>
      <c r="F275" s="132">
        <v>3.7323999999999997</v>
      </c>
      <c r="G275" s="132">
        <v>0.41700341759999993</v>
      </c>
      <c r="H275" s="132">
        <v>4.1494034175999994</v>
      </c>
      <c r="I275" s="401">
        <v>0.1004971981830567</v>
      </c>
      <c r="J275" s="258">
        <f t="shared" ca="1" si="27"/>
        <v>3.6551458128060812</v>
      </c>
      <c r="K275" s="258">
        <f t="shared" si="28"/>
        <v>0.13884653857051715</v>
      </c>
      <c r="L275" s="258">
        <f t="shared" ca="1" si="29"/>
        <v>3.7939923513765983</v>
      </c>
      <c r="M275" s="258">
        <f t="shared" ca="1" si="30"/>
        <v>2.2304249986746782</v>
      </c>
      <c r="N275" s="258">
        <f t="shared" si="31"/>
        <v>0.13877401345795623</v>
      </c>
      <c r="O275" s="258">
        <f t="shared" ca="1" si="32"/>
        <v>2.3691990121326345</v>
      </c>
      <c r="P275" s="258">
        <f t="shared" ca="1" si="33"/>
        <v>0.5482718719209122</v>
      </c>
      <c r="Q275" s="258">
        <f t="shared" si="34"/>
        <v>0.13877401345795623</v>
      </c>
      <c r="R275" s="258">
        <f t="shared" ca="1" si="35"/>
        <v>0.68704588537886846</v>
      </c>
    </row>
    <row r="276" spans="3:18" ht="14" x14ac:dyDescent="0.25">
      <c r="C276" s="255" t="s">
        <v>6208</v>
      </c>
      <c r="D276" s="132">
        <v>0.98009371101589404</v>
      </c>
      <c r="E276" s="132">
        <v>1.990628898410593E-2</v>
      </c>
      <c r="F276" s="132">
        <v>3.1123999999999996</v>
      </c>
      <c r="G276" s="132">
        <v>0.39804871679999998</v>
      </c>
      <c r="H276" s="132">
        <v>3.5104487167999996</v>
      </c>
      <c r="I276" s="401">
        <v>0.11338969713331891</v>
      </c>
      <c r="J276" s="258">
        <f t="shared" ca="1" si="27"/>
        <v>3.6459486049791261</v>
      </c>
      <c r="K276" s="258">
        <f t="shared" si="28"/>
        <v>0.15853687047565707</v>
      </c>
      <c r="L276" s="258">
        <f t="shared" ca="1" si="29"/>
        <v>3.8044854754547832</v>
      </c>
      <c r="M276" s="258">
        <f t="shared" ca="1" si="30"/>
        <v>2.2248127240060795</v>
      </c>
      <c r="N276" s="258">
        <f t="shared" si="31"/>
        <v>0.15845406031348319</v>
      </c>
      <c r="O276" s="258">
        <f t="shared" ca="1" si="32"/>
        <v>2.383266784319563</v>
      </c>
      <c r="P276" s="258">
        <f t="shared" ca="1" si="33"/>
        <v>0.54689229074686896</v>
      </c>
      <c r="Q276" s="258">
        <f t="shared" si="34"/>
        <v>0.15845406031348319</v>
      </c>
      <c r="R276" s="258">
        <f t="shared" ca="1" si="35"/>
        <v>0.70534635106035215</v>
      </c>
    </row>
    <row r="277" spans="3:18" ht="14" x14ac:dyDescent="0.25">
      <c r="C277" s="255" t="s">
        <v>6209</v>
      </c>
      <c r="D277" s="132">
        <v>0.97641448940808884</v>
      </c>
      <c r="E277" s="132">
        <v>2.3585510591911208E-2</v>
      </c>
      <c r="F277" s="132">
        <v>2.4923999999999995</v>
      </c>
      <c r="G277" s="132">
        <v>0.37909401599999998</v>
      </c>
      <c r="H277" s="132">
        <v>2.8714940159999993</v>
      </c>
      <c r="I277" s="401">
        <v>0.13201978269419457</v>
      </c>
      <c r="J277" s="258">
        <f t="shared" ca="1" si="27"/>
        <v>3.6322619005980905</v>
      </c>
      <c r="K277" s="258">
        <f t="shared" si="28"/>
        <v>0.18783878003567556</v>
      </c>
      <c r="L277" s="258">
        <f t="shared" ca="1" si="29"/>
        <v>3.8201006806337663</v>
      </c>
      <c r="M277" s="258">
        <f t="shared" ca="1" si="30"/>
        <v>2.2164608909563617</v>
      </c>
      <c r="N277" s="258">
        <f t="shared" si="31"/>
        <v>0.18774066431161321</v>
      </c>
      <c r="O277" s="258">
        <f t="shared" ca="1" si="32"/>
        <v>2.4042015552679747</v>
      </c>
      <c r="P277" s="258">
        <f t="shared" ca="1" si="33"/>
        <v>0.54483928508971358</v>
      </c>
      <c r="Q277" s="258">
        <f t="shared" si="34"/>
        <v>0.18774066431161321</v>
      </c>
      <c r="R277" s="258">
        <f t="shared" ca="1" si="35"/>
        <v>0.73257994940132676</v>
      </c>
    </row>
    <row r="278" spans="3:18" ht="14" x14ac:dyDescent="0.25">
      <c r="C278" s="255" t="s">
        <v>6210</v>
      </c>
      <c r="D278" s="132">
        <v>0.97546177456006034</v>
      </c>
      <c r="E278" s="132">
        <v>2.4538225439939713E-2</v>
      </c>
      <c r="F278" s="132">
        <v>1.8724000000000001</v>
      </c>
      <c r="G278" s="132">
        <v>0.29658531839999991</v>
      </c>
      <c r="H278" s="132">
        <v>2.1689853183999999</v>
      </c>
      <c r="I278" s="401">
        <v>0.13673920053031186</v>
      </c>
      <c r="J278" s="258">
        <f t="shared" ca="1" si="27"/>
        <v>3.6287178013634245</v>
      </c>
      <c r="K278" s="258">
        <f t="shared" si="28"/>
        <v>0.19542635351975027</v>
      </c>
      <c r="L278" s="258">
        <f t="shared" ca="1" si="29"/>
        <v>3.8241441548831747</v>
      </c>
      <c r="M278" s="258">
        <f t="shared" ca="1" si="30"/>
        <v>2.2142982282513368</v>
      </c>
      <c r="N278" s="258">
        <f t="shared" si="31"/>
        <v>0.19532427450192011</v>
      </c>
      <c r="O278" s="258">
        <f t="shared" ca="1" si="32"/>
        <v>2.409622502753257</v>
      </c>
      <c r="P278" s="258">
        <f t="shared" ca="1" si="33"/>
        <v>0.54430767020451376</v>
      </c>
      <c r="Q278" s="258">
        <f t="shared" si="34"/>
        <v>0.19532427450192011</v>
      </c>
      <c r="R278" s="258">
        <f t="shared" ca="1" si="35"/>
        <v>0.7396319447064339</v>
      </c>
    </row>
    <row r="279" spans="3:18" ht="14" x14ac:dyDescent="0.25">
      <c r="C279" s="255" t="s">
        <v>6211</v>
      </c>
      <c r="D279" s="132">
        <v>0.97148371469466266</v>
      </c>
      <c r="E279" s="132">
        <v>2.8516285305337324E-2</v>
      </c>
      <c r="F279" s="132">
        <v>1.5624</v>
      </c>
      <c r="G279" s="132">
        <v>0.28878044159999988</v>
      </c>
      <c r="H279" s="132">
        <v>1.8511804415999999</v>
      </c>
      <c r="I279" s="401">
        <v>0.15599799733752756</v>
      </c>
      <c r="J279" s="258">
        <f t="shared" ca="1" si="27"/>
        <v>3.6139194186641452</v>
      </c>
      <c r="K279" s="258">
        <f t="shared" si="28"/>
        <v>0.2271082587773553</v>
      </c>
      <c r="L279" s="258">
        <f t="shared" ca="1" si="29"/>
        <v>3.8410276774415006</v>
      </c>
      <c r="M279" s="258">
        <f t="shared" ca="1" si="30"/>
        <v>2.2052680323568841</v>
      </c>
      <c r="N279" s="258">
        <f t="shared" si="31"/>
        <v>0.22698963103048508</v>
      </c>
      <c r="O279" s="258">
        <f t="shared" ca="1" si="32"/>
        <v>2.4322576633873689</v>
      </c>
      <c r="P279" s="258">
        <f t="shared" ca="1" si="33"/>
        <v>0.54208791279962176</v>
      </c>
      <c r="Q279" s="258">
        <f t="shared" si="34"/>
        <v>0.22698963103048508</v>
      </c>
      <c r="R279" s="258">
        <f t="shared" ca="1" si="35"/>
        <v>0.76907754383010685</v>
      </c>
    </row>
    <row r="280" spans="3:18" ht="14" x14ac:dyDescent="0.25">
      <c r="C280" s="255" t="s">
        <v>6212</v>
      </c>
      <c r="D280" s="132">
        <v>0.98132545966573559</v>
      </c>
      <c r="E280" s="132">
        <v>1.8674540334264397E-2</v>
      </c>
      <c r="F280" s="132">
        <v>2.9263999999999997</v>
      </c>
      <c r="G280" s="132">
        <v>0.35066196479999995</v>
      </c>
      <c r="H280" s="132">
        <v>3.2770619647999997</v>
      </c>
      <c r="I280" s="401">
        <v>0.10700498451557384</v>
      </c>
      <c r="J280" s="258">
        <f t="shared" ca="1" si="27"/>
        <v>3.6505307099565365</v>
      </c>
      <c r="K280" s="258">
        <f t="shared" si="28"/>
        <v>0.14872702714853514</v>
      </c>
      <c r="L280" s="258">
        <f t="shared" ca="1" si="29"/>
        <v>3.7992577371050715</v>
      </c>
      <c r="M280" s="258">
        <f t="shared" ca="1" si="30"/>
        <v>2.2276087934412199</v>
      </c>
      <c r="N280" s="258">
        <f t="shared" si="31"/>
        <v>0.14864934106074459</v>
      </c>
      <c r="O280" s="258">
        <f t="shared" ca="1" si="32"/>
        <v>2.3762581345019647</v>
      </c>
      <c r="P280" s="258">
        <f t="shared" ca="1" si="33"/>
        <v>0.54757960649348048</v>
      </c>
      <c r="Q280" s="258">
        <f t="shared" si="34"/>
        <v>0.14864934106074459</v>
      </c>
      <c r="R280" s="258">
        <f t="shared" ca="1" si="35"/>
        <v>0.69622894755422504</v>
      </c>
    </row>
    <row r="281" spans="3:18" ht="14" x14ac:dyDescent="0.25">
      <c r="C281" s="255" t="s">
        <v>6213</v>
      </c>
      <c r="D281" s="132">
        <v>0.97878483862284971</v>
      </c>
      <c r="E281" s="132">
        <v>2.1215161377150273E-2</v>
      </c>
      <c r="F281" s="132">
        <v>2.4304000000000001</v>
      </c>
      <c r="G281" s="132">
        <v>0.33170726400000006</v>
      </c>
      <c r="H281" s="132">
        <v>2.762107264</v>
      </c>
      <c r="I281" s="401">
        <v>0.12009210081133187</v>
      </c>
      <c r="J281" s="258">
        <f t="shared" ca="1" si="27"/>
        <v>3.6410795996770009</v>
      </c>
      <c r="K281" s="258">
        <f t="shared" si="28"/>
        <v>0.16896093963344511</v>
      </c>
      <c r="L281" s="258">
        <f t="shared" ca="1" si="29"/>
        <v>3.810040539310446</v>
      </c>
      <c r="M281" s="258">
        <f t="shared" ca="1" si="30"/>
        <v>2.2218415836738687</v>
      </c>
      <c r="N281" s="258">
        <f t="shared" si="31"/>
        <v>0.16887268456211618</v>
      </c>
      <c r="O281" s="258">
        <f t="shared" ca="1" si="32"/>
        <v>2.390714268235985</v>
      </c>
      <c r="P281" s="258">
        <f t="shared" ca="1" si="33"/>
        <v>0.54616193995155016</v>
      </c>
      <c r="Q281" s="258">
        <f t="shared" si="34"/>
        <v>0.16887268456211618</v>
      </c>
      <c r="R281" s="258">
        <f t="shared" ca="1" si="35"/>
        <v>0.71503462451366628</v>
      </c>
    </row>
    <row r="282" spans="3:18" ht="14" x14ac:dyDescent="0.25">
      <c r="C282" s="255" t="s">
        <v>6214</v>
      </c>
      <c r="D282" s="132">
        <v>0.97512172562509336</v>
      </c>
      <c r="E282" s="132">
        <v>2.4878274374906601E-2</v>
      </c>
      <c r="F282" s="132">
        <v>1.9468000000000001</v>
      </c>
      <c r="G282" s="132">
        <v>0.3127525632</v>
      </c>
      <c r="H282" s="132">
        <v>2.2595525632000002</v>
      </c>
      <c r="I282" s="401">
        <v>0.13841349313736556</v>
      </c>
      <c r="J282" s="258">
        <f t="shared" ca="1" si="27"/>
        <v>3.6274528193253475</v>
      </c>
      <c r="K282" s="258">
        <f t="shared" si="28"/>
        <v>0.19813455764565616</v>
      </c>
      <c r="L282" s="258">
        <f t="shared" ca="1" si="29"/>
        <v>3.8255873769710038</v>
      </c>
      <c r="M282" s="258">
        <f t="shared" ca="1" si="30"/>
        <v>2.2135263171689621</v>
      </c>
      <c r="N282" s="258">
        <f t="shared" si="31"/>
        <v>0.19803106402425655</v>
      </c>
      <c r="O282" s="258">
        <f t="shared" ca="1" si="32"/>
        <v>2.4115573811932185</v>
      </c>
      <c r="P282" s="258">
        <f t="shared" ca="1" si="33"/>
        <v>0.54411792289880212</v>
      </c>
      <c r="Q282" s="258">
        <f t="shared" si="34"/>
        <v>0.19803106402425655</v>
      </c>
      <c r="R282" s="258">
        <f t="shared" ca="1" si="35"/>
        <v>0.74214898692305864</v>
      </c>
    </row>
    <row r="283" spans="3:18" ht="14" x14ac:dyDescent="0.25">
      <c r="C283" s="255" t="s">
        <v>6215</v>
      </c>
      <c r="D283" s="132">
        <v>0.97441129867886345</v>
      </c>
      <c r="E283" s="132">
        <v>2.5588701321136564E-2</v>
      </c>
      <c r="F283" s="132">
        <v>1.4631999999999998</v>
      </c>
      <c r="G283" s="132">
        <v>0.24195118079999997</v>
      </c>
      <c r="H283" s="132">
        <v>1.7051511807999997</v>
      </c>
      <c r="I283" s="401">
        <v>0.14189426927322923</v>
      </c>
      <c r="J283" s="258">
        <f t="shared" ca="1" si="27"/>
        <v>3.6248100310853721</v>
      </c>
      <c r="K283" s="258">
        <f t="shared" si="28"/>
        <v>0.20379251151374297</v>
      </c>
      <c r="L283" s="258">
        <f t="shared" ca="1" si="29"/>
        <v>3.828602542599115</v>
      </c>
      <c r="M283" s="258">
        <f t="shared" ca="1" si="30"/>
        <v>2.21191364800102</v>
      </c>
      <c r="N283" s="258">
        <f t="shared" si="31"/>
        <v>0.20368606251624705</v>
      </c>
      <c r="O283" s="258">
        <f t="shared" ca="1" si="32"/>
        <v>2.4155997105172671</v>
      </c>
      <c r="P283" s="258">
        <f t="shared" ca="1" si="33"/>
        <v>0.54372150466280589</v>
      </c>
      <c r="Q283" s="258">
        <f t="shared" si="34"/>
        <v>0.20368606251624705</v>
      </c>
      <c r="R283" s="258">
        <f t="shared" ca="1" si="35"/>
        <v>0.74740756717905299</v>
      </c>
    </row>
    <row r="284" spans="3:18" ht="14" x14ac:dyDescent="0.25">
      <c r="C284" s="255" t="s">
        <v>6216</v>
      </c>
      <c r="D284" s="132">
        <v>0.97033792685966602</v>
      </c>
      <c r="E284" s="132">
        <v>2.9662073140334009E-2</v>
      </c>
      <c r="F284" s="132">
        <v>1.21644</v>
      </c>
      <c r="G284" s="132">
        <v>0.23414630399999997</v>
      </c>
      <c r="H284" s="132">
        <v>1.450586304</v>
      </c>
      <c r="I284" s="401">
        <v>0.16141494191303213</v>
      </c>
      <c r="J284" s="258">
        <f t="shared" ca="1" si="27"/>
        <v>3.6096570879179577</v>
      </c>
      <c r="K284" s="258">
        <f t="shared" si="28"/>
        <v>0.23623349642132249</v>
      </c>
      <c r="L284" s="258">
        <f t="shared" ca="1" si="29"/>
        <v>3.8458905843392803</v>
      </c>
      <c r="M284" s="258">
        <f t="shared" ca="1" si="30"/>
        <v>2.2026670939714417</v>
      </c>
      <c r="N284" s="258">
        <f t="shared" si="31"/>
        <v>0.23611010219705872</v>
      </c>
      <c r="O284" s="258">
        <f t="shared" ca="1" si="32"/>
        <v>2.4387771961685005</v>
      </c>
      <c r="P284" s="258">
        <f t="shared" ca="1" si="33"/>
        <v>0.54144856318769374</v>
      </c>
      <c r="Q284" s="258">
        <f t="shared" si="34"/>
        <v>0.23611010219705872</v>
      </c>
      <c r="R284" s="258">
        <f t="shared" ca="1" si="35"/>
        <v>0.77755866538475249</v>
      </c>
    </row>
    <row r="285" spans="3:18" ht="14" x14ac:dyDescent="0.25">
      <c r="C285" s="255" t="s">
        <v>6217</v>
      </c>
      <c r="D285" s="132">
        <v>0.9773321198644932</v>
      </c>
      <c r="E285" s="132">
        <v>2.2667880135506784E-2</v>
      </c>
      <c r="F285" s="132">
        <v>1.9468000000000001</v>
      </c>
      <c r="G285" s="132">
        <v>0.28432051199999997</v>
      </c>
      <c r="H285" s="132">
        <v>2.2311205119999999</v>
      </c>
      <c r="I285" s="401">
        <v>0.12743395548146885</v>
      </c>
      <c r="J285" s="258">
        <f t="shared" ca="1" si="27"/>
        <v>3.635675485895915</v>
      </c>
      <c r="K285" s="258">
        <f t="shared" si="28"/>
        <v>0.18053062425999769</v>
      </c>
      <c r="L285" s="258">
        <f t="shared" ca="1" si="29"/>
        <v>3.8162061101559126</v>
      </c>
      <c r="M285" s="258">
        <f t="shared" ca="1" si="30"/>
        <v>2.2185439120923998</v>
      </c>
      <c r="N285" s="258">
        <f t="shared" si="31"/>
        <v>0.18043632587863401</v>
      </c>
      <c r="O285" s="258">
        <f t="shared" ca="1" si="32"/>
        <v>2.3989802379710339</v>
      </c>
      <c r="P285" s="258">
        <f t="shared" ca="1" si="33"/>
        <v>0.54535132288438726</v>
      </c>
      <c r="Q285" s="258">
        <f t="shared" si="34"/>
        <v>0.18043632587863401</v>
      </c>
      <c r="R285" s="258">
        <f t="shared" ca="1" si="35"/>
        <v>0.72578764876302126</v>
      </c>
    </row>
    <row r="286" spans="3:18" ht="14" x14ac:dyDescent="0.3">
      <c r="C286" s="255" t="s">
        <v>6218</v>
      </c>
      <c r="D286" s="259">
        <v>0.98299743737483058</v>
      </c>
      <c r="E286" s="399">
        <v>1.7002562625169363E-2</v>
      </c>
      <c r="F286" s="400">
        <v>2.48</v>
      </c>
      <c r="G286" s="400">
        <v>0.27010448640000001</v>
      </c>
      <c r="H286" s="257">
        <v>2.7501044864000002</v>
      </c>
      <c r="I286" s="398">
        <v>9.8216081510989386E-2</v>
      </c>
      <c r="J286" s="258">
        <f t="shared" ca="1" si="27"/>
        <v>3.65675046703437</v>
      </c>
      <c r="K286" s="258">
        <f t="shared" si="28"/>
        <v>0.13541112915686884</v>
      </c>
      <c r="L286" s="258">
        <f t="shared" ca="1" si="29"/>
        <v>3.7921615961912387</v>
      </c>
      <c r="M286" s="258">
        <f t="shared" ca="1" si="30"/>
        <v>2.2314041828408655</v>
      </c>
      <c r="N286" s="258">
        <f t="shared" si="31"/>
        <v>0.13534039849634813</v>
      </c>
      <c r="O286" s="258">
        <f t="shared" ca="1" si="32"/>
        <v>2.3667445813372137</v>
      </c>
      <c r="P286" s="258">
        <f t="shared" ca="1" si="33"/>
        <v>0.54851257005515552</v>
      </c>
      <c r="Q286" s="258">
        <f t="shared" si="34"/>
        <v>0.13534039849634813</v>
      </c>
      <c r="R286" s="258">
        <f t="shared" ca="1" si="35"/>
        <v>0.68385296855150368</v>
      </c>
    </row>
    <row r="287" spans="3:18" ht="14" x14ac:dyDescent="0.3">
      <c r="C287" s="255" t="s">
        <v>6219</v>
      </c>
      <c r="D287" s="259">
        <v>0.98225013308661568</v>
      </c>
      <c r="E287" s="399">
        <v>1.7749866913384354E-2</v>
      </c>
      <c r="F287" s="400">
        <v>2.2071999999999998</v>
      </c>
      <c r="G287" s="400">
        <v>0.25114978560000001</v>
      </c>
      <c r="H287" s="257">
        <v>2.4583497855999998</v>
      </c>
      <c r="I287" s="398">
        <v>0.10216194093742557</v>
      </c>
      <c r="J287" s="258">
        <f t="shared" ca="1" si="27"/>
        <v>3.6539704950822105</v>
      </c>
      <c r="K287" s="258">
        <f t="shared" si="28"/>
        <v>0.14136278007689912</v>
      </c>
      <c r="L287" s="258">
        <f t="shared" ca="1" si="29"/>
        <v>3.7953332751591096</v>
      </c>
      <c r="M287" s="258">
        <f t="shared" ca="1" si="30"/>
        <v>2.2297078021066175</v>
      </c>
      <c r="N287" s="258">
        <f t="shared" si="31"/>
        <v>0.14128894063053946</v>
      </c>
      <c r="O287" s="258">
        <f t="shared" ca="1" si="32"/>
        <v>2.370996742737157</v>
      </c>
      <c r="P287" s="258">
        <f t="shared" ca="1" si="33"/>
        <v>0.54809557426233158</v>
      </c>
      <c r="Q287" s="258">
        <f t="shared" si="34"/>
        <v>0.14128894063053946</v>
      </c>
      <c r="R287" s="258">
        <f t="shared" ca="1" si="35"/>
        <v>0.689384514892871</v>
      </c>
    </row>
    <row r="288" spans="3:18" ht="14" x14ac:dyDescent="0.3">
      <c r="C288" s="255" t="s">
        <v>6220</v>
      </c>
      <c r="D288" s="259">
        <v>0.98115621186764324</v>
      </c>
      <c r="E288" s="399">
        <v>1.884378813235673E-2</v>
      </c>
      <c r="F288" s="400">
        <v>1.9592000000000001</v>
      </c>
      <c r="G288" s="400">
        <v>0.23693375999999999</v>
      </c>
      <c r="H288" s="257">
        <v>2.1961337599999999</v>
      </c>
      <c r="I288" s="398">
        <v>0.10788676187009666</v>
      </c>
      <c r="J288" s="258">
        <f t="shared" ca="1" si="27"/>
        <v>3.6499011081476329</v>
      </c>
      <c r="K288" s="258">
        <f t="shared" si="28"/>
        <v>0.15007494369219015</v>
      </c>
      <c r="L288" s="258">
        <f t="shared" ca="1" si="29"/>
        <v>3.7999760518398231</v>
      </c>
      <c r="M288" s="258">
        <f t="shared" ca="1" si="30"/>
        <v>2.2272246009395502</v>
      </c>
      <c r="N288" s="258">
        <f t="shared" si="31"/>
        <v>0.14999655353355956</v>
      </c>
      <c r="O288" s="258">
        <f t="shared" ca="1" si="32"/>
        <v>2.3772211544731099</v>
      </c>
      <c r="P288" s="258">
        <f t="shared" ca="1" si="33"/>
        <v>0.54748516622214494</v>
      </c>
      <c r="Q288" s="258">
        <f t="shared" si="34"/>
        <v>0.14999655353355956</v>
      </c>
      <c r="R288" s="258">
        <f t="shared" ca="1" si="35"/>
        <v>0.6974817197557045</v>
      </c>
    </row>
    <row r="289" spans="3:18" ht="14" x14ac:dyDescent="0.3">
      <c r="C289" s="255" t="s">
        <v>6221</v>
      </c>
      <c r="D289" s="259">
        <v>0.97989156759598695</v>
      </c>
      <c r="E289" s="399">
        <v>2.0108432404013103E-2</v>
      </c>
      <c r="F289" s="400">
        <v>1.7235999999999998</v>
      </c>
      <c r="G289" s="400">
        <v>0.22271773439999998</v>
      </c>
      <c r="H289" s="257">
        <v>1.9463177343999998</v>
      </c>
      <c r="I289" s="398">
        <v>0.11443030624630166</v>
      </c>
      <c r="J289" s="258">
        <f t="shared" ca="1" si="27"/>
        <v>3.6451966314570718</v>
      </c>
      <c r="K289" s="258">
        <f t="shared" si="28"/>
        <v>0.160146773014745</v>
      </c>
      <c r="L289" s="258">
        <f t="shared" ca="1" si="29"/>
        <v>3.8053434044718166</v>
      </c>
      <c r="M289" s="258">
        <f t="shared" ca="1" si="30"/>
        <v>2.2243538584428904</v>
      </c>
      <c r="N289" s="258">
        <f t="shared" si="31"/>
        <v>0.1600631219359443</v>
      </c>
      <c r="O289" s="258">
        <f t="shared" ca="1" si="32"/>
        <v>2.3844169803788349</v>
      </c>
      <c r="P289" s="258">
        <f t="shared" ca="1" si="33"/>
        <v>0.5467794947185608</v>
      </c>
      <c r="Q289" s="258">
        <f t="shared" si="34"/>
        <v>0.1600631219359443</v>
      </c>
      <c r="R289" s="258">
        <f t="shared" ca="1" si="35"/>
        <v>0.7068426166545051</v>
      </c>
    </row>
    <row r="290" spans="3:18" ht="14" x14ac:dyDescent="0.3">
      <c r="C290" s="255" t="s">
        <v>6222</v>
      </c>
      <c r="D290" s="259">
        <v>0.97840743731966173</v>
      </c>
      <c r="E290" s="399">
        <v>2.1592562680338278E-2</v>
      </c>
      <c r="F290" s="400">
        <v>1.5004</v>
      </c>
      <c r="G290" s="400">
        <v>0.20850170879999996</v>
      </c>
      <c r="H290" s="257">
        <v>1.7089017088</v>
      </c>
      <c r="I290" s="398">
        <v>0.12200918737825535</v>
      </c>
      <c r="J290" s="258">
        <f t="shared" ca="1" si="27"/>
        <v>3.6396756668291417</v>
      </c>
      <c r="K290" s="258">
        <f t="shared" si="28"/>
        <v>0.17196662399624291</v>
      </c>
      <c r="L290" s="258">
        <f t="shared" ca="1" si="29"/>
        <v>3.8116422908253846</v>
      </c>
      <c r="M290" s="258">
        <f t="shared" ca="1" si="30"/>
        <v>2.2209848827156322</v>
      </c>
      <c r="N290" s="258">
        <f t="shared" si="31"/>
        <v>0.17187679893549268</v>
      </c>
      <c r="O290" s="258">
        <f t="shared" ca="1" si="32"/>
        <v>2.3928616816511248</v>
      </c>
      <c r="P290" s="258">
        <f t="shared" ca="1" si="33"/>
        <v>0.54595135002437134</v>
      </c>
      <c r="Q290" s="258">
        <f t="shared" si="34"/>
        <v>0.17187679893549268</v>
      </c>
      <c r="R290" s="258">
        <f t="shared" ca="1" si="35"/>
        <v>0.71782814895986402</v>
      </c>
    </row>
    <row r="291" spans="3:18" ht="14" x14ac:dyDescent="0.3">
      <c r="C291" s="255" t="s">
        <v>6223</v>
      </c>
      <c r="D291" s="259">
        <v>0.97663320539751364</v>
      </c>
      <c r="E291" s="399">
        <v>2.3366794602486338E-2</v>
      </c>
      <c r="F291" s="400">
        <v>1.2896000000000001</v>
      </c>
      <c r="G291" s="400">
        <v>0.1942856832</v>
      </c>
      <c r="H291" s="257">
        <v>1.4838856832</v>
      </c>
      <c r="I291" s="398">
        <v>0.13093035764117816</v>
      </c>
      <c r="J291" s="258">
        <f t="shared" ref="J291:J354" ca="1" si="36">$D291*$J$32</f>
        <v>3.6330755240787509</v>
      </c>
      <c r="K291" s="258">
        <f t="shared" ref="K291:K354" si="37">E291*$K$32</f>
        <v>0.1860968909013376</v>
      </c>
      <c r="L291" s="258">
        <f t="shared" ref="L291:L354" ca="1" si="38">SUM(J291:K291)</f>
        <v>3.8191724149800885</v>
      </c>
      <c r="M291" s="258">
        <f t="shared" ref="M291:M354" ca="1" si="39">$D291*$M$32</f>
        <v>2.2169573762523558</v>
      </c>
      <c r="N291" s="258">
        <f t="shared" ref="N291:N354" si="40">$E291*$N$32</f>
        <v>0.18599968503579126</v>
      </c>
      <c r="O291" s="258">
        <f t="shared" ref="O291:O354" ca="1" si="41">SUM(M291:N291)</f>
        <v>2.4029570612881472</v>
      </c>
      <c r="P291" s="258">
        <f t="shared" ref="P291:P354" ca="1" si="42">$D291*$P$32</f>
        <v>0.54496132861181268</v>
      </c>
      <c r="Q291" s="258">
        <f t="shared" ref="Q291:Q354" si="43">$E291*$Q$32</f>
        <v>0.18599968503579126</v>
      </c>
      <c r="R291" s="258">
        <f t="shared" ref="R291:R354" ca="1" si="44">SUM(P291:Q291)</f>
        <v>0.73096101364760391</v>
      </c>
    </row>
    <row r="292" spans="3:18" ht="14" x14ac:dyDescent="0.3">
      <c r="C292" s="255" t="s">
        <v>6224</v>
      </c>
      <c r="D292" s="259">
        <v>0.9760111064590955</v>
      </c>
      <c r="E292" s="399">
        <v>2.3988893540904447E-2</v>
      </c>
      <c r="F292" s="400">
        <v>1.1941199999999998</v>
      </c>
      <c r="G292" s="400">
        <v>0.1848083328</v>
      </c>
      <c r="H292" s="257">
        <v>1.3789283327999999</v>
      </c>
      <c r="I292" s="398">
        <v>0.13402316016288907</v>
      </c>
      <c r="J292" s="258">
        <f t="shared" ca="1" si="36"/>
        <v>3.6307613160278356</v>
      </c>
      <c r="K292" s="258">
        <f t="shared" si="37"/>
        <v>0.19105138638272956</v>
      </c>
      <c r="L292" s="258">
        <f t="shared" ca="1" si="38"/>
        <v>3.8218127024105653</v>
      </c>
      <c r="M292" s="258">
        <f t="shared" ca="1" si="39"/>
        <v>2.215545211662147</v>
      </c>
      <c r="N292" s="258">
        <f t="shared" si="40"/>
        <v>0.19095159258559941</v>
      </c>
      <c r="O292" s="258">
        <f t="shared" ca="1" si="41"/>
        <v>2.4064968042477464</v>
      </c>
      <c r="P292" s="258">
        <f t="shared" ca="1" si="42"/>
        <v>0.54461419740417538</v>
      </c>
      <c r="Q292" s="258">
        <f t="shared" si="43"/>
        <v>0.19095159258559941</v>
      </c>
      <c r="R292" s="258">
        <f t="shared" ca="1" si="44"/>
        <v>0.73556578998977473</v>
      </c>
    </row>
    <row r="293" spans="3:18" ht="14" x14ac:dyDescent="0.3">
      <c r="C293" s="255" t="s">
        <v>6225</v>
      </c>
      <c r="D293" s="259">
        <v>0.97325561557788154</v>
      </c>
      <c r="E293" s="399">
        <v>2.6744384422118465E-2</v>
      </c>
      <c r="F293" s="400">
        <v>0.95852000000000004</v>
      </c>
      <c r="G293" s="400">
        <v>0.16585363200000003</v>
      </c>
      <c r="H293" s="257">
        <v>1.1243736320000002</v>
      </c>
      <c r="I293" s="398">
        <v>0.14750757869071052</v>
      </c>
      <c r="J293" s="258">
        <f t="shared" ca="1" si="36"/>
        <v>3.6205108899497196</v>
      </c>
      <c r="K293" s="258">
        <f t="shared" si="37"/>
        <v>0.21299655663925898</v>
      </c>
      <c r="L293" s="258">
        <f t="shared" ca="1" si="38"/>
        <v>3.8335074465889787</v>
      </c>
      <c r="M293" s="258">
        <f t="shared" ca="1" si="39"/>
        <v>2.2092902473617912</v>
      </c>
      <c r="N293" s="258">
        <f t="shared" si="40"/>
        <v>0.21288530000006298</v>
      </c>
      <c r="O293" s="258">
        <f t="shared" ca="1" si="41"/>
        <v>2.4221755473618543</v>
      </c>
      <c r="P293" s="258">
        <f t="shared" ca="1" si="42"/>
        <v>0.54307663349245794</v>
      </c>
      <c r="Q293" s="258">
        <f t="shared" si="43"/>
        <v>0.21288530000006298</v>
      </c>
      <c r="R293" s="258">
        <f t="shared" ca="1" si="44"/>
        <v>0.75596193349252094</v>
      </c>
    </row>
    <row r="294" spans="3:18" ht="14" x14ac:dyDescent="0.3">
      <c r="C294" s="255" t="s">
        <v>6226</v>
      </c>
      <c r="D294" s="259">
        <v>0.97040973781793693</v>
      </c>
      <c r="E294" s="399">
        <v>2.9590262182063023E-2</v>
      </c>
      <c r="F294" s="400">
        <v>0.76507999999999998</v>
      </c>
      <c r="G294" s="400">
        <v>0.1468989312</v>
      </c>
      <c r="H294" s="257">
        <v>0.91197893119999995</v>
      </c>
      <c r="I294" s="398">
        <v>0.16107711063753136</v>
      </c>
      <c r="J294" s="258">
        <f t="shared" ca="1" si="36"/>
        <v>3.6099242246827257</v>
      </c>
      <c r="K294" s="258">
        <f t="shared" si="37"/>
        <v>0.23566158245989904</v>
      </c>
      <c r="L294" s="258">
        <f t="shared" ca="1" si="38"/>
        <v>3.8455858071426245</v>
      </c>
      <c r="M294" s="258">
        <f t="shared" ca="1" si="39"/>
        <v>2.2028301048467167</v>
      </c>
      <c r="N294" s="258">
        <f t="shared" si="40"/>
        <v>0.23553848696922167</v>
      </c>
      <c r="O294" s="258">
        <f t="shared" ca="1" si="41"/>
        <v>2.4383685918159386</v>
      </c>
      <c r="P294" s="258">
        <f t="shared" ca="1" si="42"/>
        <v>0.54148863370240885</v>
      </c>
      <c r="Q294" s="258">
        <f t="shared" si="43"/>
        <v>0.23553848696922167</v>
      </c>
      <c r="R294" s="258">
        <f t="shared" ca="1" si="44"/>
        <v>0.77702712067163049</v>
      </c>
    </row>
    <row r="295" spans="3:18" ht="14" x14ac:dyDescent="0.3">
      <c r="C295" s="255" t="s">
        <v>6227</v>
      </c>
      <c r="D295" s="259">
        <v>0.96706700785979349</v>
      </c>
      <c r="E295" s="399">
        <v>3.2932992140206487E-2</v>
      </c>
      <c r="F295" s="400">
        <v>0.61875999999999998</v>
      </c>
      <c r="G295" s="400">
        <v>0.13268290559999996</v>
      </c>
      <c r="H295" s="257">
        <v>0.75144290559999993</v>
      </c>
      <c r="I295" s="398">
        <v>0.17657084072682469</v>
      </c>
      <c r="J295" s="258">
        <f t="shared" ca="1" si="36"/>
        <v>3.5974892692384319</v>
      </c>
      <c r="K295" s="258">
        <f t="shared" si="37"/>
        <v>0.26228361868334688</v>
      </c>
      <c r="L295" s="258">
        <f t="shared" ca="1" si="38"/>
        <v>3.8597728879217788</v>
      </c>
      <c r="M295" s="258">
        <f t="shared" ca="1" si="39"/>
        <v>2.1952421078417315</v>
      </c>
      <c r="N295" s="258">
        <f t="shared" si="40"/>
        <v>0.26214661743604362</v>
      </c>
      <c r="O295" s="258">
        <f t="shared" ca="1" si="41"/>
        <v>2.4573887252777751</v>
      </c>
      <c r="P295" s="258">
        <f t="shared" ca="1" si="42"/>
        <v>0.53962339038576479</v>
      </c>
      <c r="Q295" s="258">
        <f t="shared" si="43"/>
        <v>0.26214661743604362</v>
      </c>
      <c r="R295" s="258">
        <f t="shared" ca="1" si="44"/>
        <v>0.80177000782180841</v>
      </c>
    </row>
    <row r="296" spans="3:18" ht="14" x14ac:dyDescent="0.3">
      <c r="C296" s="255" t="s">
        <v>6228</v>
      </c>
      <c r="D296" s="259">
        <v>0.96300946552974664</v>
      </c>
      <c r="E296" s="399">
        <v>3.6990534470253369E-2</v>
      </c>
      <c r="F296" s="400">
        <v>0.48980000000000001</v>
      </c>
      <c r="G296" s="400">
        <v>0.11846688</v>
      </c>
      <c r="H296" s="257">
        <v>0.60826687999999995</v>
      </c>
      <c r="I296" s="398">
        <v>0.19476135212227896</v>
      </c>
      <c r="J296" s="258">
        <f t="shared" ca="1" si="36"/>
        <v>3.5823952117706579</v>
      </c>
      <c r="K296" s="258">
        <f t="shared" si="37"/>
        <v>0.29459853500661304</v>
      </c>
      <c r="L296" s="258">
        <f t="shared" ca="1" si="38"/>
        <v>3.8769937467772708</v>
      </c>
      <c r="M296" s="258">
        <f t="shared" ca="1" si="39"/>
        <v>2.1860314867525248</v>
      </c>
      <c r="N296" s="258">
        <f t="shared" si="40"/>
        <v>0.29444465438321682</v>
      </c>
      <c r="O296" s="258">
        <f t="shared" ca="1" si="41"/>
        <v>2.4804761411357417</v>
      </c>
      <c r="P296" s="258">
        <f t="shared" ca="1" si="42"/>
        <v>0.53735928176559866</v>
      </c>
      <c r="Q296" s="258">
        <f t="shared" si="43"/>
        <v>0.29444465438321682</v>
      </c>
      <c r="R296" s="258">
        <f t="shared" ca="1" si="44"/>
        <v>0.83180393614881543</v>
      </c>
    </row>
    <row r="297" spans="3:18" ht="14" x14ac:dyDescent="0.3">
      <c r="C297" s="255" t="s">
        <v>6229</v>
      </c>
      <c r="D297" s="259">
        <v>0.95766061902928734</v>
      </c>
      <c r="E297" s="399">
        <v>4.2339380970712701E-2</v>
      </c>
      <c r="F297" s="400">
        <v>0.37447999999999998</v>
      </c>
      <c r="G297" s="400">
        <v>0.10425085439999998</v>
      </c>
      <c r="H297" s="257">
        <v>0.47873085439999996</v>
      </c>
      <c r="I297" s="398">
        <v>0.21776506243922594</v>
      </c>
      <c r="J297" s="258">
        <f t="shared" ca="1" si="36"/>
        <v>3.5624975027889492</v>
      </c>
      <c r="K297" s="258">
        <f t="shared" si="37"/>
        <v>0.33719760435171126</v>
      </c>
      <c r="L297" s="258">
        <f t="shared" ca="1" si="38"/>
        <v>3.8996951071406603</v>
      </c>
      <c r="M297" s="258">
        <f t="shared" ca="1" si="39"/>
        <v>2.1738896051964822</v>
      </c>
      <c r="N297" s="258">
        <f t="shared" si="40"/>
        <v>0.33702147252687309</v>
      </c>
      <c r="O297" s="258">
        <f t="shared" ca="1" si="41"/>
        <v>2.5109110777233554</v>
      </c>
      <c r="P297" s="258">
        <f t="shared" ca="1" si="42"/>
        <v>0.53437462541834235</v>
      </c>
      <c r="Q297" s="258">
        <f t="shared" si="43"/>
        <v>0.33702147252687309</v>
      </c>
      <c r="R297" s="258">
        <f t="shared" ca="1" si="44"/>
        <v>0.87139609794521544</v>
      </c>
    </row>
    <row r="298" spans="3:18" ht="14" x14ac:dyDescent="0.3">
      <c r="C298" s="255" t="s">
        <v>6230</v>
      </c>
      <c r="D298" s="259">
        <v>0.95539762914403725</v>
      </c>
      <c r="E298" s="399">
        <v>4.4602370855962782E-2</v>
      </c>
      <c r="F298" s="400">
        <v>0.32240000000000002</v>
      </c>
      <c r="G298" s="400">
        <v>9.4773503999999995E-2</v>
      </c>
      <c r="H298" s="257">
        <v>0.41717350400000003</v>
      </c>
      <c r="I298" s="398">
        <v>0.22718006558729095</v>
      </c>
      <c r="J298" s="258">
        <f t="shared" ca="1" si="36"/>
        <v>3.5540791804158189</v>
      </c>
      <c r="K298" s="258">
        <f t="shared" si="37"/>
        <v>0.35522041787622455</v>
      </c>
      <c r="L298" s="258">
        <f t="shared" ca="1" si="38"/>
        <v>3.9092995982920433</v>
      </c>
      <c r="M298" s="258">
        <f t="shared" ca="1" si="39"/>
        <v>2.1687526181569647</v>
      </c>
      <c r="N298" s="258">
        <f t="shared" si="40"/>
        <v>0.35503487201346373</v>
      </c>
      <c r="O298" s="258">
        <f t="shared" ca="1" si="41"/>
        <v>2.5237874901704282</v>
      </c>
      <c r="P298" s="258">
        <f t="shared" ca="1" si="42"/>
        <v>0.53311187706237284</v>
      </c>
      <c r="Q298" s="258">
        <f t="shared" si="43"/>
        <v>0.35503487201346373</v>
      </c>
      <c r="R298" s="258">
        <f t="shared" ca="1" si="44"/>
        <v>0.88814674907583657</v>
      </c>
    </row>
    <row r="299" spans="3:18" ht="14" x14ac:dyDescent="0.3">
      <c r="C299" s="255" t="s">
        <v>6231</v>
      </c>
      <c r="D299" s="259">
        <v>0.95653837458042745</v>
      </c>
      <c r="E299" s="399">
        <v>4.3461625419572505E-2</v>
      </c>
      <c r="F299" s="400">
        <v>0.23188</v>
      </c>
      <c r="G299" s="400">
        <v>6.6341452799999978E-2</v>
      </c>
      <c r="H299" s="257">
        <v>0.29822145280000001</v>
      </c>
      <c r="I299" s="398">
        <v>0.2224570103093535</v>
      </c>
      <c r="J299" s="258">
        <f t="shared" ca="1" si="36"/>
        <v>3.5583227534391901</v>
      </c>
      <c r="K299" s="258">
        <f t="shared" si="37"/>
        <v>0.34613533870154256</v>
      </c>
      <c r="L299" s="258">
        <f t="shared" ca="1" si="38"/>
        <v>3.9044580921407328</v>
      </c>
      <c r="M299" s="258">
        <f t="shared" ca="1" si="39"/>
        <v>2.1713421102975703</v>
      </c>
      <c r="N299" s="258">
        <f t="shared" si="40"/>
        <v>0.34595453833979717</v>
      </c>
      <c r="O299" s="258">
        <f t="shared" ca="1" si="41"/>
        <v>2.5172966486373674</v>
      </c>
      <c r="P299" s="258">
        <f t="shared" ca="1" si="42"/>
        <v>0.53374841301587861</v>
      </c>
      <c r="Q299" s="258">
        <f t="shared" si="43"/>
        <v>0.34595453833979717</v>
      </c>
      <c r="R299" s="258">
        <f t="shared" ca="1" si="44"/>
        <v>0.87970295135567578</v>
      </c>
    </row>
    <row r="300" spans="3:18" ht="14" x14ac:dyDescent="0.3">
      <c r="C300" s="255" t="s">
        <v>6232</v>
      </c>
      <c r="D300" s="259">
        <v>0.99692091039929176</v>
      </c>
      <c r="E300" s="399">
        <v>3.0790896007082281E-3</v>
      </c>
      <c r="F300" s="400">
        <v>76.50800000000001</v>
      </c>
      <c r="G300" s="400">
        <v>1.4879440127999999</v>
      </c>
      <c r="H300" s="257">
        <v>77.99594401280001</v>
      </c>
      <c r="I300" s="398">
        <v>1.9077197303436849E-2</v>
      </c>
      <c r="J300" s="258">
        <f t="shared" ca="1" si="36"/>
        <v>3.7085457866853657</v>
      </c>
      <c r="K300" s="258">
        <f t="shared" si="37"/>
        <v>2.4522362234376441E-2</v>
      </c>
      <c r="L300" s="258">
        <f t="shared" ca="1" si="38"/>
        <v>3.7330681489197421</v>
      </c>
      <c r="M300" s="258">
        <f t="shared" ca="1" si="39"/>
        <v>2.2630104666063922</v>
      </c>
      <c r="N300" s="258">
        <f t="shared" si="40"/>
        <v>2.4509553221637496E-2</v>
      </c>
      <c r="O300" s="258">
        <f t="shared" ca="1" si="41"/>
        <v>2.2875200198280297</v>
      </c>
      <c r="P300" s="258">
        <f t="shared" ca="1" si="42"/>
        <v>0.55628186800280488</v>
      </c>
      <c r="Q300" s="258">
        <f t="shared" si="43"/>
        <v>2.4509553221637496E-2</v>
      </c>
      <c r="R300" s="258">
        <f t="shared" ca="1" si="44"/>
        <v>0.58079142122444238</v>
      </c>
    </row>
    <row r="301" spans="3:18" ht="14" x14ac:dyDescent="0.3">
      <c r="C301" s="255" t="s">
        <v>6233</v>
      </c>
      <c r="D301" s="259">
        <v>0.99656986842403861</v>
      </c>
      <c r="E301" s="399">
        <v>3.43013157596139E-3</v>
      </c>
      <c r="F301" s="400">
        <v>61.875999999999998</v>
      </c>
      <c r="G301" s="400">
        <v>1.3410450815999999</v>
      </c>
      <c r="H301" s="257">
        <v>63.217045081599998</v>
      </c>
      <c r="I301" s="398">
        <v>2.1213346493322977E-2</v>
      </c>
      <c r="J301" s="258">
        <f t="shared" ca="1" si="36"/>
        <v>3.7072399105374236</v>
      </c>
      <c r="K301" s="258">
        <f t="shared" si="37"/>
        <v>2.7318116692008662E-2</v>
      </c>
      <c r="L301" s="258">
        <f t="shared" ca="1" si="38"/>
        <v>3.7345580272294323</v>
      </c>
      <c r="M301" s="258">
        <f t="shared" ca="1" si="39"/>
        <v>2.2622136013225678</v>
      </c>
      <c r="N301" s="258">
        <f t="shared" si="40"/>
        <v>2.7303847344652663E-2</v>
      </c>
      <c r="O301" s="258">
        <f t="shared" ca="1" si="41"/>
        <v>2.2895174486672203</v>
      </c>
      <c r="P301" s="258">
        <f t="shared" ca="1" si="42"/>
        <v>0.55608598658061359</v>
      </c>
      <c r="Q301" s="258">
        <f t="shared" si="43"/>
        <v>2.7303847344652663E-2</v>
      </c>
      <c r="R301" s="258">
        <f t="shared" ca="1" si="44"/>
        <v>0.58338983392526622</v>
      </c>
    </row>
    <row r="302" spans="3:18" ht="14" x14ac:dyDescent="0.3">
      <c r="C302" s="255" t="s">
        <v>6234</v>
      </c>
      <c r="D302" s="259">
        <v>0.99615831168809521</v>
      </c>
      <c r="E302" s="399">
        <v>3.8416883119048034E-3</v>
      </c>
      <c r="F302" s="400">
        <v>48.98</v>
      </c>
      <c r="G302" s="400">
        <v>1.1894074751999999</v>
      </c>
      <c r="H302" s="257">
        <v>50.169407475199996</v>
      </c>
      <c r="I302" s="398">
        <v>2.3707823852373661E-2</v>
      </c>
      <c r="J302" s="258">
        <f t="shared" ca="1" si="36"/>
        <v>3.7057089194797146</v>
      </c>
      <c r="K302" s="258">
        <f t="shared" si="37"/>
        <v>3.0595820386139758E-2</v>
      </c>
      <c r="L302" s="258">
        <f t="shared" ca="1" si="38"/>
        <v>3.7363047398658544</v>
      </c>
      <c r="M302" s="258">
        <f t="shared" ca="1" si="39"/>
        <v>2.261279367531976</v>
      </c>
      <c r="N302" s="258">
        <f t="shared" si="40"/>
        <v>3.0579838962762236E-2</v>
      </c>
      <c r="O302" s="258">
        <f t="shared" ca="1" si="41"/>
        <v>2.2918592064947383</v>
      </c>
      <c r="P302" s="258">
        <f t="shared" ca="1" si="42"/>
        <v>0.55585633792195721</v>
      </c>
      <c r="Q302" s="258">
        <f t="shared" si="43"/>
        <v>3.0579838962762236E-2</v>
      </c>
      <c r="R302" s="258">
        <f t="shared" ca="1" si="44"/>
        <v>0.5864361768847195</v>
      </c>
    </row>
    <row r="303" spans="3:18" ht="14" x14ac:dyDescent="0.3">
      <c r="C303" s="255" t="s">
        <v>6235</v>
      </c>
      <c r="D303" s="259">
        <v>0.99588934761280612</v>
      </c>
      <c r="E303" s="399">
        <v>4.1106523871938345E-3</v>
      </c>
      <c r="F303" s="400">
        <v>43.028000000000006</v>
      </c>
      <c r="G303" s="400">
        <v>1.1183273471999999</v>
      </c>
      <c r="H303" s="257">
        <v>44.146327347200007</v>
      </c>
      <c r="I303" s="398">
        <v>2.5332285025765119E-2</v>
      </c>
      <c r="J303" s="258">
        <f t="shared" ca="1" si="36"/>
        <v>3.7047083731196389</v>
      </c>
      <c r="K303" s="258">
        <f t="shared" si="37"/>
        <v>3.2737893315993645E-2</v>
      </c>
      <c r="L303" s="258">
        <f t="shared" ca="1" si="38"/>
        <v>3.7374462664356325</v>
      </c>
      <c r="M303" s="258">
        <f t="shared" ca="1" si="39"/>
        <v>2.26066881908107</v>
      </c>
      <c r="N303" s="258">
        <f t="shared" si="40"/>
        <v>3.2720793002062924E-2</v>
      </c>
      <c r="O303" s="258">
        <f t="shared" ca="1" si="41"/>
        <v>2.293389612083133</v>
      </c>
      <c r="P303" s="258">
        <f t="shared" ca="1" si="42"/>
        <v>0.55570625596794587</v>
      </c>
      <c r="Q303" s="258">
        <f t="shared" si="43"/>
        <v>3.2720793002062924E-2</v>
      </c>
      <c r="R303" s="258">
        <f t="shared" ca="1" si="44"/>
        <v>0.58842704897000875</v>
      </c>
    </row>
    <row r="304" spans="3:18" ht="14" x14ac:dyDescent="0.3">
      <c r="C304" s="255" t="s">
        <v>6236</v>
      </c>
      <c r="D304" s="259">
        <v>0.99526073680009797</v>
      </c>
      <c r="E304" s="399">
        <v>4.739263199901993E-3</v>
      </c>
      <c r="F304" s="400">
        <v>32.24</v>
      </c>
      <c r="G304" s="400">
        <v>0.96668974079999992</v>
      </c>
      <c r="H304" s="257">
        <v>33.206689740800002</v>
      </c>
      <c r="I304" s="398">
        <v>2.9111294993437994E-2</v>
      </c>
      <c r="J304" s="258">
        <f t="shared" ca="1" si="36"/>
        <v>3.7023699408963648</v>
      </c>
      <c r="K304" s="258">
        <f t="shared" si="37"/>
        <v>3.7744250406131455E-2</v>
      </c>
      <c r="L304" s="258">
        <f t="shared" ca="1" si="38"/>
        <v>3.7401141913024962</v>
      </c>
      <c r="M304" s="258">
        <f t="shared" ca="1" si="39"/>
        <v>2.2592418725362222</v>
      </c>
      <c r="N304" s="258">
        <f t="shared" si="40"/>
        <v>3.7724535071219867E-2</v>
      </c>
      <c r="O304" s="258">
        <f t="shared" ca="1" si="41"/>
        <v>2.2969664076074423</v>
      </c>
      <c r="P304" s="258">
        <f t="shared" ca="1" si="42"/>
        <v>0.5553554911344547</v>
      </c>
      <c r="Q304" s="258">
        <f t="shared" si="43"/>
        <v>3.7724535071219867E-2</v>
      </c>
      <c r="R304" s="258">
        <f t="shared" ca="1" si="44"/>
        <v>0.59308002620567457</v>
      </c>
    </row>
    <row r="305" spans="3:18" ht="14" x14ac:dyDescent="0.3">
      <c r="C305" s="255" t="s">
        <v>6237</v>
      </c>
      <c r="D305" s="259">
        <v>0.99488676602161619</v>
      </c>
      <c r="E305" s="399">
        <v>5.1132339783838531E-3</v>
      </c>
      <c r="F305" s="400">
        <v>27.527999999999999</v>
      </c>
      <c r="G305" s="400">
        <v>0.89087093759999991</v>
      </c>
      <c r="H305" s="257">
        <v>28.418870937599998</v>
      </c>
      <c r="I305" s="398">
        <v>3.1347865281351493E-2</v>
      </c>
      <c r="J305" s="258">
        <f t="shared" ca="1" si="36"/>
        <v>3.7009787696004124</v>
      </c>
      <c r="K305" s="258">
        <f t="shared" si="37"/>
        <v>4.0722613521285547E-2</v>
      </c>
      <c r="L305" s="258">
        <f t="shared" ca="1" si="38"/>
        <v>3.7417013831216979</v>
      </c>
      <c r="M305" s="258">
        <f t="shared" ca="1" si="39"/>
        <v>2.2583929588690688</v>
      </c>
      <c r="N305" s="258">
        <f t="shared" si="40"/>
        <v>4.070134246793547E-2</v>
      </c>
      <c r="O305" s="258">
        <f t="shared" ca="1" si="41"/>
        <v>2.2990943013370044</v>
      </c>
      <c r="P305" s="258">
        <f t="shared" ca="1" si="42"/>
        <v>0.55514681544006184</v>
      </c>
      <c r="Q305" s="258">
        <f t="shared" si="43"/>
        <v>4.070134246793547E-2</v>
      </c>
      <c r="R305" s="258">
        <f t="shared" ca="1" si="44"/>
        <v>0.59584815790799728</v>
      </c>
    </row>
    <row r="306" spans="3:18" ht="14" x14ac:dyDescent="0.3">
      <c r="C306" s="255" t="s">
        <v>6238</v>
      </c>
      <c r="D306" s="259">
        <v>0.99449603640255357</v>
      </c>
      <c r="E306" s="399">
        <v>5.5039635974464714E-3</v>
      </c>
      <c r="F306" s="400">
        <v>23.932000000000002</v>
      </c>
      <c r="G306" s="400">
        <v>0.83400683519999985</v>
      </c>
      <c r="H306" s="257">
        <v>24.766006835200002</v>
      </c>
      <c r="I306" s="398">
        <v>3.3675466567933889E-2</v>
      </c>
      <c r="J306" s="258">
        <f t="shared" ca="1" si="36"/>
        <v>3.6995252554174995</v>
      </c>
      <c r="K306" s="258">
        <f t="shared" si="37"/>
        <v>4.3834446724239286E-2</v>
      </c>
      <c r="L306" s="258">
        <f t="shared" ca="1" si="38"/>
        <v>3.7433597021417389</v>
      </c>
      <c r="M306" s="258">
        <f t="shared" ca="1" si="39"/>
        <v>2.2575060026337965</v>
      </c>
      <c r="N306" s="258">
        <f t="shared" si="40"/>
        <v>4.3811550235673909E-2</v>
      </c>
      <c r="O306" s="258">
        <f t="shared" ca="1" si="41"/>
        <v>2.3013175528694703</v>
      </c>
      <c r="P306" s="258">
        <f t="shared" ca="1" si="42"/>
        <v>0.55492878831262493</v>
      </c>
      <c r="Q306" s="258">
        <f t="shared" si="43"/>
        <v>4.3811550235673909E-2</v>
      </c>
      <c r="R306" s="258">
        <f t="shared" ca="1" si="44"/>
        <v>0.59874033854829889</v>
      </c>
    </row>
    <row r="307" spans="3:18" ht="14" x14ac:dyDescent="0.3">
      <c r="C307" s="255" t="s">
        <v>6239</v>
      </c>
      <c r="D307" s="259">
        <v>0.9938508191069988</v>
      </c>
      <c r="E307" s="399">
        <v>6.1491808930011623E-3</v>
      </c>
      <c r="F307" s="400">
        <v>19.096</v>
      </c>
      <c r="G307" s="400">
        <v>0.74397200639999994</v>
      </c>
      <c r="H307" s="257">
        <v>19.8399720064</v>
      </c>
      <c r="I307" s="398">
        <v>3.7498641941632209E-2</v>
      </c>
      <c r="J307" s="258">
        <f t="shared" ca="1" si="36"/>
        <v>3.6971250470780359</v>
      </c>
      <c r="K307" s="258">
        <f t="shared" si="37"/>
        <v>4.8973060500804133E-2</v>
      </c>
      <c r="L307" s="258">
        <f t="shared" ca="1" si="38"/>
        <v>3.74609810757884</v>
      </c>
      <c r="M307" s="258">
        <f t="shared" ca="1" si="39"/>
        <v>2.2560413593728872</v>
      </c>
      <c r="N307" s="258">
        <f t="shared" si="40"/>
        <v>4.8947479908289251E-2</v>
      </c>
      <c r="O307" s="258">
        <f t="shared" ca="1" si="41"/>
        <v>2.3049888392811764</v>
      </c>
      <c r="P307" s="258">
        <f t="shared" ca="1" si="42"/>
        <v>0.55456875706170539</v>
      </c>
      <c r="Q307" s="258">
        <f t="shared" si="43"/>
        <v>4.8947479908289251E-2</v>
      </c>
      <c r="R307" s="258">
        <f t="shared" ca="1" si="44"/>
        <v>0.60351623696999468</v>
      </c>
    </row>
    <row r="308" spans="3:18" ht="14" x14ac:dyDescent="0.3">
      <c r="C308" s="255" t="s">
        <v>6240</v>
      </c>
      <c r="D308" s="259">
        <v>0.99358772766339742</v>
      </c>
      <c r="E308" s="399">
        <v>6.4122723366025567E-3</v>
      </c>
      <c r="F308" s="400">
        <v>17.608000000000001</v>
      </c>
      <c r="G308" s="400">
        <v>0.71553995520000002</v>
      </c>
      <c r="H308" s="257">
        <v>18.323539955200001</v>
      </c>
      <c r="I308" s="398">
        <v>3.9050312163995272E-2</v>
      </c>
      <c r="J308" s="258">
        <f t="shared" ca="1" si="36"/>
        <v>3.6961463469078386</v>
      </c>
      <c r="K308" s="258">
        <f t="shared" si="37"/>
        <v>5.1068362852276616E-2</v>
      </c>
      <c r="L308" s="258">
        <f t="shared" ca="1" si="38"/>
        <v>3.7472147097601152</v>
      </c>
      <c r="M308" s="258">
        <f t="shared" ca="1" si="39"/>
        <v>2.2554441417959121</v>
      </c>
      <c r="N308" s="258">
        <f t="shared" si="40"/>
        <v>5.1041687799356354E-2</v>
      </c>
      <c r="O308" s="258">
        <f t="shared" ca="1" si="41"/>
        <v>2.3064858295952684</v>
      </c>
      <c r="P308" s="258">
        <f t="shared" ca="1" si="42"/>
        <v>0.55442195203617584</v>
      </c>
      <c r="Q308" s="258">
        <f t="shared" si="43"/>
        <v>5.1041687799356354E-2</v>
      </c>
      <c r="R308" s="258">
        <f t="shared" ca="1" si="44"/>
        <v>0.6054636398355322</v>
      </c>
    </row>
    <row r="309" spans="3:18" ht="14" x14ac:dyDescent="0.3">
      <c r="C309" s="255" t="s">
        <v>6241</v>
      </c>
      <c r="D309" s="259">
        <v>0.99320071476444272</v>
      </c>
      <c r="E309" s="399">
        <v>6.7992852355572937E-3</v>
      </c>
      <c r="F309" s="400">
        <v>15.5</v>
      </c>
      <c r="G309" s="400">
        <v>0.66815320319999993</v>
      </c>
      <c r="H309" s="257">
        <v>16.168153203199999</v>
      </c>
      <c r="I309" s="398">
        <v>4.1325264227936628E-2</v>
      </c>
      <c r="J309" s="258">
        <f t="shared" ca="1" si="36"/>
        <v>3.6947066589237272</v>
      </c>
      <c r="K309" s="258">
        <f t="shared" si="37"/>
        <v>5.4150595501615974E-2</v>
      </c>
      <c r="L309" s="258">
        <f t="shared" ca="1" si="38"/>
        <v>3.7488572544253431</v>
      </c>
      <c r="M309" s="258">
        <f t="shared" ca="1" si="39"/>
        <v>2.254565622515285</v>
      </c>
      <c r="N309" s="258">
        <f t="shared" si="40"/>
        <v>5.4122310475036059E-2</v>
      </c>
      <c r="O309" s="258">
        <f t="shared" ca="1" si="41"/>
        <v>2.3086879329903209</v>
      </c>
      <c r="P309" s="258">
        <f t="shared" ca="1" si="42"/>
        <v>0.55420599883855903</v>
      </c>
      <c r="Q309" s="258">
        <f t="shared" si="43"/>
        <v>5.4122310475036059E-2</v>
      </c>
      <c r="R309" s="258">
        <f t="shared" ca="1" si="44"/>
        <v>0.60832830931359505</v>
      </c>
    </row>
    <row r="310" spans="3:18" ht="14" x14ac:dyDescent="0.3">
      <c r="C310" s="255" t="s">
        <v>6242</v>
      </c>
      <c r="D310" s="259">
        <v>0.99270400805062919</v>
      </c>
      <c r="E310" s="399">
        <v>7.2959919493708562E-3</v>
      </c>
      <c r="F310" s="400">
        <v>13.516</v>
      </c>
      <c r="G310" s="400">
        <v>0.6255051264</v>
      </c>
      <c r="H310" s="257">
        <v>14.1415051264</v>
      </c>
      <c r="I310" s="398">
        <v>4.4231863638919088E-2</v>
      </c>
      <c r="J310" s="258">
        <f t="shared" ca="1" si="36"/>
        <v>3.6928589099483409</v>
      </c>
      <c r="K310" s="258">
        <f t="shared" si="37"/>
        <v>5.8106447243501398E-2</v>
      </c>
      <c r="L310" s="258">
        <f t="shared" ca="1" si="38"/>
        <v>3.7509653571918422</v>
      </c>
      <c r="M310" s="258">
        <f t="shared" ca="1" si="39"/>
        <v>2.2534380982749282</v>
      </c>
      <c r="N310" s="258">
        <f t="shared" si="40"/>
        <v>5.8076095916992018E-2</v>
      </c>
      <c r="O310" s="258">
        <f t="shared" ca="1" si="41"/>
        <v>2.3115141941919202</v>
      </c>
      <c r="P310" s="258">
        <f t="shared" ca="1" si="42"/>
        <v>0.55392883649225111</v>
      </c>
      <c r="Q310" s="258">
        <f t="shared" si="43"/>
        <v>5.8076095916992018E-2</v>
      </c>
      <c r="R310" s="258">
        <f t="shared" ca="1" si="44"/>
        <v>0.61200493240924314</v>
      </c>
    </row>
    <row r="311" spans="3:18" ht="14" x14ac:dyDescent="0.3">
      <c r="C311" s="255" t="s">
        <v>6243</v>
      </c>
      <c r="D311" s="259">
        <v>0.99210455064290226</v>
      </c>
      <c r="E311" s="399">
        <v>7.8954493570977408E-3</v>
      </c>
      <c r="F311" s="400">
        <v>11.631200000000002</v>
      </c>
      <c r="G311" s="400">
        <v>0.58285704959999984</v>
      </c>
      <c r="H311" s="257">
        <v>12.214057049600001</v>
      </c>
      <c r="I311" s="398">
        <v>4.772018398416502E-2</v>
      </c>
      <c r="J311" s="258">
        <f t="shared" ca="1" si="36"/>
        <v>3.6906289283915967</v>
      </c>
      <c r="K311" s="258">
        <f t="shared" si="37"/>
        <v>6.2880621951823534E-2</v>
      </c>
      <c r="L311" s="258">
        <f t="shared" ca="1" si="38"/>
        <v>3.7535095503434204</v>
      </c>
      <c r="M311" s="258">
        <f t="shared" ca="1" si="39"/>
        <v>2.2520773299593881</v>
      </c>
      <c r="N311" s="258">
        <f t="shared" si="40"/>
        <v>6.2847776882498013E-2</v>
      </c>
      <c r="O311" s="258">
        <f t="shared" ca="1" si="41"/>
        <v>2.3149251068418861</v>
      </c>
      <c r="P311" s="258">
        <f t="shared" ca="1" si="42"/>
        <v>0.55359433925873947</v>
      </c>
      <c r="Q311" s="258">
        <f t="shared" si="43"/>
        <v>6.2847776882498013E-2</v>
      </c>
      <c r="R311" s="258">
        <f t="shared" ca="1" si="44"/>
        <v>0.61644211614123745</v>
      </c>
    </row>
    <row r="312" spans="3:18" ht="14" x14ac:dyDescent="0.3">
      <c r="C312" s="255" t="s">
        <v>6244</v>
      </c>
      <c r="D312" s="259">
        <v>0.99148985273422308</v>
      </c>
      <c r="E312" s="399">
        <v>8.5101472657768719E-3</v>
      </c>
      <c r="F312" s="400">
        <v>9.9076000000000004</v>
      </c>
      <c r="G312" s="400">
        <v>0.53547029760000009</v>
      </c>
      <c r="H312" s="257">
        <v>10.4430702976</v>
      </c>
      <c r="I312" s="398">
        <v>5.1275178883269656E-2</v>
      </c>
      <c r="J312" s="258">
        <f t="shared" ca="1" si="36"/>
        <v>3.6883422521713101</v>
      </c>
      <c r="K312" s="258">
        <f t="shared" si="37"/>
        <v>6.7776174448209534E-2</v>
      </c>
      <c r="L312" s="258">
        <f t="shared" ca="1" si="38"/>
        <v>3.7561184266195196</v>
      </c>
      <c r="M312" s="258">
        <f t="shared" ca="1" si="39"/>
        <v>2.2506819657066863</v>
      </c>
      <c r="N312" s="258">
        <f t="shared" si="40"/>
        <v>6.7740772235583904E-2</v>
      </c>
      <c r="O312" s="258">
        <f t="shared" ca="1" si="41"/>
        <v>2.3184227379422704</v>
      </c>
      <c r="P312" s="258">
        <f t="shared" ca="1" si="42"/>
        <v>0.55325133782569658</v>
      </c>
      <c r="Q312" s="258">
        <f t="shared" si="43"/>
        <v>6.7740772235583904E-2</v>
      </c>
      <c r="R312" s="258">
        <f t="shared" ca="1" si="44"/>
        <v>0.62099211006128052</v>
      </c>
    </row>
    <row r="313" spans="3:18" ht="14" x14ac:dyDescent="0.3">
      <c r="C313" s="255" t="s">
        <v>6245</v>
      </c>
      <c r="D313" s="259">
        <v>0.99068115988418681</v>
      </c>
      <c r="E313" s="399">
        <v>9.318840115813137E-3</v>
      </c>
      <c r="F313" s="400">
        <v>8.3203999999999994</v>
      </c>
      <c r="G313" s="400">
        <v>0.49282222079999993</v>
      </c>
      <c r="H313" s="257">
        <v>8.8132222208000002</v>
      </c>
      <c r="I313" s="398">
        <v>5.5918506132399001E-2</v>
      </c>
      <c r="J313" s="258">
        <f t="shared" ca="1" si="36"/>
        <v>3.685333914769175</v>
      </c>
      <c r="K313" s="258">
        <f t="shared" si="37"/>
        <v>7.4216733696754356E-2</v>
      </c>
      <c r="L313" s="258">
        <f t="shared" ca="1" si="38"/>
        <v>3.7595506484659293</v>
      </c>
      <c r="M313" s="258">
        <f t="shared" ca="1" si="39"/>
        <v>2.2488462329371042</v>
      </c>
      <c r="N313" s="258">
        <f t="shared" si="40"/>
        <v>7.4177967321872568E-2</v>
      </c>
      <c r="O313" s="258">
        <f t="shared" ca="1" si="41"/>
        <v>2.3230242002589767</v>
      </c>
      <c r="P313" s="258">
        <f t="shared" ca="1" si="42"/>
        <v>0.55280008721537632</v>
      </c>
      <c r="Q313" s="258">
        <f t="shared" si="43"/>
        <v>7.4177967321872568E-2</v>
      </c>
      <c r="R313" s="258">
        <f t="shared" ca="1" si="44"/>
        <v>0.62697805453724886</v>
      </c>
    </row>
    <row r="314" spans="3:18" ht="14" x14ac:dyDescent="0.3">
      <c r="C314" s="255" t="s">
        <v>6246</v>
      </c>
      <c r="D314" s="259">
        <v>0.99037921149146257</v>
      </c>
      <c r="E314" s="399">
        <v>9.6207885085374065E-3</v>
      </c>
      <c r="F314" s="400">
        <v>7.8243999999999998</v>
      </c>
      <c r="G314" s="400">
        <v>0.47860619519999997</v>
      </c>
      <c r="H314" s="257">
        <v>8.3030061952000001</v>
      </c>
      <c r="I314" s="398">
        <v>5.7642519341571018E-2</v>
      </c>
      <c r="J314" s="258">
        <f t="shared" ca="1" si="36"/>
        <v>3.6842106667482408</v>
      </c>
      <c r="K314" s="258">
        <f t="shared" si="37"/>
        <v>7.6621499008153265E-2</v>
      </c>
      <c r="L314" s="258">
        <f t="shared" ca="1" si="38"/>
        <v>3.7608321657563941</v>
      </c>
      <c r="M314" s="258">
        <f t="shared" ca="1" si="39"/>
        <v>2.2481608100856199</v>
      </c>
      <c r="N314" s="258">
        <f t="shared" si="40"/>
        <v>7.6581476527957756E-2</v>
      </c>
      <c r="O314" s="258">
        <f t="shared" ca="1" si="41"/>
        <v>2.3247422866135774</v>
      </c>
      <c r="P314" s="258">
        <f t="shared" ca="1" si="42"/>
        <v>0.55263160001223621</v>
      </c>
      <c r="Q314" s="258">
        <f t="shared" si="43"/>
        <v>7.6581476527957756E-2</v>
      </c>
      <c r="R314" s="258">
        <f t="shared" ca="1" si="44"/>
        <v>0.62921307654019398</v>
      </c>
    </row>
    <row r="315" spans="3:18" ht="14" x14ac:dyDescent="0.3">
      <c r="C315" s="255" t="s">
        <v>6247</v>
      </c>
      <c r="D315" s="259">
        <v>0.98982555635419323</v>
      </c>
      <c r="E315" s="399">
        <v>1.0174443645806816E-2</v>
      </c>
      <c r="F315" s="400">
        <v>6.8819999999999997</v>
      </c>
      <c r="G315" s="400">
        <v>0.44543546879999996</v>
      </c>
      <c r="H315" s="257">
        <v>7.3274354687999992</v>
      </c>
      <c r="I315" s="398">
        <v>6.0790090980214137E-2</v>
      </c>
      <c r="J315" s="258">
        <f t="shared" ca="1" si="36"/>
        <v>3.682151069637599</v>
      </c>
      <c r="K315" s="258">
        <f t="shared" si="37"/>
        <v>8.1030897106188812E-2</v>
      </c>
      <c r="L315" s="258">
        <f t="shared" ca="1" si="38"/>
        <v>3.7631819667437876</v>
      </c>
      <c r="M315" s="258">
        <f t="shared" ca="1" si="39"/>
        <v>2.2469040129240185</v>
      </c>
      <c r="N315" s="258">
        <f t="shared" si="40"/>
        <v>8.0988571420622255E-2</v>
      </c>
      <c r="O315" s="258">
        <f t="shared" ca="1" si="41"/>
        <v>2.327892584344641</v>
      </c>
      <c r="P315" s="258">
        <f t="shared" ca="1" si="42"/>
        <v>0.55232266044563982</v>
      </c>
      <c r="Q315" s="258">
        <f t="shared" si="43"/>
        <v>8.0988571420622255E-2</v>
      </c>
      <c r="R315" s="258">
        <f t="shared" ca="1" si="44"/>
        <v>0.63331123186626204</v>
      </c>
    </row>
    <row r="316" spans="3:18" ht="14" x14ac:dyDescent="0.3">
      <c r="C316" s="255" t="s">
        <v>6248</v>
      </c>
      <c r="D316" s="259">
        <v>0.9886662595558714</v>
      </c>
      <c r="E316" s="399">
        <v>1.1333740444128658E-2</v>
      </c>
      <c r="F316" s="400">
        <v>5.58</v>
      </c>
      <c r="G316" s="400">
        <v>0.40278739200000002</v>
      </c>
      <c r="H316" s="257">
        <v>5.9827873920000005</v>
      </c>
      <c r="I316" s="398">
        <v>6.7324369998271197E-2</v>
      </c>
      <c r="J316" s="258">
        <f t="shared" ca="1" si="36"/>
        <v>3.6778384855478419</v>
      </c>
      <c r="K316" s="258">
        <f t="shared" si="37"/>
        <v>9.0263722295511689E-2</v>
      </c>
      <c r="L316" s="258">
        <f t="shared" ca="1" si="38"/>
        <v>3.7681022078433535</v>
      </c>
      <c r="M316" s="258">
        <f t="shared" ca="1" si="39"/>
        <v>2.244272409191828</v>
      </c>
      <c r="N316" s="258">
        <f t="shared" si="40"/>
        <v>9.0216573935264111E-2</v>
      </c>
      <c r="O316" s="258">
        <f t="shared" ca="1" si="41"/>
        <v>2.3344889831270921</v>
      </c>
      <c r="P316" s="258">
        <f t="shared" ca="1" si="42"/>
        <v>0.55167577283217628</v>
      </c>
      <c r="Q316" s="258">
        <f t="shared" si="43"/>
        <v>9.0216573935264111E-2</v>
      </c>
      <c r="R316" s="258">
        <f t="shared" ca="1" si="44"/>
        <v>0.64189234676744045</v>
      </c>
    </row>
    <row r="317" spans="3:18" ht="14" x14ac:dyDescent="0.3">
      <c r="C317" s="255" t="s">
        <v>6249</v>
      </c>
      <c r="D317" s="259">
        <v>0.98820650188690562</v>
      </c>
      <c r="E317" s="399">
        <v>1.1793498113094332E-2</v>
      </c>
      <c r="F317" s="400">
        <v>5.1707999999999998</v>
      </c>
      <c r="G317" s="400">
        <v>0.38857136640000001</v>
      </c>
      <c r="H317" s="257">
        <v>5.5593713663999997</v>
      </c>
      <c r="I317" s="398">
        <v>6.9894838964791345E-2</v>
      </c>
      <c r="J317" s="258">
        <f t="shared" ca="1" si="36"/>
        <v>3.6761281870192892</v>
      </c>
      <c r="K317" s="258">
        <f t="shared" si="37"/>
        <v>9.3925305932381353E-2</v>
      </c>
      <c r="L317" s="258">
        <f t="shared" ca="1" si="38"/>
        <v>3.7700534929516705</v>
      </c>
      <c r="M317" s="258">
        <f t="shared" ca="1" si="39"/>
        <v>2.2432287592832756</v>
      </c>
      <c r="N317" s="258">
        <f t="shared" si="40"/>
        <v>9.387624498023088E-2</v>
      </c>
      <c r="O317" s="258">
        <f t="shared" ca="1" si="41"/>
        <v>2.3371050042635066</v>
      </c>
      <c r="P317" s="258">
        <f t="shared" ca="1" si="42"/>
        <v>0.55141922805289334</v>
      </c>
      <c r="Q317" s="258">
        <f t="shared" si="43"/>
        <v>9.387624498023088E-2</v>
      </c>
      <c r="R317" s="258">
        <f t="shared" ca="1" si="44"/>
        <v>0.64529547303312418</v>
      </c>
    </row>
    <row r="318" spans="3:18" ht="14" x14ac:dyDescent="0.3">
      <c r="C318" s="255" t="s">
        <v>6250</v>
      </c>
      <c r="D318" s="259">
        <v>0.98734048714823386</v>
      </c>
      <c r="E318" s="399">
        <v>1.2659512851766122E-2</v>
      </c>
      <c r="F318" s="400">
        <v>4.4020000000000001</v>
      </c>
      <c r="G318" s="400">
        <v>0.35540063999999993</v>
      </c>
      <c r="H318" s="257">
        <v>4.7574006400000002</v>
      </c>
      <c r="I318" s="398">
        <v>7.4704795095836177E-2</v>
      </c>
      <c r="J318" s="258">
        <f t="shared" ca="1" si="36"/>
        <v>3.6729066121914302</v>
      </c>
      <c r="K318" s="258">
        <f t="shared" si="37"/>
        <v>0.10082238587352167</v>
      </c>
      <c r="L318" s="258">
        <f t="shared" ca="1" si="38"/>
        <v>3.7737289980649518</v>
      </c>
      <c r="M318" s="258">
        <f t="shared" ca="1" si="39"/>
        <v>2.241262905826491</v>
      </c>
      <c r="N318" s="258">
        <f t="shared" si="40"/>
        <v>0.10076972230005833</v>
      </c>
      <c r="O318" s="258">
        <f t="shared" ca="1" si="41"/>
        <v>2.3420326281265496</v>
      </c>
      <c r="P318" s="258">
        <f t="shared" ca="1" si="42"/>
        <v>0.55093599182871456</v>
      </c>
      <c r="Q318" s="258">
        <f t="shared" si="43"/>
        <v>0.10076972230005833</v>
      </c>
      <c r="R318" s="258">
        <f t="shared" ca="1" si="44"/>
        <v>0.65170571412877287</v>
      </c>
    </row>
    <row r="319" spans="3:18" ht="14" x14ac:dyDescent="0.3">
      <c r="C319" s="255" t="s">
        <v>6251</v>
      </c>
      <c r="D319" s="259">
        <v>0.98614235044249499</v>
      </c>
      <c r="E319" s="399">
        <v>1.3857649557505021E-2</v>
      </c>
      <c r="F319" s="400">
        <v>3.6951999999999998</v>
      </c>
      <c r="G319" s="400">
        <v>0.32696858880000002</v>
      </c>
      <c r="H319" s="257">
        <v>4.0221685887999996</v>
      </c>
      <c r="I319" s="398">
        <v>8.1291617091950388E-2</v>
      </c>
      <c r="J319" s="258">
        <f t="shared" ca="1" si="36"/>
        <v>3.6684495436460813</v>
      </c>
      <c r="K319" s="258">
        <f t="shared" si="37"/>
        <v>0.11036453829989919</v>
      </c>
      <c r="L319" s="258">
        <f t="shared" ca="1" si="38"/>
        <v>3.7788140819459803</v>
      </c>
      <c r="M319" s="258">
        <f t="shared" ca="1" si="39"/>
        <v>2.2385431355044636</v>
      </c>
      <c r="N319" s="258">
        <f t="shared" si="40"/>
        <v>0.11030689047773996</v>
      </c>
      <c r="O319" s="258">
        <f t="shared" ca="1" si="41"/>
        <v>2.3488500259822036</v>
      </c>
      <c r="P319" s="258">
        <f t="shared" ca="1" si="42"/>
        <v>0.55026743154691227</v>
      </c>
      <c r="Q319" s="258">
        <f t="shared" si="43"/>
        <v>0.11030689047773996</v>
      </c>
      <c r="R319" s="258">
        <f t="shared" ca="1" si="44"/>
        <v>0.66057432202465227</v>
      </c>
    </row>
    <row r="320" spans="3:18" ht="14" x14ac:dyDescent="0.3">
      <c r="C320" s="255" t="s">
        <v>6252</v>
      </c>
      <c r="D320" s="259">
        <v>0.98548746521537212</v>
      </c>
      <c r="E320" s="399">
        <v>1.4512534784627872E-2</v>
      </c>
      <c r="F320" s="400">
        <v>3.3728000000000002</v>
      </c>
      <c r="G320" s="400">
        <v>0.3127525632</v>
      </c>
      <c r="H320" s="257">
        <v>3.6855525632000004</v>
      </c>
      <c r="I320" s="398">
        <v>8.4859070068030978E-2</v>
      </c>
      <c r="J320" s="258">
        <f t="shared" ca="1" si="36"/>
        <v>3.6660133706011844</v>
      </c>
      <c r="K320" s="258">
        <f t="shared" si="37"/>
        <v>0.1155801490303419</v>
      </c>
      <c r="L320" s="258">
        <f t="shared" ca="1" si="38"/>
        <v>3.7815935196315262</v>
      </c>
      <c r="M320" s="258">
        <f t="shared" ca="1" si="39"/>
        <v>2.2370565460388949</v>
      </c>
      <c r="N320" s="258">
        <f t="shared" si="40"/>
        <v>0.11551977688563786</v>
      </c>
      <c r="O320" s="258">
        <f t="shared" ca="1" si="41"/>
        <v>2.3525763229245329</v>
      </c>
      <c r="P320" s="258">
        <f t="shared" ca="1" si="42"/>
        <v>0.54990200559017766</v>
      </c>
      <c r="Q320" s="258">
        <f t="shared" si="43"/>
        <v>0.11551977688563786</v>
      </c>
      <c r="R320" s="258">
        <f t="shared" ca="1" si="44"/>
        <v>0.66542178247581552</v>
      </c>
    </row>
    <row r="321" spans="3:18" ht="14" x14ac:dyDescent="0.3">
      <c r="C321" s="255" t="s">
        <v>6253</v>
      </c>
      <c r="D321" s="259">
        <v>0.98475633081704839</v>
      </c>
      <c r="E321" s="399">
        <v>1.5243669182951657E-2</v>
      </c>
      <c r="F321" s="400">
        <v>3.0628000000000002</v>
      </c>
      <c r="G321" s="400">
        <v>0.29853653759999998</v>
      </c>
      <c r="H321" s="257">
        <v>3.3613365376000002</v>
      </c>
      <c r="I321" s="398">
        <v>8.8814831320982682E-2</v>
      </c>
      <c r="J321" s="258">
        <f t="shared" ca="1" si="36"/>
        <v>3.6632935506394202</v>
      </c>
      <c r="K321" s="258">
        <f t="shared" si="37"/>
        <v>0.12140302036009626</v>
      </c>
      <c r="L321" s="258">
        <f t="shared" ca="1" si="38"/>
        <v>3.7846965709995164</v>
      </c>
      <c r="M321" s="258">
        <f t="shared" ca="1" si="39"/>
        <v>2.2353968709546996</v>
      </c>
      <c r="N321" s="258">
        <f t="shared" si="40"/>
        <v>0.12133960669629519</v>
      </c>
      <c r="O321" s="258">
        <f t="shared" ca="1" si="41"/>
        <v>2.3567364776509949</v>
      </c>
      <c r="P321" s="258">
        <f t="shared" ca="1" si="42"/>
        <v>0.54949403259591301</v>
      </c>
      <c r="Q321" s="258">
        <f t="shared" si="43"/>
        <v>0.12133960669629519</v>
      </c>
      <c r="R321" s="258">
        <f t="shared" ca="1" si="44"/>
        <v>0.67083363929220818</v>
      </c>
    </row>
    <row r="322" spans="3:18" ht="14" x14ac:dyDescent="0.3">
      <c r="C322" s="255" t="s">
        <v>6254</v>
      </c>
      <c r="D322" s="259">
        <v>0.98393320902535897</v>
      </c>
      <c r="E322" s="399">
        <v>1.6066790974640994E-2</v>
      </c>
      <c r="F322" s="400">
        <v>2.7652000000000001</v>
      </c>
      <c r="G322" s="400">
        <v>0.28432051199999997</v>
      </c>
      <c r="H322" s="257">
        <v>3.049520512</v>
      </c>
      <c r="I322" s="398">
        <v>9.3234497318901779E-2</v>
      </c>
      <c r="J322" s="258">
        <f t="shared" ca="1" si="36"/>
        <v>3.6602315375743357</v>
      </c>
      <c r="K322" s="258">
        <f t="shared" si="37"/>
        <v>0.12795849400859682</v>
      </c>
      <c r="L322" s="258">
        <f t="shared" ca="1" si="38"/>
        <v>3.7881900315829324</v>
      </c>
      <c r="M322" s="258">
        <f t="shared" ca="1" si="39"/>
        <v>2.2335283844875651</v>
      </c>
      <c r="N322" s="258">
        <f t="shared" si="40"/>
        <v>0.1278916561581423</v>
      </c>
      <c r="O322" s="258">
        <f t="shared" ca="1" si="41"/>
        <v>2.3614200406457075</v>
      </c>
      <c r="P322" s="258">
        <f t="shared" ca="1" si="42"/>
        <v>0.54903473063615038</v>
      </c>
      <c r="Q322" s="258">
        <f t="shared" si="43"/>
        <v>0.1278916561581423</v>
      </c>
      <c r="R322" s="258">
        <f t="shared" ca="1" si="44"/>
        <v>0.67692638679429273</v>
      </c>
    </row>
    <row r="323" spans="3:18" ht="14" x14ac:dyDescent="0.3">
      <c r="C323" s="255" t="s">
        <v>6255</v>
      </c>
      <c r="D323" s="259">
        <v>0.98299743737483058</v>
      </c>
      <c r="E323" s="399">
        <v>1.7002562625169363E-2</v>
      </c>
      <c r="F323" s="400">
        <v>2.48</v>
      </c>
      <c r="G323" s="400">
        <v>0.27010448640000001</v>
      </c>
      <c r="H323" s="257">
        <v>2.7501044864000002</v>
      </c>
      <c r="I323" s="398">
        <v>9.8216081510989386E-2</v>
      </c>
      <c r="J323" s="258">
        <f t="shared" ca="1" si="36"/>
        <v>3.65675046703437</v>
      </c>
      <c r="K323" s="258">
        <f t="shared" si="37"/>
        <v>0.13541112915686884</v>
      </c>
      <c r="L323" s="258">
        <f t="shared" ca="1" si="38"/>
        <v>3.7921615961912387</v>
      </c>
      <c r="M323" s="258">
        <f t="shared" ca="1" si="39"/>
        <v>2.2314041828408655</v>
      </c>
      <c r="N323" s="258">
        <f t="shared" si="40"/>
        <v>0.13534039849634813</v>
      </c>
      <c r="O323" s="258">
        <f t="shared" ca="1" si="41"/>
        <v>2.3667445813372137</v>
      </c>
      <c r="P323" s="258">
        <f t="shared" ca="1" si="42"/>
        <v>0.54851257005515552</v>
      </c>
      <c r="Q323" s="258">
        <f t="shared" si="43"/>
        <v>0.13534039849634813</v>
      </c>
      <c r="R323" s="258">
        <f t="shared" ca="1" si="44"/>
        <v>0.68385296855150368</v>
      </c>
    </row>
    <row r="324" spans="3:18" ht="14" x14ac:dyDescent="0.3">
      <c r="C324" s="255" t="s">
        <v>6256</v>
      </c>
      <c r="D324" s="259">
        <v>0.98225013308661568</v>
      </c>
      <c r="E324" s="399">
        <v>1.7749866913384354E-2</v>
      </c>
      <c r="F324" s="400">
        <v>2.2071999999999998</v>
      </c>
      <c r="G324" s="400">
        <v>0.25114978560000001</v>
      </c>
      <c r="H324" s="257">
        <v>2.4583497855999998</v>
      </c>
      <c r="I324" s="398">
        <v>0.10216194093742557</v>
      </c>
      <c r="J324" s="258">
        <f t="shared" ca="1" si="36"/>
        <v>3.6539704950822105</v>
      </c>
      <c r="K324" s="258">
        <f t="shared" si="37"/>
        <v>0.14136278007689912</v>
      </c>
      <c r="L324" s="258">
        <f t="shared" ca="1" si="38"/>
        <v>3.7953332751591096</v>
      </c>
      <c r="M324" s="258">
        <f t="shared" ca="1" si="39"/>
        <v>2.2297078021066175</v>
      </c>
      <c r="N324" s="258">
        <f t="shared" si="40"/>
        <v>0.14128894063053946</v>
      </c>
      <c r="O324" s="258">
        <f t="shared" ca="1" si="41"/>
        <v>2.370996742737157</v>
      </c>
      <c r="P324" s="258">
        <f t="shared" ca="1" si="42"/>
        <v>0.54809557426233158</v>
      </c>
      <c r="Q324" s="258">
        <f t="shared" si="43"/>
        <v>0.14128894063053946</v>
      </c>
      <c r="R324" s="258">
        <f t="shared" ca="1" si="44"/>
        <v>0.689384514892871</v>
      </c>
    </row>
    <row r="325" spans="3:18" ht="14" x14ac:dyDescent="0.3">
      <c r="C325" s="255" t="s">
        <v>6257</v>
      </c>
      <c r="D325" s="259">
        <v>0.98115621186764324</v>
      </c>
      <c r="E325" s="399">
        <v>1.884378813235673E-2</v>
      </c>
      <c r="F325" s="400">
        <v>1.9592000000000001</v>
      </c>
      <c r="G325" s="400">
        <v>0.23693375999999999</v>
      </c>
      <c r="H325" s="257">
        <v>2.1961337599999999</v>
      </c>
      <c r="I325" s="398">
        <v>0.10788676187009666</v>
      </c>
      <c r="J325" s="258">
        <f t="shared" ca="1" si="36"/>
        <v>3.6499011081476329</v>
      </c>
      <c r="K325" s="258">
        <f t="shared" si="37"/>
        <v>0.15007494369219015</v>
      </c>
      <c r="L325" s="258">
        <f t="shared" ca="1" si="38"/>
        <v>3.7999760518398231</v>
      </c>
      <c r="M325" s="258">
        <f t="shared" ca="1" si="39"/>
        <v>2.2272246009395502</v>
      </c>
      <c r="N325" s="258">
        <f t="shared" si="40"/>
        <v>0.14999655353355956</v>
      </c>
      <c r="O325" s="258">
        <f t="shared" ca="1" si="41"/>
        <v>2.3772211544731099</v>
      </c>
      <c r="P325" s="258">
        <f t="shared" ca="1" si="42"/>
        <v>0.54748516622214494</v>
      </c>
      <c r="Q325" s="258">
        <f t="shared" si="43"/>
        <v>0.14999655353355956</v>
      </c>
      <c r="R325" s="258">
        <f t="shared" ca="1" si="44"/>
        <v>0.6974817197557045</v>
      </c>
    </row>
    <row r="326" spans="3:18" ht="14" x14ac:dyDescent="0.3">
      <c r="C326" s="255" t="s">
        <v>6258</v>
      </c>
      <c r="D326" s="259">
        <v>0.97989156759598695</v>
      </c>
      <c r="E326" s="399">
        <v>2.0108432404013103E-2</v>
      </c>
      <c r="F326" s="400">
        <v>1.7235999999999998</v>
      </c>
      <c r="G326" s="400">
        <v>0.22271773439999998</v>
      </c>
      <c r="H326" s="257">
        <v>1.9463177343999998</v>
      </c>
      <c r="I326" s="398">
        <v>0.11443030624630166</v>
      </c>
      <c r="J326" s="258">
        <f t="shared" ca="1" si="36"/>
        <v>3.6451966314570718</v>
      </c>
      <c r="K326" s="258">
        <f t="shared" si="37"/>
        <v>0.160146773014745</v>
      </c>
      <c r="L326" s="258">
        <f t="shared" ca="1" si="38"/>
        <v>3.8053434044718166</v>
      </c>
      <c r="M326" s="258">
        <f t="shared" ca="1" si="39"/>
        <v>2.2243538584428904</v>
      </c>
      <c r="N326" s="258">
        <f t="shared" si="40"/>
        <v>0.1600631219359443</v>
      </c>
      <c r="O326" s="258">
        <f t="shared" ca="1" si="41"/>
        <v>2.3844169803788349</v>
      </c>
      <c r="P326" s="258">
        <f t="shared" ca="1" si="42"/>
        <v>0.5467794947185608</v>
      </c>
      <c r="Q326" s="258">
        <f t="shared" si="43"/>
        <v>0.1600631219359443</v>
      </c>
      <c r="R326" s="258">
        <f t="shared" ca="1" si="44"/>
        <v>0.7068426166545051</v>
      </c>
    </row>
    <row r="327" spans="3:18" ht="14" x14ac:dyDescent="0.3">
      <c r="C327" s="255" t="s">
        <v>6259</v>
      </c>
      <c r="D327" s="259">
        <v>0.97840743731966173</v>
      </c>
      <c r="E327" s="399">
        <v>2.1592562680338278E-2</v>
      </c>
      <c r="F327" s="400">
        <v>1.5004</v>
      </c>
      <c r="G327" s="400">
        <v>0.20850170879999996</v>
      </c>
      <c r="H327" s="257">
        <v>1.7089017088</v>
      </c>
      <c r="I327" s="398">
        <v>0.12200918737825535</v>
      </c>
      <c r="J327" s="258">
        <f t="shared" ca="1" si="36"/>
        <v>3.6396756668291417</v>
      </c>
      <c r="K327" s="258">
        <f t="shared" si="37"/>
        <v>0.17196662399624291</v>
      </c>
      <c r="L327" s="258">
        <f t="shared" ca="1" si="38"/>
        <v>3.8116422908253846</v>
      </c>
      <c r="M327" s="258">
        <f t="shared" ca="1" si="39"/>
        <v>2.2209848827156322</v>
      </c>
      <c r="N327" s="258">
        <f t="shared" si="40"/>
        <v>0.17187679893549268</v>
      </c>
      <c r="O327" s="258">
        <f t="shared" ca="1" si="41"/>
        <v>2.3928616816511248</v>
      </c>
      <c r="P327" s="258">
        <f t="shared" ca="1" si="42"/>
        <v>0.54595135002437134</v>
      </c>
      <c r="Q327" s="258">
        <f t="shared" si="43"/>
        <v>0.17187679893549268</v>
      </c>
      <c r="R327" s="258">
        <f t="shared" ca="1" si="44"/>
        <v>0.71782814895986402</v>
      </c>
    </row>
    <row r="328" spans="3:18" ht="14" x14ac:dyDescent="0.3">
      <c r="C328" s="255" t="s">
        <v>6260</v>
      </c>
      <c r="D328" s="259">
        <v>0.97663320539751364</v>
      </c>
      <c r="E328" s="399">
        <v>2.3366794602486338E-2</v>
      </c>
      <c r="F328" s="400">
        <v>1.2896000000000001</v>
      </c>
      <c r="G328" s="400">
        <v>0.1942856832</v>
      </c>
      <c r="H328" s="257">
        <v>1.4838856832</v>
      </c>
      <c r="I328" s="398">
        <v>0.13093035764117816</v>
      </c>
      <c r="J328" s="258">
        <f t="shared" ca="1" si="36"/>
        <v>3.6330755240787509</v>
      </c>
      <c r="K328" s="258">
        <f t="shared" si="37"/>
        <v>0.1860968909013376</v>
      </c>
      <c r="L328" s="258">
        <f t="shared" ca="1" si="38"/>
        <v>3.8191724149800885</v>
      </c>
      <c r="M328" s="258">
        <f t="shared" ca="1" si="39"/>
        <v>2.2169573762523558</v>
      </c>
      <c r="N328" s="258">
        <f t="shared" si="40"/>
        <v>0.18599968503579126</v>
      </c>
      <c r="O328" s="258">
        <f t="shared" ca="1" si="41"/>
        <v>2.4029570612881472</v>
      </c>
      <c r="P328" s="258">
        <f t="shared" ca="1" si="42"/>
        <v>0.54496132861181268</v>
      </c>
      <c r="Q328" s="258">
        <f t="shared" si="43"/>
        <v>0.18599968503579126</v>
      </c>
      <c r="R328" s="258">
        <f t="shared" ca="1" si="44"/>
        <v>0.73096101364760391</v>
      </c>
    </row>
    <row r="329" spans="3:18" ht="14" x14ac:dyDescent="0.3">
      <c r="C329" s="255" t="s">
        <v>6261</v>
      </c>
      <c r="D329" s="259">
        <v>0.9923522718251343</v>
      </c>
      <c r="E329" s="399">
        <v>7.6477281748657013E-3</v>
      </c>
      <c r="F329" s="400">
        <v>15.623999999999999</v>
      </c>
      <c r="G329" s="400">
        <v>0.75818803199999996</v>
      </c>
      <c r="H329" s="257">
        <v>16.382188031999998</v>
      </c>
      <c r="I329" s="398">
        <v>4.6281243416264072E-2</v>
      </c>
      <c r="J329" s="258">
        <f t="shared" ca="1" si="36"/>
        <v>3.6915504511894999</v>
      </c>
      <c r="K329" s="258">
        <f t="shared" si="37"/>
        <v>6.0907730821138421E-2</v>
      </c>
      <c r="L329" s="258">
        <f t="shared" ca="1" si="38"/>
        <v>3.7524581820106384</v>
      </c>
      <c r="M329" s="258">
        <f t="shared" ca="1" si="39"/>
        <v>2.2526396570430549</v>
      </c>
      <c r="N329" s="258">
        <f t="shared" si="40"/>
        <v>6.087591627193098E-2</v>
      </c>
      <c r="O329" s="258">
        <f t="shared" ca="1" si="41"/>
        <v>2.3135155733149859</v>
      </c>
      <c r="P329" s="258">
        <f t="shared" ca="1" si="42"/>
        <v>0.55373256767842505</v>
      </c>
      <c r="Q329" s="258">
        <f t="shared" si="43"/>
        <v>6.087591627193098E-2</v>
      </c>
      <c r="R329" s="258">
        <f t="shared" ca="1" si="44"/>
        <v>0.61460848395035605</v>
      </c>
    </row>
    <row r="330" spans="3:18" ht="14" x14ac:dyDescent="0.3">
      <c r="C330" s="255" t="s">
        <v>6262</v>
      </c>
      <c r="D330" s="259">
        <v>0.9877904274859225</v>
      </c>
      <c r="E330" s="399">
        <v>1.2209572514077522E-2</v>
      </c>
      <c r="F330" s="400">
        <v>6.0884</v>
      </c>
      <c r="G330" s="400">
        <v>0.47386751999999999</v>
      </c>
      <c r="H330" s="257">
        <v>6.5622675199999998</v>
      </c>
      <c r="I330" s="398">
        <v>7.2210942110449039E-2</v>
      </c>
      <c r="J330" s="258">
        <f t="shared" ca="1" si="36"/>
        <v>3.6745803902476317</v>
      </c>
      <c r="K330" s="258">
        <f t="shared" si="37"/>
        <v>9.7238989033715639E-2</v>
      </c>
      <c r="L330" s="258">
        <f t="shared" ca="1" si="38"/>
        <v>3.7718193792813475</v>
      </c>
      <c r="M330" s="258">
        <f t="shared" ca="1" si="39"/>
        <v>2.2422842703930441</v>
      </c>
      <c r="N330" s="258">
        <f t="shared" si="40"/>
        <v>9.718819721205707E-2</v>
      </c>
      <c r="O330" s="258">
        <f t="shared" ca="1" si="41"/>
        <v>2.3394724676051011</v>
      </c>
      <c r="P330" s="258">
        <f t="shared" ca="1" si="42"/>
        <v>0.55118705853714478</v>
      </c>
      <c r="Q330" s="258">
        <f t="shared" si="43"/>
        <v>9.718819721205707E-2</v>
      </c>
      <c r="R330" s="258">
        <f t="shared" ca="1" si="44"/>
        <v>0.64837525574920185</v>
      </c>
    </row>
    <row r="331" spans="3:18" ht="14" x14ac:dyDescent="0.3">
      <c r="C331" s="255" t="s">
        <v>6263</v>
      </c>
      <c r="D331" s="259">
        <v>0.9847730254987217</v>
      </c>
      <c r="E331" s="399">
        <v>1.5226974501278322E-2</v>
      </c>
      <c r="F331" s="400">
        <v>3.8936000000000002</v>
      </c>
      <c r="G331" s="400">
        <v>0.37909401599999998</v>
      </c>
      <c r="H331" s="257">
        <v>4.272694016</v>
      </c>
      <c r="I331" s="398">
        <v>8.8724821992963415E-2</v>
      </c>
      <c r="J331" s="258">
        <f t="shared" ca="1" si="36"/>
        <v>3.6633556548552448</v>
      </c>
      <c r="K331" s="258">
        <f t="shared" si="37"/>
        <v>0.12127006124410075</v>
      </c>
      <c r="L331" s="258">
        <f t="shared" ca="1" si="38"/>
        <v>3.7846257160993457</v>
      </c>
      <c r="M331" s="258">
        <f t="shared" ca="1" si="39"/>
        <v>2.2354347678820985</v>
      </c>
      <c r="N331" s="258">
        <f t="shared" si="40"/>
        <v>0.12120671703017544</v>
      </c>
      <c r="O331" s="258">
        <f t="shared" ca="1" si="41"/>
        <v>2.3566414849122741</v>
      </c>
      <c r="P331" s="258">
        <f t="shared" ca="1" si="42"/>
        <v>0.54950334822828673</v>
      </c>
      <c r="Q331" s="258">
        <f t="shared" si="43"/>
        <v>0.12120671703017544</v>
      </c>
      <c r="R331" s="258">
        <f t="shared" ca="1" si="44"/>
        <v>0.67071006525846211</v>
      </c>
    </row>
    <row r="332" spans="3:18" ht="14" x14ac:dyDescent="0.3">
      <c r="C332" s="255" t="s">
        <v>6264</v>
      </c>
      <c r="D332" s="259">
        <v>0.98104216548512091</v>
      </c>
      <c r="E332" s="399">
        <v>1.8957834514879042E-2</v>
      </c>
      <c r="F332" s="400">
        <v>2.4923999999999995</v>
      </c>
      <c r="G332" s="400">
        <v>0.30327521279999997</v>
      </c>
      <c r="H332" s="257">
        <v>2.7956752127999995</v>
      </c>
      <c r="I332" s="398">
        <v>0.10848013081471494</v>
      </c>
      <c r="J332" s="258">
        <f t="shared" ca="1" si="36"/>
        <v>3.6494768556046502</v>
      </c>
      <c r="K332" s="258">
        <f t="shared" si="37"/>
        <v>0.15098322733001907</v>
      </c>
      <c r="L332" s="258">
        <f t="shared" ca="1" si="38"/>
        <v>3.8004600829346691</v>
      </c>
      <c r="M332" s="258">
        <f t="shared" ca="1" si="39"/>
        <v>2.2269657156512244</v>
      </c>
      <c r="N332" s="258">
        <f t="shared" si="40"/>
        <v>0.15090436273843719</v>
      </c>
      <c r="O332" s="258">
        <f t="shared" ca="1" si="41"/>
        <v>2.3778700783896616</v>
      </c>
      <c r="P332" s="258">
        <f t="shared" ca="1" si="42"/>
        <v>0.54742152834069757</v>
      </c>
      <c r="Q332" s="258">
        <f t="shared" si="43"/>
        <v>0.15090436273843719</v>
      </c>
      <c r="R332" s="258">
        <f t="shared" ca="1" si="44"/>
        <v>0.69832589107913479</v>
      </c>
    </row>
    <row r="333" spans="3:18" ht="14" x14ac:dyDescent="0.3">
      <c r="C333" s="255" t="s">
        <v>6265</v>
      </c>
      <c r="D333" s="259">
        <v>0.97486807360547278</v>
      </c>
      <c r="E333" s="399">
        <v>2.5131926394527215E-2</v>
      </c>
      <c r="F333" s="400">
        <v>1.4011999999999998</v>
      </c>
      <c r="G333" s="400">
        <v>0.22745640959999999</v>
      </c>
      <c r="H333" s="257">
        <v>1.6286564095999998</v>
      </c>
      <c r="I333" s="398">
        <v>0.13965892883193429</v>
      </c>
      <c r="J333" s="258">
        <f t="shared" ca="1" si="36"/>
        <v>3.6265092338123588</v>
      </c>
      <c r="K333" s="258">
        <f t="shared" si="37"/>
        <v>0.20015468291423785</v>
      </c>
      <c r="L333" s="258">
        <f t="shared" ca="1" si="38"/>
        <v>3.8266639167265968</v>
      </c>
      <c r="M333" s="258">
        <f t="shared" ca="1" si="39"/>
        <v>2.2129505270844234</v>
      </c>
      <c r="N333" s="258">
        <f t="shared" si="40"/>
        <v>0.20005013410043662</v>
      </c>
      <c r="O333" s="258">
        <f t="shared" ca="1" si="41"/>
        <v>2.41300066118486</v>
      </c>
      <c r="P333" s="258">
        <f t="shared" ca="1" si="42"/>
        <v>0.54397638507185386</v>
      </c>
      <c r="Q333" s="258">
        <f t="shared" si="43"/>
        <v>0.20005013410043662</v>
      </c>
      <c r="R333" s="258">
        <f t="shared" ca="1" si="44"/>
        <v>0.74402651917229046</v>
      </c>
    </row>
    <row r="334" spans="3:18" ht="14" x14ac:dyDescent="0.25">
      <c r="C334" s="255" t="s">
        <v>6266</v>
      </c>
      <c r="D334" s="132">
        <v>0.98795333515994987</v>
      </c>
      <c r="E334" s="132">
        <v>1.2046664840050089E-2</v>
      </c>
      <c r="F334" s="132">
        <v>340.41525000000001</v>
      </c>
      <c r="G334" s="132">
        <v>13.228576822426152</v>
      </c>
      <c r="H334" s="132">
        <v>353.64382682242615</v>
      </c>
      <c r="I334" s="401">
        <v>3.7406497212995514E-2</v>
      </c>
      <c r="J334" s="258">
        <f t="shared" ca="1" si="36"/>
        <v>3.6751864067950137</v>
      </c>
      <c r="K334" s="258">
        <f t="shared" si="37"/>
        <v>9.5941566252533306E-2</v>
      </c>
      <c r="L334" s="258">
        <f t="shared" ca="1" si="38"/>
        <v>3.7711279730475469</v>
      </c>
      <c r="M334" s="258">
        <f t="shared" ca="1" si="39"/>
        <v>2.2426540708130864</v>
      </c>
      <c r="N334" s="258">
        <f t="shared" si="40"/>
        <v>9.5891452126798712E-2</v>
      </c>
      <c r="O334" s="258">
        <f t="shared" ca="1" si="41"/>
        <v>2.338545522939885</v>
      </c>
      <c r="P334" s="258">
        <f t="shared" ca="1" si="42"/>
        <v>0.55127796101925208</v>
      </c>
      <c r="Q334" s="258">
        <f t="shared" si="43"/>
        <v>9.5891452126798712E-2</v>
      </c>
      <c r="R334" s="258">
        <f t="shared" ca="1" si="44"/>
        <v>0.64716941314605081</v>
      </c>
    </row>
    <row r="335" spans="3:18" ht="14" x14ac:dyDescent="0.25">
      <c r="C335" s="255" t="s">
        <v>6267</v>
      </c>
      <c r="D335" s="132">
        <v>0.98391845193923944</v>
      </c>
      <c r="E335" s="132">
        <v>1.6081548060760596E-2</v>
      </c>
      <c r="F335" s="132">
        <v>255.79225000000002</v>
      </c>
      <c r="G335" s="132">
        <v>13.323853540480988</v>
      </c>
      <c r="H335" s="132">
        <v>269.11610354048099</v>
      </c>
      <c r="I335" s="401">
        <v>4.9509685095737076E-2</v>
      </c>
      <c r="J335" s="258">
        <f t="shared" ca="1" si="36"/>
        <v>3.6601766412139707</v>
      </c>
      <c r="K335" s="258">
        <f t="shared" si="37"/>
        <v>0.1280760218035871</v>
      </c>
      <c r="L335" s="258">
        <f t="shared" ca="1" si="38"/>
        <v>3.7882526630175577</v>
      </c>
      <c r="M335" s="258">
        <f t="shared" ca="1" si="39"/>
        <v>2.2334948859020733</v>
      </c>
      <c r="N335" s="258">
        <f t="shared" si="40"/>
        <v>0.12800912256365435</v>
      </c>
      <c r="O335" s="258">
        <f t="shared" ca="1" si="41"/>
        <v>2.3615040084657277</v>
      </c>
      <c r="P335" s="258">
        <f t="shared" ca="1" si="42"/>
        <v>0.54902649618209565</v>
      </c>
      <c r="Q335" s="258">
        <f t="shared" si="43"/>
        <v>0.12800912256365435</v>
      </c>
      <c r="R335" s="258">
        <f t="shared" ca="1" si="44"/>
        <v>0.67703561874575002</v>
      </c>
    </row>
    <row r="336" spans="3:18" ht="14" x14ac:dyDescent="0.25">
      <c r="C336" s="255" t="s">
        <v>6268</v>
      </c>
      <c r="D336" s="132">
        <v>0.97625675473005258</v>
      </c>
      <c r="E336" s="132">
        <v>2.3743245269947397E-2</v>
      </c>
      <c r="F336" s="132">
        <v>173.09250000000003</v>
      </c>
      <c r="G336" s="132">
        <v>13.416152861096611</v>
      </c>
      <c r="H336" s="132">
        <v>186.50865286109664</v>
      </c>
      <c r="I336" s="401">
        <v>7.1933139054349213E-2</v>
      </c>
      <c r="J336" s="258">
        <f t="shared" ca="1" si="36"/>
        <v>3.6316751275957957</v>
      </c>
      <c r="K336" s="258">
        <f t="shared" si="37"/>
        <v>0.18909500424910425</v>
      </c>
      <c r="L336" s="258">
        <f t="shared" ca="1" si="38"/>
        <v>3.8207701318448999</v>
      </c>
      <c r="M336" s="258">
        <f t="shared" ca="1" si="39"/>
        <v>2.2161028332372195</v>
      </c>
      <c r="N336" s="258">
        <f t="shared" si="40"/>
        <v>0.1889962323487813</v>
      </c>
      <c r="O336" s="258">
        <f t="shared" ca="1" si="41"/>
        <v>2.405099065586001</v>
      </c>
      <c r="P336" s="258">
        <f t="shared" ca="1" si="42"/>
        <v>0.54475126913936944</v>
      </c>
      <c r="Q336" s="258">
        <f t="shared" si="43"/>
        <v>0.1889962323487813</v>
      </c>
      <c r="R336" s="258">
        <f t="shared" ca="1" si="44"/>
        <v>0.73374750148815071</v>
      </c>
    </row>
    <row r="337" spans="3:18" ht="14" x14ac:dyDescent="0.25">
      <c r="C337" s="255" t="s">
        <v>6269</v>
      </c>
      <c r="D337" s="132">
        <v>0.98796531275624244</v>
      </c>
      <c r="E337" s="132">
        <v>1.2034687243757555E-2</v>
      </c>
      <c r="F337" s="132">
        <v>301.95025000000004</v>
      </c>
      <c r="G337" s="132">
        <v>11.722013718184055</v>
      </c>
      <c r="H337" s="132">
        <v>313.67226371818407</v>
      </c>
      <c r="I337" s="401">
        <v>3.7370258942357709E-2</v>
      </c>
      <c r="J337" s="258">
        <f t="shared" ca="1" si="36"/>
        <v>3.6752309634532221</v>
      </c>
      <c r="K337" s="258">
        <f t="shared" si="37"/>
        <v>9.584617475924416E-2</v>
      </c>
      <c r="L337" s="258">
        <f t="shared" ca="1" si="38"/>
        <v>3.7710771382124664</v>
      </c>
      <c r="M337" s="258">
        <f t="shared" ca="1" si="39"/>
        <v>2.2426812599566706</v>
      </c>
      <c r="N337" s="258">
        <f t="shared" si="40"/>
        <v>9.5796110460310127E-2</v>
      </c>
      <c r="O337" s="258">
        <f t="shared" ca="1" si="41"/>
        <v>2.3384773704169808</v>
      </c>
      <c r="P337" s="258">
        <f t="shared" ca="1" si="42"/>
        <v>0.55128464451798331</v>
      </c>
      <c r="Q337" s="258">
        <f t="shared" si="43"/>
        <v>9.5796110460310127E-2</v>
      </c>
      <c r="R337" s="258">
        <f t="shared" ca="1" si="44"/>
        <v>0.64708075497829343</v>
      </c>
    </row>
    <row r="338" spans="3:18" ht="14" x14ac:dyDescent="0.25">
      <c r="C338" s="255" t="s">
        <v>6270</v>
      </c>
      <c r="D338" s="132">
        <v>0.98392363588325282</v>
      </c>
      <c r="E338" s="132">
        <v>1.6076364116747201E-2</v>
      </c>
      <c r="F338" s="132">
        <v>226.9435</v>
      </c>
      <c r="G338" s="132">
        <v>11.817290436238892</v>
      </c>
      <c r="H338" s="132">
        <v>238.76079043623889</v>
      </c>
      <c r="I338" s="401">
        <v>4.9494267524611425E-2</v>
      </c>
      <c r="J338" s="258">
        <f t="shared" ca="1" si="36"/>
        <v>3.6601959254857008</v>
      </c>
      <c r="K338" s="258">
        <f t="shared" si="37"/>
        <v>0.1280347360440334</v>
      </c>
      <c r="L338" s="258">
        <f t="shared" ca="1" si="38"/>
        <v>3.7882306615297341</v>
      </c>
      <c r="M338" s="258">
        <f t="shared" ca="1" si="39"/>
        <v>2.2335066534549841</v>
      </c>
      <c r="N338" s="258">
        <f t="shared" si="40"/>
        <v>0.12796785836930771</v>
      </c>
      <c r="O338" s="258">
        <f t="shared" ca="1" si="41"/>
        <v>2.3614745118242917</v>
      </c>
      <c r="P338" s="258">
        <f t="shared" ca="1" si="42"/>
        <v>0.54902938882285512</v>
      </c>
      <c r="Q338" s="258">
        <f t="shared" si="43"/>
        <v>0.12796785836930771</v>
      </c>
      <c r="R338" s="258">
        <f t="shared" ca="1" si="44"/>
        <v>0.67699724719216281</v>
      </c>
    </row>
    <row r="339" spans="3:18" ht="14" x14ac:dyDescent="0.25">
      <c r="C339" s="255" t="s">
        <v>6271</v>
      </c>
      <c r="D339" s="132">
        <v>0.97628762055752116</v>
      </c>
      <c r="E339" s="132">
        <v>2.3712379442478813E-2</v>
      </c>
      <c r="F339" s="132">
        <v>153.86000000000001</v>
      </c>
      <c r="G339" s="132">
        <v>11.909589756854514</v>
      </c>
      <c r="H339" s="132">
        <v>165.76958975685451</v>
      </c>
      <c r="I339" s="401">
        <v>7.1844237379866324E-2</v>
      </c>
      <c r="J339" s="258">
        <f t="shared" ca="1" si="36"/>
        <v>3.6317899484739788</v>
      </c>
      <c r="K339" s="258">
        <f t="shared" si="37"/>
        <v>0.18884918386061206</v>
      </c>
      <c r="L339" s="258">
        <f t="shared" ca="1" si="38"/>
        <v>3.8206391323345907</v>
      </c>
      <c r="M339" s="258">
        <f t="shared" ca="1" si="39"/>
        <v>2.2161728986655729</v>
      </c>
      <c r="N339" s="258">
        <f t="shared" si="40"/>
        <v>0.18875054036213135</v>
      </c>
      <c r="O339" s="258">
        <f t="shared" ca="1" si="41"/>
        <v>2.4049234390277041</v>
      </c>
      <c r="P339" s="258">
        <f t="shared" ca="1" si="42"/>
        <v>0.5447684922710968</v>
      </c>
      <c r="Q339" s="258">
        <f t="shared" si="43"/>
        <v>0.18875054036213135</v>
      </c>
      <c r="R339" s="258">
        <f t="shared" ca="1" si="44"/>
        <v>0.73351903263322815</v>
      </c>
    </row>
    <row r="340" spans="3:18" ht="14" x14ac:dyDescent="0.25">
      <c r="C340" s="255" t="s">
        <v>6272</v>
      </c>
      <c r="D340" s="132">
        <v>0.98790045301275586</v>
      </c>
      <c r="E340" s="132">
        <v>1.2099546987244136E-2</v>
      </c>
      <c r="F340" s="132">
        <v>261.56200000000001</v>
      </c>
      <c r="G340" s="132">
        <v>10.209495819063532</v>
      </c>
      <c r="H340" s="132">
        <v>271.77149581906355</v>
      </c>
      <c r="I340" s="401">
        <v>3.7566470274206669E-2</v>
      </c>
      <c r="J340" s="258">
        <f t="shared" ca="1" si="36"/>
        <v>3.6749896852074522</v>
      </c>
      <c r="K340" s="258">
        <f t="shared" si="37"/>
        <v>9.636272813393025E-2</v>
      </c>
      <c r="L340" s="258">
        <f t="shared" ca="1" si="38"/>
        <v>3.7713524133413823</v>
      </c>
      <c r="M340" s="258">
        <f t="shared" ca="1" si="39"/>
        <v>2.2425340283389557</v>
      </c>
      <c r="N340" s="258">
        <f t="shared" si="40"/>
        <v>9.6312394018463324E-2</v>
      </c>
      <c r="O340" s="258">
        <f t="shared" ca="1" si="41"/>
        <v>2.338846422357419</v>
      </c>
      <c r="P340" s="258">
        <f t="shared" ca="1" si="42"/>
        <v>0.55124845278111778</v>
      </c>
      <c r="Q340" s="258">
        <f t="shared" si="43"/>
        <v>9.6312394018463324E-2</v>
      </c>
      <c r="R340" s="258">
        <f t="shared" ca="1" si="44"/>
        <v>0.64756084679958115</v>
      </c>
    </row>
    <row r="341" spans="3:18" ht="14" x14ac:dyDescent="0.25">
      <c r="C341" s="255" t="s">
        <v>6273</v>
      </c>
      <c r="D341" s="132">
        <v>0.98393946152014833</v>
      </c>
      <c r="E341" s="132">
        <v>1.6060538479851637E-2</v>
      </c>
      <c r="F341" s="132">
        <v>198.09475000000003</v>
      </c>
      <c r="G341" s="132">
        <v>10.304772537118367</v>
      </c>
      <c r="H341" s="132">
        <v>208.3995225371184</v>
      </c>
      <c r="I341" s="401">
        <v>4.944719839884934E-2</v>
      </c>
      <c r="J341" s="258">
        <f t="shared" ca="1" si="36"/>
        <v>3.6602547968549519</v>
      </c>
      <c r="K341" s="258">
        <f t="shared" si="37"/>
        <v>0.12790869813969521</v>
      </c>
      <c r="L341" s="258">
        <f t="shared" ca="1" si="38"/>
        <v>3.788163494994647</v>
      </c>
      <c r="M341" s="258">
        <f t="shared" ca="1" si="39"/>
        <v>2.2335425776507369</v>
      </c>
      <c r="N341" s="258">
        <f t="shared" si="40"/>
        <v>0.12784188629961904</v>
      </c>
      <c r="O341" s="258">
        <f t="shared" ca="1" si="41"/>
        <v>2.3613844639503561</v>
      </c>
      <c r="P341" s="258">
        <f t="shared" ca="1" si="42"/>
        <v>0.54903821952824283</v>
      </c>
      <c r="Q341" s="258">
        <f t="shared" si="43"/>
        <v>0.12784188629961904</v>
      </c>
      <c r="R341" s="258">
        <f t="shared" ca="1" si="44"/>
        <v>0.67688010582786184</v>
      </c>
    </row>
    <row r="342" spans="3:18" ht="14" x14ac:dyDescent="0.25">
      <c r="C342" s="255" t="s">
        <v>6274</v>
      </c>
      <c r="D342" s="132">
        <v>0.97634053794563735</v>
      </c>
      <c r="E342" s="132">
        <v>2.36594620543626E-2</v>
      </c>
      <c r="F342" s="132">
        <v>134.62750000000003</v>
      </c>
      <c r="G342" s="132">
        <v>10.397071857733991</v>
      </c>
      <c r="H342" s="132">
        <v>145.02457185773403</v>
      </c>
      <c r="I342" s="401">
        <v>7.1691794876893644E-2</v>
      </c>
      <c r="J342" s="258">
        <f t="shared" ca="1" si="36"/>
        <v>3.6319868011577712</v>
      </c>
      <c r="K342" s="258">
        <f t="shared" si="37"/>
        <v>0.18842774131487244</v>
      </c>
      <c r="L342" s="258">
        <f t="shared" ca="1" si="38"/>
        <v>3.8204145424726437</v>
      </c>
      <c r="M342" s="258">
        <f t="shared" ca="1" si="39"/>
        <v>2.2162930211365968</v>
      </c>
      <c r="N342" s="258">
        <f t="shared" si="40"/>
        <v>0.18832931795272631</v>
      </c>
      <c r="O342" s="258">
        <f t="shared" ca="1" si="41"/>
        <v>2.4046223390893231</v>
      </c>
      <c r="P342" s="258">
        <f t="shared" ca="1" si="42"/>
        <v>0.54479802017366574</v>
      </c>
      <c r="Q342" s="258">
        <f t="shared" si="43"/>
        <v>0.18832931795272631</v>
      </c>
      <c r="R342" s="258">
        <f t="shared" ca="1" si="44"/>
        <v>0.73312733812639208</v>
      </c>
    </row>
    <row r="343" spans="3:18" ht="14" x14ac:dyDescent="0.25">
      <c r="C343" s="255" t="s">
        <v>6275</v>
      </c>
      <c r="D343" s="132">
        <v>0.98795566824215919</v>
      </c>
      <c r="E343" s="132">
        <v>1.2044331757840827E-2</v>
      </c>
      <c r="F343" s="132">
        <v>238.48300000000003</v>
      </c>
      <c r="G343" s="132">
        <v>9.265660830832811</v>
      </c>
      <c r="H343" s="132">
        <v>247.74866083083285</v>
      </c>
      <c r="I343" s="401">
        <v>3.739943860749894E-2</v>
      </c>
      <c r="J343" s="258">
        <f t="shared" ca="1" si="36"/>
        <v>3.6751950858608322</v>
      </c>
      <c r="K343" s="258">
        <f t="shared" si="37"/>
        <v>9.5922985212525597E-2</v>
      </c>
      <c r="L343" s="258">
        <f t="shared" ca="1" si="38"/>
        <v>3.7711180710733578</v>
      </c>
      <c r="M343" s="258">
        <f t="shared" ca="1" si="39"/>
        <v>2.2426593669097015</v>
      </c>
      <c r="N343" s="258">
        <f t="shared" si="40"/>
        <v>9.5872880792412976E-2</v>
      </c>
      <c r="O343" s="258">
        <f t="shared" ca="1" si="41"/>
        <v>2.3385322477021147</v>
      </c>
      <c r="P343" s="258">
        <f t="shared" ca="1" si="42"/>
        <v>0.55127926287912488</v>
      </c>
      <c r="Q343" s="258">
        <f t="shared" si="43"/>
        <v>9.5872880792412976E-2</v>
      </c>
      <c r="R343" s="258">
        <f t="shared" ca="1" si="44"/>
        <v>0.64715214367153784</v>
      </c>
    </row>
    <row r="344" spans="3:18" ht="14" x14ac:dyDescent="0.25">
      <c r="C344" s="255" t="s">
        <v>6276</v>
      </c>
      <c r="D344" s="132">
        <v>0.98384329233871881</v>
      </c>
      <c r="E344" s="132">
        <v>1.6156707661281133E-2</v>
      </c>
      <c r="F344" s="132">
        <v>178.86224999999999</v>
      </c>
      <c r="G344" s="132">
        <v>9.3609375488876481</v>
      </c>
      <c r="H344" s="132">
        <v>188.22318754888764</v>
      </c>
      <c r="I344" s="401">
        <v>4.9733179374917932E-2</v>
      </c>
      <c r="J344" s="258">
        <f t="shared" ca="1" si="36"/>
        <v>3.6598970475000341</v>
      </c>
      <c r="K344" s="258">
        <f t="shared" si="37"/>
        <v>0.12867460488766874</v>
      </c>
      <c r="L344" s="258">
        <f t="shared" ca="1" si="38"/>
        <v>3.7885716523877027</v>
      </c>
      <c r="M344" s="258">
        <f t="shared" ca="1" si="39"/>
        <v>2.2333242736088916</v>
      </c>
      <c r="N344" s="258">
        <f t="shared" si="40"/>
        <v>0.12860739298379781</v>
      </c>
      <c r="O344" s="258">
        <f t="shared" ca="1" si="41"/>
        <v>2.3619316665926893</v>
      </c>
      <c r="P344" s="258">
        <f t="shared" ca="1" si="42"/>
        <v>0.54898455712500516</v>
      </c>
      <c r="Q344" s="258">
        <f t="shared" si="43"/>
        <v>0.12860739298379781</v>
      </c>
      <c r="R344" s="258">
        <f t="shared" ca="1" si="44"/>
        <v>0.67759195010880302</v>
      </c>
    </row>
    <row r="345" spans="3:18" ht="14" x14ac:dyDescent="0.25">
      <c r="C345" s="255" t="s">
        <v>6277</v>
      </c>
      <c r="D345" s="132">
        <v>0.97610392415573644</v>
      </c>
      <c r="E345" s="132">
        <v>2.3896075844263519E-2</v>
      </c>
      <c r="F345" s="132">
        <v>121.16475</v>
      </c>
      <c r="G345" s="132">
        <v>9.4532368695032698</v>
      </c>
      <c r="H345" s="132">
        <v>130.61798686950326</v>
      </c>
      <c r="I345" s="401">
        <v>7.237316311533519E-2</v>
      </c>
      <c r="J345" s="258">
        <f t="shared" ca="1" si="36"/>
        <v>3.6311065978593398</v>
      </c>
      <c r="K345" s="258">
        <f t="shared" si="37"/>
        <v>0.19031217139584974</v>
      </c>
      <c r="L345" s="258">
        <f t="shared" ca="1" si="38"/>
        <v>3.8214187692551893</v>
      </c>
      <c r="M345" s="258">
        <f t="shared" ca="1" si="39"/>
        <v>2.2157559078335218</v>
      </c>
      <c r="N345" s="258">
        <f t="shared" si="40"/>
        <v>0.1902127637203376</v>
      </c>
      <c r="O345" s="258">
        <f t="shared" ca="1" si="41"/>
        <v>2.4059686715538593</v>
      </c>
      <c r="P345" s="258">
        <f t="shared" ca="1" si="42"/>
        <v>0.54466598967890101</v>
      </c>
      <c r="Q345" s="258">
        <f t="shared" si="43"/>
        <v>0.1902127637203376</v>
      </c>
      <c r="R345" s="258">
        <f t="shared" ca="1" si="44"/>
        <v>0.73487875339923858</v>
      </c>
    </row>
    <row r="346" spans="3:18" ht="14" x14ac:dyDescent="0.25">
      <c r="C346" s="255" t="s">
        <v>6278</v>
      </c>
      <c r="D346" s="132">
        <v>0.98786806567243346</v>
      </c>
      <c r="E346" s="132">
        <v>1.2131934327566559E-2</v>
      </c>
      <c r="F346" s="132">
        <v>198.09475000000003</v>
      </c>
      <c r="G346" s="132">
        <v>7.7531429317122882</v>
      </c>
      <c r="H346" s="132">
        <v>205.84789293171232</v>
      </c>
      <c r="I346" s="401">
        <v>3.7664426977080133E-2</v>
      </c>
      <c r="J346" s="258">
        <f t="shared" ca="1" si="36"/>
        <v>3.6748692043014528</v>
      </c>
      <c r="K346" s="258">
        <f t="shared" si="37"/>
        <v>9.6620666094232491E-2</v>
      </c>
      <c r="L346" s="258">
        <f t="shared" ca="1" si="38"/>
        <v>3.7714898703956852</v>
      </c>
      <c r="M346" s="258">
        <f t="shared" ca="1" si="39"/>
        <v>2.242460509076424</v>
      </c>
      <c r="N346" s="258">
        <f t="shared" si="40"/>
        <v>9.6570197247429809E-2</v>
      </c>
      <c r="O346" s="258">
        <f t="shared" ca="1" si="41"/>
        <v>2.3390307063238538</v>
      </c>
      <c r="P346" s="258">
        <f t="shared" ca="1" si="42"/>
        <v>0.5512303806452179</v>
      </c>
      <c r="Q346" s="258">
        <f t="shared" si="43"/>
        <v>9.6570197247429809E-2</v>
      </c>
      <c r="R346" s="258">
        <f t="shared" ca="1" si="44"/>
        <v>0.64780057789264767</v>
      </c>
    </row>
    <row r="347" spans="3:18" ht="14" x14ac:dyDescent="0.25">
      <c r="C347" s="255" t="s">
        <v>6279</v>
      </c>
      <c r="D347" s="132">
        <v>0.98363020385659017</v>
      </c>
      <c r="E347" s="132">
        <v>1.6369796143409856E-2</v>
      </c>
      <c r="F347" s="132">
        <v>148.09025</v>
      </c>
      <c r="G347" s="132">
        <v>7.8543744446455515</v>
      </c>
      <c r="H347" s="132">
        <v>155.94462444464554</v>
      </c>
      <c r="I347" s="401">
        <v>5.0366432780974496E-2</v>
      </c>
      <c r="J347" s="258">
        <f t="shared" ca="1" si="36"/>
        <v>3.6591043583465157</v>
      </c>
      <c r="K347" s="258">
        <f t="shared" si="37"/>
        <v>0.13037167565349903</v>
      </c>
      <c r="L347" s="258">
        <f t="shared" ca="1" si="38"/>
        <v>3.7894760340000149</v>
      </c>
      <c r="M347" s="258">
        <f t="shared" ca="1" si="39"/>
        <v>2.2328405627544599</v>
      </c>
      <c r="N347" s="258">
        <f t="shared" si="40"/>
        <v>0.13030357730154246</v>
      </c>
      <c r="O347" s="258">
        <f t="shared" ca="1" si="41"/>
        <v>2.3631441400560025</v>
      </c>
      <c r="P347" s="258">
        <f t="shared" ca="1" si="42"/>
        <v>0.54886565375197738</v>
      </c>
      <c r="Q347" s="258">
        <f t="shared" si="43"/>
        <v>0.13030357730154246</v>
      </c>
      <c r="R347" s="258">
        <f t="shared" ca="1" si="44"/>
        <v>0.67916923105351978</v>
      </c>
    </row>
    <row r="348" spans="3:18" ht="14" x14ac:dyDescent="0.25">
      <c r="C348" s="255" t="s">
        <v>6280</v>
      </c>
      <c r="D348" s="132">
        <v>0.97613913305348443</v>
      </c>
      <c r="E348" s="132">
        <v>2.3860866946515596E-2</v>
      </c>
      <c r="F348" s="132">
        <v>101.93225</v>
      </c>
      <c r="G348" s="132">
        <v>7.9407189703827479</v>
      </c>
      <c r="H348" s="132">
        <v>109.87296897038274</v>
      </c>
      <c r="I348" s="401">
        <v>7.2271815759554478E-2</v>
      </c>
      <c r="J348" s="258">
        <f t="shared" ca="1" si="36"/>
        <v>3.6312375749589623</v>
      </c>
      <c r="K348" s="258">
        <f t="shared" si="37"/>
        <v>0.19003176210076164</v>
      </c>
      <c r="L348" s="258">
        <f t="shared" ca="1" si="38"/>
        <v>3.8212693370597237</v>
      </c>
      <c r="M348" s="258">
        <f t="shared" ca="1" si="39"/>
        <v>2.2158358320314098</v>
      </c>
      <c r="N348" s="258">
        <f t="shared" si="40"/>
        <v>0.18993250089426414</v>
      </c>
      <c r="O348" s="258">
        <f t="shared" ca="1" si="41"/>
        <v>2.4057683329256738</v>
      </c>
      <c r="P348" s="258">
        <f t="shared" ca="1" si="42"/>
        <v>0.54468563624384436</v>
      </c>
      <c r="Q348" s="258">
        <f t="shared" si="43"/>
        <v>0.18993250089426414</v>
      </c>
      <c r="R348" s="258">
        <f t="shared" ca="1" si="44"/>
        <v>0.73461813713810853</v>
      </c>
    </row>
    <row r="349" spans="3:18" ht="14" x14ac:dyDescent="0.25">
      <c r="C349" s="255" t="s">
        <v>6281</v>
      </c>
      <c r="D349" s="132">
        <v>0.97386831696106801</v>
      </c>
      <c r="E349" s="132">
        <v>2.6131683038931951E-2</v>
      </c>
      <c r="F349" s="132">
        <v>76.930000000000007</v>
      </c>
      <c r="G349" s="132">
        <v>6.5786472124554303</v>
      </c>
      <c r="H349" s="132">
        <v>83.508647212455443</v>
      </c>
      <c r="I349" s="401">
        <v>7.8778035952595513E-2</v>
      </c>
      <c r="J349" s="258">
        <f t="shared" ca="1" si="36"/>
        <v>3.6227901390951733</v>
      </c>
      <c r="K349" s="258">
        <f t="shared" si="37"/>
        <v>0.20811690479134026</v>
      </c>
      <c r="L349" s="258">
        <f t="shared" ca="1" si="38"/>
        <v>3.8309070438865138</v>
      </c>
      <c r="M349" s="258">
        <f t="shared" ca="1" si="39"/>
        <v>2.2106810795016245</v>
      </c>
      <c r="N349" s="258">
        <f t="shared" si="40"/>
        <v>0.20800819698989834</v>
      </c>
      <c r="O349" s="258">
        <f t="shared" ca="1" si="41"/>
        <v>2.4186892764915227</v>
      </c>
      <c r="P349" s="258">
        <f t="shared" ca="1" si="42"/>
        <v>0.543418520864276</v>
      </c>
      <c r="Q349" s="258">
        <f t="shared" si="43"/>
        <v>0.20800819698989834</v>
      </c>
      <c r="R349" s="258">
        <f t="shared" ca="1" si="44"/>
        <v>0.75142671785417436</v>
      </c>
    </row>
    <row r="350" spans="3:18" ht="14" x14ac:dyDescent="0.25">
      <c r="C350" s="255" t="s">
        <v>6282</v>
      </c>
      <c r="D350" s="132">
        <v>0.98138135919295555</v>
      </c>
      <c r="E350" s="132">
        <v>1.8618640807044458E-2</v>
      </c>
      <c r="F350" s="132">
        <v>103.85550000000001</v>
      </c>
      <c r="G350" s="132">
        <v>6.2793311993015415</v>
      </c>
      <c r="H350" s="132">
        <v>110.13483119930154</v>
      </c>
      <c r="I350" s="401">
        <v>5.7014943691504602E-2</v>
      </c>
      <c r="J350" s="258">
        <f t="shared" ca="1" si="36"/>
        <v>3.6507386561977948</v>
      </c>
      <c r="K350" s="258">
        <f t="shared" si="37"/>
        <v>0.14828183436983119</v>
      </c>
      <c r="L350" s="258">
        <f t="shared" ca="1" si="38"/>
        <v>3.7990204905676261</v>
      </c>
      <c r="M350" s="258">
        <f t="shared" ca="1" si="39"/>
        <v>2.227735685368009</v>
      </c>
      <c r="N350" s="258">
        <f t="shared" si="40"/>
        <v>0.14820438082407389</v>
      </c>
      <c r="O350" s="258">
        <f t="shared" ca="1" si="41"/>
        <v>2.3759400661920829</v>
      </c>
      <c r="P350" s="258">
        <f t="shared" ca="1" si="42"/>
        <v>0.5476107984296692</v>
      </c>
      <c r="Q350" s="258">
        <f t="shared" si="43"/>
        <v>0.14820438082407389</v>
      </c>
      <c r="R350" s="258">
        <f t="shared" ca="1" si="44"/>
        <v>0.69581517925374303</v>
      </c>
    </row>
    <row r="351" spans="3:18" ht="14" x14ac:dyDescent="0.25">
      <c r="C351" s="255" t="s">
        <v>6283</v>
      </c>
      <c r="D351" s="132">
        <v>0.97599006709862379</v>
      </c>
      <c r="E351" s="132">
        <v>2.4009932901376228E-2</v>
      </c>
      <c r="F351" s="132">
        <v>80.776499999999999</v>
      </c>
      <c r="G351" s="132">
        <v>6.3329243532073871</v>
      </c>
      <c r="H351" s="132">
        <v>87.109424353207388</v>
      </c>
      <c r="I351" s="401">
        <v>7.2700794434468183E-2</v>
      </c>
      <c r="J351" s="258">
        <f t="shared" ca="1" si="36"/>
        <v>3.6306830496068807</v>
      </c>
      <c r="K351" s="258">
        <f t="shared" si="37"/>
        <v>0.1912189472158245</v>
      </c>
      <c r="L351" s="258">
        <f t="shared" ca="1" si="38"/>
        <v>3.8219019968227053</v>
      </c>
      <c r="M351" s="258">
        <f t="shared" ca="1" si="39"/>
        <v>2.2154974523138762</v>
      </c>
      <c r="N351" s="258">
        <f t="shared" si="40"/>
        <v>0.19111906589495478</v>
      </c>
      <c r="O351" s="258">
        <f t="shared" ca="1" si="41"/>
        <v>2.406616518208831</v>
      </c>
      <c r="P351" s="258">
        <f t="shared" ca="1" si="42"/>
        <v>0.54460245744103208</v>
      </c>
      <c r="Q351" s="258">
        <f t="shared" si="43"/>
        <v>0.19111906589495478</v>
      </c>
      <c r="R351" s="258">
        <f t="shared" ca="1" si="44"/>
        <v>0.73572152333598684</v>
      </c>
    </row>
    <row r="352" spans="3:18" ht="14" x14ac:dyDescent="0.25">
      <c r="C352" s="255" t="s">
        <v>6284</v>
      </c>
      <c r="D352" s="132">
        <v>0.97390863077191592</v>
      </c>
      <c r="E352" s="132">
        <v>2.6091369228084044E-2</v>
      </c>
      <c r="F352" s="132">
        <v>61.544000000000004</v>
      </c>
      <c r="G352" s="132">
        <v>5.254581057134545</v>
      </c>
      <c r="H352" s="132">
        <v>66.798581057134555</v>
      </c>
      <c r="I352" s="401">
        <v>7.8663064004910008E-2</v>
      </c>
      <c r="J352" s="258">
        <f t="shared" ca="1" si="36"/>
        <v>3.6229401064715274</v>
      </c>
      <c r="K352" s="258">
        <f t="shared" si="37"/>
        <v>0.20779583915153782</v>
      </c>
      <c r="L352" s="258">
        <f t="shared" ca="1" si="38"/>
        <v>3.8307359456230654</v>
      </c>
      <c r="M352" s="258">
        <f t="shared" ca="1" si="39"/>
        <v>2.2107725918522489</v>
      </c>
      <c r="N352" s="258">
        <f t="shared" si="40"/>
        <v>0.207687299055549</v>
      </c>
      <c r="O352" s="258">
        <f t="shared" ca="1" si="41"/>
        <v>2.4184598909077981</v>
      </c>
      <c r="P352" s="258">
        <f t="shared" ca="1" si="42"/>
        <v>0.54344101597072914</v>
      </c>
      <c r="Q352" s="258">
        <f t="shared" si="43"/>
        <v>0.207687299055549</v>
      </c>
      <c r="R352" s="258">
        <f t="shared" ca="1" si="44"/>
        <v>0.75112831502627819</v>
      </c>
    </row>
    <row r="353" spans="3:18" ht="14" x14ac:dyDescent="0.25">
      <c r="C353" s="255" t="s">
        <v>6285</v>
      </c>
      <c r="D353" s="132">
        <v>0.97811659147313679</v>
      </c>
      <c r="E353" s="132">
        <v>2.1883408526863199E-2</v>
      </c>
      <c r="F353" s="132">
        <v>67.313750000000013</v>
      </c>
      <c r="G353" s="132">
        <v>4.7995646720123695</v>
      </c>
      <c r="H353" s="132">
        <v>72.113314672012379</v>
      </c>
      <c r="I353" s="401">
        <v>6.655587381944475E-2</v>
      </c>
      <c r="J353" s="258">
        <f t="shared" ca="1" si="36"/>
        <v>3.6385937202800691</v>
      </c>
      <c r="K353" s="258">
        <f t="shared" si="37"/>
        <v>0.1742829668533028</v>
      </c>
      <c r="L353" s="258">
        <f t="shared" ca="1" si="38"/>
        <v>3.8128766871333717</v>
      </c>
      <c r="M353" s="258">
        <f t="shared" ca="1" si="39"/>
        <v>2.2203246626440207</v>
      </c>
      <c r="N353" s="258">
        <f t="shared" si="40"/>
        <v>0.17419193187383106</v>
      </c>
      <c r="O353" s="258">
        <f t="shared" ca="1" si="41"/>
        <v>2.3945165945178517</v>
      </c>
      <c r="P353" s="258">
        <f t="shared" ca="1" si="42"/>
        <v>0.54578905804201039</v>
      </c>
      <c r="Q353" s="258">
        <f t="shared" si="43"/>
        <v>0.17419193187383106</v>
      </c>
      <c r="R353" s="258">
        <f t="shared" ca="1" si="44"/>
        <v>0.71998098991584147</v>
      </c>
    </row>
    <row r="354" spans="3:18" ht="14" x14ac:dyDescent="0.25">
      <c r="C354" s="255" t="s">
        <v>6286</v>
      </c>
      <c r="D354" s="132">
        <v>0.97601279047818235</v>
      </c>
      <c r="E354" s="132">
        <v>2.3987209521817616E-2</v>
      </c>
      <c r="F354" s="132">
        <v>61.544000000000004</v>
      </c>
      <c r="G354" s="132">
        <v>4.8204064540868643</v>
      </c>
      <c r="H354" s="132">
        <v>66.364406454086861</v>
      </c>
      <c r="I354" s="401">
        <v>7.2635418768067853E-2</v>
      </c>
      <c r="J354" s="258">
        <f t="shared" ca="1" si="36"/>
        <v>3.6307675805788384</v>
      </c>
      <c r="K354" s="258">
        <f t="shared" si="37"/>
        <v>0.19103797458527896</v>
      </c>
      <c r="L354" s="258">
        <f t="shared" ca="1" si="38"/>
        <v>3.8218055551641172</v>
      </c>
      <c r="M354" s="258">
        <f t="shared" ca="1" si="39"/>
        <v>2.2155490343854738</v>
      </c>
      <c r="N354" s="258">
        <f t="shared" si="40"/>
        <v>0.19093818779366822</v>
      </c>
      <c r="O354" s="258">
        <f t="shared" ca="1" si="41"/>
        <v>2.406487222179142</v>
      </c>
      <c r="P354" s="258">
        <f t="shared" ca="1" si="42"/>
        <v>0.54461513708682585</v>
      </c>
      <c r="Q354" s="258">
        <f t="shared" si="43"/>
        <v>0.19093818779366822</v>
      </c>
      <c r="R354" s="258">
        <f t="shared" ca="1" si="44"/>
        <v>0.73555332488049407</v>
      </c>
    </row>
    <row r="355" spans="3:18" ht="14" x14ac:dyDescent="0.25">
      <c r="C355" s="255" t="s">
        <v>6287</v>
      </c>
      <c r="D355" s="132">
        <v>0.97347010104254794</v>
      </c>
      <c r="E355" s="132">
        <v>2.6529898957452069E-2</v>
      </c>
      <c r="F355" s="132">
        <v>46.158000000000001</v>
      </c>
      <c r="G355" s="132">
        <v>4.008978081388233</v>
      </c>
      <c r="H355" s="132">
        <v>50.166978081388237</v>
      </c>
      <c r="I355" s="401">
        <v>7.991268828041187E-2</v>
      </c>
      <c r="J355" s="258">
        <f t="shared" ref="J355:J418" ca="1" si="45">$D355*$J$32</f>
        <v>3.6213087758782785</v>
      </c>
      <c r="K355" s="258">
        <f t="shared" ref="K355:K418" si="46">E355*$K$32</f>
        <v>0.21128836008098145</v>
      </c>
      <c r="L355" s="258">
        <f t="shared" ref="L355:L418" ca="1" si="47">SUM(J355:K355)</f>
        <v>3.8325971359592601</v>
      </c>
      <c r="M355" s="258">
        <f t="shared" ref="M355:M418" ca="1" si="48">$D355*$M$32</f>
        <v>2.209777129366584</v>
      </c>
      <c r="N355" s="258">
        <f t="shared" ref="N355:N418" si="49">$E355*$N$32</f>
        <v>0.21117799570131845</v>
      </c>
      <c r="O355" s="258">
        <f t="shared" ref="O355:O418" ca="1" si="50">SUM(M355:N355)</f>
        <v>2.4209551250679024</v>
      </c>
      <c r="P355" s="258">
        <f t="shared" ref="P355:P418" ca="1" si="51">$D355*$P$32</f>
        <v>0.54319631638174182</v>
      </c>
      <c r="Q355" s="258">
        <f t="shared" ref="Q355:Q418" si="52">$E355*$Q$32</f>
        <v>0.21117799570131845</v>
      </c>
      <c r="R355" s="258">
        <f t="shared" ref="R355:R418" ca="1" si="53">SUM(P355:Q355)</f>
        <v>0.75437431208306027</v>
      </c>
    </row>
    <row r="356" spans="3:18" ht="14" x14ac:dyDescent="0.25">
      <c r="C356" s="255" t="s">
        <v>6288</v>
      </c>
      <c r="D356" s="132">
        <v>0.97688514772991586</v>
      </c>
      <c r="E356" s="132">
        <v>2.3114852270084089E-2</v>
      </c>
      <c r="F356" s="132">
        <v>51.927750000000003</v>
      </c>
      <c r="G356" s="132">
        <v>3.9158030556434289</v>
      </c>
      <c r="H356" s="132">
        <v>55.843553055643433</v>
      </c>
      <c r="I356" s="401">
        <v>7.0120951146171853E-2</v>
      </c>
      <c r="J356" s="258">
        <f t="shared" ca="1" si="45"/>
        <v>3.634012749555287</v>
      </c>
      <c r="K356" s="258">
        <f t="shared" si="46"/>
        <v>0.1840903818553129</v>
      </c>
      <c r="L356" s="258">
        <f t="shared" ca="1" si="47"/>
        <v>3.8181031314106</v>
      </c>
      <c r="M356" s="258">
        <f t="shared" ca="1" si="48"/>
        <v>2.2175292853469091</v>
      </c>
      <c r="N356" s="258">
        <f t="shared" si="49"/>
        <v>0.18399422406986934</v>
      </c>
      <c r="O356" s="258">
        <f t="shared" ca="1" si="50"/>
        <v>2.4015235094167786</v>
      </c>
      <c r="P356" s="258">
        <f t="shared" ca="1" si="51"/>
        <v>0.54510191243329309</v>
      </c>
      <c r="Q356" s="258">
        <f t="shared" si="52"/>
        <v>0.18399422406986934</v>
      </c>
      <c r="R356" s="258">
        <f t="shared" ca="1" si="53"/>
        <v>0.72909613650316241</v>
      </c>
    </row>
    <row r="357" spans="3:18" ht="14" x14ac:dyDescent="0.25">
      <c r="C357" s="255" t="s">
        <v>6289</v>
      </c>
      <c r="D357" s="132">
        <v>0.97502118459753118</v>
      </c>
      <c r="E357" s="132">
        <v>2.4978815402468803E-2</v>
      </c>
      <c r="F357" s="132">
        <v>48.081250000000004</v>
      </c>
      <c r="G357" s="132">
        <v>3.9256109530902501</v>
      </c>
      <c r="H357" s="132">
        <v>52.006860953090253</v>
      </c>
      <c r="I357" s="401">
        <v>7.54825590537202E-2</v>
      </c>
      <c r="J357" s="258">
        <f t="shared" ca="1" si="45"/>
        <v>3.6270788067028161</v>
      </c>
      <c r="K357" s="258">
        <f t="shared" si="46"/>
        <v>0.19893528247572592</v>
      </c>
      <c r="L357" s="258">
        <f t="shared" ca="1" si="47"/>
        <v>3.8260140891785421</v>
      </c>
      <c r="M357" s="258">
        <f t="shared" ca="1" si="48"/>
        <v>2.2132980890363956</v>
      </c>
      <c r="N357" s="258">
        <f t="shared" si="49"/>
        <v>0.19883137060365166</v>
      </c>
      <c r="O357" s="258">
        <f t="shared" ca="1" si="50"/>
        <v>2.4121294596400471</v>
      </c>
      <c r="P357" s="258">
        <f t="shared" ca="1" si="51"/>
        <v>0.54406182100542244</v>
      </c>
      <c r="Q357" s="258">
        <f t="shared" si="52"/>
        <v>0.19883137060365166</v>
      </c>
      <c r="R357" s="258">
        <f t="shared" ca="1" si="53"/>
        <v>0.74289319160907408</v>
      </c>
    </row>
    <row r="358" spans="3:18" ht="14" x14ac:dyDescent="0.25">
      <c r="C358" s="255" t="s">
        <v>6290</v>
      </c>
      <c r="D358" s="132">
        <v>0.96336552281326759</v>
      </c>
      <c r="E358" s="132">
        <v>3.6634477186732364E-2</v>
      </c>
      <c r="F358" s="132">
        <v>32.695250000000001</v>
      </c>
      <c r="G358" s="132">
        <v>3.9623905685158305</v>
      </c>
      <c r="H358" s="132">
        <v>36.657640568515831</v>
      </c>
      <c r="I358" s="401">
        <v>0.10809180588450124</v>
      </c>
      <c r="J358" s="258">
        <f t="shared" ca="1" si="45"/>
        <v>3.5837197448653555</v>
      </c>
      <c r="K358" s="258">
        <f t="shared" si="46"/>
        <v>0.29176283783148643</v>
      </c>
      <c r="L358" s="258">
        <f t="shared" ca="1" si="47"/>
        <v>3.8754825826968418</v>
      </c>
      <c r="M358" s="258">
        <f t="shared" ca="1" si="48"/>
        <v>2.1868397367861174</v>
      </c>
      <c r="N358" s="258">
        <f t="shared" si="49"/>
        <v>0.29161043840638962</v>
      </c>
      <c r="O358" s="258">
        <f t="shared" ca="1" si="50"/>
        <v>2.4784501751925072</v>
      </c>
      <c r="P358" s="258">
        <f t="shared" ca="1" si="51"/>
        <v>0.53755796172980341</v>
      </c>
      <c r="Q358" s="258">
        <f t="shared" si="52"/>
        <v>0.29161043840638962</v>
      </c>
      <c r="R358" s="258">
        <f t="shared" ca="1" si="53"/>
        <v>0.82916840013619297</v>
      </c>
    </row>
    <row r="359" spans="3:18" ht="14" x14ac:dyDescent="0.25">
      <c r="C359" s="255" t="s">
        <v>6291</v>
      </c>
      <c r="D359" s="132">
        <v>0.97616136360124406</v>
      </c>
      <c r="E359" s="132">
        <v>2.3838636398755896E-2</v>
      </c>
      <c r="F359" s="132">
        <v>42.311500000000002</v>
      </c>
      <c r="G359" s="132">
        <v>3.2930015677702729</v>
      </c>
      <c r="H359" s="132">
        <v>45.604501567770278</v>
      </c>
      <c r="I359" s="401">
        <v>7.2207818407503677E-2</v>
      </c>
      <c r="J359" s="258">
        <f t="shared" ca="1" si="45"/>
        <v>3.631320272596628</v>
      </c>
      <c r="K359" s="258">
        <f t="shared" si="46"/>
        <v>0.18985471446151575</v>
      </c>
      <c r="L359" s="258">
        <f t="shared" ca="1" si="47"/>
        <v>3.8211749870581437</v>
      </c>
      <c r="M359" s="258">
        <f t="shared" ca="1" si="48"/>
        <v>2.215886295374824</v>
      </c>
      <c r="N359" s="258">
        <f t="shared" si="49"/>
        <v>0.18975554573409692</v>
      </c>
      <c r="O359" s="258">
        <f t="shared" ca="1" si="50"/>
        <v>2.4056418411089209</v>
      </c>
      <c r="P359" s="258">
        <f t="shared" ca="1" si="51"/>
        <v>0.54469804088949425</v>
      </c>
      <c r="Q359" s="258">
        <f t="shared" si="52"/>
        <v>0.18975554573409692</v>
      </c>
      <c r="R359" s="258">
        <f t="shared" ca="1" si="53"/>
        <v>0.73445358662359117</v>
      </c>
    </row>
    <row r="360" spans="3:18" ht="14" x14ac:dyDescent="0.25">
      <c r="C360" s="255" t="s">
        <v>6292</v>
      </c>
      <c r="D360" s="132">
        <v>0.9749820688530737</v>
      </c>
      <c r="E360" s="132">
        <v>2.5017931146926263E-2</v>
      </c>
      <c r="F360" s="132">
        <v>40.388249999999999</v>
      </c>
      <c r="G360" s="132">
        <v>3.3028094652170941</v>
      </c>
      <c r="H360" s="132">
        <v>43.691059465217094</v>
      </c>
      <c r="I360" s="401">
        <v>7.55946297856772E-2</v>
      </c>
      <c r="J360" s="258">
        <f t="shared" ca="1" si="45"/>
        <v>3.6269332961334344</v>
      </c>
      <c r="K360" s="258">
        <f t="shared" si="46"/>
        <v>0.19924680652310425</v>
      </c>
      <c r="L360" s="258">
        <f t="shared" ca="1" si="47"/>
        <v>3.8261801026565387</v>
      </c>
      <c r="M360" s="258">
        <f t="shared" ca="1" si="48"/>
        <v>2.2132092962964771</v>
      </c>
      <c r="N360" s="258">
        <f t="shared" si="49"/>
        <v>0.19914273192953305</v>
      </c>
      <c r="O360" s="258">
        <f t="shared" ca="1" si="50"/>
        <v>2.4123520282260102</v>
      </c>
      <c r="P360" s="258">
        <f t="shared" ca="1" si="51"/>
        <v>0.54403999442001516</v>
      </c>
      <c r="Q360" s="258">
        <f t="shared" si="52"/>
        <v>0.19914273192953305</v>
      </c>
      <c r="R360" s="258">
        <f t="shared" ca="1" si="53"/>
        <v>0.74318272634954818</v>
      </c>
    </row>
    <row r="361" spans="3:18" ht="14" x14ac:dyDescent="0.25">
      <c r="C361" s="255" t="s">
        <v>6293</v>
      </c>
      <c r="D361" s="132">
        <v>0.9625394563011922</v>
      </c>
      <c r="E361" s="132">
        <v>3.7460543698807761E-2</v>
      </c>
      <c r="F361" s="132">
        <v>26.925500000000003</v>
      </c>
      <c r="G361" s="132">
        <v>3.3395890806426745</v>
      </c>
      <c r="H361" s="132">
        <v>30.265089080642678</v>
      </c>
      <c r="I361" s="401">
        <v>0.11034459775565804</v>
      </c>
      <c r="J361" s="258">
        <f t="shared" ca="1" si="45"/>
        <v>3.5806467774404354</v>
      </c>
      <c r="K361" s="258">
        <f t="shared" si="46"/>
        <v>0.29834176370429683</v>
      </c>
      <c r="L361" s="258">
        <f t="shared" ca="1" si="47"/>
        <v>3.8789885411447322</v>
      </c>
      <c r="M361" s="258">
        <f t="shared" ca="1" si="48"/>
        <v>2.1849645658037065</v>
      </c>
      <c r="N361" s="258">
        <f t="shared" si="49"/>
        <v>0.29818592784250975</v>
      </c>
      <c r="O361" s="258">
        <f t="shared" ca="1" si="50"/>
        <v>2.4831504936462161</v>
      </c>
      <c r="P361" s="258">
        <f t="shared" ca="1" si="51"/>
        <v>0.53709701661606535</v>
      </c>
      <c r="Q361" s="258">
        <f t="shared" si="52"/>
        <v>0.29818592784250975</v>
      </c>
      <c r="R361" s="258">
        <f t="shared" ca="1" si="53"/>
        <v>0.83528294445857509</v>
      </c>
    </row>
    <row r="362" spans="3:18" ht="14" x14ac:dyDescent="0.25">
      <c r="C362" s="255" t="s">
        <v>6294</v>
      </c>
      <c r="D362" s="132">
        <v>0.9654315529284454</v>
      </c>
      <c r="E362" s="132">
        <v>3.4568447071554605E-2</v>
      </c>
      <c r="F362" s="132">
        <v>23.079000000000001</v>
      </c>
      <c r="G362" s="132">
        <v>2.6335956054973728</v>
      </c>
      <c r="H362" s="132">
        <v>25.712595605497373</v>
      </c>
      <c r="I362" s="401">
        <v>0.10242433886893582</v>
      </c>
      <c r="J362" s="258">
        <f t="shared" ca="1" si="45"/>
        <v>3.591405376893817</v>
      </c>
      <c r="K362" s="258">
        <f t="shared" si="46"/>
        <v>0.27530864342939232</v>
      </c>
      <c r="L362" s="258">
        <f t="shared" ca="1" si="47"/>
        <v>3.8667140203232093</v>
      </c>
      <c r="M362" s="258">
        <f t="shared" ca="1" si="48"/>
        <v>2.1915296251475711</v>
      </c>
      <c r="N362" s="258">
        <f t="shared" si="49"/>
        <v>0.27516483868957464</v>
      </c>
      <c r="O362" s="258">
        <f t="shared" ca="1" si="50"/>
        <v>2.466694463837146</v>
      </c>
      <c r="P362" s="258">
        <f t="shared" ca="1" si="51"/>
        <v>0.53871080653407255</v>
      </c>
      <c r="Q362" s="258">
        <f t="shared" si="52"/>
        <v>0.27516483868957464</v>
      </c>
      <c r="R362" s="258">
        <f t="shared" ca="1" si="53"/>
        <v>0.81387564522364719</v>
      </c>
    </row>
    <row r="363" spans="3:18" ht="14" x14ac:dyDescent="0.25">
      <c r="C363" s="255" t="s">
        <v>6295</v>
      </c>
      <c r="D363" s="132">
        <v>0.976369333640281</v>
      </c>
      <c r="E363" s="132">
        <v>2.3630666359719003E-2</v>
      </c>
      <c r="F363" s="132">
        <v>34.618500000000004</v>
      </c>
      <c r="G363" s="132">
        <v>2.6702000798971164</v>
      </c>
      <c r="H363" s="132">
        <v>37.288700079897119</v>
      </c>
      <c r="I363" s="401">
        <v>7.1608827182920762E-2</v>
      </c>
      <c r="J363" s="258">
        <f t="shared" ca="1" si="45"/>
        <v>3.6320939211418457</v>
      </c>
      <c r="K363" s="258">
        <f t="shared" si="46"/>
        <v>0.18819840779541969</v>
      </c>
      <c r="L363" s="258">
        <f t="shared" ca="1" si="47"/>
        <v>3.8202923289372652</v>
      </c>
      <c r="M363" s="258">
        <f t="shared" ca="1" si="48"/>
        <v>2.2163583873634378</v>
      </c>
      <c r="N363" s="258">
        <f t="shared" si="49"/>
        <v>0.18810010422336326</v>
      </c>
      <c r="O363" s="258">
        <f t="shared" ca="1" si="50"/>
        <v>2.404458491586801</v>
      </c>
      <c r="P363" s="258">
        <f t="shared" ca="1" si="51"/>
        <v>0.54481408817127686</v>
      </c>
      <c r="Q363" s="258">
        <f t="shared" si="52"/>
        <v>0.18810010422336326</v>
      </c>
      <c r="R363" s="258">
        <f t="shared" ca="1" si="53"/>
        <v>0.73291419239464006</v>
      </c>
    </row>
    <row r="364" spans="3:18" ht="14" x14ac:dyDescent="0.25">
      <c r="C364" s="255" t="s">
        <v>6296</v>
      </c>
      <c r="D364" s="132">
        <v>0.97154997264288367</v>
      </c>
      <c r="E364" s="132">
        <v>2.845002735711636E-2</v>
      </c>
      <c r="F364" s="132">
        <v>28.848750000000003</v>
      </c>
      <c r="G364" s="132">
        <v>2.6922678491524645</v>
      </c>
      <c r="H364" s="132">
        <v>31.541017849152468</v>
      </c>
      <c r="I364" s="401">
        <v>8.5357671779283051E-2</v>
      </c>
      <c r="J364" s="258">
        <f t="shared" ca="1" si="45"/>
        <v>3.6141658982315277</v>
      </c>
      <c r="K364" s="258">
        <f t="shared" si="46"/>
        <v>0.22658056987645181</v>
      </c>
      <c r="L364" s="258">
        <f t="shared" ca="1" si="47"/>
        <v>3.8407464681079793</v>
      </c>
      <c r="M364" s="258">
        <f t="shared" ca="1" si="48"/>
        <v>2.205418437899346</v>
      </c>
      <c r="N364" s="258">
        <f t="shared" si="49"/>
        <v>0.22646221776264622</v>
      </c>
      <c r="O364" s="258">
        <f t="shared" ca="1" si="50"/>
        <v>2.4318806556619923</v>
      </c>
      <c r="P364" s="258">
        <f t="shared" ca="1" si="51"/>
        <v>0.5421248847347292</v>
      </c>
      <c r="Q364" s="258">
        <f t="shared" si="52"/>
        <v>0.22646221776264622</v>
      </c>
      <c r="R364" s="258">
        <f t="shared" ca="1" si="53"/>
        <v>0.76858710249737539</v>
      </c>
    </row>
    <row r="365" spans="3:18" ht="14" x14ac:dyDescent="0.25">
      <c r="C365" s="255" t="s">
        <v>6297</v>
      </c>
      <c r="D365" s="132">
        <v>0.96440948192502074</v>
      </c>
      <c r="E365" s="132">
        <v>3.5590518074979295E-2</v>
      </c>
      <c r="F365" s="132">
        <v>23.079000000000001</v>
      </c>
      <c r="G365" s="132">
        <v>2.7143356184078122</v>
      </c>
      <c r="H365" s="132">
        <v>25.793335618407813</v>
      </c>
      <c r="I365" s="401">
        <v>0.10523398984002226</v>
      </c>
      <c r="J365" s="258">
        <f t="shared" ca="1" si="45"/>
        <v>3.5876032727610774</v>
      </c>
      <c r="K365" s="258">
        <f t="shared" si="46"/>
        <v>0.28344858043202709</v>
      </c>
      <c r="L365" s="258">
        <f t="shared" ca="1" si="47"/>
        <v>3.8710518531931046</v>
      </c>
      <c r="M365" s="258">
        <f t="shared" ca="1" si="48"/>
        <v>2.1892095239697973</v>
      </c>
      <c r="N365" s="258">
        <f t="shared" si="49"/>
        <v>0.28330052387683519</v>
      </c>
      <c r="O365" s="258">
        <f t="shared" ca="1" si="50"/>
        <v>2.4725100478466326</v>
      </c>
      <c r="P365" s="258">
        <f t="shared" ca="1" si="51"/>
        <v>0.53814049091416161</v>
      </c>
      <c r="Q365" s="258">
        <f t="shared" si="52"/>
        <v>0.28330052387683519</v>
      </c>
      <c r="R365" s="258">
        <f t="shared" ca="1" si="53"/>
        <v>0.82144101479099674</v>
      </c>
    </row>
    <row r="366" spans="3:18" ht="14" x14ac:dyDescent="0.25">
      <c r="C366" s="255" t="s">
        <v>6298</v>
      </c>
      <c r="D366" s="132">
        <v>0.9611647872213831</v>
      </c>
      <c r="E366" s="132">
        <v>3.8835212778616887E-2</v>
      </c>
      <c r="F366" s="132">
        <v>21.155750000000001</v>
      </c>
      <c r="G366" s="132">
        <v>2.7241435158546343</v>
      </c>
      <c r="H366" s="132">
        <v>23.879893515854636</v>
      </c>
      <c r="I366" s="401">
        <v>0.11407687031962629</v>
      </c>
      <c r="J366" s="258">
        <f t="shared" ca="1" si="45"/>
        <v>3.5755330084635455</v>
      </c>
      <c r="K366" s="258">
        <f t="shared" si="46"/>
        <v>0.30928984820294947</v>
      </c>
      <c r="L366" s="258">
        <f t="shared" ca="1" si="47"/>
        <v>3.8848228566664949</v>
      </c>
      <c r="M366" s="258">
        <f t="shared" ca="1" si="48"/>
        <v>2.1818440669925399</v>
      </c>
      <c r="N366" s="258">
        <f t="shared" si="49"/>
        <v>0.30912829371779044</v>
      </c>
      <c r="O366" s="258">
        <f t="shared" ca="1" si="50"/>
        <v>2.4909723607103302</v>
      </c>
      <c r="P366" s="258">
        <f t="shared" ca="1" si="51"/>
        <v>0.53632995126953187</v>
      </c>
      <c r="Q366" s="258">
        <f t="shared" si="52"/>
        <v>0.30912829371779044</v>
      </c>
      <c r="R366" s="258">
        <f t="shared" ca="1" si="53"/>
        <v>0.84545824498732225</v>
      </c>
    </row>
    <row r="367" spans="3:18" ht="14" x14ac:dyDescent="0.25">
      <c r="C367" s="255" t="s">
        <v>6299</v>
      </c>
      <c r="D367" s="132">
        <v>0.97488429322139614</v>
      </c>
      <c r="E367" s="132">
        <v>2.5115706778603905E-2</v>
      </c>
      <c r="F367" s="132">
        <v>28.848750000000003</v>
      </c>
      <c r="G367" s="132">
        <v>2.3686072334073596</v>
      </c>
      <c r="H367" s="132">
        <v>31.217357233407363</v>
      </c>
      <c r="I367" s="401">
        <v>7.5874687780187439E-2</v>
      </c>
      <c r="J367" s="258">
        <f t="shared" ca="1" si="45"/>
        <v>3.6265695707835937</v>
      </c>
      <c r="K367" s="258">
        <f t="shared" si="46"/>
        <v>0.20002550729788607</v>
      </c>
      <c r="L367" s="258">
        <f t="shared" ca="1" si="47"/>
        <v>3.8265950780814797</v>
      </c>
      <c r="M367" s="258">
        <f t="shared" ca="1" si="48"/>
        <v>2.2129873456125693</v>
      </c>
      <c r="N367" s="258">
        <f t="shared" si="49"/>
        <v>0.19992102595768707</v>
      </c>
      <c r="O367" s="258">
        <f t="shared" ca="1" si="50"/>
        <v>2.4129083715702562</v>
      </c>
      <c r="P367" s="258">
        <f t="shared" ca="1" si="51"/>
        <v>0.54398543561753909</v>
      </c>
      <c r="Q367" s="258">
        <f t="shared" si="52"/>
        <v>0.19992102595768707</v>
      </c>
      <c r="R367" s="258">
        <f t="shared" ca="1" si="53"/>
        <v>0.74390646157522622</v>
      </c>
    </row>
    <row r="368" spans="3:18" ht="14" x14ac:dyDescent="0.25">
      <c r="C368" s="255" t="s">
        <v>6300</v>
      </c>
      <c r="D368" s="132">
        <v>0.96848847003537719</v>
      </c>
      <c r="E368" s="132">
        <v>3.1511529964622829E-2</v>
      </c>
      <c r="F368" s="132">
        <v>23.079000000000001</v>
      </c>
      <c r="G368" s="132">
        <v>2.393126977024413</v>
      </c>
      <c r="H368" s="132">
        <v>25.472126977024413</v>
      </c>
      <c r="I368" s="401">
        <v>9.3950810593202053E-2</v>
      </c>
      <c r="J368" s="258">
        <f t="shared" ca="1" si="45"/>
        <v>3.6027771085316034</v>
      </c>
      <c r="K368" s="258">
        <f t="shared" si="46"/>
        <v>0.25096286648305055</v>
      </c>
      <c r="L368" s="258">
        <f t="shared" ca="1" si="47"/>
        <v>3.8537399750146539</v>
      </c>
      <c r="M368" s="258">
        <f t="shared" ca="1" si="48"/>
        <v>2.1984688269803061</v>
      </c>
      <c r="N368" s="258">
        <f t="shared" si="49"/>
        <v>0.25083177851839772</v>
      </c>
      <c r="O368" s="258">
        <f t="shared" ca="1" si="50"/>
        <v>2.4493006054987037</v>
      </c>
      <c r="P368" s="258">
        <f t="shared" ca="1" si="51"/>
        <v>0.54041656627974055</v>
      </c>
      <c r="Q368" s="258">
        <f t="shared" si="52"/>
        <v>0.25083177851839772</v>
      </c>
      <c r="R368" s="258">
        <f t="shared" ca="1" si="53"/>
        <v>0.79124834479813821</v>
      </c>
    </row>
    <row r="369" spans="3:18" ht="14" x14ac:dyDescent="0.25">
      <c r="C369" s="255" t="s">
        <v>6301</v>
      </c>
      <c r="D369" s="132">
        <v>0.9580948353408093</v>
      </c>
      <c r="E369" s="132">
        <v>4.1905164659190662E-2</v>
      </c>
      <c r="F369" s="132">
        <v>17.309250000000002</v>
      </c>
      <c r="G369" s="132">
        <v>2.4127427719180559</v>
      </c>
      <c r="H369" s="132">
        <v>19.721992771918057</v>
      </c>
      <c r="I369" s="401">
        <v>0.12233767651276779</v>
      </c>
      <c r="J369" s="258">
        <f t="shared" ca="1" si="45"/>
        <v>3.5641127874678107</v>
      </c>
      <c r="K369" s="258">
        <f t="shared" si="46"/>
        <v>0.33373943617213991</v>
      </c>
      <c r="L369" s="258">
        <f t="shared" ca="1" si="47"/>
        <v>3.8978522236399504</v>
      </c>
      <c r="M369" s="258">
        <f t="shared" ca="1" si="48"/>
        <v>2.174875276223637</v>
      </c>
      <c r="N369" s="258">
        <f t="shared" si="49"/>
        <v>0.33356511068715766</v>
      </c>
      <c r="O369" s="258">
        <f t="shared" ca="1" si="50"/>
        <v>2.5084403869107947</v>
      </c>
      <c r="P369" s="258">
        <f t="shared" ca="1" si="51"/>
        <v>0.53461691812017165</v>
      </c>
      <c r="Q369" s="258">
        <f t="shared" si="52"/>
        <v>0.33356511068715766</v>
      </c>
      <c r="R369" s="258">
        <f t="shared" ca="1" si="53"/>
        <v>0.86818202880732931</v>
      </c>
    </row>
    <row r="370" spans="3:18" ht="14" x14ac:dyDescent="0.25">
      <c r="C370" s="255" t="s">
        <v>6302</v>
      </c>
      <c r="D370" s="132">
        <v>0.96255931202540523</v>
      </c>
      <c r="E370" s="132">
        <v>3.7440687974594752E-2</v>
      </c>
      <c r="F370" s="132">
        <v>15.386000000000001</v>
      </c>
      <c r="G370" s="132">
        <v>1.907285771355083</v>
      </c>
      <c r="H370" s="132">
        <v>17.293285771355084</v>
      </c>
      <c r="I370" s="401">
        <v>0.11029053683449482</v>
      </c>
      <c r="J370" s="258">
        <f t="shared" ca="1" si="45"/>
        <v>3.5807206407345076</v>
      </c>
      <c r="K370" s="258">
        <f t="shared" si="46"/>
        <v>0.29818362953974853</v>
      </c>
      <c r="L370" s="258">
        <f t="shared" ca="1" si="47"/>
        <v>3.8789042702742562</v>
      </c>
      <c r="M370" s="258">
        <f t="shared" ca="1" si="48"/>
        <v>2.1850096382976698</v>
      </c>
      <c r="N370" s="258">
        <f t="shared" si="49"/>
        <v>0.29802787627777422</v>
      </c>
      <c r="O370" s="258">
        <f t="shared" ca="1" si="50"/>
        <v>2.483037514575444</v>
      </c>
      <c r="P370" s="258">
        <f t="shared" ca="1" si="51"/>
        <v>0.53710809611017618</v>
      </c>
      <c r="Q370" s="258">
        <f t="shared" si="52"/>
        <v>0.29802787627777422</v>
      </c>
      <c r="R370" s="258">
        <f t="shared" ca="1" si="53"/>
        <v>0.83513597238795034</v>
      </c>
    </row>
    <row r="371" spans="3:18" ht="14" x14ac:dyDescent="0.25">
      <c r="C371" s="255" t="s">
        <v>6303</v>
      </c>
      <c r="D371" s="132">
        <v>0.9783436760723101</v>
      </c>
      <c r="E371" s="132">
        <v>2.1656323927689861E-2</v>
      </c>
      <c r="F371" s="132">
        <v>28.848750000000003</v>
      </c>
      <c r="G371" s="132">
        <v>2.035138720215433</v>
      </c>
      <c r="H371" s="132">
        <v>30.883888720215435</v>
      </c>
      <c r="I371" s="401">
        <v>6.5896452958118176E-2</v>
      </c>
      <c r="J371" s="258">
        <f t="shared" ca="1" si="45"/>
        <v>3.6394384749889936</v>
      </c>
      <c r="K371" s="258">
        <f t="shared" si="46"/>
        <v>0.17247442877195046</v>
      </c>
      <c r="L371" s="258">
        <f t="shared" ca="1" si="47"/>
        <v>3.8119129037609443</v>
      </c>
      <c r="M371" s="258">
        <f t="shared" ca="1" si="48"/>
        <v>2.2208401446841441</v>
      </c>
      <c r="N371" s="258">
        <f t="shared" si="49"/>
        <v>0.17238433846441129</v>
      </c>
      <c r="O371" s="258">
        <f t="shared" ca="1" si="50"/>
        <v>2.3932244831485554</v>
      </c>
      <c r="P371" s="258">
        <f t="shared" ca="1" si="51"/>
        <v>0.54591577124834911</v>
      </c>
      <c r="Q371" s="258">
        <f t="shared" si="52"/>
        <v>0.17238433846441129</v>
      </c>
      <c r="R371" s="258">
        <f t="shared" ca="1" si="53"/>
        <v>0.71830010971276037</v>
      </c>
    </row>
    <row r="372" spans="3:18" ht="14" x14ac:dyDescent="0.25">
      <c r="C372" s="255" t="s">
        <v>6304</v>
      </c>
      <c r="D372" s="132">
        <v>0.97483165292670415</v>
      </c>
      <c r="E372" s="132">
        <v>2.5168347073295898E-2</v>
      </c>
      <c r="F372" s="132">
        <v>25.002250000000004</v>
      </c>
      <c r="G372" s="132">
        <v>2.0572064894707811</v>
      </c>
      <c r="H372" s="132">
        <v>27.059456489470783</v>
      </c>
      <c r="I372" s="401">
        <v>7.6025417963264313E-2</v>
      </c>
      <c r="J372" s="258">
        <f t="shared" ca="1" si="45"/>
        <v>3.6263737488873398</v>
      </c>
      <c r="K372" s="258">
        <f t="shared" si="46"/>
        <v>0.20044474302726026</v>
      </c>
      <c r="L372" s="258">
        <f t="shared" ca="1" si="47"/>
        <v>3.8268184919146</v>
      </c>
      <c r="M372" s="258">
        <f t="shared" ca="1" si="48"/>
        <v>2.2128678521436185</v>
      </c>
      <c r="N372" s="258">
        <f t="shared" si="49"/>
        <v>0.20034004270343533</v>
      </c>
      <c r="O372" s="258">
        <f t="shared" ca="1" si="50"/>
        <v>2.4132078948470537</v>
      </c>
      <c r="P372" s="258">
        <f t="shared" ca="1" si="51"/>
        <v>0.54395606233310101</v>
      </c>
      <c r="Q372" s="258">
        <f t="shared" si="52"/>
        <v>0.20034004270343533</v>
      </c>
      <c r="R372" s="258">
        <f t="shared" ca="1" si="53"/>
        <v>0.74429610503653632</v>
      </c>
    </row>
    <row r="373" spans="3:18" ht="14" x14ac:dyDescent="0.25">
      <c r="C373" s="255" t="s">
        <v>6305</v>
      </c>
      <c r="D373" s="132">
        <v>0.96715200322868899</v>
      </c>
      <c r="E373" s="132">
        <v>3.2847996771311026E-2</v>
      </c>
      <c r="F373" s="132">
        <v>19.232500000000002</v>
      </c>
      <c r="G373" s="132">
        <v>2.081726233087835</v>
      </c>
      <c r="H373" s="132">
        <v>21.314226233087837</v>
      </c>
      <c r="I373" s="401">
        <v>9.766839341585852E-2</v>
      </c>
      <c r="J373" s="258">
        <f t="shared" ca="1" si="45"/>
        <v>3.5978054520107232</v>
      </c>
      <c r="K373" s="258">
        <f t="shared" si="46"/>
        <v>0.26160670196620439</v>
      </c>
      <c r="L373" s="258">
        <f t="shared" ca="1" si="47"/>
        <v>3.8594121539769275</v>
      </c>
      <c r="M373" s="258">
        <f t="shared" ca="1" si="48"/>
        <v>2.195435047329124</v>
      </c>
      <c r="N373" s="258">
        <f t="shared" si="49"/>
        <v>0.26147005429963577</v>
      </c>
      <c r="O373" s="258">
        <f t="shared" ca="1" si="50"/>
        <v>2.4569051016287595</v>
      </c>
      <c r="P373" s="258">
        <f t="shared" ca="1" si="51"/>
        <v>0.53967081780160853</v>
      </c>
      <c r="Q373" s="258">
        <f t="shared" si="52"/>
        <v>0.26147005429963577</v>
      </c>
      <c r="R373" s="258">
        <f t="shared" ca="1" si="53"/>
        <v>0.80114087210124429</v>
      </c>
    </row>
    <row r="374" spans="3:18" ht="14" x14ac:dyDescent="0.25">
      <c r="C374" s="255" t="s">
        <v>6306</v>
      </c>
      <c r="D374" s="132">
        <v>0.95890646112463096</v>
      </c>
      <c r="E374" s="132">
        <v>4.1093538875368991E-2</v>
      </c>
      <c r="F374" s="132">
        <v>15.386000000000001</v>
      </c>
      <c r="G374" s="132">
        <v>2.101342027981477</v>
      </c>
      <c r="H374" s="132">
        <v>17.487342027981477</v>
      </c>
      <c r="I374" s="401">
        <v>0.12016360317188982</v>
      </c>
      <c r="J374" s="258">
        <f t="shared" ca="1" si="45"/>
        <v>3.5671320353836276</v>
      </c>
      <c r="K374" s="258">
        <f t="shared" si="46"/>
        <v>0.3272755185696587</v>
      </c>
      <c r="L374" s="258">
        <f t="shared" ca="1" si="47"/>
        <v>3.8944075539532861</v>
      </c>
      <c r="M374" s="258">
        <f t="shared" ca="1" si="48"/>
        <v>2.1767176667529125</v>
      </c>
      <c r="N374" s="258">
        <f t="shared" si="49"/>
        <v>0.32710456944793714</v>
      </c>
      <c r="O374" s="258">
        <f t="shared" ca="1" si="50"/>
        <v>2.5038222362008495</v>
      </c>
      <c r="P374" s="258">
        <f t="shared" ca="1" si="51"/>
        <v>0.53506980530754411</v>
      </c>
      <c r="Q374" s="258">
        <f t="shared" si="52"/>
        <v>0.32710456944793714</v>
      </c>
      <c r="R374" s="258">
        <f t="shared" ca="1" si="53"/>
        <v>0.86217437475548131</v>
      </c>
    </row>
    <row r="375" spans="3:18" ht="14" x14ac:dyDescent="0.25">
      <c r="C375" s="255" t="s">
        <v>6307</v>
      </c>
      <c r="D375" s="132">
        <v>0.96269454183707193</v>
      </c>
      <c r="E375" s="132">
        <v>3.7305458162928101E-2</v>
      </c>
      <c r="F375" s="132">
        <v>13.462750000000002</v>
      </c>
      <c r="G375" s="132">
        <v>1.6626137582620575</v>
      </c>
      <c r="H375" s="132">
        <v>15.125363758262059</v>
      </c>
      <c r="I375" s="401">
        <v>0.10992223293498468</v>
      </c>
      <c r="J375" s="258">
        <f t="shared" ca="1" si="45"/>
        <v>3.5812236956339079</v>
      </c>
      <c r="K375" s="258">
        <f t="shared" si="46"/>
        <v>0.29710663768286544</v>
      </c>
      <c r="L375" s="258">
        <f t="shared" ca="1" si="47"/>
        <v>3.8783303333167733</v>
      </c>
      <c r="M375" s="258">
        <f t="shared" ca="1" si="48"/>
        <v>2.1853166099701533</v>
      </c>
      <c r="N375" s="258">
        <f t="shared" si="49"/>
        <v>0.29695144697690767</v>
      </c>
      <c r="O375" s="258">
        <f t="shared" ca="1" si="50"/>
        <v>2.4822680569470608</v>
      </c>
      <c r="P375" s="258">
        <f t="shared" ca="1" si="51"/>
        <v>0.53718355434508613</v>
      </c>
      <c r="Q375" s="258">
        <f t="shared" si="52"/>
        <v>0.29695144697690767</v>
      </c>
      <c r="R375" s="258">
        <f t="shared" ca="1" si="53"/>
        <v>0.83413500132199381</v>
      </c>
    </row>
    <row r="376" spans="3:18" ht="14" x14ac:dyDescent="0.25">
      <c r="C376" s="255" t="s">
        <v>6308</v>
      </c>
      <c r="D376" s="132">
        <v>0.97885448064365688</v>
      </c>
      <c r="E376" s="132">
        <v>2.114551935634312E-2</v>
      </c>
      <c r="F376" s="132">
        <v>25.002250000000004</v>
      </c>
      <c r="G376" s="132">
        <v>1.7212860019171494</v>
      </c>
      <c r="H376" s="132">
        <v>26.723536001917154</v>
      </c>
      <c r="I376" s="401">
        <v>6.4410862461975985E-2</v>
      </c>
      <c r="J376" s="258">
        <f t="shared" ca="1" si="45"/>
        <v>3.641338667994404</v>
      </c>
      <c r="K376" s="258">
        <f t="shared" si="46"/>
        <v>0.1684062994370136</v>
      </c>
      <c r="L376" s="258">
        <f t="shared" ca="1" si="47"/>
        <v>3.8097449674314174</v>
      </c>
      <c r="M376" s="258">
        <f t="shared" ca="1" si="48"/>
        <v>2.2219996710611012</v>
      </c>
      <c r="N376" s="258">
        <f t="shared" si="49"/>
        <v>0.16831833407649124</v>
      </c>
      <c r="O376" s="258">
        <f t="shared" ca="1" si="50"/>
        <v>2.3903180051375923</v>
      </c>
      <c r="P376" s="258">
        <f t="shared" ca="1" si="51"/>
        <v>0.54620080019916062</v>
      </c>
      <c r="Q376" s="258">
        <f t="shared" si="52"/>
        <v>0.16831833407649124</v>
      </c>
      <c r="R376" s="258">
        <f t="shared" ca="1" si="53"/>
        <v>0.71451913427565183</v>
      </c>
    </row>
    <row r="377" spans="3:18" ht="14" x14ac:dyDescent="0.25">
      <c r="C377" s="255" t="s">
        <v>6309</v>
      </c>
      <c r="D377" s="132">
        <v>0.97215451521235108</v>
      </c>
      <c r="E377" s="132">
        <v>2.7845484787648908E-2</v>
      </c>
      <c r="F377" s="132">
        <v>19.232500000000002</v>
      </c>
      <c r="G377" s="132">
        <v>1.7556136429810241</v>
      </c>
      <c r="H377" s="132">
        <v>20.988113642981027</v>
      </c>
      <c r="I377" s="401">
        <v>8.3647995853507642E-2</v>
      </c>
      <c r="J377" s="258">
        <f t="shared" ca="1" si="45"/>
        <v>3.6164147965899462</v>
      </c>
      <c r="K377" s="258">
        <f t="shared" si="46"/>
        <v>0.22176589612640191</v>
      </c>
      <c r="L377" s="258">
        <f t="shared" ca="1" si="47"/>
        <v>3.8381806927163482</v>
      </c>
      <c r="M377" s="258">
        <f t="shared" ca="1" si="48"/>
        <v>2.2067907495320371</v>
      </c>
      <c r="N377" s="258">
        <f t="shared" si="49"/>
        <v>0.22165005890968531</v>
      </c>
      <c r="O377" s="258">
        <f t="shared" ca="1" si="50"/>
        <v>2.4284408084417226</v>
      </c>
      <c r="P377" s="258">
        <f t="shared" ca="1" si="51"/>
        <v>0.54246221948849194</v>
      </c>
      <c r="Q377" s="258">
        <f t="shared" si="52"/>
        <v>0.22165005890968531</v>
      </c>
      <c r="R377" s="258">
        <f t="shared" ca="1" si="53"/>
        <v>0.7641122783981773</v>
      </c>
    </row>
    <row r="378" spans="3:18" ht="14" x14ac:dyDescent="0.25">
      <c r="C378" s="255" t="s">
        <v>6310</v>
      </c>
      <c r="D378" s="132">
        <v>0.96501448158564862</v>
      </c>
      <c r="E378" s="132">
        <v>3.4985518414351401E-2</v>
      </c>
      <c r="F378" s="132">
        <v>15.386000000000001</v>
      </c>
      <c r="G378" s="132">
        <v>1.7776814122363722</v>
      </c>
      <c r="H378" s="132">
        <v>17.163681412236372</v>
      </c>
      <c r="I378" s="401">
        <v>0.10357226806651301</v>
      </c>
      <c r="J378" s="258">
        <f t="shared" ca="1" si="45"/>
        <v>3.589853871498613</v>
      </c>
      <c r="K378" s="258">
        <f t="shared" si="46"/>
        <v>0.27863026633484084</v>
      </c>
      <c r="L378" s="258">
        <f t="shared" ca="1" si="47"/>
        <v>3.868484137833454</v>
      </c>
      <c r="M378" s="258">
        <f t="shared" ca="1" si="48"/>
        <v>2.1905828731994226</v>
      </c>
      <c r="N378" s="258">
        <f t="shared" si="49"/>
        <v>0.27848472657823714</v>
      </c>
      <c r="O378" s="258">
        <f t="shared" ca="1" si="50"/>
        <v>2.4690675997776599</v>
      </c>
      <c r="P378" s="258">
        <f t="shared" ca="1" si="51"/>
        <v>0.53847808072479197</v>
      </c>
      <c r="Q378" s="258">
        <f t="shared" si="52"/>
        <v>0.27848472657823714</v>
      </c>
      <c r="R378" s="258">
        <f t="shared" ca="1" si="53"/>
        <v>0.81696280730302906</v>
      </c>
    </row>
    <row r="379" spans="3:18" ht="14" x14ac:dyDescent="0.25">
      <c r="C379" s="255" t="s">
        <v>6311</v>
      </c>
      <c r="D379" s="132">
        <v>0.96000466885810376</v>
      </c>
      <c r="E379" s="132">
        <v>3.9995331141896288E-2</v>
      </c>
      <c r="F379" s="132">
        <v>13.462750000000002</v>
      </c>
      <c r="G379" s="132">
        <v>1.7874893096831936</v>
      </c>
      <c r="H379" s="132">
        <v>15.250239309683195</v>
      </c>
      <c r="I379" s="401">
        <v>0.11721057443001703</v>
      </c>
      <c r="J379" s="258">
        <f t="shared" ca="1" si="45"/>
        <v>3.571217368152146</v>
      </c>
      <c r="K379" s="258">
        <f t="shared" si="46"/>
        <v>0.31852921646704474</v>
      </c>
      <c r="L379" s="258">
        <f t="shared" ca="1" si="47"/>
        <v>3.8897465846191905</v>
      </c>
      <c r="M379" s="258">
        <f t="shared" ca="1" si="48"/>
        <v>2.1792105983078955</v>
      </c>
      <c r="N379" s="258">
        <f t="shared" si="49"/>
        <v>0.31836283588949443</v>
      </c>
      <c r="O379" s="258">
        <f t="shared" ca="1" si="50"/>
        <v>2.4975734341973901</v>
      </c>
      <c r="P379" s="258">
        <f t="shared" ca="1" si="51"/>
        <v>0.53568260522282196</v>
      </c>
      <c r="Q379" s="258">
        <f t="shared" si="52"/>
        <v>0.31836283588949443</v>
      </c>
      <c r="R379" s="258">
        <f t="shared" ca="1" si="53"/>
        <v>0.85404544111231639</v>
      </c>
    </row>
    <row r="380" spans="3:18" ht="14" x14ac:dyDescent="0.25">
      <c r="C380" s="255" t="s">
        <v>6312</v>
      </c>
      <c r="D380" s="132">
        <v>0.95566339625637708</v>
      </c>
      <c r="E380" s="132">
        <v>4.4336603743622964E-2</v>
      </c>
      <c r="F380" s="132">
        <v>9.6162500000000009</v>
      </c>
      <c r="G380" s="132">
        <v>1.4217948477374258</v>
      </c>
      <c r="H380" s="132">
        <v>11.038044847737426</v>
      </c>
      <c r="I380" s="401">
        <v>0.12880857682226801</v>
      </c>
      <c r="J380" s="258">
        <f t="shared" ca="1" si="45"/>
        <v>3.5550678340737227</v>
      </c>
      <c r="K380" s="258">
        <f t="shared" si="46"/>
        <v>0.35310380607081227</v>
      </c>
      <c r="L380" s="258">
        <f t="shared" ca="1" si="47"/>
        <v>3.908171640144535</v>
      </c>
      <c r="M380" s="258">
        <f t="shared" ca="1" si="48"/>
        <v>2.1693559095019759</v>
      </c>
      <c r="N380" s="258">
        <f t="shared" si="49"/>
        <v>0.35291936579923877</v>
      </c>
      <c r="O380" s="258">
        <f t="shared" ca="1" si="50"/>
        <v>2.5222752753012148</v>
      </c>
      <c r="P380" s="258">
        <f t="shared" ca="1" si="51"/>
        <v>0.5332601751110585</v>
      </c>
      <c r="Q380" s="258">
        <f t="shared" si="52"/>
        <v>0.35291936579923877</v>
      </c>
      <c r="R380" s="258">
        <f t="shared" ca="1" si="53"/>
        <v>0.88617954091029727</v>
      </c>
    </row>
    <row r="381" spans="3:18" ht="14" x14ac:dyDescent="0.25">
      <c r="C381" s="255" t="s">
        <v>6313</v>
      </c>
      <c r="D381" s="132">
        <v>0.97617869105386978</v>
      </c>
      <c r="E381" s="132">
        <v>2.3821308946130253E-2</v>
      </c>
      <c r="F381" s="132">
        <v>17.309250000000002</v>
      </c>
      <c r="G381" s="132">
        <v>1.3461339245762323</v>
      </c>
      <c r="H381" s="132">
        <v>18.655383924576235</v>
      </c>
      <c r="I381" s="401">
        <v>7.2157931995323984E-2</v>
      </c>
      <c r="J381" s="258">
        <f t="shared" ca="1" si="45"/>
        <v>3.6313847307203959</v>
      </c>
      <c r="K381" s="258">
        <f t="shared" si="46"/>
        <v>0.1897167158564127</v>
      </c>
      <c r="L381" s="258">
        <f t="shared" ca="1" si="47"/>
        <v>3.8211014465768085</v>
      </c>
      <c r="M381" s="258">
        <f t="shared" ca="1" si="48"/>
        <v>2.2159256286922844</v>
      </c>
      <c r="N381" s="258">
        <f t="shared" si="49"/>
        <v>0.18961761921119683</v>
      </c>
      <c r="O381" s="258">
        <f t="shared" ca="1" si="50"/>
        <v>2.4055432479034811</v>
      </c>
      <c r="P381" s="258">
        <f t="shared" ca="1" si="51"/>
        <v>0.54470770960805937</v>
      </c>
      <c r="Q381" s="258">
        <f t="shared" si="52"/>
        <v>0.18961761921119683</v>
      </c>
      <c r="R381" s="258">
        <f t="shared" ca="1" si="53"/>
        <v>0.73432532881925616</v>
      </c>
    </row>
    <row r="382" spans="3:18" ht="14" x14ac:dyDescent="0.25">
      <c r="C382" s="255" t="s">
        <v>6314</v>
      </c>
      <c r="D382" s="132">
        <v>0.969096363542019</v>
      </c>
      <c r="E382" s="132">
        <v>3.0903636457980967E-2</v>
      </c>
      <c r="F382" s="132">
        <v>13.462750000000002</v>
      </c>
      <c r="G382" s="132">
        <v>1.36820169383158</v>
      </c>
      <c r="H382" s="132">
        <v>14.830951693831581</v>
      </c>
      <c r="I382" s="401">
        <v>9.225312859731287E-2</v>
      </c>
      <c r="J382" s="258">
        <f t="shared" ca="1" si="45"/>
        <v>3.6050384723763109</v>
      </c>
      <c r="K382" s="258">
        <f t="shared" si="46"/>
        <v>0.24612150533319369</v>
      </c>
      <c r="L382" s="258">
        <f t="shared" ca="1" si="47"/>
        <v>3.8511599777095045</v>
      </c>
      <c r="M382" s="258">
        <f t="shared" ca="1" si="48"/>
        <v>2.199848745240383</v>
      </c>
      <c r="N382" s="258">
        <f t="shared" si="49"/>
        <v>0.2459929462055285</v>
      </c>
      <c r="O382" s="258">
        <f t="shared" ca="1" si="50"/>
        <v>2.4458416914459113</v>
      </c>
      <c r="P382" s="258">
        <f t="shared" ca="1" si="51"/>
        <v>0.54075577085644666</v>
      </c>
      <c r="Q382" s="258">
        <f t="shared" si="52"/>
        <v>0.2459929462055285</v>
      </c>
      <c r="R382" s="258">
        <f t="shared" ca="1" si="53"/>
        <v>0.78674871706197513</v>
      </c>
    </row>
    <row r="383" spans="3:18" ht="14" x14ac:dyDescent="0.25">
      <c r="C383" s="255" t="s">
        <v>6315</v>
      </c>
      <c r="D383" s="132">
        <v>0.96357304134588451</v>
      </c>
      <c r="E383" s="132">
        <v>3.6426958654115479E-2</v>
      </c>
      <c r="F383" s="132">
        <v>11.5395</v>
      </c>
      <c r="G383" s="132">
        <v>1.3902694630869283</v>
      </c>
      <c r="H383" s="132">
        <v>12.929769463086929</v>
      </c>
      <c r="I383" s="401">
        <v>0.10752469075771187</v>
      </c>
      <c r="J383" s="258">
        <f t="shared" ca="1" si="45"/>
        <v>3.5844917138066905</v>
      </c>
      <c r="K383" s="258">
        <f t="shared" si="46"/>
        <v>0.2901101270347603</v>
      </c>
      <c r="L383" s="258">
        <f t="shared" ca="1" si="47"/>
        <v>3.8746018408414509</v>
      </c>
      <c r="M383" s="258">
        <f t="shared" ca="1" si="48"/>
        <v>2.1873108038551576</v>
      </c>
      <c r="N383" s="258">
        <f t="shared" si="49"/>
        <v>0.28995859088675924</v>
      </c>
      <c r="O383" s="258">
        <f t="shared" ca="1" si="50"/>
        <v>2.4772693947419171</v>
      </c>
      <c r="P383" s="258">
        <f t="shared" ca="1" si="51"/>
        <v>0.53767375707100362</v>
      </c>
      <c r="Q383" s="258">
        <f t="shared" si="52"/>
        <v>0.28995859088675924</v>
      </c>
      <c r="R383" s="258">
        <f t="shared" ca="1" si="53"/>
        <v>0.82763234795776286</v>
      </c>
    </row>
    <row r="384" spans="3:18" ht="14" x14ac:dyDescent="0.25">
      <c r="C384" s="255" t="s">
        <v>6316</v>
      </c>
      <c r="D384" s="132">
        <v>0.96517283750988458</v>
      </c>
      <c r="E384" s="132">
        <v>3.4827162490115408E-2</v>
      </c>
      <c r="F384" s="132">
        <v>9.6162500000000009</v>
      </c>
      <c r="G384" s="132">
        <v>1.1058404371291084</v>
      </c>
      <c r="H384" s="132">
        <v>10.722090437129109</v>
      </c>
      <c r="I384" s="401">
        <v>0.10313664519184959</v>
      </c>
      <c r="J384" s="258">
        <f t="shared" ca="1" si="45"/>
        <v>3.590442955536771</v>
      </c>
      <c r="K384" s="258">
        <f t="shared" si="46"/>
        <v>0.27736909441727753</v>
      </c>
      <c r="L384" s="258">
        <f t="shared" ca="1" si="47"/>
        <v>3.8678120499540487</v>
      </c>
      <c r="M384" s="258">
        <f t="shared" ca="1" si="48"/>
        <v>2.190942341147438</v>
      </c>
      <c r="N384" s="258">
        <f t="shared" si="49"/>
        <v>0.27722421342131864</v>
      </c>
      <c r="O384" s="258">
        <f t="shared" ca="1" si="50"/>
        <v>2.4681665545687568</v>
      </c>
      <c r="P384" s="258">
        <f t="shared" ca="1" si="51"/>
        <v>0.53856644333051562</v>
      </c>
      <c r="Q384" s="258">
        <f t="shared" si="52"/>
        <v>0.27722421342131864</v>
      </c>
      <c r="R384" s="258">
        <f t="shared" ca="1" si="53"/>
        <v>0.81579065675183426</v>
      </c>
    </row>
    <row r="385" spans="3:18" ht="14" x14ac:dyDescent="0.25">
      <c r="C385" s="255" t="s">
        <v>6317</v>
      </c>
      <c r="D385" s="132">
        <v>0.95641034995167162</v>
      </c>
      <c r="E385" s="132">
        <v>4.3589650048328384E-2</v>
      </c>
      <c r="F385" s="132">
        <v>7.6930000000000005</v>
      </c>
      <c r="G385" s="132">
        <v>1.1173997448342909</v>
      </c>
      <c r="H385" s="132">
        <v>8.8103997448342923</v>
      </c>
      <c r="I385" s="401">
        <v>0.12682736052804461</v>
      </c>
      <c r="J385" s="258">
        <f t="shared" ca="1" si="45"/>
        <v>3.5578465018202188</v>
      </c>
      <c r="K385" s="258">
        <f t="shared" si="46"/>
        <v>0.34715494732889496</v>
      </c>
      <c r="L385" s="258">
        <f t="shared" ca="1" si="47"/>
        <v>3.9050014491491138</v>
      </c>
      <c r="M385" s="258">
        <f t="shared" ca="1" si="48"/>
        <v>2.1710514943902948</v>
      </c>
      <c r="N385" s="258">
        <f t="shared" si="49"/>
        <v>0.34697361438469393</v>
      </c>
      <c r="O385" s="258">
        <f t="shared" ca="1" si="50"/>
        <v>2.5180251087749888</v>
      </c>
      <c r="P385" s="258">
        <f t="shared" ca="1" si="51"/>
        <v>0.53367697527303282</v>
      </c>
      <c r="Q385" s="258">
        <f t="shared" si="52"/>
        <v>0.34697361438469393</v>
      </c>
      <c r="R385" s="258">
        <f t="shared" ca="1" si="53"/>
        <v>0.8806505896577268</v>
      </c>
    </row>
    <row r="386" spans="3:18" ht="14" x14ac:dyDescent="0.25">
      <c r="C386" s="255" t="s">
        <v>6318</v>
      </c>
      <c r="D386" s="132">
        <v>0.97606978585517257</v>
      </c>
      <c r="E386" s="132">
        <v>2.3930214144827384E-2</v>
      </c>
      <c r="F386" s="132">
        <v>13.462750000000002</v>
      </c>
      <c r="G386" s="132">
        <v>1.0518970011715911</v>
      </c>
      <c r="H386" s="132">
        <v>14.514647001171593</v>
      </c>
      <c r="I386" s="401">
        <v>7.2471414639755566E-2</v>
      </c>
      <c r="J386" s="258">
        <f t="shared" ca="1" si="45"/>
        <v>3.6309796033812423</v>
      </c>
      <c r="K386" s="258">
        <f t="shared" si="46"/>
        <v>0.19058405428366845</v>
      </c>
      <c r="L386" s="258">
        <f t="shared" ca="1" si="47"/>
        <v>3.8215636576649108</v>
      </c>
      <c r="M386" s="258">
        <f t="shared" ca="1" si="48"/>
        <v>2.2156784138912418</v>
      </c>
      <c r="N386" s="258">
        <f t="shared" si="49"/>
        <v>0.19048450459282598</v>
      </c>
      <c r="O386" s="258">
        <f t="shared" ca="1" si="50"/>
        <v>2.4061629184840676</v>
      </c>
      <c r="P386" s="258">
        <f t="shared" ca="1" si="51"/>
        <v>0.54464694050718632</v>
      </c>
      <c r="Q386" s="258">
        <f t="shared" si="52"/>
        <v>0.19048450459282598</v>
      </c>
      <c r="R386" s="258">
        <f t="shared" ca="1" si="53"/>
        <v>0.73513144510001227</v>
      </c>
    </row>
    <row r="387" spans="3:18" ht="14" x14ac:dyDescent="0.25">
      <c r="C387" s="255" t="s">
        <v>6319</v>
      </c>
      <c r="D387" s="132">
        <v>0.96576946740202119</v>
      </c>
      <c r="E387" s="132">
        <v>3.4230532597978786E-2</v>
      </c>
      <c r="F387" s="132">
        <v>9.6162500000000009</v>
      </c>
      <c r="G387" s="132">
        <v>1.086224642235466</v>
      </c>
      <c r="H387" s="132">
        <v>10.702474642235467</v>
      </c>
      <c r="I387" s="401">
        <v>0.10149284894811786</v>
      </c>
      <c r="J387" s="258">
        <f t="shared" ca="1" si="45"/>
        <v>3.5926624187355189</v>
      </c>
      <c r="K387" s="258">
        <f t="shared" si="46"/>
        <v>0.27261743849551873</v>
      </c>
      <c r="L387" s="258">
        <f t="shared" ca="1" si="47"/>
        <v>3.8652798572310378</v>
      </c>
      <c r="M387" s="258">
        <f t="shared" ca="1" si="48"/>
        <v>2.1922966910025883</v>
      </c>
      <c r="N387" s="258">
        <f t="shared" si="49"/>
        <v>0.27247503947991114</v>
      </c>
      <c r="O387" s="258">
        <f t="shared" ca="1" si="50"/>
        <v>2.4647717304824992</v>
      </c>
      <c r="P387" s="258">
        <f t="shared" ca="1" si="51"/>
        <v>0.53889936281032791</v>
      </c>
      <c r="Q387" s="258">
        <f t="shared" si="52"/>
        <v>0.27247503947991114</v>
      </c>
      <c r="R387" s="258">
        <f t="shared" ca="1" si="53"/>
        <v>0.81137440229023905</v>
      </c>
    </row>
    <row r="388" spans="3:18" ht="14" x14ac:dyDescent="0.25">
      <c r="C388" s="255" t="s">
        <v>6320</v>
      </c>
      <c r="D388" s="132">
        <v>0.95684181615771902</v>
      </c>
      <c r="E388" s="132">
        <v>4.3158183842280928E-2</v>
      </c>
      <c r="F388" s="132">
        <v>7.6930000000000005</v>
      </c>
      <c r="G388" s="132">
        <v>1.1058404371291088</v>
      </c>
      <c r="H388" s="132">
        <v>8.79884043712911</v>
      </c>
      <c r="I388" s="401">
        <v>0.1256802467360032</v>
      </c>
      <c r="J388" s="258">
        <f t="shared" ca="1" si="45"/>
        <v>3.559451556106715</v>
      </c>
      <c r="K388" s="258">
        <f t="shared" si="46"/>
        <v>0.34371868142934009</v>
      </c>
      <c r="L388" s="258">
        <f t="shared" ca="1" si="47"/>
        <v>3.9031702375360551</v>
      </c>
      <c r="M388" s="258">
        <f t="shared" ca="1" si="48"/>
        <v>2.1720309226780223</v>
      </c>
      <c r="N388" s="258">
        <f t="shared" si="49"/>
        <v>0.34353914338455621</v>
      </c>
      <c r="O388" s="258">
        <f t="shared" ca="1" si="50"/>
        <v>2.5155700660625784</v>
      </c>
      <c r="P388" s="258">
        <f t="shared" ca="1" si="51"/>
        <v>0.53391773341600723</v>
      </c>
      <c r="Q388" s="258">
        <f t="shared" si="52"/>
        <v>0.34353914338455621</v>
      </c>
      <c r="R388" s="258">
        <f t="shared" ca="1" si="53"/>
        <v>0.8774568768005635</v>
      </c>
    </row>
    <row r="389" spans="3:18" ht="14" x14ac:dyDescent="0.25">
      <c r="C389" s="255" t="s">
        <v>6321</v>
      </c>
      <c r="D389" s="132">
        <v>0.96555363665113492</v>
      </c>
      <c r="E389" s="132">
        <v>3.4446363348865049E-2</v>
      </c>
      <c r="F389" s="132">
        <v>7.6930000000000005</v>
      </c>
      <c r="G389" s="132">
        <v>0.87465428302546233</v>
      </c>
      <c r="H389" s="132">
        <v>8.5676542830254636</v>
      </c>
      <c r="I389" s="401">
        <v>0.10208795244672256</v>
      </c>
      <c r="J389" s="258">
        <f t="shared" ca="1" si="45"/>
        <v>3.5918595283422219</v>
      </c>
      <c r="K389" s="258">
        <f t="shared" si="46"/>
        <v>0.27433634912849708</v>
      </c>
      <c r="L389" s="258">
        <f t="shared" ca="1" si="47"/>
        <v>3.866195877470719</v>
      </c>
      <c r="M389" s="258">
        <f t="shared" ca="1" si="48"/>
        <v>2.1918067551980762</v>
      </c>
      <c r="N389" s="258">
        <f t="shared" si="49"/>
        <v>0.27419305225696577</v>
      </c>
      <c r="O389" s="258">
        <f t="shared" ca="1" si="50"/>
        <v>2.465999807455042</v>
      </c>
      <c r="P389" s="258">
        <f t="shared" ca="1" si="51"/>
        <v>0.53877892925133331</v>
      </c>
      <c r="Q389" s="258">
        <f t="shared" si="52"/>
        <v>0.27419305225696577</v>
      </c>
      <c r="R389" s="258">
        <f t="shared" ca="1" si="53"/>
        <v>0.81297198150829908</v>
      </c>
    </row>
    <row r="390" spans="3:18" ht="14" x14ac:dyDescent="0.25">
      <c r="C390" s="255" t="s">
        <v>6322</v>
      </c>
      <c r="D390" s="132">
        <v>0.95402038359191621</v>
      </c>
      <c r="E390" s="132">
        <v>4.5979616408083776E-2</v>
      </c>
      <c r="F390" s="132">
        <v>5.7697500000000002</v>
      </c>
      <c r="G390" s="132">
        <v>0.88621359073064476</v>
      </c>
      <c r="H390" s="132">
        <v>6.6559635907306447</v>
      </c>
      <c r="I390" s="401">
        <v>0.13314579904926471</v>
      </c>
      <c r="J390" s="258">
        <f t="shared" ca="1" si="45"/>
        <v>3.5489558269619286</v>
      </c>
      <c r="K390" s="258">
        <f t="shared" si="46"/>
        <v>0.36618902181260449</v>
      </c>
      <c r="L390" s="258">
        <f t="shared" ca="1" si="47"/>
        <v>3.9151448487745331</v>
      </c>
      <c r="M390" s="258">
        <f t="shared" ca="1" si="48"/>
        <v>2.1656262707536498</v>
      </c>
      <c r="N390" s="258">
        <f t="shared" si="49"/>
        <v>0.36599774660834683</v>
      </c>
      <c r="O390" s="258">
        <f t="shared" ca="1" si="50"/>
        <v>2.5316240173619966</v>
      </c>
      <c r="P390" s="258">
        <f t="shared" ca="1" si="51"/>
        <v>0.53234337404428933</v>
      </c>
      <c r="Q390" s="258">
        <f t="shared" si="52"/>
        <v>0.36599774660834683</v>
      </c>
      <c r="R390" s="258">
        <f t="shared" ca="1" si="53"/>
        <v>0.89834112065263616</v>
      </c>
    </row>
    <row r="391" spans="3:18" ht="14" x14ac:dyDescent="0.25">
      <c r="C391" s="255" t="s">
        <v>6323</v>
      </c>
      <c r="D391" s="132">
        <v>0.96301621988517028</v>
      </c>
      <c r="E391" s="132">
        <v>3.6983780114829758E-2</v>
      </c>
      <c r="F391" s="132">
        <v>7.6930000000000005</v>
      </c>
      <c r="G391" s="132">
        <v>0.94155815489485095</v>
      </c>
      <c r="H391" s="132">
        <v>8.6345581548948509</v>
      </c>
      <c r="I391" s="401">
        <v>0.1090453197493482</v>
      </c>
      <c r="J391" s="258">
        <f t="shared" ca="1" si="45"/>
        <v>3.5824203379728337</v>
      </c>
      <c r="K391" s="258">
        <f t="shared" si="46"/>
        <v>0.29454474223932253</v>
      </c>
      <c r="L391" s="258">
        <f t="shared" ca="1" si="47"/>
        <v>3.8769650802121562</v>
      </c>
      <c r="M391" s="258">
        <f t="shared" ca="1" si="48"/>
        <v>2.1860468191393365</v>
      </c>
      <c r="N391" s="258">
        <f t="shared" si="49"/>
        <v>0.29439088971404487</v>
      </c>
      <c r="O391" s="258">
        <f t="shared" ca="1" si="50"/>
        <v>2.4804377088533816</v>
      </c>
      <c r="P391" s="258">
        <f t="shared" ca="1" si="51"/>
        <v>0.53736305069592505</v>
      </c>
      <c r="Q391" s="258">
        <f t="shared" si="52"/>
        <v>0.29439088971404487</v>
      </c>
      <c r="R391" s="258">
        <f t="shared" ca="1" si="53"/>
        <v>0.83175394040996986</v>
      </c>
    </row>
    <row r="392" spans="3:18" ht="14" x14ac:dyDescent="0.25">
      <c r="C392" s="255" t="s">
        <v>6324</v>
      </c>
      <c r="D392" s="132">
        <v>0.9503243962569472</v>
      </c>
      <c r="E392" s="132">
        <v>4.9675603743052771E-2</v>
      </c>
      <c r="F392" s="132">
        <v>5.7697500000000002</v>
      </c>
      <c r="G392" s="132">
        <v>0.96117394978849346</v>
      </c>
      <c r="H392" s="132">
        <v>6.7309239497884938</v>
      </c>
      <c r="I392" s="401">
        <v>0.14279970431380323</v>
      </c>
      <c r="J392" s="258">
        <f t="shared" ca="1" si="45"/>
        <v>3.5352067540758436</v>
      </c>
      <c r="K392" s="258">
        <f t="shared" si="46"/>
        <v>0.39562445630627113</v>
      </c>
      <c r="L392" s="258">
        <f t="shared" ca="1" si="47"/>
        <v>3.9308312103821148</v>
      </c>
      <c r="M392" s="258">
        <f t="shared" ca="1" si="48"/>
        <v>2.1572363795032703</v>
      </c>
      <c r="N392" s="258">
        <f t="shared" si="49"/>
        <v>0.39541780579470004</v>
      </c>
      <c r="O392" s="258">
        <f t="shared" ca="1" si="50"/>
        <v>2.5526541852979703</v>
      </c>
      <c r="P392" s="258">
        <f t="shared" ca="1" si="51"/>
        <v>0.53028101311137654</v>
      </c>
      <c r="Q392" s="258">
        <f t="shared" si="52"/>
        <v>0.39541780579470004</v>
      </c>
      <c r="R392" s="258">
        <f t="shared" ca="1" si="53"/>
        <v>0.92569881890607664</v>
      </c>
    </row>
    <row r="393" spans="3:18" ht="14" x14ac:dyDescent="0.25">
      <c r="C393" s="255" t="s">
        <v>6325</v>
      </c>
      <c r="D393" s="132">
        <v>0.95996955747233581</v>
      </c>
      <c r="E393" s="132">
        <v>4.0030442527664231E-2</v>
      </c>
      <c r="F393" s="132">
        <v>5.7697500000000002</v>
      </c>
      <c r="G393" s="132">
        <v>0.76676741111042734</v>
      </c>
      <c r="H393" s="132">
        <v>6.5365174111104274</v>
      </c>
      <c r="I393" s="401">
        <v>0.11730518912213353</v>
      </c>
      <c r="J393" s="258">
        <f t="shared" ca="1" si="45"/>
        <v>3.5710867537970894</v>
      </c>
      <c r="K393" s="258">
        <f t="shared" si="46"/>
        <v>0.31880884916112234</v>
      </c>
      <c r="L393" s="258">
        <f t="shared" ca="1" si="47"/>
        <v>3.8898956029582119</v>
      </c>
      <c r="M393" s="258">
        <f t="shared" ca="1" si="48"/>
        <v>2.1791308954622024</v>
      </c>
      <c r="N393" s="258">
        <f t="shared" si="49"/>
        <v>0.3186423225202073</v>
      </c>
      <c r="O393" s="258">
        <f t="shared" ca="1" si="50"/>
        <v>2.4977732179824095</v>
      </c>
      <c r="P393" s="258">
        <f t="shared" ca="1" si="51"/>
        <v>0.53566301306956343</v>
      </c>
      <c r="Q393" s="258">
        <f t="shared" si="52"/>
        <v>0.3186423225202073</v>
      </c>
      <c r="R393" s="258">
        <f t="shared" ca="1" si="53"/>
        <v>0.85430533558977073</v>
      </c>
    </row>
    <row r="394" spans="3:18" ht="14" x14ac:dyDescent="0.25">
      <c r="C394" s="255" t="s">
        <v>6326</v>
      </c>
      <c r="D394" s="132">
        <v>0.9402981144499567</v>
      </c>
      <c r="E394" s="132">
        <v>5.9701885550043347E-2</v>
      </c>
      <c r="F394" s="132">
        <v>3.8465000000000003</v>
      </c>
      <c r="G394" s="132">
        <v>0.77832671881560966</v>
      </c>
      <c r="H394" s="132">
        <v>4.6248267188156102</v>
      </c>
      <c r="I394" s="401">
        <v>0.16829316342795528</v>
      </c>
      <c r="J394" s="258">
        <f t="shared" ca="1" si="45"/>
        <v>3.4979089857538392</v>
      </c>
      <c r="K394" s="258">
        <f t="shared" si="46"/>
        <v>0.47547536882223318</v>
      </c>
      <c r="L394" s="258">
        <f t="shared" ca="1" si="47"/>
        <v>3.9733843545760723</v>
      </c>
      <c r="M394" s="258">
        <f t="shared" ca="1" si="48"/>
        <v>2.1344767198014019</v>
      </c>
      <c r="N394" s="258">
        <f t="shared" si="49"/>
        <v>0.47522700897834502</v>
      </c>
      <c r="O394" s="258">
        <f t="shared" ca="1" si="50"/>
        <v>2.6097037287797469</v>
      </c>
      <c r="P394" s="258">
        <f t="shared" ca="1" si="51"/>
        <v>0.52468634786307589</v>
      </c>
      <c r="Q394" s="258">
        <f t="shared" si="52"/>
        <v>0.47522700897834502</v>
      </c>
      <c r="R394" s="258">
        <f t="shared" ca="1" si="53"/>
        <v>0.99991335684142091</v>
      </c>
    </row>
    <row r="395" spans="3:18" ht="14" x14ac:dyDescent="0.25">
      <c r="C395" s="255" t="s">
        <v>6327</v>
      </c>
      <c r="D395" s="132">
        <v>0.96190450536273897</v>
      </c>
      <c r="E395" s="132">
        <v>3.8095494637260995E-2</v>
      </c>
      <c r="F395" s="132">
        <v>5.7697500000000002</v>
      </c>
      <c r="G395" s="132">
        <v>0.72823638542648628</v>
      </c>
      <c r="H395" s="132">
        <v>6.4979863854264863</v>
      </c>
      <c r="I395" s="401">
        <v>0.11207108513796762</v>
      </c>
      <c r="J395" s="258">
        <f t="shared" ca="1" si="45"/>
        <v>3.5782847599493892</v>
      </c>
      <c r="K395" s="258">
        <f t="shared" si="46"/>
        <v>0.30339861457028849</v>
      </c>
      <c r="L395" s="258">
        <f t="shared" ca="1" si="47"/>
        <v>3.8816833745196777</v>
      </c>
      <c r="M395" s="258">
        <f t="shared" ca="1" si="48"/>
        <v>2.1835232271734175</v>
      </c>
      <c r="N395" s="258">
        <f t="shared" si="49"/>
        <v>0.30324013731259752</v>
      </c>
      <c r="O395" s="258">
        <f t="shared" ca="1" si="50"/>
        <v>2.486763364486015</v>
      </c>
      <c r="P395" s="258">
        <f t="shared" ca="1" si="51"/>
        <v>0.53674271399240836</v>
      </c>
      <c r="Q395" s="258">
        <f t="shared" si="52"/>
        <v>0.30324013731259752</v>
      </c>
      <c r="R395" s="258">
        <f t="shared" ca="1" si="53"/>
        <v>0.83998285130500583</v>
      </c>
    </row>
    <row r="396" spans="3:18" ht="14" x14ac:dyDescent="0.25">
      <c r="C396" s="255" t="s">
        <v>6328</v>
      </c>
      <c r="D396" s="132">
        <v>0.96091846726666885</v>
      </c>
      <c r="E396" s="132">
        <v>3.9081532733331099E-2</v>
      </c>
      <c r="F396" s="132">
        <v>5.7697500000000002</v>
      </c>
      <c r="G396" s="132">
        <v>0.74785218032012912</v>
      </c>
      <c r="H396" s="132">
        <v>6.5176021803201296</v>
      </c>
      <c r="I396" s="401">
        <v>0.11474345313346454</v>
      </c>
      <c r="J396" s="258">
        <f t="shared" ca="1" si="45"/>
        <v>3.5746166982320084</v>
      </c>
      <c r="K396" s="258">
        <f t="shared" si="46"/>
        <v>0.31125157973348622</v>
      </c>
      <c r="L396" s="258">
        <f t="shared" ca="1" si="47"/>
        <v>3.8858682779654945</v>
      </c>
      <c r="M396" s="258">
        <f t="shared" ca="1" si="48"/>
        <v>2.1812849206953384</v>
      </c>
      <c r="N396" s="258">
        <f t="shared" si="49"/>
        <v>0.31108900055731553</v>
      </c>
      <c r="O396" s="258">
        <f t="shared" ca="1" si="50"/>
        <v>2.4923739212526539</v>
      </c>
      <c r="P396" s="258">
        <f t="shared" ca="1" si="51"/>
        <v>0.53619250473480129</v>
      </c>
      <c r="Q396" s="258">
        <f t="shared" si="52"/>
        <v>0.31108900055731553</v>
      </c>
      <c r="R396" s="258">
        <f t="shared" ca="1" si="53"/>
        <v>0.84728150529211677</v>
      </c>
    </row>
    <row r="397" spans="3:18" ht="14" x14ac:dyDescent="0.25">
      <c r="C397" s="255" t="s">
        <v>6329</v>
      </c>
      <c r="D397" s="132">
        <v>0.95340094758312421</v>
      </c>
      <c r="E397" s="132">
        <v>4.6599052416875827E-2</v>
      </c>
      <c r="F397" s="132">
        <v>3.8465000000000003</v>
      </c>
      <c r="G397" s="132">
        <v>0.59915744938528381</v>
      </c>
      <c r="H397" s="132">
        <v>4.4456574493852843</v>
      </c>
      <c r="I397" s="401">
        <v>0.13477364286538346</v>
      </c>
      <c r="J397" s="258">
        <f t="shared" ca="1" si="45"/>
        <v>3.5466515250092221</v>
      </c>
      <c r="K397" s="258">
        <f t="shared" si="46"/>
        <v>0.37112230929638579</v>
      </c>
      <c r="L397" s="258">
        <f t="shared" ca="1" si="47"/>
        <v>3.9177738343056081</v>
      </c>
      <c r="M397" s="258">
        <f t="shared" ca="1" si="48"/>
        <v>2.164220151013692</v>
      </c>
      <c r="N397" s="258">
        <f t="shared" si="49"/>
        <v>0.37092845723833157</v>
      </c>
      <c r="O397" s="258">
        <f t="shared" ca="1" si="50"/>
        <v>2.5351486082520234</v>
      </c>
      <c r="P397" s="258">
        <f t="shared" ca="1" si="51"/>
        <v>0.5319977287513834</v>
      </c>
      <c r="Q397" s="258">
        <f t="shared" si="52"/>
        <v>0.37092845723833157</v>
      </c>
      <c r="R397" s="258">
        <f t="shared" ca="1" si="53"/>
        <v>0.90292618598971497</v>
      </c>
    </row>
    <row r="398" spans="3:18" ht="14" x14ac:dyDescent="0.25">
      <c r="C398" s="255" t="s">
        <v>6330</v>
      </c>
      <c r="D398" s="132">
        <v>0.90938916158260863</v>
      </c>
      <c r="E398" s="132">
        <v>9.0610838417391384E-2</v>
      </c>
      <c r="F398" s="132">
        <v>1.9232500000000001</v>
      </c>
      <c r="G398" s="132">
        <v>0.61071675709046613</v>
      </c>
      <c r="H398" s="132">
        <v>2.5339667570904663</v>
      </c>
      <c r="I398" s="401">
        <v>0.24101214247644634</v>
      </c>
      <c r="J398" s="258">
        <f t="shared" ca="1" si="45"/>
        <v>3.3829276810873044</v>
      </c>
      <c r="K398" s="258">
        <f t="shared" si="46"/>
        <v>0.72163921489025173</v>
      </c>
      <c r="L398" s="258">
        <f t="shared" ca="1" si="47"/>
        <v>4.1045668959775563</v>
      </c>
      <c r="M398" s="258">
        <f t="shared" ca="1" si="48"/>
        <v>2.0643133967925218</v>
      </c>
      <c r="N398" s="258">
        <f t="shared" si="49"/>
        <v>0.72126227380243546</v>
      </c>
      <c r="O398" s="258">
        <f t="shared" ca="1" si="50"/>
        <v>2.785575670594957</v>
      </c>
      <c r="P398" s="258">
        <f t="shared" ca="1" si="51"/>
        <v>0.50743915216309565</v>
      </c>
      <c r="Q398" s="258">
        <f t="shared" si="52"/>
        <v>0.72126227380243546</v>
      </c>
      <c r="R398" s="258">
        <f t="shared" ca="1" si="53"/>
        <v>1.2287014259655311</v>
      </c>
    </row>
    <row r="399" spans="3:18" ht="14" x14ac:dyDescent="0.25">
      <c r="C399" s="255" t="s">
        <v>6331</v>
      </c>
      <c r="D399" s="132">
        <v>0.95474045944326835</v>
      </c>
      <c r="E399" s="132">
        <v>4.5259540556731641E-2</v>
      </c>
      <c r="F399" s="132">
        <v>3.8465000000000003</v>
      </c>
      <c r="G399" s="132">
        <v>0.58111792372416582</v>
      </c>
      <c r="H399" s="132">
        <v>4.4276179237241662</v>
      </c>
      <c r="I399" s="401">
        <v>0.13124843510331055</v>
      </c>
      <c r="J399" s="258">
        <f t="shared" ca="1" si="45"/>
        <v>3.5516345091289585</v>
      </c>
      <c r="K399" s="258">
        <f t="shared" si="46"/>
        <v>0.36045422252029985</v>
      </c>
      <c r="L399" s="258">
        <f t="shared" ca="1" si="47"/>
        <v>3.9120887316492583</v>
      </c>
      <c r="M399" s="258">
        <f t="shared" ca="1" si="48"/>
        <v>2.1672608429362192</v>
      </c>
      <c r="N399" s="258">
        <f t="shared" si="49"/>
        <v>0.36026594283158386</v>
      </c>
      <c r="O399" s="258">
        <f t="shared" ca="1" si="50"/>
        <v>2.5275267857678032</v>
      </c>
      <c r="P399" s="258">
        <f t="shared" ca="1" si="51"/>
        <v>0.53274517636934382</v>
      </c>
      <c r="Q399" s="258">
        <f t="shared" si="52"/>
        <v>0.36026594283158386</v>
      </c>
      <c r="R399" s="258">
        <f t="shared" ca="1" si="53"/>
        <v>0.89301111920092768</v>
      </c>
    </row>
    <row r="400" spans="3:18" ht="14" x14ac:dyDescent="0.25">
      <c r="C400" s="255" t="s">
        <v>6332</v>
      </c>
      <c r="D400" s="132">
        <v>0.92904027434430481</v>
      </c>
      <c r="E400" s="132">
        <v>7.0959725655695166E-2</v>
      </c>
      <c r="F400" s="132">
        <v>1.9232500000000001</v>
      </c>
      <c r="G400" s="132">
        <v>0.46815196205988407</v>
      </c>
      <c r="H400" s="132">
        <v>2.3914019620598843</v>
      </c>
      <c r="I400" s="401">
        <v>0.19576464746923247</v>
      </c>
      <c r="J400" s="258">
        <f t="shared" ca="1" si="45"/>
        <v>3.456029820560814</v>
      </c>
      <c r="K400" s="258">
        <f t="shared" si="46"/>
        <v>0.5651346086780612</v>
      </c>
      <c r="L400" s="258">
        <f t="shared" ca="1" si="47"/>
        <v>4.0211644292388753</v>
      </c>
      <c r="M400" s="258">
        <f t="shared" ca="1" si="48"/>
        <v>2.108921422761572</v>
      </c>
      <c r="N400" s="258">
        <f t="shared" si="49"/>
        <v>0.56483941621933353</v>
      </c>
      <c r="O400" s="258">
        <f t="shared" ca="1" si="50"/>
        <v>2.6737608389809058</v>
      </c>
      <c r="P400" s="258">
        <f t="shared" ca="1" si="51"/>
        <v>0.51840447308412207</v>
      </c>
      <c r="Q400" s="258">
        <f t="shared" si="52"/>
        <v>0.56483941621933353</v>
      </c>
      <c r="R400" s="258">
        <f t="shared" ca="1" si="53"/>
        <v>1.0832438893034557</v>
      </c>
    </row>
    <row r="401" spans="3:18" ht="14" x14ac:dyDescent="0.25">
      <c r="C401" s="255" t="s">
        <v>6333</v>
      </c>
      <c r="D401" s="132">
        <v>0.92822710470608105</v>
      </c>
      <c r="E401" s="132">
        <v>7.177289529391892E-2</v>
      </c>
      <c r="F401" s="132">
        <v>1.9232500000000001</v>
      </c>
      <c r="G401" s="132">
        <v>0.47393161591247529</v>
      </c>
      <c r="H401" s="132">
        <v>2.3971816159124755</v>
      </c>
      <c r="I401" s="401">
        <v>0.19770367533545244</v>
      </c>
      <c r="J401" s="258">
        <f t="shared" ca="1" si="45"/>
        <v>3.4530048295066216</v>
      </c>
      <c r="K401" s="258">
        <f t="shared" si="46"/>
        <v>0.57161082178401723</v>
      </c>
      <c r="L401" s="258">
        <f t="shared" ca="1" si="47"/>
        <v>4.024615651290639</v>
      </c>
      <c r="M401" s="258">
        <f t="shared" ca="1" si="48"/>
        <v>2.1070755276828042</v>
      </c>
      <c r="N401" s="258">
        <f t="shared" si="49"/>
        <v>0.57131224653959456</v>
      </c>
      <c r="O401" s="258">
        <f t="shared" ca="1" si="50"/>
        <v>2.6783877742223989</v>
      </c>
      <c r="P401" s="258">
        <f t="shared" ca="1" si="51"/>
        <v>0.51795072442599333</v>
      </c>
      <c r="Q401" s="258">
        <f t="shared" si="52"/>
        <v>0.57131224653959456</v>
      </c>
      <c r="R401" s="258">
        <f t="shared" ca="1" si="53"/>
        <v>1.0892629709655879</v>
      </c>
    </row>
    <row r="402" spans="3:18" ht="14" x14ac:dyDescent="0.25">
      <c r="C402" s="255" t="s">
        <v>6334</v>
      </c>
      <c r="D402" s="132">
        <v>0.92741535732394476</v>
      </c>
      <c r="E402" s="132">
        <v>7.25846426760553E-2</v>
      </c>
      <c r="F402" s="132">
        <v>1.9232500000000001</v>
      </c>
      <c r="G402" s="132">
        <v>0.47971126976506628</v>
      </c>
      <c r="H402" s="132">
        <v>2.4029612697650666</v>
      </c>
      <c r="I402" s="401">
        <v>0.19963337561906142</v>
      </c>
      <c r="J402" s="258">
        <f t="shared" ca="1" si="45"/>
        <v>3.4499851292450745</v>
      </c>
      <c r="K402" s="258">
        <f t="shared" si="46"/>
        <v>0.57807570781493256</v>
      </c>
      <c r="L402" s="258">
        <f t="shared" ca="1" si="47"/>
        <v>4.0280608370600071</v>
      </c>
      <c r="M402" s="258">
        <f t="shared" ca="1" si="48"/>
        <v>2.1052328611253546</v>
      </c>
      <c r="N402" s="258">
        <f t="shared" si="49"/>
        <v>0.57777375570140022</v>
      </c>
      <c r="O402" s="258">
        <f t="shared" ca="1" si="50"/>
        <v>2.6830066168267548</v>
      </c>
      <c r="P402" s="258">
        <f t="shared" ca="1" si="51"/>
        <v>0.51749776938676117</v>
      </c>
      <c r="Q402" s="258">
        <f t="shared" si="52"/>
        <v>0.57777375570140022</v>
      </c>
      <c r="R402" s="258">
        <f t="shared" ca="1" si="53"/>
        <v>1.0952715250881613</v>
      </c>
    </row>
    <row r="403" spans="3:18" ht="14" x14ac:dyDescent="0.25">
      <c r="C403" s="255" t="s">
        <v>6335</v>
      </c>
      <c r="D403" s="132">
        <v>0.9324811408706819</v>
      </c>
      <c r="E403" s="132">
        <v>6.7518859129318154E-2</v>
      </c>
      <c r="F403" s="132">
        <v>1.9232500000000001</v>
      </c>
      <c r="G403" s="132">
        <v>0.44380735946866678</v>
      </c>
      <c r="H403" s="132">
        <v>2.3670573594686668</v>
      </c>
      <c r="I403" s="401">
        <v>0.18749328472897175</v>
      </c>
      <c r="J403" s="258">
        <f t="shared" ca="1" si="45"/>
        <v>3.4688298440389369</v>
      </c>
      <c r="K403" s="258">
        <f t="shared" si="46"/>
        <v>0.53773099712335048</v>
      </c>
      <c r="L403" s="258">
        <f t="shared" ca="1" si="47"/>
        <v>4.0065608411622877</v>
      </c>
      <c r="M403" s="258">
        <f t="shared" ca="1" si="48"/>
        <v>2.1167321897764477</v>
      </c>
      <c r="N403" s="258">
        <f t="shared" si="49"/>
        <v>0.53745011866937253</v>
      </c>
      <c r="O403" s="258">
        <f t="shared" ca="1" si="50"/>
        <v>2.6541823084458205</v>
      </c>
      <c r="P403" s="258">
        <f t="shared" ca="1" si="51"/>
        <v>0.52032447660584058</v>
      </c>
      <c r="Q403" s="258">
        <f t="shared" si="52"/>
        <v>0.53745011866937253</v>
      </c>
      <c r="R403" s="258">
        <f t="shared" ca="1" si="53"/>
        <v>1.0577745952752131</v>
      </c>
    </row>
    <row r="404" spans="3:18" ht="14" x14ac:dyDescent="0.25">
      <c r="C404" s="255" t="s">
        <v>6336</v>
      </c>
      <c r="D404" s="132">
        <v>0.94448530904085182</v>
      </c>
      <c r="E404" s="132">
        <v>5.5514690959148238E-2</v>
      </c>
      <c r="F404" s="132">
        <v>1.9232500000000001</v>
      </c>
      <c r="G404" s="132">
        <v>0.36026509014484914</v>
      </c>
      <c r="H404" s="132">
        <v>2.2835150901448493</v>
      </c>
      <c r="I404" s="401">
        <v>0.1577677728952501</v>
      </c>
      <c r="J404" s="258">
        <f t="shared" ca="1" si="45"/>
        <v>3.5134853496319689</v>
      </c>
      <c r="K404" s="258">
        <f t="shared" si="46"/>
        <v>0.44212788114921003</v>
      </c>
      <c r="L404" s="258">
        <f t="shared" ca="1" si="47"/>
        <v>3.9556132307811791</v>
      </c>
      <c r="M404" s="258">
        <f t="shared" ca="1" si="48"/>
        <v>2.1439816515227337</v>
      </c>
      <c r="N404" s="258">
        <f t="shared" si="49"/>
        <v>0.44189694003482</v>
      </c>
      <c r="O404" s="258">
        <f t="shared" ca="1" si="50"/>
        <v>2.5858785915575537</v>
      </c>
      <c r="P404" s="258">
        <f t="shared" ca="1" si="51"/>
        <v>0.52702280244479538</v>
      </c>
      <c r="Q404" s="258">
        <f t="shared" si="52"/>
        <v>0.44189694003482</v>
      </c>
      <c r="R404" s="258">
        <f t="shared" ca="1" si="53"/>
        <v>0.96891974247961543</v>
      </c>
    </row>
    <row r="405" spans="3:18" ht="14" x14ac:dyDescent="0.25">
      <c r="C405" s="255" t="s">
        <v>6337</v>
      </c>
      <c r="D405" s="132">
        <v>0.94280596417233409</v>
      </c>
      <c r="E405" s="132">
        <v>5.7194035827665961E-2</v>
      </c>
      <c r="F405" s="132">
        <v>1.9232500000000001</v>
      </c>
      <c r="G405" s="132">
        <v>0.37182439785003141</v>
      </c>
      <c r="H405" s="132">
        <v>2.2950743978500316</v>
      </c>
      <c r="I405" s="401">
        <v>0.16200973624138162</v>
      </c>
      <c r="J405" s="258">
        <f t="shared" ca="1" si="45"/>
        <v>3.5072381867210831</v>
      </c>
      <c r="K405" s="258">
        <f t="shared" si="46"/>
        <v>0.45550245237726411</v>
      </c>
      <c r="L405" s="258">
        <f t="shared" ca="1" si="47"/>
        <v>3.9627406390983473</v>
      </c>
      <c r="M405" s="258">
        <f t="shared" ca="1" si="48"/>
        <v>2.1401695386711985</v>
      </c>
      <c r="N405" s="258">
        <f t="shared" si="49"/>
        <v>0.45526452518822103</v>
      </c>
      <c r="O405" s="258">
        <f t="shared" ca="1" si="50"/>
        <v>2.5954340638594195</v>
      </c>
      <c r="P405" s="258">
        <f t="shared" ca="1" si="51"/>
        <v>0.52608572800816245</v>
      </c>
      <c r="Q405" s="258">
        <f t="shared" si="52"/>
        <v>0.45526452518822103</v>
      </c>
      <c r="R405" s="258">
        <f t="shared" ca="1" si="53"/>
        <v>0.98135025319638347</v>
      </c>
    </row>
    <row r="406" spans="3:18" ht="14" x14ac:dyDescent="0.25">
      <c r="C406" s="255" t="s">
        <v>6338</v>
      </c>
      <c r="D406" s="132">
        <v>0.98311505965021795</v>
      </c>
      <c r="E406" s="132">
        <v>1.6884940349782093E-2</v>
      </c>
      <c r="F406" s="132">
        <v>126.93450000000001</v>
      </c>
      <c r="G406" s="132">
        <v>6.9478203261169051</v>
      </c>
      <c r="H406" s="132">
        <v>133.88232032611691</v>
      </c>
      <c r="I406" s="401">
        <v>5.1894979928590081E-2</v>
      </c>
      <c r="J406" s="258">
        <f t="shared" ca="1" si="45"/>
        <v>3.6571880218988109</v>
      </c>
      <c r="K406" s="258">
        <f t="shared" si="46"/>
        <v>0.13447436653612055</v>
      </c>
      <c r="L406" s="258">
        <f t="shared" ca="1" si="47"/>
        <v>3.7916623884349314</v>
      </c>
      <c r="M406" s="258">
        <f t="shared" ca="1" si="48"/>
        <v>2.231671185405995</v>
      </c>
      <c r="N406" s="258">
        <f t="shared" si="49"/>
        <v>0.13440412518426545</v>
      </c>
      <c r="O406" s="258">
        <f t="shared" ca="1" si="50"/>
        <v>2.3660753105902605</v>
      </c>
      <c r="P406" s="258">
        <f t="shared" ca="1" si="51"/>
        <v>0.54857820328482165</v>
      </c>
      <c r="Q406" s="258">
        <f t="shared" si="52"/>
        <v>0.13440412518426545</v>
      </c>
      <c r="R406" s="258">
        <f t="shared" ca="1" si="53"/>
        <v>0.68298232846908713</v>
      </c>
    </row>
    <row r="407" spans="3:18" ht="14" x14ac:dyDescent="0.25">
      <c r="C407" s="255" t="s">
        <v>6339</v>
      </c>
      <c r="D407" s="132">
        <v>0.97925223742167977</v>
      </c>
      <c r="E407" s="132">
        <v>2.0747762578320218E-2</v>
      </c>
      <c r="F407" s="132">
        <v>87.315550000000016</v>
      </c>
      <c r="G407" s="132">
        <v>5.8957900708092827</v>
      </c>
      <c r="H407" s="132">
        <v>93.2113400708093</v>
      </c>
      <c r="I407" s="401">
        <v>6.3251853973244704E-2</v>
      </c>
      <c r="J407" s="258">
        <f t="shared" ca="1" si="45"/>
        <v>3.6428183232086488</v>
      </c>
      <c r="K407" s="258">
        <f t="shared" si="46"/>
        <v>0.16523850081575472</v>
      </c>
      <c r="L407" s="258">
        <f t="shared" ca="1" si="47"/>
        <v>3.8080568240244035</v>
      </c>
      <c r="M407" s="258">
        <f t="shared" ca="1" si="48"/>
        <v>2.2229025789472132</v>
      </c>
      <c r="N407" s="258">
        <f t="shared" si="49"/>
        <v>0.16515219012342894</v>
      </c>
      <c r="O407" s="258">
        <f t="shared" ca="1" si="50"/>
        <v>2.3880547690706422</v>
      </c>
      <c r="P407" s="258">
        <f t="shared" ca="1" si="51"/>
        <v>0.54642274848129735</v>
      </c>
      <c r="Q407" s="258">
        <f t="shared" si="52"/>
        <v>0.16515219012342894</v>
      </c>
      <c r="R407" s="258">
        <f t="shared" ca="1" si="53"/>
        <v>0.71157493860472631</v>
      </c>
    </row>
    <row r="408" spans="3:18" ht="14" x14ac:dyDescent="0.25">
      <c r="C408" s="255" t="s">
        <v>6340</v>
      </c>
      <c r="D408" s="132">
        <v>0.97520200140750757</v>
      </c>
      <c r="E408" s="132">
        <v>2.4797998592492473E-2</v>
      </c>
      <c r="F408" s="132">
        <v>73.468149999999994</v>
      </c>
      <c r="G408" s="132">
        <v>5.9538086323410671</v>
      </c>
      <c r="H408" s="132">
        <v>79.42195863234106</v>
      </c>
      <c r="I408" s="401">
        <v>7.4964263471546305E-2</v>
      </c>
      <c r="J408" s="258">
        <f t="shared" ca="1" si="45"/>
        <v>3.6277514452359285</v>
      </c>
      <c r="K408" s="258">
        <f t="shared" si="46"/>
        <v>0.19749522847038484</v>
      </c>
      <c r="L408" s="258">
        <f t="shared" ca="1" si="47"/>
        <v>3.8252466737063133</v>
      </c>
      <c r="M408" s="258">
        <f t="shared" ca="1" si="48"/>
        <v>2.2137085431950423</v>
      </c>
      <c r="N408" s="258">
        <f t="shared" si="49"/>
        <v>0.19739206879624008</v>
      </c>
      <c r="O408" s="258">
        <f t="shared" ca="1" si="50"/>
        <v>2.4111006119912823</v>
      </c>
      <c r="P408" s="258">
        <f t="shared" ca="1" si="51"/>
        <v>0.5441627167853893</v>
      </c>
      <c r="Q408" s="258">
        <f t="shared" si="52"/>
        <v>0.19739206879624008</v>
      </c>
      <c r="R408" s="258">
        <f t="shared" ca="1" si="53"/>
        <v>0.74155478558162935</v>
      </c>
    </row>
    <row r="409" spans="3:18" ht="14" x14ac:dyDescent="0.25">
      <c r="C409" s="255" t="s">
        <v>6341</v>
      </c>
      <c r="D409" s="132">
        <v>0.98311706357932493</v>
      </c>
      <c r="E409" s="132">
        <v>1.6882936420675065E-2</v>
      </c>
      <c r="F409" s="132">
        <v>92.316000000000003</v>
      </c>
      <c r="G409" s="132">
        <v>5.0523502461169061</v>
      </c>
      <c r="H409" s="132">
        <v>97.368350246116904</v>
      </c>
      <c r="I409" s="401">
        <v>5.1889040261503212E-2</v>
      </c>
      <c r="J409" s="258">
        <f t="shared" ca="1" si="45"/>
        <v>3.6571954765150889</v>
      </c>
      <c r="K409" s="258">
        <f t="shared" si="46"/>
        <v>0.13445840692408353</v>
      </c>
      <c r="L409" s="258">
        <f t="shared" ca="1" si="47"/>
        <v>3.7916538834391726</v>
      </c>
      <c r="M409" s="258">
        <f t="shared" ca="1" si="48"/>
        <v>2.2316757343250675</v>
      </c>
      <c r="N409" s="258">
        <f t="shared" si="49"/>
        <v>0.13438817390857352</v>
      </c>
      <c r="O409" s="258">
        <f t="shared" ca="1" si="50"/>
        <v>2.3660639082336412</v>
      </c>
      <c r="P409" s="258">
        <f t="shared" ca="1" si="51"/>
        <v>0.5485793214772634</v>
      </c>
      <c r="Q409" s="258">
        <f t="shared" si="52"/>
        <v>0.13438817390857352</v>
      </c>
      <c r="R409" s="258">
        <f t="shared" ca="1" si="53"/>
        <v>0.6829674953858369</v>
      </c>
    </row>
    <row r="410" spans="3:18" ht="14" x14ac:dyDescent="0.25">
      <c r="C410" s="255" t="s">
        <v>6342</v>
      </c>
      <c r="D410" s="132">
        <v>0.97926449489756906</v>
      </c>
      <c r="E410" s="132">
        <v>2.0735505102430891E-2</v>
      </c>
      <c r="F410" s="132">
        <v>64.236550000000008</v>
      </c>
      <c r="G410" s="132">
        <v>4.3348147108092805</v>
      </c>
      <c r="H410" s="132">
        <v>68.571364710809291</v>
      </c>
      <c r="I410" s="401">
        <v>6.3216106739172995E-2</v>
      </c>
      <c r="J410" s="258">
        <f t="shared" ca="1" si="45"/>
        <v>3.6428639210189573</v>
      </c>
      <c r="K410" s="258">
        <f t="shared" si="46"/>
        <v>0.16514088031657601</v>
      </c>
      <c r="L410" s="258">
        <f t="shared" ca="1" si="47"/>
        <v>3.8080048013355334</v>
      </c>
      <c r="M410" s="258">
        <f t="shared" ca="1" si="48"/>
        <v>2.2229304034174819</v>
      </c>
      <c r="N410" s="258">
        <f t="shared" si="49"/>
        <v>0.1650546206153499</v>
      </c>
      <c r="O410" s="258">
        <f t="shared" ca="1" si="50"/>
        <v>2.3879850240328317</v>
      </c>
      <c r="P410" s="258">
        <f t="shared" ca="1" si="51"/>
        <v>0.54642958815284359</v>
      </c>
      <c r="Q410" s="258">
        <f t="shared" si="52"/>
        <v>0.1650546206153499</v>
      </c>
      <c r="R410" s="258">
        <f t="shared" ca="1" si="53"/>
        <v>0.71148420876819352</v>
      </c>
    </row>
    <row r="411" spans="3:18" ht="14" x14ac:dyDescent="0.25">
      <c r="C411" s="255" t="s">
        <v>6343</v>
      </c>
      <c r="D411" s="132">
        <v>0.97521513358085288</v>
      </c>
      <c r="E411" s="132">
        <v>2.4784866419147109E-2</v>
      </c>
      <c r="F411" s="132">
        <v>54.235650000000007</v>
      </c>
      <c r="G411" s="132">
        <v>4.3928332723410684</v>
      </c>
      <c r="H411" s="132">
        <v>58.628483272341072</v>
      </c>
      <c r="I411" s="401">
        <v>7.4926606099214199E-2</v>
      </c>
      <c r="J411" s="258">
        <f t="shared" ca="1" si="45"/>
        <v>3.627800296920773</v>
      </c>
      <c r="K411" s="258">
        <f t="shared" si="46"/>
        <v>0.19739064174071463</v>
      </c>
      <c r="L411" s="258">
        <f t="shared" ca="1" si="47"/>
        <v>3.8251909386614877</v>
      </c>
      <c r="M411" s="258">
        <f t="shared" ca="1" si="48"/>
        <v>2.213738353228536</v>
      </c>
      <c r="N411" s="258">
        <f t="shared" si="49"/>
        <v>0.19728753669641097</v>
      </c>
      <c r="O411" s="258">
        <f t="shared" ca="1" si="50"/>
        <v>2.411025889924947</v>
      </c>
      <c r="P411" s="258">
        <f t="shared" ca="1" si="51"/>
        <v>0.5441700445381159</v>
      </c>
      <c r="Q411" s="258">
        <f t="shared" si="52"/>
        <v>0.19728753669641097</v>
      </c>
      <c r="R411" s="258">
        <f t="shared" ca="1" si="53"/>
        <v>0.74145758123452687</v>
      </c>
    </row>
    <row r="412" spans="3:18" ht="14" x14ac:dyDescent="0.25">
      <c r="C412" s="255" t="s">
        <v>6344</v>
      </c>
      <c r="D412" s="132">
        <v>0.96926448507881702</v>
      </c>
      <c r="E412" s="132">
        <v>3.0735514921182955E-2</v>
      </c>
      <c r="F412" s="132">
        <v>44.042425000000009</v>
      </c>
      <c r="G412" s="132">
        <v>4.4508518338728535</v>
      </c>
      <c r="H412" s="132">
        <v>48.493276833872862</v>
      </c>
      <c r="I412" s="401">
        <v>9.1782864027120256E-2</v>
      </c>
      <c r="J412" s="258">
        <f t="shared" ca="1" si="45"/>
        <v>3.6056638844931994</v>
      </c>
      <c r="K412" s="258">
        <f t="shared" si="46"/>
        <v>0.24478255851468844</v>
      </c>
      <c r="L412" s="258">
        <f t="shared" ca="1" si="47"/>
        <v>3.850446443007888</v>
      </c>
      <c r="M412" s="258">
        <f t="shared" ca="1" si="48"/>
        <v>2.2002303811289146</v>
      </c>
      <c r="N412" s="258">
        <f t="shared" si="49"/>
        <v>0.24465469877261631</v>
      </c>
      <c r="O412" s="258">
        <f t="shared" ca="1" si="50"/>
        <v>2.4448850799015309</v>
      </c>
      <c r="P412" s="258">
        <f t="shared" ca="1" si="51"/>
        <v>0.54084958267397998</v>
      </c>
      <c r="Q412" s="258">
        <f t="shared" si="52"/>
        <v>0.24465469877261631</v>
      </c>
      <c r="R412" s="258">
        <f t="shared" ca="1" si="53"/>
        <v>0.78550428144659623</v>
      </c>
    </row>
    <row r="413" spans="3:18" ht="14" x14ac:dyDescent="0.25">
      <c r="C413" s="255" t="s">
        <v>6345</v>
      </c>
      <c r="D413" s="132">
        <v>0.98311875921802716</v>
      </c>
      <c r="E413" s="132">
        <v>1.6881240781972884E-2</v>
      </c>
      <c r="F413" s="132">
        <v>75.006749999999997</v>
      </c>
      <c r="G413" s="132">
        <v>4.1046152061169066</v>
      </c>
      <c r="H413" s="132">
        <v>79.111365206116901</v>
      </c>
      <c r="I413" s="401">
        <v>5.1884014331224526E-2</v>
      </c>
      <c r="J413" s="258">
        <f t="shared" ca="1" si="45"/>
        <v>3.6572017842910611</v>
      </c>
      <c r="K413" s="258">
        <f t="shared" si="46"/>
        <v>0.13444490258615716</v>
      </c>
      <c r="L413" s="258">
        <f t="shared" ca="1" si="47"/>
        <v>3.7916466868772183</v>
      </c>
      <c r="M413" s="258">
        <f t="shared" ca="1" si="48"/>
        <v>2.2316795834249215</v>
      </c>
      <c r="N413" s="258">
        <f t="shared" si="49"/>
        <v>0.13437467662450417</v>
      </c>
      <c r="O413" s="258">
        <f t="shared" ca="1" si="50"/>
        <v>2.3660542600494257</v>
      </c>
      <c r="P413" s="258">
        <f t="shared" ca="1" si="51"/>
        <v>0.54858026764365919</v>
      </c>
      <c r="Q413" s="258">
        <f t="shared" si="52"/>
        <v>0.13437467662450417</v>
      </c>
      <c r="R413" s="258">
        <f t="shared" ca="1" si="53"/>
        <v>0.68295494426816339</v>
      </c>
    </row>
    <row r="414" spans="3:18" ht="14" x14ac:dyDescent="0.25">
      <c r="C414" s="255" t="s">
        <v>6346</v>
      </c>
      <c r="D414" s="132">
        <v>0.97927465004614611</v>
      </c>
      <c r="E414" s="132">
        <v>2.0725349953853885E-2</v>
      </c>
      <c r="F414" s="132">
        <v>52.697050000000004</v>
      </c>
      <c r="G414" s="132">
        <v>3.5543270308092811</v>
      </c>
      <c r="H414" s="132">
        <v>56.251377030809287</v>
      </c>
      <c r="I414" s="401">
        <v>6.3186489263410389E-2</v>
      </c>
      <c r="J414" s="258">
        <f t="shared" ca="1" si="45"/>
        <v>3.6429016981716638</v>
      </c>
      <c r="K414" s="258">
        <f t="shared" si="46"/>
        <v>0.16506000308848495</v>
      </c>
      <c r="L414" s="258">
        <f t="shared" ca="1" si="47"/>
        <v>3.8079617012601488</v>
      </c>
      <c r="M414" s="258">
        <f t="shared" ca="1" si="48"/>
        <v>2.2229534556047517</v>
      </c>
      <c r="N414" s="258">
        <f t="shared" si="49"/>
        <v>0.16497378563267692</v>
      </c>
      <c r="O414" s="258">
        <f t="shared" ca="1" si="50"/>
        <v>2.3879272412374286</v>
      </c>
      <c r="P414" s="258">
        <f t="shared" ca="1" si="51"/>
        <v>0.54643525472574961</v>
      </c>
      <c r="Q414" s="258">
        <f t="shared" si="52"/>
        <v>0.16497378563267692</v>
      </c>
      <c r="R414" s="258">
        <f t="shared" ca="1" si="53"/>
        <v>0.71140904035842656</v>
      </c>
    </row>
    <row r="415" spans="3:18" ht="14" x14ac:dyDescent="0.25">
      <c r="C415" s="255" t="s">
        <v>6347</v>
      </c>
      <c r="D415" s="132">
        <v>0.97522594524763373</v>
      </c>
      <c r="E415" s="132">
        <v>2.4774054752366294E-2</v>
      </c>
      <c r="F415" s="132">
        <v>44.619400000000006</v>
      </c>
      <c r="G415" s="132">
        <v>3.6123455923410681</v>
      </c>
      <c r="H415" s="132">
        <v>48.231745592341071</v>
      </c>
      <c r="I415" s="401">
        <v>7.4895601392347036E-2</v>
      </c>
      <c r="J415" s="258">
        <f t="shared" ca="1" si="45"/>
        <v>3.6278405163211978</v>
      </c>
      <c r="K415" s="258">
        <f t="shared" si="46"/>
        <v>0.19730453589660554</v>
      </c>
      <c r="L415" s="258">
        <f t="shared" ca="1" si="47"/>
        <v>3.8251450522178034</v>
      </c>
      <c r="M415" s="258">
        <f t="shared" ca="1" si="48"/>
        <v>2.2137628957121285</v>
      </c>
      <c r="N415" s="258">
        <f t="shared" si="49"/>
        <v>0.19720147582883571</v>
      </c>
      <c r="O415" s="258">
        <f t="shared" ca="1" si="50"/>
        <v>2.4109643715409641</v>
      </c>
      <c r="P415" s="258">
        <f t="shared" ca="1" si="51"/>
        <v>0.54417607744817964</v>
      </c>
      <c r="Q415" s="258">
        <f t="shared" si="52"/>
        <v>0.19720147582883571</v>
      </c>
      <c r="R415" s="258">
        <f t="shared" ca="1" si="53"/>
        <v>0.74137755327701538</v>
      </c>
    </row>
    <row r="416" spans="3:18" ht="14" x14ac:dyDescent="0.25">
      <c r="C416" s="255" t="s">
        <v>6348</v>
      </c>
      <c r="D416" s="132">
        <v>0.96928919086814325</v>
      </c>
      <c r="E416" s="132">
        <v>3.0710809131856708E-2</v>
      </c>
      <c r="F416" s="132">
        <v>36.349425000000004</v>
      </c>
      <c r="G416" s="132">
        <v>3.6703641538728542</v>
      </c>
      <c r="H416" s="132">
        <v>40.019789153872857</v>
      </c>
      <c r="I416" s="401">
        <v>9.1713730418733611E-2</v>
      </c>
      <c r="J416" s="258">
        <f t="shared" ca="1" si="45"/>
        <v>3.6057557900294932</v>
      </c>
      <c r="K416" s="258">
        <f t="shared" si="46"/>
        <v>0.2445857976555679</v>
      </c>
      <c r="L416" s="258">
        <f t="shared" ca="1" si="47"/>
        <v>3.8503415876850613</v>
      </c>
      <c r="M416" s="258">
        <f t="shared" ca="1" si="48"/>
        <v>2.2002864632706851</v>
      </c>
      <c r="N416" s="258">
        <f t="shared" si="49"/>
        <v>0.24445804068957941</v>
      </c>
      <c r="O416" s="258">
        <f t="shared" ca="1" si="50"/>
        <v>2.4447445039602647</v>
      </c>
      <c r="P416" s="258">
        <f t="shared" ca="1" si="51"/>
        <v>0.54086336850442396</v>
      </c>
      <c r="Q416" s="258">
        <f t="shared" si="52"/>
        <v>0.24445804068957941</v>
      </c>
      <c r="R416" s="258">
        <f t="shared" ca="1" si="53"/>
        <v>0.78532140919400339</v>
      </c>
    </row>
    <row r="417" spans="3:18" ht="14" x14ac:dyDescent="0.25">
      <c r="C417" s="255" t="s">
        <v>6349</v>
      </c>
      <c r="D417" s="132">
        <v>0.97929050009146079</v>
      </c>
      <c r="E417" s="132">
        <v>2.0709499908539167E-2</v>
      </c>
      <c r="F417" s="132">
        <v>41.157550000000001</v>
      </c>
      <c r="G417" s="132">
        <v>2.7738393508092813</v>
      </c>
      <c r="H417" s="132">
        <v>43.931389350809283</v>
      </c>
      <c r="I417" s="401">
        <v>6.3140260114677729E-2</v>
      </c>
      <c r="J417" s="258">
        <f t="shared" ca="1" si="45"/>
        <v>3.6429606603402345</v>
      </c>
      <c r="K417" s="258">
        <f t="shared" si="46"/>
        <v>0.16493377079159127</v>
      </c>
      <c r="L417" s="258">
        <f t="shared" ca="1" si="47"/>
        <v>3.8078944311318259</v>
      </c>
      <c r="M417" s="258">
        <f t="shared" ca="1" si="48"/>
        <v>2.2229894352076158</v>
      </c>
      <c r="N417" s="258">
        <f t="shared" si="49"/>
        <v>0.16484761927197178</v>
      </c>
      <c r="O417" s="258">
        <f t="shared" ca="1" si="50"/>
        <v>2.3878370544795877</v>
      </c>
      <c r="P417" s="258">
        <f t="shared" ca="1" si="51"/>
        <v>0.54644409905103519</v>
      </c>
      <c r="Q417" s="258">
        <f t="shared" si="52"/>
        <v>0.16484761927197178</v>
      </c>
      <c r="R417" s="258">
        <f t="shared" ca="1" si="53"/>
        <v>0.71129171832300697</v>
      </c>
    </row>
    <row r="418" spans="3:18" ht="14" x14ac:dyDescent="0.25">
      <c r="C418" s="255" t="s">
        <v>6350</v>
      </c>
      <c r="D418" s="132">
        <v>0.97524269786416407</v>
      </c>
      <c r="E418" s="132">
        <v>2.4757302135835924E-2</v>
      </c>
      <c r="F418" s="132">
        <v>35.003150000000005</v>
      </c>
      <c r="G418" s="132">
        <v>2.8318579123410683</v>
      </c>
      <c r="H418" s="132">
        <v>37.835007912341077</v>
      </c>
      <c r="I418" s="401">
        <v>7.4847557027135414E-2</v>
      </c>
      <c r="J418" s="258">
        <f t="shared" ca="1" si="45"/>
        <v>3.6279028360546905</v>
      </c>
      <c r="K418" s="258">
        <f t="shared" si="46"/>
        <v>0.19717111537813903</v>
      </c>
      <c r="L418" s="258">
        <f t="shared" ca="1" si="47"/>
        <v>3.8250739514328296</v>
      </c>
      <c r="M418" s="258">
        <f t="shared" ca="1" si="48"/>
        <v>2.2138009241516525</v>
      </c>
      <c r="N418" s="258">
        <f t="shared" si="49"/>
        <v>0.19706812500125395</v>
      </c>
      <c r="O418" s="258">
        <f t="shared" ca="1" si="50"/>
        <v>2.4108690491529066</v>
      </c>
      <c r="P418" s="258">
        <f t="shared" ca="1" si="51"/>
        <v>0.54418542540820358</v>
      </c>
      <c r="Q418" s="258">
        <f t="shared" si="52"/>
        <v>0.19706812500125395</v>
      </c>
      <c r="R418" s="258">
        <f t="shared" ca="1" si="53"/>
        <v>0.74125355040945751</v>
      </c>
    </row>
    <row r="419" spans="3:18" ht="14" x14ac:dyDescent="0.25">
      <c r="C419" s="255" t="s">
        <v>6351</v>
      </c>
      <c r="D419" s="132">
        <v>0.96932716396622554</v>
      </c>
      <c r="E419" s="132">
        <v>3.0672836033774492E-2</v>
      </c>
      <c r="F419" s="132">
        <v>28.656425000000002</v>
      </c>
      <c r="G419" s="132">
        <v>2.8898764738728548</v>
      </c>
      <c r="H419" s="132">
        <v>31.546301473872859</v>
      </c>
      <c r="I419" s="401">
        <v>9.1607457573633339E-2</v>
      </c>
      <c r="J419" s="258">
        <f t="shared" ref="J419:J482" ca="1" si="54">$D419*$J$32</f>
        <v>3.605897049954359</v>
      </c>
      <c r="K419" s="258">
        <f t="shared" ref="K419:K482" si="55">E419*$K$32</f>
        <v>0.24428337382674545</v>
      </c>
      <c r="L419" s="258">
        <f t="shared" ref="L419:L482" ca="1" si="56">SUM(J419:K419)</f>
        <v>3.8501804237811044</v>
      </c>
      <c r="M419" s="258">
        <f t="shared" ref="M419:M482" ca="1" si="57">$D419*$M$32</f>
        <v>2.2003726622033319</v>
      </c>
      <c r="N419" s="258">
        <f t="shared" ref="N419:N482" si="58">$E419*$N$32</f>
        <v>0.24415577482884496</v>
      </c>
      <c r="O419" s="258">
        <f t="shared" ref="O419:O482" ca="1" si="59">SUM(M419:N419)</f>
        <v>2.4445284370321767</v>
      </c>
      <c r="P419" s="258">
        <f t="shared" ref="P419:P482" ca="1" si="60">$D419*$P$32</f>
        <v>0.54088455749315389</v>
      </c>
      <c r="Q419" s="258">
        <f t="shared" ref="Q419:Q482" si="61">$E419*$Q$32</f>
        <v>0.24415577482884496</v>
      </c>
      <c r="R419" s="258">
        <f t="shared" ref="R419:R482" ca="1" si="62">SUM(P419:Q419)</f>
        <v>0.78504033232199888</v>
      </c>
    </row>
    <row r="420" spans="3:18" ht="14" x14ac:dyDescent="0.25">
      <c r="C420" s="255" t="s">
        <v>6352</v>
      </c>
      <c r="D420" s="132">
        <v>0.96797532715839496</v>
      </c>
      <c r="E420" s="132">
        <v>3.2024672841605005E-2</v>
      </c>
      <c r="F420" s="132">
        <v>22.117375000000003</v>
      </c>
      <c r="G420" s="132">
        <v>2.3319955419777347</v>
      </c>
      <c r="H420" s="132">
        <v>24.449370541977736</v>
      </c>
      <c r="I420" s="401">
        <v>9.5380596321442024E-2</v>
      </c>
      <c r="J420" s="258">
        <f t="shared" ca="1" si="54"/>
        <v>3.6008682170292294</v>
      </c>
      <c r="K420" s="258">
        <f t="shared" si="55"/>
        <v>0.2550496184581969</v>
      </c>
      <c r="L420" s="258">
        <f t="shared" ca="1" si="56"/>
        <v>3.8559178354874262</v>
      </c>
      <c r="M420" s="258">
        <f t="shared" ca="1" si="57"/>
        <v>2.1973039926495566</v>
      </c>
      <c r="N420" s="258">
        <f t="shared" si="58"/>
        <v>0.25491639581917586</v>
      </c>
      <c r="O420" s="258">
        <f t="shared" ca="1" si="59"/>
        <v>2.4522203884687324</v>
      </c>
      <c r="P420" s="258">
        <f t="shared" ca="1" si="60"/>
        <v>0.54013023255438442</v>
      </c>
      <c r="Q420" s="258">
        <f t="shared" si="61"/>
        <v>0.25491639581917586</v>
      </c>
      <c r="R420" s="258">
        <f t="shared" ca="1" si="62"/>
        <v>0.79504662837356022</v>
      </c>
    </row>
    <row r="421" spans="3:18" ht="14" x14ac:dyDescent="0.25">
      <c r="C421" s="255" t="s">
        <v>6353</v>
      </c>
      <c r="D421" s="132">
        <v>0.96156182732916617</v>
      </c>
      <c r="E421" s="132">
        <v>3.8438172670833881E-2</v>
      </c>
      <c r="F421" s="132">
        <v>18.463200000000001</v>
      </c>
      <c r="G421" s="132">
        <v>2.3521564983147787</v>
      </c>
      <c r="H421" s="132">
        <v>20.815356498314777</v>
      </c>
      <c r="I421" s="401">
        <v>0.11300101915166384</v>
      </c>
      <c r="J421" s="258">
        <f t="shared" ca="1" si="54"/>
        <v>3.5770099976644985</v>
      </c>
      <c r="K421" s="258">
        <f t="shared" si="55"/>
        <v>0.30612775725814834</v>
      </c>
      <c r="L421" s="258">
        <f t="shared" ca="1" si="56"/>
        <v>3.8831377549226467</v>
      </c>
      <c r="M421" s="258">
        <f t="shared" ca="1" si="57"/>
        <v>2.1827453480372072</v>
      </c>
      <c r="N421" s="258">
        <f t="shared" si="58"/>
        <v>0.30596785445983771</v>
      </c>
      <c r="O421" s="258">
        <f t="shared" ca="1" si="59"/>
        <v>2.4887132024970451</v>
      </c>
      <c r="P421" s="258">
        <f t="shared" ca="1" si="60"/>
        <v>0.53655149964967475</v>
      </c>
      <c r="Q421" s="258">
        <f t="shared" si="61"/>
        <v>0.30596785445983771</v>
      </c>
      <c r="R421" s="258">
        <f t="shared" ca="1" si="62"/>
        <v>0.8425193541095124</v>
      </c>
    </row>
    <row r="422" spans="3:18" ht="14" x14ac:dyDescent="0.25">
      <c r="C422" s="255" t="s">
        <v>6354</v>
      </c>
      <c r="D422" s="132">
        <v>0.95272450591796365</v>
      </c>
      <c r="E422" s="132">
        <v>4.7275494082036316E-2</v>
      </c>
      <c r="F422" s="132">
        <v>15.001350000000002</v>
      </c>
      <c r="G422" s="132">
        <v>2.3723174546518235</v>
      </c>
      <c r="H422" s="132">
        <v>17.373667454651827</v>
      </c>
      <c r="I422" s="401">
        <v>0.13654672859624878</v>
      </c>
      <c r="J422" s="258">
        <f t="shared" ca="1" si="54"/>
        <v>3.5441351620148249</v>
      </c>
      <c r="K422" s="258">
        <f t="shared" si="55"/>
        <v>0.37650959894839031</v>
      </c>
      <c r="L422" s="258">
        <f t="shared" ca="1" si="56"/>
        <v>3.9206447609632153</v>
      </c>
      <c r="M422" s="258">
        <f t="shared" ca="1" si="57"/>
        <v>2.1626846284337775</v>
      </c>
      <c r="N422" s="258">
        <f t="shared" si="58"/>
        <v>0.3763129328930091</v>
      </c>
      <c r="O422" s="258">
        <f t="shared" ca="1" si="59"/>
        <v>2.5389975613267866</v>
      </c>
      <c r="P422" s="258">
        <f t="shared" ca="1" si="60"/>
        <v>0.53162027430222381</v>
      </c>
      <c r="Q422" s="258">
        <f t="shared" si="61"/>
        <v>0.3763129328930091</v>
      </c>
      <c r="R422" s="258">
        <f t="shared" ca="1" si="62"/>
        <v>0.90793320719523285</v>
      </c>
    </row>
    <row r="423" spans="3:18" ht="14" x14ac:dyDescent="0.25">
      <c r="C423" s="255" t="s">
        <v>6355</v>
      </c>
      <c r="D423" s="132">
        <v>0.97929050009146079</v>
      </c>
      <c r="E423" s="132">
        <v>2.0709499908539167E-2</v>
      </c>
      <c r="F423" s="132">
        <v>41.157550000000001</v>
      </c>
      <c r="G423" s="132">
        <v>2.7738393508092813</v>
      </c>
      <c r="H423" s="132">
        <v>43.931389350809283</v>
      </c>
      <c r="I423" s="401">
        <v>6.3140260114677729E-2</v>
      </c>
      <c r="J423" s="258">
        <f t="shared" ca="1" si="54"/>
        <v>3.6429606603402345</v>
      </c>
      <c r="K423" s="258">
        <f t="shared" si="55"/>
        <v>0.16493377079159127</v>
      </c>
      <c r="L423" s="258">
        <f t="shared" ca="1" si="56"/>
        <v>3.8078944311318259</v>
      </c>
      <c r="M423" s="258">
        <f t="shared" ca="1" si="57"/>
        <v>2.2229894352076158</v>
      </c>
      <c r="N423" s="258">
        <f t="shared" si="58"/>
        <v>0.16484761927197178</v>
      </c>
      <c r="O423" s="258">
        <f t="shared" ca="1" si="59"/>
        <v>2.3878370544795877</v>
      </c>
      <c r="P423" s="258">
        <f t="shared" ca="1" si="60"/>
        <v>0.54644409905103519</v>
      </c>
      <c r="Q423" s="258">
        <f t="shared" si="61"/>
        <v>0.16484761927197178</v>
      </c>
      <c r="R423" s="258">
        <f t="shared" ca="1" si="62"/>
        <v>0.71129171832300697</v>
      </c>
    </row>
    <row r="424" spans="3:18" ht="14" x14ac:dyDescent="0.25">
      <c r="C424" s="255" t="s">
        <v>6356</v>
      </c>
      <c r="D424" s="132">
        <v>0.97524269786416407</v>
      </c>
      <c r="E424" s="132">
        <v>2.4757302135835924E-2</v>
      </c>
      <c r="F424" s="132">
        <v>35.003150000000005</v>
      </c>
      <c r="G424" s="132">
        <v>2.8318579123410683</v>
      </c>
      <c r="H424" s="132">
        <v>37.835007912341077</v>
      </c>
      <c r="I424" s="401">
        <v>7.4847557027135414E-2</v>
      </c>
      <c r="J424" s="258">
        <f t="shared" ca="1" si="54"/>
        <v>3.6279028360546905</v>
      </c>
      <c r="K424" s="258">
        <f t="shared" si="55"/>
        <v>0.19717111537813903</v>
      </c>
      <c r="L424" s="258">
        <f t="shared" ca="1" si="56"/>
        <v>3.8250739514328296</v>
      </c>
      <c r="M424" s="258">
        <f t="shared" ca="1" si="57"/>
        <v>2.2138009241516525</v>
      </c>
      <c r="N424" s="258">
        <f t="shared" si="58"/>
        <v>0.19706812500125395</v>
      </c>
      <c r="O424" s="258">
        <f t="shared" ca="1" si="59"/>
        <v>2.4108690491529066</v>
      </c>
      <c r="P424" s="258">
        <f t="shared" ca="1" si="60"/>
        <v>0.54418542540820358</v>
      </c>
      <c r="Q424" s="258">
        <f t="shared" si="61"/>
        <v>0.19706812500125395</v>
      </c>
      <c r="R424" s="258">
        <f t="shared" ca="1" si="62"/>
        <v>0.74125355040945751</v>
      </c>
    </row>
    <row r="425" spans="3:18" ht="14" x14ac:dyDescent="0.25">
      <c r="C425" s="255" t="s">
        <v>6357</v>
      </c>
      <c r="D425" s="132">
        <v>0.96932716396622554</v>
      </c>
      <c r="E425" s="132">
        <v>3.0672836033774492E-2</v>
      </c>
      <c r="F425" s="132">
        <v>28.656425000000002</v>
      </c>
      <c r="G425" s="132">
        <v>2.8898764738728548</v>
      </c>
      <c r="H425" s="132">
        <v>31.546301473872859</v>
      </c>
      <c r="I425" s="401">
        <v>9.1607457573633339E-2</v>
      </c>
      <c r="J425" s="258">
        <f t="shared" ca="1" si="54"/>
        <v>3.605897049954359</v>
      </c>
      <c r="K425" s="258">
        <f t="shared" si="55"/>
        <v>0.24428337382674545</v>
      </c>
      <c r="L425" s="258">
        <f t="shared" ca="1" si="56"/>
        <v>3.8501804237811044</v>
      </c>
      <c r="M425" s="258">
        <f t="shared" ca="1" si="57"/>
        <v>2.2003726622033319</v>
      </c>
      <c r="N425" s="258">
        <f t="shared" si="58"/>
        <v>0.24415577482884496</v>
      </c>
      <c r="O425" s="258">
        <f t="shared" ca="1" si="59"/>
        <v>2.4445284370321767</v>
      </c>
      <c r="P425" s="258">
        <f t="shared" ca="1" si="60"/>
        <v>0.54088455749315389</v>
      </c>
      <c r="Q425" s="258">
        <f t="shared" si="61"/>
        <v>0.24415577482884496</v>
      </c>
      <c r="R425" s="258">
        <f t="shared" ca="1" si="62"/>
        <v>0.78504033232199888</v>
      </c>
    </row>
    <row r="426" spans="3:18" ht="14" x14ac:dyDescent="0.25">
      <c r="C426" s="255" t="s">
        <v>6358</v>
      </c>
      <c r="D426" s="132">
        <v>0.96797532715839496</v>
      </c>
      <c r="E426" s="132">
        <v>3.2024672841605005E-2</v>
      </c>
      <c r="F426" s="132">
        <v>22.117375000000003</v>
      </c>
      <c r="G426" s="132">
        <v>2.3319955419777347</v>
      </c>
      <c r="H426" s="132">
        <v>24.449370541977736</v>
      </c>
      <c r="I426" s="401">
        <v>9.5380596321442024E-2</v>
      </c>
      <c r="J426" s="258">
        <f t="shared" ca="1" si="54"/>
        <v>3.6008682170292294</v>
      </c>
      <c r="K426" s="258">
        <f t="shared" si="55"/>
        <v>0.2550496184581969</v>
      </c>
      <c r="L426" s="258">
        <f t="shared" ca="1" si="56"/>
        <v>3.8559178354874262</v>
      </c>
      <c r="M426" s="258">
        <f t="shared" ca="1" si="57"/>
        <v>2.1973039926495566</v>
      </c>
      <c r="N426" s="258">
        <f t="shared" si="58"/>
        <v>0.25491639581917586</v>
      </c>
      <c r="O426" s="258">
        <f t="shared" ca="1" si="59"/>
        <v>2.4522203884687324</v>
      </c>
      <c r="P426" s="258">
        <f t="shared" ca="1" si="60"/>
        <v>0.54013023255438442</v>
      </c>
      <c r="Q426" s="258">
        <f t="shared" si="61"/>
        <v>0.25491639581917586</v>
      </c>
      <c r="R426" s="258">
        <f t="shared" ca="1" si="62"/>
        <v>0.79504662837356022</v>
      </c>
    </row>
    <row r="427" spans="3:18" ht="14" x14ac:dyDescent="0.25">
      <c r="C427" s="255" t="s">
        <v>6359</v>
      </c>
      <c r="D427" s="132">
        <v>0.96156182732916617</v>
      </c>
      <c r="E427" s="132">
        <v>3.8438172670833881E-2</v>
      </c>
      <c r="F427" s="132">
        <v>18.463200000000001</v>
      </c>
      <c r="G427" s="132">
        <v>2.3521564983147787</v>
      </c>
      <c r="H427" s="132">
        <v>20.815356498314777</v>
      </c>
      <c r="I427" s="401">
        <v>0.11300101915166384</v>
      </c>
      <c r="J427" s="258">
        <f t="shared" ca="1" si="54"/>
        <v>3.5770099976644985</v>
      </c>
      <c r="K427" s="258">
        <f t="shared" si="55"/>
        <v>0.30612775725814834</v>
      </c>
      <c r="L427" s="258">
        <f t="shared" ca="1" si="56"/>
        <v>3.8831377549226467</v>
      </c>
      <c r="M427" s="258">
        <f t="shared" ca="1" si="57"/>
        <v>2.1827453480372072</v>
      </c>
      <c r="N427" s="258">
        <f t="shared" si="58"/>
        <v>0.30596785445983771</v>
      </c>
      <c r="O427" s="258">
        <f t="shared" ca="1" si="59"/>
        <v>2.4887132024970451</v>
      </c>
      <c r="P427" s="258">
        <f t="shared" ca="1" si="60"/>
        <v>0.53655149964967475</v>
      </c>
      <c r="Q427" s="258">
        <f t="shared" si="61"/>
        <v>0.30596785445983771</v>
      </c>
      <c r="R427" s="258">
        <f t="shared" ca="1" si="62"/>
        <v>0.8425193541095124</v>
      </c>
    </row>
    <row r="428" spans="3:18" ht="14" x14ac:dyDescent="0.25">
      <c r="C428" s="255" t="s">
        <v>6360</v>
      </c>
      <c r="D428" s="132">
        <v>0.95272450591796365</v>
      </c>
      <c r="E428" s="132">
        <v>4.7275494082036316E-2</v>
      </c>
      <c r="F428" s="132">
        <v>15.001350000000002</v>
      </c>
      <c r="G428" s="132">
        <v>2.3723174546518235</v>
      </c>
      <c r="H428" s="132">
        <v>17.373667454651827</v>
      </c>
      <c r="I428" s="401">
        <v>0.13654672859624878</v>
      </c>
      <c r="J428" s="258">
        <f t="shared" ca="1" si="54"/>
        <v>3.5441351620148249</v>
      </c>
      <c r="K428" s="258">
        <f t="shared" si="55"/>
        <v>0.37650959894839031</v>
      </c>
      <c r="L428" s="258">
        <f t="shared" ca="1" si="56"/>
        <v>3.9206447609632153</v>
      </c>
      <c r="M428" s="258">
        <f t="shared" ca="1" si="57"/>
        <v>2.1626846284337775</v>
      </c>
      <c r="N428" s="258">
        <f t="shared" si="58"/>
        <v>0.3763129328930091</v>
      </c>
      <c r="O428" s="258">
        <f t="shared" ca="1" si="59"/>
        <v>2.5389975613267866</v>
      </c>
      <c r="P428" s="258">
        <f t="shared" ca="1" si="60"/>
        <v>0.53162027430222381</v>
      </c>
      <c r="Q428" s="258">
        <f t="shared" si="61"/>
        <v>0.3763129328930091</v>
      </c>
      <c r="R428" s="258">
        <f t="shared" ca="1" si="62"/>
        <v>0.90793320719523285</v>
      </c>
    </row>
    <row r="429" spans="3:18" ht="14" x14ac:dyDescent="0.25">
      <c r="C429" s="255" t="s">
        <v>6361</v>
      </c>
      <c r="D429" s="132">
        <v>0.97931870209002814</v>
      </c>
      <c r="E429" s="132">
        <v>2.0681297909971828E-2</v>
      </c>
      <c r="F429" s="132">
        <v>29.618050000000004</v>
      </c>
      <c r="G429" s="132">
        <v>1.9933516708092818</v>
      </c>
      <c r="H429" s="132">
        <v>31.611401670809286</v>
      </c>
      <c r="I429" s="401">
        <v>6.305799697107356E-2</v>
      </c>
      <c r="J429" s="258">
        <f t="shared" ca="1" si="54"/>
        <v>3.6430655717749048</v>
      </c>
      <c r="K429" s="258">
        <f t="shared" si="55"/>
        <v>0.16470916556268123</v>
      </c>
      <c r="L429" s="258">
        <f t="shared" ca="1" si="56"/>
        <v>3.8077747373375859</v>
      </c>
      <c r="M429" s="258">
        <f t="shared" ca="1" si="57"/>
        <v>2.223053453744364</v>
      </c>
      <c r="N429" s="258">
        <f t="shared" si="58"/>
        <v>0.16462313136337575</v>
      </c>
      <c r="O429" s="258">
        <f t="shared" ca="1" si="59"/>
        <v>2.3876765851077399</v>
      </c>
      <c r="P429" s="258">
        <f t="shared" ca="1" si="60"/>
        <v>0.5464598357662358</v>
      </c>
      <c r="Q429" s="258">
        <f t="shared" si="61"/>
        <v>0.16462313136337575</v>
      </c>
      <c r="R429" s="258">
        <f t="shared" ca="1" si="62"/>
        <v>0.7110829671296115</v>
      </c>
    </row>
    <row r="430" spans="3:18" ht="14" x14ac:dyDescent="0.25">
      <c r="C430" s="255" t="s">
        <v>6362</v>
      </c>
      <c r="D430" s="132">
        <v>0.97527214325166256</v>
      </c>
      <c r="E430" s="132">
        <v>2.4727856748337423E-2</v>
      </c>
      <c r="F430" s="132">
        <v>25.386900000000001</v>
      </c>
      <c r="G430" s="132">
        <v>2.0513702323410681</v>
      </c>
      <c r="H430" s="132">
        <v>27.438270232341068</v>
      </c>
      <c r="I430" s="401">
        <v>7.4763103321402138E-2</v>
      </c>
      <c r="J430" s="258">
        <f t="shared" ca="1" si="54"/>
        <v>3.6280123728961851</v>
      </c>
      <c r="K430" s="258">
        <f t="shared" si="55"/>
        <v>0.19693660760083895</v>
      </c>
      <c r="L430" s="258">
        <f t="shared" ca="1" si="56"/>
        <v>3.824948980497024</v>
      </c>
      <c r="M430" s="258">
        <f t="shared" ca="1" si="57"/>
        <v>2.2138677651812739</v>
      </c>
      <c r="N430" s="258">
        <f t="shared" si="58"/>
        <v>0.19683373971676588</v>
      </c>
      <c r="O430" s="258">
        <f t="shared" ca="1" si="59"/>
        <v>2.4107015048980398</v>
      </c>
      <c r="P430" s="258">
        <f t="shared" ca="1" si="60"/>
        <v>0.54420185593442771</v>
      </c>
      <c r="Q430" s="258">
        <f t="shared" si="61"/>
        <v>0.19683373971676588</v>
      </c>
      <c r="R430" s="258">
        <f t="shared" ca="1" si="62"/>
        <v>0.74103559565119359</v>
      </c>
    </row>
    <row r="431" spans="3:18" ht="14" x14ac:dyDescent="0.25">
      <c r="C431" s="255" t="s">
        <v>6363</v>
      </c>
      <c r="D431" s="132">
        <v>0.96939301428070301</v>
      </c>
      <c r="E431" s="132">
        <v>3.0606985719297004E-2</v>
      </c>
      <c r="F431" s="132">
        <v>20.963425000000001</v>
      </c>
      <c r="G431" s="132">
        <v>2.1093887938728542</v>
      </c>
      <c r="H431" s="132">
        <v>23.072813793872854</v>
      </c>
      <c r="I431" s="401">
        <v>9.1423127353154346E-2</v>
      </c>
      <c r="J431" s="258">
        <f t="shared" ca="1" si="54"/>
        <v>3.6061420131242152</v>
      </c>
      <c r="K431" s="258">
        <f t="shared" si="55"/>
        <v>0.24375893138619642</v>
      </c>
      <c r="L431" s="258">
        <f t="shared" ca="1" si="56"/>
        <v>3.8499009445104115</v>
      </c>
      <c r="M431" s="258">
        <f t="shared" ca="1" si="57"/>
        <v>2.2005221424171957</v>
      </c>
      <c r="N431" s="258">
        <f t="shared" si="58"/>
        <v>0.24363160632560416</v>
      </c>
      <c r="O431" s="258">
        <f t="shared" ca="1" si="59"/>
        <v>2.4441537487427998</v>
      </c>
      <c r="P431" s="258">
        <f t="shared" ca="1" si="60"/>
        <v>0.54092130196863231</v>
      </c>
      <c r="Q431" s="258">
        <f t="shared" si="61"/>
        <v>0.24363160632560416</v>
      </c>
      <c r="R431" s="258">
        <f t="shared" ca="1" si="62"/>
        <v>0.78455290829423641</v>
      </c>
    </row>
    <row r="432" spans="3:18" ht="14" x14ac:dyDescent="0.25">
      <c r="C432" s="255" t="s">
        <v>6364</v>
      </c>
      <c r="D432" s="132">
        <v>0.96493250087379623</v>
      </c>
      <c r="E432" s="132">
        <v>3.5067499126203744E-2</v>
      </c>
      <c r="F432" s="132">
        <v>18.463200000000001</v>
      </c>
      <c r="G432" s="132">
        <v>2.1383980746387476</v>
      </c>
      <c r="H432" s="132">
        <v>20.601598074638748</v>
      </c>
      <c r="I432" s="401">
        <v>0.10379767952424947</v>
      </c>
      <c r="J432" s="258">
        <f t="shared" ca="1" si="54"/>
        <v>3.5895489032505221</v>
      </c>
      <c r="K432" s="258">
        <f t="shared" si="55"/>
        <v>0.27928317384094681</v>
      </c>
      <c r="L432" s="258">
        <f t="shared" ca="1" si="56"/>
        <v>3.868832077091469</v>
      </c>
      <c r="M432" s="258">
        <f t="shared" ca="1" si="57"/>
        <v>2.1903967769835173</v>
      </c>
      <c r="N432" s="258">
        <f t="shared" si="58"/>
        <v>0.27913729304458179</v>
      </c>
      <c r="O432" s="258">
        <f t="shared" ca="1" si="59"/>
        <v>2.4695340700280992</v>
      </c>
      <c r="P432" s="258">
        <f t="shared" ca="1" si="60"/>
        <v>0.5384323354875783</v>
      </c>
      <c r="Q432" s="258">
        <f t="shared" si="61"/>
        <v>0.27913729304458179</v>
      </c>
      <c r="R432" s="258">
        <f t="shared" ca="1" si="62"/>
        <v>0.81756962853216009</v>
      </c>
    </row>
    <row r="433" spans="3:18" ht="14" x14ac:dyDescent="0.25">
      <c r="C433" s="255" t="s">
        <v>6365</v>
      </c>
      <c r="D433" s="132">
        <v>0.96806334550211082</v>
      </c>
      <c r="E433" s="132">
        <v>3.193665449788919E-2</v>
      </c>
      <c r="F433" s="132">
        <v>16.347625000000001</v>
      </c>
      <c r="G433" s="132">
        <v>1.7187552219777349</v>
      </c>
      <c r="H433" s="132">
        <v>18.066380221977735</v>
      </c>
      <c r="I433" s="401">
        <v>9.5135561239150207E-2</v>
      </c>
      <c r="J433" s="258">
        <f t="shared" ca="1" si="54"/>
        <v>3.6011956452678526</v>
      </c>
      <c r="K433" s="258">
        <f t="shared" si="55"/>
        <v>0.25434862628590915</v>
      </c>
      <c r="L433" s="258">
        <f t="shared" ca="1" si="56"/>
        <v>3.8555442715537618</v>
      </c>
      <c r="M433" s="258">
        <f t="shared" ca="1" si="57"/>
        <v>2.1975037942897915</v>
      </c>
      <c r="N433" s="258">
        <f t="shared" si="58"/>
        <v>0.25421576980319793</v>
      </c>
      <c r="O433" s="258">
        <f t="shared" ca="1" si="59"/>
        <v>2.4517195640929894</v>
      </c>
      <c r="P433" s="258">
        <f t="shared" ca="1" si="60"/>
        <v>0.54017934679017787</v>
      </c>
      <c r="Q433" s="258">
        <f t="shared" si="61"/>
        <v>0.25421576980319793</v>
      </c>
      <c r="R433" s="258">
        <f t="shared" ca="1" si="62"/>
        <v>0.79439511659337581</v>
      </c>
    </row>
    <row r="434" spans="3:18" ht="14" x14ac:dyDescent="0.25">
      <c r="C434" s="255" t="s">
        <v>6366</v>
      </c>
      <c r="D434" s="132">
        <v>0.96157669084490949</v>
      </c>
      <c r="E434" s="132">
        <v>3.8423309155090471E-2</v>
      </c>
      <c r="F434" s="132">
        <v>13.655075000000002</v>
      </c>
      <c r="G434" s="132">
        <v>1.7389161783147788</v>
      </c>
      <c r="H434" s="132">
        <v>15.393991178314781</v>
      </c>
      <c r="I434" s="401">
        <v>0.11296071032990825</v>
      </c>
      <c r="J434" s="258">
        <f t="shared" ca="1" si="54"/>
        <v>3.5770652899430635</v>
      </c>
      <c r="K434" s="258">
        <f t="shared" si="55"/>
        <v>0.30600938184060533</v>
      </c>
      <c r="L434" s="258">
        <f t="shared" ca="1" si="56"/>
        <v>3.8830746717836688</v>
      </c>
      <c r="M434" s="258">
        <f t="shared" ca="1" si="57"/>
        <v>2.1827790882179445</v>
      </c>
      <c r="N434" s="258">
        <f t="shared" si="58"/>
        <v>0.30584954087452015</v>
      </c>
      <c r="O434" s="258">
        <f t="shared" ca="1" si="59"/>
        <v>2.4886286290924646</v>
      </c>
      <c r="P434" s="258">
        <f t="shared" ca="1" si="60"/>
        <v>0.53655979349145955</v>
      </c>
      <c r="Q434" s="258">
        <f t="shared" si="61"/>
        <v>0.30584954087452015</v>
      </c>
      <c r="R434" s="258">
        <f t="shared" ca="1" si="62"/>
        <v>0.84240933436597976</v>
      </c>
    </row>
    <row r="435" spans="3:18" ht="14" x14ac:dyDescent="0.25">
      <c r="C435" s="255" t="s">
        <v>6367</v>
      </c>
      <c r="D435" s="132">
        <v>0.95285100656534683</v>
      </c>
      <c r="E435" s="132">
        <v>4.7148993434653182E-2</v>
      </c>
      <c r="F435" s="132">
        <v>11.154850000000001</v>
      </c>
      <c r="G435" s="132">
        <v>1.7590771346518232</v>
      </c>
      <c r="H435" s="132">
        <v>12.913927134651825</v>
      </c>
      <c r="I435" s="401">
        <v>0.13621550720475317</v>
      </c>
      <c r="J435" s="258">
        <f t="shared" ca="1" si="54"/>
        <v>3.5446057444230905</v>
      </c>
      <c r="K435" s="258">
        <f t="shared" si="55"/>
        <v>0.37550212755252749</v>
      </c>
      <c r="L435" s="258">
        <f t="shared" ca="1" si="56"/>
        <v>3.9201078719756182</v>
      </c>
      <c r="M435" s="258">
        <f t="shared" ca="1" si="57"/>
        <v>2.1629717849033372</v>
      </c>
      <c r="N435" s="258">
        <f t="shared" si="58"/>
        <v>0.37530598773983931</v>
      </c>
      <c r="O435" s="258">
        <f t="shared" ca="1" si="59"/>
        <v>2.5382777726431764</v>
      </c>
      <c r="P435" s="258">
        <f t="shared" ca="1" si="60"/>
        <v>0.53169086166346358</v>
      </c>
      <c r="Q435" s="258">
        <f t="shared" si="61"/>
        <v>0.37530598773983931</v>
      </c>
      <c r="R435" s="258">
        <f t="shared" ca="1" si="62"/>
        <v>0.90699684940330294</v>
      </c>
    </row>
    <row r="436" spans="3:18" ht="14" x14ac:dyDescent="0.25">
      <c r="C436" s="255" t="s">
        <v>6368</v>
      </c>
      <c r="D436" s="132">
        <v>0.94195414976609382</v>
      </c>
      <c r="E436" s="132">
        <v>5.8045850233906203E-2</v>
      </c>
      <c r="F436" s="132">
        <v>9.0392749999999999</v>
      </c>
      <c r="G436" s="132">
        <v>1.7752058997214584</v>
      </c>
      <c r="H436" s="132">
        <v>10.814480899721458</v>
      </c>
      <c r="I436" s="401">
        <v>0.16415081927484668</v>
      </c>
      <c r="J436" s="258">
        <f t="shared" ca="1" si="54"/>
        <v>3.5040694371298691</v>
      </c>
      <c r="K436" s="258">
        <f t="shared" si="55"/>
        <v>0.46228643859886642</v>
      </c>
      <c r="L436" s="258">
        <f t="shared" ca="1" si="56"/>
        <v>3.9663558757287354</v>
      </c>
      <c r="M436" s="258">
        <f t="shared" ca="1" si="57"/>
        <v>2.1382359199690328</v>
      </c>
      <c r="N436" s="258">
        <f t="shared" si="58"/>
        <v>0.46204496786189336</v>
      </c>
      <c r="O436" s="258">
        <f t="shared" ca="1" si="59"/>
        <v>2.6002808878309263</v>
      </c>
      <c r="P436" s="258">
        <f t="shared" ca="1" si="60"/>
        <v>0.5256104155694804</v>
      </c>
      <c r="Q436" s="258">
        <f t="shared" si="61"/>
        <v>0.46204496786189336</v>
      </c>
      <c r="R436" s="258">
        <f t="shared" ca="1" si="62"/>
        <v>0.98765538343137371</v>
      </c>
    </row>
    <row r="437" spans="3:18" ht="14" x14ac:dyDescent="0.25">
      <c r="C437" s="255" t="s">
        <v>6369</v>
      </c>
      <c r="D437" s="132">
        <v>0.97934303899116992</v>
      </c>
      <c r="E437" s="132">
        <v>2.065696100883007E-2</v>
      </c>
      <c r="F437" s="132">
        <v>23.848300000000002</v>
      </c>
      <c r="G437" s="132">
        <v>1.6031078308092819</v>
      </c>
      <c r="H437" s="132">
        <v>25.451407830809284</v>
      </c>
      <c r="I437" s="401">
        <v>6.2987000226710346E-2</v>
      </c>
      <c r="J437" s="258">
        <f t="shared" ca="1" si="54"/>
        <v>3.6431561050471521</v>
      </c>
      <c r="K437" s="258">
        <f t="shared" si="55"/>
        <v>0.16451534258808409</v>
      </c>
      <c r="L437" s="258">
        <f t="shared" ca="1" si="56"/>
        <v>3.8076714476352365</v>
      </c>
      <c r="M437" s="258">
        <f t="shared" ca="1" si="57"/>
        <v>2.223108698509956</v>
      </c>
      <c r="N437" s="258">
        <f t="shared" si="58"/>
        <v>0.16442940963028735</v>
      </c>
      <c r="O437" s="258">
        <f t="shared" ca="1" si="59"/>
        <v>2.3875381081402431</v>
      </c>
      <c r="P437" s="258">
        <f t="shared" ca="1" si="60"/>
        <v>0.54647341575707287</v>
      </c>
      <c r="Q437" s="258">
        <f t="shared" si="61"/>
        <v>0.16442940963028735</v>
      </c>
      <c r="R437" s="258">
        <f t="shared" ca="1" si="62"/>
        <v>0.71090282538736016</v>
      </c>
    </row>
    <row r="438" spans="3:18" ht="14" x14ac:dyDescent="0.25">
      <c r="C438" s="255" t="s">
        <v>6370</v>
      </c>
      <c r="D438" s="132">
        <v>0.97529718698973811</v>
      </c>
      <c r="E438" s="132">
        <v>2.4702813010261875E-2</v>
      </c>
      <c r="F438" s="132">
        <v>20.578775</v>
      </c>
      <c r="G438" s="132">
        <v>1.661126392341068</v>
      </c>
      <c r="H438" s="132">
        <v>22.239901392341068</v>
      </c>
      <c r="I438" s="401">
        <v>7.4691266073379406E-2</v>
      </c>
      <c r="J438" s="258">
        <f t="shared" ca="1" si="54"/>
        <v>3.6281055356018261</v>
      </c>
      <c r="K438" s="258">
        <f t="shared" si="55"/>
        <v>0.1967371552638072</v>
      </c>
      <c r="L438" s="258">
        <f t="shared" ca="1" si="56"/>
        <v>3.8248426908656334</v>
      </c>
      <c r="M438" s="258">
        <f t="shared" ca="1" si="57"/>
        <v>2.2139246144667055</v>
      </c>
      <c r="N438" s="258">
        <f t="shared" si="58"/>
        <v>0.19663439156168452</v>
      </c>
      <c r="O438" s="258">
        <f t="shared" ca="1" si="59"/>
        <v>2.4105590060283899</v>
      </c>
      <c r="P438" s="258">
        <f t="shared" ca="1" si="60"/>
        <v>0.54421583034027388</v>
      </c>
      <c r="Q438" s="258">
        <f t="shared" si="61"/>
        <v>0.19663439156168452</v>
      </c>
      <c r="R438" s="258">
        <f t="shared" ca="1" si="62"/>
        <v>0.74085022190195837</v>
      </c>
    </row>
    <row r="439" spans="3:18" ht="14" x14ac:dyDescent="0.25">
      <c r="C439" s="255" t="s">
        <v>6371</v>
      </c>
      <c r="D439" s="132">
        <v>0.96944814305277227</v>
      </c>
      <c r="E439" s="132">
        <v>3.055185694722768E-2</v>
      </c>
      <c r="F439" s="132">
        <v>17.116925000000002</v>
      </c>
      <c r="G439" s="132">
        <v>1.7191449538728545</v>
      </c>
      <c r="H439" s="132">
        <v>18.836069953872858</v>
      </c>
      <c r="I439" s="401">
        <v>9.1268770931665785E-2</v>
      </c>
      <c r="J439" s="258">
        <f t="shared" ca="1" si="54"/>
        <v>3.6063470921563132</v>
      </c>
      <c r="K439" s="258">
        <f t="shared" si="55"/>
        <v>0.24331987702483279</v>
      </c>
      <c r="L439" s="258">
        <f t="shared" ca="1" si="56"/>
        <v>3.849666969181146</v>
      </c>
      <c r="M439" s="258">
        <f t="shared" ca="1" si="57"/>
        <v>2.2006472847297931</v>
      </c>
      <c r="N439" s="258">
        <f t="shared" si="58"/>
        <v>0.24319278129993233</v>
      </c>
      <c r="O439" s="258">
        <f t="shared" ca="1" si="59"/>
        <v>2.4438400660297255</v>
      </c>
      <c r="P439" s="258">
        <f t="shared" ca="1" si="60"/>
        <v>0.54095206382344696</v>
      </c>
      <c r="Q439" s="258">
        <f t="shared" si="61"/>
        <v>0.24319278129993233</v>
      </c>
      <c r="R439" s="258">
        <f t="shared" ca="1" si="62"/>
        <v>0.78414484512337923</v>
      </c>
    </row>
    <row r="440" spans="3:18" ht="14" x14ac:dyDescent="0.25">
      <c r="C440" s="255" t="s">
        <v>6372</v>
      </c>
      <c r="D440" s="132">
        <v>0.9681356582600269</v>
      </c>
      <c r="E440" s="132">
        <v>3.1864341739973143E-2</v>
      </c>
      <c r="F440" s="132">
        <v>13.462750000000002</v>
      </c>
      <c r="G440" s="132">
        <v>1.4121350619777346</v>
      </c>
      <c r="H440" s="132">
        <v>14.874885061977736</v>
      </c>
      <c r="I440" s="401">
        <v>9.4934183094116623E-2</v>
      </c>
      <c r="J440" s="258">
        <f t="shared" ca="1" si="54"/>
        <v>3.6014646487273003</v>
      </c>
      <c r="K440" s="258">
        <f t="shared" si="55"/>
        <v>0.25377271591182449</v>
      </c>
      <c r="L440" s="258">
        <f t="shared" ca="1" si="56"/>
        <v>3.8552373646391249</v>
      </c>
      <c r="M440" s="258">
        <f t="shared" ca="1" si="57"/>
        <v>2.1976679442502611</v>
      </c>
      <c r="N440" s="258">
        <f t="shared" si="58"/>
        <v>0.25364016025018621</v>
      </c>
      <c r="O440" s="258">
        <f t="shared" ca="1" si="59"/>
        <v>2.4513081045004474</v>
      </c>
      <c r="P440" s="258">
        <f t="shared" ca="1" si="60"/>
        <v>0.54021969730909503</v>
      </c>
      <c r="Q440" s="258">
        <f t="shared" si="61"/>
        <v>0.25364016025018621</v>
      </c>
      <c r="R440" s="258">
        <f t="shared" ca="1" si="62"/>
        <v>0.79385985755928123</v>
      </c>
    </row>
    <row r="441" spans="3:18" ht="14" x14ac:dyDescent="0.25">
      <c r="C441" s="255" t="s">
        <v>6373</v>
      </c>
      <c r="D441" s="132">
        <v>0.96190200322082253</v>
      </c>
      <c r="E441" s="132">
        <v>3.8097996779177475E-2</v>
      </c>
      <c r="F441" s="132">
        <v>11.347175</v>
      </c>
      <c r="G441" s="132">
        <v>1.4322960183147788</v>
      </c>
      <c r="H441" s="132">
        <v>12.779471018314778</v>
      </c>
      <c r="I441" s="401">
        <v>0.11207787992649283</v>
      </c>
      <c r="J441" s="258">
        <f t="shared" ca="1" si="54"/>
        <v>3.5782754519814599</v>
      </c>
      <c r="K441" s="258">
        <f t="shared" si="55"/>
        <v>0.30341854202885404</v>
      </c>
      <c r="L441" s="258">
        <f t="shared" ca="1" si="56"/>
        <v>3.8816939940103139</v>
      </c>
      <c r="M441" s="258">
        <f t="shared" ca="1" si="57"/>
        <v>2.1835175473112671</v>
      </c>
      <c r="N441" s="258">
        <f t="shared" si="58"/>
        <v>0.30326005436225267</v>
      </c>
      <c r="O441" s="258">
        <f t="shared" ca="1" si="59"/>
        <v>2.4867776016735199</v>
      </c>
      <c r="P441" s="258">
        <f t="shared" ca="1" si="60"/>
        <v>0.53674131779721901</v>
      </c>
      <c r="Q441" s="258">
        <f t="shared" si="61"/>
        <v>0.30326005436225267</v>
      </c>
      <c r="R441" s="258">
        <f t="shared" ca="1" si="62"/>
        <v>0.84000137215947168</v>
      </c>
    </row>
    <row r="442" spans="3:18" ht="14" x14ac:dyDescent="0.25">
      <c r="C442" s="255" t="s">
        <v>6374</v>
      </c>
      <c r="D442" s="132">
        <v>0.95295381307944904</v>
      </c>
      <c r="E442" s="132">
        <v>4.7046186920551014E-2</v>
      </c>
      <c r="F442" s="132">
        <v>9.2316000000000003</v>
      </c>
      <c r="G442" s="132">
        <v>1.4524569746518232</v>
      </c>
      <c r="H442" s="132">
        <v>10.684056974651824</v>
      </c>
      <c r="I442" s="401">
        <v>0.13594620265483529</v>
      </c>
      <c r="J442" s="258">
        <f t="shared" ca="1" si="54"/>
        <v>3.5449881846555504</v>
      </c>
      <c r="K442" s="258">
        <f t="shared" si="55"/>
        <v>0.37468336002517555</v>
      </c>
      <c r="L442" s="258">
        <f t="shared" ca="1" si="56"/>
        <v>3.919671544680726</v>
      </c>
      <c r="M442" s="258">
        <f t="shared" ca="1" si="57"/>
        <v>2.1632051556903495</v>
      </c>
      <c r="N442" s="258">
        <f t="shared" si="58"/>
        <v>0.37448764788758609</v>
      </c>
      <c r="O442" s="258">
        <f t="shared" ca="1" si="59"/>
        <v>2.5376928035779356</v>
      </c>
      <c r="P442" s="258">
        <f t="shared" ca="1" si="60"/>
        <v>0.53174822769833263</v>
      </c>
      <c r="Q442" s="258">
        <f t="shared" si="61"/>
        <v>0.37448764788758609</v>
      </c>
      <c r="R442" s="258">
        <f t="shared" ca="1" si="62"/>
        <v>0.90623587558591878</v>
      </c>
    </row>
    <row r="443" spans="3:18" ht="14" x14ac:dyDescent="0.25">
      <c r="C443" s="255" t="s">
        <v>6375</v>
      </c>
      <c r="D443" s="132">
        <v>0.94211963093727946</v>
      </c>
      <c r="E443" s="132">
        <v>5.7880369062720538E-2</v>
      </c>
      <c r="F443" s="132">
        <v>7.5006750000000011</v>
      </c>
      <c r="G443" s="132">
        <v>1.4685857397214583</v>
      </c>
      <c r="H443" s="132">
        <v>8.9692607397214594</v>
      </c>
      <c r="I443" s="401">
        <v>0.16373542729309321</v>
      </c>
      <c r="J443" s="258">
        <f t="shared" ca="1" si="54"/>
        <v>3.5046850270866798</v>
      </c>
      <c r="K443" s="258">
        <f t="shared" si="55"/>
        <v>0.46096852007455641</v>
      </c>
      <c r="L443" s="258">
        <f t="shared" ca="1" si="56"/>
        <v>3.9656535471612364</v>
      </c>
      <c r="M443" s="258">
        <f t="shared" ca="1" si="57"/>
        <v>2.1386115622276245</v>
      </c>
      <c r="N443" s="258">
        <f t="shared" si="58"/>
        <v>0.46072773773925546</v>
      </c>
      <c r="O443" s="258">
        <f t="shared" ca="1" si="59"/>
        <v>2.5993392999668798</v>
      </c>
      <c r="P443" s="258">
        <f t="shared" ca="1" si="60"/>
        <v>0.52570275406300204</v>
      </c>
      <c r="Q443" s="258">
        <f t="shared" si="61"/>
        <v>0.46072773773925546</v>
      </c>
      <c r="R443" s="258">
        <f t="shared" ca="1" si="62"/>
        <v>0.9864304918022575</v>
      </c>
    </row>
    <row r="444" spans="3:18" ht="14" x14ac:dyDescent="0.25">
      <c r="C444" s="255" t="s">
        <v>6376</v>
      </c>
      <c r="D444" s="132">
        <v>0.96160771183623783</v>
      </c>
      <c r="E444" s="132">
        <v>3.8392288163762181E-2</v>
      </c>
      <c r="F444" s="132">
        <v>8.8469500000000014</v>
      </c>
      <c r="G444" s="132">
        <v>1.1256758583147792</v>
      </c>
      <c r="H444" s="132">
        <v>9.97262585831478</v>
      </c>
      <c r="I444" s="401">
        <v>0.11287657576928301</v>
      </c>
      <c r="J444" s="258">
        <f t="shared" ca="1" si="54"/>
        <v>3.577180688030805</v>
      </c>
      <c r="K444" s="258">
        <f t="shared" si="55"/>
        <v>0.30576232570230821</v>
      </c>
      <c r="L444" s="258">
        <f t="shared" ca="1" si="56"/>
        <v>3.8829430137331133</v>
      </c>
      <c r="M444" s="258">
        <f t="shared" ca="1" si="57"/>
        <v>2.1828495058682598</v>
      </c>
      <c r="N444" s="258">
        <f t="shared" si="58"/>
        <v>0.30560261378354697</v>
      </c>
      <c r="O444" s="258">
        <f t="shared" ca="1" si="59"/>
        <v>2.4884521196518068</v>
      </c>
      <c r="P444" s="258">
        <f t="shared" ca="1" si="60"/>
        <v>0.53657710320462071</v>
      </c>
      <c r="Q444" s="258">
        <f t="shared" si="61"/>
        <v>0.30560261378354697</v>
      </c>
      <c r="R444" s="258">
        <f t="shared" ca="1" si="62"/>
        <v>0.84217971698816774</v>
      </c>
    </row>
    <row r="445" spans="3:18" ht="14" x14ac:dyDescent="0.25">
      <c r="C445" s="255" t="s">
        <v>6377</v>
      </c>
      <c r="D445" s="132">
        <v>0.95311077106312014</v>
      </c>
      <c r="E445" s="132">
        <v>4.6889228936879884E-2</v>
      </c>
      <c r="F445" s="132">
        <v>7.3083500000000008</v>
      </c>
      <c r="G445" s="132">
        <v>1.1458368146518232</v>
      </c>
      <c r="H445" s="132">
        <v>8.4541868146518233</v>
      </c>
      <c r="I445" s="401">
        <v>0.13553483496082566</v>
      </c>
      <c r="J445" s="258">
        <f t="shared" ca="1" si="54"/>
        <v>3.5455720683548071</v>
      </c>
      <c r="K445" s="258">
        <f t="shared" si="55"/>
        <v>0.3734333215299413</v>
      </c>
      <c r="L445" s="258">
        <f t="shared" ca="1" si="56"/>
        <v>3.9190053898847483</v>
      </c>
      <c r="M445" s="258">
        <f t="shared" ca="1" si="57"/>
        <v>2.1635614503132827</v>
      </c>
      <c r="N445" s="258">
        <f t="shared" si="58"/>
        <v>0.37323826233756385</v>
      </c>
      <c r="O445" s="258">
        <f t="shared" ca="1" si="59"/>
        <v>2.5367997126508466</v>
      </c>
      <c r="P445" s="258">
        <f t="shared" ca="1" si="60"/>
        <v>0.53183581025322113</v>
      </c>
      <c r="Q445" s="258">
        <f t="shared" si="61"/>
        <v>0.37323826233756385</v>
      </c>
      <c r="R445" s="258">
        <f t="shared" ca="1" si="62"/>
        <v>0.90507407259078498</v>
      </c>
    </row>
    <row r="446" spans="3:18" ht="14" x14ac:dyDescent="0.25">
      <c r="C446" s="255" t="s">
        <v>6378</v>
      </c>
      <c r="D446" s="132">
        <v>0.94237063267601284</v>
      </c>
      <c r="E446" s="132">
        <v>5.7629367323987157E-2</v>
      </c>
      <c r="F446" s="132">
        <v>5.9620750000000005</v>
      </c>
      <c r="G446" s="132">
        <v>1.1619655797214583</v>
      </c>
      <c r="H446" s="132">
        <v>7.1240405797214592</v>
      </c>
      <c r="I446" s="401">
        <v>0.16310485134363029</v>
      </c>
      <c r="J446" s="258">
        <f t="shared" ca="1" si="54"/>
        <v>3.505618753554768</v>
      </c>
      <c r="K446" s="258">
        <f t="shared" si="55"/>
        <v>0.45896950206700554</v>
      </c>
      <c r="L446" s="258">
        <f t="shared" ca="1" si="56"/>
        <v>3.9645882556217735</v>
      </c>
      <c r="M446" s="258">
        <f t="shared" ca="1" si="57"/>
        <v>2.1391813361745493</v>
      </c>
      <c r="N446" s="258">
        <f t="shared" si="58"/>
        <v>0.45872976389893777</v>
      </c>
      <c r="O446" s="258">
        <f t="shared" ca="1" si="59"/>
        <v>2.5979111000734871</v>
      </c>
      <c r="P446" s="258">
        <f t="shared" ca="1" si="60"/>
        <v>0.52584281303321523</v>
      </c>
      <c r="Q446" s="258">
        <f t="shared" si="61"/>
        <v>0.45872976389893777</v>
      </c>
      <c r="R446" s="258">
        <f t="shared" ca="1" si="62"/>
        <v>0.98457257693215294</v>
      </c>
    </row>
    <row r="447" spans="3:18" ht="14" x14ac:dyDescent="0.25">
      <c r="C447" s="255" t="s">
        <v>6379</v>
      </c>
      <c r="D447" s="132">
        <v>0.9695352433107346</v>
      </c>
      <c r="E447" s="132">
        <v>3.0464756689265352E-2</v>
      </c>
      <c r="F447" s="132">
        <v>13.270425000000001</v>
      </c>
      <c r="G447" s="132">
        <v>1.3289011138728544</v>
      </c>
      <c r="H447" s="132">
        <v>14.599326113872856</v>
      </c>
      <c r="I447" s="401">
        <v>9.1024825632881792E-2</v>
      </c>
      <c r="J447" s="258">
        <f t="shared" ca="1" si="54"/>
        <v>3.6066711051159328</v>
      </c>
      <c r="K447" s="258">
        <f t="shared" si="55"/>
        <v>0.24262619663437954</v>
      </c>
      <c r="L447" s="258">
        <f t="shared" ca="1" si="56"/>
        <v>3.8492973017503123</v>
      </c>
      <c r="M447" s="258">
        <f t="shared" ca="1" si="57"/>
        <v>2.2008450023153676</v>
      </c>
      <c r="N447" s="258">
        <f t="shared" si="58"/>
        <v>0.24249946324655219</v>
      </c>
      <c r="O447" s="258">
        <f t="shared" ca="1" si="59"/>
        <v>2.4433444655619199</v>
      </c>
      <c r="P447" s="258">
        <f t="shared" ca="1" si="60"/>
        <v>0.54100066576738992</v>
      </c>
      <c r="Q447" s="258">
        <f t="shared" si="61"/>
        <v>0.24249946324655219</v>
      </c>
      <c r="R447" s="258">
        <f t="shared" ca="1" si="62"/>
        <v>0.78350012901394206</v>
      </c>
    </row>
    <row r="448" spans="3:18" ht="14" x14ac:dyDescent="0.25">
      <c r="C448" s="255" t="s">
        <v>6380</v>
      </c>
      <c r="D448" s="132">
        <v>0.96824743559234416</v>
      </c>
      <c r="E448" s="132">
        <v>3.1752564407655871E-2</v>
      </c>
      <c r="F448" s="132">
        <v>10.577875000000001</v>
      </c>
      <c r="G448" s="132">
        <v>1.1055149019777348</v>
      </c>
      <c r="H448" s="132">
        <v>11.683389901977735</v>
      </c>
      <c r="I448" s="401">
        <v>9.4622785959629405E-2</v>
      </c>
      <c r="J448" s="258">
        <f t="shared" ca="1" si="54"/>
        <v>3.6018804604035206</v>
      </c>
      <c r="K448" s="258">
        <f t="shared" si="55"/>
        <v>0.2528825033528766</v>
      </c>
      <c r="L448" s="258">
        <f t="shared" ca="1" si="56"/>
        <v>3.8547629637563974</v>
      </c>
      <c r="M448" s="258">
        <f t="shared" ca="1" si="57"/>
        <v>2.1979216787946214</v>
      </c>
      <c r="N448" s="258">
        <f t="shared" si="58"/>
        <v>0.25275041268494075</v>
      </c>
      <c r="O448" s="258">
        <f t="shared" ca="1" si="59"/>
        <v>2.4506720914795621</v>
      </c>
      <c r="P448" s="258">
        <f t="shared" ca="1" si="60"/>
        <v>0.54028206906052811</v>
      </c>
      <c r="Q448" s="258">
        <f t="shared" si="61"/>
        <v>0.25275041268494075</v>
      </c>
      <c r="R448" s="258">
        <f t="shared" ca="1" si="62"/>
        <v>0.79303248174546881</v>
      </c>
    </row>
    <row r="449" spans="3:18" ht="14" x14ac:dyDescent="0.25">
      <c r="C449" s="255" t="s">
        <v>6381</v>
      </c>
      <c r="D449" s="132">
        <v>0.96160771183623783</v>
      </c>
      <c r="E449" s="132">
        <v>3.8392288163762181E-2</v>
      </c>
      <c r="F449" s="132">
        <v>8.8469500000000014</v>
      </c>
      <c r="G449" s="132">
        <v>1.1256758583147792</v>
      </c>
      <c r="H449" s="132">
        <v>9.97262585831478</v>
      </c>
      <c r="I449" s="401">
        <v>0.11287657576928301</v>
      </c>
      <c r="J449" s="258">
        <f t="shared" ca="1" si="54"/>
        <v>3.577180688030805</v>
      </c>
      <c r="K449" s="258">
        <f t="shared" si="55"/>
        <v>0.30576232570230821</v>
      </c>
      <c r="L449" s="258">
        <f t="shared" ca="1" si="56"/>
        <v>3.8829430137331133</v>
      </c>
      <c r="M449" s="258">
        <f t="shared" ca="1" si="57"/>
        <v>2.1828495058682598</v>
      </c>
      <c r="N449" s="258">
        <f t="shared" si="58"/>
        <v>0.30560261378354697</v>
      </c>
      <c r="O449" s="258">
        <f t="shared" ca="1" si="59"/>
        <v>2.4884521196518068</v>
      </c>
      <c r="P449" s="258">
        <f t="shared" ca="1" si="60"/>
        <v>0.53657710320462071</v>
      </c>
      <c r="Q449" s="258">
        <f t="shared" si="61"/>
        <v>0.30560261378354697</v>
      </c>
      <c r="R449" s="258">
        <f t="shared" ca="1" si="62"/>
        <v>0.84217971698816774</v>
      </c>
    </row>
    <row r="450" spans="3:18" ht="14" x14ac:dyDescent="0.25">
      <c r="C450" s="255" t="s">
        <v>6382</v>
      </c>
      <c r="D450" s="132">
        <v>0.95311077106312014</v>
      </c>
      <c r="E450" s="132">
        <v>4.6889228936879884E-2</v>
      </c>
      <c r="F450" s="132">
        <v>7.3083500000000008</v>
      </c>
      <c r="G450" s="132">
        <v>1.1458368146518232</v>
      </c>
      <c r="H450" s="132">
        <v>8.4541868146518233</v>
      </c>
      <c r="I450" s="401">
        <v>0.13553483496082566</v>
      </c>
      <c r="J450" s="258">
        <f t="shared" ca="1" si="54"/>
        <v>3.5455720683548071</v>
      </c>
      <c r="K450" s="258">
        <f t="shared" si="55"/>
        <v>0.3734333215299413</v>
      </c>
      <c r="L450" s="258">
        <f t="shared" ca="1" si="56"/>
        <v>3.9190053898847483</v>
      </c>
      <c r="M450" s="258">
        <f t="shared" ca="1" si="57"/>
        <v>2.1635614503132827</v>
      </c>
      <c r="N450" s="258">
        <f t="shared" si="58"/>
        <v>0.37323826233756385</v>
      </c>
      <c r="O450" s="258">
        <f t="shared" ca="1" si="59"/>
        <v>2.5367997126508466</v>
      </c>
      <c r="P450" s="258">
        <f t="shared" ca="1" si="60"/>
        <v>0.53183581025322113</v>
      </c>
      <c r="Q450" s="258">
        <f t="shared" si="61"/>
        <v>0.37323826233756385</v>
      </c>
      <c r="R450" s="258">
        <f t="shared" ca="1" si="62"/>
        <v>0.90507407259078498</v>
      </c>
    </row>
    <row r="451" spans="3:18" ht="14" x14ac:dyDescent="0.25">
      <c r="C451" s="255" t="s">
        <v>6383</v>
      </c>
      <c r="D451" s="132">
        <v>0.96844310804365874</v>
      </c>
      <c r="E451" s="132">
        <v>3.1556891956341294E-2</v>
      </c>
      <c r="F451" s="132">
        <v>7.6930000000000005</v>
      </c>
      <c r="G451" s="132">
        <v>0.7988947419777348</v>
      </c>
      <c r="H451" s="132">
        <v>8.4918947419777346</v>
      </c>
      <c r="I451" s="401">
        <v>9.4077325055453381E-2</v>
      </c>
      <c r="J451" s="258">
        <f t="shared" ca="1" si="54"/>
        <v>3.6026083619224107</v>
      </c>
      <c r="K451" s="258">
        <f t="shared" si="55"/>
        <v>0.25132413664301506</v>
      </c>
      <c r="L451" s="258">
        <f t="shared" ca="1" si="56"/>
        <v>3.8539324985654257</v>
      </c>
      <c r="M451" s="258">
        <f t="shared" ca="1" si="57"/>
        <v>2.1983658552591052</v>
      </c>
      <c r="N451" s="258">
        <f t="shared" si="58"/>
        <v>0.2511928599724767</v>
      </c>
      <c r="O451" s="258">
        <f t="shared" ca="1" si="59"/>
        <v>2.4495587152315821</v>
      </c>
      <c r="P451" s="258">
        <f t="shared" ca="1" si="60"/>
        <v>0.54039125428836166</v>
      </c>
      <c r="Q451" s="258">
        <f t="shared" si="61"/>
        <v>0.2511928599724767</v>
      </c>
      <c r="R451" s="258">
        <f t="shared" ca="1" si="62"/>
        <v>0.79158411426083841</v>
      </c>
    </row>
    <row r="452" spans="3:18" ht="14" x14ac:dyDescent="0.25">
      <c r="C452" s="255" t="s">
        <v>6384</v>
      </c>
      <c r="D452" s="132">
        <v>0.96218336332032517</v>
      </c>
      <c r="E452" s="132">
        <v>3.7816636679674866E-2</v>
      </c>
      <c r="F452" s="132">
        <v>6.5390500000000005</v>
      </c>
      <c r="G452" s="132">
        <v>0.81905569831477909</v>
      </c>
      <c r="H452" s="132">
        <v>7.3581056983147795</v>
      </c>
      <c r="I452" s="401">
        <v>0.1113133912308934</v>
      </c>
      <c r="J452" s="258">
        <f t="shared" ca="1" si="54"/>
        <v>3.5793221115516096</v>
      </c>
      <c r="K452" s="258">
        <f t="shared" si="55"/>
        <v>0.30117774517879936</v>
      </c>
      <c r="L452" s="258">
        <f t="shared" ca="1" si="56"/>
        <v>3.8804998567304088</v>
      </c>
      <c r="M452" s="258">
        <f t="shared" ca="1" si="57"/>
        <v>2.1841562347371379</v>
      </c>
      <c r="N452" s="258">
        <f t="shared" si="58"/>
        <v>0.30102042797021195</v>
      </c>
      <c r="O452" s="258">
        <f t="shared" ca="1" si="59"/>
        <v>2.4851766627073499</v>
      </c>
      <c r="P452" s="258">
        <f t="shared" ca="1" si="60"/>
        <v>0.53689831673274147</v>
      </c>
      <c r="Q452" s="258">
        <f t="shared" si="61"/>
        <v>0.30102042797021195</v>
      </c>
      <c r="R452" s="258">
        <f t="shared" ca="1" si="62"/>
        <v>0.83791874470295347</v>
      </c>
    </row>
    <row r="453" spans="3:18" ht="14" x14ac:dyDescent="0.25">
      <c r="C453" s="255" t="s">
        <v>6385</v>
      </c>
      <c r="D453" s="132">
        <v>0.95337996221741161</v>
      </c>
      <c r="E453" s="132">
        <v>4.6620037782588421E-2</v>
      </c>
      <c r="F453" s="132">
        <v>5.3851000000000004</v>
      </c>
      <c r="G453" s="132">
        <v>0.83921665465182327</v>
      </c>
      <c r="H453" s="132">
        <v>6.2243166546518234</v>
      </c>
      <c r="I453" s="401">
        <v>0.13482872116164332</v>
      </c>
      <c r="J453" s="258">
        <f t="shared" ca="1" si="54"/>
        <v>3.5465734594487714</v>
      </c>
      <c r="K453" s="258">
        <f t="shared" si="55"/>
        <v>0.37128944010657938</v>
      </c>
      <c r="L453" s="258">
        <f t="shared" ca="1" si="56"/>
        <v>3.9178628995553506</v>
      </c>
      <c r="M453" s="258">
        <f t="shared" ca="1" si="57"/>
        <v>2.1641725142335244</v>
      </c>
      <c r="N453" s="258">
        <f t="shared" si="58"/>
        <v>0.37109550074940384</v>
      </c>
      <c r="O453" s="258">
        <f t="shared" ca="1" si="59"/>
        <v>2.5352680149829281</v>
      </c>
      <c r="P453" s="258">
        <f t="shared" ca="1" si="60"/>
        <v>0.53198601891731578</v>
      </c>
      <c r="Q453" s="258">
        <f t="shared" si="61"/>
        <v>0.37109550074940384</v>
      </c>
      <c r="R453" s="258">
        <f t="shared" ca="1" si="62"/>
        <v>0.90308151966671968</v>
      </c>
    </row>
    <row r="454" spans="3:18" ht="14" x14ac:dyDescent="0.25">
      <c r="C454" s="255" t="s">
        <v>6386</v>
      </c>
      <c r="D454" s="132">
        <v>0.94279655012473385</v>
      </c>
      <c r="E454" s="132">
        <v>5.720344987526612E-2</v>
      </c>
      <c r="F454" s="132">
        <v>4.4234750000000007</v>
      </c>
      <c r="G454" s="132">
        <v>0.8553454197214585</v>
      </c>
      <c r="H454" s="132">
        <v>5.278820419721459</v>
      </c>
      <c r="I454" s="401">
        <v>0.16203343772141265</v>
      </c>
      <c r="J454" s="258">
        <f t="shared" ca="1" si="54"/>
        <v>3.5072031664640102</v>
      </c>
      <c r="K454" s="258">
        <f t="shared" si="55"/>
        <v>0.45557742735859941</v>
      </c>
      <c r="L454" s="258">
        <f t="shared" ca="1" si="56"/>
        <v>3.9627805938226097</v>
      </c>
      <c r="M454" s="258">
        <f t="shared" ca="1" si="57"/>
        <v>2.1401481687831461</v>
      </c>
      <c r="N454" s="258">
        <f t="shared" si="58"/>
        <v>0.45533946100711831</v>
      </c>
      <c r="O454" s="258">
        <f t="shared" ca="1" si="59"/>
        <v>2.5954876297902643</v>
      </c>
      <c r="P454" s="258">
        <f t="shared" ca="1" si="60"/>
        <v>0.52608047496960153</v>
      </c>
      <c r="Q454" s="258">
        <f t="shared" si="61"/>
        <v>0.45533946100711831</v>
      </c>
      <c r="R454" s="258">
        <f t="shared" ca="1" si="62"/>
        <v>0.98141993597671984</v>
      </c>
    </row>
    <row r="455" spans="3:18" ht="14" x14ac:dyDescent="0.25">
      <c r="C455" s="255" t="s">
        <v>6387</v>
      </c>
      <c r="D455" s="132">
        <v>0.9685012961866879</v>
      </c>
      <c r="E455" s="132">
        <v>3.1498703813312046E-2</v>
      </c>
      <c r="F455" s="132">
        <v>7.1160250000000005</v>
      </c>
      <c r="G455" s="132">
        <v>0.73757070997773477</v>
      </c>
      <c r="H455" s="132">
        <v>7.8535957099777356</v>
      </c>
      <c r="I455" s="401">
        <v>9.3915034235932893E-2</v>
      </c>
      <c r="J455" s="258">
        <f t="shared" ca="1" si="54"/>
        <v>3.6028248218144792</v>
      </c>
      <c r="K455" s="258">
        <f t="shared" si="55"/>
        <v>0.25086071696182727</v>
      </c>
      <c r="L455" s="258">
        <f t="shared" ca="1" si="56"/>
        <v>3.8536855387763063</v>
      </c>
      <c r="M455" s="258">
        <f t="shared" ca="1" si="57"/>
        <v>2.1984979423437814</v>
      </c>
      <c r="N455" s="258">
        <f t="shared" si="58"/>
        <v>0.25072968235396387</v>
      </c>
      <c r="O455" s="258">
        <f t="shared" ca="1" si="59"/>
        <v>2.4492276246977451</v>
      </c>
      <c r="P455" s="258">
        <f t="shared" ca="1" si="60"/>
        <v>0.54042372327217192</v>
      </c>
      <c r="Q455" s="258">
        <f t="shared" si="61"/>
        <v>0.25072968235396387</v>
      </c>
      <c r="R455" s="258">
        <f t="shared" ca="1" si="62"/>
        <v>0.79115340562613579</v>
      </c>
    </row>
    <row r="456" spans="3:18" ht="14" x14ac:dyDescent="0.25">
      <c r="C456" s="255" t="s">
        <v>6388</v>
      </c>
      <c r="D456" s="132">
        <v>0.96165034394759252</v>
      </c>
      <c r="E456" s="132">
        <v>3.8349656052407442E-2</v>
      </c>
      <c r="F456" s="132">
        <v>5.9620750000000005</v>
      </c>
      <c r="G456" s="132">
        <v>0.75773166631477895</v>
      </c>
      <c r="H456" s="132">
        <v>6.7198066663147795</v>
      </c>
      <c r="I456" s="401">
        <v>0.11276093255973506</v>
      </c>
      <c r="J456" s="258">
        <f t="shared" ca="1" si="54"/>
        <v>3.5773392794850443</v>
      </c>
      <c r="K456" s="258">
        <f t="shared" si="55"/>
        <v>0.30542279674634126</v>
      </c>
      <c r="L456" s="258">
        <f t="shared" ca="1" si="56"/>
        <v>3.8827620762313857</v>
      </c>
      <c r="M456" s="258">
        <f t="shared" ca="1" si="57"/>
        <v>2.1829462807610351</v>
      </c>
      <c r="N456" s="258">
        <f t="shared" si="58"/>
        <v>0.30526326217716326</v>
      </c>
      <c r="O456" s="258">
        <f t="shared" ca="1" si="59"/>
        <v>2.4882095429381983</v>
      </c>
      <c r="P456" s="258">
        <f t="shared" ca="1" si="60"/>
        <v>0.53660089192275673</v>
      </c>
      <c r="Q456" s="258">
        <f t="shared" si="61"/>
        <v>0.30526326217716326</v>
      </c>
      <c r="R456" s="258">
        <f t="shared" ca="1" si="62"/>
        <v>0.84186415409991999</v>
      </c>
    </row>
    <row r="457" spans="3:18" ht="14" x14ac:dyDescent="0.25">
      <c r="C457" s="255" t="s">
        <v>6389</v>
      </c>
      <c r="D457" s="132">
        <v>0.95345867758487879</v>
      </c>
      <c r="E457" s="132">
        <v>4.6541322415121197E-2</v>
      </c>
      <c r="F457" s="132">
        <v>5.0004499999999998</v>
      </c>
      <c r="G457" s="132">
        <v>0.77789262265182324</v>
      </c>
      <c r="H457" s="132">
        <v>5.7783426226518229</v>
      </c>
      <c r="I457" s="401">
        <v>0.1346221007391267</v>
      </c>
      <c r="J457" s="258">
        <f t="shared" ca="1" si="54"/>
        <v>3.5468662806157494</v>
      </c>
      <c r="K457" s="258">
        <f t="shared" si="55"/>
        <v>0.37066253832561163</v>
      </c>
      <c r="L457" s="258">
        <f t="shared" ca="1" si="56"/>
        <v>3.9175288189413608</v>
      </c>
      <c r="M457" s="258">
        <f t="shared" ca="1" si="57"/>
        <v>2.1643511981176751</v>
      </c>
      <c r="N457" s="258">
        <f t="shared" si="58"/>
        <v>0.37046892642436474</v>
      </c>
      <c r="O457" s="258">
        <f t="shared" ca="1" si="59"/>
        <v>2.5348201245420396</v>
      </c>
      <c r="P457" s="258">
        <f t="shared" ca="1" si="60"/>
        <v>0.53202994209236243</v>
      </c>
      <c r="Q457" s="258">
        <f t="shared" si="61"/>
        <v>0.37046892642436474</v>
      </c>
      <c r="R457" s="258">
        <f t="shared" ca="1" si="62"/>
        <v>0.90249886851672723</v>
      </c>
    </row>
    <row r="458" spans="3:18" ht="14" x14ac:dyDescent="0.25">
      <c r="C458" s="255" t="s">
        <v>6390</v>
      </c>
      <c r="D458" s="132">
        <v>0.94189595387970748</v>
      </c>
      <c r="E458" s="132">
        <v>5.8104046120292546E-2</v>
      </c>
      <c r="F458" s="132">
        <v>4.0388250000000001</v>
      </c>
      <c r="G458" s="132">
        <v>0.79402138772145847</v>
      </c>
      <c r="H458" s="132">
        <v>4.8328463877214585</v>
      </c>
      <c r="I458" s="401">
        <v>0.16429683958893956</v>
      </c>
      <c r="J458" s="258">
        <f t="shared" ca="1" si="54"/>
        <v>3.5038529484325118</v>
      </c>
      <c r="K458" s="258">
        <f t="shared" si="55"/>
        <v>0.46274991994938908</v>
      </c>
      <c r="L458" s="258">
        <f t="shared" ca="1" si="56"/>
        <v>3.966602868381901</v>
      </c>
      <c r="M458" s="258">
        <f t="shared" ca="1" si="57"/>
        <v>2.1381038153069358</v>
      </c>
      <c r="N458" s="258">
        <f t="shared" si="58"/>
        <v>0.46250820711752866</v>
      </c>
      <c r="O458" s="258">
        <f t="shared" ca="1" si="59"/>
        <v>2.6006120224244644</v>
      </c>
      <c r="P458" s="258">
        <f t="shared" ca="1" si="60"/>
        <v>0.52557794226487686</v>
      </c>
      <c r="Q458" s="258">
        <f t="shared" si="61"/>
        <v>0.46250820711752866</v>
      </c>
      <c r="R458" s="258">
        <f t="shared" ca="1" si="62"/>
        <v>0.98808614938240558</v>
      </c>
    </row>
    <row r="459" spans="3:18" ht="14" x14ac:dyDescent="0.25">
      <c r="C459" s="255" t="s">
        <v>6391</v>
      </c>
      <c r="D459" s="132">
        <v>0.98311391455153896</v>
      </c>
      <c r="E459" s="132">
        <v>1.688608544846109E-2</v>
      </c>
      <c r="F459" s="132">
        <v>161.553</v>
      </c>
      <c r="G459" s="132">
        <v>8.8432904061169051</v>
      </c>
      <c r="H459" s="132">
        <v>170.39629040611689</v>
      </c>
      <c r="I459" s="401">
        <v>5.1898373990654952E-2</v>
      </c>
      <c r="J459" s="258">
        <f t="shared" ca="1" si="54"/>
        <v>3.6571837621317251</v>
      </c>
      <c r="K459" s="258">
        <f t="shared" si="55"/>
        <v>0.13448348628521586</v>
      </c>
      <c r="L459" s="258">
        <f t="shared" ca="1" si="56"/>
        <v>3.7916672484169411</v>
      </c>
      <c r="M459" s="258">
        <f t="shared" ca="1" si="57"/>
        <v>2.2316685860319936</v>
      </c>
      <c r="N459" s="258">
        <f t="shared" si="58"/>
        <v>0.13441324016975029</v>
      </c>
      <c r="O459" s="258">
        <f t="shared" ca="1" si="59"/>
        <v>2.3660818262017438</v>
      </c>
      <c r="P459" s="258">
        <f t="shared" ca="1" si="60"/>
        <v>0.54857756431975879</v>
      </c>
      <c r="Q459" s="258">
        <f t="shared" si="61"/>
        <v>0.13441324016975029</v>
      </c>
      <c r="R459" s="258">
        <f t="shared" ca="1" si="62"/>
        <v>0.68299080448950911</v>
      </c>
    </row>
    <row r="460" spans="3:18" ht="14" x14ac:dyDescent="0.25">
      <c r="C460" s="255" t="s">
        <v>6392</v>
      </c>
      <c r="D460" s="132">
        <v>0.97924510516404106</v>
      </c>
      <c r="E460" s="132">
        <v>2.0754894835958989E-2</v>
      </c>
      <c r="F460" s="132">
        <v>110.39455</v>
      </c>
      <c r="G460" s="132">
        <v>7.4567654308092823</v>
      </c>
      <c r="H460" s="132">
        <v>117.85131543080928</v>
      </c>
      <c r="I460" s="401">
        <v>6.3272653373030549E-2</v>
      </c>
      <c r="J460" s="258">
        <f t="shared" ca="1" si="54"/>
        <v>3.6427917912102328</v>
      </c>
      <c r="K460" s="258">
        <f t="shared" si="55"/>
        <v>0.16529530325675112</v>
      </c>
      <c r="L460" s="258">
        <f t="shared" ca="1" si="56"/>
        <v>3.808087094466984</v>
      </c>
      <c r="M460" s="258">
        <f t="shared" ca="1" si="57"/>
        <v>2.2228863887223733</v>
      </c>
      <c r="N460" s="258">
        <f t="shared" si="58"/>
        <v>0.16520896289423356</v>
      </c>
      <c r="O460" s="258">
        <f t="shared" ca="1" si="59"/>
        <v>2.3880953516166068</v>
      </c>
      <c r="P460" s="258">
        <f t="shared" ca="1" si="60"/>
        <v>0.54641876868153494</v>
      </c>
      <c r="Q460" s="258">
        <f t="shared" si="61"/>
        <v>0.16520896289423356</v>
      </c>
      <c r="R460" s="258">
        <f t="shared" ca="1" si="62"/>
        <v>0.71162773157576853</v>
      </c>
    </row>
    <row r="461" spans="3:18" ht="14" x14ac:dyDescent="0.25">
      <c r="C461" s="255" t="s">
        <v>6393</v>
      </c>
      <c r="D461" s="132">
        <v>0.98311505965021795</v>
      </c>
      <c r="E461" s="132">
        <v>1.6884940349782093E-2</v>
      </c>
      <c r="F461" s="132">
        <v>126.93450000000001</v>
      </c>
      <c r="G461" s="132">
        <v>6.9478203261169051</v>
      </c>
      <c r="H461" s="132">
        <v>133.88232032611691</v>
      </c>
      <c r="I461" s="401">
        <v>5.1894979928590081E-2</v>
      </c>
      <c r="J461" s="258">
        <f t="shared" ca="1" si="54"/>
        <v>3.6571880218988109</v>
      </c>
      <c r="K461" s="258">
        <f t="shared" si="55"/>
        <v>0.13447436653612055</v>
      </c>
      <c r="L461" s="258">
        <f t="shared" ca="1" si="56"/>
        <v>3.7916623884349314</v>
      </c>
      <c r="M461" s="258">
        <f t="shared" ca="1" si="57"/>
        <v>2.231671185405995</v>
      </c>
      <c r="N461" s="258">
        <f t="shared" si="58"/>
        <v>0.13440412518426545</v>
      </c>
      <c r="O461" s="258">
        <f t="shared" ca="1" si="59"/>
        <v>2.3660753105902605</v>
      </c>
      <c r="P461" s="258">
        <f t="shared" ca="1" si="60"/>
        <v>0.54857820328482165</v>
      </c>
      <c r="Q461" s="258">
        <f t="shared" si="61"/>
        <v>0.13440412518426545</v>
      </c>
      <c r="R461" s="258">
        <f t="shared" ca="1" si="62"/>
        <v>0.68298232846908713</v>
      </c>
    </row>
    <row r="462" spans="3:18" ht="14" x14ac:dyDescent="0.25">
      <c r="C462" s="255" t="s">
        <v>6394</v>
      </c>
      <c r="D462" s="132">
        <v>0.97925223742167977</v>
      </c>
      <c r="E462" s="132">
        <v>2.0747762578320218E-2</v>
      </c>
      <c r="F462" s="132">
        <v>87.315550000000016</v>
      </c>
      <c r="G462" s="132">
        <v>5.8957900708092827</v>
      </c>
      <c r="H462" s="132">
        <v>93.2113400708093</v>
      </c>
      <c r="I462" s="401">
        <v>6.3251853973244704E-2</v>
      </c>
      <c r="J462" s="258">
        <f t="shared" ca="1" si="54"/>
        <v>3.6428183232086488</v>
      </c>
      <c r="K462" s="258">
        <f t="shared" si="55"/>
        <v>0.16523850081575472</v>
      </c>
      <c r="L462" s="258">
        <f t="shared" ca="1" si="56"/>
        <v>3.8080568240244035</v>
      </c>
      <c r="M462" s="258">
        <f t="shared" ca="1" si="57"/>
        <v>2.2229025789472132</v>
      </c>
      <c r="N462" s="258">
        <f t="shared" si="58"/>
        <v>0.16515219012342894</v>
      </c>
      <c r="O462" s="258">
        <f t="shared" ca="1" si="59"/>
        <v>2.3880547690706422</v>
      </c>
      <c r="P462" s="258">
        <f t="shared" ca="1" si="60"/>
        <v>0.54642274848129735</v>
      </c>
      <c r="Q462" s="258">
        <f t="shared" si="61"/>
        <v>0.16515219012342894</v>
      </c>
      <c r="R462" s="258">
        <f t="shared" ca="1" si="62"/>
        <v>0.71157493860472631</v>
      </c>
    </row>
    <row r="463" spans="3:18" ht="14" x14ac:dyDescent="0.25">
      <c r="C463" s="255" t="s">
        <v>6395</v>
      </c>
      <c r="D463" s="132">
        <v>0.97520200140750757</v>
      </c>
      <c r="E463" s="132">
        <v>2.4797998592492473E-2</v>
      </c>
      <c r="F463" s="132">
        <v>73.468149999999994</v>
      </c>
      <c r="G463" s="132">
        <v>5.9538086323410671</v>
      </c>
      <c r="H463" s="132">
        <v>79.42195863234106</v>
      </c>
      <c r="I463" s="401">
        <v>7.4964263471546305E-2</v>
      </c>
      <c r="J463" s="258">
        <f t="shared" ca="1" si="54"/>
        <v>3.6277514452359285</v>
      </c>
      <c r="K463" s="258">
        <f t="shared" si="55"/>
        <v>0.19749522847038484</v>
      </c>
      <c r="L463" s="258">
        <f t="shared" ca="1" si="56"/>
        <v>3.8252466737063133</v>
      </c>
      <c r="M463" s="258">
        <f t="shared" ca="1" si="57"/>
        <v>2.2137085431950423</v>
      </c>
      <c r="N463" s="258">
        <f t="shared" si="58"/>
        <v>0.19739206879624008</v>
      </c>
      <c r="O463" s="258">
        <f t="shared" ca="1" si="59"/>
        <v>2.4111006119912823</v>
      </c>
      <c r="P463" s="258">
        <f t="shared" ca="1" si="60"/>
        <v>0.5441627167853893</v>
      </c>
      <c r="Q463" s="258">
        <f t="shared" si="61"/>
        <v>0.19739206879624008</v>
      </c>
      <c r="R463" s="258">
        <f t="shared" ca="1" si="62"/>
        <v>0.74155478558162935</v>
      </c>
    </row>
    <row r="464" spans="3:18" ht="14" x14ac:dyDescent="0.25">
      <c r="C464" s="255" t="s">
        <v>6396</v>
      </c>
      <c r="D464" s="132">
        <v>0.98311706357932493</v>
      </c>
      <c r="E464" s="132">
        <v>1.6882936420675065E-2</v>
      </c>
      <c r="F464" s="132">
        <v>92.316000000000003</v>
      </c>
      <c r="G464" s="132">
        <v>5.0523502461169061</v>
      </c>
      <c r="H464" s="132">
        <v>97.368350246116904</v>
      </c>
      <c r="I464" s="401">
        <v>5.1889040261503212E-2</v>
      </c>
      <c r="J464" s="258">
        <f t="shared" ca="1" si="54"/>
        <v>3.6571954765150889</v>
      </c>
      <c r="K464" s="258">
        <f t="shared" si="55"/>
        <v>0.13445840692408353</v>
      </c>
      <c r="L464" s="258">
        <f t="shared" ca="1" si="56"/>
        <v>3.7916538834391726</v>
      </c>
      <c r="M464" s="258">
        <f t="shared" ca="1" si="57"/>
        <v>2.2316757343250675</v>
      </c>
      <c r="N464" s="258">
        <f t="shared" si="58"/>
        <v>0.13438817390857352</v>
      </c>
      <c r="O464" s="258">
        <f t="shared" ca="1" si="59"/>
        <v>2.3660639082336412</v>
      </c>
      <c r="P464" s="258">
        <f t="shared" ca="1" si="60"/>
        <v>0.5485793214772634</v>
      </c>
      <c r="Q464" s="258">
        <f t="shared" si="61"/>
        <v>0.13438817390857352</v>
      </c>
      <c r="R464" s="258">
        <f t="shared" ca="1" si="62"/>
        <v>0.6829674953858369</v>
      </c>
    </row>
    <row r="465" spans="3:18" ht="14" x14ac:dyDescent="0.25">
      <c r="C465" s="255" t="s">
        <v>6397</v>
      </c>
      <c r="D465" s="132">
        <v>0.97926449489756906</v>
      </c>
      <c r="E465" s="132">
        <v>2.0735505102430891E-2</v>
      </c>
      <c r="F465" s="132">
        <v>64.236550000000008</v>
      </c>
      <c r="G465" s="132">
        <v>4.3348147108092805</v>
      </c>
      <c r="H465" s="132">
        <v>68.571364710809291</v>
      </c>
      <c r="I465" s="401">
        <v>6.3216106739172995E-2</v>
      </c>
      <c r="J465" s="258">
        <f t="shared" ca="1" si="54"/>
        <v>3.6428639210189573</v>
      </c>
      <c r="K465" s="258">
        <f t="shared" si="55"/>
        <v>0.16514088031657601</v>
      </c>
      <c r="L465" s="258">
        <f t="shared" ca="1" si="56"/>
        <v>3.8080048013355334</v>
      </c>
      <c r="M465" s="258">
        <f t="shared" ca="1" si="57"/>
        <v>2.2229304034174819</v>
      </c>
      <c r="N465" s="258">
        <f t="shared" si="58"/>
        <v>0.1650546206153499</v>
      </c>
      <c r="O465" s="258">
        <f t="shared" ca="1" si="59"/>
        <v>2.3879850240328317</v>
      </c>
      <c r="P465" s="258">
        <f t="shared" ca="1" si="60"/>
        <v>0.54642958815284359</v>
      </c>
      <c r="Q465" s="258">
        <f t="shared" si="61"/>
        <v>0.1650546206153499</v>
      </c>
      <c r="R465" s="258">
        <f t="shared" ca="1" si="62"/>
        <v>0.71148420876819352</v>
      </c>
    </row>
    <row r="466" spans="3:18" ht="14" x14ac:dyDescent="0.25">
      <c r="C466" s="255" t="s">
        <v>6398</v>
      </c>
      <c r="D466" s="132">
        <v>0.97521513358085288</v>
      </c>
      <c r="E466" s="132">
        <v>2.4784866419147109E-2</v>
      </c>
      <c r="F466" s="132">
        <v>54.235650000000007</v>
      </c>
      <c r="G466" s="132">
        <v>4.3928332723410684</v>
      </c>
      <c r="H466" s="132">
        <v>58.628483272341072</v>
      </c>
      <c r="I466" s="401">
        <v>7.4926606099214199E-2</v>
      </c>
      <c r="J466" s="258">
        <f t="shared" ca="1" si="54"/>
        <v>3.627800296920773</v>
      </c>
      <c r="K466" s="258">
        <f t="shared" si="55"/>
        <v>0.19739064174071463</v>
      </c>
      <c r="L466" s="258">
        <f t="shared" ca="1" si="56"/>
        <v>3.8251909386614877</v>
      </c>
      <c r="M466" s="258">
        <f t="shared" ca="1" si="57"/>
        <v>2.213738353228536</v>
      </c>
      <c r="N466" s="258">
        <f t="shared" si="58"/>
        <v>0.19728753669641097</v>
      </c>
      <c r="O466" s="258">
        <f t="shared" ca="1" si="59"/>
        <v>2.411025889924947</v>
      </c>
      <c r="P466" s="258">
        <f t="shared" ca="1" si="60"/>
        <v>0.5441700445381159</v>
      </c>
      <c r="Q466" s="258">
        <f t="shared" si="61"/>
        <v>0.19728753669641097</v>
      </c>
      <c r="R466" s="258">
        <f t="shared" ca="1" si="62"/>
        <v>0.74145758123452687</v>
      </c>
    </row>
    <row r="467" spans="3:18" ht="14" x14ac:dyDescent="0.25">
      <c r="C467" s="255" t="s">
        <v>6399</v>
      </c>
      <c r="D467" s="132">
        <v>0.98311875921802716</v>
      </c>
      <c r="E467" s="132">
        <v>1.6881240781972884E-2</v>
      </c>
      <c r="F467" s="132">
        <v>75.006749999999997</v>
      </c>
      <c r="G467" s="132">
        <v>4.1046152061169066</v>
      </c>
      <c r="H467" s="132">
        <v>79.111365206116901</v>
      </c>
      <c r="I467" s="401">
        <v>5.1884014331224526E-2</v>
      </c>
      <c r="J467" s="258">
        <f t="shared" ca="1" si="54"/>
        <v>3.6572017842910611</v>
      </c>
      <c r="K467" s="258">
        <f t="shared" si="55"/>
        <v>0.13444490258615716</v>
      </c>
      <c r="L467" s="258">
        <f t="shared" ca="1" si="56"/>
        <v>3.7916466868772183</v>
      </c>
      <c r="M467" s="258">
        <f t="shared" ca="1" si="57"/>
        <v>2.2316795834249215</v>
      </c>
      <c r="N467" s="258">
        <f t="shared" si="58"/>
        <v>0.13437467662450417</v>
      </c>
      <c r="O467" s="258">
        <f t="shared" ca="1" si="59"/>
        <v>2.3660542600494257</v>
      </c>
      <c r="P467" s="258">
        <f t="shared" ca="1" si="60"/>
        <v>0.54858026764365919</v>
      </c>
      <c r="Q467" s="258">
        <f t="shared" si="61"/>
        <v>0.13437467662450417</v>
      </c>
      <c r="R467" s="258">
        <f t="shared" ca="1" si="62"/>
        <v>0.68295494426816339</v>
      </c>
    </row>
    <row r="468" spans="3:18" ht="14" x14ac:dyDescent="0.25">
      <c r="C468" s="255" t="s">
        <v>6400</v>
      </c>
      <c r="D468" s="132">
        <v>0.97927465004614611</v>
      </c>
      <c r="E468" s="132">
        <v>2.0725349953853885E-2</v>
      </c>
      <c r="F468" s="132">
        <v>52.697050000000004</v>
      </c>
      <c r="G468" s="132">
        <v>3.5543270308092811</v>
      </c>
      <c r="H468" s="132">
        <v>56.251377030809287</v>
      </c>
      <c r="I468" s="401">
        <v>6.3186489263410389E-2</v>
      </c>
      <c r="J468" s="258">
        <f t="shared" ca="1" si="54"/>
        <v>3.6429016981716638</v>
      </c>
      <c r="K468" s="258">
        <f t="shared" si="55"/>
        <v>0.16506000308848495</v>
      </c>
      <c r="L468" s="258">
        <f t="shared" ca="1" si="56"/>
        <v>3.8079617012601488</v>
      </c>
      <c r="M468" s="258">
        <f t="shared" ca="1" si="57"/>
        <v>2.2229534556047517</v>
      </c>
      <c r="N468" s="258">
        <f t="shared" si="58"/>
        <v>0.16497378563267692</v>
      </c>
      <c r="O468" s="258">
        <f t="shared" ca="1" si="59"/>
        <v>2.3879272412374286</v>
      </c>
      <c r="P468" s="258">
        <f t="shared" ca="1" si="60"/>
        <v>0.54643525472574961</v>
      </c>
      <c r="Q468" s="258">
        <f t="shared" si="61"/>
        <v>0.16497378563267692</v>
      </c>
      <c r="R468" s="258">
        <f t="shared" ca="1" si="62"/>
        <v>0.71140904035842656</v>
      </c>
    </row>
    <row r="469" spans="3:18" ht="14" x14ac:dyDescent="0.25">
      <c r="C469" s="255" t="s">
        <v>6401</v>
      </c>
      <c r="D469" s="132">
        <v>0.97522594524763373</v>
      </c>
      <c r="E469" s="132">
        <v>2.4774054752366294E-2</v>
      </c>
      <c r="F469" s="132">
        <v>44.619400000000006</v>
      </c>
      <c r="G469" s="132">
        <v>3.6123455923410681</v>
      </c>
      <c r="H469" s="132">
        <v>48.231745592341071</v>
      </c>
      <c r="I469" s="401">
        <v>7.4895601392347036E-2</v>
      </c>
      <c r="J469" s="258">
        <f t="shared" ca="1" si="54"/>
        <v>3.6278405163211978</v>
      </c>
      <c r="K469" s="258">
        <f t="shared" si="55"/>
        <v>0.19730453589660554</v>
      </c>
      <c r="L469" s="258">
        <f t="shared" ca="1" si="56"/>
        <v>3.8251450522178034</v>
      </c>
      <c r="M469" s="258">
        <f t="shared" ca="1" si="57"/>
        <v>2.2137628957121285</v>
      </c>
      <c r="N469" s="258">
        <f t="shared" si="58"/>
        <v>0.19720147582883571</v>
      </c>
      <c r="O469" s="258">
        <f t="shared" ca="1" si="59"/>
        <v>2.4109643715409641</v>
      </c>
      <c r="P469" s="258">
        <f t="shared" ca="1" si="60"/>
        <v>0.54417607744817964</v>
      </c>
      <c r="Q469" s="258">
        <f t="shared" si="61"/>
        <v>0.19720147582883571</v>
      </c>
      <c r="R469" s="258">
        <f t="shared" ca="1" si="62"/>
        <v>0.74137755327701538</v>
      </c>
    </row>
    <row r="470" spans="3:18" ht="14" x14ac:dyDescent="0.25">
      <c r="C470" s="255" t="s">
        <v>6402</v>
      </c>
      <c r="D470" s="132">
        <v>0.96928919086814325</v>
      </c>
      <c r="E470" s="132">
        <v>3.0710809131856708E-2</v>
      </c>
      <c r="F470" s="132">
        <v>36.349425000000004</v>
      </c>
      <c r="G470" s="132">
        <v>3.6703641538728542</v>
      </c>
      <c r="H470" s="132">
        <v>40.019789153872857</v>
      </c>
      <c r="I470" s="401">
        <v>9.1713730418733611E-2</v>
      </c>
      <c r="J470" s="258">
        <f t="shared" ca="1" si="54"/>
        <v>3.6057557900294932</v>
      </c>
      <c r="K470" s="258">
        <f t="shared" si="55"/>
        <v>0.2445857976555679</v>
      </c>
      <c r="L470" s="258">
        <f t="shared" ca="1" si="56"/>
        <v>3.8503415876850613</v>
      </c>
      <c r="M470" s="258">
        <f t="shared" ca="1" si="57"/>
        <v>2.2002864632706851</v>
      </c>
      <c r="N470" s="258">
        <f t="shared" si="58"/>
        <v>0.24445804068957941</v>
      </c>
      <c r="O470" s="258">
        <f t="shared" ca="1" si="59"/>
        <v>2.4447445039602647</v>
      </c>
      <c r="P470" s="258">
        <f t="shared" ca="1" si="60"/>
        <v>0.54086336850442396</v>
      </c>
      <c r="Q470" s="258">
        <f t="shared" si="61"/>
        <v>0.24445804068957941</v>
      </c>
      <c r="R470" s="258">
        <f t="shared" ca="1" si="62"/>
        <v>0.78532140919400339</v>
      </c>
    </row>
    <row r="471" spans="3:18" ht="14" x14ac:dyDescent="0.25">
      <c r="C471" s="255" t="s">
        <v>6403</v>
      </c>
      <c r="D471" s="132">
        <v>0.98312147225211688</v>
      </c>
      <c r="E471" s="132">
        <v>1.6878527747883162E-2</v>
      </c>
      <c r="F471" s="132">
        <v>57.697500000000005</v>
      </c>
      <c r="G471" s="132">
        <v>3.1568801661169057</v>
      </c>
      <c r="H471" s="132">
        <v>60.854380166116911</v>
      </c>
      <c r="I471" s="401">
        <v>5.1875972731945171E-2</v>
      </c>
      <c r="J471" s="258">
        <f t="shared" ca="1" si="54"/>
        <v>3.657211876777875</v>
      </c>
      <c r="K471" s="258">
        <f t="shared" si="55"/>
        <v>0.13442329554858115</v>
      </c>
      <c r="L471" s="258">
        <f t="shared" ca="1" si="56"/>
        <v>3.7916351723264561</v>
      </c>
      <c r="M471" s="258">
        <f t="shared" ca="1" si="57"/>
        <v>2.2316857420123055</v>
      </c>
      <c r="N471" s="258">
        <f t="shared" si="58"/>
        <v>0.13435308087314998</v>
      </c>
      <c r="O471" s="258">
        <f t="shared" ca="1" si="59"/>
        <v>2.3660388228854554</v>
      </c>
      <c r="P471" s="258">
        <f t="shared" ca="1" si="60"/>
        <v>0.54858178151668124</v>
      </c>
      <c r="Q471" s="258">
        <f t="shared" si="61"/>
        <v>0.13435308087314998</v>
      </c>
      <c r="R471" s="258">
        <f t="shared" ca="1" si="62"/>
        <v>0.68293486238983125</v>
      </c>
    </row>
    <row r="472" spans="3:18" ht="14" x14ac:dyDescent="0.25">
      <c r="C472" s="255" t="s">
        <v>6404</v>
      </c>
      <c r="D472" s="132">
        <v>0.97929050009146079</v>
      </c>
      <c r="E472" s="132">
        <v>2.0709499908539167E-2</v>
      </c>
      <c r="F472" s="132">
        <v>41.157550000000001</v>
      </c>
      <c r="G472" s="132">
        <v>2.7738393508092813</v>
      </c>
      <c r="H472" s="132">
        <v>43.931389350809283</v>
      </c>
      <c r="I472" s="401">
        <v>6.3140260114677729E-2</v>
      </c>
      <c r="J472" s="258">
        <f t="shared" ca="1" si="54"/>
        <v>3.6429606603402345</v>
      </c>
      <c r="K472" s="258">
        <f t="shared" si="55"/>
        <v>0.16493377079159127</v>
      </c>
      <c r="L472" s="258">
        <f t="shared" ca="1" si="56"/>
        <v>3.8078944311318259</v>
      </c>
      <c r="M472" s="258">
        <f t="shared" ca="1" si="57"/>
        <v>2.2229894352076158</v>
      </c>
      <c r="N472" s="258">
        <f t="shared" si="58"/>
        <v>0.16484761927197178</v>
      </c>
      <c r="O472" s="258">
        <f t="shared" ca="1" si="59"/>
        <v>2.3878370544795877</v>
      </c>
      <c r="P472" s="258">
        <f t="shared" ca="1" si="60"/>
        <v>0.54644409905103519</v>
      </c>
      <c r="Q472" s="258">
        <f t="shared" si="61"/>
        <v>0.16484761927197178</v>
      </c>
      <c r="R472" s="258">
        <f t="shared" ca="1" si="62"/>
        <v>0.71129171832300697</v>
      </c>
    </row>
    <row r="473" spans="3:18" ht="14" x14ac:dyDescent="0.25">
      <c r="C473" s="255" t="s">
        <v>6405</v>
      </c>
      <c r="D473" s="132">
        <v>0.97524269786416407</v>
      </c>
      <c r="E473" s="132">
        <v>2.4757302135835924E-2</v>
      </c>
      <c r="F473" s="132">
        <v>35.003150000000005</v>
      </c>
      <c r="G473" s="132">
        <v>2.8318579123410683</v>
      </c>
      <c r="H473" s="132">
        <v>37.835007912341077</v>
      </c>
      <c r="I473" s="401">
        <v>7.4847557027135414E-2</v>
      </c>
      <c r="J473" s="258">
        <f t="shared" ca="1" si="54"/>
        <v>3.6279028360546905</v>
      </c>
      <c r="K473" s="258">
        <f t="shared" si="55"/>
        <v>0.19717111537813903</v>
      </c>
      <c r="L473" s="258">
        <f t="shared" ca="1" si="56"/>
        <v>3.8250739514328296</v>
      </c>
      <c r="M473" s="258">
        <f t="shared" ca="1" si="57"/>
        <v>2.2138009241516525</v>
      </c>
      <c r="N473" s="258">
        <f t="shared" si="58"/>
        <v>0.19706812500125395</v>
      </c>
      <c r="O473" s="258">
        <f t="shared" ca="1" si="59"/>
        <v>2.4108690491529066</v>
      </c>
      <c r="P473" s="258">
        <f t="shared" ca="1" si="60"/>
        <v>0.54418542540820358</v>
      </c>
      <c r="Q473" s="258">
        <f t="shared" si="61"/>
        <v>0.19706812500125395</v>
      </c>
      <c r="R473" s="258">
        <f t="shared" ca="1" si="62"/>
        <v>0.74125355040945751</v>
      </c>
    </row>
    <row r="474" spans="3:18" ht="14" x14ac:dyDescent="0.25">
      <c r="C474" s="255" t="s">
        <v>6406</v>
      </c>
      <c r="D474" s="132">
        <v>0.96932716396622554</v>
      </c>
      <c r="E474" s="132">
        <v>3.0672836033774492E-2</v>
      </c>
      <c r="F474" s="132">
        <v>28.656425000000002</v>
      </c>
      <c r="G474" s="132">
        <v>2.8898764738728548</v>
      </c>
      <c r="H474" s="132">
        <v>31.546301473872859</v>
      </c>
      <c r="I474" s="401">
        <v>9.1607457573633339E-2</v>
      </c>
      <c r="J474" s="258">
        <f t="shared" ca="1" si="54"/>
        <v>3.605897049954359</v>
      </c>
      <c r="K474" s="258">
        <f t="shared" si="55"/>
        <v>0.24428337382674545</v>
      </c>
      <c r="L474" s="258">
        <f t="shared" ca="1" si="56"/>
        <v>3.8501804237811044</v>
      </c>
      <c r="M474" s="258">
        <f t="shared" ca="1" si="57"/>
        <v>2.2003726622033319</v>
      </c>
      <c r="N474" s="258">
        <f t="shared" si="58"/>
        <v>0.24415577482884496</v>
      </c>
      <c r="O474" s="258">
        <f t="shared" ca="1" si="59"/>
        <v>2.4445284370321767</v>
      </c>
      <c r="P474" s="258">
        <f t="shared" ca="1" si="60"/>
        <v>0.54088455749315389</v>
      </c>
      <c r="Q474" s="258">
        <f t="shared" si="61"/>
        <v>0.24415577482884496</v>
      </c>
      <c r="R474" s="258">
        <f t="shared" ca="1" si="62"/>
        <v>0.78504033232199888</v>
      </c>
    </row>
    <row r="475" spans="3:18" ht="14" x14ac:dyDescent="0.25">
      <c r="C475" s="255" t="s">
        <v>6407</v>
      </c>
      <c r="D475" s="132">
        <v>0.96797532715839496</v>
      </c>
      <c r="E475" s="132">
        <v>3.2024672841605005E-2</v>
      </c>
      <c r="F475" s="132">
        <v>22.117375000000003</v>
      </c>
      <c r="G475" s="132">
        <v>2.3319955419777347</v>
      </c>
      <c r="H475" s="132">
        <v>24.449370541977736</v>
      </c>
      <c r="I475" s="401">
        <v>9.5380596321442024E-2</v>
      </c>
      <c r="J475" s="258">
        <f t="shared" ca="1" si="54"/>
        <v>3.6008682170292294</v>
      </c>
      <c r="K475" s="258">
        <f t="shared" si="55"/>
        <v>0.2550496184581969</v>
      </c>
      <c r="L475" s="258">
        <f t="shared" ca="1" si="56"/>
        <v>3.8559178354874262</v>
      </c>
      <c r="M475" s="258">
        <f t="shared" ca="1" si="57"/>
        <v>2.1973039926495566</v>
      </c>
      <c r="N475" s="258">
        <f t="shared" si="58"/>
        <v>0.25491639581917586</v>
      </c>
      <c r="O475" s="258">
        <f t="shared" ca="1" si="59"/>
        <v>2.4522203884687324</v>
      </c>
      <c r="P475" s="258">
        <f t="shared" ca="1" si="60"/>
        <v>0.54013023255438442</v>
      </c>
      <c r="Q475" s="258">
        <f t="shared" si="61"/>
        <v>0.25491639581917586</v>
      </c>
      <c r="R475" s="258">
        <f t="shared" ca="1" si="62"/>
        <v>0.79504662837356022</v>
      </c>
    </row>
    <row r="476" spans="3:18" ht="14" x14ac:dyDescent="0.25">
      <c r="C476" s="255" t="s">
        <v>6408</v>
      </c>
      <c r="D476" s="132">
        <v>0.96156182732916617</v>
      </c>
      <c r="E476" s="132">
        <v>3.8438172670833881E-2</v>
      </c>
      <c r="F476" s="132">
        <v>18.463200000000001</v>
      </c>
      <c r="G476" s="132">
        <v>2.3521564983147787</v>
      </c>
      <c r="H476" s="132">
        <v>20.815356498314777</v>
      </c>
      <c r="I476" s="401">
        <v>0.11300101915166384</v>
      </c>
      <c r="J476" s="258">
        <f t="shared" ca="1" si="54"/>
        <v>3.5770099976644985</v>
      </c>
      <c r="K476" s="258">
        <f t="shared" si="55"/>
        <v>0.30612775725814834</v>
      </c>
      <c r="L476" s="258">
        <f t="shared" ca="1" si="56"/>
        <v>3.8831377549226467</v>
      </c>
      <c r="M476" s="258">
        <f t="shared" ca="1" si="57"/>
        <v>2.1827453480372072</v>
      </c>
      <c r="N476" s="258">
        <f t="shared" si="58"/>
        <v>0.30596785445983771</v>
      </c>
      <c r="O476" s="258">
        <f t="shared" ca="1" si="59"/>
        <v>2.4887132024970451</v>
      </c>
      <c r="P476" s="258">
        <f t="shared" ca="1" si="60"/>
        <v>0.53655149964967475</v>
      </c>
      <c r="Q476" s="258">
        <f t="shared" si="61"/>
        <v>0.30596785445983771</v>
      </c>
      <c r="R476" s="258">
        <f t="shared" ca="1" si="62"/>
        <v>0.8425193541095124</v>
      </c>
    </row>
    <row r="477" spans="3:18" ht="14" x14ac:dyDescent="0.25">
      <c r="C477" s="255" t="s">
        <v>6409</v>
      </c>
      <c r="D477" s="132">
        <v>0.95272450591796365</v>
      </c>
      <c r="E477" s="132">
        <v>4.7275494082036316E-2</v>
      </c>
      <c r="F477" s="132">
        <v>15.001350000000002</v>
      </c>
      <c r="G477" s="132">
        <v>2.3723174546518235</v>
      </c>
      <c r="H477" s="132">
        <v>17.373667454651827</v>
      </c>
      <c r="I477" s="401">
        <v>0.13654672859624878</v>
      </c>
      <c r="J477" s="258">
        <f t="shared" ca="1" si="54"/>
        <v>3.5441351620148249</v>
      </c>
      <c r="K477" s="258">
        <f t="shared" si="55"/>
        <v>0.37650959894839031</v>
      </c>
      <c r="L477" s="258">
        <f t="shared" ca="1" si="56"/>
        <v>3.9206447609632153</v>
      </c>
      <c r="M477" s="258">
        <f t="shared" ca="1" si="57"/>
        <v>2.1626846284337775</v>
      </c>
      <c r="N477" s="258">
        <f t="shared" si="58"/>
        <v>0.3763129328930091</v>
      </c>
      <c r="O477" s="258">
        <f t="shared" ca="1" si="59"/>
        <v>2.5389975613267866</v>
      </c>
      <c r="P477" s="258">
        <f t="shared" ca="1" si="60"/>
        <v>0.53162027430222381</v>
      </c>
      <c r="Q477" s="258">
        <f t="shared" si="61"/>
        <v>0.3763129328930091</v>
      </c>
      <c r="R477" s="258">
        <f t="shared" ca="1" si="62"/>
        <v>0.90793320719523285</v>
      </c>
    </row>
    <row r="478" spans="3:18" ht="14" x14ac:dyDescent="0.25">
      <c r="C478" s="255" t="s">
        <v>6410</v>
      </c>
      <c r="D478" s="132">
        <v>0.97923565044971894</v>
      </c>
      <c r="E478" s="132">
        <v>2.0764349550281065E-2</v>
      </c>
      <c r="F478" s="132">
        <v>35.964775000000003</v>
      </c>
      <c r="G478" s="132">
        <v>2.4304247716092813</v>
      </c>
      <c r="H478" s="132">
        <v>38.395199771609285</v>
      </c>
      <c r="I478" s="401">
        <v>6.3300224665230678E-2</v>
      </c>
      <c r="J478" s="258">
        <f t="shared" ca="1" si="54"/>
        <v>3.6427566196729546</v>
      </c>
      <c r="K478" s="258">
        <f t="shared" si="55"/>
        <v>0.16537060211436644</v>
      </c>
      <c r="L478" s="258">
        <f t="shared" ca="1" si="56"/>
        <v>3.8081272217873212</v>
      </c>
      <c r="M478" s="258">
        <f t="shared" ca="1" si="57"/>
        <v>2.2228649265208622</v>
      </c>
      <c r="N478" s="258">
        <f t="shared" si="58"/>
        <v>0.16528422242023727</v>
      </c>
      <c r="O478" s="258">
        <f t="shared" ca="1" si="59"/>
        <v>2.3881491489410993</v>
      </c>
      <c r="P478" s="258">
        <f t="shared" ca="1" si="60"/>
        <v>0.54641349295094321</v>
      </c>
      <c r="Q478" s="258">
        <f t="shared" si="61"/>
        <v>0.16528422242023727</v>
      </c>
      <c r="R478" s="258">
        <f t="shared" ca="1" si="62"/>
        <v>0.71169771537118054</v>
      </c>
    </row>
    <row r="479" spans="3:18" ht="14" x14ac:dyDescent="0.25">
      <c r="C479" s="255" t="s">
        <v>6411</v>
      </c>
      <c r="D479" s="132">
        <v>0.97525338633425618</v>
      </c>
      <c r="E479" s="132">
        <v>2.4746613665743874E-2</v>
      </c>
      <c r="F479" s="132">
        <v>30.772000000000002</v>
      </c>
      <c r="G479" s="132">
        <v>2.4884433331410678</v>
      </c>
      <c r="H479" s="132">
        <v>33.260443333141069</v>
      </c>
      <c r="I479" s="401">
        <v>7.4816902114517386E-2</v>
      </c>
      <c r="J479" s="258">
        <f t="shared" ca="1" si="54"/>
        <v>3.6279425971634334</v>
      </c>
      <c r="K479" s="258">
        <f t="shared" si="55"/>
        <v>0.19708599069217073</v>
      </c>
      <c r="L479" s="258">
        <f t="shared" ca="1" si="56"/>
        <v>3.8250285878556043</v>
      </c>
      <c r="M479" s="258">
        <f t="shared" ca="1" si="57"/>
        <v>2.2138251869787617</v>
      </c>
      <c r="N479" s="258">
        <f t="shared" si="58"/>
        <v>0.19698304477932124</v>
      </c>
      <c r="O479" s="258">
        <f t="shared" ca="1" si="59"/>
        <v>2.4108082317580828</v>
      </c>
      <c r="P479" s="258">
        <f t="shared" ca="1" si="60"/>
        <v>0.54419138957451496</v>
      </c>
      <c r="Q479" s="258">
        <f t="shared" si="61"/>
        <v>0.19698304477932124</v>
      </c>
      <c r="R479" s="258">
        <f t="shared" ca="1" si="62"/>
        <v>0.74117443435383623</v>
      </c>
    </row>
    <row r="480" spans="3:18" ht="14" x14ac:dyDescent="0.25">
      <c r="C480" s="255" t="s">
        <v>6412</v>
      </c>
      <c r="D480" s="132">
        <v>0.96504286380174142</v>
      </c>
      <c r="E480" s="132">
        <v>3.4957136198258611E-2</v>
      </c>
      <c r="F480" s="132">
        <v>22.309700000000003</v>
      </c>
      <c r="G480" s="132">
        <v>2.5754711754387474</v>
      </c>
      <c r="H480" s="132">
        <v>24.885171175438749</v>
      </c>
      <c r="I480" s="401">
        <v>0.10349421176498455</v>
      </c>
      <c r="J480" s="258">
        <f t="shared" ca="1" si="54"/>
        <v>3.5899594533424781</v>
      </c>
      <c r="K480" s="258">
        <f t="shared" si="55"/>
        <v>0.27840422582472329</v>
      </c>
      <c r="L480" s="258">
        <f t="shared" ca="1" si="56"/>
        <v>3.8683636791672016</v>
      </c>
      <c r="M480" s="258">
        <f t="shared" ca="1" si="57"/>
        <v>2.1906473008299532</v>
      </c>
      <c r="N480" s="258">
        <f t="shared" si="58"/>
        <v>0.27825880413813853</v>
      </c>
      <c r="O480" s="258">
        <f t="shared" ca="1" si="59"/>
        <v>2.4689061049680916</v>
      </c>
      <c r="P480" s="258">
        <f t="shared" ca="1" si="60"/>
        <v>0.53849391800137181</v>
      </c>
      <c r="Q480" s="258">
        <f t="shared" si="61"/>
        <v>0.27825880413813853</v>
      </c>
      <c r="R480" s="258">
        <f t="shared" ca="1" si="62"/>
        <v>0.81675272213951033</v>
      </c>
    </row>
    <row r="481" spans="3:18" ht="14" x14ac:dyDescent="0.25">
      <c r="C481" s="255" t="s">
        <v>6413</v>
      </c>
      <c r="D481" s="132">
        <v>0.97931870209002814</v>
      </c>
      <c r="E481" s="132">
        <v>2.0681297909971828E-2</v>
      </c>
      <c r="F481" s="132">
        <v>29.618050000000004</v>
      </c>
      <c r="G481" s="132">
        <v>1.9933516708092818</v>
      </c>
      <c r="H481" s="132">
        <v>31.611401670809286</v>
      </c>
      <c r="I481" s="401">
        <v>6.305799697107356E-2</v>
      </c>
      <c r="J481" s="258">
        <f t="shared" ca="1" si="54"/>
        <v>3.6430655717749048</v>
      </c>
      <c r="K481" s="258">
        <f t="shared" si="55"/>
        <v>0.16470916556268123</v>
      </c>
      <c r="L481" s="258">
        <f t="shared" ca="1" si="56"/>
        <v>3.8077747373375859</v>
      </c>
      <c r="M481" s="258">
        <f t="shared" ca="1" si="57"/>
        <v>2.223053453744364</v>
      </c>
      <c r="N481" s="258">
        <f t="shared" si="58"/>
        <v>0.16462313136337575</v>
      </c>
      <c r="O481" s="258">
        <f t="shared" ca="1" si="59"/>
        <v>2.3876765851077399</v>
      </c>
      <c r="P481" s="258">
        <f t="shared" ca="1" si="60"/>
        <v>0.5464598357662358</v>
      </c>
      <c r="Q481" s="258">
        <f t="shared" si="61"/>
        <v>0.16462313136337575</v>
      </c>
      <c r="R481" s="258">
        <f t="shared" ca="1" si="62"/>
        <v>0.7110829671296115</v>
      </c>
    </row>
    <row r="482" spans="3:18" ht="14" x14ac:dyDescent="0.25">
      <c r="C482" s="255" t="s">
        <v>6414</v>
      </c>
      <c r="D482" s="132">
        <v>0.97527214325166256</v>
      </c>
      <c r="E482" s="132">
        <v>2.4727856748337423E-2</v>
      </c>
      <c r="F482" s="132">
        <v>25.386900000000001</v>
      </c>
      <c r="G482" s="132">
        <v>2.0513702323410681</v>
      </c>
      <c r="H482" s="132">
        <v>27.438270232341068</v>
      </c>
      <c r="I482" s="401">
        <v>7.4763103321402138E-2</v>
      </c>
      <c r="J482" s="258">
        <f t="shared" ca="1" si="54"/>
        <v>3.6280123728961851</v>
      </c>
      <c r="K482" s="258">
        <f t="shared" si="55"/>
        <v>0.19693660760083895</v>
      </c>
      <c r="L482" s="258">
        <f t="shared" ca="1" si="56"/>
        <v>3.824948980497024</v>
      </c>
      <c r="M482" s="258">
        <f t="shared" ca="1" si="57"/>
        <v>2.2138677651812739</v>
      </c>
      <c r="N482" s="258">
        <f t="shared" si="58"/>
        <v>0.19683373971676588</v>
      </c>
      <c r="O482" s="258">
        <f t="shared" ca="1" si="59"/>
        <v>2.4107015048980398</v>
      </c>
      <c r="P482" s="258">
        <f t="shared" ca="1" si="60"/>
        <v>0.54420185593442771</v>
      </c>
      <c r="Q482" s="258">
        <f t="shared" si="61"/>
        <v>0.19683373971676588</v>
      </c>
      <c r="R482" s="258">
        <f t="shared" ca="1" si="62"/>
        <v>0.74103559565119359</v>
      </c>
    </row>
    <row r="483" spans="3:18" ht="14" x14ac:dyDescent="0.25">
      <c r="C483" s="255" t="s">
        <v>6415</v>
      </c>
      <c r="D483" s="132">
        <v>0.96939301428070301</v>
      </c>
      <c r="E483" s="132">
        <v>3.0606985719297004E-2</v>
      </c>
      <c r="F483" s="132">
        <v>20.963425000000001</v>
      </c>
      <c r="G483" s="132">
        <v>2.1093887938728542</v>
      </c>
      <c r="H483" s="132">
        <v>23.072813793872854</v>
      </c>
      <c r="I483" s="401">
        <v>9.1423127353154346E-2</v>
      </c>
      <c r="J483" s="258">
        <f t="shared" ref="J483:J516" ca="1" si="63">$D483*$J$32</f>
        <v>3.6061420131242152</v>
      </c>
      <c r="K483" s="258">
        <f t="shared" ref="K483:K516" si="64">E483*$K$32</f>
        <v>0.24375893138619642</v>
      </c>
      <c r="L483" s="258">
        <f t="shared" ref="L483:L516" ca="1" si="65">SUM(J483:K483)</f>
        <v>3.8499009445104115</v>
      </c>
      <c r="M483" s="258">
        <f t="shared" ref="M483:M516" ca="1" si="66">$D483*$M$32</f>
        <v>2.2005221424171957</v>
      </c>
      <c r="N483" s="258">
        <f t="shared" ref="N483:N516" si="67">$E483*$N$32</f>
        <v>0.24363160632560416</v>
      </c>
      <c r="O483" s="258">
        <f t="shared" ref="O483:O516" ca="1" si="68">SUM(M483:N483)</f>
        <v>2.4441537487427998</v>
      </c>
      <c r="P483" s="258">
        <f t="shared" ref="P483:P516" ca="1" si="69">$D483*$P$32</f>
        <v>0.54092130196863231</v>
      </c>
      <c r="Q483" s="258">
        <f t="shared" ref="Q483:Q516" si="70">$E483*$Q$32</f>
        <v>0.24363160632560416</v>
      </c>
      <c r="R483" s="258">
        <f t="shared" ref="R483:R516" ca="1" si="71">SUM(P483:Q483)</f>
        <v>0.78455290829423641</v>
      </c>
    </row>
    <row r="484" spans="3:18" ht="14" x14ac:dyDescent="0.25">
      <c r="C484" s="255" t="s">
        <v>6416</v>
      </c>
      <c r="D484" s="132">
        <v>0.96493250087379623</v>
      </c>
      <c r="E484" s="132">
        <v>3.5067499126203744E-2</v>
      </c>
      <c r="F484" s="132">
        <v>18.463200000000001</v>
      </c>
      <c r="G484" s="132">
        <v>2.1383980746387476</v>
      </c>
      <c r="H484" s="132">
        <v>20.601598074638748</v>
      </c>
      <c r="I484" s="401">
        <v>0.10379767952424947</v>
      </c>
      <c r="J484" s="258">
        <f t="shared" ca="1" si="63"/>
        <v>3.5895489032505221</v>
      </c>
      <c r="K484" s="258">
        <f t="shared" si="64"/>
        <v>0.27928317384094681</v>
      </c>
      <c r="L484" s="258">
        <f t="shared" ca="1" si="65"/>
        <v>3.868832077091469</v>
      </c>
      <c r="M484" s="258">
        <f t="shared" ca="1" si="66"/>
        <v>2.1903967769835173</v>
      </c>
      <c r="N484" s="258">
        <f t="shared" si="67"/>
        <v>0.27913729304458179</v>
      </c>
      <c r="O484" s="258">
        <f t="shared" ca="1" si="68"/>
        <v>2.4695340700280992</v>
      </c>
      <c r="P484" s="258">
        <f t="shared" ca="1" si="69"/>
        <v>0.5384323354875783</v>
      </c>
      <c r="Q484" s="258">
        <f t="shared" si="70"/>
        <v>0.27913729304458179</v>
      </c>
      <c r="R484" s="258">
        <f t="shared" ca="1" si="71"/>
        <v>0.81756962853216009</v>
      </c>
    </row>
    <row r="485" spans="3:18" ht="14" x14ac:dyDescent="0.25">
      <c r="C485" s="255" t="s">
        <v>6417</v>
      </c>
      <c r="D485" s="132">
        <v>0.96806334550211082</v>
      </c>
      <c r="E485" s="132">
        <v>3.193665449788919E-2</v>
      </c>
      <c r="F485" s="132">
        <v>16.347625000000001</v>
      </c>
      <c r="G485" s="132">
        <v>1.7187552219777349</v>
      </c>
      <c r="H485" s="132">
        <v>18.066380221977735</v>
      </c>
      <c r="I485" s="401">
        <v>9.5135561239150207E-2</v>
      </c>
      <c r="J485" s="258">
        <f t="shared" ca="1" si="63"/>
        <v>3.6011956452678526</v>
      </c>
      <c r="K485" s="258">
        <f t="shared" si="64"/>
        <v>0.25434862628590915</v>
      </c>
      <c r="L485" s="258">
        <f t="shared" ca="1" si="65"/>
        <v>3.8555442715537618</v>
      </c>
      <c r="M485" s="258">
        <f t="shared" ca="1" si="66"/>
        <v>2.1975037942897915</v>
      </c>
      <c r="N485" s="258">
        <f t="shared" si="67"/>
        <v>0.25421576980319793</v>
      </c>
      <c r="O485" s="258">
        <f t="shared" ca="1" si="68"/>
        <v>2.4517195640929894</v>
      </c>
      <c r="P485" s="258">
        <f t="shared" ca="1" si="69"/>
        <v>0.54017934679017787</v>
      </c>
      <c r="Q485" s="258">
        <f t="shared" si="70"/>
        <v>0.25421576980319793</v>
      </c>
      <c r="R485" s="258">
        <f t="shared" ca="1" si="71"/>
        <v>0.79439511659337581</v>
      </c>
    </row>
    <row r="486" spans="3:18" ht="14" x14ac:dyDescent="0.25">
      <c r="C486" s="255" t="s">
        <v>6418</v>
      </c>
      <c r="D486" s="132">
        <v>0.96157669084490949</v>
      </c>
      <c r="E486" s="132">
        <v>3.8423309155090471E-2</v>
      </c>
      <c r="F486" s="132">
        <v>13.655075000000002</v>
      </c>
      <c r="G486" s="132">
        <v>1.7389161783147788</v>
      </c>
      <c r="H486" s="132">
        <v>15.393991178314781</v>
      </c>
      <c r="I486" s="401">
        <v>0.11296071032990825</v>
      </c>
      <c r="J486" s="258">
        <f t="shared" ca="1" si="63"/>
        <v>3.5770652899430635</v>
      </c>
      <c r="K486" s="258">
        <f t="shared" si="64"/>
        <v>0.30600938184060533</v>
      </c>
      <c r="L486" s="258">
        <f t="shared" ca="1" si="65"/>
        <v>3.8830746717836688</v>
      </c>
      <c r="M486" s="258">
        <f t="shared" ca="1" si="66"/>
        <v>2.1827790882179445</v>
      </c>
      <c r="N486" s="258">
        <f t="shared" si="67"/>
        <v>0.30584954087452015</v>
      </c>
      <c r="O486" s="258">
        <f t="shared" ca="1" si="68"/>
        <v>2.4886286290924646</v>
      </c>
      <c r="P486" s="258">
        <f t="shared" ca="1" si="69"/>
        <v>0.53655979349145955</v>
      </c>
      <c r="Q486" s="258">
        <f t="shared" si="70"/>
        <v>0.30584954087452015</v>
      </c>
      <c r="R486" s="258">
        <f t="shared" ca="1" si="71"/>
        <v>0.84240933436597976</v>
      </c>
    </row>
    <row r="487" spans="3:18" ht="14" x14ac:dyDescent="0.25">
      <c r="C487" s="255" t="s">
        <v>6419</v>
      </c>
      <c r="D487" s="132">
        <v>0.95285100656534683</v>
      </c>
      <c r="E487" s="132">
        <v>4.7148993434653182E-2</v>
      </c>
      <c r="F487" s="132">
        <v>11.154850000000001</v>
      </c>
      <c r="G487" s="132">
        <v>1.7590771346518232</v>
      </c>
      <c r="H487" s="132">
        <v>12.913927134651825</v>
      </c>
      <c r="I487" s="401">
        <v>0.13621550720475317</v>
      </c>
      <c r="J487" s="258">
        <f t="shared" ca="1" si="63"/>
        <v>3.5446057444230905</v>
      </c>
      <c r="K487" s="258">
        <f t="shared" si="64"/>
        <v>0.37550212755252749</v>
      </c>
      <c r="L487" s="258">
        <f t="shared" ca="1" si="65"/>
        <v>3.9201078719756182</v>
      </c>
      <c r="M487" s="258">
        <f t="shared" ca="1" si="66"/>
        <v>2.1629717849033372</v>
      </c>
      <c r="N487" s="258">
        <f t="shared" si="67"/>
        <v>0.37530598773983931</v>
      </c>
      <c r="O487" s="258">
        <f t="shared" ca="1" si="68"/>
        <v>2.5382777726431764</v>
      </c>
      <c r="P487" s="258">
        <f t="shared" ca="1" si="69"/>
        <v>0.53169086166346358</v>
      </c>
      <c r="Q487" s="258">
        <f t="shared" si="70"/>
        <v>0.37530598773983931</v>
      </c>
      <c r="R487" s="258">
        <f t="shared" ca="1" si="71"/>
        <v>0.90699684940330294</v>
      </c>
    </row>
    <row r="488" spans="3:18" ht="14" x14ac:dyDescent="0.25">
      <c r="C488" s="255" t="s">
        <v>6420</v>
      </c>
      <c r="D488" s="132">
        <v>0.9793372729083285</v>
      </c>
      <c r="E488" s="132">
        <v>2.0662727091671489E-2</v>
      </c>
      <c r="F488" s="132">
        <v>25.002250000000004</v>
      </c>
      <c r="G488" s="132">
        <v>1.6811565988092816</v>
      </c>
      <c r="H488" s="132">
        <v>26.683406598809285</v>
      </c>
      <c r="I488" s="401">
        <v>6.3003821966431423E-2</v>
      </c>
      <c r="J488" s="258">
        <f t="shared" ca="1" si="63"/>
        <v>3.6431346552189821</v>
      </c>
      <c r="K488" s="258">
        <f t="shared" si="64"/>
        <v>0.1645612645944064</v>
      </c>
      <c r="L488" s="258">
        <f t="shared" ca="1" si="65"/>
        <v>3.8076959198133884</v>
      </c>
      <c r="M488" s="258">
        <f t="shared" ca="1" si="66"/>
        <v>2.2230956095019057</v>
      </c>
      <c r="N488" s="258">
        <f t="shared" si="67"/>
        <v>0.16447530764970505</v>
      </c>
      <c r="O488" s="258">
        <f t="shared" ca="1" si="68"/>
        <v>2.3875709171516108</v>
      </c>
      <c r="P488" s="258">
        <f t="shared" ca="1" si="69"/>
        <v>0.54647019828284737</v>
      </c>
      <c r="Q488" s="258">
        <f t="shared" si="70"/>
        <v>0.16447530764970505</v>
      </c>
      <c r="R488" s="258">
        <f t="shared" ca="1" si="71"/>
        <v>0.71094550593255246</v>
      </c>
    </row>
    <row r="489" spans="3:18" ht="14" x14ac:dyDescent="0.25">
      <c r="C489" s="255" t="s">
        <v>6421</v>
      </c>
      <c r="D489" s="132">
        <v>0.97529128370705187</v>
      </c>
      <c r="E489" s="132">
        <v>2.4708716292948098E-2</v>
      </c>
      <c r="F489" s="132">
        <v>21.540400000000002</v>
      </c>
      <c r="G489" s="132">
        <v>1.7391751603410681</v>
      </c>
      <c r="H489" s="132">
        <v>23.279575160341071</v>
      </c>
      <c r="I489" s="401">
        <v>7.470820014378593E-2</v>
      </c>
      <c r="J489" s="258">
        <f t="shared" ca="1" si="63"/>
        <v>3.628083575390233</v>
      </c>
      <c r="K489" s="258">
        <f t="shared" si="64"/>
        <v>0.19678416995164552</v>
      </c>
      <c r="L489" s="258">
        <f t="shared" ca="1" si="65"/>
        <v>3.8248677453418787</v>
      </c>
      <c r="M489" s="258">
        <f t="shared" ca="1" si="66"/>
        <v>2.2139112140150079</v>
      </c>
      <c r="N489" s="258">
        <f t="shared" si="67"/>
        <v>0.19668138169186686</v>
      </c>
      <c r="O489" s="258">
        <f t="shared" ca="1" si="68"/>
        <v>2.4105925957068748</v>
      </c>
      <c r="P489" s="258">
        <f t="shared" ca="1" si="69"/>
        <v>0.54421253630853494</v>
      </c>
      <c r="Q489" s="258">
        <f t="shared" si="70"/>
        <v>0.19668138169186686</v>
      </c>
      <c r="R489" s="258">
        <f t="shared" ca="1" si="71"/>
        <v>0.74089391800040183</v>
      </c>
    </row>
    <row r="490" spans="3:18" ht="14" x14ac:dyDescent="0.25">
      <c r="C490" s="255" t="s">
        <v>6422</v>
      </c>
      <c r="D490" s="132">
        <v>0.96943521983174497</v>
      </c>
      <c r="E490" s="132">
        <v>3.0564780168255E-2</v>
      </c>
      <c r="F490" s="132">
        <v>17.886225000000003</v>
      </c>
      <c r="G490" s="132">
        <v>1.7971937218728546</v>
      </c>
      <c r="H490" s="132">
        <v>19.683418721872858</v>
      </c>
      <c r="I490" s="401">
        <v>9.1304958110541762E-2</v>
      </c>
      <c r="J490" s="258">
        <f t="shared" ca="1" si="63"/>
        <v>3.6062990177740915</v>
      </c>
      <c r="K490" s="258">
        <f t="shared" si="64"/>
        <v>0.24342279962480973</v>
      </c>
      <c r="L490" s="258">
        <f t="shared" ca="1" si="65"/>
        <v>3.8497218173989012</v>
      </c>
      <c r="M490" s="258">
        <f t="shared" ca="1" si="66"/>
        <v>2.2006179490180613</v>
      </c>
      <c r="N490" s="258">
        <f t="shared" si="67"/>
        <v>0.24329565013930979</v>
      </c>
      <c r="O490" s="258">
        <f t="shared" ca="1" si="68"/>
        <v>2.4439135991573711</v>
      </c>
      <c r="P490" s="258">
        <f t="shared" ca="1" si="69"/>
        <v>0.5409448526661137</v>
      </c>
      <c r="Q490" s="258">
        <f t="shared" si="70"/>
        <v>0.24329565013930979</v>
      </c>
      <c r="R490" s="258">
        <f t="shared" ca="1" si="71"/>
        <v>0.78424050280542346</v>
      </c>
    </row>
    <row r="491" spans="3:18" ht="14" x14ac:dyDescent="0.25">
      <c r="C491" s="255" t="s">
        <v>6423</v>
      </c>
      <c r="D491" s="132">
        <v>0.96811881733774297</v>
      </c>
      <c r="E491" s="132">
        <v>3.1881182662257028E-2</v>
      </c>
      <c r="F491" s="132">
        <v>14.039725000000001</v>
      </c>
      <c r="G491" s="132">
        <v>1.4734590939777348</v>
      </c>
      <c r="H491" s="132">
        <v>15.513184093977735</v>
      </c>
      <c r="I491" s="401">
        <v>9.4981087380361595E-2</v>
      </c>
      <c r="J491" s="258">
        <f t="shared" ca="1" si="63"/>
        <v>3.601402000496404</v>
      </c>
      <c r="K491" s="258">
        <f t="shared" si="64"/>
        <v>0.2539068397114409</v>
      </c>
      <c r="L491" s="258">
        <f t="shared" ca="1" si="65"/>
        <v>3.855308840207845</v>
      </c>
      <c r="M491" s="258">
        <f t="shared" ca="1" si="66"/>
        <v>2.1976297153566766</v>
      </c>
      <c r="N491" s="258">
        <f t="shared" si="67"/>
        <v>0.25377421399156597</v>
      </c>
      <c r="O491" s="258">
        <f t="shared" ca="1" si="68"/>
        <v>2.4514039293482428</v>
      </c>
      <c r="P491" s="258">
        <f t="shared" ca="1" si="69"/>
        <v>0.54021030007446058</v>
      </c>
      <c r="Q491" s="258">
        <f t="shared" si="70"/>
        <v>0.25377421399156597</v>
      </c>
      <c r="R491" s="258">
        <f t="shared" ca="1" si="71"/>
        <v>0.79398451406602655</v>
      </c>
    </row>
    <row r="492" spans="3:18" ht="14" x14ac:dyDescent="0.25">
      <c r="C492" s="255" t="s">
        <v>6424</v>
      </c>
      <c r="D492" s="132">
        <v>0.96158604778558499</v>
      </c>
      <c r="E492" s="132">
        <v>3.8413952214415022E-2</v>
      </c>
      <c r="F492" s="132">
        <v>11.731825000000001</v>
      </c>
      <c r="G492" s="132">
        <v>1.4936200503147792</v>
      </c>
      <c r="H492" s="132">
        <v>13.22544505031478</v>
      </c>
      <c r="I492" s="401">
        <v>0.11293533371712351</v>
      </c>
      <c r="J492" s="258">
        <f t="shared" ca="1" si="63"/>
        <v>3.5771000977623761</v>
      </c>
      <c r="K492" s="258">
        <f t="shared" si="64"/>
        <v>0.30593486166795553</v>
      </c>
      <c r="L492" s="258">
        <f t="shared" ca="1" si="65"/>
        <v>3.8830349594303315</v>
      </c>
      <c r="M492" s="258">
        <f t="shared" ca="1" si="66"/>
        <v>2.1828003284732778</v>
      </c>
      <c r="N492" s="258">
        <f t="shared" si="67"/>
        <v>0.30577505962674356</v>
      </c>
      <c r="O492" s="258">
        <f t="shared" ca="1" si="68"/>
        <v>2.4885753881000214</v>
      </c>
      <c r="P492" s="258">
        <f t="shared" ca="1" si="69"/>
        <v>0.53656501466435647</v>
      </c>
      <c r="Q492" s="258">
        <f t="shared" si="70"/>
        <v>0.30577505962674356</v>
      </c>
      <c r="R492" s="258">
        <f t="shared" ca="1" si="71"/>
        <v>0.84234007429110003</v>
      </c>
    </row>
    <row r="493" spans="3:18" ht="14" x14ac:dyDescent="0.25">
      <c r="C493" s="255" t="s">
        <v>6425</v>
      </c>
      <c r="D493" s="132">
        <v>0.95292995999186936</v>
      </c>
      <c r="E493" s="132">
        <v>4.7070040008130615E-2</v>
      </c>
      <c r="F493" s="132">
        <v>9.6162500000000009</v>
      </c>
      <c r="G493" s="132">
        <v>1.5137810066518236</v>
      </c>
      <c r="H493" s="132">
        <v>11.130031006651825</v>
      </c>
      <c r="I493" s="401">
        <v>0.13600869626932013</v>
      </c>
      <c r="J493" s="258">
        <f t="shared" ca="1" si="63"/>
        <v>3.544899451169754</v>
      </c>
      <c r="K493" s="258">
        <f t="shared" si="64"/>
        <v>0.37487332983115351</v>
      </c>
      <c r="L493" s="258">
        <f t="shared" ca="1" si="65"/>
        <v>3.9197727810009075</v>
      </c>
      <c r="M493" s="258">
        <f t="shared" ca="1" si="66"/>
        <v>2.1631510091815436</v>
      </c>
      <c r="N493" s="258">
        <f t="shared" si="67"/>
        <v>0.37467751846471969</v>
      </c>
      <c r="O493" s="258">
        <f t="shared" ca="1" si="68"/>
        <v>2.5378285276462633</v>
      </c>
      <c r="P493" s="258">
        <f t="shared" ca="1" si="69"/>
        <v>0.5317349176754631</v>
      </c>
      <c r="Q493" s="258">
        <f t="shared" si="70"/>
        <v>0.37467751846471969</v>
      </c>
      <c r="R493" s="258">
        <f t="shared" ca="1" si="71"/>
        <v>0.90641243614018285</v>
      </c>
    </row>
    <row r="494" spans="3:18" ht="14" x14ac:dyDescent="0.25">
      <c r="C494" s="255" t="s">
        <v>6426</v>
      </c>
      <c r="D494" s="132">
        <v>0.94126356113807497</v>
      </c>
      <c r="E494" s="132">
        <v>5.8736438861925019E-2</v>
      </c>
      <c r="F494" s="132">
        <v>7.6930000000000005</v>
      </c>
      <c r="G494" s="132">
        <v>1.5299097717214583</v>
      </c>
      <c r="H494" s="132">
        <v>9.2229097717214579</v>
      </c>
      <c r="I494" s="401">
        <v>0.16588146361491513</v>
      </c>
      <c r="J494" s="258">
        <f t="shared" ca="1" si="63"/>
        <v>3.5015004474336391</v>
      </c>
      <c r="K494" s="258">
        <f t="shared" si="64"/>
        <v>0.46778639692658874</v>
      </c>
      <c r="L494" s="258">
        <f t="shared" ca="1" si="65"/>
        <v>3.9692868443602278</v>
      </c>
      <c r="M494" s="258">
        <f t="shared" ca="1" si="66"/>
        <v>2.1366682837834303</v>
      </c>
      <c r="N494" s="258">
        <f t="shared" si="67"/>
        <v>0.46754205334092314</v>
      </c>
      <c r="O494" s="258">
        <f t="shared" ca="1" si="68"/>
        <v>2.6042103371243535</v>
      </c>
      <c r="P494" s="258">
        <f t="shared" ca="1" si="69"/>
        <v>0.52522506711504591</v>
      </c>
      <c r="Q494" s="258">
        <f t="shared" si="70"/>
        <v>0.46754205334092314</v>
      </c>
      <c r="R494" s="258">
        <f t="shared" ca="1" si="71"/>
        <v>0.99276712045596904</v>
      </c>
    </row>
    <row r="495" spans="3:18" ht="14" x14ac:dyDescent="0.25">
      <c r="C495" s="255" t="s">
        <v>6427</v>
      </c>
      <c r="D495" s="132">
        <v>0.9753375040015938</v>
      </c>
      <c r="E495" s="132">
        <v>2.4662495998406218E-2</v>
      </c>
      <c r="F495" s="132">
        <v>15.770650000000002</v>
      </c>
      <c r="G495" s="132">
        <v>1.2708825523410683</v>
      </c>
      <c r="H495" s="132">
        <v>17.041532552341071</v>
      </c>
      <c r="I495" s="401">
        <v>7.4575602190571855E-2</v>
      </c>
      <c r="J495" s="258">
        <f t="shared" ca="1" si="63"/>
        <v>3.6282555148859292</v>
      </c>
      <c r="K495" s="258">
        <f t="shared" si="64"/>
        <v>0.19641606413066687</v>
      </c>
      <c r="L495" s="258">
        <f t="shared" ca="1" si="65"/>
        <v>3.8246715790165959</v>
      </c>
      <c r="M495" s="258">
        <f t="shared" ca="1" si="66"/>
        <v>2.214016134083618</v>
      </c>
      <c r="N495" s="258">
        <f t="shared" si="67"/>
        <v>0.19631346814731349</v>
      </c>
      <c r="O495" s="258">
        <f t="shared" ca="1" si="68"/>
        <v>2.4103296022309313</v>
      </c>
      <c r="P495" s="258">
        <f t="shared" ca="1" si="69"/>
        <v>0.54423832723288934</v>
      </c>
      <c r="Q495" s="258">
        <f t="shared" si="70"/>
        <v>0.19631346814731349</v>
      </c>
      <c r="R495" s="258">
        <f t="shared" ca="1" si="71"/>
        <v>0.74055179538020277</v>
      </c>
    </row>
    <row r="496" spans="3:18" ht="14" x14ac:dyDescent="0.25">
      <c r="C496" s="255" t="s">
        <v>6428</v>
      </c>
      <c r="D496" s="132">
        <v>0.9695352433107346</v>
      </c>
      <c r="E496" s="132">
        <v>3.0464756689265352E-2</v>
      </c>
      <c r="F496" s="132">
        <v>13.270425000000001</v>
      </c>
      <c r="G496" s="132">
        <v>1.3289011138728544</v>
      </c>
      <c r="H496" s="132">
        <v>14.599326113872856</v>
      </c>
      <c r="I496" s="401">
        <v>9.1024825632881792E-2</v>
      </c>
      <c r="J496" s="258">
        <f t="shared" ca="1" si="63"/>
        <v>3.6066711051159328</v>
      </c>
      <c r="K496" s="258">
        <f t="shared" si="64"/>
        <v>0.24262619663437954</v>
      </c>
      <c r="L496" s="258">
        <f t="shared" ca="1" si="65"/>
        <v>3.8492973017503123</v>
      </c>
      <c r="M496" s="258">
        <f t="shared" ca="1" si="66"/>
        <v>2.2008450023153676</v>
      </c>
      <c r="N496" s="258">
        <f t="shared" si="67"/>
        <v>0.24249946324655219</v>
      </c>
      <c r="O496" s="258">
        <f t="shared" ca="1" si="68"/>
        <v>2.4433444655619199</v>
      </c>
      <c r="P496" s="258">
        <f t="shared" ca="1" si="69"/>
        <v>0.54100066576738992</v>
      </c>
      <c r="Q496" s="258">
        <f t="shared" si="70"/>
        <v>0.24249946324655219</v>
      </c>
      <c r="R496" s="258">
        <f t="shared" ca="1" si="71"/>
        <v>0.78350012901394206</v>
      </c>
    </row>
    <row r="497" spans="3:18" ht="14" x14ac:dyDescent="0.25">
      <c r="C497" s="255" t="s">
        <v>6429</v>
      </c>
      <c r="D497" s="132">
        <v>0.96824743559234416</v>
      </c>
      <c r="E497" s="132">
        <v>3.1752564407655871E-2</v>
      </c>
      <c r="F497" s="132">
        <v>10.577875000000001</v>
      </c>
      <c r="G497" s="132">
        <v>1.1055149019777348</v>
      </c>
      <c r="H497" s="132">
        <v>11.683389901977735</v>
      </c>
      <c r="I497" s="401">
        <v>9.4622785959629405E-2</v>
      </c>
      <c r="J497" s="258">
        <f t="shared" ca="1" si="63"/>
        <v>3.6018804604035206</v>
      </c>
      <c r="K497" s="258">
        <f t="shared" si="64"/>
        <v>0.2528825033528766</v>
      </c>
      <c r="L497" s="258">
        <f t="shared" ca="1" si="65"/>
        <v>3.8547629637563974</v>
      </c>
      <c r="M497" s="258">
        <f t="shared" ca="1" si="66"/>
        <v>2.1979216787946214</v>
      </c>
      <c r="N497" s="258">
        <f t="shared" si="67"/>
        <v>0.25275041268494075</v>
      </c>
      <c r="O497" s="258">
        <f t="shared" ca="1" si="68"/>
        <v>2.4506720914795621</v>
      </c>
      <c r="P497" s="258">
        <f t="shared" ca="1" si="69"/>
        <v>0.54028206906052811</v>
      </c>
      <c r="Q497" s="258">
        <f t="shared" si="70"/>
        <v>0.25275041268494075</v>
      </c>
      <c r="R497" s="258">
        <f t="shared" ca="1" si="71"/>
        <v>0.79303248174546881</v>
      </c>
    </row>
    <row r="498" spans="3:18" ht="14" x14ac:dyDescent="0.25">
      <c r="C498" s="255" t="s">
        <v>6430</v>
      </c>
      <c r="D498" s="132">
        <v>0.96160771183623783</v>
      </c>
      <c r="E498" s="132">
        <v>3.8392288163762181E-2</v>
      </c>
      <c r="F498" s="132">
        <v>8.8469500000000014</v>
      </c>
      <c r="G498" s="132">
        <v>1.1256758583147792</v>
      </c>
      <c r="H498" s="132">
        <v>9.97262585831478</v>
      </c>
      <c r="I498" s="401">
        <v>0.11287657576928301</v>
      </c>
      <c r="J498" s="258">
        <f t="shared" ca="1" si="63"/>
        <v>3.577180688030805</v>
      </c>
      <c r="K498" s="258">
        <f t="shared" si="64"/>
        <v>0.30576232570230821</v>
      </c>
      <c r="L498" s="258">
        <f t="shared" ca="1" si="65"/>
        <v>3.8829430137331133</v>
      </c>
      <c r="M498" s="258">
        <f t="shared" ca="1" si="66"/>
        <v>2.1828495058682598</v>
      </c>
      <c r="N498" s="258">
        <f t="shared" si="67"/>
        <v>0.30560261378354697</v>
      </c>
      <c r="O498" s="258">
        <f t="shared" ca="1" si="68"/>
        <v>2.4884521196518068</v>
      </c>
      <c r="P498" s="258">
        <f t="shared" ca="1" si="69"/>
        <v>0.53657710320462071</v>
      </c>
      <c r="Q498" s="258">
        <f t="shared" si="70"/>
        <v>0.30560261378354697</v>
      </c>
      <c r="R498" s="258">
        <f t="shared" ca="1" si="71"/>
        <v>0.84217971698816774</v>
      </c>
    </row>
    <row r="499" spans="3:18" ht="14" x14ac:dyDescent="0.25">
      <c r="C499" s="255" t="s">
        <v>6431</v>
      </c>
      <c r="D499" s="132">
        <v>0.95311077106312014</v>
      </c>
      <c r="E499" s="132">
        <v>4.6889228936879884E-2</v>
      </c>
      <c r="F499" s="132">
        <v>7.3083500000000008</v>
      </c>
      <c r="G499" s="132">
        <v>1.1458368146518232</v>
      </c>
      <c r="H499" s="132">
        <v>8.4541868146518233</v>
      </c>
      <c r="I499" s="401">
        <v>0.13553483496082566</v>
      </c>
      <c r="J499" s="258">
        <f t="shared" ca="1" si="63"/>
        <v>3.5455720683548071</v>
      </c>
      <c r="K499" s="258">
        <f t="shared" si="64"/>
        <v>0.3734333215299413</v>
      </c>
      <c r="L499" s="258">
        <f t="shared" ca="1" si="65"/>
        <v>3.9190053898847483</v>
      </c>
      <c r="M499" s="258">
        <f t="shared" ca="1" si="66"/>
        <v>2.1635614503132827</v>
      </c>
      <c r="N499" s="258">
        <f t="shared" si="67"/>
        <v>0.37323826233756385</v>
      </c>
      <c r="O499" s="258">
        <f t="shared" ca="1" si="68"/>
        <v>2.5367997126508466</v>
      </c>
      <c r="P499" s="258">
        <f t="shared" ca="1" si="69"/>
        <v>0.53183581025322113</v>
      </c>
      <c r="Q499" s="258">
        <f t="shared" si="70"/>
        <v>0.37323826233756385</v>
      </c>
      <c r="R499" s="258">
        <f t="shared" ca="1" si="71"/>
        <v>0.90507407259078498</v>
      </c>
    </row>
    <row r="500" spans="3:18" ht="14" x14ac:dyDescent="0.25">
      <c r="C500" s="255" t="s">
        <v>6432</v>
      </c>
      <c r="D500" s="132">
        <v>0.94237063267601284</v>
      </c>
      <c r="E500" s="132">
        <v>5.7629367323987164E-2</v>
      </c>
      <c r="F500" s="132">
        <v>5.9620750000000005</v>
      </c>
      <c r="G500" s="132">
        <v>1.1619655797214585</v>
      </c>
      <c r="H500" s="132">
        <v>7.1240405797214592</v>
      </c>
      <c r="I500" s="401">
        <v>0.16310485134363031</v>
      </c>
      <c r="J500" s="258">
        <f t="shared" ca="1" si="63"/>
        <v>3.505618753554768</v>
      </c>
      <c r="K500" s="258">
        <f t="shared" si="64"/>
        <v>0.4589695020670056</v>
      </c>
      <c r="L500" s="258">
        <f t="shared" ca="1" si="65"/>
        <v>3.9645882556217735</v>
      </c>
      <c r="M500" s="258">
        <f t="shared" ca="1" si="66"/>
        <v>2.1391813361745493</v>
      </c>
      <c r="N500" s="258">
        <f t="shared" si="67"/>
        <v>0.45872976389893783</v>
      </c>
      <c r="O500" s="258">
        <f t="shared" ca="1" si="68"/>
        <v>2.5979111000734871</v>
      </c>
      <c r="P500" s="258">
        <f t="shared" ca="1" si="69"/>
        <v>0.52584281303321523</v>
      </c>
      <c r="Q500" s="258">
        <f t="shared" si="70"/>
        <v>0.45872976389893783</v>
      </c>
      <c r="R500" s="258">
        <f t="shared" ca="1" si="71"/>
        <v>0.98457257693215305</v>
      </c>
    </row>
    <row r="501" spans="3:18" ht="14" x14ac:dyDescent="0.25">
      <c r="C501" s="255" t="s">
        <v>6433</v>
      </c>
      <c r="D501" s="132">
        <v>0.96965227810723187</v>
      </c>
      <c r="E501" s="132">
        <v>3.0347721892768104E-2</v>
      </c>
      <c r="F501" s="132">
        <v>10.193225</v>
      </c>
      <c r="G501" s="132">
        <v>1.0167060418728544</v>
      </c>
      <c r="H501" s="132">
        <v>11.209931041872855</v>
      </c>
      <c r="I501" s="401">
        <v>9.0696904207092449E-2</v>
      </c>
      <c r="J501" s="258">
        <f t="shared" ca="1" si="63"/>
        <v>3.6071064745589028</v>
      </c>
      <c r="K501" s="258">
        <f t="shared" si="64"/>
        <v>0.241694112789508</v>
      </c>
      <c r="L501" s="258">
        <f t="shared" ca="1" si="65"/>
        <v>3.8488005873484106</v>
      </c>
      <c r="M501" s="258">
        <f t="shared" ca="1" si="66"/>
        <v>2.2011106713034163</v>
      </c>
      <c r="N501" s="258">
        <f t="shared" si="67"/>
        <v>0.24156786626643412</v>
      </c>
      <c r="O501" s="258">
        <f t="shared" ca="1" si="68"/>
        <v>2.4426785375698503</v>
      </c>
      <c r="P501" s="258">
        <f t="shared" ca="1" si="69"/>
        <v>0.54106597118383548</v>
      </c>
      <c r="Q501" s="258">
        <f t="shared" si="70"/>
        <v>0.24156786626643412</v>
      </c>
      <c r="R501" s="258">
        <f t="shared" ca="1" si="71"/>
        <v>0.7826338374502696</v>
      </c>
    </row>
    <row r="502" spans="3:18" ht="14" x14ac:dyDescent="0.25">
      <c r="C502" s="255" t="s">
        <v>6434</v>
      </c>
      <c r="D502" s="132">
        <v>0.96839304477270294</v>
      </c>
      <c r="E502" s="132">
        <v>3.1606955227297083E-2</v>
      </c>
      <c r="F502" s="132">
        <v>8.2699750000000005</v>
      </c>
      <c r="G502" s="132">
        <v>0.86021877397773461</v>
      </c>
      <c r="H502" s="132">
        <v>9.1301937739777355</v>
      </c>
      <c r="I502" s="401">
        <v>9.4216924117149881E-2</v>
      </c>
      <c r="J502" s="258">
        <f t="shared" ca="1" si="63"/>
        <v>3.6024221265544552</v>
      </c>
      <c r="K502" s="258">
        <f t="shared" si="64"/>
        <v>0.25172284854303034</v>
      </c>
      <c r="L502" s="258">
        <f t="shared" ca="1" si="65"/>
        <v>3.8541449750974857</v>
      </c>
      <c r="M502" s="258">
        <f t="shared" ca="1" si="66"/>
        <v>2.1982522116340357</v>
      </c>
      <c r="N502" s="258">
        <f t="shared" si="67"/>
        <v>0.2515913636092848</v>
      </c>
      <c r="O502" s="258">
        <f t="shared" ca="1" si="68"/>
        <v>2.4498435752433205</v>
      </c>
      <c r="P502" s="258">
        <f t="shared" ca="1" si="69"/>
        <v>0.54036331898316825</v>
      </c>
      <c r="Q502" s="258">
        <f t="shared" si="70"/>
        <v>0.2515913636092848</v>
      </c>
      <c r="R502" s="258">
        <f t="shared" ca="1" si="71"/>
        <v>0.79195468259245305</v>
      </c>
    </row>
    <row r="503" spans="3:18" ht="14" x14ac:dyDescent="0.25">
      <c r="C503" s="255" t="s">
        <v>6435</v>
      </c>
      <c r="D503" s="132">
        <v>0.9616321853639539</v>
      </c>
      <c r="E503" s="132">
        <v>3.8367814636046126E-2</v>
      </c>
      <c r="F503" s="132">
        <v>6.9237000000000011</v>
      </c>
      <c r="G503" s="132">
        <v>0.88037973031477901</v>
      </c>
      <c r="H503" s="132">
        <v>7.80407973031478</v>
      </c>
      <c r="I503" s="401">
        <v>0.11281019168665882</v>
      </c>
      <c r="J503" s="258">
        <f t="shared" ca="1" si="63"/>
        <v>3.5772717295539085</v>
      </c>
      <c r="K503" s="258">
        <f t="shared" si="64"/>
        <v>0.30556741461181308</v>
      </c>
      <c r="L503" s="258">
        <f t="shared" ca="1" si="65"/>
        <v>3.8828391441657217</v>
      </c>
      <c r="M503" s="258">
        <f t="shared" ca="1" si="66"/>
        <v>2.1829050607761755</v>
      </c>
      <c r="N503" s="258">
        <f t="shared" si="67"/>
        <v>0.30540780450292715</v>
      </c>
      <c r="O503" s="258">
        <f t="shared" ca="1" si="68"/>
        <v>2.4883128652791027</v>
      </c>
      <c r="P503" s="258">
        <f t="shared" ca="1" si="69"/>
        <v>0.53659075943308632</v>
      </c>
      <c r="Q503" s="258">
        <f t="shared" si="70"/>
        <v>0.30540780450292715</v>
      </c>
      <c r="R503" s="258">
        <f t="shared" ca="1" si="71"/>
        <v>0.84199856393601347</v>
      </c>
    </row>
    <row r="504" spans="3:18" ht="14" x14ac:dyDescent="0.25">
      <c r="C504" s="255" t="s">
        <v>6436</v>
      </c>
      <c r="D504" s="132">
        <v>0.95331175274474822</v>
      </c>
      <c r="E504" s="132">
        <v>4.6688247255251773E-2</v>
      </c>
      <c r="F504" s="132">
        <v>5.7697500000000002</v>
      </c>
      <c r="G504" s="132">
        <v>0.90054068665182319</v>
      </c>
      <c r="H504" s="132">
        <v>6.670290686651823</v>
      </c>
      <c r="I504" s="401">
        <v>0.13500771240058998</v>
      </c>
      <c r="J504" s="258">
        <f t="shared" ca="1" si="63"/>
        <v>3.5463197202104637</v>
      </c>
      <c r="K504" s="258">
        <f t="shared" si="64"/>
        <v>0.37183267126038594</v>
      </c>
      <c r="L504" s="258">
        <f t="shared" ca="1" si="65"/>
        <v>3.9181523914708496</v>
      </c>
      <c r="M504" s="258">
        <f t="shared" ca="1" si="66"/>
        <v>2.1640176787305783</v>
      </c>
      <c r="N504" s="258">
        <f t="shared" si="67"/>
        <v>0.37163844815180413</v>
      </c>
      <c r="O504" s="258">
        <f t="shared" ca="1" si="68"/>
        <v>2.5356561268823823</v>
      </c>
      <c r="P504" s="258">
        <f t="shared" ca="1" si="69"/>
        <v>0.53194795803156958</v>
      </c>
      <c r="Q504" s="258">
        <f t="shared" si="70"/>
        <v>0.37163844815180413</v>
      </c>
      <c r="R504" s="258">
        <f t="shared" ca="1" si="71"/>
        <v>0.90358640618337371</v>
      </c>
    </row>
    <row r="505" spans="3:18" ht="14" x14ac:dyDescent="0.25">
      <c r="C505" s="255" t="s">
        <v>6437</v>
      </c>
      <c r="D505" s="132">
        <v>0.94134044371040515</v>
      </c>
      <c r="E505" s="132">
        <v>5.8659556289594898E-2</v>
      </c>
      <c r="F505" s="132">
        <v>4.6158000000000001</v>
      </c>
      <c r="G505" s="132">
        <v>0.91666945172145864</v>
      </c>
      <c r="H505" s="132">
        <v>5.5324694517214592</v>
      </c>
      <c r="I505" s="401">
        <v>0.16568902182301826</v>
      </c>
      <c r="J505" s="258">
        <f t="shared" ca="1" si="63"/>
        <v>3.5017864506027072</v>
      </c>
      <c r="K505" s="258">
        <f t="shared" si="64"/>
        <v>0.46717409181934011</v>
      </c>
      <c r="L505" s="258">
        <f t="shared" ca="1" si="65"/>
        <v>3.9689605424220473</v>
      </c>
      <c r="M505" s="258">
        <f t="shared" ca="1" si="66"/>
        <v>2.1368428072226195</v>
      </c>
      <c r="N505" s="258">
        <f t="shared" si="67"/>
        <v>0.4669300680651754</v>
      </c>
      <c r="O505" s="258">
        <f t="shared" ca="1" si="68"/>
        <v>2.6037728752877949</v>
      </c>
      <c r="P505" s="258">
        <f t="shared" ca="1" si="69"/>
        <v>0.52526796759040617</v>
      </c>
      <c r="Q505" s="258">
        <f t="shared" si="70"/>
        <v>0.4669300680651754</v>
      </c>
      <c r="R505" s="258">
        <f t="shared" ca="1" si="71"/>
        <v>0.99219803565558151</v>
      </c>
    </row>
    <row r="506" spans="3:18" ht="14" x14ac:dyDescent="0.25">
      <c r="C506" s="255" t="s">
        <v>6438</v>
      </c>
      <c r="D506" s="132">
        <v>0.9685012961866879</v>
      </c>
      <c r="E506" s="132">
        <v>3.1498703813312046E-2</v>
      </c>
      <c r="F506" s="132">
        <v>7.1160250000000005</v>
      </c>
      <c r="G506" s="132">
        <v>0.73757070997773477</v>
      </c>
      <c r="H506" s="132">
        <v>7.8535957099777356</v>
      </c>
      <c r="I506" s="401">
        <v>9.3915034235932893E-2</v>
      </c>
      <c r="J506" s="258">
        <f t="shared" ca="1" si="63"/>
        <v>3.6028248218144792</v>
      </c>
      <c r="K506" s="258">
        <f t="shared" si="64"/>
        <v>0.25086071696182727</v>
      </c>
      <c r="L506" s="258">
        <f t="shared" ca="1" si="65"/>
        <v>3.8536855387763063</v>
      </c>
      <c r="M506" s="258">
        <f t="shared" ca="1" si="66"/>
        <v>2.1984979423437814</v>
      </c>
      <c r="N506" s="258">
        <f t="shared" si="67"/>
        <v>0.25072968235396387</v>
      </c>
      <c r="O506" s="258">
        <f t="shared" ca="1" si="68"/>
        <v>2.4492276246977451</v>
      </c>
      <c r="P506" s="258">
        <f t="shared" ca="1" si="69"/>
        <v>0.54042372327217192</v>
      </c>
      <c r="Q506" s="258">
        <f t="shared" si="70"/>
        <v>0.25072968235396387</v>
      </c>
      <c r="R506" s="258">
        <f t="shared" ca="1" si="71"/>
        <v>0.79115340562613579</v>
      </c>
    </row>
    <row r="507" spans="3:18" ht="14" x14ac:dyDescent="0.25">
      <c r="C507" s="255" t="s">
        <v>6439</v>
      </c>
      <c r="D507" s="132">
        <v>0.96165034394759252</v>
      </c>
      <c r="E507" s="132">
        <v>3.8349656052407442E-2</v>
      </c>
      <c r="F507" s="132">
        <v>5.9620750000000005</v>
      </c>
      <c r="G507" s="132">
        <v>0.75773166631477895</v>
      </c>
      <c r="H507" s="132">
        <v>6.7198066663147795</v>
      </c>
      <c r="I507" s="401">
        <v>0.11276093255973506</v>
      </c>
      <c r="J507" s="258">
        <f t="shared" ca="1" si="63"/>
        <v>3.5773392794850443</v>
      </c>
      <c r="K507" s="258">
        <f t="shared" si="64"/>
        <v>0.30542279674634126</v>
      </c>
      <c r="L507" s="258">
        <f t="shared" ca="1" si="65"/>
        <v>3.8827620762313857</v>
      </c>
      <c r="M507" s="258">
        <f t="shared" ca="1" si="66"/>
        <v>2.1829462807610351</v>
      </c>
      <c r="N507" s="258">
        <f t="shared" si="67"/>
        <v>0.30526326217716326</v>
      </c>
      <c r="O507" s="258">
        <f t="shared" ca="1" si="68"/>
        <v>2.4882095429381983</v>
      </c>
      <c r="P507" s="258">
        <f t="shared" ca="1" si="69"/>
        <v>0.53660089192275673</v>
      </c>
      <c r="Q507" s="258">
        <f t="shared" si="70"/>
        <v>0.30526326217716326</v>
      </c>
      <c r="R507" s="258">
        <f t="shared" ca="1" si="71"/>
        <v>0.84186415409991999</v>
      </c>
    </row>
    <row r="508" spans="3:18" ht="14" x14ac:dyDescent="0.25">
      <c r="C508" s="255" t="s">
        <v>6440</v>
      </c>
      <c r="D508" s="132">
        <v>0.95345867758487879</v>
      </c>
      <c r="E508" s="132">
        <v>4.6541322415121197E-2</v>
      </c>
      <c r="F508" s="132">
        <v>5.0004499999999998</v>
      </c>
      <c r="G508" s="132">
        <v>0.77789262265182324</v>
      </c>
      <c r="H508" s="132">
        <v>5.7783426226518229</v>
      </c>
      <c r="I508" s="401">
        <v>0.1346221007391267</v>
      </c>
      <c r="J508" s="258">
        <f t="shared" ca="1" si="63"/>
        <v>3.5468662806157494</v>
      </c>
      <c r="K508" s="258">
        <f t="shared" si="64"/>
        <v>0.37066253832561163</v>
      </c>
      <c r="L508" s="258">
        <f t="shared" ca="1" si="65"/>
        <v>3.9175288189413608</v>
      </c>
      <c r="M508" s="258">
        <f t="shared" ca="1" si="66"/>
        <v>2.1643511981176751</v>
      </c>
      <c r="N508" s="258">
        <f t="shared" si="67"/>
        <v>0.37046892642436474</v>
      </c>
      <c r="O508" s="258">
        <f t="shared" ca="1" si="68"/>
        <v>2.5348201245420396</v>
      </c>
      <c r="P508" s="258">
        <f t="shared" ca="1" si="69"/>
        <v>0.53202994209236243</v>
      </c>
      <c r="Q508" s="258">
        <f t="shared" si="70"/>
        <v>0.37046892642436474</v>
      </c>
      <c r="R508" s="258">
        <f t="shared" ca="1" si="71"/>
        <v>0.90249886851672723</v>
      </c>
    </row>
    <row r="509" spans="3:18" ht="14" x14ac:dyDescent="0.25">
      <c r="C509" s="255" t="s">
        <v>6441</v>
      </c>
      <c r="D509" s="132">
        <v>0.94189595387970748</v>
      </c>
      <c r="E509" s="132">
        <v>5.8104046120292546E-2</v>
      </c>
      <c r="F509" s="132">
        <v>4.0388250000000001</v>
      </c>
      <c r="G509" s="132">
        <v>0.79402138772145847</v>
      </c>
      <c r="H509" s="132">
        <v>4.8328463877214585</v>
      </c>
      <c r="I509" s="401">
        <v>0.16429683958893956</v>
      </c>
      <c r="J509" s="258">
        <f t="shared" ca="1" si="63"/>
        <v>3.5038529484325118</v>
      </c>
      <c r="K509" s="258">
        <f t="shared" si="64"/>
        <v>0.46274991994938908</v>
      </c>
      <c r="L509" s="258">
        <f t="shared" ca="1" si="65"/>
        <v>3.966602868381901</v>
      </c>
      <c r="M509" s="258">
        <f t="shared" ca="1" si="66"/>
        <v>2.1381038153069358</v>
      </c>
      <c r="N509" s="258">
        <f t="shared" si="67"/>
        <v>0.46250820711752866</v>
      </c>
      <c r="O509" s="258">
        <f t="shared" ca="1" si="68"/>
        <v>2.6006120224244644</v>
      </c>
      <c r="P509" s="258">
        <f t="shared" ca="1" si="69"/>
        <v>0.52557794226487686</v>
      </c>
      <c r="Q509" s="258">
        <f t="shared" si="70"/>
        <v>0.46250820711752866</v>
      </c>
      <c r="R509" s="258">
        <f t="shared" ca="1" si="71"/>
        <v>0.98808614938240558</v>
      </c>
    </row>
    <row r="510" spans="3:18" ht="14" x14ac:dyDescent="0.25">
      <c r="C510" s="255" t="s">
        <v>6442</v>
      </c>
      <c r="D510" s="132">
        <v>0.95365910264013443</v>
      </c>
      <c r="E510" s="132">
        <v>4.6340897359865539E-2</v>
      </c>
      <c r="F510" s="132">
        <v>4.2311500000000004</v>
      </c>
      <c r="G510" s="132">
        <v>0.65524455865182318</v>
      </c>
      <c r="H510" s="132">
        <v>4.8863945586518236</v>
      </c>
      <c r="I510" s="401">
        <v>0.13409571224485969</v>
      </c>
      <c r="J510" s="258">
        <f t="shared" ca="1" si="63"/>
        <v>3.5476118618213004</v>
      </c>
      <c r="K510" s="258">
        <f t="shared" si="64"/>
        <v>0.36906632111754673</v>
      </c>
      <c r="L510" s="258">
        <f t="shared" ca="1" si="65"/>
        <v>3.9166781829388473</v>
      </c>
      <c r="M510" s="258">
        <f t="shared" ca="1" si="66"/>
        <v>2.1648061629931052</v>
      </c>
      <c r="N510" s="258">
        <f t="shared" si="67"/>
        <v>0.36887354298452968</v>
      </c>
      <c r="O510" s="258">
        <f t="shared" ca="1" si="68"/>
        <v>2.5336797059776348</v>
      </c>
      <c r="P510" s="258">
        <f t="shared" ca="1" si="69"/>
        <v>0.53214177927319506</v>
      </c>
      <c r="Q510" s="258">
        <f t="shared" si="70"/>
        <v>0.36887354298452968</v>
      </c>
      <c r="R510" s="258">
        <f t="shared" ca="1" si="71"/>
        <v>0.90101532225772474</v>
      </c>
    </row>
    <row r="511" spans="3:18" ht="14" x14ac:dyDescent="0.25">
      <c r="C511" s="255" t="s">
        <v>6443</v>
      </c>
      <c r="D511" s="132">
        <v>0.94263765479738071</v>
      </c>
      <c r="E511" s="132">
        <v>5.7362345202619271E-2</v>
      </c>
      <c r="F511" s="132">
        <v>3.4618500000000005</v>
      </c>
      <c r="G511" s="132">
        <v>0.67137332372145864</v>
      </c>
      <c r="H511" s="132">
        <v>4.1332233237214595</v>
      </c>
      <c r="I511" s="401">
        <v>0.16243335313344973</v>
      </c>
      <c r="J511" s="258">
        <f t="shared" ca="1" si="63"/>
        <v>3.5066120758462564</v>
      </c>
      <c r="K511" s="258">
        <f t="shared" si="64"/>
        <v>0.45684289516889226</v>
      </c>
      <c r="L511" s="258">
        <f t="shared" ca="1" si="65"/>
        <v>3.9634549710151488</v>
      </c>
      <c r="M511" s="258">
        <f t="shared" ca="1" si="66"/>
        <v>2.1397874763900542</v>
      </c>
      <c r="N511" s="258">
        <f t="shared" si="67"/>
        <v>0.45660426781284941</v>
      </c>
      <c r="O511" s="258">
        <f t="shared" ca="1" si="68"/>
        <v>2.5963917442029034</v>
      </c>
      <c r="P511" s="258">
        <f t="shared" ca="1" si="69"/>
        <v>0.52599181137693851</v>
      </c>
      <c r="Q511" s="258">
        <f t="shared" si="70"/>
        <v>0.45660426781284941</v>
      </c>
      <c r="R511" s="258">
        <f t="shared" ca="1" si="71"/>
        <v>0.98259607918978786</v>
      </c>
    </row>
    <row r="512" spans="3:18" ht="14" x14ac:dyDescent="0.25">
      <c r="C512" s="255" t="s">
        <v>6444</v>
      </c>
      <c r="D512" s="132">
        <v>0.96887386594527503</v>
      </c>
      <c r="E512" s="132">
        <v>3.1126134054725006E-2</v>
      </c>
      <c r="F512" s="132">
        <v>4.8081250000000004</v>
      </c>
      <c r="G512" s="132">
        <v>0.49227458197773488</v>
      </c>
      <c r="H512" s="132">
        <v>5.300399581977735</v>
      </c>
      <c r="I512" s="401">
        <v>9.2874994491274329E-2</v>
      </c>
      <c r="J512" s="258">
        <f t="shared" ca="1" si="63"/>
        <v>3.6042107813164233</v>
      </c>
      <c r="K512" s="258">
        <f t="shared" si="64"/>
        <v>0.2478935117932787</v>
      </c>
      <c r="L512" s="258">
        <f t="shared" ca="1" si="65"/>
        <v>3.852104293109702</v>
      </c>
      <c r="M512" s="258">
        <f t="shared" ca="1" si="66"/>
        <v>2.1993436756957743</v>
      </c>
      <c r="N512" s="258">
        <f t="shared" si="67"/>
        <v>0.24776402707561104</v>
      </c>
      <c r="O512" s="258">
        <f t="shared" ca="1" si="68"/>
        <v>2.4471077027713855</v>
      </c>
      <c r="P512" s="258">
        <f t="shared" ca="1" si="69"/>
        <v>0.54063161719746355</v>
      </c>
      <c r="Q512" s="258">
        <f t="shared" si="70"/>
        <v>0.24776402707561104</v>
      </c>
      <c r="R512" s="258">
        <f t="shared" ca="1" si="71"/>
        <v>0.78839564427307463</v>
      </c>
    </row>
    <row r="513" spans="3:18" ht="14" x14ac:dyDescent="0.25">
      <c r="C513" s="255" t="s">
        <v>6445</v>
      </c>
      <c r="D513" s="132">
        <v>0.96171260715530793</v>
      </c>
      <c r="E513" s="132">
        <v>3.828739284469207E-2</v>
      </c>
      <c r="F513" s="132">
        <v>4.0388250000000001</v>
      </c>
      <c r="G513" s="132">
        <v>0.51243553831477906</v>
      </c>
      <c r="H513" s="132">
        <v>4.5512605383147795</v>
      </c>
      <c r="I513" s="401">
        <v>0.11259200258935767</v>
      </c>
      <c r="J513" s="258">
        <f t="shared" ca="1" si="63"/>
        <v>3.5775708986177457</v>
      </c>
      <c r="K513" s="258">
        <f t="shared" si="64"/>
        <v>0.30492692259798276</v>
      </c>
      <c r="L513" s="258">
        <f t="shared" ca="1" si="65"/>
        <v>3.8824978212157286</v>
      </c>
      <c r="M513" s="258">
        <f t="shared" ca="1" si="66"/>
        <v>2.1830876182425492</v>
      </c>
      <c r="N513" s="258">
        <f t="shared" si="67"/>
        <v>0.30476764704374887</v>
      </c>
      <c r="O513" s="258">
        <f t="shared" ca="1" si="68"/>
        <v>2.487855265286298</v>
      </c>
      <c r="P513" s="258">
        <f t="shared" ca="1" si="69"/>
        <v>0.53663563479266185</v>
      </c>
      <c r="Q513" s="258">
        <f t="shared" si="70"/>
        <v>0.30476764704374887</v>
      </c>
      <c r="R513" s="258">
        <f t="shared" ca="1" si="71"/>
        <v>0.84140328183641078</v>
      </c>
    </row>
    <row r="514" spans="3:18" ht="14" x14ac:dyDescent="0.25">
      <c r="C514" s="255" t="s">
        <v>6446</v>
      </c>
      <c r="D514" s="132">
        <v>0.95394875430187798</v>
      </c>
      <c r="E514" s="132">
        <v>4.6051245698122016E-2</v>
      </c>
      <c r="F514" s="132">
        <v>3.4618500000000005</v>
      </c>
      <c r="G514" s="132">
        <v>0.53259649465182324</v>
      </c>
      <c r="H514" s="132">
        <v>3.9944464946518239</v>
      </c>
      <c r="I514" s="401">
        <v>0.13333424176914579</v>
      </c>
      <c r="J514" s="258">
        <f t="shared" ca="1" si="63"/>
        <v>3.5486893660029861</v>
      </c>
      <c r="K514" s="258">
        <f t="shared" si="64"/>
        <v>0.36675948893915544</v>
      </c>
      <c r="L514" s="258">
        <f t="shared" ca="1" si="65"/>
        <v>3.9154488549421416</v>
      </c>
      <c r="M514" s="258">
        <f t="shared" ca="1" si="66"/>
        <v>2.1654636722652629</v>
      </c>
      <c r="N514" s="258">
        <f t="shared" si="67"/>
        <v>0.36656791575705122</v>
      </c>
      <c r="O514" s="258">
        <f t="shared" ca="1" si="68"/>
        <v>2.5320315880223143</v>
      </c>
      <c r="P514" s="258">
        <f t="shared" ca="1" si="69"/>
        <v>0.53230340490044792</v>
      </c>
      <c r="Q514" s="258">
        <f t="shared" si="70"/>
        <v>0.36656791575705122</v>
      </c>
      <c r="R514" s="258">
        <f t="shared" ca="1" si="71"/>
        <v>0.8988713206574992</v>
      </c>
    </row>
    <row r="515" spans="3:18" ht="14" x14ac:dyDescent="0.25">
      <c r="C515" s="255" t="s">
        <v>6447</v>
      </c>
      <c r="D515" s="132">
        <v>0.94367800067708241</v>
      </c>
      <c r="E515" s="132">
        <v>5.6321999322917628E-2</v>
      </c>
      <c r="F515" s="132">
        <v>2.8848750000000001</v>
      </c>
      <c r="G515" s="132">
        <v>0.54872525972145858</v>
      </c>
      <c r="H515" s="132">
        <v>3.4336002597214588</v>
      </c>
      <c r="I515" s="401">
        <v>0.15981046662839324</v>
      </c>
      <c r="J515" s="258">
        <f t="shared" ca="1" si="63"/>
        <v>3.5104821625187466</v>
      </c>
      <c r="K515" s="258">
        <f t="shared" si="64"/>
        <v>0.44855741412760763</v>
      </c>
      <c r="L515" s="258">
        <f t="shared" ca="1" si="65"/>
        <v>3.9590395766463544</v>
      </c>
      <c r="M515" s="258">
        <f t="shared" ca="1" si="66"/>
        <v>2.1421490615369772</v>
      </c>
      <c r="N515" s="258">
        <f t="shared" si="67"/>
        <v>0.44832311461042429</v>
      </c>
      <c r="O515" s="258">
        <f t="shared" ca="1" si="68"/>
        <v>2.5904721761474017</v>
      </c>
      <c r="P515" s="258">
        <f t="shared" ca="1" si="69"/>
        <v>0.52657232437781198</v>
      </c>
      <c r="Q515" s="258">
        <f t="shared" si="70"/>
        <v>0.44832311461042429</v>
      </c>
      <c r="R515" s="258">
        <f t="shared" ca="1" si="71"/>
        <v>0.97489543898823627</v>
      </c>
    </row>
    <row r="516" spans="3:18" ht="14" x14ac:dyDescent="0.25">
      <c r="C516" s="255" t="s">
        <v>6448</v>
      </c>
      <c r="D516" s="132">
        <v>0.94524283231877781</v>
      </c>
      <c r="E516" s="132">
        <v>5.4757167681222185E-2</v>
      </c>
      <c r="F516" s="132">
        <v>2.3079000000000001</v>
      </c>
      <c r="G516" s="132">
        <v>0.42607719572145863</v>
      </c>
      <c r="H516" s="132">
        <v>2.7339771957214589</v>
      </c>
      <c r="I516" s="401">
        <v>0.15584519007263437</v>
      </c>
      <c r="J516" s="258">
        <f t="shared" ca="1" si="63"/>
        <v>3.5163033362258536</v>
      </c>
      <c r="K516" s="258">
        <f t="shared" si="64"/>
        <v>0.43609484456008246</v>
      </c>
      <c r="L516" s="258">
        <f t="shared" ca="1" si="65"/>
        <v>3.9523981807859361</v>
      </c>
      <c r="M516" s="258">
        <f t="shared" ca="1" si="66"/>
        <v>2.1457012293636257</v>
      </c>
      <c r="N516" s="258">
        <f t="shared" si="67"/>
        <v>0.43586705474252857</v>
      </c>
      <c r="O516" s="258">
        <f t="shared" ca="1" si="68"/>
        <v>2.5815682841061545</v>
      </c>
      <c r="P516" s="258">
        <f t="shared" ca="1" si="69"/>
        <v>0.52744550043387806</v>
      </c>
      <c r="Q516" s="258">
        <f t="shared" si="70"/>
        <v>0.43586705474252857</v>
      </c>
      <c r="R516" s="258">
        <f t="shared" ca="1" si="71"/>
        <v>0.96331255517640657</v>
      </c>
    </row>
  </sheetData>
  <mergeCells count="3">
    <mergeCell ref="F30:I32"/>
    <mergeCell ref="C30:C33"/>
    <mergeCell ref="D30:E32"/>
  </mergeCells>
  <dataValidations count="1">
    <dataValidation type="list" allowBlank="1" showInputMessage="1" showErrorMessage="1" sqref="B6:B9" xr:uid="{B0DE2F17-BA71-4AB3-9821-AD5B37C6B67B}">
      <formula1>"Tier 1,Tier 2,Tier 3,Tier 4"</formula1>
    </dataValidation>
  </dataValidations>
  <hyperlinks>
    <hyperlink ref="W34" r:id="rId1" xr:uid="{6DD7DA45-5414-40A3-9F48-406C07EAFF68}"/>
    <hyperlink ref="O29" r:id="rId2" xr:uid="{34C0F47F-6E1E-4FDD-97F1-7898E0C3ABC1}"/>
  </hyperlinks>
  <pageMargins left="0.7" right="0.7" top="0.75" bottom="0.75" header="0.3" footer="0.3"/>
  <pageSetup paperSize="9" orientation="portrait" horizontalDpi="300" verticalDpi="300"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EFF00-E7EC-48A8-951C-56C42D8095BA}">
  <sheetPr codeName="Sheet25">
    <tabColor rgb="FF00CCFF"/>
  </sheetPr>
  <dimension ref="A1:AX515"/>
  <sheetViews>
    <sheetView zoomScaleNormal="100" workbookViewId="0"/>
  </sheetViews>
  <sheetFormatPr defaultColWidth="9.1796875" defaultRowHeight="12.5" x14ac:dyDescent="0.25"/>
  <cols>
    <col min="1" max="1" width="32.26953125" style="132" customWidth="1"/>
    <col min="2" max="2" width="73.54296875" style="143" customWidth="1"/>
    <col min="3" max="3" width="32" style="132" bestFit="1" customWidth="1"/>
    <col min="4" max="4" width="27.453125" style="132" customWidth="1"/>
    <col min="5" max="5" width="35.54296875" style="132" customWidth="1"/>
    <col min="6" max="6" width="26.81640625" style="132" customWidth="1"/>
    <col min="7" max="7" width="26.1796875" style="132" customWidth="1"/>
    <col min="8" max="8" width="13.7265625" style="132" bestFit="1" customWidth="1"/>
    <col min="9" max="9" width="7.26953125" style="132" bestFit="1" customWidth="1"/>
    <col min="10" max="10" width="9.1796875" style="132" bestFit="1" customWidth="1"/>
    <col min="11" max="11" width="30.81640625" style="132" bestFit="1" customWidth="1"/>
    <col min="12" max="16" width="13.7265625" style="132" bestFit="1" customWidth="1"/>
    <col min="17" max="17" width="28" style="132" bestFit="1" customWidth="1"/>
    <col min="18" max="22" width="13.7265625" style="132" bestFit="1" customWidth="1"/>
    <col min="23" max="23" width="28.7265625" style="132" bestFit="1" customWidth="1"/>
    <col min="24" max="28" width="13.7265625" style="132" bestFit="1" customWidth="1"/>
    <col min="29" max="29" width="9.1796875" style="132"/>
    <col min="30" max="30" width="96.7265625" style="132" bestFit="1" customWidth="1"/>
    <col min="31" max="16384" width="9.1796875" style="132"/>
  </cols>
  <sheetData>
    <row r="1" spans="1:18" ht="13" x14ac:dyDescent="0.25">
      <c r="A1" s="202" t="str">
        <f>B16</f>
        <v>Structural (painted) (hot rolled)</v>
      </c>
      <c r="F1" s="198"/>
      <c r="G1" s="198"/>
      <c r="H1" s="198"/>
      <c r="I1" s="198"/>
      <c r="L1" s="202"/>
    </row>
    <row r="2" spans="1:18" ht="13" x14ac:dyDescent="0.25">
      <c r="A2" s="202"/>
      <c r="F2" s="198"/>
      <c r="G2" s="198"/>
      <c r="H2" s="198"/>
      <c r="I2" s="198"/>
    </row>
    <row r="3" spans="1:18" ht="13" x14ac:dyDescent="0.3">
      <c r="A3" s="227" t="s">
        <v>5626</v>
      </c>
      <c r="B3" s="132" t="s">
        <v>6449</v>
      </c>
      <c r="F3" s="198"/>
      <c r="G3" s="198"/>
      <c r="H3" s="198"/>
      <c r="I3" s="198"/>
      <c r="P3" s="242"/>
      <c r="R3" s="243"/>
    </row>
    <row r="4" spans="1:18" ht="13" x14ac:dyDescent="0.25">
      <c r="A4" s="202"/>
      <c r="F4" s="198"/>
      <c r="G4" s="198"/>
      <c r="H4" s="198"/>
      <c r="I4" s="198"/>
      <c r="P4" s="242"/>
      <c r="R4" s="243"/>
    </row>
    <row r="5" spans="1:18" ht="73.5" customHeight="1" x14ac:dyDescent="0.3">
      <c r="A5" s="227" t="s">
        <v>5628</v>
      </c>
      <c r="B5" s="200" t="s">
        <v>6450</v>
      </c>
      <c r="E5" s="260"/>
      <c r="F5" s="198"/>
      <c r="G5" s="198"/>
      <c r="H5" s="198"/>
      <c r="I5" s="198"/>
      <c r="P5" s="242"/>
    </row>
    <row r="6" spans="1:18" ht="13" x14ac:dyDescent="0.3">
      <c r="A6" s="227" t="s">
        <v>5630</v>
      </c>
      <c r="B6" s="247" t="s">
        <v>72</v>
      </c>
      <c r="E6" s="258"/>
      <c r="F6" s="198"/>
      <c r="G6" s="198"/>
      <c r="H6" s="198"/>
      <c r="I6" s="198"/>
      <c r="P6" s="242"/>
    </row>
    <row r="7" spans="1:18" ht="13" x14ac:dyDescent="0.3">
      <c r="A7" s="227" t="s">
        <v>5631</v>
      </c>
      <c r="B7" s="247" t="s">
        <v>72</v>
      </c>
      <c r="E7" s="258"/>
      <c r="F7" s="198"/>
      <c r="G7" s="198"/>
      <c r="H7" s="198"/>
      <c r="I7" s="198"/>
      <c r="P7" s="242"/>
    </row>
    <row r="8" spans="1:18" ht="13" x14ac:dyDescent="0.3">
      <c r="A8" s="227" t="s">
        <v>5632</v>
      </c>
      <c r="B8" s="247" t="s">
        <v>72</v>
      </c>
      <c r="E8" s="228"/>
      <c r="F8" s="198"/>
      <c r="G8" s="198"/>
      <c r="H8" s="198"/>
      <c r="I8" s="198"/>
      <c r="P8" s="242"/>
    </row>
    <row r="9" spans="1:18" ht="13" x14ac:dyDescent="0.3">
      <c r="A9" s="227" t="s">
        <v>5633</v>
      </c>
      <c r="B9" s="248" t="s">
        <v>72</v>
      </c>
      <c r="E9" s="258"/>
      <c r="F9" s="198"/>
      <c r="G9" s="198"/>
      <c r="H9" s="198"/>
      <c r="I9" s="198"/>
      <c r="P9" s="242"/>
    </row>
    <row r="10" spans="1:18" ht="13" x14ac:dyDescent="0.3">
      <c r="A10" s="227"/>
      <c r="B10" s="248"/>
      <c r="F10" s="198"/>
      <c r="G10" s="198"/>
      <c r="H10" s="198"/>
      <c r="I10" s="198"/>
      <c r="P10" s="242"/>
    </row>
    <row r="11" spans="1:18" ht="14" x14ac:dyDescent="0.3">
      <c r="A11" s="260" t="s">
        <v>6451</v>
      </c>
      <c r="B11" s="200" t="s">
        <v>6452</v>
      </c>
      <c r="F11" s="198"/>
      <c r="G11" s="198"/>
      <c r="H11" s="198"/>
      <c r="I11" s="198"/>
      <c r="P11" s="242"/>
    </row>
    <row r="12" spans="1:18" ht="25" x14ac:dyDescent="0.25">
      <c r="A12" s="258"/>
      <c r="B12" s="200" t="s">
        <v>6453</v>
      </c>
      <c r="F12" s="198"/>
      <c r="G12" s="198"/>
      <c r="H12" s="198"/>
      <c r="I12" s="198"/>
      <c r="P12" s="242"/>
    </row>
    <row r="13" spans="1:18" x14ac:dyDescent="0.25">
      <c r="A13" s="258"/>
      <c r="B13" s="261" t="s">
        <v>6454</v>
      </c>
      <c r="F13" s="198"/>
      <c r="G13" s="198"/>
      <c r="H13" s="198"/>
      <c r="I13" s="198"/>
      <c r="P13" s="242"/>
    </row>
    <row r="14" spans="1:18" x14ac:dyDescent="0.25">
      <c r="A14" s="228"/>
      <c r="B14" s="200" t="s">
        <v>6455</v>
      </c>
      <c r="F14" s="198"/>
      <c r="G14" s="198"/>
      <c r="H14" s="198"/>
      <c r="I14" s="198"/>
      <c r="P14" s="242"/>
    </row>
    <row r="15" spans="1:18" ht="13" x14ac:dyDescent="0.25">
      <c r="A15" s="258"/>
      <c r="B15" s="342"/>
      <c r="C15" s="135"/>
      <c r="D15" s="299" t="s">
        <v>77</v>
      </c>
      <c r="E15" s="300"/>
      <c r="F15" s="299" t="s">
        <v>5424</v>
      </c>
      <c r="G15" s="301"/>
      <c r="H15" s="198"/>
      <c r="I15" s="198"/>
      <c r="P15" s="242"/>
    </row>
    <row r="16" spans="1:18" ht="26" x14ac:dyDescent="0.3">
      <c r="A16" s="340"/>
      <c r="B16" s="319" t="s">
        <v>6456</v>
      </c>
      <c r="C16" s="311" t="s">
        <v>24</v>
      </c>
      <c r="D16" s="208" t="s">
        <v>146</v>
      </c>
      <c r="E16" s="209" t="s">
        <v>153</v>
      </c>
      <c r="F16" s="208" t="s">
        <v>147</v>
      </c>
      <c r="G16" s="208" t="s">
        <v>154</v>
      </c>
      <c r="H16" s="140"/>
      <c r="I16" s="198"/>
      <c r="P16" s="242"/>
    </row>
    <row r="17" spans="1:50" ht="13" x14ac:dyDescent="0.3">
      <c r="A17" s="340"/>
      <c r="B17" s="343"/>
      <c r="C17" s="206" t="s">
        <v>5636</v>
      </c>
      <c r="D17" s="207" t="s">
        <v>2848</v>
      </c>
      <c r="E17" s="207" t="s">
        <v>2774</v>
      </c>
      <c r="F17" s="207" t="s">
        <v>2848</v>
      </c>
      <c r="G17" s="318" t="s">
        <v>2774</v>
      </c>
      <c r="H17" s="140"/>
      <c r="I17" s="198"/>
      <c r="P17" s="242"/>
    </row>
    <row r="18" spans="1:50" ht="13" x14ac:dyDescent="0.3">
      <c r="A18" s="340"/>
      <c r="B18" s="335"/>
      <c r="C18" s="245" t="s">
        <v>5637</v>
      </c>
      <c r="D18" s="230">
        <f ca="1">$AE$32*1000</f>
        <v>4134.7215319598754</v>
      </c>
      <c r="E18" s="230">
        <f ca="1">$AE$32</f>
        <v>4.1347215319598751</v>
      </c>
      <c r="F18" s="230">
        <v>0</v>
      </c>
      <c r="G18" s="302">
        <v>0</v>
      </c>
      <c r="H18" s="140"/>
      <c r="I18" s="198"/>
      <c r="P18" s="242"/>
    </row>
    <row r="19" spans="1:50" ht="13" x14ac:dyDescent="0.3">
      <c r="A19" s="340"/>
      <c r="B19" s="335"/>
      <c r="C19" s="202" t="s">
        <v>5638</v>
      </c>
      <c r="D19" s="198">
        <f ca="1">$AE$34*1000</f>
        <v>580.39700174711106</v>
      </c>
      <c r="E19" s="198">
        <f ca="1">$AE$34</f>
        <v>0.58039700174711106</v>
      </c>
      <c r="F19" s="198">
        <v>0</v>
      </c>
      <c r="G19" s="215">
        <v>0</v>
      </c>
      <c r="H19" s="140"/>
      <c r="I19" s="198"/>
      <c r="P19" s="242"/>
    </row>
    <row r="20" spans="1:50" ht="13" x14ac:dyDescent="0.3">
      <c r="A20" s="340"/>
      <c r="B20" s="336"/>
      <c r="C20" s="337" t="s">
        <v>5639</v>
      </c>
      <c r="D20" s="338">
        <f ca="1">$AE$33*1000</f>
        <v>2411.0081005887796</v>
      </c>
      <c r="E20" s="338">
        <f ca="1">$AE$33</f>
        <v>2.4110081005887798</v>
      </c>
      <c r="F20" s="338">
        <v>0</v>
      </c>
      <c r="G20" s="339">
        <v>0</v>
      </c>
      <c r="H20" s="140"/>
      <c r="I20" s="198"/>
      <c r="P20" s="242"/>
    </row>
    <row r="21" spans="1:50" ht="13" x14ac:dyDescent="0.3">
      <c r="A21" s="227"/>
      <c r="B21" s="341"/>
      <c r="C21" s="130"/>
      <c r="D21" s="130"/>
      <c r="E21" s="130"/>
      <c r="F21" s="207"/>
      <c r="G21" s="207"/>
      <c r="H21" s="198"/>
      <c r="I21" s="198"/>
      <c r="P21" s="242"/>
    </row>
    <row r="22" spans="1:50" ht="13" x14ac:dyDescent="0.3">
      <c r="A22" s="227"/>
      <c r="B22" s="200"/>
      <c r="F22" s="198"/>
      <c r="G22" s="198"/>
      <c r="H22" s="198"/>
      <c r="I22" s="198"/>
      <c r="P22" s="242"/>
    </row>
    <row r="23" spans="1:50" ht="13" x14ac:dyDescent="0.3">
      <c r="A23" s="227"/>
      <c r="B23" s="200"/>
      <c r="F23" s="198"/>
      <c r="G23" s="198"/>
      <c r="H23" s="198"/>
      <c r="I23" s="198"/>
      <c r="P23" s="242"/>
    </row>
    <row r="24" spans="1:50" ht="13" x14ac:dyDescent="0.3">
      <c r="A24" s="227"/>
      <c r="B24" s="200"/>
      <c r="F24" s="198"/>
      <c r="G24" s="198"/>
      <c r="H24" s="198"/>
      <c r="I24" s="198"/>
      <c r="P24" s="242"/>
    </row>
    <row r="25" spans="1:50" ht="13" x14ac:dyDescent="0.3">
      <c r="A25" s="227"/>
      <c r="B25" s="200"/>
      <c r="F25" s="198"/>
      <c r="G25" s="198"/>
      <c r="H25" s="198"/>
      <c r="I25" s="198"/>
      <c r="P25" s="242"/>
    </row>
    <row r="26" spans="1:50" ht="13" x14ac:dyDescent="0.25">
      <c r="A26" s="228"/>
      <c r="F26" s="198"/>
      <c r="G26" s="198"/>
      <c r="H26" s="198"/>
      <c r="I26" s="198"/>
      <c r="P26" s="242"/>
      <c r="AN26" s="202" t="s">
        <v>5954</v>
      </c>
    </row>
    <row r="27" spans="1:50" x14ac:dyDescent="0.25">
      <c r="A27" s="228"/>
      <c r="F27" s="198"/>
      <c r="G27" s="198"/>
      <c r="H27" s="198"/>
      <c r="I27" s="198"/>
      <c r="P27" s="242"/>
    </row>
    <row r="28" spans="1:50" ht="14" x14ac:dyDescent="0.3">
      <c r="A28" s="227" t="s">
        <v>5635</v>
      </c>
      <c r="C28" s="258"/>
      <c r="D28" s="258"/>
      <c r="E28" s="258"/>
      <c r="F28" s="258"/>
      <c r="G28" s="258"/>
      <c r="H28" s="258"/>
      <c r="I28" s="258"/>
      <c r="J28" s="258"/>
      <c r="K28" s="258" t="s">
        <v>6457</v>
      </c>
      <c r="L28" s="258"/>
      <c r="M28" s="258"/>
      <c r="N28" s="258"/>
      <c r="O28" s="258"/>
      <c r="P28" s="258"/>
      <c r="Q28" s="258" t="s">
        <v>6458</v>
      </c>
      <c r="R28" s="258"/>
      <c r="S28" s="258"/>
      <c r="T28" s="258"/>
      <c r="U28" s="258"/>
      <c r="V28" s="258"/>
      <c r="W28" s="258" t="s">
        <v>6459</v>
      </c>
      <c r="X28" s="258"/>
      <c r="Y28" s="258"/>
      <c r="Z28" s="258"/>
      <c r="AA28" s="258"/>
      <c r="AB28" s="258"/>
      <c r="AC28" s="258"/>
      <c r="AD28" s="258"/>
      <c r="AE28" s="258"/>
      <c r="AG28" s="258"/>
      <c r="AH28" s="258"/>
      <c r="AI28" s="258"/>
      <c r="AJ28" s="258"/>
      <c r="AK28" s="258"/>
      <c r="AL28" s="258"/>
      <c r="AM28" s="258"/>
      <c r="AN28" s="132" t="s">
        <v>6460</v>
      </c>
    </row>
    <row r="29" spans="1:50" x14ac:dyDescent="0.25">
      <c r="C29" s="439" t="s">
        <v>5941</v>
      </c>
      <c r="D29" s="250" t="s">
        <v>5016</v>
      </c>
      <c r="E29" s="439" t="s">
        <v>6461</v>
      </c>
      <c r="F29" s="439"/>
      <c r="G29" s="250" t="s">
        <v>5016</v>
      </c>
      <c r="H29" s="258" t="s">
        <v>6462</v>
      </c>
      <c r="I29" s="258"/>
      <c r="J29" s="258"/>
      <c r="K29" s="258" t="s">
        <v>6463</v>
      </c>
      <c r="L29" s="258"/>
      <c r="M29" s="258"/>
      <c r="N29" s="258"/>
      <c r="O29" s="258"/>
      <c r="P29" s="258"/>
      <c r="Q29" s="258" t="s">
        <v>5962</v>
      </c>
      <c r="R29" s="258"/>
      <c r="S29" s="258"/>
      <c r="T29" s="258"/>
      <c r="U29" s="258"/>
      <c r="V29" s="258"/>
      <c r="W29" s="258" t="s">
        <v>5962</v>
      </c>
      <c r="X29" s="258"/>
      <c r="Y29" s="258"/>
      <c r="Z29" s="258"/>
      <c r="AA29" s="258"/>
      <c r="AB29" s="258"/>
      <c r="AC29" s="258"/>
      <c r="AD29" s="258"/>
      <c r="AE29" s="258"/>
      <c r="AG29" s="258"/>
      <c r="AH29" s="258"/>
      <c r="AI29" s="258"/>
      <c r="AJ29" s="258"/>
      <c r="AK29" s="258"/>
      <c r="AL29" s="258"/>
      <c r="AM29" s="258"/>
      <c r="AO29" s="132" t="s">
        <v>6464</v>
      </c>
      <c r="AP29" s="132" t="s">
        <v>6465</v>
      </c>
      <c r="AQ29" s="132" t="s">
        <v>6466</v>
      </c>
      <c r="AR29" s="132" t="s">
        <v>6467</v>
      </c>
      <c r="AS29" s="132" t="s">
        <v>6468</v>
      </c>
      <c r="AT29" s="132" t="s">
        <v>6469</v>
      </c>
      <c r="AU29" s="132" t="s">
        <v>6470</v>
      </c>
      <c r="AX29" s="132" t="s">
        <v>6469</v>
      </c>
    </row>
    <row r="30" spans="1:50" ht="14" x14ac:dyDescent="0.3">
      <c r="C30" s="439"/>
      <c r="D30" s="256" t="s">
        <v>6471</v>
      </c>
      <c r="E30" s="439"/>
      <c r="F30" s="439"/>
      <c r="G30" s="250" t="s">
        <v>6472</v>
      </c>
      <c r="H30" s="258" t="s">
        <v>6472</v>
      </c>
      <c r="I30" s="258"/>
      <c r="J30" s="258"/>
      <c r="K30" s="262" t="str">
        <f ca="1">Structural_steel_hot_gal!J32</f>
        <v>3.72</v>
      </c>
      <c r="L30" s="263">
        <f>$AF$51</f>
        <v>7.0610399999999993</v>
      </c>
      <c r="M30" s="263">
        <f>$AF$53</f>
        <v>5.3788799999999997</v>
      </c>
      <c r="N30" s="263">
        <f>$AF$52</f>
        <v>5.8348800000000001</v>
      </c>
      <c r="O30" s="258"/>
      <c r="P30" s="258"/>
      <c r="Q30" s="264" t="str">
        <f ca="1">Structural_steel_hot_gal!M32</f>
        <v>2.27</v>
      </c>
      <c r="R30" s="263">
        <f>$AF$51</f>
        <v>7.0610399999999993</v>
      </c>
      <c r="S30" s="263">
        <f>$AF$53</f>
        <v>5.3788799999999997</v>
      </c>
      <c r="T30" s="263">
        <f>$AF$52</f>
        <v>5.8348800000000001</v>
      </c>
      <c r="U30" s="258"/>
      <c r="V30" s="258"/>
      <c r="W30" s="264" t="str">
        <f ca="1">Structural_steel_hot_gal!P32</f>
        <v>0.558</v>
      </c>
      <c r="X30" s="263">
        <f>$AF$51</f>
        <v>7.0610399999999993</v>
      </c>
      <c r="Y30" s="263">
        <f>$AF$53</f>
        <v>5.3788799999999997</v>
      </c>
      <c r="Z30" s="263">
        <f>$AF$52</f>
        <v>5.8348800000000001</v>
      </c>
      <c r="AA30" s="258"/>
      <c r="AB30" s="258"/>
      <c r="AC30" s="258"/>
      <c r="AD30" s="258"/>
      <c r="AE30" s="258"/>
      <c r="AG30" s="258"/>
      <c r="AH30" s="258"/>
      <c r="AI30" s="258"/>
      <c r="AJ30" s="258"/>
      <c r="AK30" s="258"/>
      <c r="AL30" s="258"/>
      <c r="AM30" s="258"/>
      <c r="AR30" s="132" t="s">
        <v>6473</v>
      </c>
      <c r="AS30" s="132" t="s">
        <v>6474</v>
      </c>
      <c r="AT30" s="132" t="s">
        <v>6475</v>
      </c>
      <c r="AU30" s="132" t="s">
        <v>6476</v>
      </c>
      <c r="AV30" s="132" t="s">
        <v>6477</v>
      </c>
      <c r="AX30" s="132" t="s">
        <v>6475</v>
      </c>
    </row>
    <row r="31" spans="1:50" ht="16" x14ac:dyDescent="0.4">
      <c r="C31" s="439"/>
      <c r="D31" s="255" t="s">
        <v>6478</v>
      </c>
      <c r="E31" s="439"/>
      <c r="F31" s="439"/>
      <c r="G31" s="250"/>
      <c r="H31" s="258" t="s">
        <v>6479</v>
      </c>
      <c r="I31" s="258" t="s">
        <v>6480</v>
      </c>
      <c r="J31" s="258" t="s">
        <v>6481</v>
      </c>
      <c r="K31" s="258" t="s">
        <v>6482</v>
      </c>
      <c r="L31" s="258" t="s">
        <v>6479</v>
      </c>
      <c r="M31" s="258" t="s">
        <v>6480</v>
      </c>
      <c r="N31" s="258" t="s">
        <v>6481</v>
      </c>
      <c r="O31" s="258" t="s">
        <v>6483</v>
      </c>
      <c r="P31" s="258" t="s">
        <v>6484</v>
      </c>
      <c r="Q31" s="258" t="s">
        <v>6485</v>
      </c>
      <c r="R31" s="258" t="s">
        <v>6479</v>
      </c>
      <c r="S31" s="258" t="s">
        <v>6480</v>
      </c>
      <c r="T31" s="258" t="s">
        <v>6481</v>
      </c>
      <c r="U31" s="258" t="s">
        <v>6483</v>
      </c>
      <c r="V31" s="258" t="s">
        <v>6484</v>
      </c>
      <c r="W31" s="258" t="s">
        <v>6486</v>
      </c>
      <c r="X31" s="258" t="s">
        <v>6479</v>
      </c>
      <c r="Y31" s="258" t="s">
        <v>6480</v>
      </c>
      <c r="Z31" s="258" t="s">
        <v>6481</v>
      </c>
      <c r="AA31" s="258" t="s">
        <v>6483</v>
      </c>
      <c r="AB31" s="258" t="s">
        <v>6484</v>
      </c>
      <c r="AC31" s="258"/>
      <c r="AD31" s="440" t="s">
        <v>6487</v>
      </c>
      <c r="AE31" s="440"/>
      <c r="AG31" s="258"/>
      <c r="AH31" s="258"/>
      <c r="AI31" s="258"/>
      <c r="AJ31" s="258" t="s">
        <v>6488</v>
      </c>
      <c r="AK31" s="258"/>
      <c r="AL31" s="258"/>
      <c r="AM31" s="258"/>
      <c r="AN31" s="132">
        <v>1</v>
      </c>
      <c r="AO31" s="132" t="s">
        <v>6489</v>
      </c>
      <c r="AP31" s="132" t="s">
        <v>6490</v>
      </c>
      <c r="AQ31" s="132">
        <v>75</v>
      </c>
      <c r="AR31" s="132">
        <v>2.2999999999999998</v>
      </c>
      <c r="AS31" s="132">
        <v>6.4320000000000004</v>
      </c>
      <c r="AT31" s="132">
        <v>0.35758706467661688</v>
      </c>
      <c r="AU31" s="132">
        <v>5.81</v>
      </c>
      <c r="AV31" s="132">
        <v>2.077580845771144</v>
      </c>
      <c r="AX31" s="132">
        <v>0.25746268656716415</v>
      </c>
    </row>
    <row r="32" spans="1:50" ht="17" x14ac:dyDescent="0.35">
      <c r="C32" s="439"/>
      <c r="D32" s="255" t="s">
        <v>6491</v>
      </c>
      <c r="E32" s="255" t="s">
        <v>6492</v>
      </c>
      <c r="F32" s="255" t="s">
        <v>6493</v>
      </c>
      <c r="G32" s="255" t="s">
        <v>6494</v>
      </c>
      <c r="H32" s="255" t="s">
        <v>6494</v>
      </c>
      <c r="I32" s="255" t="s">
        <v>6494</v>
      </c>
      <c r="J32" s="255" t="s">
        <v>6494</v>
      </c>
      <c r="K32" s="255" t="s">
        <v>6495</v>
      </c>
      <c r="L32" s="255" t="s">
        <v>6495</v>
      </c>
      <c r="M32" s="255" t="s">
        <v>6495</v>
      </c>
      <c r="N32" s="255" t="s">
        <v>6495</v>
      </c>
      <c r="O32" s="255" t="s">
        <v>6495</v>
      </c>
      <c r="P32" s="255" t="s">
        <v>6496</v>
      </c>
      <c r="Q32" s="255" t="s">
        <v>6495</v>
      </c>
      <c r="R32" s="255" t="s">
        <v>6495</v>
      </c>
      <c r="S32" s="255" t="s">
        <v>6495</v>
      </c>
      <c r="T32" s="255" t="s">
        <v>6495</v>
      </c>
      <c r="U32" s="255" t="s">
        <v>6495</v>
      </c>
      <c r="V32" s="255" t="s">
        <v>6496</v>
      </c>
      <c r="W32" s="255" t="s">
        <v>6495</v>
      </c>
      <c r="X32" s="255" t="s">
        <v>6495</v>
      </c>
      <c r="Y32" s="255" t="s">
        <v>6495</v>
      </c>
      <c r="Z32" s="255" t="s">
        <v>6495</v>
      </c>
      <c r="AA32" s="255" t="s">
        <v>6495</v>
      </c>
      <c r="AB32" s="255" t="s">
        <v>6496</v>
      </c>
      <c r="AC32" s="258"/>
      <c r="AD32" s="258" t="s">
        <v>5637</v>
      </c>
      <c r="AE32" s="265">
        <f ca="1">MAX(P33:P515)</f>
        <v>4.1347215319598751</v>
      </c>
      <c r="AG32" s="258"/>
      <c r="AH32" s="258"/>
      <c r="AI32" s="258"/>
      <c r="AJ32" s="258" t="s">
        <v>6479</v>
      </c>
      <c r="AK32" s="258" t="s">
        <v>6480</v>
      </c>
      <c r="AL32" s="258" t="s">
        <v>6481</v>
      </c>
      <c r="AM32" s="258"/>
      <c r="AN32" s="132">
        <v>2</v>
      </c>
      <c r="AO32" s="132" t="s">
        <v>6497</v>
      </c>
      <c r="AP32" s="132" t="s">
        <v>6498</v>
      </c>
    </row>
    <row r="33" spans="3:50" x14ac:dyDescent="0.25">
      <c r="C33" s="255" t="s">
        <v>5965</v>
      </c>
      <c r="D33" s="255">
        <v>76.8</v>
      </c>
      <c r="E33" s="255">
        <v>0.78800000000000003</v>
      </c>
      <c r="F33" s="266">
        <f t="shared" ref="F33:F96" si="0">E33/D33*1000</f>
        <v>10.260416666666668</v>
      </c>
      <c r="G33" s="266">
        <f>D33/E33</f>
        <v>97.461928934010146</v>
      </c>
      <c r="H33" s="265">
        <f>$AJ$40</f>
        <v>0.35758706467661688</v>
      </c>
      <c r="I33" s="265">
        <f>$AK$40</f>
        <v>0.2790178571428571</v>
      </c>
      <c r="J33" s="265">
        <f>$AL$40</f>
        <v>0.14172335600907029</v>
      </c>
      <c r="K33" s="258">
        <f ca="1">K$30*$G33</f>
        <v>362.55837563451774</v>
      </c>
      <c r="L33" s="265">
        <f>L$30*$H33</f>
        <v>2.5249365671641786</v>
      </c>
      <c r="M33" s="265">
        <f>M$30*$I33</f>
        <v>1.500803571428571</v>
      </c>
      <c r="N33" s="265">
        <f>N$30*$J33</f>
        <v>0.82693877551020412</v>
      </c>
      <c r="O33" s="265">
        <f ca="1">SUM(K33:N33)</f>
        <v>367.41105454862065</v>
      </c>
      <c r="P33" s="265">
        <f ca="1">O33/SUM($G33:$J33)</f>
        <v>3.7399235809853399</v>
      </c>
      <c r="Q33" s="258">
        <f ca="1">Q$30*$G33</f>
        <v>221.23857868020303</v>
      </c>
      <c r="R33" s="265">
        <f>R$30*$H33</f>
        <v>2.5249365671641786</v>
      </c>
      <c r="S33" s="265">
        <f>S$30*$I33</f>
        <v>1.500803571428571</v>
      </c>
      <c r="T33" s="265">
        <f>T$30*$J33</f>
        <v>0.82693877551020412</v>
      </c>
      <c r="U33" s="265">
        <f ca="1">SUM(Q33:T33)</f>
        <v>226.091257594306</v>
      </c>
      <c r="V33" s="265">
        <f ca="1">U33/SUM($G33:$J33)</f>
        <v>2.3014114988194501</v>
      </c>
      <c r="W33" s="258">
        <f ca="1">W$30*$G33</f>
        <v>54.383756345177666</v>
      </c>
      <c r="X33" s="265">
        <f>X$30*$H33</f>
        <v>2.5249365671641786</v>
      </c>
      <c r="Y33" s="265">
        <f>Y$30*$I33</f>
        <v>1.500803571428571</v>
      </c>
      <c r="Z33" s="265">
        <f>Z$30*$J33</f>
        <v>0.82693877551020412</v>
      </c>
      <c r="AA33" s="265">
        <f ca="1">SUM(W33:Z33)</f>
        <v>59.236435259280618</v>
      </c>
      <c r="AB33" s="265">
        <f ca="1">AA33/SUM($G33:$J33)</f>
        <v>0.60297516456565403</v>
      </c>
      <c r="AC33" s="258"/>
      <c r="AD33" s="258" t="s">
        <v>6499</v>
      </c>
      <c r="AE33" s="265">
        <f ca="1">AVERAGE(V33:V515)</f>
        <v>2.4110081005887798</v>
      </c>
      <c r="AG33" s="258"/>
      <c r="AH33" s="258"/>
      <c r="AI33" s="258"/>
      <c r="AJ33" s="258">
        <f>AR31</f>
        <v>2.2999999999999998</v>
      </c>
      <c r="AK33" s="258">
        <f>AR33</f>
        <v>1.4</v>
      </c>
      <c r="AL33" s="258">
        <f>AR34</f>
        <v>1.4</v>
      </c>
      <c r="AM33" s="258"/>
      <c r="AP33" s="132" t="s">
        <v>6500</v>
      </c>
      <c r="AQ33" s="132">
        <v>125</v>
      </c>
      <c r="AR33" s="132">
        <v>1.4</v>
      </c>
      <c r="AS33" s="132">
        <v>5.0176000000000007</v>
      </c>
      <c r="AT33" s="132">
        <v>0.2790178571428571</v>
      </c>
      <c r="AU33" s="132">
        <v>4.42</v>
      </c>
      <c r="AV33" s="132">
        <v>1.2332589285714284</v>
      </c>
      <c r="AX33" s="132">
        <v>0.21874999999999997</v>
      </c>
    </row>
    <row r="34" spans="3:50" x14ac:dyDescent="0.25">
      <c r="C34" s="255" t="s">
        <v>5967</v>
      </c>
      <c r="D34" s="255">
        <v>60.1</v>
      </c>
      <c r="E34" s="255">
        <v>0.78800000000000003</v>
      </c>
      <c r="F34" s="266">
        <f t="shared" si="0"/>
        <v>13.111480865224626</v>
      </c>
      <c r="G34" s="266">
        <f t="shared" ref="G34:G97" si="1">D34/E34</f>
        <v>76.26903553299492</v>
      </c>
      <c r="H34" s="265">
        <f t="shared" ref="H34:H97" si="2">$AJ$40</f>
        <v>0.35758706467661688</v>
      </c>
      <c r="I34" s="265">
        <f t="shared" ref="I34:I97" si="3">$AK$40</f>
        <v>0.2790178571428571</v>
      </c>
      <c r="J34" s="265">
        <f t="shared" ref="J34:J97" si="4">$AL$40</f>
        <v>0.14172335600907029</v>
      </c>
      <c r="K34" s="258">
        <f t="shared" ref="K34:K97" ca="1" si="5">K$30*$G34</f>
        <v>283.7208121827411</v>
      </c>
      <c r="L34" s="265">
        <f t="shared" ref="L34:L97" si="6">L$30*$H34</f>
        <v>2.5249365671641786</v>
      </c>
      <c r="M34" s="265">
        <f t="shared" ref="M34:M97" si="7">M$30*$I34</f>
        <v>1.500803571428571</v>
      </c>
      <c r="N34" s="265">
        <f t="shared" ref="N34:N97" si="8">N$30*$J34</f>
        <v>0.82693877551020412</v>
      </c>
      <c r="O34" s="265">
        <f t="shared" ref="O34:O97" ca="1" si="9">SUM(K34:N34)</f>
        <v>288.57349109684401</v>
      </c>
      <c r="P34" s="265">
        <f t="shared" ref="P34:P97" ca="1" si="10">O34/SUM($G34:$J34)</f>
        <v>3.7454038246576031</v>
      </c>
      <c r="Q34" s="258">
        <f t="shared" ref="Q34:Q97" ca="1" si="11">Q$30*$G34</f>
        <v>173.13071065989848</v>
      </c>
      <c r="R34" s="265">
        <f t="shared" ref="R34:R97" si="12">R$30*$H34</f>
        <v>2.5249365671641786</v>
      </c>
      <c r="S34" s="265">
        <f t="shared" ref="S34:S97" si="13">S$30*$I34</f>
        <v>1.500803571428571</v>
      </c>
      <c r="T34" s="265">
        <f t="shared" ref="T34:T97" si="14">T$30*$J34</f>
        <v>0.82693877551020412</v>
      </c>
      <c r="U34" s="265">
        <f t="shared" ref="U34:U97" ca="1" si="15">SUM(Q34:T34)</f>
        <v>177.98338957400145</v>
      </c>
      <c r="V34" s="265">
        <f t="shared" ref="V34:V97" ca="1" si="16">U34/SUM($G34:$J34)</f>
        <v>2.3100516457773819</v>
      </c>
      <c r="W34" s="258">
        <f t="shared" ref="W34:W97" ca="1" si="17">W$30*$G34</f>
        <v>42.558121827411171</v>
      </c>
      <c r="X34" s="265">
        <f t="shared" ref="X34:X97" si="18">X$30*$H34</f>
        <v>2.5249365671641786</v>
      </c>
      <c r="Y34" s="265">
        <f t="shared" ref="Y34:Y97" si="19">Y$30*$I34</f>
        <v>1.500803571428571</v>
      </c>
      <c r="Z34" s="265">
        <f t="shared" ref="Z34:Z97" si="20">Z$30*$J34</f>
        <v>0.82693877551020412</v>
      </c>
      <c r="AA34" s="265">
        <f t="shared" ref="AA34:AA97" ca="1" si="21">SUM(W34:Z34)</f>
        <v>47.410800741514123</v>
      </c>
      <c r="AB34" s="265">
        <f t="shared" ref="AB34:AB97" ca="1" si="22">AA34/SUM($G34:$J34)</f>
        <v>0.61534617664431945</v>
      </c>
      <c r="AC34" s="258"/>
      <c r="AD34" s="258" t="s">
        <v>5638</v>
      </c>
      <c r="AE34" s="265">
        <f ca="1">MIN(AB33:AB515)</f>
        <v>0.58039700174711106</v>
      </c>
      <c r="AG34" s="258"/>
      <c r="AH34" s="258"/>
      <c r="AI34" s="258"/>
      <c r="AJ34" s="258"/>
      <c r="AK34" s="258"/>
      <c r="AL34" s="258"/>
      <c r="AM34" s="258"/>
      <c r="AN34" s="132">
        <v>3</v>
      </c>
      <c r="AO34" s="132" t="s">
        <v>6501</v>
      </c>
      <c r="AP34" s="132" t="s">
        <v>6502</v>
      </c>
      <c r="AQ34" s="132">
        <v>50</v>
      </c>
      <c r="AR34" s="132">
        <v>1.4</v>
      </c>
      <c r="AS34" s="132">
        <v>9.8783999999999992</v>
      </c>
      <c r="AT34" s="132">
        <v>0.14172335600907029</v>
      </c>
      <c r="AU34" s="132">
        <v>4.8</v>
      </c>
      <c r="AV34" s="132">
        <v>0.68027210884353739</v>
      </c>
      <c r="AX34" s="132">
        <v>0.1111111111111111</v>
      </c>
    </row>
    <row r="35" spans="3:50" x14ac:dyDescent="0.25">
      <c r="C35" s="255" t="s">
        <v>5968</v>
      </c>
      <c r="D35" s="255">
        <v>54.4</v>
      </c>
      <c r="E35" s="255">
        <v>0.78800000000000003</v>
      </c>
      <c r="F35" s="266">
        <f t="shared" si="0"/>
        <v>14.48529411764706</v>
      </c>
      <c r="G35" s="266">
        <f t="shared" si="1"/>
        <v>69.035532994923855</v>
      </c>
      <c r="H35" s="265">
        <f t="shared" si="2"/>
        <v>0.35758706467661688</v>
      </c>
      <c r="I35" s="265">
        <f t="shared" si="3"/>
        <v>0.2790178571428571</v>
      </c>
      <c r="J35" s="265">
        <f t="shared" si="4"/>
        <v>0.14172335600907029</v>
      </c>
      <c r="K35" s="258">
        <f t="shared" ca="1" si="5"/>
        <v>256.81218274111677</v>
      </c>
      <c r="L35" s="265">
        <f t="shared" si="6"/>
        <v>2.5249365671641786</v>
      </c>
      <c r="M35" s="265">
        <f t="shared" si="7"/>
        <v>1.500803571428571</v>
      </c>
      <c r="N35" s="265">
        <f t="shared" si="8"/>
        <v>0.82693877551020412</v>
      </c>
      <c r="O35" s="265">
        <f t="shared" ca="1" si="9"/>
        <v>261.66486165521968</v>
      </c>
      <c r="P35" s="265">
        <f t="shared" ca="1" si="10"/>
        <v>3.7480359470869811</v>
      </c>
      <c r="Q35" s="258">
        <f t="shared" ca="1" si="11"/>
        <v>156.71065989847716</v>
      </c>
      <c r="R35" s="265">
        <f t="shared" si="12"/>
        <v>2.5249365671641786</v>
      </c>
      <c r="S35" s="265">
        <f t="shared" si="13"/>
        <v>1.500803571428571</v>
      </c>
      <c r="T35" s="265">
        <f t="shared" si="14"/>
        <v>0.82693877551020412</v>
      </c>
      <c r="U35" s="265">
        <f t="shared" ca="1" si="15"/>
        <v>161.56333881258013</v>
      </c>
      <c r="V35" s="265">
        <f t="shared" ca="1" si="16"/>
        <v>2.314201447494447</v>
      </c>
      <c r="W35" s="258">
        <f t="shared" ca="1" si="17"/>
        <v>38.521827411167514</v>
      </c>
      <c r="X35" s="265">
        <f t="shared" si="18"/>
        <v>2.5249365671641786</v>
      </c>
      <c r="Y35" s="265">
        <f t="shared" si="19"/>
        <v>1.500803571428571</v>
      </c>
      <c r="Z35" s="265">
        <f t="shared" si="20"/>
        <v>0.82693877551020412</v>
      </c>
      <c r="AA35" s="265">
        <f t="shared" ca="1" si="21"/>
        <v>43.374506325270467</v>
      </c>
      <c r="AB35" s="265">
        <f t="shared" ca="1" si="22"/>
        <v>0.62128788659622625</v>
      </c>
      <c r="AC35" s="258"/>
      <c r="AD35" s="258"/>
      <c r="AE35" s="258"/>
      <c r="AG35" s="258"/>
      <c r="AH35" s="258"/>
      <c r="AI35" s="258"/>
      <c r="AJ35" s="258" t="s">
        <v>6503</v>
      </c>
      <c r="AK35" s="258"/>
      <c r="AL35" s="258"/>
      <c r="AM35" s="258"/>
      <c r="AT35" s="132">
        <v>0.7783282778285443</v>
      </c>
      <c r="AV35" s="132">
        <v>3.9911118831861097</v>
      </c>
      <c r="AX35" s="132">
        <v>0.58732379767827525</v>
      </c>
    </row>
    <row r="36" spans="3:50" x14ac:dyDescent="0.25">
      <c r="C36" s="255" t="s">
        <v>5969</v>
      </c>
      <c r="D36" s="255">
        <v>48.7</v>
      </c>
      <c r="E36" s="255">
        <v>0.78800000000000003</v>
      </c>
      <c r="F36" s="266">
        <f t="shared" si="0"/>
        <v>16.180698151950718</v>
      </c>
      <c r="G36" s="266">
        <f t="shared" si="1"/>
        <v>61.802030456852791</v>
      </c>
      <c r="H36" s="265">
        <f t="shared" si="2"/>
        <v>0.35758706467661688</v>
      </c>
      <c r="I36" s="265">
        <f t="shared" si="3"/>
        <v>0.2790178571428571</v>
      </c>
      <c r="J36" s="265">
        <f t="shared" si="4"/>
        <v>0.14172335600907029</v>
      </c>
      <c r="K36" s="258">
        <f t="shared" ca="1" si="5"/>
        <v>229.90355329949239</v>
      </c>
      <c r="L36" s="265">
        <f t="shared" si="6"/>
        <v>2.5249365671641786</v>
      </c>
      <c r="M36" s="265">
        <f t="shared" si="7"/>
        <v>1.500803571428571</v>
      </c>
      <c r="N36" s="265">
        <f t="shared" si="8"/>
        <v>0.82693877551020412</v>
      </c>
      <c r="O36" s="265">
        <f t="shared" ca="1" si="9"/>
        <v>234.75623221359535</v>
      </c>
      <c r="P36" s="265">
        <f t="shared" ca="1" si="10"/>
        <v>3.751276550025529</v>
      </c>
      <c r="Q36" s="258">
        <f t="shared" ca="1" si="11"/>
        <v>140.29060913705584</v>
      </c>
      <c r="R36" s="265">
        <f t="shared" si="12"/>
        <v>2.5249365671641786</v>
      </c>
      <c r="S36" s="265">
        <f t="shared" si="13"/>
        <v>1.500803571428571</v>
      </c>
      <c r="T36" s="265">
        <f t="shared" si="14"/>
        <v>0.82693877551020412</v>
      </c>
      <c r="U36" s="265">
        <f t="shared" ca="1" si="15"/>
        <v>145.14328805115881</v>
      </c>
      <c r="V36" s="265">
        <f t="shared" ca="1" si="16"/>
        <v>2.3193105790031532</v>
      </c>
      <c r="W36" s="258">
        <f t="shared" ca="1" si="17"/>
        <v>34.485532994923858</v>
      </c>
      <c r="X36" s="265">
        <f t="shared" si="18"/>
        <v>2.5249365671641786</v>
      </c>
      <c r="Y36" s="265">
        <f t="shared" si="19"/>
        <v>1.500803571428571</v>
      </c>
      <c r="Z36" s="265">
        <f t="shared" si="20"/>
        <v>0.82693877551020412</v>
      </c>
      <c r="AA36" s="265">
        <f t="shared" ca="1" si="21"/>
        <v>39.338211909026811</v>
      </c>
      <c r="AB36" s="265">
        <f t="shared" ca="1" si="22"/>
        <v>0.62860317045811398</v>
      </c>
      <c r="AC36" s="258"/>
      <c r="AD36" s="258"/>
      <c r="AE36" s="258"/>
      <c r="AG36" s="258"/>
      <c r="AH36" s="258"/>
      <c r="AI36" s="258"/>
      <c r="AJ36" s="258" t="s">
        <v>6479</v>
      </c>
      <c r="AK36" s="258" t="s">
        <v>6480</v>
      </c>
      <c r="AL36" s="258" t="s">
        <v>6481</v>
      </c>
      <c r="AM36" s="258"/>
      <c r="AN36" s="132" t="s">
        <v>6504</v>
      </c>
    </row>
    <row r="37" spans="3:50" x14ac:dyDescent="0.25">
      <c r="C37" s="255" t="s">
        <v>5970</v>
      </c>
      <c r="D37" s="267">
        <v>40</v>
      </c>
      <c r="E37" s="255">
        <v>0.78800000000000003</v>
      </c>
      <c r="F37" s="266">
        <f t="shared" si="0"/>
        <v>19.700000000000003</v>
      </c>
      <c r="G37" s="266">
        <f t="shared" si="1"/>
        <v>50.761421319796952</v>
      </c>
      <c r="H37" s="265">
        <f t="shared" si="2"/>
        <v>0.35758706467661688</v>
      </c>
      <c r="I37" s="265">
        <f t="shared" si="3"/>
        <v>0.2790178571428571</v>
      </c>
      <c r="J37" s="265">
        <f t="shared" si="4"/>
        <v>0.14172335600907029</v>
      </c>
      <c r="K37" s="258">
        <f t="shared" ca="1" si="5"/>
        <v>188.83248730964468</v>
      </c>
      <c r="L37" s="265">
        <f t="shared" si="6"/>
        <v>2.5249365671641786</v>
      </c>
      <c r="M37" s="265">
        <f t="shared" si="7"/>
        <v>1.500803571428571</v>
      </c>
      <c r="N37" s="265">
        <f t="shared" si="8"/>
        <v>0.82693877551020412</v>
      </c>
      <c r="O37" s="265">
        <f t="shared" ca="1" si="9"/>
        <v>193.68516622374764</v>
      </c>
      <c r="P37" s="265">
        <f t="shared" ca="1" si="10"/>
        <v>3.7579764693437894</v>
      </c>
      <c r="Q37" s="258">
        <f t="shared" ca="1" si="11"/>
        <v>115.22842639593908</v>
      </c>
      <c r="R37" s="265">
        <f t="shared" si="12"/>
        <v>2.5249365671641786</v>
      </c>
      <c r="S37" s="265">
        <f t="shared" si="13"/>
        <v>1.500803571428571</v>
      </c>
      <c r="T37" s="265">
        <f t="shared" si="14"/>
        <v>0.82693877551020412</v>
      </c>
      <c r="U37" s="265">
        <f t="shared" ca="1" si="15"/>
        <v>120.08110531004203</v>
      </c>
      <c r="V37" s="265">
        <f t="shared" ca="1" si="16"/>
        <v>2.3298736654237517</v>
      </c>
      <c r="W37" s="258">
        <f t="shared" ca="1" si="17"/>
        <v>28.324873096446701</v>
      </c>
      <c r="X37" s="265">
        <f t="shared" si="18"/>
        <v>2.5249365671641786</v>
      </c>
      <c r="Y37" s="265">
        <f t="shared" si="19"/>
        <v>1.500803571428571</v>
      </c>
      <c r="Z37" s="265">
        <f t="shared" si="20"/>
        <v>0.82693877551020412</v>
      </c>
      <c r="AA37" s="265">
        <f t="shared" ca="1" si="21"/>
        <v>33.177552010549661</v>
      </c>
      <c r="AB37" s="265">
        <f t="shared" ca="1" si="22"/>
        <v>0.64372745831264566</v>
      </c>
      <c r="AC37" s="258"/>
      <c r="AD37" s="258"/>
      <c r="AE37" s="258"/>
      <c r="AG37" s="258"/>
      <c r="AH37" s="258"/>
      <c r="AI37" s="258"/>
      <c r="AJ37" s="265">
        <f>AR55</f>
        <v>6.4320000000000004</v>
      </c>
      <c r="AK37" s="265">
        <f>AR79</f>
        <v>5.0176000000000007</v>
      </c>
      <c r="AL37" s="265">
        <f>AR91</f>
        <v>9.8783999999999992</v>
      </c>
      <c r="AM37" s="258"/>
      <c r="AN37" s="132" t="s">
        <v>6505</v>
      </c>
    </row>
    <row r="38" spans="3:50" ht="14" x14ac:dyDescent="0.3">
      <c r="C38" s="255" t="s">
        <v>5971</v>
      </c>
      <c r="D38" s="255">
        <v>42.1</v>
      </c>
      <c r="E38" s="268">
        <v>0.59</v>
      </c>
      <c r="F38" s="266">
        <f t="shared" si="0"/>
        <v>14.014251781472684</v>
      </c>
      <c r="G38" s="266">
        <f t="shared" si="1"/>
        <v>71.355932203389841</v>
      </c>
      <c r="H38" s="265">
        <f t="shared" si="2"/>
        <v>0.35758706467661688</v>
      </c>
      <c r="I38" s="265">
        <f t="shared" si="3"/>
        <v>0.2790178571428571</v>
      </c>
      <c r="J38" s="265">
        <f t="shared" si="4"/>
        <v>0.14172335600907029</v>
      </c>
      <c r="K38" s="258">
        <f t="shared" ca="1" si="5"/>
        <v>265.44406779661023</v>
      </c>
      <c r="L38" s="265">
        <f t="shared" si="6"/>
        <v>2.5249365671641786</v>
      </c>
      <c r="M38" s="265">
        <f t="shared" si="7"/>
        <v>1.500803571428571</v>
      </c>
      <c r="N38" s="265">
        <f t="shared" si="8"/>
        <v>0.82693877551020412</v>
      </c>
      <c r="O38" s="265">
        <f t="shared" ca="1" si="9"/>
        <v>270.29674671071314</v>
      </c>
      <c r="P38" s="265">
        <f t="shared" ca="1" si="10"/>
        <v>3.7471340928363763</v>
      </c>
      <c r="Q38" s="258">
        <f t="shared" ca="1" si="11"/>
        <v>161.97796610169493</v>
      </c>
      <c r="R38" s="265">
        <f t="shared" si="12"/>
        <v>2.5249365671641786</v>
      </c>
      <c r="S38" s="265">
        <f t="shared" si="13"/>
        <v>1.500803571428571</v>
      </c>
      <c r="T38" s="265">
        <f t="shared" si="14"/>
        <v>0.82693877551020412</v>
      </c>
      <c r="U38" s="265">
        <f t="shared" ca="1" si="15"/>
        <v>166.8306450157979</v>
      </c>
      <c r="V38" s="265">
        <f t="shared" ca="1" si="16"/>
        <v>2.3127795849412722</v>
      </c>
      <c r="W38" s="258">
        <f t="shared" ca="1" si="17"/>
        <v>39.816610169491533</v>
      </c>
      <c r="X38" s="265">
        <f t="shared" si="18"/>
        <v>2.5249365671641786</v>
      </c>
      <c r="Y38" s="265">
        <f t="shared" si="19"/>
        <v>1.500803571428571</v>
      </c>
      <c r="Z38" s="265">
        <f t="shared" si="20"/>
        <v>0.82693877551020412</v>
      </c>
      <c r="AA38" s="265">
        <f t="shared" ca="1" si="21"/>
        <v>44.669289083594485</v>
      </c>
      <c r="AB38" s="265">
        <f t="shared" ca="1" si="22"/>
        <v>0.61925205561960439</v>
      </c>
      <c r="AC38" s="258"/>
      <c r="AD38" s="260" t="s">
        <v>6451</v>
      </c>
      <c r="AE38" s="258"/>
      <c r="AG38" s="258"/>
      <c r="AH38" s="258"/>
      <c r="AI38" s="258"/>
      <c r="AJ38" s="258"/>
      <c r="AK38" s="258"/>
      <c r="AL38" s="258"/>
      <c r="AM38" s="258"/>
    </row>
    <row r="39" spans="3:50" x14ac:dyDescent="0.25">
      <c r="C39" s="255" t="s">
        <v>5972</v>
      </c>
      <c r="D39" s="255">
        <v>35.4</v>
      </c>
      <c r="E39" s="268">
        <v>0.59</v>
      </c>
      <c r="F39" s="266">
        <f t="shared" si="0"/>
        <v>16.666666666666668</v>
      </c>
      <c r="G39" s="266">
        <f t="shared" si="1"/>
        <v>60</v>
      </c>
      <c r="H39" s="265">
        <f t="shared" si="2"/>
        <v>0.35758706467661688</v>
      </c>
      <c r="I39" s="265">
        <f t="shared" si="3"/>
        <v>0.2790178571428571</v>
      </c>
      <c r="J39" s="265">
        <f t="shared" si="4"/>
        <v>0.14172335600907029</v>
      </c>
      <c r="K39" s="258">
        <f t="shared" ca="1" si="5"/>
        <v>223.20000000000002</v>
      </c>
      <c r="L39" s="265">
        <f t="shared" si="6"/>
        <v>2.5249365671641786</v>
      </c>
      <c r="M39" s="265">
        <f t="shared" si="7"/>
        <v>1.500803571428571</v>
      </c>
      <c r="N39" s="265">
        <f t="shared" si="8"/>
        <v>0.82693877551020412</v>
      </c>
      <c r="O39" s="265">
        <f t="shared" ca="1" si="9"/>
        <v>228.05267891410298</v>
      </c>
      <c r="P39" s="265">
        <f t="shared" ca="1" si="10"/>
        <v>3.7522038755596179</v>
      </c>
      <c r="Q39" s="258">
        <f t="shared" ca="1" si="11"/>
        <v>136.19999999999999</v>
      </c>
      <c r="R39" s="265">
        <f t="shared" si="12"/>
        <v>2.5249365671641786</v>
      </c>
      <c r="S39" s="265">
        <f t="shared" si="13"/>
        <v>1.500803571428571</v>
      </c>
      <c r="T39" s="265">
        <f t="shared" si="14"/>
        <v>0.82693877551020412</v>
      </c>
      <c r="U39" s="265">
        <f t="shared" ca="1" si="15"/>
        <v>141.05267891410296</v>
      </c>
      <c r="V39" s="265">
        <f t="shared" ca="1" si="16"/>
        <v>2.3207725995576265</v>
      </c>
      <c r="W39" s="258">
        <f t="shared" ca="1" si="17"/>
        <v>33.480000000000004</v>
      </c>
      <c r="X39" s="265">
        <f t="shared" si="18"/>
        <v>2.5249365671641786</v>
      </c>
      <c r="Y39" s="265">
        <f t="shared" si="19"/>
        <v>1.500803571428571</v>
      </c>
      <c r="Z39" s="265">
        <f t="shared" si="20"/>
        <v>0.82693877551020412</v>
      </c>
      <c r="AA39" s="265">
        <f t="shared" ca="1" si="21"/>
        <v>38.332678914102956</v>
      </c>
      <c r="AB39" s="265">
        <f t="shared" ca="1" si="22"/>
        <v>0.63069649989182763</v>
      </c>
      <c r="AC39" s="258"/>
      <c r="AD39" s="258" t="s">
        <v>6452</v>
      </c>
      <c r="AE39" s="258"/>
      <c r="AG39" s="258"/>
      <c r="AH39" s="258"/>
      <c r="AI39" s="258"/>
      <c r="AJ39" s="258" t="s">
        <v>6506</v>
      </c>
      <c r="AK39" s="258"/>
      <c r="AL39" s="258"/>
      <c r="AM39" s="258"/>
      <c r="AN39" s="132">
        <v>2</v>
      </c>
      <c r="AO39" s="132" t="s">
        <v>6497</v>
      </c>
      <c r="AP39" s="132" t="s">
        <v>6500</v>
      </c>
      <c r="AQ39" s="132">
        <v>200</v>
      </c>
      <c r="AR39" s="132">
        <v>1.4</v>
      </c>
      <c r="AS39" s="132">
        <v>3.1360000000000006</v>
      </c>
      <c r="AT39" s="132">
        <v>0.44642857142857134</v>
      </c>
      <c r="AU39" s="132">
        <v>4.42</v>
      </c>
      <c r="AV39" s="132">
        <v>1.9732142857142854</v>
      </c>
      <c r="AX39" s="132">
        <v>0.35</v>
      </c>
    </row>
    <row r="40" spans="3:50" x14ac:dyDescent="0.25">
      <c r="C40" s="255" t="s">
        <v>5973</v>
      </c>
      <c r="D40" s="255">
        <v>27.3</v>
      </c>
      <c r="E40" s="268">
        <v>0.59</v>
      </c>
      <c r="F40" s="266">
        <f t="shared" si="0"/>
        <v>21.61172161172161</v>
      </c>
      <c r="G40" s="266">
        <f t="shared" si="1"/>
        <v>46.271186440677972</v>
      </c>
      <c r="H40" s="265">
        <f t="shared" si="2"/>
        <v>0.35758706467661688</v>
      </c>
      <c r="I40" s="265">
        <f t="shared" si="3"/>
        <v>0.2790178571428571</v>
      </c>
      <c r="J40" s="265">
        <f t="shared" si="4"/>
        <v>0.14172335600907029</v>
      </c>
      <c r="K40" s="258">
        <f t="shared" ca="1" si="5"/>
        <v>172.12881355932205</v>
      </c>
      <c r="L40" s="265">
        <f t="shared" si="6"/>
        <v>2.5249365671641786</v>
      </c>
      <c r="M40" s="265">
        <f t="shared" si="7"/>
        <v>1.500803571428571</v>
      </c>
      <c r="N40" s="265">
        <f t="shared" si="8"/>
        <v>0.82693877551020412</v>
      </c>
      <c r="O40" s="265">
        <f t="shared" ca="1" si="9"/>
        <v>176.98149247342502</v>
      </c>
      <c r="P40" s="265">
        <f t="shared" ca="1" si="10"/>
        <v>3.7616008057105614</v>
      </c>
      <c r="Q40" s="258">
        <f t="shared" ca="1" si="11"/>
        <v>105.035593220339</v>
      </c>
      <c r="R40" s="265">
        <f t="shared" si="12"/>
        <v>2.5249365671641786</v>
      </c>
      <c r="S40" s="265">
        <f t="shared" si="13"/>
        <v>1.500803571428571</v>
      </c>
      <c r="T40" s="265">
        <f t="shared" si="14"/>
        <v>0.82693877551020412</v>
      </c>
      <c r="U40" s="265">
        <f t="shared" ca="1" si="15"/>
        <v>109.88827213444195</v>
      </c>
      <c r="V40" s="265">
        <f t="shared" ca="1" si="16"/>
        <v>2.3355877906901843</v>
      </c>
      <c r="W40" s="258">
        <f t="shared" ca="1" si="17"/>
        <v>25.81932203389831</v>
      </c>
      <c r="X40" s="265">
        <f t="shared" si="18"/>
        <v>2.5249365671641786</v>
      </c>
      <c r="Y40" s="265">
        <f t="shared" si="19"/>
        <v>1.500803571428571</v>
      </c>
      <c r="Z40" s="265">
        <f t="shared" si="20"/>
        <v>0.82693877551020412</v>
      </c>
      <c r="AA40" s="265">
        <f t="shared" ca="1" si="21"/>
        <v>30.672000948001262</v>
      </c>
      <c r="AB40" s="265">
        <f t="shared" ca="1" si="22"/>
        <v>0.65190897571440198</v>
      </c>
      <c r="AC40" s="258"/>
      <c r="AD40" s="258" t="s">
        <v>6453</v>
      </c>
      <c r="AE40" s="258"/>
      <c r="AF40" s="258"/>
      <c r="AG40" s="258"/>
      <c r="AH40" s="258"/>
      <c r="AI40" s="258"/>
      <c r="AJ40" s="265">
        <f>AJ33/AJ37</f>
        <v>0.35758706467661688</v>
      </c>
      <c r="AK40" s="265">
        <f t="shared" ref="AK40:AL40" si="23">AK33/AK37</f>
        <v>0.2790178571428571</v>
      </c>
      <c r="AL40" s="265">
        <f t="shared" si="23"/>
        <v>0.14172335600907029</v>
      </c>
      <c r="AM40" s="258"/>
      <c r="AV40" s="132">
        <v>4.7310672403289669</v>
      </c>
    </row>
    <row r="41" spans="3:50" x14ac:dyDescent="0.25">
      <c r="C41" s="255" t="s">
        <v>5974</v>
      </c>
      <c r="D41" s="255">
        <v>21.9</v>
      </c>
      <c r="E41" s="268">
        <v>0.59</v>
      </c>
      <c r="F41" s="266">
        <f t="shared" si="0"/>
        <v>26.940639269406393</v>
      </c>
      <c r="G41" s="266">
        <f t="shared" si="1"/>
        <v>37.118644067796609</v>
      </c>
      <c r="H41" s="265">
        <f t="shared" si="2"/>
        <v>0.35758706467661688</v>
      </c>
      <c r="I41" s="265">
        <f t="shared" si="3"/>
        <v>0.2790178571428571</v>
      </c>
      <c r="J41" s="265">
        <f t="shared" si="4"/>
        <v>0.14172335600907029</v>
      </c>
      <c r="K41" s="258">
        <f t="shared" ca="1" si="5"/>
        <v>138.08135593220339</v>
      </c>
      <c r="L41" s="265">
        <f t="shared" si="6"/>
        <v>2.5249365671641786</v>
      </c>
      <c r="M41" s="265">
        <f t="shared" si="7"/>
        <v>1.500803571428571</v>
      </c>
      <c r="N41" s="265">
        <f t="shared" si="8"/>
        <v>0.82693877551020412</v>
      </c>
      <c r="O41" s="265">
        <f t="shared" ca="1" si="9"/>
        <v>142.93403484630636</v>
      </c>
      <c r="P41" s="265">
        <f t="shared" ca="1" si="10"/>
        <v>3.7716478652365679</v>
      </c>
      <c r="Q41" s="258">
        <f t="shared" ca="1" si="11"/>
        <v>84.2593220338983</v>
      </c>
      <c r="R41" s="265">
        <f t="shared" si="12"/>
        <v>2.5249365671641786</v>
      </c>
      <c r="S41" s="265">
        <f t="shared" si="13"/>
        <v>1.500803571428571</v>
      </c>
      <c r="T41" s="265">
        <f t="shared" si="14"/>
        <v>0.82693877551020412</v>
      </c>
      <c r="U41" s="265">
        <f t="shared" ca="1" si="15"/>
        <v>89.112000948001253</v>
      </c>
      <c r="V41" s="265">
        <f t="shared" ca="1" si="16"/>
        <v>2.3514279751767133</v>
      </c>
      <c r="W41" s="258">
        <f t="shared" ca="1" si="17"/>
        <v>20.71220338983051</v>
      </c>
      <c r="X41" s="265">
        <f t="shared" si="18"/>
        <v>2.5249365671641786</v>
      </c>
      <c r="Y41" s="265">
        <f t="shared" si="19"/>
        <v>1.500803571428571</v>
      </c>
      <c r="Z41" s="265">
        <f t="shared" si="20"/>
        <v>0.82693877551020412</v>
      </c>
      <c r="AA41" s="265">
        <f t="shared" ca="1" si="21"/>
        <v>25.564882303933462</v>
      </c>
      <c r="AB41" s="265">
        <f t="shared" ca="1" si="22"/>
        <v>0.67458904291294097</v>
      </c>
      <c r="AC41" s="258"/>
      <c r="AD41" s="228" t="s">
        <v>6454</v>
      </c>
      <c r="AE41" s="258"/>
      <c r="AF41" s="258"/>
      <c r="AG41" s="258"/>
      <c r="AH41" s="258"/>
      <c r="AI41" s="258"/>
      <c r="AJ41" s="258"/>
      <c r="AK41" s="258"/>
      <c r="AL41" s="258"/>
      <c r="AM41" s="258"/>
    </row>
    <row r="42" spans="3:50" x14ac:dyDescent="0.25">
      <c r="C42" s="255" t="s">
        <v>5975</v>
      </c>
      <c r="D42" s="255">
        <v>29.1</v>
      </c>
      <c r="E42" s="255">
        <v>0.49099999999999999</v>
      </c>
      <c r="F42" s="266">
        <f t="shared" si="0"/>
        <v>16.872852233676973</v>
      </c>
      <c r="G42" s="266">
        <f t="shared" si="1"/>
        <v>59.266802443991857</v>
      </c>
      <c r="H42" s="265">
        <f t="shared" si="2"/>
        <v>0.35758706467661688</v>
      </c>
      <c r="I42" s="265">
        <f t="shared" si="3"/>
        <v>0.2790178571428571</v>
      </c>
      <c r="J42" s="265">
        <f t="shared" si="4"/>
        <v>0.14172335600907029</v>
      </c>
      <c r="K42" s="258">
        <f t="shared" ca="1" si="5"/>
        <v>220.47250509164971</v>
      </c>
      <c r="L42" s="265">
        <f t="shared" si="6"/>
        <v>2.5249365671641786</v>
      </c>
      <c r="M42" s="265">
        <f t="shared" si="7"/>
        <v>1.500803571428571</v>
      </c>
      <c r="N42" s="265">
        <f t="shared" si="8"/>
        <v>0.82693877551020412</v>
      </c>
      <c r="O42" s="265">
        <f t="shared" ca="1" si="9"/>
        <v>225.32518400575267</v>
      </c>
      <c r="P42" s="265">
        <f t="shared" ca="1" si="10"/>
        <v>3.7525971098247521</v>
      </c>
      <c r="Q42" s="258">
        <f t="shared" ca="1" si="11"/>
        <v>134.5356415478615</v>
      </c>
      <c r="R42" s="265">
        <f t="shared" si="12"/>
        <v>2.5249365671641786</v>
      </c>
      <c r="S42" s="265">
        <f t="shared" si="13"/>
        <v>1.500803571428571</v>
      </c>
      <c r="T42" s="265">
        <f t="shared" si="14"/>
        <v>0.82693877551020412</v>
      </c>
      <c r="U42" s="265">
        <f t="shared" ca="1" si="15"/>
        <v>139.38832046196447</v>
      </c>
      <c r="V42" s="265">
        <f t="shared" ca="1" si="16"/>
        <v>2.3213925723257813</v>
      </c>
      <c r="W42" s="258">
        <f t="shared" ca="1" si="17"/>
        <v>33.070875763747459</v>
      </c>
      <c r="X42" s="265">
        <f t="shared" si="18"/>
        <v>2.5249365671641786</v>
      </c>
      <c r="Y42" s="265">
        <f t="shared" si="19"/>
        <v>1.500803571428571</v>
      </c>
      <c r="Z42" s="265">
        <f t="shared" si="20"/>
        <v>0.82693877551020412</v>
      </c>
      <c r="AA42" s="265">
        <f t="shared" ca="1" si="21"/>
        <v>37.923554677850412</v>
      </c>
      <c r="AB42" s="265">
        <f t="shared" ca="1" si="22"/>
        <v>0.63158418046492804</v>
      </c>
      <c r="AC42" s="258"/>
      <c r="AD42" s="258" t="s">
        <v>6455</v>
      </c>
      <c r="AE42" s="258"/>
      <c r="AF42" s="258"/>
      <c r="AG42" s="258"/>
      <c r="AH42" s="258"/>
      <c r="AI42" s="258"/>
      <c r="AJ42" s="258"/>
      <c r="AK42" s="258"/>
      <c r="AL42" s="258"/>
      <c r="AM42" s="258"/>
    </row>
    <row r="43" spans="3:50" x14ac:dyDescent="0.25">
      <c r="C43" s="255" t="s">
        <v>5976</v>
      </c>
      <c r="D43" s="255">
        <v>22.5</v>
      </c>
      <c r="E43" s="255">
        <v>0.49099999999999999</v>
      </c>
      <c r="F43" s="266">
        <f t="shared" si="0"/>
        <v>21.822222222222223</v>
      </c>
      <c r="G43" s="266">
        <f t="shared" si="1"/>
        <v>45.824847250509166</v>
      </c>
      <c r="H43" s="265">
        <f t="shared" si="2"/>
        <v>0.35758706467661688</v>
      </c>
      <c r="I43" s="265">
        <f t="shared" si="3"/>
        <v>0.2790178571428571</v>
      </c>
      <c r="J43" s="265">
        <f t="shared" si="4"/>
        <v>0.14172335600907029</v>
      </c>
      <c r="K43" s="258">
        <f t="shared" ca="1" si="5"/>
        <v>170.4684317718941</v>
      </c>
      <c r="L43" s="265">
        <f t="shared" si="6"/>
        <v>2.5249365671641786</v>
      </c>
      <c r="M43" s="265">
        <f t="shared" si="7"/>
        <v>1.500803571428571</v>
      </c>
      <c r="N43" s="265">
        <f t="shared" si="8"/>
        <v>0.82693877551020412</v>
      </c>
      <c r="O43" s="265">
        <f t="shared" ca="1" si="9"/>
        <v>175.32111068599707</v>
      </c>
      <c r="P43" s="265">
        <f t="shared" ca="1" si="10"/>
        <v>3.7619992349961353</v>
      </c>
      <c r="Q43" s="258">
        <f t="shared" ca="1" si="11"/>
        <v>104.0224032586558</v>
      </c>
      <c r="R43" s="265">
        <f t="shared" si="12"/>
        <v>2.5249365671641786</v>
      </c>
      <c r="S43" s="265">
        <f t="shared" si="13"/>
        <v>1.500803571428571</v>
      </c>
      <c r="T43" s="265">
        <f t="shared" si="14"/>
        <v>0.82693877551020412</v>
      </c>
      <c r="U43" s="265">
        <f t="shared" ca="1" si="15"/>
        <v>108.87508217275875</v>
      </c>
      <c r="V43" s="265">
        <f t="shared" ca="1" si="16"/>
        <v>2.3362159539226193</v>
      </c>
      <c r="W43" s="258">
        <f t="shared" ca="1" si="17"/>
        <v>25.570264765784117</v>
      </c>
      <c r="X43" s="265">
        <f t="shared" si="18"/>
        <v>2.5249365671641786</v>
      </c>
      <c r="Y43" s="265">
        <f t="shared" si="19"/>
        <v>1.500803571428571</v>
      </c>
      <c r="Z43" s="265">
        <f t="shared" si="20"/>
        <v>0.82693877551020412</v>
      </c>
      <c r="AA43" s="265">
        <f t="shared" ca="1" si="21"/>
        <v>30.422943679887069</v>
      </c>
      <c r="AB43" s="265">
        <f t="shared" ca="1" si="22"/>
        <v>0.65280838344133818</v>
      </c>
      <c r="AC43" s="258"/>
      <c r="AD43" s="258"/>
      <c r="AE43" s="258"/>
      <c r="AF43" s="258"/>
      <c r="AG43" s="258"/>
      <c r="AH43" s="258"/>
      <c r="AI43" s="265"/>
      <c r="AJ43" s="258"/>
      <c r="AK43" s="258"/>
      <c r="AL43" s="258"/>
      <c r="AM43" s="258"/>
    </row>
    <row r="44" spans="3:50" ht="14" x14ac:dyDescent="0.3">
      <c r="C44" s="255" t="s">
        <v>5977</v>
      </c>
      <c r="D44" s="267">
        <v>18</v>
      </c>
      <c r="E44" s="255">
        <v>0.49099999999999999</v>
      </c>
      <c r="F44" s="266">
        <f t="shared" si="0"/>
        <v>27.277777777777775</v>
      </c>
      <c r="G44" s="266">
        <f t="shared" si="1"/>
        <v>36.65987780040733</v>
      </c>
      <c r="H44" s="265">
        <f t="shared" si="2"/>
        <v>0.35758706467661688</v>
      </c>
      <c r="I44" s="265">
        <f t="shared" si="3"/>
        <v>0.2790178571428571</v>
      </c>
      <c r="J44" s="265">
        <f t="shared" si="4"/>
        <v>0.14172335600907029</v>
      </c>
      <c r="K44" s="258">
        <f t="shared" ca="1" si="5"/>
        <v>136.37474541751527</v>
      </c>
      <c r="L44" s="265">
        <f t="shared" si="6"/>
        <v>2.5249365671641786</v>
      </c>
      <c r="M44" s="265">
        <f t="shared" si="7"/>
        <v>1.500803571428571</v>
      </c>
      <c r="N44" s="265">
        <f t="shared" si="8"/>
        <v>0.82693877551020412</v>
      </c>
      <c r="O44" s="265">
        <f t="shared" ca="1" si="9"/>
        <v>141.22742433161824</v>
      </c>
      <c r="P44" s="265">
        <f t="shared" ca="1" si="10"/>
        <v>3.772280756094204</v>
      </c>
      <c r="Q44" s="258">
        <f t="shared" ca="1" si="11"/>
        <v>83.217922606924645</v>
      </c>
      <c r="R44" s="265">
        <f t="shared" si="12"/>
        <v>2.5249365671641786</v>
      </c>
      <c r="S44" s="265">
        <f t="shared" si="13"/>
        <v>1.500803571428571</v>
      </c>
      <c r="T44" s="265">
        <f t="shared" si="14"/>
        <v>0.82693877551020412</v>
      </c>
      <c r="U44" s="265">
        <f t="shared" ca="1" si="15"/>
        <v>88.070601521027598</v>
      </c>
      <c r="V44" s="265">
        <f t="shared" ca="1" si="16"/>
        <v>2.3524257903005159</v>
      </c>
      <c r="W44" s="258">
        <f t="shared" ca="1" si="17"/>
        <v>20.456211812627291</v>
      </c>
      <c r="X44" s="265">
        <f t="shared" si="18"/>
        <v>2.5249365671641786</v>
      </c>
      <c r="Y44" s="265">
        <f t="shared" si="19"/>
        <v>1.500803571428571</v>
      </c>
      <c r="Z44" s="265">
        <f t="shared" si="20"/>
        <v>0.82693877551020412</v>
      </c>
      <c r="AA44" s="265">
        <f t="shared" ca="1" si="21"/>
        <v>25.308890726730244</v>
      </c>
      <c r="AB44" s="265">
        <f t="shared" ca="1" si="22"/>
        <v>0.67601772034272711</v>
      </c>
      <c r="AC44" s="258"/>
      <c r="AD44" s="260" t="s">
        <v>6507</v>
      </c>
      <c r="AE44" s="258"/>
      <c r="AF44" s="258"/>
      <c r="AG44" s="258"/>
      <c r="AH44" s="258"/>
      <c r="AI44" s="258"/>
      <c r="AJ44" s="258"/>
      <c r="AK44" s="258"/>
      <c r="AL44" s="258"/>
      <c r="AM44" s="258"/>
      <c r="AR44" s="132" t="s">
        <v>6490</v>
      </c>
    </row>
    <row r="45" spans="3:50" ht="13" x14ac:dyDescent="0.3">
      <c r="C45" s="255" t="s">
        <v>5978</v>
      </c>
      <c r="D45" s="255">
        <v>14.9</v>
      </c>
      <c r="E45" s="255">
        <v>0.49099999999999999</v>
      </c>
      <c r="F45" s="266">
        <f t="shared" si="0"/>
        <v>32.953020134228183</v>
      </c>
      <c r="G45" s="266">
        <f t="shared" si="1"/>
        <v>30.346232179226071</v>
      </c>
      <c r="H45" s="265">
        <f t="shared" si="2"/>
        <v>0.35758706467661688</v>
      </c>
      <c r="I45" s="265">
        <f t="shared" si="3"/>
        <v>0.2790178571428571</v>
      </c>
      <c r="J45" s="265">
        <f t="shared" si="4"/>
        <v>0.14172335600907029</v>
      </c>
      <c r="K45" s="258">
        <f t="shared" ca="1" si="5"/>
        <v>112.88798370672099</v>
      </c>
      <c r="L45" s="265">
        <f t="shared" si="6"/>
        <v>2.5249365671641786</v>
      </c>
      <c r="M45" s="265">
        <f t="shared" si="7"/>
        <v>1.500803571428571</v>
      </c>
      <c r="N45" s="265">
        <f t="shared" si="8"/>
        <v>0.82693877551020412</v>
      </c>
      <c r="O45" s="265">
        <f t="shared" ca="1" si="9"/>
        <v>117.74066262082394</v>
      </c>
      <c r="P45" s="265">
        <f t="shared" ca="1" si="10"/>
        <v>3.782885955394661</v>
      </c>
      <c r="Q45" s="258">
        <f t="shared" ca="1" si="11"/>
        <v>68.885947046843185</v>
      </c>
      <c r="R45" s="265">
        <f t="shared" si="12"/>
        <v>2.5249365671641786</v>
      </c>
      <c r="S45" s="265">
        <f t="shared" si="13"/>
        <v>1.500803571428571</v>
      </c>
      <c r="T45" s="265">
        <f t="shared" si="14"/>
        <v>0.82693877551020412</v>
      </c>
      <c r="U45" s="265">
        <f t="shared" ca="1" si="15"/>
        <v>73.738625960946138</v>
      </c>
      <c r="V45" s="265">
        <f t="shared" ca="1" si="16"/>
        <v>2.3691459374242414</v>
      </c>
      <c r="W45" s="258">
        <f t="shared" ca="1" si="17"/>
        <v>16.93319755600815</v>
      </c>
      <c r="X45" s="265">
        <f t="shared" si="18"/>
        <v>2.5249365671641786</v>
      </c>
      <c r="Y45" s="265">
        <f t="shared" si="19"/>
        <v>1.500803571428571</v>
      </c>
      <c r="Z45" s="265">
        <f t="shared" si="20"/>
        <v>0.82693877551020412</v>
      </c>
      <c r="AA45" s="265">
        <f t="shared" ca="1" si="21"/>
        <v>21.785876470111102</v>
      </c>
      <c r="AB45" s="265">
        <f t="shared" ca="1" si="22"/>
        <v>0.69995772310330473</v>
      </c>
      <c r="AC45" s="258"/>
      <c r="AD45" s="227" t="s">
        <v>5630</v>
      </c>
      <c r="AE45" s="201" t="s">
        <v>74</v>
      </c>
      <c r="AF45" s="258"/>
      <c r="AG45" s="258"/>
      <c r="AH45" s="258"/>
      <c r="AI45" s="258"/>
      <c r="AJ45" s="258"/>
      <c r="AK45" s="258"/>
      <c r="AL45" s="258"/>
      <c r="AM45" s="258"/>
      <c r="AN45" s="132" t="s">
        <v>6508</v>
      </c>
      <c r="AO45" s="132">
        <v>60</v>
      </c>
      <c r="AP45" s="132">
        <v>100</v>
      </c>
      <c r="AQ45" s="132">
        <v>75</v>
      </c>
      <c r="AR45" s="132" t="s">
        <v>6509</v>
      </c>
    </row>
    <row r="46" spans="3:50" ht="13" x14ac:dyDescent="0.3">
      <c r="C46" s="255" t="s">
        <v>5979</v>
      </c>
      <c r="D46" s="255">
        <v>17.7</v>
      </c>
      <c r="E46" s="255">
        <v>0.39200000000000002</v>
      </c>
      <c r="F46" s="266">
        <f t="shared" si="0"/>
        <v>22.146892655367235</v>
      </c>
      <c r="G46" s="266">
        <f t="shared" si="1"/>
        <v>45.15306122448979</v>
      </c>
      <c r="H46" s="265">
        <f t="shared" si="2"/>
        <v>0.35758706467661688</v>
      </c>
      <c r="I46" s="265">
        <f t="shared" si="3"/>
        <v>0.2790178571428571</v>
      </c>
      <c r="J46" s="265">
        <f t="shared" si="4"/>
        <v>0.14172335600907029</v>
      </c>
      <c r="K46" s="258">
        <f t="shared" ca="1" si="5"/>
        <v>167.96938775510202</v>
      </c>
      <c r="L46" s="265">
        <f t="shared" si="6"/>
        <v>2.5249365671641786</v>
      </c>
      <c r="M46" s="265">
        <f t="shared" si="7"/>
        <v>1.500803571428571</v>
      </c>
      <c r="N46" s="265">
        <f t="shared" si="8"/>
        <v>0.82693877551020412</v>
      </c>
      <c r="O46" s="265">
        <f t="shared" ca="1" si="9"/>
        <v>172.82206666920499</v>
      </c>
      <c r="P46" s="265">
        <f t="shared" ca="1" si="10"/>
        <v>3.762613509884825</v>
      </c>
      <c r="Q46" s="258">
        <f t="shared" ca="1" si="11"/>
        <v>102.49744897959182</v>
      </c>
      <c r="R46" s="265">
        <f t="shared" si="12"/>
        <v>2.5249365671641786</v>
      </c>
      <c r="S46" s="265">
        <f t="shared" si="13"/>
        <v>1.500803571428571</v>
      </c>
      <c r="T46" s="265">
        <f t="shared" si="14"/>
        <v>0.82693877551020412</v>
      </c>
      <c r="U46" s="265">
        <f t="shared" ca="1" si="15"/>
        <v>107.35012789369478</v>
      </c>
      <c r="V46" s="265">
        <f t="shared" ca="1" si="16"/>
        <v>2.3371844191274991</v>
      </c>
      <c r="W46" s="258">
        <f t="shared" ca="1" si="17"/>
        <v>25.195408163265306</v>
      </c>
      <c r="X46" s="265">
        <f t="shared" si="18"/>
        <v>2.5249365671641786</v>
      </c>
      <c r="Y46" s="265">
        <f t="shared" si="19"/>
        <v>1.500803571428571</v>
      </c>
      <c r="Z46" s="265">
        <f t="shared" si="20"/>
        <v>0.82693877551020412</v>
      </c>
      <c r="AA46" s="265">
        <f t="shared" ca="1" si="21"/>
        <v>30.048087077368258</v>
      </c>
      <c r="AB46" s="265">
        <f t="shared" ca="1" si="22"/>
        <v>0.65419503748850483</v>
      </c>
      <c r="AC46" s="258"/>
      <c r="AD46" s="227" t="s">
        <v>5631</v>
      </c>
      <c r="AE46" s="201" t="s">
        <v>72</v>
      </c>
      <c r="AF46" s="258"/>
      <c r="AG46" s="258"/>
      <c r="AH46" s="258"/>
      <c r="AI46" s="258"/>
      <c r="AJ46" s="258"/>
      <c r="AK46" s="258"/>
      <c r="AL46" s="258"/>
      <c r="AM46" s="258"/>
      <c r="AO46" s="132">
        <v>90</v>
      </c>
      <c r="AP46" s="132">
        <v>150</v>
      </c>
      <c r="AQ46" s="132">
        <v>112.5</v>
      </c>
      <c r="AR46" s="132" t="s">
        <v>6509</v>
      </c>
    </row>
    <row r="47" spans="3:50" ht="13" x14ac:dyDescent="0.3">
      <c r="C47" s="255" t="s">
        <v>5980</v>
      </c>
      <c r="D47" s="255">
        <v>14.2</v>
      </c>
      <c r="E47" s="255">
        <v>0.39200000000000002</v>
      </c>
      <c r="F47" s="266">
        <f t="shared" si="0"/>
        <v>27.605633802816904</v>
      </c>
      <c r="G47" s="266">
        <f t="shared" si="1"/>
        <v>36.224489795918366</v>
      </c>
      <c r="H47" s="265">
        <f t="shared" si="2"/>
        <v>0.35758706467661688</v>
      </c>
      <c r="I47" s="265">
        <f t="shared" si="3"/>
        <v>0.2790178571428571</v>
      </c>
      <c r="J47" s="265">
        <f t="shared" si="4"/>
        <v>0.14172335600907029</v>
      </c>
      <c r="K47" s="258">
        <f t="shared" ca="1" si="5"/>
        <v>134.75510204081633</v>
      </c>
      <c r="L47" s="265">
        <f t="shared" si="6"/>
        <v>2.5249365671641786</v>
      </c>
      <c r="M47" s="265">
        <f t="shared" si="7"/>
        <v>1.500803571428571</v>
      </c>
      <c r="N47" s="265">
        <f t="shared" si="8"/>
        <v>0.82693877551020412</v>
      </c>
      <c r="O47" s="265">
        <f t="shared" ca="1" si="9"/>
        <v>139.60778095491929</v>
      </c>
      <c r="P47" s="265">
        <f t="shared" ca="1" si="10"/>
        <v>3.7728959096217993</v>
      </c>
      <c r="Q47" s="258">
        <f t="shared" ca="1" si="11"/>
        <v>82.229591836734699</v>
      </c>
      <c r="R47" s="265">
        <f t="shared" si="12"/>
        <v>2.5249365671641786</v>
      </c>
      <c r="S47" s="265">
        <f t="shared" si="13"/>
        <v>1.500803571428571</v>
      </c>
      <c r="T47" s="265">
        <f t="shared" si="14"/>
        <v>0.82693877551020412</v>
      </c>
      <c r="U47" s="265">
        <f t="shared" ca="1" si="15"/>
        <v>87.082270750837651</v>
      </c>
      <c r="V47" s="265">
        <f t="shared" ca="1" si="16"/>
        <v>2.3533956407666574</v>
      </c>
      <c r="W47" s="258">
        <f t="shared" ca="1" si="17"/>
        <v>20.213265306122452</v>
      </c>
      <c r="X47" s="265">
        <f t="shared" si="18"/>
        <v>2.5249365671641786</v>
      </c>
      <c r="Y47" s="265">
        <f t="shared" si="19"/>
        <v>1.500803571428571</v>
      </c>
      <c r="Z47" s="265">
        <f t="shared" si="20"/>
        <v>0.82693877551020412</v>
      </c>
      <c r="AA47" s="265">
        <f t="shared" ca="1" si="21"/>
        <v>25.065944220225404</v>
      </c>
      <c r="AB47" s="265">
        <f t="shared" ca="1" si="22"/>
        <v>0.6774063578149313</v>
      </c>
      <c r="AC47" s="258"/>
      <c r="AD47" s="227" t="s">
        <v>5632</v>
      </c>
      <c r="AE47" s="201" t="s">
        <v>74</v>
      </c>
      <c r="AF47" s="258"/>
      <c r="AG47" s="258"/>
      <c r="AH47" s="258"/>
      <c r="AI47" s="258"/>
      <c r="AJ47" s="258"/>
      <c r="AK47" s="258"/>
      <c r="AL47" s="258"/>
      <c r="AM47" s="258"/>
      <c r="AO47" s="132">
        <v>11.1</v>
      </c>
      <c r="AP47" s="132">
        <v>6.7</v>
      </c>
      <c r="AQ47" s="132">
        <v>9.4499999999999993</v>
      </c>
      <c r="AR47" s="132" t="s">
        <v>6474</v>
      </c>
    </row>
    <row r="48" spans="3:50" ht="13" x14ac:dyDescent="0.3">
      <c r="C48" s="255" t="s">
        <v>5981</v>
      </c>
      <c r="D48" s="255">
        <v>11.8</v>
      </c>
      <c r="E48" s="255">
        <v>0.39200000000000002</v>
      </c>
      <c r="F48" s="266">
        <f t="shared" si="0"/>
        <v>33.220338983050844</v>
      </c>
      <c r="G48" s="266">
        <f t="shared" si="1"/>
        <v>30.102040816326532</v>
      </c>
      <c r="H48" s="265">
        <f t="shared" si="2"/>
        <v>0.35758706467661688</v>
      </c>
      <c r="I48" s="265">
        <f t="shared" si="3"/>
        <v>0.2790178571428571</v>
      </c>
      <c r="J48" s="265">
        <f t="shared" si="4"/>
        <v>0.14172335600907029</v>
      </c>
      <c r="K48" s="258">
        <f t="shared" ca="1" si="5"/>
        <v>111.97959183673471</v>
      </c>
      <c r="L48" s="265">
        <f t="shared" si="6"/>
        <v>2.5249365671641786</v>
      </c>
      <c r="M48" s="265">
        <f t="shared" si="7"/>
        <v>1.500803571428571</v>
      </c>
      <c r="N48" s="265">
        <f t="shared" si="8"/>
        <v>0.82693877551020412</v>
      </c>
      <c r="O48" s="265">
        <f t="shared" ca="1" si="9"/>
        <v>116.83227075083767</v>
      </c>
      <c r="P48" s="265">
        <f t="shared" ca="1" si="10"/>
        <v>3.7833832359520354</v>
      </c>
      <c r="Q48" s="258">
        <f t="shared" ca="1" si="11"/>
        <v>68.331632653061234</v>
      </c>
      <c r="R48" s="265">
        <f t="shared" si="12"/>
        <v>2.5249365671641786</v>
      </c>
      <c r="S48" s="265">
        <f t="shared" si="13"/>
        <v>1.500803571428571</v>
      </c>
      <c r="T48" s="265">
        <f t="shared" si="14"/>
        <v>0.82693877551020412</v>
      </c>
      <c r="U48" s="265">
        <f t="shared" ca="1" si="15"/>
        <v>73.184311567164187</v>
      </c>
      <c r="V48" s="265">
        <f t="shared" ca="1" si="16"/>
        <v>2.3699299494777168</v>
      </c>
      <c r="W48" s="258">
        <f t="shared" ca="1" si="17"/>
        <v>16.796938775510206</v>
      </c>
      <c r="X48" s="265">
        <f t="shared" si="18"/>
        <v>2.5249365671641786</v>
      </c>
      <c r="Y48" s="265">
        <f t="shared" si="19"/>
        <v>1.500803571428571</v>
      </c>
      <c r="Z48" s="265">
        <f t="shared" si="20"/>
        <v>0.82693877551020412</v>
      </c>
      <c r="AA48" s="265">
        <f t="shared" ca="1" si="21"/>
        <v>21.649617689613159</v>
      </c>
      <c r="AB48" s="265">
        <f t="shared" ca="1" si="22"/>
        <v>0.70108027606803824</v>
      </c>
      <c r="AC48" s="258"/>
      <c r="AD48" s="227" t="s">
        <v>5633</v>
      </c>
      <c r="AE48" s="202" t="s">
        <v>74</v>
      </c>
      <c r="AF48" s="269">
        <v>0.2</v>
      </c>
      <c r="AG48" s="258"/>
      <c r="AH48" s="258"/>
      <c r="AI48" s="258"/>
      <c r="AJ48" s="258"/>
      <c r="AK48" s="258"/>
      <c r="AL48" s="258"/>
      <c r="AM48" s="258"/>
    </row>
    <row r="49" spans="3:45" x14ac:dyDescent="0.25">
      <c r="C49" s="255" t="s">
        <v>5982</v>
      </c>
      <c r="D49" s="255">
        <v>9.16</v>
      </c>
      <c r="E49" s="255">
        <v>0.39200000000000002</v>
      </c>
      <c r="F49" s="266">
        <f t="shared" si="0"/>
        <v>42.79475982532751</v>
      </c>
      <c r="G49" s="266">
        <f t="shared" si="1"/>
        <v>23.367346938775508</v>
      </c>
      <c r="H49" s="265">
        <f t="shared" si="2"/>
        <v>0.35758706467661688</v>
      </c>
      <c r="I49" s="265">
        <f t="shared" si="3"/>
        <v>0.2790178571428571</v>
      </c>
      <c r="J49" s="265">
        <f t="shared" si="4"/>
        <v>0.14172335600907029</v>
      </c>
      <c r="K49" s="258">
        <f t="shared" ca="1" si="5"/>
        <v>86.926530612244889</v>
      </c>
      <c r="L49" s="265">
        <f t="shared" si="6"/>
        <v>2.5249365671641786</v>
      </c>
      <c r="M49" s="265">
        <f t="shared" si="7"/>
        <v>1.500803571428571</v>
      </c>
      <c r="N49" s="265">
        <f t="shared" si="8"/>
        <v>0.82693877551020412</v>
      </c>
      <c r="O49" s="265">
        <f t="shared" ca="1" si="9"/>
        <v>91.779209526347842</v>
      </c>
      <c r="P49" s="265">
        <f t="shared" ca="1" si="10"/>
        <v>3.8010620412567628</v>
      </c>
      <c r="Q49" s="258">
        <f t="shared" ca="1" si="11"/>
        <v>53.043877551020401</v>
      </c>
      <c r="R49" s="265">
        <f t="shared" si="12"/>
        <v>2.5249365671641786</v>
      </c>
      <c r="S49" s="265">
        <f t="shared" si="13"/>
        <v>1.500803571428571</v>
      </c>
      <c r="T49" s="265">
        <f t="shared" si="14"/>
        <v>0.82693877551020412</v>
      </c>
      <c r="U49" s="265">
        <f t="shared" ca="1" si="15"/>
        <v>57.896556465123354</v>
      </c>
      <c r="V49" s="265">
        <f t="shared" ca="1" si="16"/>
        <v>2.3978023370955519</v>
      </c>
      <c r="W49" s="258">
        <f t="shared" ca="1" si="17"/>
        <v>13.038979591836735</v>
      </c>
      <c r="X49" s="265">
        <f t="shared" si="18"/>
        <v>2.5249365671641786</v>
      </c>
      <c r="Y49" s="265">
        <f t="shared" si="19"/>
        <v>1.500803571428571</v>
      </c>
      <c r="Z49" s="265">
        <f t="shared" si="20"/>
        <v>0.82693877551020412</v>
      </c>
      <c r="AA49" s="265">
        <f t="shared" ca="1" si="21"/>
        <v>17.891658505939688</v>
      </c>
      <c r="AB49" s="265">
        <f t="shared" ca="1" si="22"/>
        <v>0.74098812087210886</v>
      </c>
      <c r="AC49" s="258"/>
      <c r="AD49" s="258"/>
      <c r="AE49" s="258"/>
      <c r="AF49" s="258"/>
      <c r="AG49" s="258"/>
      <c r="AH49" s="258"/>
      <c r="AI49" s="258"/>
      <c r="AJ49" s="258"/>
      <c r="AK49" s="258"/>
      <c r="AL49" s="258"/>
      <c r="AM49" s="258"/>
      <c r="AR49" s="132" t="s">
        <v>6510</v>
      </c>
    </row>
    <row r="50" spans="3:45" ht="13" x14ac:dyDescent="0.3">
      <c r="C50" s="255" t="s">
        <v>5983</v>
      </c>
      <c r="D50" s="255">
        <v>12.7</v>
      </c>
      <c r="E50" s="255">
        <v>0.35199999999999998</v>
      </c>
      <c r="F50" s="266">
        <f t="shared" si="0"/>
        <v>27.716535433070863</v>
      </c>
      <c r="G50" s="266">
        <f t="shared" si="1"/>
        <v>36.079545454545453</v>
      </c>
      <c r="H50" s="265">
        <f t="shared" si="2"/>
        <v>0.35758706467661688</v>
      </c>
      <c r="I50" s="265">
        <f t="shared" si="3"/>
        <v>0.2790178571428571</v>
      </c>
      <c r="J50" s="265">
        <f t="shared" si="4"/>
        <v>0.14172335600907029</v>
      </c>
      <c r="K50" s="258">
        <f t="shared" ca="1" si="5"/>
        <v>134.21590909090909</v>
      </c>
      <c r="L50" s="265">
        <f t="shared" si="6"/>
        <v>2.5249365671641786</v>
      </c>
      <c r="M50" s="265">
        <f t="shared" si="7"/>
        <v>1.500803571428571</v>
      </c>
      <c r="N50" s="265">
        <f t="shared" si="8"/>
        <v>0.82693877551020412</v>
      </c>
      <c r="O50" s="265">
        <f t="shared" ca="1" si="9"/>
        <v>139.06858800501206</v>
      </c>
      <c r="P50" s="265">
        <f t="shared" ca="1" si="10"/>
        <v>3.7731039238669268</v>
      </c>
      <c r="Q50" s="258">
        <f t="shared" ca="1" si="11"/>
        <v>81.900568181818173</v>
      </c>
      <c r="R50" s="265">
        <f t="shared" si="12"/>
        <v>2.5249365671641786</v>
      </c>
      <c r="S50" s="265">
        <f t="shared" si="13"/>
        <v>1.500803571428571</v>
      </c>
      <c r="T50" s="265">
        <f t="shared" si="14"/>
        <v>0.82693877551020412</v>
      </c>
      <c r="U50" s="265">
        <f t="shared" ca="1" si="15"/>
        <v>86.753247095921125</v>
      </c>
      <c r="V50" s="265">
        <f t="shared" ca="1" si="16"/>
        <v>2.35372359582755</v>
      </c>
      <c r="W50" s="258">
        <f t="shared" ca="1" si="17"/>
        <v>20.132386363636364</v>
      </c>
      <c r="X50" s="265">
        <f t="shared" si="18"/>
        <v>2.5249365671641786</v>
      </c>
      <c r="Y50" s="265">
        <f t="shared" si="19"/>
        <v>1.500803571428571</v>
      </c>
      <c r="Z50" s="265">
        <f t="shared" si="20"/>
        <v>0.82693877551020412</v>
      </c>
      <c r="AA50" s="265">
        <f t="shared" ca="1" si="21"/>
        <v>24.985065277739317</v>
      </c>
      <c r="AB50" s="265">
        <f t="shared" ca="1" si="22"/>
        <v>0.67787592575623168</v>
      </c>
      <c r="AC50" s="258"/>
      <c r="AD50" s="227" t="s">
        <v>5962</v>
      </c>
      <c r="AE50" s="258" t="s">
        <v>6511</v>
      </c>
      <c r="AF50" s="258" t="s">
        <v>5963</v>
      </c>
      <c r="AG50" s="258" t="s">
        <v>5964</v>
      </c>
      <c r="AH50" s="258"/>
      <c r="AI50" s="258"/>
      <c r="AJ50" s="258"/>
      <c r="AK50" s="258"/>
      <c r="AL50" s="258"/>
      <c r="AM50" s="258"/>
      <c r="AR50" s="132" t="s">
        <v>6512</v>
      </c>
    </row>
    <row r="51" spans="3:45" ht="13" x14ac:dyDescent="0.3">
      <c r="C51" s="255" t="s">
        <v>5984</v>
      </c>
      <c r="D51" s="255">
        <v>10.6</v>
      </c>
      <c r="E51" s="255">
        <v>0.35199999999999998</v>
      </c>
      <c r="F51" s="266">
        <f t="shared" si="0"/>
        <v>33.20754716981132</v>
      </c>
      <c r="G51" s="266">
        <f t="shared" si="1"/>
        <v>30.113636363636363</v>
      </c>
      <c r="H51" s="265">
        <f t="shared" si="2"/>
        <v>0.35758706467661688</v>
      </c>
      <c r="I51" s="265">
        <f t="shared" si="3"/>
        <v>0.2790178571428571</v>
      </c>
      <c r="J51" s="265">
        <f t="shared" si="4"/>
        <v>0.14172335600907029</v>
      </c>
      <c r="K51" s="258">
        <f t="shared" ca="1" si="5"/>
        <v>112.02272727272728</v>
      </c>
      <c r="L51" s="265">
        <f t="shared" si="6"/>
        <v>2.5249365671641786</v>
      </c>
      <c r="M51" s="265">
        <f t="shared" si="7"/>
        <v>1.500803571428571</v>
      </c>
      <c r="N51" s="265">
        <f t="shared" si="8"/>
        <v>0.82693877551020412</v>
      </c>
      <c r="O51" s="265">
        <f t="shared" ca="1" si="9"/>
        <v>116.87540618683023</v>
      </c>
      <c r="P51" s="265">
        <f t="shared" ca="1" si="10"/>
        <v>3.7833594445447982</v>
      </c>
      <c r="Q51" s="258">
        <f t="shared" ca="1" si="11"/>
        <v>68.357954545454547</v>
      </c>
      <c r="R51" s="265">
        <f t="shared" si="12"/>
        <v>2.5249365671641786</v>
      </c>
      <c r="S51" s="265">
        <f t="shared" si="13"/>
        <v>1.500803571428571</v>
      </c>
      <c r="T51" s="265">
        <f t="shared" si="14"/>
        <v>0.82693877551020412</v>
      </c>
      <c r="U51" s="265">
        <f t="shared" ca="1" si="15"/>
        <v>73.210633459557499</v>
      </c>
      <c r="V51" s="265">
        <f t="shared" ca="1" si="16"/>
        <v>2.3698924399677099</v>
      </c>
      <c r="W51" s="258">
        <f t="shared" ca="1" si="17"/>
        <v>16.803409090909092</v>
      </c>
      <c r="X51" s="265">
        <f t="shared" si="18"/>
        <v>2.5249365671641786</v>
      </c>
      <c r="Y51" s="265">
        <f t="shared" si="19"/>
        <v>1.500803571428571</v>
      </c>
      <c r="Z51" s="265">
        <f t="shared" si="20"/>
        <v>0.82693877551020412</v>
      </c>
      <c r="AA51" s="265">
        <f t="shared" ca="1" si="21"/>
        <v>21.656088005012045</v>
      </c>
      <c r="AB51" s="265">
        <f t="shared" ca="1" si="22"/>
        <v>0.70102656973600319</v>
      </c>
      <c r="AC51" s="258"/>
      <c r="AD51" s="227" t="s">
        <v>6479</v>
      </c>
      <c r="AE51" s="263">
        <f>0.0742+5.81</f>
        <v>5.8841999999999999</v>
      </c>
      <c r="AF51" s="263">
        <f>AE51*(1+$AF$48)</f>
        <v>7.0610399999999993</v>
      </c>
      <c r="AG51" s="258" t="s">
        <v>6513</v>
      </c>
      <c r="AH51" s="258"/>
      <c r="AI51" s="258"/>
      <c r="AJ51" s="258"/>
      <c r="AK51" s="258"/>
      <c r="AL51" s="258"/>
      <c r="AM51" s="258"/>
      <c r="AR51" s="132" t="s">
        <v>6514</v>
      </c>
    </row>
    <row r="52" spans="3:45" ht="13" x14ac:dyDescent="0.3">
      <c r="C52" s="255" t="s">
        <v>5985</v>
      </c>
      <c r="D52" s="255">
        <v>8.2200000000000006</v>
      </c>
      <c r="E52" s="255">
        <v>0.35199999999999998</v>
      </c>
      <c r="F52" s="266">
        <f t="shared" si="0"/>
        <v>42.822384428223835</v>
      </c>
      <c r="G52" s="266">
        <f t="shared" si="1"/>
        <v>23.35227272727273</v>
      </c>
      <c r="H52" s="265">
        <f t="shared" si="2"/>
        <v>0.35758706467661688</v>
      </c>
      <c r="I52" s="265">
        <f t="shared" si="3"/>
        <v>0.2790178571428571</v>
      </c>
      <c r="J52" s="265">
        <f t="shared" si="4"/>
        <v>0.14172335600907029</v>
      </c>
      <c r="K52" s="258">
        <f t="shared" ca="1" si="5"/>
        <v>86.870454545454564</v>
      </c>
      <c r="L52" s="265">
        <f t="shared" si="6"/>
        <v>2.5249365671641786</v>
      </c>
      <c r="M52" s="265">
        <f t="shared" si="7"/>
        <v>1.500803571428571</v>
      </c>
      <c r="N52" s="265">
        <f t="shared" si="8"/>
        <v>0.82693877551020412</v>
      </c>
      <c r="O52" s="265">
        <f t="shared" ca="1" si="9"/>
        <v>91.723133459557516</v>
      </c>
      <c r="P52" s="265">
        <f t="shared" ca="1" si="10"/>
        <v>3.8011126801262427</v>
      </c>
      <c r="Q52" s="258">
        <f t="shared" ca="1" si="11"/>
        <v>53.009659090909096</v>
      </c>
      <c r="R52" s="265">
        <f t="shared" si="12"/>
        <v>2.5249365671641786</v>
      </c>
      <c r="S52" s="265">
        <f t="shared" si="13"/>
        <v>1.500803571428571</v>
      </c>
      <c r="T52" s="265">
        <f t="shared" si="14"/>
        <v>0.82693877551020412</v>
      </c>
      <c r="U52" s="265">
        <f t="shared" ca="1" si="15"/>
        <v>57.862338005012049</v>
      </c>
      <c r="V52" s="265">
        <f t="shared" ca="1" si="16"/>
        <v>2.397882174288978</v>
      </c>
      <c r="W52" s="258">
        <f t="shared" ca="1" si="17"/>
        <v>13.030568181818184</v>
      </c>
      <c r="X52" s="265">
        <f t="shared" si="18"/>
        <v>2.5249365671641786</v>
      </c>
      <c r="Y52" s="265">
        <f t="shared" si="19"/>
        <v>1.500803571428571</v>
      </c>
      <c r="Z52" s="265">
        <f t="shared" si="20"/>
        <v>0.82693877551020412</v>
      </c>
      <c r="AA52" s="265">
        <f t="shared" ca="1" si="21"/>
        <v>17.883247095921138</v>
      </c>
      <c r="AB52" s="265">
        <f t="shared" ca="1" si="22"/>
        <v>0.74110243222456706</v>
      </c>
      <c r="AC52" s="258"/>
      <c r="AD52" s="227" t="s">
        <v>6481</v>
      </c>
      <c r="AE52" s="258">
        <f>4.8+0.0624</f>
        <v>4.8624000000000001</v>
      </c>
      <c r="AF52" s="263">
        <f t="shared" ref="AF52:AF53" si="24">AE52*(1+$AF$48)</f>
        <v>5.8348800000000001</v>
      </c>
      <c r="AG52" s="258" t="s">
        <v>6515</v>
      </c>
      <c r="AH52" s="258"/>
      <c r="AI52" s="258"/>
      <c r="AJ52" s="258"/>
      <c r="AK52" s="258"/>
      <c r="AL52" s="258"/>
      <c r="AM52" s="258"/>
      <c r="AR52" s="132" t="s">
        <v>6516</v>
      </c>
    </row>
    <row r="53" spans="3:45" ht="13" x14ac:dyDescent="0.3">
      <c r="C53" s="255" t="s">
        <v>5986</v>
      </c>
      <c r="D53" s="255">
        <v>10.5</v>
      </c>
      <c r="E53" s="255">
        <v>0.29199999999999998</v>
      </c>
      <c r="F53" s="266">
        <f t="shared" si="0"/>
        <v>27.809523809523807</v>
      </c>
      <c r="G53" s="266">
        <f t="shared" si="1"/>
        <v>35.958904109589042</v>
      </c>
      <c r="H53" s="265">
        <f t="shared" si="2"/>
        <v>0.35758706467661688</v>
      </c>
      <c r="I53" s="265">
        <f t="shared" si="3"/>
        <v>0.2790178571428571</v>
      </c>
      <c r="J53" s="265">
        <f t="shared" si="4"/>
        <v>0.14172335600907029</v>
      </c>
      <c r="K53" s="258">
        <f t="shared" ca="1" si="5"/>
        <v>133.76712328767124</v>
      </c>
      <c r="L53" s="265">
        <f t="shared" si="6"/>
        <v>2.5249365671641786</v>
      </c>
      <c r="M53" s="265">
        <f t="shared" si="7"/>
        <v>1.500803571428571</v>
      </c>
      <c r="N53" s="265">
        <f t="shared" si="8"/>
        <v>0.82693877551020412</v>
      </c>
      <c r="O53" s="265">
        <f t="shared" ca="1" si="9"/>
        <v>138.61980220177421</v>
      </c>
      <c r="P53" s="265">
        <f t="shared" ca="1" si="10"/>
        <v>3.7732783117666524</v>
      </c>
      <c r="Q53" s="258">
        <f t="shared" ca="1" si="11"/>
        <v>81.626712328767127</v>
      </c>
      <c r="R53" s="265">
        <f t="shared" si="12"/>
        <v>2.5249365671641786</v>
      </c>
      <c r="S53" s="265">
        <f t="shared" si="13"/>
        <v>1.500803571428571</v>
      </c>
      <c r="T53" s="265">
        <f t="shared" si="14"/>
        <v>0.82693877551020412</v>
      </c>
      <c r="U53" s="265">
        <f t="shared" ca="1" si="15"/>
        <v>86.479391242870079</v>
      </c>
      <c r="V53" s="265">
        <f t="shared" ca="1" si="16"/>
        <v>2.3539985356242856</v>
      </c>
      <c r="W53" s="258">
        <f t="shared" ca="1" si="17"/>
        <v>20.065068493150687</v>
      </c>
      <c r="X53" s="265">
        <f t="shared" si="18"/>
        <v>2.5249365671641786</v>
      </c>
      <c r="Y53" s="265">
        <f t="shared" si="19"/>
        <v>1.500803571428571</v>
      </c>
      <c r="Z53" s="265">
        <f t="shared" si="20"/>
        <v>0.82693877551020412</v>
      </c>
      <c r="AA53" s="265">
        <f t="shared" ca="1" si="21"/>
        <v>24.917747407253639</v>
      </c>
      <c r="AB53" s="265">
        <f t="shared" ca="1" si="22"/>
        <v>0.67826958613757493</v>
      </c>
      <c r="AC53" s="258"/>
      <c r="AD53" s="227" t="s">
        <v>6480</v>
      </c>
      <c r="AE53" s="258">
        <f>4.42+0.0624</f>
        <v>4.4824000000000002</v>
      </c>
      <c r="AF53" s="263">
        <f t="shared" si="24"/>
        <v>5.3788799999999997</v>
      </c>
      <c r="AG53" s="258" t="s">
        <v>6517</v>
      </c>
      <c r="AH53" s="258"/>
      <c r="AI53" s="258"/>
      <c r="AJ53" s="258"/>
      <c r="AK53" s="258"/>
      <c r="AL53" s="258"/>
      <c r="AM53" s="258"/>
    </row>
    <row r="54" spans="3:45" x14ac:dyDescent="0.25">
      <c r="C54" s="255" t="s">
        <v>5987</v>
      </c>
      <c r="D54" s="255">
        <v>8.73</v>
      </c>
      <c r="E54" s="255">
        <v>0.29199999999999998</v>
      </c>
      <c r="F54" s="266">
        <f t="shared" si="0"/>
        <v>33.447880870561285</v>
      </c>
      <c r="G54" s="266">
        <f t="shared" si="1"/>
        <v>29.897260273972606</v>
      </c>
      <c r="H54" s="265">
        <f t="shared" si="2"/>
        <v>0.35758706467661688</v>
      </c>
      <c r="I54" s="265">
        <f t="shared" si="3"/>
        <v>0.2790178571428571</v>
      </c>
      <c r="J54" s="265">
        <f t="shared" si="4"/>
        <v>0.14172335600907029</v>
      </c>
      <c r="K54" s="258">
        <f t="shared" ca="1" si="5"/>
        <v>111.2178082191781</v>
      </c>
      <c r="L54" s="265">
        <f t="shared" si="6"/>
        <v>2.5249365671641786</v>
      </c>
      <c r="M54" s="265">
        <f t="shared" si="7"/>
        <v>1.500803571428571</v>
      </c>
      <c r="N54" s="265">
        <f t="shared" si="8"/>
        <v>0.82693877551020412</v>
      </c>
      <c r="O54" s="265">
        <f t="shared" ca="1" si="9"/>
        <v>116.07048713328105</v>
      </c>
      <c r="P54" s="265">
        <f t="shared" ca="1" si="10"/>
        <v>3.7838063624199263</v>
      </c>
      <c r="Q54" s="258">
        <f t="shared" ca="1" si="11"/>
        <v>67.866780821917814</v>
      </c>
      <c r="R54" s="265">
        <f t="shared" si="12"/>
        <v>2.5249365671641786</v>
      </c>
      <c r="S54" s="265">
        <f t="shared" si="13"/>
        <v>1.500803571428571</v>
      </c>
      <c r="T54" s="265">
        <f t="shared" si="14"/>
        <v>0.82693877551020412</v>
      </c>
      <c r="U54" s="265">
        <f t="shared" ca="1" si="15"/>
        <v>72.719459736020767</v>
      </c>
      <c r="V54" s="265">
        <f t="shared" ca="1" si="16"/>
        <v>2.3705970502642879</v>
      </c>
      <c r="W54" s="258">
        <f t="shared" ca="1" si="17"/>
        <v>16.682671232876714</v>
      </c>
      <c r="X54" s="265">
        <f t="shared" si="18"/>
        <v>2.5249365671641786</v>
      </c>
      <c r="Y54" s="265">
        <f t="shared" si="19"/>
        <v>1.500803571428571</v>
      </c>
      <c r="Z54" s="265">
        <f t="shared" si="20"/>
        <v>0.82693877551020412</v>
      </c>
      <c r="AA54" s="265">
        <f t="shared" ca="1" si="21"/>
        <v>21.535350146979667</v>
      </c>
      <c r="AB54" s="265">
        <f t="shared" ca="1" si="22"/>
        <v>0.70203543480880315</v>
      </c>
      <c r="AC54" s="258"/>
      <c r="AD54" s="258"/>
      <c r="AE54" s="258"/>
      <c r="AF54" s="258"/>
      <c r="AG54" s="258"/>
      <c r="AH54" s="258"/>
      <c r="AI54" s="258"/>
      <c r="AJ54" s="258"/>
      <c r="AK54" s="258"/>
      <c r="AL54" s="258"/>
      <c r="AM54" s="258"/>
      <c r="AQ54" s="132" t="s">
        <v>6518</v>
      </c>
      <c r="AR54" s="132">
        <v>8.9333333333333336</v>
      </c>
      <c r="AS54" s="132" t="s">
        <v>6474</v>
      </c>
    </row>
    <row r="55" spans="3:45" x14ac:dyDescent="0.25">
      <c r="C55" s="255" t="s">
        <v>5988</v>
      </c>
      <c r="D55" s="255">
        <v>6.81</v>
      </c>
      <c r="E55" s="255">
        <v>0.29199999999999998</v>
      </c>
      <c r="F55" s="266">
        <f t="shared" si="0"/>
        <v>42.878120411160054</v>
      </c>
      <c r="G55" s="266">
        <f t="shared" si="1"/>
        <v>23.32191780821918</v>
      </c>
      <c r="H55" s="265">
        <f t="shared" si="2"/>
        <v>0.35758706467661688</v>
      </c>
      <c r="I55" s="265">
        <f t="shared" si="3"/>
        <v>0.2790178571428571</v>
      </c>
      <c r="J55" s="265">
        <f t="shared" si="4"/>
        <v>0.14172335600907029</v>
      </c>
      <c r="K55" s="258">
        <f t="shared" ca="1" si="5"/>
        <v>86.757534246575347</v>
      </c>
      <c r="L55" s="265">
        <f t="shared" si="6"/>
        <v>2.5249365671641786</v>
      </c>
      <c r="M55" s="265">
        <f t="shared" si="7"/>
        <v>1.500803571428571</v>
      </c>
      <c r="N55" s="265">
        <f t="shared" si="8"/>
        <v>0.82693877551020412</v>
      </c>
      <c r="O55" s="265">
        <f t="shared" ca="1" si="9"/>
        <v>91.610213160678299</v>
      </c>
      <c r="P55" s="265">
        <f t="shared" ca="1" si="10"/>
        <v>3.8012148437651803</v>
      </c>
      <c r="Q55" s="258">
        <f t="shared" ca="1" si="11"/>
        <v>52.940753424657537</v>
      </c>
      <c r="R55" s="265">
        <f t="shared" si="12"/>
        <v>2.5249365671641786</v>
      </c>
      <c r="S55" s="265">
        <f t="shared" si="13"/>
        <v>1.500803571428571</v>
      </c>
      <c r="T55" s="265">
        <f t="shared" si="14"/>
        <v>0.82693877551020412</v>
      </c>
      <c r="U55" s="265">
        <f t="shared" ca="1" si="15"/>
        <v>57.793432338760489</v>
      </c>
      <c r="V55" s="265">
        <f t="shared" ca="1" si="16"/>
        <v>2.3980432453848946</v>
      </c>
      <c r="W55" s="258">
        <f t="shared" ca="1" si="17"/>
        <v>13.013630136986304</v>
      </c>
      <c r="X55" s="265">
        <f t="shared" si="18"/>
        <v>2.5249365671641786</v>
      </c>
      <c r="Y55" s="265">
        <f t="shared" si="19"/>
        <v>1.500803571428571</v>
      </c>
      <c r="Z55" s="265">
        <f t="shared" si="20"/>
        <v>0.82693877551020412</v>
      </c>
      <c r="AA55" s="265">
        <f t="shared" ca="1" si="21"/>
        <v>17.866309051089257</v>
      </c>
      <c r="AB55" s="265">
        <f t="shared" ca="1" si="22"/>
        <v>0.74133305474555045</v>
      </c>
      <c r="AC55" s="258"/>
      <c r="AD55" s="258"/>
      <c r="AE55" s="258"/>
      <c r="AF55" s="258"/>
      <c r="AG55" s="258"/>
      <c r="AH55" s="258"/>
      <c r="AI55" s="258"/>
      <c r="AJ55" s="258"/>
      <c r="AK55" s="258"/>
      <c r="AL55" s="258"/>
      <c r="AM55" s="258"/>
      <c r="AQ55" s="132" t="s">
        <v>6519</v>
      </c>
      <c r="AR55" s="132">
        <v>6.4320000000000004</v>
      </c>
      <c r="AS55" s="132" t="s">
        <v>6474</v>
      </c>
    </row>
    <row r="56" spans="3:45" x14ac:dyDescent="0.25">
      <c r="C56" s="255" t="s">
        <v>5989</v>
      </c>
      <c r="D56" s="255">
        <v>5.27</v>
      </c>
      <c r="E56" s="255">
        <v>0.29199999999999998</v>
      </c>
      <c r="F56" s="266">
        <f t="shared" si="0"/>
        <v>55.407969639468696</v>
      </c>
      <c r="G56" s="266">
        <f t="shared" si="1"/>
        <v>18.047945205479451</v>
      </c>
      <c r="H56" s="265">
        <f t="shared" si="2"/>
        <v>0.35758706467661688</v>
      </c>
      <c r="I56" s="265">
        <f t="shared" si="3"/>
        <v>0.2790178571428571</v>
      </c>
      <c r="J56" s="265">
        <f t="shared" si="4"/>
        <v>0.14172335600907029</v>
      </c>
      <c r="K56" s="258">
        <f t="shared" ca="1" si="5"/>
        <v>67.138356164383566</v>
      </c>
      <c r="L56" s="265">
        <f t="shared" si="6"/>
        <v>2.5249365671641786</v>
      </c>
      <c r="M56" s="265">
        <f t="shared" si="7"/>
        <v>1.500803571428571</v>
      </c>
      <c r="N56" s="265">
        <f t="shared" si="8"/>
        <v>0.82693877551020412</v>
      </c>
      <c r="O56" s="265">
        <f t="shared" ca="1" si="9"/>
        <v>71.991035078486519</v>
      </c>
      <c r="P56" s="265">
        <f t="shared" ca="1" si="10"/>
        <v>3.8239662853254615</v>
      </c>
      <c r="Q56" s="258">
        <f t="shared" ca="1" si="11"/>
        <v>40.968835616438355</v>
      </c>
      <c r="R56" s="265">
        <f t="shared" si="12"/>
        <v>2.5249365671641786</v>
      </c>
      <c r="S56" s="265">
        <f t="shared" si="13"/>
        <v>1.500803571428571</v>
      </c>
      <c r="T56" s="265">
        <f t="shared" si="14"/>
        <v>0.82693877551020412</v>
      </c>
      <c r="U56" s="265">
        <f t="shared" ca="1" si="15"/>
        <v>45.821514530541307</v>
      </c>
      <c r="V56" s="265">
        <f t="shared" ca="1" si="16"/>
        <v>2.4339131464954122</v>
      </c>
      <c r="W56" s="258">
        <f t="shared" ca="1" si="17"/>
        <v>10.070753424657534</v>
      </c>
      <c r="X56" s="265">
        <f t="shared" si="18"/>
        <v>2.5249365671641786</v>
      </c>
      <c r="Y56" s="265">
        <f t="shared" si="19"/>
        <v>1.500803571428571</v>
      </c>
      <c r="Z56" s="265">
        <f t="shared" si="20"/>
        <v>0.82693877551020412</v>
      </c>
      <c r="AA56" s="265">
        <f t="shared" ca="1" si="21"/>
        <v>14.923432338760488</v>
      </c>
      <c r="AB56" s="265">
        <f t="shared" ca="1" si="22"/>
        <v>0.79269178533882989</v>
      </c>
      <c r="AC56" s="258"/>
      <c r="AD56" s="258"/>
      <c r="AE56" s="258"/>
      <c r="AF56" s="258"/>
      <c r="AG56" s="258"/>
      <c r="AH56" s="258"/>
      <c r="AI56" s="258"/>
      <c r="AJ56" s="258"/>
      <c r="AK56" s="258"/>
      <c r="AL56" s="258"/>
      <c r="AM56" s="258"/>
      <c r="AP56" s="132" t="s">
        <v>6520</v>
      </c>
    </row>
    <row r="57" spans="3:45" x14ac:dyDescent="0.25">
      <c r="C57" s="255" t="s">
        <v>5990</v>
      </c>
      <c r="D57" s="255">
        <v>9.02</v>
      </c>
      <c r="E57" s="255">
        <v>0.255</v>
      </c>
      <c r="F57" s="266">
        <f t="shared" si="0"/>
        <v>28.27050997782705</v>
      </c>
      <c r="G57" s="266">
        <f t="shared" si="1"/>
        <v>35.372549019607838</v>
      </c>
      <c r="H57" s="265">
        <f t="shared" si="2"/>
        <v>0.35758706467661688</v>
      </c>
      <c r="I57" s="265">
        <f t="shared" si="3"/>
        <v>0.2790178571428571</v>
      </c>
      <c r="J57" s="265">
        <f t="shared" si="4"/>
        <v>0.14172335600907029</v>
      </c>
      <c r="K57" s="258">
        <f t="shared" ca="1" si="5"/>
        <v>131.58588235294116</v>
      </c>
      <c r="L57" s="265">
        <f t="shared" si="6"/>
        <v>2.5249365671641786</v>
      </c>
      <c r="M57" s="265">
        <f t="shared" si="7"/>
        <v>1.500803571428571</v>
      </c>
      <c r="N57" s="265">
        <f t="shared" si="8"/>
        <v>0.82693877551020412</v>
      </c>
      <c r="O57" s="265">
        <f t="shared" ca="1" si="9"/>
        <v>136.43856126704412</v>
      </c>
      <c r="P57" s="265">
        <f t="shared" ca="1" si="10"/>
        <v>3.7741424680921805</v>
      </c>
      <c r="Q57" s="258">
        <f t="shared" ca="1" si="11"/>
        <v>80.295686274509791</v>
      </c>
      <c r="R57" s="265">
        <f t="shared" si="12"/>
        <v>2.5249365671641786</v>
      </c>
      <c r="S57" s="265">
        <f t="shared" si="13"/>
        <v>1.500803571428571</v>
      </c>
      <c r="T57" s="265">
        <f t="shared" si="14"/>
        <v>0.82693877551020412</v>
      </c>
      <c r="U57" s="265">
        <f t="shared" ca="1" si="15"/>
        <v>85.148365188612743</v>
      </c>
      <c r="V57" s="265">
        <f t="shared" ca="1" si="16"/>
        <v>2.3553609636646629</v>
      </c>
      <c r="W57" s="258">
        <f t="shared" ca="1" si="17"/>
        <v>19.737882352941174</v>
      </c>
      <c r="X57" s="265">
        <f t="shared" si="18"/>
        <v>2.5249365671641786</v>
      </c>
      <c r="Y57" s="265">
        <f t="shared" si="19"/>
        <v>1.500803571428571</v>
      </c>
      <c r="Z57" s="265">
        <f t="shared" si="20"/>
        <v>0.82693877551020412</v>
      </c>
      <c r="AA57" s="265">
        <f t="shared" ca="1" si="21"/>
        <v>24.590561267044126</v>
      </c>
      <c r="AB57" s="265">
        <f t="shared" ca="1" si="22"/>
        <v>0.68022031843713937</v>
      </c>
      <c r="AC57" s="258"/>
      <c r="AD57" s="258"/>
      <c r="AE57" s="258"/>
      <c r="AF57" s="258"/>
      <c r="AG57" s="258"/>
      <c r="AH57" s="258"/>
      <c r="AI57" s="258"/>
      <c r="AJ57" s="258"/>
      <c r="AK57" s="258"/>
      <c r="AL57" s="258"/>
      <c r="AM57" s="258"/>
    </row>
    <row r="58" spans="3:45" x14ac:dyDescent="0.25">
      <c r="C58" s="255" t="s">
        <v>5991</v>
      </c>
      <c r="D58" s="255">
        <v>7.51</v>
      </c>
      <c r="E58" s="255">
        <v>0.255</v>
      </c>
      <c r="F58" s="266">
        <f t="shared" si="0"/>
        <v>33.954727030625833</v>
      </c>
      <c r="G58" s="266">
        <f t="shared" si="1"/>
        <v>29.450980392156861</v>
      </c>
      <c r="H58" s="265">
        <f t="shared" si="2"/>
        <v>0.35758706467661688</v>
      </c>
      <c r="I58" s="265">
        <f t="shared" si="3"/>
        <v>0.2790178571428571</v>
      </c>
      <c r="J58" s="265">
        <f t="shared" si="4"/>
        <v>0.14172335600907029</v>
      </c>
      <c r="K58" s="258">
        <f t="shared" ca="1" si="5"/>
        <v>109.55764705882353</v>
      </c>
      <c r="L58" s="265">
        <f t="shared" si="6"/>
        <v>2.5249365671641786</v>
      </c>
      <c r="M58" s="265">
        <f t="shared" si="7"/>
        <v>1.500803571428571</v>
      </c>
      <c r="N58" s="265">
        <f t="shared" si="8"/>
        <v>0.82693877551020412</v>
      </c>
      <c r="O58" s="265">
        <f t="shared" ca="1" si="9"/>
        <v>114.41032597292649</v>
      </c>
      <c r="P58" s="265">
        <f t="shared" ca="1" si="10"/>
        <v>3.7847483454533699</v>
      </c>
      <c r="Q58" s="258">
        <f t="shared" ca="1" si="11"/>
        <v>66.853725490196069</v>
      </c>
      <c r="R58" s="265">
        <f t="shared" si="12"/>
        <v>2.5249365671641786</v>
      </c>
      <c r="S58" s="265">
        <f t="shared" si="13"/>
        <v>1.500803571428571</v>
      </c>
      <c r="T58" s="265">
        <f t="shared" si="14"/>
        <v>0.82693877551020412</v>
      </c>
      <c r="U58" s="265">
        <f t="shared" ca="1" si="15"/>
        <v>71.706404404299022</v>
      </c>
      <c r="V58" s="265">
        <f t="shared" ca="1" si="16"/>
        <v>2.3720821798182934</v>
      </c>
      <c r="W58" s="258">
        <f t="shared" ca="1" si="17"/>
        <v>16.433647058823531</v>
      </c>
      <c r="X58" s="265">
        <f t="shared" si="18"/>
        <v>2.5249365671641786</v>
      </c>
      <c r="Y58" s="265">
        <f t="shared" si="19"/>
        <v>1.500803571428571</v>
      </c>
      <c r="Z58" s="265">
        <f t="shared" si="20"/>
        <v>0.82693877551020412</v>
      </c>
      <c r="AA58" s="265">
        <f t="shared" ca="1" si="21"/>
        <v>21.286325972926484</v>
      </c>
      <c r="AB58" s="265">
        <f t="shared" ca="1" si="22"/>
        <v>0.70416185184087965</v>
      </c>
      <c r="AC58" s="258"/>
      <c r="AD58" s="258"/>
      <c r="AE58" s="258"/>
      <c r="AF58" s="258"/>
      <c r="AG58" s="258"/>
      <c r="AH58" s="258"/>
      <c r="AI58" s="258"/>
      <c r="AJ58" s="258"/>
      <c r="AK58" s="258"/>
      <c r="AL58" s="258"/>
      <c r="AM58" s="258"/>
      <c r="AR58" s="132" t="s">
        <v>6498</v>
      </c>
    </row>
    <row r="59" spans="3:45" x14ac:dyDescent="0.25">
      <c r="C59" s="255" t="s">
        <v>5992</v>
      </c>
      <c r="D59" s="255">
        <v>5.87</v>
      </c>
      <c r="E59" s="255">
        <v>0.255</v>
      </c>
      <c r="F59" s="266">
        <f t="shared" si="0"/>
        <v>43.441226575809196</v>
      </c>
      <c r="G59" s="266">
        <f t="shared" si="1"/>
        <v>23.019607843137255</v>
      </c>
      <c r="H59" s="265">
        <f t="shared" si="2"/>
        <v>0.35758706467661688</v>
      </c>
      <c r="I59" s="265">
        <f t="shared" si="3"/>
        <v>0.2790178571428571</v>
      </c>
      <c r="J59" s="265">
        <f t="shared" si="4"/>
        <v>0.14172335600907029</v>
      </c>
      <c r="K59" s="258">
        <f t="shared" ca="1" si="5"/>
        <v>85.632941176470595</v>
      </c>
      <c r="L59" s="265">
        <f t="shared" si="6"/>
        <v>2.5249365671641786</v>
      </c>
      <c r="M59" s="265">
        <f t="shared" si="7"/>
        <v>1.500803571428571</v>
      </c>
      <c r="N59" s="265">
        <f t="shared" si="8"/>
        <v>0.82693877551020412</v>
      </c>
      <c r="O59" s="265">
        <f t="shared" ca="1" si="9"/>
        <v>90.485620090573548</v>
      </c>
      <c r="P59" s="265">
        <f t="shared" ca="1" si="10"/>
        <v>3.8022465322468197</v>
      </c>
      <c r="Q59" s="258">
        <f t="shared" ca="1" si="11"/>
        <v>52.254509803921572</v>
      </c>
      <c r="R59" s="265">
        <f t="shared" si="12"/>
        <v>2.5249365671641786</v>
      </c>
      <c r="S59" s="265">
        <f t="shared" si="13"/>
        <v>1.500803571428571</v>
      </c>
      <c r="T59" s="265">
        <f t="shared" si="14"/>
        <v>0.82693877551020412</v>
      </c>
      <c r="U59" s="265">
        <f t="shared" ca="1" si="15"/>
        <v>57.107188718024524</v>
      </c>
      <c r="V59" s="265">
        <f t="shared" ca="1" si="16"/>
        <v>2.3996698044631493</v>
      </c>
      <c r="W59" s="258">
        <f t="shared" ca="1" si="17"/>
        <v>12.84494117647059</v>
      </c>
      <c r="X59" s="265">
        <f t="shared" si="18"/>
        <v>2.5249365671641786</v>
      </c>
      <c r="Y59" s="265">
        <f t="shared" si="19"/>
        <v>1.500803571428571</v>
      </c>
      <c r="Z59" s="265">
        <f t="shared" si="20"/>
        <v>0.82693877551020412</v>
      </c>
      <c r="AA59" s="265">
        <f t="shared" ca="1" si="21"/>
        <v>17.697620090573544</v>
      </c>
      <c r="AB59" s="265">
        <f t="shared" ca="1" si="22"/>
        <v>0.74366197138339551</v>
      </c>
      <c r="AC59" s="258"/>
      <c r="AD59" s="258"/>
      <c r="AE59" s="258"/>
      <c r="AF59" s="258"/>
      <c r="AG59" s="258"/>
      <c r="AH59" s="258"/>
      <c r="AI59" s="258"/>
      <c r="AJ59" s="258"/>
      <c r="AK59" s="258"/>
      <c r="AL59" s="258"/>
      <c r="AM59" s="258"/>
      <c r="AR59" s="132" t="s">
        <v>6521</v>
      </c>
    </row>
    <row r="60" spans="3:45" x14ac:dyDescent="0.25">
      <c r="C60" s="255" t="s">
        <v>5993</v>
      </c>
      <c r="D60" s="255">
        <v>4.5599999999999996</v>
      </c>
      <c r="E60" s="255">
        <v>0.255</v>
      </c>
      <c r="F60" s="266">
        <f t="shared" si="0"/>
        <v>55.921052631578952</v>
      </c>
      <c r="G60" s="266">
        <f t="shared" si="1"/>
        <v>17.882352941176467</v>
      </c>
      <c r="H60" s="265">
        <f t="shared" si="2"/>
        <v>0.35758706467661688</v>
      </c>
      <c r="I60" s="265">
        <f t="shared" si="3"/>
        <v>0.2790178571428571</v>
      </c>
      <c r="J60" s="265">
        <f t="shared" si="4"/>
        <v>0.14172335600907029</v>
      </c>
      <c r="K60" s="258">
        <f t="shared" ca="1" si="5"/>
        <v>66.522352941176464</v>
      </c>
      <c r="L60" s="265">
        <f t="shared" si="6"/>
        <v>2.5249365671641786</v>
      </c>
      <c r="M60" s="265">
        <f t="shared" si="7"/>
        <v>1.500803571428571</v>
      </c>
      <c r="N60" s="265">
        <f t="shared" si="8"/>
        <v>0.82693877551020412</v>
      </c>
      <c r="O60" s="265">
        <f t="shared" ca="1" si="9"/>
        <v>71.375031855279417</v>
      </c>
      <c r="P60" s="265">
        <f t="shared" ca="1" si="10"/>
        <v>3.8248888675396993</v>
      </c>
      <c r="Q60" s="258">
        <f t="shared" ca="1" si="11"/>
        <v>40.592941176470582</v>
      </c>
      <c r="R60" s="265">
        <f t="shared" si="12"/>
        <v>2.5249365671641786</v>
      </c>
      <c r="S60" s="265">
        <f t="shared" si="13"/>
        <v>1.500803571428571</v>
      </c>
      <c r="T60" s="265">
        <f t="shared" si="14"/>
        <v>0.82693877551020412</v>
      </c>
      <c r="U60" s="265">
        <f t="shared" ca="1" si="15"/>
        <v>45.445620090573534</v>
      </c>
      <c r="V60" s="265">
        <f t="shared" ca="1" si="16"/>
        <v>2.435367688736322</v>
      </c>
      <c r="W60" s="258">
        <f t="shared" ca="1" si="17"/>
        <v>9.9783529411764693</v>
      </c>
      <c r="X60" s="265">
        <f t="shared" si="18"/>
        <v>2.5249365671641786</v>
      </c>
      <c r="Y60" s="265">
        <f t="shared" si="19"/>
        <v>1.500803571428571</v>
      </c>
      <c r="Z60" s="265">
        <f t="shared" si="20"/>
        <v>0.82693877551020412</v>
      </c>
      <c r="AA60" s="265">
        <f t="shared" ca="1" si="21"/>
        <v>14.831031855279424</v>
      </c>
      <c r="AB60" s="265">
        <f t="shared" ca="1" si="22"/>
        <v>0.79477440728019755</v>
      </c>
      <c r="AC60" s="258"/>
      <c r="AD60" s="258"/>
      <c r="AE60" s="258"/>
      <c r="AF60" s="258"/>
      <c r="AG60" s="258"/>
      <c r="AH60" s="258"/>
      <c r="AI60" s="258"/>
      <c r="AJ60" s="258"/>
      <c r="AK60" s="258"/>
      <c r="AL60" s="258"/>
      <c r="AM60" s="258"/>
      <c r="AR60" s="132" t="s">
        <v>6522</v>
      </c>
    </row>
    <row r="61" spans="3:45" x14ac:dyDescent="0.25">
      <c r="C61" s="255" t="s">
        <v>5994</v>
      </c>
      <c r="D61" s="255">
        <v>4.93</v>
      </c>
      <c r="E61" s="255">
        <v>0.215</v>
      </c>
      <c r="F61" s="266">
        <f t="shared" si="0"/>
        <v>43.6105476673428</v>
      </c>
      <c r="G61" s="266">
        <f t="shared" si="1"/>
        <v>22.930232558139533</v>
      </c>
      <c r="H61" s="265">
        <f t="shared" si="2"/>
        <v>0.35758706467661688</v>
      </c>
      <c r="I61" s="265">
        <f t="shared" si="3"/>
        <v>0.2790178571428571</v>
      </c>
      <c r="J61" s="265">
        <f t="shared" si="4"/>
        <v>0.14172335600907029</v>
      </c>
      <c r="K61" s="258">
        <f t="shared" ca="1" si="5"/>
        <v>85.300465116279071</v>
      </c>
      <c r="L61" s="265">
        <f t="shared" si="6"/>
        <v>2.5249365671641786</v>
      </c>
      <c r="M61" s="265">
        <f t="shared" si="7"/>
        <v>1.500803571428571</v>
      </c>
      <c r="N61" s="265">
        <f t="shared" si="8"/>
        <v>0.82693877551020412</v>
      </c>
      <c r="O61" s="265">
        <f t="shared" ca="1" si="9"/>
        <v>90.153144030382023</v>
      </c>
      <c r="P61" s="265">
        <f t="shared" ca="1" si="10"/>
        <v>3.8025565808959341</v>
      </c>
      <c r="Q61" s="258">
        <f t="shared" ca="1" si="11"/>
        <v>52.051627906976741</v>
      </c>
      <c r="R61" s="265">
        <f t="shared" si="12"/>
        <v>2.5249365671641786</v>
      </c>
      <c r="S61" s="265">
        <f t="shared" si="13"/>
        <v>1.500803571428571</v>
      </c>
      <c r="T61" s="265">
        <f t="shared" si="14"/>
        <v>0.82693877551020412</v>
      </c>
      <c r="U61" s="265">
        <f t="shared" ca="1" si="15"/>
        <v>56.904306821079693</v>
      </c>
      <c r="V61" s="265">
        <f t="shared" ca="1" si="16"/>
        <v>2.4001586268682575</v>
      </c>
      <c r="W61" s="258">
        <f t="shared" ca="1" si="17"/>
        <v>12.795069767441861</v>
      </c>
      <c r="X61" s="265">
        <f t="shared" si="18"/>
        <v>2.5249365671641786</v>
      </c>
      <c r="Y61" s="265">
        <f t="shared" si="19"/>
        <v>1.500803571428571</v>
      </c>
      <c r="Z61" s="265">
        <f t="shared" si="20"/>
        <v>0.82693877551020412</v>
      </c>
      <c r="AA61" s="265">
        <f t="shared" ca="1" si="21"/>
        <v>17.647748681544815</v>
      </c>
      <c r="AB61" s="265">
        <f t="shared" ca="1" si="22"/>
        <v>0.74436187011282218</v>
      </c>
      <c r="AC61" s="258"/>
      <c r="AD61" s="258"/>
      <c r="AE61" s="258"/>
      <c r="AF61" s="258"/>
      <c r="AG61" s="258"/>
      <c r="AH61" s="258"/>
      <c r="AI61" s="258"/>
      <c r="AJ61" s="258"/>
      <c r="AK61" s="258"/>
      <c r="AL61" s="258"/>
      <c r="AM61" s="258"/>
      <c r="AR61" s="132" t="s">
        <v>6523</v>
      </c>
    </row>
    <row r="62" spans="3:45" x14ac:dyDescent="0.25">
      <c r="C62" s="255" t="s">
        <v>5995</v>
      </c>
      <c r="D62" s="255">
        <v>3.84</v>
      </c>
      <c r="E62" s="255">
        <v>0.215</v>
      </c>
      <c r="F62" s="266">
        <f t="shared" si="0"/>
        <v>55.989583333333336</v>
      </c>
      <c r="G62" s="266">
        <f t="shared" si="1"/>
        <v>17.86046511627907</v>
      </c>
      <c r="H62" s="265">
        <f t="shared" si="2"/>
        <v>0.35758706467661688</v>
      </c>
      <c r="I62" s="265">
        <f t="shared" si="3"/>
        <v>0.2790178571428571</v>
      </c>
      <c r="J62" s="265">
        <f t="shared" si="4"/>
        <v>0.14172335600907029</v>
      </c>
      <c r="K62" s="258">
        <f t="shared" ca="1" si="5"/>
        <v>66.440930232558145</v>
      </c>
      <c r="L62" s="265">
        <f t="shared" si="6"/>
        <v>2.5249365671641786</v>
      </c>
      <c r="M62" s="265">
        <f t="shared" si="7"/>
        <v>1.500803571428571</v>
      </c>
      <c r="N62" s="265">
        <f t="shared" si="8"/>
        <v>0.82693877551020412</v>
      </c>
      <c r="O62" s="265">
        <f t="shared" ca="1" si="9"/>
        <v>71.293609146661097</v>
      </c>
      <c r="P62" s="265">
        <f t="shared" ca="1" si="10"/>
        <v>3.8250120401677683</v>
      </c>
      <c r="Q62" s="258">
        <f t="shared" ca="1" si="11"/>
        <v>40.543255813953486</v>
      </c>
      <c r="R62" s="265">
        <f t="shared" si="12"/>
        <v>2.5249365671641786</v>
      </c>
      <c r="S62" s="265">
        <f t="shared" si="13"/>
        <v>1.500803571428571</v>
      </c>
      <c r="T62" s="265">
        <f t="shared" si="14"/>
        <v>0.82693877551020412</v>
      </c>
      <c r="U62" s="265">
        <f t="shared" ca="1" si="15"/>
        <v>45.395934728056439</v>
      </c>
      <c r="V62" s="265">
        <f t="shared" ca="1" si="16"/>
        <v>2.435561882584508</v>
      </c>
      <c r="W62" s="258">
        <f t="shared" ca="1" si="17"/>
        <v>9.9661395348837214</v>
      </c>
      <c r="X62" s="265">
        <f t="shared" si="18"/>
        <v>2.5249365671641786</v>
      </c>
      <c r="Y62" s="265">
        <f t="shared" si="19"/>
        <v>1.500803571428571</v>
      </c>
      <c r="Z62" s="265">
        <f t="shared" si="20"/>
        <v>0.82693877551020412</v>
      </c>
      <c r="AA62" s="265">
        <f t="shared" ca="1" si="21"/>
        <v>14.818818448986676</v>
      </c>
      <c r="AB62" s="265">
        <f t="shared" ca="1" si="22"/>
        <v>0.79505245514827316</v>
      </c>
      <c r="AC62" s="258"/>
      <c r="AD62" s="258"/>
      <c r="AE62" s="258"/>
      <c r="AF62" s="258"/>
      <c r="AG62" s="258"/>
      <c r="AH62" s="258"/>
      <c r="AI62" s="258"/>
      <c r="AJ62" s="258"/>
      <c r="AK62" s="258"/>
      <c r="AL62" s="258"/>
      <c r="AM62" s="258"/>
      <c r="AR62" s="132" t="s">
        <v>6524</v>
      </c>
    </row>
    <row r="63" spans="3:45" x14ac:dyDescent="0.25">
      <c r="C63" s="255" t="s">
        <v>5996</v>
      </c>
      <c r="D63" s="255">
        <v>5.68</v>
      </c>
      <c r="E63" s="255">
        <v>0.19500000000000001</v>
      </c>
      <c r="F63" s="266">
        <f t="shared" si="0"/>
        <v>34.33098591549296</v>
      </c>
      <c r="G63" s="266">
        <f t="shared" si="1"/>
        <v>29.128205128205124</v>
      </c>
      <c r="H63" s="265">
        <f t="shared" si="2"/>
        <v>0.35758706467661688</v>
      </c>
      <c r="I63" s="265">
        <f t="shared" si="3"/>
        <v>0.2790178571428571</v>
      </c>
      <c r="J63" s="265">
        <f t="shared" si="4"/>
        <v>0.14172335600907029</v>
      </c>
      <c r="K63" s="258">
        <f t="shared" ca="1" si="5"/>
        <v>108.35692307692307</v>
      </c>
      <c r="L63" s="265">
        <f t="shared" si="6"/>
        <v>2.5249365671641786</v>
      </c>
      <c r="M63" s="265">
        <f t="shared" si="7"/>
        <v>1.500803571428571</v>
      </c>
      <c r="N63" s="265">
        <f t="shared" si="8"/>
        <v>0.82693877551020412</v>
      </c>
      <c r="O63" s="265">
        <f t="shared" ca="1" si="9"/>
        <v>113.20960199102602</v>
      </c>
      <c r="P63" s="265">
        <f t="shared" ca="1" si="10"/>
        <v>3.7854471614615783</v>
      </c>
      <c r="Q63" s="258">
        <f t="shared" ca="1" si="11"/>
        <v>66.121025641025639</v>
      </c>
      <c r="R63" s="265">
        <f t="shared" si="12"/>
        <v>2.5249365671641786</v>
      </c>
      <c r="S63" s="265">
        <f t="shared" si="13"/>
        <v>1.500803571428571</v>
      </c>
      <c r="T63" s="265">
        <f t="shared" si="14"/>
        <v>0.82693877551020412</v>
      </c>
      <c r="U63" s="265">
        <f t="shared" ca="1" si="15"/>
        <v>70.973704555128592</v>
      </c>
      <c r="V63" s="265">
        <f t="shared" ca="1" si="16"/>
        <v>2.3731839324717448</v>
      </c>
      <c r="W63" s="258">
        <f t="shared" ca="1" si="17"/>
        <v>16.253538461538461</v>
      </c>
      <c r="X63" s="265">
        <f t="shared" si="18"/>
        <v>2.5249365671641786</v>
      </c>
      <c r="Y63" s="265">
        <f t="shared" si="19"/>
        <v>1.500803571428571</v>
      </c>
      <c r="Z63" s="265">
        <f t="shared" si="20"/>
        <v>0.82693877551020412</v>
      </c>
      <c r="AA63" s="265">
        <f t="shared" ca="1" si="21"/>
        <v>21.106217375641414</v>
      </c>
      <c r="AB63" s="265">
        <f t="shared" ca="1" si="22"/>
        <v>0.70573934762305868</v>
      </c>
      <c r="AC63" s="258"/>
      <c r="AD63" s="258"/>
      <c r="AE63" s="258"/>
      <c r="AF63" s="258"/>
      <c r="AG63" s="258"/>
      <c r="AH63" s="258"/>
      <c r="AI63" s="258"/>
      <c r="AJ63" s="258"/>
      <c r="AK63" s="258"/>
      <c r="AL63" s="258"/>
      <c r="AM63" s="258"/>
      <c r="AR63" s="132" t="s">
        <v>6525</v>
      </c>
    </row>
    <row r="64" spans="3:45" x14ac:dyDescent="0.25">
      <c r="C64" s="255" t="s">
        <v>5997</v>
      </c>
      <c r="D64" s="255">
        <v>4.46</v>
      </c>
      <c r="E64" s="255">
        <v>0.19500000000000001</v>
      </c>
      <c r="F64" s="266">
        <f t="shared" si="0"/>
        <v>43.721973094170401</v>
      </c>
      <c r="G64" s="266">
        <f t="shared" si="1"/>
        <v>22.871794871794872</v>
      </c>
      <c r="H64" s="265">
        <f t="shared" si="2"/>
        <v>0.35758706467661688</v>
      </c>
      <c r="I64" s="265">
        <f t="shared" si="3"/>
        <v>0.2790178571428571</v>
      </c>
      <c r="J64" s="265">
        <f t="shared" si="4"/>
        <v>0.14172335600907029</v>
      </c>
      <c r="K64" s="258">
        <f t="shared" ca="1" si="5"/>
        <v>85.083076923076931</v>
      </c>
      <c r="L64" s="265">
        <f t="shared" si="6"/>
        <v>2.5249365671641786</v>
      </c>
      <c r="M64" s="265">
        <f t="shared" si="7"/>
        <v>1.500803571428571</v>
      </c>
      <c r="N64" s="265">
        <f t="shared" si="8"/>
        <v>0.82693877551020412</v>
      </c>
      <c r="O64" s="265">
        <f t="shared" ca="1" si="9"/>
        <v>89.935755837179883</v>
      </c>
      <c r="P64" s="265">
        <f t="shared" ca="1" si="10"/>
        <v>3.8027605720358344</v>
      </c>
      <c r="Q64" s="258">
        <f t="shared" ca="1" si="11"/>
        <v>51.91897435897436</v>
      </c>
      <c r="R64" s="265">
        <f t="shared" si="12"/>
        <v>2.5249365671641786</v>
      </c>
      <c r="S64" s="265">
        <f t="shared" si="13"/>
        <v>1.500803571428571</v>
      </c>
      <c r="T64" s="265">
        <f t="shared" si="14"/>
        <v>0.82693877551020412</v>
      </c>
      <c r="U64" s="265">
        <f t="shared" ca="1" si="15"/>
        <v>56.771653273077312</v>
      </c>
      <c r="V64" s="265">
        <f t="shared" ca="1" si="16"/>
        <v>2.4004802391052786</v>
      </c>
      <c r="W64" s="258">
        <f t="shared" ca="1" si="17"/>
        <v>12.76246153846154</v>
      </c>
      <c r="X64" s="265">
        <f t="shared" si="18"/>
        <v>2.5249365671641786</v>
      </c>
      <c r="Y64" s="265">
        <f t="shared" si="19"/>
        <v>1.500803571428571</v>
      </c>
      <c r="Z64" s="265">
        <f t="shared" si="20"/>
        <v>0.82693877551020412</v>
      </c>
      <c r="AA64" s="265">
        <f t="shared" ca="1" si="21"/>
        <v>17.615140452564493</v>
      </c>
      <c r="AB64" s="265">
        <f t="shared" ca="1" si="22"/>
        <v>0.74482235636244365</v>
      </c>
      <c r="AC64" s="258"/>
      <c r="AD64" s="258"/>
      <c r="AE64" s="258"/>
      <c r="AF64" s="258"/>
      <c r="AG64" s="258"/>
      <c r="AH64" s="258"/>
      <c r="AI64" s="258"/>
      <c r="AJ64" s="258"/>
      <c r="AK64" s="258"/>
      <c r="AL64" s="258"/>
      <c r="AM64" s="258"/>
      <c r="AR64" s="132" t="s">
        <v>6526</v>
      </c>
    </row>
    <row r="65" spans="3:45" x14ac:dyDescent="0.25">
      <c r="C65" s="255" t="s">
        <v>5998</v>
      </c>
      <c r="D65" s="255">
        <v>3.48</v>
      </c>
      <c r="E65" s="255">
        <v>0.19500000000000001</v>
      </c>
      <c r="F65" s="266">
        <f t="shared" si="0"/>
        <v>56.03448275862069</v>
      </c>
      <c r="G65" s="266">
        <f t="shared" si="1"/>
        <v>17.846153846153847</v>
      </c>
      <c r="H65" s="265">
        <f t="shared" si="2"/>
        <v>0.35758706467661688</v>
      </c>
      <c r="I65" s="265">
        <f t="shared" si="3"/>
        <v>0.2790178571428571</v>
      </c>
      <c r="J65" s="265">
        <f t="shared" si="4"/>
        <v>0.14172335600907029</v>
      </c>
      <c r="K65" s="258">
        <f t="shared" ca="1" si="5"/>
        <v>66.387692307692319</v>
      </c>
      <c r="L65" s="265">
        <f t="shared" si="6"/>
        <v>2.5249365671641786</v>
      </c>
      <c r="M65" s="265">
        <f t="shared" si="7"/>
        <v>1.500803571428571</v>
      </c>
      <c r="N65" s="265">
        <f t="shared" si="8"/>
        <v>0.82693877551020412</v>
      </c>
      <c r="O65" s="265">
        <f t="shared" ca="1" si="9"/>
        <v>71.240371221795272</v>
      </c>
      <c r="P65" s="265">
        <f t="shared" ca="1" si="10"/>
        <v>3.825092732648947</v>
      </c>
      <c r="Q65" s="258">
        <f t="shared" ca="1" si="11"/>
        <v>40.510769230769235</v>
      </c>
      <c r="R65" s="265">
        <f t="shared" si="12"/>
        <v>2.5249365671641786</v>
      </c>
      <c r="S65" s="265">
        <f t="shared" si="13"/>
        <v>1.500803571428571</v>
      </c>
      <c r="T65" s="265">
        <f t="shared" si="14"/>
        <v>0.82693877551020412</v>
      </c>
      <c r="U65" s="265">
        <f t="shared" ca="1" si="15"/>
        <v>45.363448144872187</v>
      </c>
      <c r="V65" s="265">
        <f t="shared" ca="1" si="16"/>
        <v>2.4356891022735359</v>
      </c>
      <c r="W65" s="258">
        <f t="shared" ca="1" si="17"/>
        <v>9.9581538461538468</v>
      </c>
      <c r="X65" s="265">
        <f t="shared" si="18"/>
        <v>2.5249365671641786</v>
      </c>
      <c r="Y65" s="265">
        <f t="shared" si="19"/>
        <v>1.500803571428571</v>
      </c>
      <c r="Z65" s="265">
        <f t="shared" si="20"/>
        <v>0.82693877551020412</v>
      </c>
      <c r="AA65" s="265">
        <f t="shared" ca="1" si="21"/>
        <v>14.810832760256801</v>
      </c>
      <c r="AB65" s="265">
        <f t="shared" ca="1" si="22"/>
        <v>0.79523460903029208</v>
      </c>
      <c r="AC65" s="258"/>
      <c r="AD65" s="258"/>
      <c r="AE65" s="258"/>
      <c r="AF65" s="258"/>
      <c r="AG65" s="258"/>
      <c r="AH65" s="258"/>
      <c r="AI65" s="258"/>
      <c r="AJ65" s="258"/>
      <c r="AK65" s="258"/>
      <c r="AL65" s="258"/>
      <c r="AM65" s="258"/>
    </row>
    <row r="66" spans="3:45" x14ac:dyDescent="0.25">
      <c r="C66" s="255" t="s">
        <v>5999</v>
      </c>
      <c r="D66" s="255">
        <v>2.31</v>
      </c>
      <c r="E66" s="255">
        <v>0.19500000000000001</v>
      </c>
      <c r="F66" s="266">
        <f t="shared" si="0"/>
        <v>84.415584415584419</v>
      </c>
      <c r="G66" s="266">
        <f t="shared" si="1"/>
        <v>11.846153846153847</v>
      </c>
      <c r="H66" s="265">
        <f t="shared" si="2"/>
        <v>0.35758706467661688</v>
      </c>
      <c r="I66" s="265">
        <f t="shared" si="3"/>
        <v>0.2790178571428571</v>
      </c>
      <c r="J66" s="265">
        <f t="shared" si="4"/>
        <v>0.14172335600907029</v>
      </c>
      <c r="K66" s="258">
        <f t="shared" ca="1" si="5"/>
        <v>44.067692307692312</v>
      </c>
      <c r="L66" s="265">
        <f t="shared" si="6"/>
        <v>2.5249365671641786</v>
      </c>
      <c r="M66" s="265">
        <f t="shared" si="7"/>
        <v>1.500803571428571</v>
      </c>
      <c r="N66" s="265">
        <f t="shared" si="8"/>
        <v>0.82693877551020412</v>
      </c>
      <c r="O66" s="265">
        <f t="shared" ca="1" si="9"/>
        <v>48.920371221795264</v>
      </c>
      <c r="P66" s="265">
        <f t="shared" ca="1" si="10"/>
        <v>3.8750398425344152</v>
      </c>
      <c r="Q66" s="258">
        <f t="shared" ca="1" si="11"/>
        <v>26.890769230769234</v>
      </c>
      <c r="R66" s="265">
        <f t="shared" si="12"/>
        <v>2.5249365671641786</v>
      </c>
      <c r="S66" s="265">
        <f t="shared" si="13"/>
        <v>1.500803571428571</v>
      </c>
      <c r="T66" s="265">
        <f t="shared" si="14"/>
        <v>0.82693877551020412</v>
      </c>
      <c r="U66" s="265">
        <f t="shared" ca="1" si="15"/>
        <v>31.743448144872186</v>
      </c>
      <c r="V66" s="265">
        <f t="shared" ca="1" si="16"/>
        <v>2.5144356681823807</v>
      </c>
      <c r="W66" s="258">
        <f t="shared" ca="1" si="17"/>
        <v>6.6101538461538469</v>
      </c>
      <c r="X66" s="265">
        <f t="shared" si="18"/>
        <v>2.5249365671641786</v>
      </c>
      <c r="Y66" s="265">
        <f t="shared" si="19"/>
        <v>1.500803571428571</v>
      </c>
      <c r="Z66" s="265">
        <f t="shared" si="20"/>
        <v>0.82693877551020412</v>
      </c>
      <c r="AA66" s="265">
        <f t="shared" ca="1" si="21"/>
        <v>11.4628327602568</v>
      </c>
      <c r="AB66" s="265">
        <f t="shared" ca="1" si="22"/>
        <v>0.90798439474053072</v>
      </c>
      <c r="AC66" s="258"/>
      <c r="AD66" s="258"/>
      <c r="AE66" s="258"/>
      <c r="AF66" s="258"/>
      <c r="AG66" s="258"/>
      <c r="AH66" s="258"/>
      <c r="AI66" s="258"/>
      <c r="AJ66" s="258"/>
      <c r="AK66" s="258"/>
      <c r="AL66" s="258"/>
      <c r="AM66" s="258"/>
      <c r="AQ66" s="132" t="s">
        <v>6518</v>
      </c>
      <c r="AR66" s="132">
        <v>5.76</v>
      </c>
      <c r="AS66" s="132" t="s">
        <v>6474</v>
      </c>
    </row>
    <row r="67" spans="3:45" x14ac:dyDescent="0.25">
      <c r="C67" s="255" t="s">
        <v>6000</v>
      </c>
      <c r="D67" s="255">
        <v>3.97</v>
      </c>
      <c r="E67" s="255">
        <v>0.17499999999999999</v>
      </c>
      <c r="F67" s="266">
        <f t="shared" si="0"/>
        <v>44.080604534005033</v>
      </c>
      <c r="G67" s="266">
        <f t="shared" si="1"/>
        <v>22.685714285714287</v>
      </c>
      <c r="H67" s="265">
        <f t="shared" si="2"/>
        <v>0.35758706467661688</v>
      </c>
      <c r="I67" s="265">
        <f t="shared" si="3"/>
        <v>0.2790178571428571</v>
      </c>
      <c r="J67" s="265">
        <f t="shared" si="4"/>
        <v>0.14172335600907029</v>
      </c>
      <c r="K67" s="258">
        <f t="shared" ca="1" si="5"/>
        <v>84.390857142857158</v>
      </c>
      <c r="L67" s="265">
        <f t="shared" si="6"/>
        <v>2.5249365671641786</v>
      </c>
      <c r="M67" s="265">
        <f t="shared" si="7"/>
        <v>1.500803571428571</v>
      </c>
      <c r="N67" s="265">
        <f t="shared" si="8"/>
        <v>0.82693877551020412</v>
      </c>
      <c r="O67" s="265">
        <f t="shared" ca="1" si="9"/>
        <v>89.24353605696011</v>
      </c>
      <c r="P67" s="265">
        <f t="shared" ca="1" si="10"/>
        <v>3.8034169012130041</v>
      </c>
      <c r="Q67" s="258">
        <f t="shared" ca="1" si="11"/>
        <v>51.496571428571428</v>
      </c>
      <c r="R67" s="265">
        <f t="shared" si="12"/>
        <v>2.5249365671641786</v>
      </c>
      <c r="S67" s="265">
        <f t="shared" si="13"/>
        <v>1.500803571428571</v>
      </c>
      <c r="T67" s="265">
        <f t="shared" si="14"/>
        <v>0.82693877551020412</v>
      </c>
      <c r="U67" s="265">
        <f t="shared" ca="1" si="15"/>
        <v>56.349250342674381</v>
      </c>
      <c r="V67" s="265">
        <f t="shared" ca="1" si="16"/>
        <v>2.40151500706135</v>
      </c>
      <c r="W67" s="258">
        <f t="shared" ca="1" si="17"/>
        <v>12.658628571428574</v>
      </c>
      <c r="X67" s="265">
        <f t="shared" si="18"/>
        <v>2.5249365671641786</v>
      </c>
      <c r="Y67" s="265">
        <f t="shared" si="19"/>
        <v>1.500803571428571</v>
      </c>
      <c r="Z67" s="265">
        <f t="shared" si="20"/>
        <v>0.82693877551020412</v>
      </c>
      <c r="AA67" s="265">
        <f t="shared" ca="1" si="21"/>
        <v>17.511307485531528</v>
      </c>
      <c r="AB67" s="265">
        <f t="shared" ca="1" si="22"/>
        <v>0.74630394306988068</v>
      </c>
      <c r="AC67" s="258"/>
      <c r="AD67" s="258"/>
      <c r="AE67" s="258"/>
      <c r="AF67" s="258"/>
      <c r="AG67" s="258"/>
      <c r="AH67" s="258"/>
      <c r="AI67" s="258"/>
      <c r="AJ67" s="258"/>
      <c r="AK67" s="258"/>
      <c r="AL67" s="258"/>
      <c r="AM67" s="258"/>
      <c r="AQ67" s="132" t="s">
        <v>6519</v>
      </c>
      <c r="AR67" s="132">
        <v>4.5158399999999999</v>
      </c>
      <c r="AS67" s="132" t="s">
        <v>6474</v>
      </c>
    </row>
    <row r="68" spans="3:45" x14ac:dyDescent="0.25">
      <c r="C68" s="255" t="s">
        <v>6001</v>
      </c>
      <c r="D68" s="270">
        <v>3.1</v>
      </c>
      <c r="E68" s="255">
        <v>0.17499999999999999</v>
      </c>
      <c r="F68" s="266">
        <f t="shared" si="0"/>
        <v>56.451612903225801</v>
      </c>
      <c r="G68" s="266">
        <f t="shared" si="1"/>
        <v>17.714285714285715</v>
      </c>
      <c r="H68" s="265">
        <f t="shared" si="2"/>
        <v>0.35758706467661688</v>
      </c>
      <c r="I68" s="265">
        <f t="shared" si="3"/>
        <v>0.2790178571428571</v>
      </c>
      <c r="J68" s="265">
        <f t="shared" si="4"/>
        <v>0.14172335600907029</v>
      </c>
      <c r="K68" s="258">
        <f t="shared" ca="1" si="5"/>
        <v>65.897142857142867</v>
      </c>
      <c r="L68" s="265">
        <f t="shared" si="6"/>
        <v>2.5249365671641786</v>
      </c>
      <c r="M68" s="265">
        <f t="shared" si="7"/>
        <v>1.500803571428571</v>
      </c>
      <c r="N68" s="265">
        <f t="shared" si="8"/>
        <v>0.82693877551020412</v>
      </c>
      <c r="O68" s="265">
        <f t="shared" ca="1" si="9"/>
        <v>70.74982177124582</v>
      </c>
      <c r="P68" s="265">
        <f t="shared" ca="1" si="10"/>
        <v>3.8258421335899517</v>
      </c>
      <c r="Q68" s="258">
        <f t="shared" ca="1" si="11"/>
        <v>40.211428571428577</v>
      </c>
      <c r="R68" s="265">
        <f t="shared" si="12"/>
        <v>2.5249365671641786</v>
      </c>
      <c r="S68" s="265">
        <f t="shared" si="13"/>
        <v>1.500803571428571</v>
      </c>
      <c r="T68" s="265">
        <f t="shared" si="14"/>
        <v>0.82693877551020412</v>
      </c>
      <c r="U68" s="265">
        <f t="shared" ca="1" si="15"/>
        <v>45.06410748553153</v>
      </c>
      <c r="V68" s="265">
        <f t="shared" ca="1" si="16"/>
        <v>2.4368706070838906</v>
      </c>
      <c r="W68" s="258">
        <f t="shared" ca="1" si="17"/>
        <v>9.8845714285714301</v>
      </c>
      <c r="X68" s="265">
        <f t="shared" si="18"/>
        <v>2.5249365671641786</v>
      </c>
      <c r="Y68" s="265">
        <f t="shared" si="19"/>
        <v>1.500803571428571</v>
      </c>
      <c r="Z68" s="265">
        <f t="shared" si="20"/>
        <v>0.82693877551020412</v>
      </c>
      <c r="AA68" s="265">
        <f t="shared" ca="1" si="21"/>
        <v>14.737250342674384</v>
      </c>
      <c r="AB68" s="265">
        <f t="shared" ca="1" si="22"/>
        <v>0.79692629440914831</v>
      </c>
      <c r="AC68" s="258"/>
      <c r="AD68" s="258"/>
      <c r="AE68" s="258"/>
      <c r="AF68" s="258"/>
      <c r="AG68" s="258"/>
      <c r="AH68" s="258"/>
      <c r="AI68" s="258"/>
      <c r="AJ68" s="258"/>
      <c r="AK68" s="258"/>
      <c r="AL68" s="258"/>
      <c r="AM68" s="258"/>
      <c r="AP68" s="132" t="s">
        <v>6527</v>
      </c>
    </row>
    <row r="69" spans="3:45" x14ac:dyDescent="0.25">
      <c r="C69" s="255" t="s">
        <v>6002</v>
      </c>
      <c r="D69" s="255">
        <v>2.06</v>
      </c>
      <c r="E69" s="255">
        <v>0.17499999999999999</v>
      </c>
      <c r="F69" s="266">
        <f t="shared" si="0"/>
        <v>84.951456310679603</v>
      </c>
      <c r="G69" s="266">
        <f t="shared" si="1"/>
        <v>11.771428571428572</v>
      </c>
      <c r="H69" s="265">
        <f t="shared" si="2"/>
        <v>0.35758706467661688</v>
      </c>
      <c r="I69" s="265">
        <f t="shared" si="3"/>
        <v>0.2790178571428571</v>
      </c>
      <c r="J69" s="265">
        <f t="shared" si="4"/>
        <v>0.14172335600907029</v>
      </c>
      <c r="K69" s="258">
        <f t="shared" ca="1" si="5"/>
        <v>43.78971428571429</v>
      </c>
      <c r="L69" s="265">
        <f t="shared" si="6"/>
        <v>2.5249365671641786</v>
      </c>
      <c r="M69" s="265">
        <f t="shared" si="7"/>
        <v>1.500803571428571</v>
      </c>
      <c r="N69" s="265">
        <f t="shared" si="8"/>
        <v>0.82693877551020412</v>
      </c>
      <c r="O69" s="265">
        <f t="shared" ca="1" si="9"/>
        <v>48.642393199817242</v>
      </c>
      <c r="P69" s="265">
        <f t="shared" ca="1" si="10"/>
        <v>3.875962999450195</v>
      </c>
      <c r="Q69" s="258">
        <f t="shared" ca="1" si="11"/>
        <v>26.721142857142858</v>
      </c>
      <c r="R69" s="265">
        <f t="shared" si="12"/>
        <v>2.5249365671641786</v>
      </c>
      <c r="S69" s="265">
        <f t="shared" si="13"/>
        <v>1.500803571428571</v>
      </c>
      <c r="T69" s="265">
        <f t="shared" si="14"/>
        <v>0.82693877551020412</v>
      </c>
      <c r="U69" s="265">
        <f t="shared" ca="1" si="15"/>
        <v>31.573821771245811</v>
      </c>
      <c r="V69" s="265">
        <f t="shared" ca="1" si="16"/>
        <v>2.5158911164971953</v>
      </c>
      <c r="W69" s="258">
        <f t="shared" ca="1" si="17"/>
        <v>6.5684571428571443</v>
      </c>
      <c r="X69" s="265">
        <f t="shared" si="18"/>
        <v>2.5249365671641786</v>
      </c>
      <c r="Y69" s="265">
        <f t="shared" si="19"/>
        <v>1.500803571428571</v>
      </c>
      <c r="Z69" s="265">
        <f t="shared" si="20"/>
        <v>0.82693877551020412</v>
      </c>
      <c r="AA69" s="265">
        <f t="shared" ca="1" si="21"/>
        <v>11.421136056960098</v>
      </c>
      <c r="AB69" s="265">
        <f t="shared" ca="1" si="22"/>
        <v>0.9100683140037229</v>
      </c>
      <c r="AC69" s="258"/>
      <c r="AD69" s="258"/>
      <c r="AE69" s="258"/>
      <c r="AF69" s="258"/>
      <c r="AG69" s="258"/>
      <c r="AH69" s="258"/>
      <c r="AI69" s="258"/>
      <c r="AJ69" s="258"/>
      <c r="AK69" s="258"/>
      <c r="AL69" s="258"/>
      <c r="AM69" s="258"/>
    </row>
    <row r="70" spans="3:45" x14ac:dyDescent="0.25">
      <c r="C70" s="255" t="s">
        <v>6003</v>
      </c>
      <c r="D70" s="270">
        <v>3.5</v>
      </c>
      <c r="E70" s="255">
        <v>0.155</v>
      </c>
      <c r="F70" s="266">
        <f t="shared" si="0"/>
        <v>44.285714285714285</v>
      </c>
      <c r="G70" s="266">
        <f t="shared" si="1"/>
        <v>22.580645161290324</v>
      </c>
      <c r="H70" s="265">
        <f t="shared" si="2"/>
        <v>0.35758706467661688</v>
      </c>
      <c r="I70" s="265">
        <f t="shared" si="3"/>
        <v>0.2790178571428571</v>
      </c>
      <c r="J70" s="265">
        <f t="shared" si="4"/>
        <v>0.14172335600907029</v>
      </c>
      <c r="K70" s="258">
        <f t="shared" ca="1" si="5"/>
        <v>84.000000000000014</v>
      </c>
      <c r="L70" s="265">
        <f t="shared" si="6"/>
        <v>2.5249365671641786</v>
      </c>
      <c r="M70" s="265">
        <f t="shared" si="7"/>
        <v>1.500803571428571</v>
      </c>
      <c r="N70" s="265">
        <f t="shared" si="8"/>
        <v>0.82693877551020412</v>
      </c>
      <c r="O70" s="265">
        <f t="shared" ca="1" si="9"/>
        <v>88.852678914102967</v>
      </c>
      <c r="P70" s="265">
        <f t="shared" ca="1" si="10"/>
        <v>3.803792112084126</v>
      </c>
      <c r="Q70" s="258">
        <f t="shared" ca="1" si="11"/>
        <v>51.258064516129032</v>
      </c>
      <c r="R70" s="265">
        <f t="shared" si="12"/>
        <v>2.5249365671641786</v>
      </c>
      <c r="S70" s="265">
        <f t="shared" si="13"/>
        <v>1.500803571428571</v>
      </c>
      <c r="T70" s="265">
        <f t="shared" si="14"/>
        <v>0.82693877551020412</v>
      </c>
      <c r="U70" s="265">
        <f t="shared" ca="1" si="15"/>
        <v>56.110743430231985</v>
      </c>
      <c r="V70" s="265">
        <f t="shared" ca="1" si="16"/>
        <v>2.4021065641636583</v>
      </c>
      <c r="W70" s="258">
        <f t="shared" ca="1" si="17"/>
        <v>12.600000000000001</v>
      </c>
      <c r="X70" s="265">
        <f t="shared" si="18"/>
        <v>2.5249365671641786</v>
      </c>
      <c r="Y70" s="265">
        <f t="shared" si="19"/>
        <v>1.500803571428571</v>
      </c>
      <c r="Z70" s="265">
        <f t="shared" si="20"/>
        <v>0.82693877551020412</v>
      </c>
      <c r="AA70" s="265">
        <f t="shared" ca="1" si="21"/>
        <v>17.452678914102954</v>
      </c>
      <c r="AB70" s="265">
        <f t="shared" ca="1" si="22"/>
        <v>0.74715093792928644</v>
      </c>
      <c r="AC70" s="258"/>
      <c r="AD70" s="258"/>
      <c r="AE70" s="258"/>
      <c r="AF70" s="258"/>
      <c r="AG70" s="258"/>
      <c r="AH70" s="258"/>
      <c r="AI70" s="258"/>
      <c r="AJ70" s="258"/>
      <c r="AK70" s="258"/>
      <c r="AL70" s="258"/>
      <c r="AM70" s="258"/>
      <c r="AR70" s="132" t="s">
        <v>6500</v>
      </c>
    </row>
    <row r="71" spans="3:45" x14ac:dyDescent="0.25">
      <c r="C71" s="255" t="s">
        <v>6004</v>
      </c>
      <c r="D71" s="255">
        <v>2.73</v>
      </c>
      <c r="E71" s="255">
        <v>0.155</v>
      </c>
      <c r="F71" s="266">
        <f t="shared" si="0"/>
        <v>56.776556776556774</v>
      </c>
      <c r="G71" s="266">
        <f t="shared" si="1"/>
        <v>17.612903225806452</v>
      </c>
      <c r="H71" s="265">
        <f t="shared" si="2"/>
        <v>0.35758706467661688</v>
      </c>
      <c r="I71" s="265">
        <f t="shared" si="3"/>
        <v>0.2790178571428571</v>
      </c>
      <c r="J71" s="265">
        <f t="shared" si="4"/>
        <v>0.14172335600907029</v>
      </c>
      <c r="K71" s="258">
        <f t="shared" ca="1" si="5"/>
        <v>65.52000000000001</v>
      </c>
      <c r="L71" s="265">
        <f t="shared" si="6"/>
        <v>2.5249365671641786</v>
      </c>
      <c r="M71" s="265">
        <f t="shared" si="7"/>
        <v>1.500803571428571</v>
      </c>
      <c r="N71" s="265">
        <f t="shared" si="8"/>
        <v>0.82693877551020412</v>
      </c>
      <c r="O71" s="265">
        <f t="shared" ca="1" si="9"/>
        <v>70.372678914102963</v>
      </c>
      <c r="P71" s="265">
        <f t="shared" ca="1" si="10"/>
        <v>3.8264255930982061</v>
      </c>
      <c r="Q71" s="258">
        <f t="shared" ca="1" si="11"/>
        <v>39.981290322580648</v>
      </c>
      <c r="R71" s="265">
        <f t="shared" si="12"/>
        <v>2.5249365671641786</v>
      </c>
      <c r="S71" s="265">
        <f t="shared" si="13"/>
        <v>1.500803571428571</v>
      </c>
      <c r="T71" s="265">
        <f t="shared" si="14"/>
        <v>0.82693877551020412</v>
      </c>
      <c r="U71" s="265">
        <f t="shared" ca="1" si="15"/>
        <v>44.8339692366836</v>
      </c>
      <c r="V71" s="265">
        <f t="shared" ca="1" si="16"/>
        <v>2.4377904887893034</v>
      </c>
      <c r="W71" s="258">
        <f t="shared" ca="1" si="17"/>
        <v>9.8280000000000012</v>
      </c>
      <c r="X71" s="265">
        <f t="shared" si="18"/>
        <v>2.5249365671641786</v>
      </c>
      <c r="Y71" s="265">
        <f t="shared" si="19"/>
        <v>1.500803571428571</v>
      </c>
      <c r="Z71" s="265">
        <f t="shared" si="20"/>
        <v>0.82693877551020412</v>
      </c>
      <c r="AA71" s="265">
        <f t="shared" ca="1" si="21"/>
        <v>14.680678914102955</v>
      </c>
      <c r="AB71" s="265">
        <f t="shared" ca="1" si="22"/>
        <v>0.7982433863225169</v>
      </c>
      <c r="AC71" s="258"/>
      <c r="AD71" s="258"/>
      <c r="AE71" s="258"/>
      <c r="AF71" s="258"/>
      <c r="AG71" s="258"/>
      <c r="AH71" s="258"/>
      <c r="AI71" s="258"/>
      <c r="AJ71" s="258"/>
      <c r="AK71" s="258"/>
      <c r="AL71" s="258"/>
      <c r="AM71" s="258"/>
      <c r="AR71" s="132" t="s">
        <v>6521</v>
      </c>
    </row>
    <row r="72" spans="3:45" x14ac:dyDescent="0.25">
      <c r="C72" s="255" t="s">
        <v>6005</v>
      </c>
      <c r="D72" s="255">
        <v>1.83</v>
      </c>
      <c r="E72" s="255">
        <v>0.155</v>
      </c>
      <c r="F72" s="266">
        <f t="shared" si="0"/>
        <v>84.699453551912569</v>
      </c>
      <c r="G72" s="266">
        <f t="shared" si="1"/>
        <v>11.806451612903226</v>
      </c>
      <c r="H72" s="265">
        <f t="shared" si="2"/>
        <v>0.35758706467661688</v>
      </c>
      <c r="I72" s="265">
        <f t="shared" si="3"/>
        <v>0.2790178571428571</v>
      </c>
      <c r="J72" s="265">
        <f t="shared" si="4"/>
        <v>0.14172335600907029</v>
      </c>
      <c r="K72" s="258">
        <f t="shared" ca="1" si="5"/>
        <v>43.92</v>
      </c>
      <c r="L72" s="265">
        <f t="shared" si="6"/>
        <v>2.5249365671641786</v>
      </c>
      <c r="M72" s="265">
        <f t="shared" si="7"/>
        <v>1.500803571428571</v>
      </c>
      <c r="N72" s="265">
        <f t="shared" si="8"/>
        <v>0.82693877551020412</v>
      </c>
      <c r="O72" s="265">
        <f t="shared" ca="1" si="9"/>
        <v>48.772678914102954</v>
      </c>
      <c r="P72" s="265">
        <f t="shared" ca="1" si="10"/>
        <v>3.8755289593918323</v>
      </c>
      <c r="Q72" s="258">
        <f t="shared" ca="1" si="11"/>
        <v>26.800645161290323</v>
      </c>
      <c r="R72" s="265">
        <f t="shared" si="12"/>
        <v>2.5249365671641786</v>
      </c>
      <c r="S72" s="265">
        <f t="shared" si="13"/>
        <v>1.500803571428571</v>
      </c>
      <c r="T72" s="265">
        <f t="shared" si="14"/>
        <v>0.82693877551020412</v>
      </c>
      <c r="U72" s="265">
        <f t="shared" ca="1" si="15"/>
        <v>31.653324075393275</v>
      </c>
      <c r="V72" s="265">
        <f t="shared" ca="1" si="16"/>
        <v>2.5152068093542734</v>
      </c>
      <c r="W72" s="258">
        <f t="shared" ca="1" si="17"/>
        <v>6.588000000000001</v>
      </c>
      <c r="X72" s="265">
        <f t="shared" si="18"/>
        <v>2.5249365671641786</v>
      </c>
      <c r="Y72" s="265">
        <f t="shared" si="19"/>
        <v>1.500803571428571</v>
      </c>
      <c r="Z72" s="265">
        <f t="shared" si="20"/>
        <v>0.82693877551020412</v>
      </c>
      <c r="AA72" s="265">
        <f t="shared" ca="1" si="21"/>
        <v>11.440678914102955</v>
      </c>
      <c r="AB72" s="265">
        <f t="shared" ca="1" si="22"/>
        <v>0.90908851910303146</v>
      </c>
      <c r="AC72" s="258"/>
      <c r="AD72" s="258"/>
      <c r="AE72" s="258"/>
      <c r="AF72" s="258"/>
      <c r="AG72" s="258"/>
      <c r="AH72" s="258"/>
      <c r="AI72" s="258"/>
      <c r="AJ72" s="258"/>
      <c r="AK72" s="258"/>
      <c r="AL72" s="258"/>
      <c r="AM72" s="258"/>
      <c r="AR72" s="132" t="s">
        <v>6528</v>
      </c>
    </row>
    <row r="73" spans="3:45" x14ac:dyDescent="0.25">
      <c r="C73" s="255" t="s">
        <v>6006</v>
      </c>
      <c r="D73" s="255">
        <v>2.56</v>
      </c>
      <c r="E73" s="255">
        <v>0.115</v>
      </c>
      <c r="F73" s="266">
        <f t="shared" si="0"/>
        <v>44.921875</v>
      </c>
      <c r="G73" s="266">
        <f t="shared" si="1"/>
        <v>22.260869565217391</v>
      </c>
      <c r="H73" s="265">
        <f t="shared" si="2"/>
        <v>0.35758706467661688</v>
      </c>
      <c r="I73" s="265">
        <f t="shared" si="3"/>
        <v>0.2790178571428571</v>
      </c>
      <c r="J73" s="265">
        <f t="shared" si="4"/>
        <v>0.14172335600907029</v>
      </c>
      <c r="K73" s="258">
        <f t="shared" ca="1" si="5"/>
        <v>82.810434782608695</v>
      </c>
      <c r="L73" s="265">
        <f t="shared" si="6"/>
        <v>2.5249365671641786</v>
      </c>
      <c r="M73" s="265">
        <f t="shared" si="7"/>
        <v>1.500803571428571</v>
      </c>
      <c r="N73" s="265">
        <f t="shared" si="8"/>
        <v>0.82693877551020412</v>
      </c>
      <c r="O73" s="265">
        <f t="shared" ca="1" si="9"/>
        <v>87.663113696711648</v>
      </c>
      <c r="P73" s="265">
        <f t="shared" ca="1" si="10"/>
        <v>3.8049551157950381</v>
      </c>
      <c r="Q73" s="258">
        <f t="shared" ca="1" si="11"/>
        <v>50.532173913043479</v>
      </c>
      <c r="R73" s="265">
        <f t="shared" si="12"/>
        <v>2.5249365671641786</v>
      </c>
      <c r="S73" s="265">
        <f t="shared" si="13"/>
        <v>1.500803571428571</v>
      </c>
      <c r="T73" s="265">
        <f t="shared" si="14"/>
        <v>0.82693877551020412</v>
      </c>
      <c r="U73" s="265">
        <f t="shared" ca="1" si="15"/>
        <v>55.384852827146432</v>
      </c>
      <c r="V73" s="265">
        <f t="shared" ca="1" si="16"/>
        <v>2.4039401547074082</v>
      </c>
      <c r="W73" s="258">
        <f t="shared" ca="1" si="17"/>
        <v>12.421565217391306</v>
      </c>
      <c r="X73" s="265">
        <f t="shared" si="18"/>
        <v>2.5249365671641786</v>
      </c>
      <c r="Y73" s="265">
        <f t="shared" si="19"/>
        <v>1.500803571428571</v>
      </c>
      <c r="Z73" s="265">
        <f t="shared" si="20"/>
        <v>0.82693877551020412</v>
      </c>
      <c r="AA73" s="265">
        <f t="shared" ca="1" si="21"/>
        <v>17.27424413149426</v>
      </c>
      <c r="AB73" s="265">
        <f t="shared" ca="1" si="22"/>
        <v>0.74977628340946134</v>
      </c>
      <c r="AC73" s="258"/>
      <c r="AD73" s="258"/>
      <c r="AE73" s="258"/>
      <c r="AF73" s="258"/>
      <c r="AG73" s="258"/>
      <c r="AH73" s="258"/>
      <c r="AI73" s="258"/>
      <c r="AJ73" s="258"/>
      <c r="AK73" s="258"/>
      <c r="AL73" s="258"/>
      <c r="AM73" s="258"/>
      <c r="AR73" s="132" t="s">
        <v>6523</v>
      </c>
    </row>
    <row r="74" spans="3:45" x14ac:dyDescent="0.25">
      <c r="C74" s="255" t="s">
        <v>6007</v>
      </c>
      <c r="D74" s="255">
        <v>2.0099999999999998</v>
      </c>
      <c r="E74" s="255">
        <v>0.115</v>
      </c>
      <c r="F74" s="266">
        <f t="shared" si="0"/>
        <v>57.213930348258714</v>
      </c>
      <c r="G74" s="266">
        <f t="shared" si="1"/>
        <v>17.478260869565215</v>
      </c>
      <c r="H74" s="265">
        <f t="shared" si="2"/>
        <v>0.35758706467661688</v>
      </c>
      <c r="I74" s="265">
        <f t="shared" si="3"/>
        <v>0.2790178571428571</v>
      </c>
      <c r="J74" s="265">
        <f t="shared" si="4"/>
        <v>0.14172335600907029</v>
      </c>
      <c r="K74" s="258">
        <f t="shared" ca="1" si="5"/>
        <v>65.01913043478261</v>
      </c>
      <c r="L74" s="265">
        <f t="shared" si="6"/>
        <v>2.5249365671641786</v>
      </c>
      <c r="M74" s="265">
        <f t="shared" si="7"/>
        <v>1.500803571428571</v>
      </c>
      <c r="N74" s="265">
        <f t="shared" si="8"/>
        <v>0.82693877551020412</v>
      </c>
      <c r="O74" s="265">
        <f t="shared" ca="1" si="9"/>
        <v>69.871809348885563</v>
      </c>
      <c r="P74" s="265">
        <f t="shared" ca="1" si="10"/>
        <v>3.827210481913057</v>
      </c>
      <c r="Q74" s="258">
        <f t="shared" ca="1" si="11"/>
        <v>39.675652173913036</v>
      </c>
      <c r="R74" s="265">
        <f t="shared" si="12"/>
        <v>2.5249365671641786</v>
      </c>
      <c r="S74" s="265">
        <f t="shared" si="13"/>
        <v>1.500803571428571</v>
      </c>
      <c r="T74" s="265">
        <f t="shared" si="14"/>
        <v>0.82693877551020412</v>
      </c>
      <c r="U74" s="265">
        <f t="shared" ca="1" si="15"/>
        <v>44.528331088015989</v>
      </c>
      <c r="V74" s="265">
        <f t="shared" ca="1" si="16"/>
        <v>2.4390279437477882</v>
      </c>
      <c r="W74" s="258">
        <f t="shared" ca="1" si="17"/>
        <v>9.7528695652173916</v>
      </c>
      <c r="X74" s="265">
        <f t="shared" si="18"/>
        <v>2.5249365671641786</v>
      </c>
      <c r="Y74" s="265">
        <f t="shared" si="19"/>
        <v>1.500803571428571</v>
      </c>
      <c r="Z74" s="265">
        <f t="shared" si="20"/>
        <v>0.82693877551020412</v>
      </c>
      <c r="AA74" s="265">
        <f t="shared" ca="1" si="21"/>
        <v>14.605548479320346</v>
      </c>
      <c r="AB74" s="265">
        <f t="shared" ca="1" si="22"/>
        <v>0.80001518144507167</v>
      </c>
      <c r="AC74" s="258"/>
      <c r="AD74" s="258"/>
      <c r="AE74" s="258"/>
      <c r="AF74" s="258"/>
      <c r="AG74" s="258"/>
      <c r="AH74" s="258"/>
      <c r="AI74" s="258"/>
      <c r="AJ74" s="258"/>
      <c r="AK74" s="258"/>
      <c r="AL74" s="258"/>
      <c r="AM74" s="258"/>
      <c r="AR74" s="132" t="s">
        <v>6529</v>
      </c>
    </row>
    <row r="75" spans="3:45" x14ac:dyDescent="0.25">
      <c r="C75" s="255" t="s">
        <v>6008</v>
      </c>
      <c r="D75" s="255">
        <v>1.35</v>
      </c>
      <c r="E75" s="255">
        <v>0.115</v>
      </c>
      <c r="F75" s="266">
        <f t="shared" si="0"/>
        <v>85.185185185185176</v>
      </c>
      <c r="G75" s="266">
        <f t="shared" si="1"/>
        <v>11.739130434782609</v>
      </c>
      <c r="H75" s="265">
        <f t="shared" si="2"/>
        <v>0.35758706467661688</v>
      </c>
      <c r="I75" s="265">
        <f t="shared" si="3"/>
        <v>0.2790178571428571</v>
      </c>
      <c r="J75" s="265">
        <f t="shared" si="4"/>
        <v>0.14172335600907029</v>
      </c>
      <c r="K75" s="258">
        <f t="shared" ca="1" si="5"/>
        <v>43.669565217391309</v>
      </c>
      <c r="L75" s="265">
        <f t="shared" si="6"/>
        <v>2.5249365671641786</v>
      </c>
      <c r="M75" s="265">
        <f t="shared" si="7"/>
        <v>1.500803571428571</v>
      </c>
      <c r="N75" s="265">
        <f t="shared" si="8"/>
        <v>0.82693877551020412</v>
      </c>
      <c r="O75" s="265">
        <f t="shared" ca="1" si="9"/>
        <v>48.522244131494261</v>
      </c>
      <c r="P75" s="265">
        <f t="shared" ca="1" si="10"/>
        <v>3.8763654225285218</v>
      </c>
      <c r="Q75" s="258">
        <f t="shared" ca="1" si="11"/>
        <v>26.647826086956524</v>
      </c>
      <c r="R75" s="265">
        <f t="shared" si="12"/>
        <v>2.5249365671641786</v>
      </c>
      <c r="S75" s="265">
        <f t="shared" si="13"/>
        <v>1.500803571428571</v>
      </c>
      <c r="T75" s="265">
        <f t="shared" si="14"/>
        <v>0.82693877551020412</v>
      </c>
      <c r="U75" s="265">
        <f t="shared" ca="1" si="15"/>
        <v>31.500505001059476</v>
      </c>
      <c r="V75" s="265">
        <f t="shared" ca="1" si="16"/>
        <v>2.5165255763394838</v>
      </c>
      <c r="W75" s="258">
        <f t="shared" ca="1" si="17"/>
        <v>6.5504347826086962</v>
      </c>
      <c r="X75" s="265">
        <f t="shared" si="18"/>
        <v>2.5249365671641786</v>
      </c>
      <c r="Y75" s="265">
        <f t="shared" si="19"/>
        <v>1.500803571428571</v>
      </c>
      <c r="Z75" s="265">
        <f t="shared" si="20"/>
        <v>0.82693877551020412</v>
      </c>
      <c r="AA75" s="265">
        <f t="shared" ca="1" si="21"/>
        <v>11.40311369671165</v>
      </c>
      <c r="AB75" s="265">
        <f t="shared" ca="1" si="22"/>
        <v>0.91097673725284045</v>
      </c>
      <c r="AC75" s="258"/>
      <c r="AD75" s="258"/>
      <c r="AE75" s="258"/>
      <c r="AF75" s="258"/>
      <c r="AG75" s="258"/>
      <c r="AH75" s="258"/>
      <c r="AI75" s="258"/>
      <c r="AJ75" s="258"/>
      <c r="AK75" s="258"/>
      <c r="AL75" s="258"/>
      <c r="AM75" s="258"/>
      <c r="AR75" s="132" t="s">
        <v>6530</v>
      </c>
    </row>
    <row r="76" spans="3:45" x14ac:dyDescent="0.25">
      <c r="C76" s="255" t="s">
        <v>6009</v>
      </c>
      <c r="D76" s="255">
        <v>2.08</v>
      </c>
      <c r="E76" s="255">
        <v>9.5299999999999996E-2</v>
      </c>
      <c r="F76" s="266">
        <f t="shared" si="0"/>
        <v>45.817307692307693</v>
      </c>
      <c r="G76" s="266">
        <f t="shared" si="1"/>
        <v>21.825813221406086</v>
      </c>
      <c r="H76" s="265">
        <f t="shared" si="2"/>
        <v>0.35758706467661688</v>
      </c>
      <c r="I76" s="265">
        <f t="shared" si="3"/>
        <v>0.2790178571428571</v>
      </c>
      <c r="J76" s="265">
        <f t="shared" si="4"/>
        <v>0.14172335600907029</v>
      </c>
      <c r="K76" s="258">
        <f t="shared" ca="1" si="5"/>
        <v>81.192025183630648</v>
      </c>
      <c r="L76" s="265">
        <f t="shared" si="6"/>
        <v>2.5249365671641786</v>
      </c>
      <c r="M76" s="265">
        <f t="shared" si="7"/>
        <v>1.500803571428571</v>
      </c>
      <c r="N76" s="265">
        <f t="shared" si="8"/>
        <v>0.82693877551020412</v>
      </c>
      <c r="O76" s="265">
        <f t="shared" ca="1" si="9"/>
        <v>86.0447040977336</v>
      </c>
      <c r="P76" s="265">
        <f t="shared" ca="1" si="10"/>
        <v>3.8065902259834572</v>
      </c>
      <c r="Q76" s="258">
        <f t="shared" ca="1" si="11"/>
        <v>49.544596012591818</v>
      </c>
      <c r="R76" s="265">
        <f t="shared" si="12"/>
        <v>2.5249365671641786</v>
      </c>
      <c r="S76" s="265">
        <f t="shared" si="13"/>
        <v>1.500803571428571</v>
      </c>
      <c r="T76" s="265">
        <f t="shared" si="14"/>
        <v>0.82693877551020412</v>
      </c>
      <c r="U76" s="265">
        <f t="shared" ca="1" si="15"/>
        <v>54.39727492669477</v>
      </c>
      <c r="V76" s="265">
        <f t="shared" ca="1" si="16"/>
        <v>2.4065180678742717</v>
      </c>
      <c r="W76" s="258">
        <f t="shared" ca="1" si="17"/>
        <v>12.178803777544598</v>
      </c>
      <c r="X76" s="265">
        <f t="shared" si="18"/>
        <v>2.5249365671641786</v>
      </c>
      <c r="Y76" s="265">
        <f t="shared" si="19"/>
        <v>1.500803571428571</v>
      </c>
      <c r="Z76" s="265">
        <f t="shared" si="20"/>
        <v>0.82693877551020412</v>
      </c>
      <c r="AA76" s="265">
        <f t="shared" ca="1" si="21"/>
        <v>17.03148269164755</v>
      </c>
      <c r="AB76" s="265">
        <f t="shared" ca="1" si="22"/>
        <v>0.75346735429984057</v>
      </c>
      <c r="AC76" s="258"/>
      <c r="AD76" s="258"/>
      <c r="AE76" s="258"/>
      <c r="AF76" s="258"/>
      <c r="AG76" s="258"/>
      <c r="AH76" s="258"/>
      <c r="AI76" s="258"/>
      <c r="AJ76" s="258"/>
      <c r="AK76" s="258"/>
      <c r="AL76" s="258"/>
      <c r="AM76" s="258"/>
      <c r="AR76" s="132" t="s">
        <v>6531</v>
      </c>
    </row>
    <row r="77" spans="3:45" x14ac:dyDescent="0.25">
      <c r="C77" s="255" t="s">
        <v>6010</v>
      </c>
      <c r="D77" s="255">
        <v>1.65</v>
      </c>
      <c r="E77" s="255">
        <v>9.5299999999999996E-2</v>
      </c>
      <c r="F77" s="266">
        <f t="shared" si="0"/>
        <v>57.757575757575758</v>
      </c>
      <c r="G77" s="266">
        <f t="shared" si="1"/>
        <v>17.313746065057714</v>
      </c>
      <c r="H77" s="265">
        <f t="shared" si="2"/>
        <v>0.35758706467661688</v>
      </c>
      <c r="I77" s="265">
        <f t="shared" si="3"/>
        <v>0.2790178571428571</v>
      </c>
      <c r="J77" s="265">
        <f t="shared" si="4"/>
        <v>0.14172335600907029</v>
      </c>
      <c r="K77" s="258">
        <f t="shared" ca="1" si="5"/>
        <v>64.407135362014699</v>
      </c>
      <c r="L77" s="265">
        <f t="shared" si="6"/>
        <v>2.5249365671641786</v>
      </c>
      <c r="M77" s="265">
        <f t="shared" si="7"/>
        <v>1.500803571428571</v>
      </c>
      <c r="N77" s="265">
        <f t="shared" si="8"/>
        <v>0.82693877551020412</v>
      </c>
      <c r="O77" s="265">
        <f t="shared" ca="1" si="9"/>
        <v>69.259814276117652</v>
      </c>
      <c r="P77" s="265">
        <f t="shared" ca="1" si="10"/>
        <v>3.8281853679951503</v>
      </c>
      <c r="Q77" s="258">
        <f t="shared" ca="1" si="11"/>
        <v>39.302203567681012</v>
      </c>
      <c r="R77" s="265">
        <f t="shared" si="12"/>
        <v>2.5249365671641786</v>
      </c>
      <c r="S77" s="265">
        <f t="shared" si="13"/>
        <v>1.500803571428571</v>
      </c>
      <c r="T77" s="265">
        <f t="shared" si="14"/>
        <v>0.82693877551020412</v>
      </c>
      <c r="U77" s="265">
        <f t="shared" ca="1" si="15"/>
        <v>44.154882481783964</v>
      </c>
      <c r="V77" s="265">
        <f t="shared" ca="1" si="16"/>
        <v>2.4405649482169802</v>
      </c>
      <c r="W77" s="258">
        <f t="shared" ca="1" si="17"/>
        <v>9.6610703043022053</v>
      </c>
      <c r="X77" s="265">
        <f t="shared" si="18"/>
        <v>2.5249365671641786</v>
      </c>
      <c r="Y77" s="265">
        <f t="shared" si="19"/>
        <v>1.500803571428571</v>
      </c>
      <c r="Z77" s="265">
        <f t="shared" si="20"/>
        <v>0.82693877551020412</v>
      </c>
      <c r="AA77" s="265">
        <f t="shared" ca="1" si="21"/>
        <v>14.51374921840516</v>
      </c>
      <c r="AB77" s="265">
        <f t="shared" ca="1" si="22"/>
        <v>0.80221587327889321</v>
      </c>
      <c r="AC77" s="258"/>
      <c r="AD77" s="258"/>
      <c r="AE77" s="258"/>
      <c r="AF77" s="258"/>
      <c r="AG77" s="258"/>
      <c r="AH77" s="258"/>
      <c r="AI77" s="258"/>
      <c r="AJ77" s="258"/>
      <c r="AK77" s="258"/>
      <c r="AL77" s="258"/>
      <c r="AM77" s="258"/>
    </row>
    <row r="78" spans="3:45" x14ac:dyDescent="0.25">
      <c r="C78" s="255" t="s">
        <v>6011</v>
      </c>
      <c r="D78" s="255">
        <v>1.1200000000000001</v>
      </c>
      <c r="E78" s="255">
        <v>9.5299999999999996E-2</v>
      </c>
      <c r="F78" s="266">
        <f t="shared" si="0"/>
        <v>85.089285714285694</v>
      </c>
      <c r="G78" s="266">
        <f t="shared" si="1"/>
        <v>11.75236096537251</v>
      </c>
      <c r="H78" s="265">
        <f t="shared" si="2"/>
        <v>0.35758706467661688</v>
      </c>
      <c r="I78" s="265">
        <f t="shared" si="3"/>
        <v>0.2790178571428571</v>
      </c>
      <c r="J78" s="265">
        <f t="shared" si="4"/>
        <v>0.14172335600907029</v>
      </c>
      <c r="K78" s="258">
        <f t="shared" ca="1" si="5"/>
        <v>43.718782791185738</v>
      </c>
      <c r="L78" s="265">
        <f t="shared" si="6"/>
        <v>2.5249365671641786</v>
      </c>
      <c r="M78" s="265">
        <f t="shared" si="7"/>
        <v>1.500803571428571</v>
      </c>
      <c r="N78" s="265">
        <f t="shared" si="8"/>
        <v>0.82693877551020412</v>
      </c>
      <c r="O78" s="265">
        <f t="shared" ca="1" si="9"/>
        <v>48.571461705288691</v>
      </c>
      <c r="P78" s="265">
        <f t="shared" ca="1" si="10"/>
        <v>3.8762003240677894</v>
      </c>
      <c r="Q78" s="258">
        <f t="shared" ca="1" si="11"/>
        <v>26.6778593913956</v>
      </c>
      <c r="R78" s="265">
        <f t="shared" si="12"/>
        <v>2.5249365671641786</v>
      </c>
      <c r="S78" s="265">
        <f t="shared" si="13"/>
        <v>1.500803571428571</v>
      </c>
      <c r="T78" s="265">
        <f t="shared" si="14"/>
        <v>0.82693877551020412</v>
      </c>
      <c r="U78" s="265">
        <f t="shared" ca="1" si="15"/>
        <v>31.530538305498553</v>
      </c>
      <c r="V78" s="265">
        <f t="shared" ca="1" si="16"/>
        <v>2.5162652822634239</v>
      </c>
      <c r="W78" s="258">
        <f t="shared" ca="1" si="17"/>
        <v>6.5578174186778613</v>
      </c>
      <c r="X78" s="265">
        <f t="shared" si="18"/>
        <v>2.5249365671641786</v>
      </c>
      <c r="Y78" s="265">
        <f t="shared" si="19"/>
        <v>1.500803571428571</v>
      </c>
      <c r="Z78" s="265">
        <f t="shared" si="20"/>
        <v>0.82693877551020412</v>
      </c>
      <c r="AA78" s="265">
        <f t="shared" ca="1" si="21"/>
        <v>11.410496332780815</v>
      </c>
      <c r="AB78" s="265">
        <f t="shared" ca="1" si="22"/>
        <v>0.91060404669854544</v>
      </c>
      <c r="AC78" s="258"/>
      <c r="AD78" s="258"/>
      <c r="AE78" s="258"/>
      <c r="AF78" s="258"/>
      <c r="AG78" s="258"/>
      <c r="AH78" s="258"/>
      <c r="AI78" s="258"/>
      <c r="AJ78" s="258"/>
      <c r="AK78" s="258"/>
      <c r="AL78" s="258"/>
      <c r="AM78" s="258"/>
      <c r="AQ78" s="132" t="s">
        <v>6518</v>
      </c>
      <c r="AR78" s="132">
        <v>6.4</v>
      </c>
      <c r="AS78" s="132" t="s">
        <v>6474</v>
      </c>
    </row>
    <row r="79" spans="3:45" x14ac:dyDescent="0.25">
      <c r="C79" s="255" t="s">
        <v>6012</v>
      </c>
      <c r="D79" s="255">
        <v>22.5</v>
      </c>
      <c r="E79" s="255">
        <v>0.49099999999999999</v>
      </c>
      <c r="F79" s="266">
        <f t="shared" si="0"/>
        <v>21.822222222222223</v>
      </c>
      <c r="G79" s="266">
        <f t="shared" si="1"/>
        <v>45.824847250509166</v>
      </c>
      <c r="H79" s="265">
        <f t="shared" si="2"/>
        <v>0.35758706467661688</v>
      </c>
      <c r="I79" s="265">
        <f t="shared" si="3"/>
        <v>0.2790178571428571</v>
      </c>
      <c r="J79" s="265">
        <f t="shared" si="4"/>
        <v>0.14172335600907029</v>
      </c>
      <c r="K79" s="258">
        <f t="shared" ca="1" si="5"/>
        <v>170.4684317718941</v>
      </c>
      <c r="L79" s="265">
        <f t="shared" si="6"/>
        <v>2.5249365671641786</v>
      </c>
      <c r="M79" s="265">
        <f t="shared" si="7"/>
        <v>1.500803571428571</v>
      </c>
      <c r="N79" s="265">
        <f t="shared" si="8"/>
        <v>0.82693877551020412</v>
      </c>
      <c r="O79" s="265">
        <f t="shared" ca="1" si="9"/>
        <v>175.32111068599707</v>
      </c>
      <c r="P79" s="265">
        <f t="shared" ca="1" si="10"/>
        <v>3.7619992349961353</v>
      </c>
      <c r="Q79" s="258">
        <f t="shared" ca="1" si="11"/>
        <v>104.0224032586558</v>
      </c>
      <c r="R79" s="265">
        <f t="shared" si="12"/>
        <v>2.5249365671641786</v>
      </c>
      <c r="S79" s="265">
        <f t="shared" si="13"/>
        <v>1.500803571428571</v>
      </c>
      <c r="T79" s="265">
        <f t="shared" si="14"/>
        <v>0.82693877551020412</v>
      </c>
      <c r="U79" s="265">
        <f t="shared" ca="1" si="15"/>
        <v>108.87508217275875</v>
      </c>
      <c r="V79" s="265">
        <f t="shared" ca="1" si="16"/>
        <v>2.3362159539226193</v>
      </c>
      <c r="W79" s="258">
        <f t="shared" ca="1" si="17"/>
        <v>25.570264765784117</v>
      </c>
      <c r="X79" s="265">
        <f t="shared" si="18"/>
        <v>2.5249365671641786</v>
      </c>
      <c r="Y79" s="265">
        <f t="shared" si="19"/>
        <v>1.500803571428571</v>
      </c>
      <c r="Z79" s="265">
        <f t="shared" si="20"/>
        <v>0.82693877551020412</v>
      </c>
      <c r="AA79" s="265">
        <f t="shared" ca="1" si="21"/>
        <v>30.422943679887069</v>
      </c>
      <c r="AB79" s="265">
        <f t="shared" ca="1" si="22"/>
        <v>0.65280838344133818</v>
      </c>
      <c r="AC79" s="258"/>
      <c r="AD79" s="258"/>
      <c r="AE79" s="258"/>
      <c r="AF79" s="258"/>
      <c r="AG79" s="258"/>
      <c r="AH79" s="258"/>
      <c r="AI79" s="258"/>
      <c r="AJ79" s="258"/>
      <c r="AK79" s="258"/>
      <c r="AL79" s="258"/>
      <c r="AM79" s="258"/>
      <c r="AQ79" s="132" t="s">
        <v>6519</v>
      </c>
      <c r="AR79" s="132">
        <v>5.0176000000000007</v>
      </c>
      <c r="AS79" s="132" t="s">
        <v>6474</v>
      </c>
    </row>
    <row r="80" spans="3:45" x14ac:dyDescent="0.25">
      <c r="C80" s="255" t="s">
        <v>6013</v>
      </c>
      <c r="D80" s="267">
        <v>18</v>
      </c>
      <c r="E80" s="255">
        <v>0.49099999999999999</v>
      </c>
      <c r="F80" s="266">
        <f t="shared" si="0"/>
        <v>27.277777777777775</v>
      </c>
      <c r="G80" s="266">
        <f t="shared" si="1"/>
        <v>36.65987780040733</v>
      </c>
      <c r="H80" s="265">
        <f t="shared" si="2"/>
        <v>0.35758706467661688</v>
      </c>
      <c r="I80" s="265">
        <f t="shared" si="3"/>
        <v>0.2790178571428571</v>
      </c>
      <c r="J80" s="265">
        <f t="shared" si="4"/>
        <v>0.14172335600907029</v>
      </c>
      <c r="K80" s="258">
        <f t="shared" ca="1" si="5"/>
        <v>136.37474541751527</v>
      </c>
      <c r="L80" s="265">
        <f t="shared" si="6"/>
        <v>2.5249365671641786</v>
      </c>
      <c r="M80" s="265">
        <f t="shared" si="7"/>
        <v>1.500803571428571</v>
      </c>
      <c r="N80" s="265">
        <f t="shared" si="8"/>
        <v>0.82693877551020412</v>
      </c>
      <c r="O80" s="265">
        <f t="shared" ca="1" si="9"/>
        <v>141.22742433161824</v>
      </c>
      <c r="P80" s="265">
        <f t="shared" ca="1" si="10"/>
        <v>3.772280756094204</v>
      </c>
      <c r="Q80" s="258">
        <f t="shared" ca="1" si="11"/>
        <v>83.217922606924645</v>
      </c>
      <c r="R80" s="265">
        <f t="shared" si="12"/>
        <v>2.5249365671641786</v>
      </c>
      <c r="S80" s="265">
        <f t="shared" si="13"/>
        <v>1.500803571428571</v>
      </c>
      <c r="T80" s="265">
        <f t="shared" si="14"/>
        <v>0.82693877551020412</v>
      </c>
      <c r="U80" s="265">
        <f t="shared" ca="1" si="15"/>
        <v>88.070601521027598</v>
      </c>
      <c r="V80" s="265">
        <f t="shared" ca="1" si="16"/>
        <v>2.3524257903005159</v>
      </c>
      <c r="W80" s="258">
        <f t="shared" ca="1" si="17"/>
        <v>20.456211812627291</v>
      </c>
      <c r="X80" s="265">
        <f t="shared" si="18"/>
        <v>2.5249365671641786</v>
      </c>
      <c r="Y80" s="265">
        <f t="shared" si="19"/>
        <v>1.500803571428571</v>
      </c>
      <c r="Z80" s="265">
        <f t="shared" si="20"/>
        <v>0.82693877551020412</v>
      </c>
      <c r="AA80" s="265">
        <f t="shared" ca="1" si="21"/>
        <v>25.308890726730244</v>
      </c>
      <c r="AB80" s="265">
        <f t="shared" ca="1" si="22"/>
        <v>0.67601772034272711</v>
      </c>
      <c r="AC80" s="258"/>
      <c r="AD80" s="258"/>
      <c r="AE80" s="258"/>
      <c r="AF80" s="258"/>
      <c r="AG80" s="258"/>
      <c r="AH80" s="258"/>
      <c r="AI80" s="258"/>
      <c r="AJ80" s="258"/>
      <c r="AK80" s="258"/>
      <c r="AL80" s="258"/>
      <c r="AM80" s="258"/>
      <c r="AP80" s="132" t="s">
        <v>6527</v>
      </c>
    </row>
    <row r="81" spans="3:45" x14ac:dyDescent="0.25">
      <c r="C81" s="255" t="s">
        <v>6014</v>
      </c>
      <c r="D81" s="255">
        <v>27.9</v>
      </c>
      <c r="E81" s="255">
        <v>0.47099999999999997</v>
      </c>
      <c r="F81" s="266">
        <f t="shared" si="0"/>
        <v>16.881720430107524</v>
      </c>
      <c r="G81" s="266">
        <f t="shared" si="1"/>
        <v>59.235668789808919</v>
      </c>
      <c r="H81" s="265">
        <f t="shared" si="2"/>
        <v>0.35758706467661688</v>
      </c>
      <c r="I81" s="265">
        <f t="shared" si="3"/>
        <v>0.2790178571428571</v>
      </c>
      <c r="J81" s="265">
        <f t="shared" si="4"/>
        <v>0.14172335600907029</v>
      </c>
      <c r="K81" s="258">
        <f t="shared" ca="1" si="5"/>
        <v>220.35668789808918</v>
      </c>
      <c r="L81" s="265">
        <f t="shared" si="6"/>
        <v>2.5249365671641786</v>
      </c>
      <c r="M81" s="265">
        <f t="shared" si="7"/>
        <v>1.500803571428571</v>
      </c>
      <c r="N81" s="265">
        <f t="shared" si="8"/>
        <v>0.82693877551020412</v>
      </c>
      <c r="O81" s="265">
        <f t="shared" ca="1" si="9"/>
        <v>225.20936681219214</v>
      </c>
      <c r="P81" s="265">
        <f t="shared" ca="1" si="10"/>
        <v>3.7526140203322043</v>
      </c>
      <c r="Q81" s="258">
        <f t="shared" ca="1" si="11"/>
        <v>134.46496815286625</v>
      </c>
      <c r="R81" s="265">
        <f t="shared" si="12"/>
        <v>2.5249365671641786</v>
      </c>
      <c r="S81" s="265">
        <f t="shared" si="13"/>
        <v>1.500803571428571</v>
      </c>
      <c r="T81" s="265">
        <f t="shared" si="14"/>
        <v>0.82693877551020412</v>
      </c>
      <c r="U81" s="265">
        <f t="shared" ca="1" si="15"/>
        <v>139.31764706696922</v>
      </c>
      <c r="V81" s="265">
        <f t="shared" ca="1" si="16"/>
        <v>2.3214192334157366</v>
      </c>
      <c r="W81" s="258">
        <f t="shared" ca="1" si="17"/>
        <v>33.053503184713378</v>
      </c>
      <c r="X81" s="265">
        <f t="shared" si="18"/>
        <v>2.5249365671641786</v>
      </c>
      <c r="Y81" s="265">
        <f t="shared" si="19"/>
        <v>1.500803571428571</v>
      </c>
      <c r="Z81" s="265">
        <f t="shared" si="20"/>
        <v>0.82693877551020412</v>
      </c>
      <c r="AA81" s="265">
        <f t="shared" ca="1" si="21"/>
        <v>37.90618209881633</v>
      </c>
      <c r="AB81" s="265">
        <f t="shared" ca="1" si="22"/>
        <v>0.63162235396677546</v>
      </c>
      <c r="AC81" s="258"/>
      <c r="AD81" s="258"/>
      <c r="AE81" s="258"/>
      <c r="AF81" s="258"/>
      <c r="AG81" s="258"/>
      <c r="AH81" s="258"/>
      <c r="AI81" s="258"/>
      <c r="AJ81" s="258"/>
      <c r="AK81" s="258"/>
      <c r="AL81" s="258"/>
      <c r="AM81" s="258"/>
    </row>
    <row r="82" spans="3:45" x14ac:dyDescent="0.25">
      <c r="C82" s="255" t="s">
        <v>6015</v>
      </c>
      <c r="D82" s="255">
        <v>21.6</v>
      </c>
      <c r="E82" s="255">
        <v>0.47099999999999997</v>
      </c>
      <c r="F82" s="266">
        <f t="shared" si="0"/>
        <v>21.805555555555554</v>
      </c>
      <c r="G82" s="266">
        <f t="shared" si="1"/>
        <v>45.859872611464972</v>
      </c>
      <c r="H82" s="265">
        <f t="shared" si="2"/>
        <v>0.35758706467661688</v>
      </c>
      <c r="I82" s="265">
        <f t="shared" si="3"/>
        <v>0.2790178571428571</v>
      </c>
      <c r="J82" s="265">
        <f t="shared" si="4"/>
        <v>0.14172335600907029</v>
      </c>
      <c r="K82" s="258">
        <f t="shared" ca="1" si="5"/>
        <v>170.59872611464971</v>
      </c>
      <c r="L82" s="265">
        <f t="shared" si="6"/>
        <v>2.5249365671641786</v>
      </c>
      <c r="M82" s="265">
        <f t="shared" si="7"/>
        <v>1.500803571428571</v>
      </c>
      <c r="N82" s="265">
        <f t="shared" si="8"/>
        <v>0.82693877551020412</v>
      </c>
      <c r="O82" s="265">
        <f t="shared" ca="1" si="9"/>
        <v>175.45140502875267</v>
      </c>
      <c r="P82" s="265">
        <f t="shared" ca="1" si="10"/>
        <v>3.7619676935057358</v>
      </c>
      <c r="Q82" s="258">
        <f t="shared" ca="1" si="11"/>
        <v>104.10191082802548</v>
      </c>
      <c r="R82" s="265">
        <f t="shared" si="12"/>
        <v>2.5249365671641786</v>
      </c>
      <c r="S82" s="265">
        <f t="shared" si="13"/>
        <v>1.500803571428571</v>
      </c>
      <c r="T82" s="265">
        <f t="shared" si="14"/>
        <v>0.82693877551020412</v>
      </c>
      <c r="U82" s="265">
        <f t="shared" ca="1" si="15"/>
        <v>108.95458974212843</v>
      </c>
      <c r="V82" s="265">
        <f t="shared" ca="1" si="16"/>
        <v>2.3361662256388747</v>
      </c>
      <c r="W82" s="258">
        <f t="shared" ca="1" si="17"/>
        <v>25.589808917197455</v>
      </c>
      <c r="X82" s="265">
        <f t="shared" si="18"/>
        <v>2.5249365671641786</v>
      </c>
      <c r="Y82" s="265">
        <f t="shared" si="19"/>
        <v>1.500803571428571</v>
      </c>
      <c r="Z82" s="265">
        <f t="shared" si="20"/>
        <v>0.82693877551020412</v>
      </c>
      <c r="AA82" s="265">
        <f t="shared" ca="1" si="21"/>
        <v>30.442487831300408</v>
      </c>
      <c r="AB82" s="265">
        <f t="shared" ca="1" si="22"/>
        <v>0.65273718219882981</v>
      </c>
      <c r="AC82" s="258"/>
      <c r="AD82" s="258"/>
      <c r="AE82" s="258"/>
      <c r="AF82" s="258"/>
      <c r="AG82" s="258"/>
      <c r="AH82" s="258"/>
      <c r="AI82" s="258"/>
      <c r="AJ82" s="258"/>
      <c r="AK82" s="258"/>
      <c r="AL82" s="258"/>
      <c r="AM82" s="258"/>
      <c r="AR82" s="132" t="s">
        <v>6502</v>
      </c>
    </row>
    <row r="83" spans="3:45" x14ac:dyDescent="0.25">
      <c r="C83" s="255" t="s">
        <v>6016</v>
      </c>
      <c r="D83" s="255">
        <v>17.3</v>
      </c>
      <c r="E83" s="255">
        <v>0.47099999999999997</v>
      </c>
      <c r="F83" s="266">
        <f t="shared" si="0"/>
        <v>27.225433526011557</v>
      </c>
      <c r="G83" s="266">
        <f t="shared" si="1"/>
        <v>36.730360934182592</v>
      </c>
      <c r="H83" s="265">
        <f t="shared" si="2"/>
        <v>0.35758706467661688</v>
      </c>
      <c r="I83" s="265">
        <f t="shared" si="3"/>
        <v>0.2790178571428571</v>
      </c>
      <c r="J83" s="265">
        <f t="shared" si="4"/>
        <v>0.14172335600907029</v>
      </c>
      <c r="K83" s="258">
        <f t="shared" ca="1" si="5"/>
        <v>136.63694267515925</v>
      </c>
      <c r="L83" s="265">
        <f t="shared" si="6"/>
        <v>2.5249365671641786</v>
      </c>
      <c r="M83" s="265">
        <f t="shared" si="7"/>
        <v>1.500803571428571</v>
      </c>
      <c r="N83" s="265">
        <f t="shared" si="8"/>
        <v>0.82693877551020412</v>
      </c>
      <c r="O83" s="265">
        <f t="shared" ca="1" si="9"/>
        <v>141.48962158926221</v>
      </c>
      <c r="P83" s="265">
        <f t="shared" ca="1" si="10"/>
        <v>3.7721825145506291</v>
      </c>
      <c r="Q83" s="258">
        <f t="shared" ca="1" si="11"/>
        <v>83.377919320594486</v>
      </c>
      <c r="R83" s="265">
        <f t="shared" si="12"/>
        <v>2.5249365671641786</v>
      </c>
      <c r="S83" s="265">
        <f t="shared" si="13"/>
        <v>1.500803571428571</v>
      </c>
      <c r="T83" s="265">
        <f t="shared" si="14"/>
        <v>0.82693877551020412</v>
      </c>
      <c r="U83" s="265">
        <f t="shared" ca="1" si="15"/>
        <v>88.230598234697439</v>
      </c>
      <c r="V83" s="265">
        <f t="shared" ca="1" si="16"/>
        <v>2.3522709027764157</v>
      </c>
      <c r="W83" s="258">
        <f t="shared" ca="1" si="17"/>
        <v>20.49554140127389</v>
      </c>
      <c r="X83" s="265">
        <f t="shared" si="18"/>
        <v>2.5249365671641786</v>
      </c>
      <c r="Y83" s="265">
        <f t="shared" si="19"/>
        <v>1.500803571428571</v>
      </c>
      <c r="Z83" s="265">
        <f t="shared" si="20"/>
        <v>0.82693877551020412</v>
      </c>
      <c r="AA83" s="265">
        <f t="shared" ca="1" si="21"/>
        <v>25.348220315376842</v>
      </c>
      <c r="AB83" s="265">
        <f t="shared" ca="1" si="22"/>
        <v>0.67579595149541416</v>
      </c>
      <c r="AC83" s="258"/>
      <c r="AD83" s="258"/>
      <c r="AE83" s="258"/>
      <c r="AF83" s="258"/>
      <c r="AG83" s="258"/>
      <c r="AH83" s="258"/>
      <c r="AI83" s="258"/>
      <c r="AJ83" s="258"/>
      <c r="AK83" s="258"/>
      <c r="AL83" s="258"/>
      <c r="AM83" s="258"/>
      <c r="AR83" s="132" t="s">
        <v>6521</v>
      </c>
    </row>
    <row r="84" spans="3:45" x14ac:dyDescent="0.25">
      <c r="C84" s="255" t="s">
        <v>6017</v>
      </c>
      <c r="D84" s="255">
        <v>14.3</v>
      </c>
      <c r="E84" s="255">
        <v>0.47099999999999997</v>
      </c>
      <c r="F84" s="266">
        <f t="shared" si="0"/>
        <v>32.937062937062933</v>
      </c>
      <c r="G84" s="266">
        <f t="shared" si="1"/>
        <v>30.360934182590238</v>
      </c>
      <c r="H84" s="265">
        <f t="shared" si="2"/>
        <v>0.35758706467661688</v>
      </c>
      <c r="I84" s="265">
        <f t="shared" si="3"/>
        <v>0.2790178571428571</v>
      </c>
      <c r="J84" s="265">
        <f t="shared" si="4"/>
        <v>0.14172335600907029</v>
      </c>
      <c r="K84" s="258">
        <f t="shared" ca="1" si="5"/>
        <v>112.94267515923569</v>
      </c>
      <c r="L84" s="265">
        <f t="shared" si="6"/>
        <v>2.5249365671641786</v>
      </c>
      <c r="M84" s="265">
        <f t="shared" si="7"/>
        <v>1.500803571428571</v>
      </c>
      <c r="N84" s="265">
        <f t="shared" si="8"/>
        <v>0.82693877551020412</v>
      </c>
      <c r="O84" s="265">
        <f t="shared" ca="1" si="9"/>
        <v>117.79535407333864</v>
      </c>
      <c r="P84" s="265">
        <f t="shared" ca="1" si="10"/>
        <v>3.7828562645974255</v>
      </c>
      <c r="Q84" s="258">
        <f t="shared" ca="1" si="11"/>
        <v>68.919320594479842</v>
      </c>
      <c r="R84" s="265">
        <f t="shared" si="12"/>
        <v>2.5249365671641786</v>
      </c>
      <c r="S84" s="265">
        <f t="shared" si="13"/>
        <v>1.500803571428571</v>
      </c>
      <c r="T84" s="265">
        <f t="shared" si="14"/>
        <v>0.82693877551020412</v>
      </c>
      <c r="U84" s="265">
        <f t="shared" ca="1" si="15"/>
        <v>73.771999508582795</v>
      </c>
      <c r="V84" s="265">
        <f t="shared" ca="1" si="16"/>
        <v>2.369099126941578</v>
      </c>
      <c r="W84" s="258">
        <f t="shared" ca="1" si="17"/>
        <v>16.941401273885354</v>
      </c>
      <c r="X84" s="265">
        <f t="shared" si="18"/>
        <v>2.5249365671641786</v>
      </c>
      <c r="Y84" s="265">
        <f t="shared" si="19"/>
        <v>1.500803571428571</v>
      </c>
      <c r="Z84" s="265">
        <f t="shared" si="20"/>
        <v>0.82693877551020412</v>
      </c>
      <c r="AA84" s="265">
        <f t="shared" ca="1" si="21"/>
        <v>21.794080187988307</v>
      </c>
      <c r="AB84" s="265">
        <f t="shared" ca="1" si="22"/>
        <v>0.69989069958515659</v>
      </c>
      <c r="AC84" s="258"/>
      <c r="AD84" s="258"/>
      <c r="AE84" s="258"/>
      <c r="AF84" s="258"/>
      <c r="AG84" s="258"/>
      <c r="AH84" s="258"/>
      <c r="AI84" s="258"/>
      <c r="AJ84" s="258"/>
      <c r="AK84" s="258"/>
      <c r="AL84" s="258"/>
      <c r="AM84" s="258"/>
      <c r="AR84" s="132" t="s">
        <v>6532</v>
      </c>
    </row>
    <row r="85" spans="3:45" x14ac:dyDescent="0.25">
      <c r="C85" s="255" t="s">
        <v>6018</v>
      </c>
      <c r="D85" s="255">
        <v>17.7</v>
      </c>
      <c r="E85" s="255">
        <v>0.39200000000000002</v>
      </c>
      <c r="F85" s="266">
        <f t="shared" si="0"/>
        <v>22.146892655367235</v>
      </c>
      <c r="G85" s="266">
        <f t="shared" si="1"/>
        <v>45.15306122448979</v>
      </c>
      <c r="H85" s="265">
        <f t="shared" si="2"/>
        <v>0.35758706467661688</v>
      </c>
      <c r="I85" s="265">
        <f t="shared" si="3"/>
        <v>0.2790178571428571</v>
      </c>
      <c r="J85" s="265">
        <f t="shared" si="4"/>
        <v>0.14172335600907029</v>
      </c>
      <c r="K85" s="258">
        <f t="shared" ca="1" si="5"/>
        <v>167.96938775510202</v>
      </c>
      <c r="L85" s="265">
        <f t="shared" si="6"/>
        <v>2.5249365671641786</v>
      </c>
      <c r="M85" s="265">
        <f t="shared" si="7"/>
        <v>1.500803571428571</v>
      </c>
      <c r="N85" s="265">
        <f t="shared" si="8"/>
        <v>0.82693877551020412</v>
      </c>
      <c r="O85" s="265">
        <f t="shared" ca="1" si="9"/>
        <v>172.82206666920499</v>
      </c>
      <c r="P85" s="265">
        <f t="shared" ca="1" si="10"/>
        <v>3.762613509884825</v>
      </c>
      <c r="Q85" s="258">
        <f t="shared" ca="1" si="11"/>
        <v>102.49744897959182</v>
      </c>
      <c r="R85" s="265">
        <f t="shared" si="12"/>
        <v>2.5249365671641786</v>
      </c>
      <c r="S85" s="265">
        <f t="shared" si="13"/>
        <v>1.500803571428571</v>
      </c>
      <c r="T85" s="265">
        <f t="shared" si="14"/>
        <v>0.82693877551020412</v>
      </c>
      <c r="U85" s="265">
        <f t="shared" ca="1" si="15"/>
        <v>107.35012789369478</v>
      </c>
      <c r="V85" s="265">
        <f t="shared" ca="1" si="16"/>
        <v>2.3371844191274991</v>
      </c>
      <c r="W85" s="258">
        <f t="shared" ca="1" si="17"/>
        <v>25.195408163265306</v>
      </c>
      <c r="X85" s="265">
        <f t="shared" si="18"/>
        <v>2.5249365671641786</v>
      </c>
      <c r="Y85" s="265">
        <f t="shared" si="19"/>
        <v>1.500803571428571</v>
      </c>
      <c r="Z85" s="265">
        <f t="shared" si="20"/>
        <v>0.82693877551020412</v>
      </c>
      <c r="AA85" s="265">
        <f t="shared" ca="1" si="21"/>
        <v>30.048087077368258</v>
      </c>
      <c r="AB85" s="265">
        <f t="shared" ca="1" si="22"/>
        <v>0.65419503748850483</v>
      </c>
      <c r="AC85" s="258"/>
      <c r="AD85" s="258"/>
      <c r="AE85" s="258"/>
      <c r="AF85" s="258"/>
      <c r="AG85" s="258"/>
      <c r="AH85" s="258"/>
      <c r="AI85" s="258"/>
      <c r="AJ85" s="258"/>
      <c r="AK85" s="258"/>
      <c r="AL85" s="258"/>
      <c r="AM85" s="258"/>
      <c r="AR85" s="132" t="s">
        <v>6523</v>
      </c>
    </row>
    <row r="86" spans="3:45" x14ac:dyDescent="0.25">
      <c r="C86" s="255" t="s">
        <v>6019</v>
      </c>
      <c r="D86" s="255">
        <v>14.2</v>
      </c>
      <c r="E86" s="255">
        <v>0.39200000000000002</v>
      </c>
      <c r="F86" s="266">
        <f t="shared" si="0"/>
        <v>27.605633802816904</v>
      </c>
      <c r="G86" s="266">
        <f t="shared" si="1"/>
        <v>36.224489795918366</v>
      </c>
      <c r="H86" s="265">
        <f t="shared" si="2"/>
        <v>0.35758706467661688</v>
      </c>
      <c r="I86" s="265">
        <f t="shared" si="3"/>
        <v>0.2790178571428571</v>
      </c>
      <c r="J86" s="265">
        <f t="shared" si="4"/>
        <v>0.14172335600907029</v>
      </c>
      <c r="K86" s="258">
        <f t="shared" ca="1" si="5"/>
        <v>134.75510204081633</v>
      </c>
      <c r="L86" s="265">
        <f t="shared" si="6"/>
        <v>2.5249365671641786</v>
      </c>
      <c r="M86" s="265">
        <f t="shared" si="7"/>
        <v>1.500803571428571</v>
      </c>
      <c r="N86" s="265">
        <f t="shared" si="8"/>
        <v>0.82693877551020412</v>
      </c>
      <c r="O86" s="265">
        <f t="shared" ca="1" si="9"/>
        <v>139.60778095491929</v>
      </c>
      <c r="P86" s="265">
        <f t="shared" ca="1" si="10"/>
        <v>3.7728959096217993</v>
      </c>
      <c r="Q86" s="258">
        <f t="shared" ca="1" si="11"/>
        <v>82.229591836734699</v>
      </c>
      <c r="R86" s="265">
        <f t="shared" si="12"/>
        <v>2.5249365671641786</v>
      </c>
      <c r="S86" s="265">
        <f t="shared" si="13"/>
        <v>1.500803571428571</v>
      </c>
      <c r="T86" s="265">
        <f t="shared" si="14"/>
        <v>0.82693877551020412</v>
      </c>
      <c r="U86" s="265">
        <f t="shared" ca="1" si="15"/>
        <v>87.082270750837651</v>
      </c>
      <c r="V86" s="265">
        <f t="shared" ca="1" si="16"/>
        <v>2.3533956407666574</v>
      </c>
      <c r="W86" s="258">
        <f t="shared" ca="1" si="17"/>
        <v>20.213265306122452</v>
      </c>
      <c r="X86" s="265">
        <f t="shared" si="18"/>
        <v>2.5249365671641786</v>
      </c>
      <c r="Y86" s="265">
        <f t="shared" si="19"/>
        <v>1.500803571428571</v>
      </c>
      <c r="Z86" s="265">
        <f t="shared" si="20"/>
        <v>0.82693877551020412</v>
      </c>
      <c r="AA86" s="265">
        <f t="shared" ca="1" si="21"/>
        <v>25.065944220225404</v>
      </c>
      <c r="AB86" s="265">
        <f t="shared" ca="1" si="22"/>
        <v>0.6774063578149313</v>
      </c>
      <c r="AC86" s="258"/>
      <c r="AD86" s="258"/>
      <c r="AE86" s="258"/>
      <c r="AF86" s="258"/>
      <c r="AG86" s="258"/>
      <c r="AH86" s="258"/>
      <c r="AI86" s="258"/>
      <c r="AJ86" s="258"/>
      <c r="AK86" s="258"/>
      <c r="AL86" s="258"/>
      <c r="AM86" s="258"/>
      <c r="AR86" s="132" t="s">
        <v>6533</v>
      </c>
    </row>
    <row r="87" spans="3:45" x14ac:dyDescent="0.25">
      <c r="C87" s="255" t="s">
        <v>6020</v>
      </c>
      <c r="D87" s="255">
        <v>11.8</v>
      </c>
      <c r="E87" s="255">
        <v>0.39200000000000002</v>
      </c>
      <c r="F87" s="266">
        <f t="shared" si="0"/>
        <v>33.220338983050844</v>
      </c>
      <c r="G87" s="266">
        <f t="shared" si="1"/>
        <v>30.102040816326532</v>
      </c>
      <c r="H87" s="265">
        <f t="shared" si="2"/>
        <v>0.35758706467661688</v>
      </c>
      <c r="I87" s="265">
        <f t="shared" si="3"/>
        <v>0.2790178571428571</v>
      </c>
      <c r="J87" s="265">
        <f t="shared" si="4"/>
        <v>0.14172335600907029</v>
      </c>
      <c r="K87" s="258">
        <f t="shared" ca="1" si="5"/>
        <v>111.97959183673471</v>
      </c>
      <c r="L87" s="265">
        <f t="shared" si="6"/>
        <v>2.5249365671641786</v>
      </c>
      <c r="M87" s="265">
        <f t="shared" si="7"/>
        <v>1.500803571428571</v>
      </c>
      <c r="N87" s="265">
        <f t="shared" si="8"/>
        <v>0.82693877551020412</v>
      </c>
      <c r="O87" s="265">
        <f t="shared" ca="1" si="9"/>
        <v>116.83227075083767</v>
      </c>
      <c r="P87" s="265">
        <f t="shared" ca="1" si="10"/>
        <v>3.7833832359520354</v>
      </c>
      <c r="Q87" s="258">
        <f t="shared" ca="1" si="11"/>
        <v>68.331632653061234</v>
      </c>
      <c r="R87" s="265">
        <f t="shared" si="12"/>
        <v>2.5249365671641786</v>
      </c>
      <c r="S87" s="265">
        <f t="shared" si="13"/>
        <v>1.500803571428571</v>
      </c>
      <c r="T87" s="265">
        <f t="shared" si="14"/>
        <v>0.82693877551020412</v>
      </c>
      <c r="U87" s="265">
        <f t="shared" ca="1" si="15"/>
        <v>73.184311567164187</v>
      </c>
      <c r="V87" s="265">
        <f t="shared" ca="1" si="16"/>
        <v>2.3699299494777168</v>
      </c>
      <c r="W87" s="258">
        <f t="shared" ca="1" si="17"/>
        <v>16.796938775510206</v>
      </c>
      <c r="X87" s="265">
        <f t="shared" si="18"/>
        <v>2.5249365671641786</v>
      </c>
      <c r="Y87" s="265">
        <f t="shared" si="19"/>
        <v>1.500803571428571</v>
      </c>
      <c r="Z87" s="265">
        <f t="shared" si="20"/>
        <v>0.82693877551020412</v>
      </c>
      <c r="AA87" s="265">
        <f t="shared" ca="1" si="21"/>
        <v>21.649617689613159</v>
      </c>
      <c r="AB87" s="265">
        <f t="shared" ca="1" si="22"/>
        <v>0.70108027606803824</v>
      </c>
      <c r="AC87" s="258"/>
      <c r="AD87" s="258"/>
      <c r="AE87" s="258"/>
      <c r="AF87" s="258"/>
      <c r="AG87" s="258"/>
      <c r="AH87" s="258"/>
      <c r="AI87" s="258"/>
      <c r="AJ87" s="258"/>
      <c r="AK87" s="258"/>
      <c r="AL87" s="258"/>
      <c r="AM87" s="258"/>
      <c r="AR87" s="132" t="s">
        <v>6534</v>
      </c>
    </row>
    <row r="88" spans="3:45" x14ac:dyDescent="0.25">
      <c r="C88" s="255" t="s">
        <v>6021</v>
      </c>
      <c r="D88" s="255">
        <v>9.16</v>
      </c>
      <c r="E88" s="255">
        <v>0.39200000000000002</v>
      </c>
      <c r="F88" s="266">
        <f t="shared" si="0"/>
        <v>42.79475982532751</v>
      </c>
      <c r="G88" s="266">
        <f t="shared" si="1"/>
        <v>23.367346938775508</v>
      </c>
      <c r="H88" s="265">
        <f t="shared" si="2"/>
        <v>0.35758706467661688</v>
      </c>
      <c r="I88" s="265">
        <f t="shared" si="3"/>
        <v>0.2790178571428571</v>
      </c>
      <c r="J88" s="265">
        <f t="shared" si="4"/>
        <v>0.14172335600907029</v>
      </c>
      <c r="K88" s="258">
        <f t="shared" ca="1" si="5"/>
        <v>86.926530612244889</v>
      </c>
      <c r="L88" s="265">
        <f t="shared" si="6"/>
        <v>2.5249365671641786</v>
      </c>
      <c r="M88" s="265">
        <f t="shared" si="7"/>
        <v>1.500803571428571</v>
      </c>
      <c r="N88" s="265">
        <f t="shared" si="8"/>
        <v>0.82693877551020412</v>
      </c>
      <c r="O88" s="265">
        <f t="shared" ca="1" si="9"/>
        <v>91.779209526347842</v>
      </c>
      <c r="P88" s="265">
        <f t="shared" ca="1" si="10"/>
        <v>3.8010620412567628</v>
      </c>
      <c r="Q88" s="258">
        <f t="shared" ca="1" si="11"/>
        <v>53.043877551020401</v>
      </c>
      <c r="R88" s="265">
        <f t="shared" si="12"/>
        <v>2.5249365671641786</v>
      </c>
      <c r="S88" s="265">
        <f t="shared" si="13"/>
        <v>1.500803571428571</v>
      </c>
      <c r="T88" s="265">
        <f t="shared" si="14"/>
        <v>0.82693877551020412</v>
      </c>
      <c r="U88" s="265">
        <f t="shared" ca="1" si="15"/>
        <v>57.896556465123354</v>
      </c>
      <c r="V88" s="265">
        <f t="shared" ca="1" si="16"/>
        <v>2.3978023370955519</v>
      </c>
      <c r="W88" s="258">
        <f t="shared" ca="1" si="17"/>
        <v>13.038979591836735</v>
      </c>
      <c r="X88" s="265">
        <f t="shared" si="18"/>
        <v>2.5249365671641786</v>
      </c>
      <c r="Y88" s="265">
        <f t="shared" si="19"/>
        <v>1.500803571428571</v>
      </c>
      <c r="Z88" s="265">
        <f t="shared" si="20"/>
        <v>0.82693877551020412</v>
      </c>
      <c r="AA88" s="265">
        <f t="shared" ca="1" si="21"/>
        <v>17.891658505939688</v>
      </c>
      <c r="AB88" s="265">
        <f t="shared" ca="1" si="22"/>
        <v>0.74098812087210886</v>
      </c>
      <c r="AC88" s="258"/>
      <c r="AD88" s="258"/>
      <c r="AE88" s="258"/>
      <c r="AF88" s="258"/>
      <c r="AG88" s="258"/>
      <c r="AH88" s="258"/>
      <c r="AI88" s="258"/>
      <c r="AJ88" s="258"/>
      <c r="AK88" s="258"/>
      <c r="AL88" s="258"/>
      <c r="AM88" s="258"/>
      <c r="AR88" s="132" t="s">
        <v>6535</v>
      </c>
    </row>
    <row r="89" spans="3:45" x14ac:dyDescent="0.25">
      <c r="C89" s="255" t="s">
        <v>6022</v>
      </c>
      <c r="D89" s="255">
        <v>12.4</v>
      </c>
      <c r="E89" s="255">
        <v>0.34200000000000003</v>
      </c>
      <c r="F89" s="266">
        <f t="shared" si="0"/>
        <v>27.580645161290324</v>
      </c>
      <c r="G89" s="266">
        <f t="shared" si="1"/>
        <v>36.257309941520468</v>
      </c>
      <c r="H89" s="265">
        <f t="shared" si="2"/>
        <v>0.35758706467661688</v>
      </c>
      <c r="I89" s="265">
        <f t="shared" si="3"/>
        <v>0.2790178571428571</v>
      </c>
      <c r="J89" s="265">
        <f t="shared" si="4"/>
        <v>0.14172335600907029</v>
      </c>
      <c r="K89" s="258">
        <f t="shared" ca="1" si="5"/>
        <v>134.87719298245614</v>
      </c>
      <c r="L89" s="265">
        <f t="shared" si="6"/>
        <v>2.5249365671641786</v>
      </c>
      <c r="M89" s="265">
        <f t="shared" si="7"/>
        <v>1.500803571428571</v>
      </c>
      <c r="N89" s="265">
        <f t="shared" si="8"/>
        <v>0.82693877551020412</v>
      </c>
      <c r="O89" s="265">
        <f t="shared" ca="1" si="9"/>
        <v>139.7298718965591</v>
      </c>
      <c r="P89" s="265">
        <f t="shared" ca="1" si="10"/>
        <v>3.7728490344621144</v>
      </c>
      <c r="Q89" s="258">
        <f t="shared" ca="1" si="11"/>
        <v>82.304093567251456</v>
      </c>
      <c r="R89" s="265">
        <f t="shared" si="12"/>
        <v>2.5249365671641786</v>
      </c>
      <c r="S89" s="265">
        <f t="shared" si="13"/>
        <v>1.500803571428571</v>
      </c>
      <c r="T89" s="265">
        <f t="shared" si="14"/>
        <v>0.82693877551020412</v>
      </c>
      <c r="U89" s="265">
        <f t="shared" ca="1" si="15"/>
        <v>87.156772481354409</v>
      </c>
      <c r="V89" s="265">
        <f t="shared" ca="1" si="16"/>
        <v>2.3533217374345115</v>
      </c>
      <c r="W89" s="258">
        <f t="shared" ca="1" si="17"/>
        <v>20.231578947368423</v>
      </c>
      <c r="X89" s="265">
        <f t="shared" si="18"/>
        <v>2.5249365671641786</v>
      </c>
      <c r="Y89" s="265">
        <f t="shared" si="19"/>
        <v>1.500803571428571</v>
      </c>
      <c r="Z89" s="265">
        <f t="shared" si="20"/>
        <v>0.82693877551020412</v>
      </c>
      <c r="AA89" s="265">
        <f t="shared" ca="1" si="21"/>
        <v>25.084257861471375</v>
      </c>
      <c r="AB89" s="265">
        <f t="shared" ca="1" si="22"/>
        <v>0.67730054259916272</v>
      </c>
      <c r="AC89" s="258"/>
      <c r="AD89" s="258"/>
      <c r="AE89" s="258"/>
      <c r="AF89" s="258"/>
      <c r="AG89" s="258"/>
      <c r="AH89" s="258"/>
      <c r="AI89" s="258"/>
      <c r="AJ89" s="258"/>
      <c r="AK89" s="258"/>
      <c r="AL89" s="258"/>
      <c r="AM89" s="258"/>
    </row>
    <row r="90" spans="3:45" x14ac:dyDescent="0.25">
      <c r="C90" s="255" t="s">
        <v>6023</v>
      </c>
      <c r="D90" s="255">
        <v>10.3</v>
      </c>
      <c r="E90" s="255">
        <v>0.34200000000000003</v>
      </c>
      <c r="F90" s="266">
        <f t="shared" si="0"/>
        <v>33.203883495145632</v>
      </c>
      <c r="G90" s="266">
        <f t="shared" si="1"/>
        <v>30.116959064327485</v>
      </c>
      <c r="H90" s="265">
        <f t="shared" si="2"/>
        <v>0.35758706467661688</v>
      </c>
      <c r="I90" s="265">
        <f t="shared" si="3"/>
        <v>0.2790178571428571</v>
      </c>
      <c r="J90" s="265">
        <f t="shared" si="4"/>
        <v>0.14172335600907029</v>
      </c>
      <c r="K90" s="258">
        <f t="shared" ca="1" si="5"/>
        <v>112.03508771929825</v>
      </c>
      <c r="L90" s="265">
        <f t="shared" si="6"/>
        <v>2.5249365671641786</v>
      </c>
      <c r="M90" s="265">
        <f t="shared" si="7"/>
        <v>1.500803571428571</v>
      </c>
      <c r="N90" s="265">
        <f t="shared" si="8"/>
        <v>0.82693877551020412</v>
      </c>
      <c r="O90" s="265">
        <f t="shared" ca="1" si="9"/>
        <v>116.8877666334012</v>
      </c>
      <c r="P90" s="265">
        <f t="shared" ca="1" si="10"/>
        <v>3.7833526304159038</v>
      </c>
      <c r="Q90" s="258">
        <f t="shared" ca="1" si="11"/>
        <v>68.365497076023388</v>
      </c>
      <c r="R90" s="265">
        <f t="shared" si="12"/>
        <v>2.5249365671641786</v>
      </c>
      <c r="S90" s="265">
        <f t="shared" si="13"/>
        <v>1.500803571428571</v>
      </c>
      <c r="T90" s="265">
        <f t="shared" si="14"/>
        <v>0.82693877551020412</v>
      </c>
      <c r="U90" s="265">
        <f t="shared" ca="1" si="15"/>
        <v>73.21817599012634</v>
      </c>
      <c r="V90" s="265">
        <f t="shared" ca="1" si="16"/>
        <v>2.3698816968185801</v>
      </c>
      <c r="W90" s="258">
        <f t="shared" ca="1" si="17"/>
        <v>16.805263157894739</v>
      </c>
      <c r="X90" s="265">
        <f t="shared" si="18"/>
        <v>2.5249365671641786</v>
      </c>
      <c r="Y90" s="265">
        <f t="shared" si="19"/>
        <v>1.500803571428571</v>
      </c>
      <c r="Z90" s="265">
        <f t="shared" si="20"/>
        <v>0.82693877551020412</v>
      </c>
      <c r="AA90" s="265">
        <f t="shared" ca="1" si="21"/>
        <v>21.657942071997692</v>
      </c>
      <c r="AB90" s="265">
        <f t="shared" ca="1" si="22"/>
        <v>0.70101118763332693</v>
      </c>
      <c r="AC90" s="258"/>
      <c r="AD90" s="258"/>
      <c r="AE90" s="258"/>
      <c r="AF90" s="258"/>
      <c r="AG90" s="258"/>
      <c r="AH90" s="258"/>
      <c r="AI90" s="258"/>
      <c r="AJ90" s="258"/>
      <c r="AK90" s="258"/>
      <c r="AL90" s="258"/>
      <c r="AM90" s="258"/>
      <c r="AQ90" s="132" t="s">
        <v>6518</v>
      </c>
      <c r="AR90" s="132">
        <v>12.6</v>
      </c>
      <c r="AS90" s="132" t="s">
        <v>6474</v>
      </c>
    </row>
    <row r="91" spans="3:45" x14ac:dyDescent="0.25">
      <c r="C91" s="255" t="s">
        <v>6024</v>
      </c>
      <c r="D91" s="255">
        <v>7.98</v>
      </c>
      <c r="E91" s="255">
        <v>0.34200000000000003</v>
      </c>
      <c r="F91" s="266">
        <f t="shared" si="0"/>
        <v>42.857142857142854</v>
      </c>
      <c r="G91" s="266">
        <f t="shared" si="1"/>
        <v>23.333333333333332</v>
      </c>
      <c r="H91" s="265">
        <f t="shared" si="2"/>
        <v>0.35758706467661688</v>
      </c>
      <c r="I91" s="265">
        <f t="shared" si="3"/>
        <v>0.2790178571428571</v>
      </c>
      <c r="J91" s="265">
        <f t="shared" si="4"/>
        <v>0.14172335600907029</v>
      </c>
      <c r="K91" s="258">
        <f t="shared" ca="1" si="5"/>
        <v>86.8</v>
      </c>
      <c r="L91" s="265">
        <f t="shared" si="6"/>
        <v>2.5249365671641786</v>
      </c>
      <c r="M91" s="265">
        <f t="shared" si="7"/>
        <v>1.500803571428571</v>
      </c>
      <c r="N91" s="265">
        <f t="shared" si="8"/>
        <v>0.82693877551020412</v>
      </c>
      <c r="O91" s="265">
        <f t="shared" ca="1" si="9"/>
        <v>91.65267891410295</v>
      </c>
      <c r="P91" s="265">
        <f t="shared" ca="1" si="10"/>
        <v>3.8011763930725819</v>
      </c>
      <c r="Q91" s="258">
        <f t="shared" ca="1" si="11"/>
        <v>52.966666666666661</v>
      </c>
      <c r="R91" s="265">
        <f t="shared" si="12"/>
        <v>2.5249365671641786</v>
      </c>
      <c r="S91" s="265">
        <f t="shared" si="13"/>
        <v>1.500803571428571</v>
      </c>
      <c r="T91" s="265">
        <f t="shared" si="14"/>
        <v>0.82693877551020412</v>
      </c>
      <c r="U91" s="265">
        <f t="shared" ca="1" si="15"/>
        <v>57.819345580769614</v>
      </c>
      <c r="V91" s="265">
        <f t="shared" ca="1" si="16"/>
        <v>2.397982624059539</v>
      </c>
      <c r="W91" s="258">
        <f t="shared" ca="1" si="17"/>
        <v>13.020000000000001</v>
      </c>
      <c r="X91" s="265">
        <f t="shared" si="18"/>
        <v>2.5249365671641786</v>
      </c>
      <c r="Y91" s="265">
        <f t="shared" si="19"/>
        <v>1.500803571428571</v>
      </c>
      <c r="Z91" s="265">
        <f t="shared" si="20"/>
        <v>0.82693877551020412</v>
      </c>
      <c r="AA91" s="265">
        <f t="shared" ca="1" si="21"/>
        <v>17.872678914102956</v>
      </c>
      <c r="AB91" s="265">
        <f t="shared" ca="1" si="22"/>
        <v>0.74124625678345013</v>
      </c>
      <c r="AC91" s="258"/>
      <c r="AD91" s="258"/>
      <c r="AE91" s="258"/>
      <c r="AF91" s="258"/>
      <c r="AG91" s="258"/>
      <c r="AH91" s="258"/>
      <c r="AI91" s="258"/>
      <c r="AJ91" s="258"/>
      <c r="AK91" s="258"/>
      <c r="AL91" s="258"/>
      <c r="AM91" s="258"/>
      <c r="AQ91" s="132" t="s">
        <v>6519</v>
      </c>
      <c r="AR91" s="132">
        <v>9.8783999999999992</v>
      </c>
      <c r="AS91" s="132" t="s">
        <v>6474</v>
      </c>
    </row>
    <row r="92" spans="3:45" x14ac:dyDescent="0.25">
      <c r="C92" s="255" t="s">
        <v>6025</v>
      </c>
      <c r="D92" s="255">
        <v>7.23</v>
      </c>
      <c r="E92" s="255">
        <v>0.24399999999999999</v>
      </c>
      <c r="F92" s="266">
        <f t="shared" si="0"/>
        <v>33.748271092669434</v>
      </c>
      <c r="G92" s="266">
        <f t="shared" si="1"/>
        <v>29.631147540983608</v>
      </c>
      <c r="H92" s="265">
        <f t="shared" si="2"/>
        <v>0.35758706467661688</v>
      </c>
      <c r="I92" s="265">
        <f t="shared" si="3"/>
        <v>0.2790178571428571</v>
      </c>
      <c r="J92" s="265">
        <f t="shared" si="4"/>
        <v>0.14172335600907029</v>
      </c>
      <c r="K92" s="258">
        <f t="shared" ca="1" si="5"/>
        <v>110.22786885245903</v>
      </c>
      <c r="L92" s="265">
        <f t="shared" si="6"/>
        <v>2.5249365671641786</v>
      </c>
      <c r="M92" s="265">
        <f t="shared" si="7"/>
        <v>1.500803571428571</v>
      </c>
      <c r="N92" s="265">
        <f t="shared" si="8"/>
        <v>0.82693877551020412</v>
      </c>
      <c r="O92" s="265">
        <f t="shared" ca="1" si="9"/>
        <v>115.08054776656198</v>
      </c>
      <c r="P92" s="265">
        <f t="shared" ca="1" si="10"/>
        <v>3.7843647306597084</v>
      </c>
      <c r="Q92" s="258">
        <f t="shared" ca="1" si="11"/>
        <v>67.262704918032796</v>
      </c>
      <c r="R92" s="265">
        <f t="shared" si="12"/>
        <v>2.5249365671641786</v>
      </c>
      <c r="S92" s="265">
        <f t="shared" si="13"/>
        <v>1.500803571428571</v>
      </c>
      <c r="T92" s="265">
        <f t="shared" si="14"/>
        <v>0.82693877551020412</v>
      </c>
      <c r="U92" s="265">
        <f t="shared" ca="1" si="15"/>
        <v>72.115383832135748</v>
      </c>
      <c r="V92" s="265">
        <f t="shared" ca="1" si="16"/>
        <v>2.3714773730997081</v>
      </c>
      <c r="W92" s="258">
        <f t="shared" ca="1" si="17"/>
        <v>16.534180327868857</v>
      </c>
      <c r="X92" s="265">
        <f t="shared" si="18"/>
        <v>2.5249365671641786</v>
      </c>
      <c r="Y92" s="265">
        <f t="shared" si="19"/>
        <v>1.500803571428571</v>
      </c>
      <c r="Z92" s="265">
        <f t="shared" si="20"/>
        <v>0.82693877551020412</v>
      </c>
      <c r="AA92" s="265">
        <f t="shared" ca="1" si="21"/>
        <v>21.386859241971809</v>
      </c>
      <c r="AB92" s="265">
        <f t="shared" ca="1" si="22"/>
        <v>0.70329588610472848</v>
      </c>
      <c r="AC92" s="258"/>
      <c r="AD92" s="258"/>
      <c r="AE92" s="258"/>
      <c r="AF92" s="258"/>
      <c r="AG92" s="258"/>
      <c r="AH92" s="258"/>
      <c r="AI92" s="258"/>
      <c r="AJ92" s="258"/>
      <c r="AK92" s="258"/>
      <c r="AL92" s="258"/>
      <c r="AM92" s="258"/>
      <c r="AP92" s="132" t="s">
        <v>6527</v>
      </c>
    </row>
    <row r="93" spans="3:45" x14ac:dyDescent="0.25">
      <c r="C93" s="255" t="s">
        <v>6026</v>
      </c>
      <c r="D93" s="255">
        <v>5.66</v>
      </c>
      <c r="E93" s="255">
        <v>0.24399999999999999</v>
      </c>
      <c r="F93" s="266">
        <f t="shared" si="0"/>
        <v>43.109540636042404</v>
      </c>
      <c r="G93" s="266">
        <f t="shared" si="1"/>
        <v>23.196721311475411</v>
      </c>
      <c r="H93" s="265">
        <f t="shared" si="2"/>
        <v>0.35758706467661688</v>
      </c>
      <c r="I93" s="265">
        <f t="shared" si="3"/>
        <v>0.2790178571428571</v>
      </c>
      <c r="J93" s="265">
        <f t="shared" si="4"/>
        <v>0.14172335600907029</v>
      </c>
      <c r="K93" s="258">
        <f t="shared" ca="1" si="5"/>
        <v>86.291803278688533</v>
      </c>
      <c r="L93" s="265">
        <f t="shared" si="6"/>
        <v>2.5249365671641786</v>
      </c>
      <c r="M93" s="265">
        <f t="shared" si="7"/>
        <v>1.500803571428571</v>
      </c>
      <c r="N93" s="265">
        <f t="shared" si="8"/>
        <v>0.82693877551020412</v>
      </c>
      <c r="O93" s="265">
        <f t="shared" ca="1" si="9"/>
        <v>91.144482192791486</v>
      </c>
      <c r="P93" s="265">
        <f t="shared" ca="1" si="10"/>
        <v>3.8016389435729878</v>
      </c>
      <c r="Q93" s="258">
        <f t="shared" ca="1" si="11"/>
        <v>52.656557377049182</v>
      </c>
      <c r="R93" s="265">
        <f t="shared" si="12"/>
        <v>2.5249365671641786</v>
      </c>
      <c r="S93" s="265">
        <f t="shared" si="13"/>
        <v>1.500803571428571</v>
      </c>
      <c r="T93" s="265">
        <f t="shared" si="14"/>
        <v>0.82693877551020412</v>
      </c>
      <c r="U93" s="265">
        <f t="shared" ca="1" si="15"/>
        <v>57.509236291152135</v>
      </c>
      <c r="V93" s="265">
        <f t="shared" ca="1" si="16"/>
        <v>2.3987118807382513</v>
      </c>
      <c r="W93" s="258">
        <f t="shared" ca="1" si="17"/>
        <v>12.94377049180328</v>
      </c>
      <c r="X93" s="265">
        <f t="shared" si="18"/>
        <v>2.5249365671641786</v>
      </c>
      <c r="Y93" s="265">
        <f t="shared" si="19"/>
        <v>1.500803571428571</v>
      </c>
      <c r="Z93" s="265">
        <f t="shared" si="20"/>
        <v>0.82693877551020412</v>
      </c>
      <c r="AA93" s="265">
        <f t="shared" ca="1" si="21"/>
        <v>17.796449405906234</v>
      </c>
      <c r="AB93" s="265">
        <f t="shared" ca="1" si="22"/>
        <v>0.74229041068785961</v>
      </c>
      <c r="AC93" s="258"/>
      <c r="AD93" s="258"/>
      <c r="AE93" s="258"/>
      <c r="AF93" s="258"/>
      <c r="AG93" s="258"/>
      <c r="AH93" s="258"/>
      <c r="AI93" s="258"/>
      <c r="AJ93" s="258"/>
      <c r="AK93" s="258"/>
      <c r="AL93" s="258"/>
      <c r="AM93" s="258"/>
    </row>
    <row r="94" spans="3:45" x14ac:dyDescent="0.25">
      <c r="C94" s="255" t="s">
        <v>6027</v>
      </c>
      <c r="D94" s="270">
        <v>4.4000000000000004</v>
      </c>
      <c r="E94" s="255">
        <v>0.24399999999999999</v>
      </c>
      <c r="F94" s="266">
        <f t="shared" si="0"/>
        <v>55.454545454545453</v>
      </c>
      <c r="G94" s="266">
        <f t="shared" si="1"/>
        <v>18.032786885245905</v>
      </c>
      <c r="H94" s="265">
        <f t="shared" si="2"/>
        <v>0.35758706467661688</v>
      </c>
      <c r="I94" s="265">
        <f t="shared" si="3"/>
        <v>0.2790178571428571</v>
      </c>
      <c r="J94" s="265">
        <f t="shared" si="4"/>
        <v>0.14172335600907029</v>
      </c>
      <c r="K94" s="258">
        <f t="shared" ca="1" si="5"/>
        <v>67.081967213114766</v>
      </c>
      <c r="L94" s="265">
        <f t="shared" si="6"/>
        <v>2.5249365671641786</v>
      </c>
      <c r="M94" s="265">
        <f t="shared" si="7"/>
        <v>1.500803571428571</v>
      </c>
      <c r="N94" s="265">
        <f t="shared" si="8"/>
        <v>0.82693877551020412</v>
      </c>
      <c r="O94" s="265">
        <f t="shared" ca="1" si="9"/>
        <v>71.934646127217718</v>
      </c>
      <c r="P94" s="265">
        <f t="shared" ca="1" si="10"/>
        <v>3.8240500631468604</v>
      </c>
      <c r="Q94" s="258">
        <f t="shared" ca="1" si="11"/>
        <v>40.934426229508205</v>
      </c>
      <c r="R94" s="265">
        <f t="shared" si="12"/>
        <v>2.5249365671641786</v>
      </c>
      <c r="S94" s="265">
        <f t="shared" si="13"/>
        <v>1.500803571428571</v>
      </c>
      <c r="T94" s="265">
        <f t="shared" si="14"/>
        <v>0.82693877551020412</v>
      </c>
      <c r="U94" s="265">
        <f t="shared" ca="1" si="15"/>
        <v>45.787105143611157</v>
      </c>
      <c r="V94" s="265">
        <f t="shared" ca="1" si="16"/>
        <v>2.4340452305288958</v>
      </c>
      <c r="W94" s="258">
        <f t="shared" ca="1" si="17"/>
        <v>10.062295081967216</v>
      </c>
      <c r="X94" s="265">
        <f t="shared" si="18"/>
        <v>2.5249365671641786</v>
      </c>
      <c r="Y94" s="265">
        <f t="shared" si="19"/>
        <v>1.500803571428571</v>
      </c>
      <c r="Z94" s="265">
        <f t="shared" si="20"/>
        <v>0.82693877551020412</v>
      </c>
      <c r="AA94" s="265">
        <f t="shared" ca="1" si="21"/>
        <v>14.91497399607017</v>
      </c>
      <c r="AB94" s="265">
        <f t="shared" ca="1" si="22"/>
        <v>0.79288090401720213</v>
      </c>
      <c r="AC94" s="258"/>
      <c r="AD94" s="258"/>
      <c r="AE94" s="258"/>
      <c r="AF94" s="258"/>
      <c r="AG94" s="258"/>
      <c r="AH94" s="258"/>
      <c r="AI94" s="258"/>
      <c r="AJ94" s="258"/>
      <c r="AK94" s="258"/>
      <c r="AL94" s="258"/>
      <c r="AM94" s="258"/>
    </row>
    <row r="95" spans="3:45" x14ac:dyDescent="0.25">
      <c r="C95" s="255" t="s">
        <v>6028</v>
      </c>
      <c r="D95" s="255">
        <v>6.59</v>
      </c>
      <c r="E95" s="255">
        <v>0.22500000000000001</v>
      </c>
      <c r="F95" s="266">
        <f t="shared" si="0"/>
        <v>34.142640364188168</v>
      </c>
      <c r="G95" s="266">
        <f t="shared" si="1"/>
        <v>29.288888888888888</v>
      </c>
      <c r="H95" s="265">
        <f t="shared" si="2"/>
        <v>0.35758706467661688</v>
      </c>
      <c r="I95" s="265">
        <f t="shared" si="3"/>
        <v>0.2790178571428571</v>
      </c>
      <c r="J95" s="265">
        <f t="shared" si="4"/>
        <v>0.14172335600907029</v>
      </c>
      <c r="K95" s="258">
        <f t="shared" ca="1" si="5"/>
        <v>108.95466666666667</v>
      </c>
      <c r="L95" s="265">
        <f t="shared" si="6"/>
        <v>2.5249365671641786</v>
      </c>
      <c r="M95" s="265">
        <f t="shared" si="7"/>
        <v>1.500803571428571</v>
      </c>
      <c r="N95" s="265">
        <f t="shared" si="8"/>
        <v>0.82693877551020412</v>
      </c>
      <c r="O95" s="265">
        <f t="shared" ca="1" si="9"/>
        <v>113.80734558076962</v>
      </c>
      <c r="P95" s="265">
        <f t="shared" ca="1" si="10"/>
        <v>3.7850974019220964</v>
      </c>
      <c r="Q95" s="258">
        <f t="shared" ca="1" si="11"/>
        <v>66.48577777777777</v>
      </c>
      <c r="R95" s="265">
        <f t="shared" si="12"/>
        <v>2.5249365671641786</v>
      </c>
      <c r="S95" s="265">
        <f t="shared" si="13"/>
        <v>1.500803571428571</v>
      </c>
      <c r="T95" s="265">
        <f t="shared" si="14"/>
        <v>0.82693877551020412</v>
      </c>
      <c r="U95" s="265">
        <f t="shared" ca="1" si="15"/>
        <v>71.338456691880722</v>
      </c>
      <c r="V95" s="265">
        <f t="shared" ca="1" si="16"/>
        <v>2.3726325019146772</v>
      </c>
      <c r="W95" s="258">
        <f t="shared" ca="1" si="17"/>
        <v>16.3432</v>
      </c>
      <c r="X95" s="265">
        <f t="shared" si="18"/>
        <v>2.5249365671641786</v>
      </c>
      <c r="Y95" s="265">
        <f t="shared" si="19"/>
        <v>1.500803571428571</v>
      </c>
      <c r="Z95" s="265">
        <f t="shared" si="20"/>
        <v>0.82693877551020412</v>
      </c>
      <c r="AA95" s="265">
        <f t="shared" ca="1" si="21"/>
        <v>21.195878914102952</v>
      </c>
      <c r="AB95" s="265">
        <f t="shared" ca="1" si="22"/>
        <v>0.70494980618178027</v>
      </c>
      <c r="AC95" s="258"/>
      <c r="AD95" s="258"/>
      <c r="AE95" s="258"/>
      <c r="AF95" s="258"/>
      <c r="AG95" s="258"/>
      <c r="AH95" s="258"/>
      <c r="AI95" s="258"/>
      <c r="AJ95" s="258"/>
      <c r="AK95" s="258"/>
      <c r="AL95" s="258"/>
      <c r="AM95" s="258"/>
    </row>
    <row r="96" spans="3:45" x14ac:dyDescent="0.25">
      <c r="C96" s="255" t="s">
        <v>6029</v>
      </c>
      <c r="D96" s="255">
        <v>5.16</v>
      </c>
      <c r="E96" s="255">
        <v>0.22500000000000001</v>
      </c>
      <c r="F96" s="266">
        <f t="shared" si="0"/>
        <v>43.604651162790702</v>
      </c>
      <c r="G96" s="266">
        <f t="shared" si="1"/>
        <v>22.933333333333334</v>
      </c>
      <c r="H96" s="265">
        <f t="shared" si="2"/>
        <v>0.35758706467661688</v>
      </c>
      <c r="I96" s="265">
        <f t="shared" si="3"/>
        <v>0.2790178571428571</v>
      </c>
      <c r="J96" s="265">
        <f t="shared" si="4"/>
        <v>0.14172335600907029</v>
      </c>
      <c r="K96" s="258">
        <f t="shared" ca="1" si="5"/>
        <v>85.312000000000012</v>
      </c>
      <c r="L96" s="265">
        <f t="shared" si="6"/>
        <v>2.5249365671641786</v>
      </c>
      <c r="M96" s="265">
        <f t="shared" si="7"/>
        <v>1.500803571428571</v>
      </c>
      <c r="N96" s="265">
        <f t="shared" si="8"/>
        <v>0.82693877551020412</v>
      </c>
      <c r="O96" s="265">
        <f t="shared" ca="1" si="9"/>
        <v>90.164678914102964</v>
      </c>
      <c r="P96" s="265">
        <f t="shared" ca="1" si="10"/>
        <v>3.8025457849676552</v>
      </c>
      <c r="Q96" s="258">
        <f t="shared" ca="1" si="11"/>
        <v>52.058666666666667</v>
      </c>
      <c r="R96" s="265">
        <f t="shared" si="12"/>
        <v>2.5249365671641786</v>
      </c>
      <c r="S96" s="265">
        <f t="shared" si="13"/>
        <v>1.500803571428571</v>
      </c>
      <c r="T96" s="265">
        <f t="shared" si="14"/>
        <v>0.82693877551020412</v>
      </c>
      <c r="U96" s="265">
        <f t="shared" ca="1" si="15"/>
        <v>56.91134558076962</v>
      </c>
      <c r="V96" s="265">
        <f t="shared" ca="1" si="16"/>
        <v>2.4001416060180079</v>
      </c>
      <c r="W96" s="258">
        <f t="shared" ca="1" si="17"/>
        <v>12.796800000000001</v>
      </c>
      <c r="X96" s="265">
        <f t="shared" si="18"/>
        <v>2.5249365671641786</v>
      </c>
      <c r="Y96" s="265">
        <f t="shared" si="19"/>
        <v>1.500803571428571</v>
      </c>
      <c r="Z96" s="265">
        <f t="shared" si="20"/>
        <v>0.82693877551020412</v>
      </c>
      <c r="AA96" s="265">
        <f t="shared" ca="1" si="21"/>
        <v>17.649478914102954</v>
      </c>
      <c r="AB96" s="265">
        <f t="shared" ca="1" si="22"/>
        <v>0.74433749956159745</v>
      </c>
      <c r="AC96" s="258"/>
      <c r="AD96" s="258"/>
      <c r="AE96" s="258"/>
      <c r="AF96" s="258"/>
      <c r="AG96" s="258"/>
      <c r="AH96" s="258"/>
      <c r="AI96" s="258"/>
      <c r="AJ96" s="258"/>
      <c r="AK96" s="258"/>
      <c r="AL96" s="258"/>
      <c r="AM96" s="258"/>
    </row>
    <row r="97" spans="3:39" x14ac:dyDescent="0.25">
      <c r="C97" s="255" t="s">
        <v>6030</v>
      </c>
      <c r="D97" s="255">
        <v>4.0199999999999996</v>
      </c>
      <c r="E97" s="255">
        <v>0.22500000000000001</v>
      </c>
      <c r="F97" s="266">
        <f t="shared" ref="F97:F135" si="25">E97/D97*1000</f>
        <v>55.97014925373135</v>
      </c>
      <c r="G97" s="266">
        <f t="shared" si="1"/>
        <v>17.866666666666664</v>
      </c>
      <c r="H97" s="265">
        <f t="shared" si="2"/>
        <v>0.35758706467661688</v>
      </c>
      <c r="I97" s="265">
        <f t="shared" si="3"/>
        <v>0.2790178571428571</v>
      </c>
      <c r="J97" s="265">
        <f t="shared" si="4"/>
        <v>0.14172335600907029</v>
      </c>
      <c r="K97" s="258">
        <f t="shared" ca="1" si="5"/>
        <v>66.463999999999999</v>
      </c>
      <c r="L97" s="265">
        <f t="shared" si="6"/>
        <v>2.5249365671641786</v>
      </c>
      <c r="M97" s="265">
        <f t="shared" si="7"/>
        <v>1.500803571428571</v>
      </c>
      <c r="N97" s="265">
        <f t="shared" si="8"/>
        <v>0.82693877551020412</v>
      </c>
      <c r="O97" s="265">
        <f t="shared" ca="1" si="9"/>
        <v>71.316678914102951</v>
      </c>
      <c r="P97" s="265">
        <f t="shared" ca="1" si="10"/>
        <v>3.8249771118955787</v>
      </c>
      <c r="Q97" s="258">
        <f t="shared" ca="1" si="11"/>
        <v>40.557333333333325</v>
      </c>
      <c r="R97" s="265">
        <f t="shared" si="12"/>
        <v>2.5249365671641786</v>
      </c>
      <c r="S97" s="265">
        <f t="shared" si="13"/>
        <v>1.500803571428571</v>
      </c>
      <c r="T97" s="265">
        <f t="shared" si="14"/>
        <v>0.82693877551020412</v>
      </c>
      <c r="U97" s="265">
        <f t="shared" ca="1" si="15"/>
        <v>45.410012247436278</v>
      </c>
      <c r="V97" s="265">
        <f t="shared" ca="1" si="16"/>
        <v>2.4355068147038157</v>
      </c>
      <c r="W97" s="258">
        <f t="shared" ca="1" si="17"/>
        <v>9.9695999999999998</v>
      </c>
      <c r="X97" s="265">
        <f t="shared" si="18"/>
        <v>2.5249365671641786</v>
      </c>
      <c r="Y97" s="265">
        <f t="shared" si="19"/>
        <v>1.500803571428571</v>
      </c>
      <c r="Z97" s="265">
        <f t="shared" si="20"/>
        <v>0.82693877551020412</v>
      </c>
      <c r="AA97" s="265">
        <f t="shared" ca="1" si="21"/>
        <v>14.822278914102954</v>
      </c>
      <c r="AB97" s="265">
        <f t="shared" ca="1" si="22"/>
        <v>0.79497360864016309</v>
      </c>
      <c r="AC97" s="258"/>
      <c r="AD97" s="258"/>
      <c r="AE97" s="258"/>
      <c r="AF97" s="258"/>
      <c r="AG97" s="258"/>
      <c r="AH97" s="258"/>
      <c r="AI97" s="258"/>
      <c r="AJ97" s="258"/>
      <c r="AK97" s="258"/>
      <c r="AL97" s="258"/>
      <c r="AM97" s="258"/>
    </row>
    <row r="98" spans="3:39" x14ac:dyDescent="0.25">
      <c r="C98" s="255" t="s">
        <v>6031</v>
      </c>
      <c r="D98" s="255">
        <v>55.2</v>
      </c>
      <c r="E98" s="255">
        <v>1.1299999999999999</v>
      </c>
      <c r="F98" s="266">
        <f t="shared" si="25"/>
        <v>20.471014492753621</v>
      </c>
      <c r="G98" s="266">
        <f t="shared" ref="G98:G161" si="26">D98/E98</f>
        <v>48.849557522123902</v>
      </c>
      <c r="H98" s="265">
        <f t="shared" ref="H98:H161" si="27">$AJ$40</f>
        <v>0.35758706467661688</v>
      </c>
      <c r="I98" s="265">
        <f t="shared" ref="I98:I161" si="28">$AK$40</f>
        <v>0.2790178571428571</v>
      </c>
      <c r="J98" s="265">
        <f t="shared" ref="J98:J161" si="29">$AL$40</f>
        <v>0.14172335600907029</v>
      </c>
      <c r="K98" s="258">
        <f t="shared" ref="K98:K161" ca="1" si="30">K$30*$G98</f>
        <v>181.72035398230094</v>
      </c>
      <c r="L98" s="265">
        <f t="shared" ref="L98:L161" si="31">L$30*$H98</f>
        <v>2.5249365671641786</v>
      </c>
      <c r="M98" s="265">
        <f t="shared" ref="M98:M161" si="32">M$30*$I98</f>
        <v>1.500803571428571</v>
      </c>
      <c r="N98" s="265">
        <f t="shared" ref="N98:N161" si="33">N$30*$J98</f>
        <v>0.82693877551020412</v>
      </c>
      <c r="O98" s="265">
        <f t="shared" ref="O98:O161" ca="1" si="34">SUM(K98:N98)</f>
        <v>186.5730328964039</v>
      </c>
      <c r="P98" s="265">
        <f t="shared" ref="P98:P161" ca="1" si="35">O98/SUM($G98:$J98)</f>
        <v>3.7594394741793069</v>
      </c>
      <c r="Q98" s="258">
        <f t="shared" ref="Q98:Q161" ca="1" si="36">Q$30*$G98</f>
        <v>110.88849557522126</v>
      </c>
      <c r="R98" s="265">
        <f t="shared" ref="R98:R161" si="37">R$30*$H98</f>
        <v>2.5249365671641786</v>
      </c>
      <c r="S98" s="265">
        <f t="shared" ref="S98:S161" si="38">S$30*$I98</f>
        <v>1.500803571428571</v>
      </c>
      <c r="T98" s="265">
        <f t="shared" ref="T98:T161" si="39">T$30*$J98</f>
        <v>0.82693877551020412</v>
      </c>
      <c r="U98" s="265">
        <f t="shared" ref="U98:U161" ca="1" si="40">SUM(Q98:T98)</f>
        <v>115.74117448932421</v>
      </c>
      <c r="V98" s="265">
        <f t="shared" ref="V98:V161" ca="1" si="41">U98/SUM($G98:$J98)</f>
        <v>2.33218023745503</v>
      </c>
      <c r="W98" s="258">
        <f t="shared" ref="W98:W161" ca="1" si="42">W$30*$G98</f>
        <v>27.25805309734514</v>
      </c>
      <c r="X98" s="265">
        <f t="shared" ref="X98:X161" si="43">X$30*$H98</f>
        <v>2.5249365671641786</v>
      </c>
      <c r="Y98" s="265">
        <f t="shared" ref="Y98:Y161" si="44">Y$30*$I98</f>
        <v>1.500803571428571</v>
      </c>
      <c r="Z98" s="265">
        <f t="shared" ref="Z98:Z161" si="45">Z$30*$J98</f>
        <v>0.82693877551020412</v>
      </c>
      <c r="AA98" s="265">
        <f t="shared" ref="AA98:AA161" ca="1" si="46">SUM(W98:Z98)</f>
        <v>32.110732011448093</v>
      </c>
      <c r="AB98" s="265">
        <f t="shared" ref="AB98:AB161" ca="1" si="47">AA98/SUM($G98:$J98)</f>
        <v>0.64703002140540233</v>
      </c>
      <c r="AC98" s="258"/>
      <c r="AD98" s="258"/>
      <c r="AE98" s="258"/>
      <c r="AF98" s="258"/>
      <c r="AG98" s="258"/>
      <c r="AH98" s="258"/>
      <c r="AI98" s="258"/>
      <c r="AJ98" s="258"/>
      <c r="AK98" s="258"/>
      <c r="AL98" s="258"/>
      <c r="AM98" s="258"/>
    </row>
    <row r="99" spans="3:39" x14ac:dyDescent="0.25">
      <c r="C99" s="255" t="s">
        <v>6032</v>
      </c>
      <c r="D99" s="255">
        <v>40.1</v>
      </c>
      <c r="E99" s="255">
        <v>0.93200000000000005</v>
      </c>
      <c r="F99" s="266">
        <f t="shared" si="25"/>
        <v>23.241895261845389</v>
      </c>
      <c r="G99" s="266">
        <f t="shared" si="26"/>
        <v>43.02575107296137</v>
      </c>
      <c r="H99" s="265">
        <f t="shared" si="27"/>
        <v>0.35758706467661688</v>
      </c>
      <c r="I99" s="265">
        <f t="shared" si="28"/>
        <v>0.2790178571428571</v>
      </c>
      <c r="J99" s="265">
        <f t="shared" si="29"/>
        <v>0.14172335600907029</v>
      </c>
      <c r="K99" s="258">
        <f t="shared" ca="1" si="30"/>
        <v>160.05579399141629</v>
      </c>
      <c r="L99" s="265">
        <f t="shared" si="31"/>
        <v>2.5249365671641786</v>
      </c>
      <c r="M99" s="265">
        <f t="shared" si="32"/>
        <v>1.500803571428571</v>
      </c>
      <c r="N99" s="265">
        <f t="shared" si="33"/>
        <v>0.82693877551020412</v>
      </c>
      <c r="O99" s="265">
        <f t="shared" ca="1" si="34"/>
        <v>164.90847290551926</v>
      </c>
      <c r="P99" s="265">
        <f t="shared" ca="1" si="35"/>
        <v>3.7646830009804897</v>
      </c>
      <c r="Q99" s="258">
        <f t="shared" ca="1" si="36"/>
        <v>97.668454935622307</v>
      </c>
      <c r="R99" s="265">
        <f t="shared" si="37"/>
        <v>2.5249365671641786</v>
      </c>
      <c r="S99" s="265">
        <f t="shared" si="38"/>
        <v>1.500803571428571</v>
      </c>
      <c r="T99" s="265">
        <f t="shared" si="39"/>
        <v>0.82693877551020412</v>
      </c>
      <c r="U99" s="265">
        <f t="shared" ca="1" si="40"/>
        <v>102.52113384972526</v>
      </c>
      <c r="V99" s="265">
        <f t="shared" ca="1" si="41"/>
        <v>2.3404471768193096</v>
      </c>
      <c r="W99" s="258">
        <f t="shared" ca="1" si="42"/>
        <v>24.008369098712446</v>
      </c>
      <c r="X99" s="265">
        <f t="shared" si="43"/>
        <v>2.5249365671641786</v>
      </c>
      <c r="Y99" s="265">
        <f t="shared" si="44"/>
        <v>1.500803571428571</v>
      </c>
      <c r="Z99" s="265">
        <f t="shared" si="45"/>
        <v>0.82693877551020412</v>
      </c>
      <c r="AA99" s="265">
        <f t="shared" ca="1" si="46"/>
        <v>28.861048012815399</v>
      </c>
      <c r="AB99" s="265">
        <f t="shared" ca="1" si="47"/>
        <v>0.65886667270624766</v>
      </c>
      <c r="AC99" s="258"/>
      <c r="AD99" s="258"/>
      <c r="AE99" s="258"/>
      <c r="AF99" s="258"/>
      <c r="AG99" s="258"/>
      <c r="AH99" s="258"/>
      <c r="AI99" s="258"/>
      <c r="AJ99" s="258"/>
      <c r="AK99" s="258"/>
      <c r="AL99" s="258"/>
      <c r="AM99" s="258"/>
    </row>
    <row r="100" spans="3:39" x14ac:dyDescent="0.25">
      <c r="C100" s="255" t="s">
        <v>6033</v>
      </c>
      <c r="D100" s="255">
        <v>35.5</v>
      </c>
      <c r="E100" s="255">
        <v>0.83399999999999996</v>
      </c>
      <c r="F100" s="266">
        <f t="shared" si="25"/>
        <v>23.492957746478872</v>
      </c>
      <c r="G100" s="266">
        <f t="shared" si="26"/>
        <v>42.565947242206235</v>
      </c>
      <c r="H100" s="265">
        <f t="shared" si="27"/>
        <v>0.35758706467661688</v>
      </c>
      <c r="I100" s="265">
        <f t="shared" si="28"/>
        <v>0.2790178571428571</v>
      </c>
      <c r="J100" s="265">
        <f t="shared" si="29"/>
        <v>0.14172335600907029</v>
      </c>
      <c r="K100" s="258">
        <f t="shared" ca="1" si="30"/>
        <v>158.34532374100721</v>
      </c>
      <c r="L100" s="265">
        <f t="shared" si="31"/>
        <v>2.5249365671641786</v>
      </c>
      <c r="M100" s="265">
        <f t="shared" si="32"/>
        <v>1.500803571428571</v>
      </c>
      <c r="N100" s="265">
        <f t="shared" si="33"/>
        <v>0.82693877551020412</v>
      </c>
      <c r="O100" s="265">
        <f t="shared" ca="1" si="34"/>
        <v>163.19800265511017</v>
      </c>
      <c r="P100" s="265">
        <f t="shared" ca="1" si="35"/>
        <v>3.7651570062504813</v>
      </c>
      <c r="Q100" s="258">
        <f t="shared" ca="1" si="36"/>
        <v>96.624700239808149</v>
      </c>
      <c r="R100" s="265">
        <f t="shared" si="37"/>
        <v>2.5249365671641786</v>
      </c>
      <c r="S100" s="265">
        <f t="shared" si="38"/>
        <v>1.500803571428571</v>
      </c>
      <c r="T100" s="265">
        <f t="shared" si="39"/>
        <v>0.82693877551020412</v>
      </c>
      <c r="U100" s="265">
        <f t="shared" ca="1" si="40"/>
        <v>101.4773791539111</v>
      </c>
      <c r="V100" s="265">
        <f t="shared" ca="1" si="41"/>
        <v>2.3411944930768489</v>
      </c>
      <c r="W100" s="258">
        <f t="shared" ca="1" si="42"/>
        <v>23.75179856115108</v>
      </c>
      <c r="X100" s="265">
        <f t="shared" si="43"/>
        <v>2.5249365671641786</v>
      </c>
      <c r="Y100" s="265">
        <f t="shared" si="44"/>
        <v>1.500803571428571</v>
      </c>
      <c r="Z100" s="265">
        <f t="shared" si="45"/>
        <v>0.82693877551020412</v>
      </c>
      <c r="AA100" s="265">
        <f t="shared" ca="1" si="46"/>
        <v>28.604477475254033</v>
      </c>
      <c r="AB100" s="265">
        <f t="shared" ca="1" si="47"/>
        <v>0.65993668441943043</v>
      </c>
      <c r="AC100" s="258"/>
      <c r="AD100" s="258"/>
      <c r="AE100" s="258"/>
      <c r="AF100" s="258"/>
      <c r="AG100" s="258"/>
      <c r="AH100" s="258"/>
      <c r="AI100" s="258"/>
      <c r="AJ100" s="258"/>
      <c r="AK100" s="258"/>
      <c r="AL100" s="258"/>
      <c r="AM100" s="258"/>
    </row>
    <row r="101" spans="3:39" x14ac:dyDescent="0.25">
      <c r="C101" s="255" t="s">
        <v>6034</v>
      </c>
      <c r="D101" s="255">
        <v>25.1</v>
      </c>
      <c r="E101" s="255">
        <v>0.73699999999999999</v>
      </c>
      <c r="F101" s="266">
        <f t="shared" si="25"/>
        <v>29.36254980079681</v>
      </c>
      <c r="G101" s="266">
        <f t="shared" si="26"/>
        <v>34.056987788331071</v>
      </c>
      <c r="H101" s="265">
        <f t="shared" si="27"/>
        <v>0.35758706467661688</v>
      </c>
      <c r="I101" s="265">
        <f t="shared" si="28"/>
        <v>0.2790178571428571</v>
      </c>
      <c r="J101" s="265">
        <f t="shared" si="29"/>
        <v>0.14172335600907029</v>
      </c>
      <c r="K101" s="258">
        <f t="shared" ca="1" si="30"/>
        <v>126.6919945725916</v>
      </c>
      <c r="L101" s="265">
        <f t="shared" si="31"/>
        <v>2.5249365671641786</v>
      </c>
      <c r="M101" s="265">
        <f t="shared" si="32"/>
        <v>1.500803571428571</v>
      </c>
      <c r="N101" s="265">
        <f t="shared" si="33"/>
        <v>0.82693877551020412</v>
      </c>
      <c r="O101" s="265">
        <f t="shared" ca="1" si="34"/>
        <v>131.54467348669456</v>
      </c>
      <c r="P101" s="265">
        <f t="shared" ca="1" si="35"/>
        <v>3.7761871669791507</v>
      </c>
      <c r="Q101" s="258">
        <f t="shared" ca="1" si="36"/>
        <v>77.309362279511532</v>
      </c>
      <c r="R101" s="265">
        <f t="shared" si="37"/>
        <v>2.5249365671641786</v>
      </c>
      <c r="S101" s="265">
        <f t="shared" si="38"/>
        <v>1.500803571428571</v>
      </c>
      <c r="T101" s="265">
        <f t="shared" si="39"/>
        <v>0.82693877551020412</v>
      </c>
      <c r="U101" s="265">
        <f t="shared" ca="1" si="40"/>
        <v>82.162041193614485</v>
      </c>
      <c r="V101" s="265">
        <f t="shared" ca="1" si="41"/>
        <v>2.358584633983841</v>
      </c>
      <c r="W101" s="258">
        <f t="shared" ca="1" si="42"/>
        <v>19.003799185888738</v>
      </c>
      <c r="X101" s="265">
        <f t="shared" si="43"/>
        <v>2.5249365671641786</v>
      </c>
      <c r="Y101" s="265">
        <f t="shared" si="44"/>
        <v>1.500803571428571</v>
      </c>
      <c r="Z101" s="265">
        <f t="shared" si="45"/>
        <v>0.82693877551020412</v>
      </c>
      <c r="AA101" s="265">
        <f t="shared" ca="1" si="46"/>
        <v>23.856478099991691</v>
      </c>
      <c r="AB101" s="265">
        <f t="shared" ca="1" si="47"/>
        <v>0.68483598813006907</v>
      </c>
      <c r="AC101" s="258"/>
      <c r="AD101" s="258"/>
      <c r="AE101" s="258"/>
      <c r="AF101" s="258"/>
      <c r="AG101" s="258"/>
      <c r="AH101" s="258"/>
      <c r="AI101" s="258"/>
      <c r="AJ101" s="258"/>
      <c r="AK101" s="258"/>
      <c r="AL101" s="258"/>
      <c r="AM101" s="258"/>
    </row>
    <row r="102" spans="3:39" x14ac:dyDescent="0.25">
      <c r="C102" s="255" t="s">
        <v>6035</v>
      </c>
      <c r="D102" s="255">
        <v>22.9</v>
      </c>
      <c r="E102" s="255">
        <v>0.67800000000000005</v>
      </c>
      <c r="F102" s="266">
        <f t="shared" si="25"/>
        <v>29.606986899563321</v>
      </c>
      <c r="G102" s="266">
        <f t="shared" si="26"/>
        <v>33.775811209439524</v>
      </c>
      <c r="H102" s="265">
        <f t="shared" si="27"/>
        <v>0.35758706467661688</v>
      </c>
      <c r="I102" s="265">
        <f t="shared" si="28"/>
        <v>0.2790178571428571</v>
      </c>
      <c r="J102" s="265">
        <f t="shared" si="29"/>
        <v>0.14172335600907029</v>
      </c>
      <c r="K102" s="258">
        <f t="shared" ca="1" si="30"/>
        <v>125.64601769911503</v>
      </c>
      <c r="L102" s="265">
        <f t="shared" si="31"/>
        <v>2.5249365671641786</v>
      </c>
      <c r="M102" s="265">
        <f t="shared" si="32"/>
        <v>1.500803571428571</v>
      </c>
      <c r="N102" s="265">
        <f t="shared" si="33"/>
        <v>0.82693877551020412</v>
      </c>
      <c r="O102" s="265">
        <f t="shared" ca="1" si="34"/>
        <v>130.49869661321799</v>
      </c>
      <c r="P102" s="265">
        <f t="shared" ca="1" si="35"/>
        <v>3.7766443774790561</v>
      </c>
      <c r="Q102" s="258">
        <f t="shared" ca="1" si="36"/>
        <v>76.67109144542772</v>
      </c>
      <c r="R102" s="265">
        <f t="shared" si="37"/>
        <v>2.5249365671641786</v>
      </c>
      <c r="S102" s="265">
        <f t="shared" si="38"/>
        <v>1.500803571428571</v>
      </c>
      <c r="T102" s="265">
        <f t="shared" si="39"/>
        <v>0.82693877551020412</v>
      </c>
      <c r="U102" s="265">
        <f t="shared" ca="1" si="40"/>
        <v>81.523770359530673</v>
      </c>
      <c r="V102" s="265">
        <f t="shared" ca="1" si="41"/>
        <v>2.3593054716228483</v>
      </c>
      <c r="W102" s="258">
        <f t="shared" ca="1" si="42"/>
        <v>18.846902654867257</v>
      </c>
      <c r="X102" s="265">
        <f t="shared" si="43"/>
        <v>2.5249365671641786</v>
      </c>
      <c r="Y102" s="265">
        <f t="shared" si="44"/>
        <v>1.500803571428571</v>
      </c>
      <c r="Z102" s="265">
        <f t="shared" si="45"/>
        <v>0.82693877551020412</v>
      </c>
      <c r="AA102" s="265">
        <f t="shared" ca="1" si="46"/>
        <v>23.69958156897021</v>
      </c>
      <c r="AB102" s="265">
        <f t="shared" ca="1" si="47"/>
        <v>0.68586808760503604</v>
      </c>
      <c r="AC102" s="258"/>
      <c r="AD102" s="258"/>
      <c r="AE102" s="258"/>
      <c r="AF102" s="258"/>
      <c r="AG102" s="258"/>
      <c r="AH102" s="258"/>
      <c r="AI102" s="258"/>
      <c r="AJ102" s="258"/>
      <c r="AK102" s="258"/>
      <c r="AL102" s="258"/>
      <c r="AM102" s="258"/>
    </row>
    <row r="103" spans="3:39" x14ac:dyDescent="0.25">
      <c r="C103" s="255" t="s">
        <v>6036</v>
      </c>
      <c r="D103" s="255">
        <v>20.9</v>
      </c>
      <c r="E103" s="255">
        <v>0.63800000000000001</v>
      </c>
      <c r="F103" s="266">
        <f t="shared" si="25"/>
        <v>30.526315789473685</v>
      </c>
      <c r="G103" s="266">
        <f t="shared" si="26"/>
        <v>32.758620689655167</v>
      </c>
      <c r="H103" s="265">
        <f t="shared" si="27"/>
        <v>0.35758706467661688</v>
      </c>
      <c r="I103" s="265">
        <f t="shared" si="28"/>
        <v>0.2790178571428571</v>
      </c>
      <c r="J103" s="265">
        <f t="shared" si="29"/>
        <v>0.14172335600907029</v>
      </c>
      <c r="K103" s="258">
        <f t="shared" ca="1" si="30"/>
        <v>121.86206896551722</v>
      </c>
      <c r="L103" s="265">
        <f t="shared" si="31"/>
        <v>2.5249365671641786</v>
      </c>
      <c r="M103" s="265">
        <f t="shared" si="32"/>
        <v>1.500803571428571</v>
      </c>
      <c r="N103" s="265">
        <f t="shared" si="33"/>
        <v>0.82693877551020412</v>
      </c>
      <c r="O103" s="265">
        <f t="shared" ca="1" si="34"/>
        <v>126.71474787962018</v>
      </c>
      <c r="P103" s="265">
        <f t="shared" ca="1" si="35"/>
        <v>3.7783624265426918</v>
      </c>
      <c r="Q103" s="258">
        <f t="shared" ca="1" si="36"/>
        <v>74.362068965517224</v>
      </c>
      <c r="R103" s="265">
        <f t="shared" si="37"/>
        <v>2.5249365671641786</v>
      </c>
      <c r="S103" s="265">
        <f t="shared" si="38"/>
        <v>1.500803571428571</v>
      </c>
      <c r="T103" s="265">
        <f t="shared" si="39"/>
        <v>0.82693877551020412</v>
      </c>
      <c r="U103" s="265">
        <f t="shared" ca="1" si="40"/>
        <v>79.214747879620177</v>
      </c>
      <c r="V103" s="265">
        <f t="shared" ca="1" si="41"/>
        <v>2.3620141461414428</v>
      </c>
      <c r="W103" s="258">
        <f t="shared" ca="1" si="42"/>
        <v>18.279310344827586</v>
      </c>
      <c r="X103" s="265">
        <f t="shared" si="43"/>
        <v>2.5249365671641786</v>
      </c>
      <c r="Y103" s="265">
        <f t="shared" si="44"/>
        <v>1.500803571428571</v>
      </c>
      <c r="Z103" s="265">
        <f t="shared" si="45"/>
        <v>0.82693877551020412</v>
      </c>
      <c r="AA103" s="265">
        <f t="shared" ca="1" si="46"/>
        <v>23.131989258930538</v>
      </c>
      <c r="AB103" s="265">
        <f t="shared" ca="1" si="47"/>
        <v>0.68974638335045124</v>
      </c>
      <c r="AC103" s="258"/>
      <c r="AD103" s="258"/>
      <c r="AE103" s="258"/>
      <c r="AF103" s="258"/>
      <c r="AG103" s="258"/>
      <c r="AH103" s="258"/>
      <c r="AI103" s="258"/>
      <c r="AJ103" s="258"/>
      <c r="AK103" s="258"/>
      <c r="AL103" s="258"/>
      <c r="AM103" s="258"/>
    </row>
    <row r="104" spans="3:39" x14ac:dyDescent="0.25">
      <c r="C104" s="255" t="s">
        <v>6037</v>
      </c>
      <c r="D104" s="255">
        <v>17.7</v>
      </c>
      <c r="E104" s="255">
        <v>0.57899999999999996</v>
      </c>
      <c r="F104" s="266">
        <f t="shared" si="25"/>
        <v>32.711864406779661</v>
      </c>
      <c r="G104" s="266">
        <f t="shared" si="26"/>
        <v>30.569948186528499</v>
      </c>
      <c r="H104" s="265">
        <f t="shared" si="27"/>
        <v>0.35758706467661688</v>
      </c>
      <c r="I104" s="265">
        <f t="shared" si="28"/>
        <v>0.2790178571428571</v>
      </c>
      <c r="J104" s="265">
        <f t="shared" si="29"/>
        <v>0.14172335600907029</v>
      </c>
      <c r="K104" s="258">
        <f t="shared" ca="1" si="30"/>
        <v>113.72020725388603</v>
      </c>
      <c r="L104" s="265">
        <f t="shared" si="31"/>
        <v>2.5249365671641786</v>
      </c>
      <c r="M104" s="265">
        <f t="shared" si="32"/>
        <v>1.500803571428571</v>
      </c>
      <c r="N104" s="265">
        <f t="shared" si="33"/>
        <v>0.82693877551020412</v>
      </c>
      <c r="O104" s="265">
        <f t="shared" ca="1" si="34"/>
        <v>118.57288616798898</v>
      </c>
      <c r="P104" s="265">
        <f t="shared" ca="1" si="35"/>
        <v>3.782437171715205</v>
      </c>
      <c r="Q104" s="258">
        <f t="shared" ca="1" si="36"/>
        <v>69.393782383419691</v>
      </c>
      <c r="R104" s="265">
        <f t="shared" si="37"/>
        <v>2.5249365671641786</v>
      </c>
      <c r="S104" s="265">
        <f t="shared" si="38"/>
        <v>1.500803571428571</v>
      </c>
      <c r="T104" s="265">
        <f t="shared" si="39"/>
        <v>0.82693877551020412</v>
      </c>
      <c r="U104" s="265">
        <f t="shared" ca="1" si="40"/>
        <v>74.246461297522643</v>
      </c>
      <c r="V104" s="265">
        <f t="shared" ca="1" si="41"/>
        <v>2.3684383855023348</v>
      </c>
      <c r="W104" s="258">
        <f t="shared" ca="1" si="42"/>
        <v>17.058031088082906</v>
      </c>
      <c r="X104" s="265">
        <f t="shared" si="43"/>
        <v>2.5249365671641786</v>
      </c>
      <c r="Y104" s="265">
        <f t="shared" si="44"/>
        <v>1.500803571428571</v>
      </c>
      <c r="Z104" s="265">
        <f t="shared" si="45"/>
        <v>0.82693877551020412</v>
      </c>
      <c r="AA104" s="265">
        <f t="shared" ca="1" si="46"/>
        <v>21.910710002185859</v>
      </c>
      <c r="AB104" s="265">
        <f t="shared" ca="1" si="47"/>
        <v>0.69894464619445063</v>
      </c>
      <c r="AC104" s="258"/>
      <c r="AD104" s="258"/>
      <c r="AE104" s="258"/>
      <c r="AF104" s="258"/>
      <c r="AG104" s="258"/>
      <c r="AH104" s="258"/>
      <c r="AI104" s="258"/>
      <c r="AJ104" s="258"/>
      <c r="AK104" s="258"/>
      <c r="AL104" s="258"/>
      <c r="AM104" s="258"/>
    </row>
    <row r="105" spans="3:39" x14ac:dyDescent="0.25">
      <c r="C105" s="255" t="s">
        <v>6038</v>
      </c>
      <c r="D105" s="255">
        <v>11.9</v>
      </c>
      <c r="E105" s="255">
        <v>0.49399999999999999</v>
      </c>
      <c r="F105" s="266">
        <f t="shared" si="25"/>
        <v>41.512605042016808</v>
      </c>
      <c r="G105" s="266">
        <f t="shared" si="26"/>
        <v>24.089068825910932</v>
      </c>
      <c r="H105" s="265">
        <f t="shared" si="27"/>
        <v>0.35758706467661688</v>
      </c>
      <c r="I105" s="265">
        <f t="shared" si="28"/>
        <v>0.2790178571428571</v>
      </c>
      <c r="J105" s="265">
        <f t="shared" si="29"/>
        <v>0.14172335600907029</v>
      </c>
      <c r="K105" s="258">
        <f t="shared" ca="1" si="30"/>
        <v>89.611336032388678</v>
      </c>
      <c r="L105" s="265">
        <f t="shared" si="31"/>
        <v>2.5249365671641786</v>
      </c>
      <c r="M105" s="265">
        <f t="shared" si="32"/>
        <v>1.500803571428571</v>
      </c>
      <c r="N105" s="265">
        <f t="shared" si="33"/>
        <v>0.82693877551020412</v>
      </c>
      <c r="O105" s="265">
        <f t="shared" ca="1" si="34"/>
        <v>94.464014946491631</v>
      </c>
      <c r="P105" s="265">
        <f t="shared" ca="1" si="35"/>
        <v>3.7987093925598847</v>
      </c>
      <c r="Q105" s="258">
        <f t="shared" ca="1" si="36"/>
        <v>54.682186234817813</v>
      </c>
      <c r="R105" s="265">
        <f t="shared" si="37"/>
        <v>2.5249365671641786</v>
      </c>
      <c r="S105" s="265">
        <f t="shared" si="38"/>
        <v>1.500803571428571</v>
      </c>
      <c r="T105" s="265">
        <f t="shared" si="39"/>
        <v>0.82693877551020412</v>
      </c>
      <c r="U105" s="265">
        <f t="shared" ca="1" si="40"/>
        <v>59.534865148920765</v>
      </c>
      <c r="V105" s="265">
        <f t="shared" ca="1" si="41"/>
        <v>2.3940931533991594</v>
      </c>
      <c r="W105" s="258">
        <f t="shared" ca="1" si="42"/>
        <v>13.441700404858301</v>
      </c>
      <c r="X105" s="265">
        <f t="shared" si="43"/>
        <v>2.5249365671641786</v>
      </c>
      <c r="Y105" s="265">
        <f t="shared" si="44"/>
        <v>1.500803571428571</v>
      </c>
      <c r="Z105" s="265">
        <f t="shared" si="45"/>
        <v>0.82693877551020412</v>
      </c>
      <c r="AA105" s="265">
        <f t="shared" ca="1" si="46"/>
        <v>18.294379318961255</v>
      </c>
      <c r="AB105" s="265">
        <f t="shared" ca="1" si="47"/>
        <v>0.73567729033491025</v>
      </c>
      <c r="AC105" s="258"/>
      <c r="AD105" s="258"/>
      <c r="AE105" s="258"/>
      <c r="AF105" s="258"/>
      <c r="AG105" s="258"/>
      <c r="AH105" s="258"/>
      <c r="AI105" s="258"/>
      <c r="AJ105" s="258"/>
      <c r="AK105" s="258"/>
      <c r="AL105" s="258"/>
      <c r="AM105" s="258"/>
    </row>
    <row r="106" spans="3:39" x14ac:dyDescent="0.25">
      <c r="C106" s="255" t="s">
        <v>6039</v>
      </c>
      <c r="D106" s="255">
        <v>8.33</v>
      </c>
      <c r="E106" s="255">
        <v>0.38500000000000001</v>
      </c>
      <c r="F106" s="266">
        <f t="shared" si="25"/>
        <v>46.218487394957982</v>
      </c>
      <c r="G106" s="266">
        <f t="shared" si="26"/>
        <v>21.636363636363637</v>
      </c>
      <c r="H106" s="265">
        <f t="shared" si="27"/>
        <v>0.35758706467661688</v>
      </c>
      <c r="I106" s="265">
        <f t="shared" si="28"/>
        <v>0.2790178571428571</v>
      </c>
      <c r="J106" s="265">
        <f t="shared" si="29"/>
        <v>0.14172335600907029</v>
      </c>
      <c r="K106" s="258">
        <f t="shared" ca="1" si="30"/>
        <v>80.487272727272739</v>
      </c>
      <c r="L106" s="265">
        <f t="shared" si="31"/>
        <v>2.5249365671641786</v>
      </c>
      <c r="M106" s="265">
        <f t="shared" si="32"/>
        <v>1.500803571428571</v>
      </c>
      <c r="N106" s="265">
        <f t="shared" si="33"/>
        <v>0.82693877551020412</v>
      </c>
      <c r="O106" s="265">
        <f t="shared" ca="1" si="34"/>
        <v>85.339951641375691</v>
      </c>
      <c r="P106" s="265">
        <f t="shared" ca="1" si="35"/>
        <v>3.8073220889260351</v>
      </c>
      <c r="Q106" s="258">
        <f t="shared" ca="1" si="36"/>
        <v>49.114545454545457</v>
      </c>
      <c r="R106" s="265">
        <f t="shared" si="37"/>
        <v>2.5249365671641786</v>
      </c>
      <c r="S106" s="265">
        <f t="shared" si="38"/>
        <v>1.500803571428571</v>
      </c>
      <c r="T106" s="265">
        <f t="shared" si="39"/>
        <v>0.82693877551020412</v>
      </c>
      <c r="U106" s="265">
        <f t="shared" ca="1" si="40"/>
        <v>53.967224368648409</v>
      </c>
      <c r="V106" s="265">
        <f t="shared" ca="1" si="41"/>
        <v>2.4076719222929981</v>
      </c>
      <c r="W106" s="258">
        <f t="shared" ca="1" si="42"/>
        <v>12.07309090909091</v>
      </c>
      <c r="X106" s="265">
        <f t="shared" si="43"/>
        <v>2.5249365671641786</v>
      </c>
      <c r="Y106" s="265">
        <f t="shared" si="44"/>
        <v>1.500803571428571</v>
      </c>
      <c r="Z106" s="265">
        <f t="shared" si="45"/>
        <v>0.82693877551020412</v>
      </c>
      <c r="AA106" s="265">
        <f t="shared" ca="1" si="46"/>
        <v>16.925769823193864</v>
      </c>
      <c r="AB106" s="265">
        <f t="shared" ca="1" si="47"/>
        <v>0.75511944968902611</v>
      </c>
      <c r="AC106" s="258"/>
      <c r="AD106" s="258"/>
      <c r="AE106" s="258"/>
      <c r="AF106" s="258"/>
      <c r="AG106" s="258"/>
      <c r="AH106" s="258"/>
      <c r="AI106" s="258"/>
      <c r="AJ106" s="258"/>
      <c r="AK106" s="258"/>
      <c r="AL106" s="258"/>
      <c r="AM106" s="258"/>
    </row>
    <row r="107" spans="3:39" x14ac:dyDescent="0.25">
      <c r="C107" s="255" t="s">
        <v>6040</v>
      </c>
      <c r="D107" s="255">
        <v>5.92</v>
      </c>
      <c r="E107" s="255">
        <v>0.29599999999999999</v>
      </c>
      <c r="F107" s="266">
        <f t="shared" si="25"/>
        <v>49.999999999999993</v>
      </c>
      <c r="G107" s="266">
        <f t="shared" si="26"/>
        <v>20</v>
      </c>
      <c r="H107" s="265">
        <f t="shared" si="27"/>
        <v>0.35758706467661688</v>
      </c>
      <c r="I107" s="265">
        <f t="shared" si="28"/>
        <v>0.2790178571428571</v>
      </c>
      <c r="J107" s="265">
        <f t="shared" si="29"/>
        <v>0.14172335600907029</v>
      </c>
      <c r="K107" s="258">
        <f t="shared" ca="1" si="30"/>
        <v>74.400000000000006</v>
      </c>
      <c r="L107" s="265">
        <f t="shared" si="31"/>
        <v>2.5249365671641786</v>
      </c>
      <c r="M107" s="265">
        <f t="shared" si="32"/>
        <v>1.500803571428571</v>
      </c>
      <c r="N107" s="265">
        <f t="shared" si="33"/>
        <v>0.82693877551020412</v>
      </c>
      <c r="O107" s="265">
        <f t="shared" ca="1" si="34"/>
        <v>79.252678914102958</v>
      </c>
      <c r="P107" s="265">
        <f t="shared" ca="1" si="35"/>
        <v>3.8141989988034455</v>
      </c>
      <c r="Q107" s="258">
        <f t="shared" ca="1" si="36"/>
        <v>45.4</v>
      </c>
      <c r="R107" s="265">
        <f t="shared" si="37"/>
        <v>2.5249365671641786</v>
      </c>
      <c r="S107" s="265">
        <f t="shared" si="38"/>
        <v>1.500803571428571</v>
      </c>
      <c r="T107" s="265">
        <f t="shared" si="39"/>
        <v>0.82693877551020412</v>
      </c>
      <c r="U107" s="265">
        <f t="shared" ca="1" si="40"/>
        <v>50.252678914102951</v>
      </c>
      <c r="V107" s="265">
        <f t="shared" ca="1" si="41"/>
        <v>2.4185140518607033</v>
      </c>
      <c r="W107" s="258">
        <f t="shared" ca="1" si="42"/>
        <v>11.16</v>
      </c>
      <c r="X107" s="265">
        <f t="shared" si="43"/>
        <v>2.5249365671641786</v>
      </c>
      <c r="Y107" s="265">
        <f t="shared" si="44"/>
        <v>1.500803571428571</v>
      </c>
      <c r="Z107" s="265">
        <f t="shared" si="45"/>
        <v>0.82693877551020412</v>
      </c>
      <c r="AA107" s="265">
        <f t="shared" ca="1" si="46"/>
        <v>16.012678914102956</v>
      </c>
      <c r="AB107" s="265">
        <f t="shared" ca="1" si="47"/>
        <v>0.7706432731255497</v>
      </c>
      <c r="AC107" s="258"/>
      <c r="AD107" s="258"/>
      <c r="AE107" s="258"/>
      <c r="AF107" s="258"/>
      <c r="AG107" s="258"/>
      <c r="AH107" s="258"/>
      <c r="AI107" s="258"/>
      <c r="AJ107" s="258"/>
      <c r="AK107" s="258"/>
      <c r="AL107" s="258"/>
      <c r="AM107" s="258"/>
    </row>
    <row r="108" spans="3:39" x14ac:dyDescent="0.25">
      <c r="C108" s="255" t="s">
        <v>6041</v>
      </c>
      <c r="D108" s="255">
        <v>125</v>
      </c>
      <c r="E108" s="255">
        <v>2.09</v>
      </c>
      <c r="F108" s="266">
        <f t="shared" si="25"/>
        <v>16.72</v>
      </c>
      <c r="G108" s="266">
        <f t="shared" si="26"/>
        <v>59.808612440191389</v>
      </c>
      <c r="H108" s="265">
        <f t="shared" si="27"/>
        <v>0.35758706467661688</v>
      </c>
      <c r="I108" s="265">
        <f t="shared" si="28"/>
        <v>0.2790178571428571</v>
      </c>
      <c r="J108" s="265">
        <f t="shared" si="29"/>
        <v>0.14172335600907029</v>
      </c>
      <c r="K108" s="258">
        <f t="shared" ca="1" si="30"/>
        <v>222.48803827751198</v>
      </c>
      <c r="L108" s="265">
        <f t="shared" si="31"/>
        <v>2.5249365671641786</v>
      </c>
      <c r="M108" s="265">
        <f t="shared" si="32"/>
        <v>1.500803571428571</v>
      </c>
      <c r="N108" s="265">
        <f t="shared" si="33"/>
        <v>0.82693877551020412</v>
      </c>
      <c r="O108" s="265">
        <f t="shared" ca="1" si="34"/>
        <v>227.34071719161494</v>
      </c>
      <c r="P108" s="265">
        <f t="shared" ca="1" si="35"/>
        <v>3.7523056041018861</v>
      </c>
      <c r="Q108" s="258">
        <f t="shared" ca="1" si="36"/>
        <v>135.76555023923444</v>
      </c>
      <c r="R108" s="265">
        <f t="shared" si="37"/>
        <v>2.5249365671641786</v>
      </c>
      <c r="S108" s="265">
        <f t="shared" si="38"/>
        <v>1.500803571428571</v>
      </c>
      <c r="T108" s="265">
        <f t="shared" si="39"/>
        <v>0.82693877551020412</v>
      </c>
      <c r="U108" s="265">
        <f t="shared" ca="1" si="40"/>
        <v>140.61822915333741</v>
      </c>
      <c r="V108" s="265">
        <f t="shared" ca="1" si="41"/>
        <v>2.3209329846805478</v>
      </c>
      <c r="W108" s="258">
        <f t="shared" ca="1" si="42"/>
        <v>33.373205741626798</v>
      </c>
      <c r="X108" s="265">
        <f t="shared" si="43"/>
        <v>2.5249365671641786</v>
      </c>
      <c r="Y108" s="265">
        <f t="shared" si="44"/>
        <v>1.500803571428571</v>
      </c>
      <c r="Z108" s="265">
        <f t="shared" si="45"/>
        <v>0.82693877551020412</v>
      </c>
      <c r="AA108" s="265">
        <f t="shared" ca="1" si="46"/>
        <v>38.22588465572975</v>
      </c>
      <c r="AB108" s="265">
        <f t="shared" ca="1" si="47"/>
        <v>0.63092614023273341</v>
      </c>
      <c r="AC108" s="258"/>
      <c r="AD108" s="258"/>
      <c r="AE108" s="258"/>
      <c r="AF108" s="258"/>
      <c r="AG108" s="258"/>
      <c r="AH108" s="258"/>
      <c r="AI108" s="258"/>
      <c r="AJ108" s="258"/>
      <c r="AK108" s="258"/>
      <c r="AL108" s="258"/>
      <c r="AM108" s="258"/>
    </row>
    <row r="109" spans="3:39" x14ac:dyDescent="0.25">
      <c r="C109" s="255" t="s">
        <v>6042</v>
      </c>
      <c r="D109" s="255">
        <v>113</v>
      </c>
      <c r="E109" s="255">
        <v>2.08</v>
      </c>
      <c r="F109" s="266">
        <f t="shared" si="25"/>
        <v>18.407079646017699</v>
      </c>
      <c r="G109" s="266">
        <f t="shared" si="26"/>
        <v>54.326923076923073</v>
      </c>
      <c r="H109" s="265">
        <f t="shared" si="27"/>
        <v>0.35758706467661688</v>
      </c>
      <c r="I109" s="265">
        <f t="shared" si="28"/>
        <v>0.2790178571428571</v>
      </c>
      <c r="J109" s="265">
        <f t="shared" si="29"/>
        <v>0.14172335600907029</v>
      </c>
      <c r="K109" s="258">
        <f t="shared" ca="1" si="30"/>
        <v>202.09615384615384</v>
      </c>
      <c r="L109" s="265">
        <f t="shared" si="31"/>
        <v>2.5249365671641786</v>
      </c>
      <c r="M109" s="265">
        <f t="shared" si="32"/>
        <v>1.500803571428571</v>
      </c>
      <c r="N109" s="265">
        <f t="shared" si="33"/>
        <v>0.82693877551020412</v>
      </c>
      <c r="O109" s="265">
        <f t="shared" ca="1" si="34"/>
        <v>206.94883276025681</v>
      </c>
      <c r="P109" s="265">
        <f t="shared" ca="1" si="35"/>
        <v>3.7555192594618667</v>
      </c>
      <c r="Q109" s="258">
        <f t="shared" ca="1" si="36"/>
        <v>123.32211538461537</v>
      </c>
      <c r="R109" s="265">
        <f t="shared" si="37"/>
        <v>2.5249365671641786</v>
      </c>
      <c r="S109" s="265">
        <f t="shared" si="38"/>
        <v>1.500803571428571</v>
      </c>
      <c r="T109" s="265">
        <f t="shared" si="39"/>
        <v>0.82693877551020412</v>
      </c>
      <c r="U109" s="265">
        <f t="shared" ca="1" si="40"/>
        <v>128.17479429871833</v>
      </c>
      <c r="V109" s="265">
        <f t="shared" ca="1" si="41"/>
        <v>2.3259996306625332</v>
      </c>
      <c r="W109" s="258">
        <f t="shared" ca="1" si="42"/>
        <v>30.314423076923077</v>
      </c>
      <c r="X109" s="265">
        <f t="shared" si="43"/>
        <v>2.5249365671641786</v>
      </c>
      <c r="Y109" s="265">
        <f t="shared" si="44"/>
        <v>1.500803571428571</v>
      </c>
      <c r="Z109" s="265">
        <f t="shared" si="45"/>
        <v>0.82693877551020412</v>
      </c>
      <c r="AA109" s="265">
        <f t="shared" ca="1" si="46"/>
        <v>35.16710199102603</v>
      </c>
      <c r="AB109" s="265">
        <f t="shared" ca="1" si="47"/>
        <v>0.63818059307325237</v>
      </c>
      <c r="AC109" s="258"/>
      <c r="AD109" s="258"/>
      <c r="AE109" s="258"/>
      <c r="AF109" s="258"/>
      <c r="AG109" s="258"/>
      <c r="AH109" s="258"/>
      <c r="AI109" s="258"/>
      <c r="AJ109" s="258"/>
      <c r="AK109" s="258"/>
      <c r="AL109" s="258"/>
      <c r="AM109" s="258"/>
    </row>
    <row r="110" spans="3:39" x14ac:dyDescent="0.25">
      <c r="C110" s="255" t="s">
        <v>6043</v>
      </c>
      <c r="D110" s="255">
        <v>101</v>
      </c>
      <c r="E110" s="255">
        <v>2.0699999999999998</v>
      </c>
      <c r="F110" s="266">
        <f t="shared" si="25"/>
        <v>20.495049504950494</v>
      </c>
      <c r="G110" s="266">
        <f t="shared" si="26"/>
        <v>48.792270531400973</v>
      </c>
      <c r="H110" s="265">
        <f t="shared" si="27"/>
        <v>0.35758706467661688</v>
      </c>
      <c r="I110" s="265">
        <f t="shared" si="28"/>
        <v>0.2790178571428571</v>
      </c>
      <c r="J110" s="265">
        <f t="shared" si="29"/>
        <v>0.14172335600907029</v>
      </c>
      <c r="K110" s="258">
        <f t="shared" ca="1" si="30"/>
        <v>181.50724637681162</v>
      </c>
      <c r="L110" s="265">
        <f t="shared" si="31"/>
        <v>2.5249365671641786</v>
      </c>
      <c r="M110" s="265">
        <f t="shared" si="32"/>
        <v>1.500803571428571</v>
      </c>
      <c r="N110" s="265">
        <f t="shared" si="33"/>
        <v>0.82693877551020412</v>
      </c>
      <c r="O110" s="265">
        <f t="shared" ca="1" si="34"/>
        <v>186.35992529091459</v>
      </c>
      <c r="P110" s="265">
        <f t="shared" ca="1" si="35"/>
        <v>3.7594850529870212</v>
      </c>
      <c r="Q110" s="258">
        <f t="shared" ca="1" si="36"/>
        <v>110.75845410628021</v>
      </c>
      <c r="R110" s="265">
        <f t="shared" si="37"/>
        <v>2.5249365671641786</v>
      </c>
      <c r="S110" s="265">
        <f t="shared" si="38"/>
        <v>1.500803571428571</v>
      </c>
      <c r="T110" s="265">
        <f t="shared" si="39"/>
        <v>0.82693877551020412</v>
      </c>
      <c r="U110" s="265">
        <f t="shared" ca="1" si="40"/>
        <v>115.61113302038316</v>
      </c>
      <c r="V110" s="265">
        <f t="shared" ca="1" si="41"/>
        <v>2.3322520969598939</v>
      </c>
      <c r="W110" s="258">
        <f t="shared" ca="1" si="42"/>
        <v>27.226086956521744</v>
      </c>
      <c r="X110" s="265">
        <f t="shared" si="43"/>
        <v>2.5249365671641786</v>
      </c>
      <c r="Y110" s="265">
        <f t="shared" si="44"/>
        <v>1.500803571428571</v>
      </c>
      <c r="Z110" s="265">
        <f t="shared" si="45"/>
        <v>0.82693877551020412</v>
      </c>
      <c r="AA110" s="265">
        <f t="shared" ca="1" si="46"/>
        <v>32.0787658706247</v>
      </c>
      <c r="AB110" s="265">
        <f t="shared" ca="1" si="47"/>
        <v>0.64713291025752095</v>
      </c>
      <c r="AC110" s="258"/>
      <c r="AD110" s="258"/>
      <c r="AE110" s="258"/>
      <c r="AF110" s="258"/>
      <c r="AG110" s="258"/>
      <c r="AH110" s="258"/>
      <c r="AI110" s="258"/>
      <c r="AJ110" s="258"/>
      <c r="AK110" s="258"/>
      <c r="AL110" s="258"/>
      <c r="AM110" s="258"/>
    </row>
    <row r="111" spans="3:39" x14ac:dyDescent="0.25">
      <c r="C111" s="255" t="s">
        <v>6044</v>
      </c>
      <c r="D111" s="255">
        <v>92.4</v>
      </c>
      <c r="E111" s="255">
        <v>1.86</v>
      </c>
      <c r="F111" s="266">
        <f t="shared" si="25"/>
        <v>20.129870129870131</v>
      </c>
      <c r="G111" s="266">
        <f t="shared" si="26"/>
        <v>49.677419354838712</v>
      </c>
      <c r="H111" s="265">
        <f t="shared" si="27"/>
        <v>0.35758706467661688</v>
      </c>
      <c r="I111" s="265">
        <f t="shared" si="28"/>
        <v>0.2790178571428571</v>
      </c>
      <c r="J111" s="265">
        <f t="shared" si="29"/>
        <v>0.14172335600907029</v>
      </c>
      <c r="K111" s="258">
        <f t="shared" ca="1" si="30"/>
        <v>184.8</v>
      </c>
      <c r="L111" s="265">
        <f t="shared" si="31"/>
        <v>2.5249365671641786</v>
      </c>
      <c r="M111" s="265">
        <f t="shared" si="32"/>
        <v>1.500803571428571</v>
      </c>
      <c r="N111" s="265">
        <f t="shared" si="33"/>
        <v>0.82693877551020412</v>
      </c>
      <c r="O111" s="265">
        <f t="shared" ca="1" si="34"/>
        <v>189.65267891410298</v>
      </c>
      <c r="P111" s="265">
        <f t="shared" ca="1" si="35"/>
        <v>3.7587923638517955</v>
      </c>
      <c r="Q111" s="258">
        <f t="shared" ca="1" si="36"/>
        <v>112.76774193548388</v>
      </c>
      <c r="R111" s="265">
        <f t="shared" si="37"/>
        <v>2.5249365671641786</v>
      </c>
      <c r="S111" s="265">
        <f t="shared" si="38"/>
        <v>1.500803571428571</v>
      </c>
      <c r="T111" s="265">
        <f t="shared" si="39"/>
        <v>0.82693877551020412</v>
      </c>
      <c r="U111" s="265">
        <f t="shared" ca="1" si="40"/>
        <v>117.62042084958684</v>
      </c>
      <c r="V111" s="265">
        <f t="shared" ca="1" si="41"/>
        <v>2.3311600039285563</v>
      </c>
      <c r="W111" s="258">
        <f t="shared" ca="1" si="42"/>
        <v>27.720000000000002</v>
      </c>
      <c r="X111" s="265">
        <f t="shared" si="43"/>
        <v>2.5249365671641786</v>
      </c>
      <c r="Y111" s="265">
        <f t="shared" si="44"/>
        <v>1.500803571428571</v>
      </c>
      <c r="Z111" s="265">
        <f t="shared" si="45"/>
        <v>0.82693877551020412</v>
      </c>
      <c r="AA111" s="265">
        <f t="shared" ca="1" si="46"/>
        <v>32.572678914102958</v>
      </c>
      <c r="AB111" s="265">
        <f t="shared" ca="1" si="47"/>
        <v>0.64556924517780767</v>
      </c>
      <c r="AC111" s="258"/>
      <c r="AD111" s="258"/>
      <c r="AE111" s="258"/>
      <c r="AF111" s="258"/>
      <c r="AG111" s="258"/>
      <c r="AH111" s="258"/>
      <c r="AI111" s="258"/>
      <c r="AJ111" s="258"/>
      <c r="AK111" s="258"/>
      <c r="AL111" s="258"/>
      <c r="AM111" s="258"/>
    </row>
    <row r="112" spans="3:39" x14ac:dyDescent="0.25">
      <c r="C112" s="255" t="s">
        <v>6045</v>
      </c>
      <c r="D112" s="267">
        <v>82</v>
      </c>
      <c r="E112" s="255">
        <v>1.85</v>
      </c>
      <c r="F112" s="266">
        <f t="shared" si="25"/>
        <v>22.560975609756099</v>
      </c>
      <c r="G112" s="266">
        <f t="shared" si="26"/>
        <v>44.324324324324323</v>
      </c>
      <c r="H112" s="265">
        <f t="shared" si="27"/>
        <v>0.35758706467661688</v>
      </c>
      <c r="I112" s="265">
        <f t="shared" si="28"/>
        <v>0.2790178571428571</v>
      </c>
      <c r="J112" s="265">
        <f t="shared" si="29"/>
        <v>0.14172335600907029</v>
      </c>
      <c r="K112" s="258">
        <f t="shared" ca="1" si="30"/>
        <v>164.88648648648649</v>
      </c>
      <c r="L112" s="265">
        <f t="shared" si="31"/>
        <v>2.5249365671641786</v>
      </c>
      <c r="M112" s="265">
        <f t="shared" si="32"/>
        <v>1.500803571428571</v>
      </c>
      <c r="N112" s="265">
        <f t="shared" si="33"/>
        <v>0.82693877551020412</v>
      </c>
      <c r="O112" s="265">
        <f t="shared" ca="1" si="34"/>
        <v>169.73916540058946</v>
      </c>
      <c r="P112" s="265">
        <f t="shared" ca="1" si="35"/>
        <v>3.7633965101309221</v>
      </c>
      <c r="Q112" s="258">
        <f t="shared" ca="1" si="36"/>
        <v>100.61621621621622</v>
      </c>
      <c r="R112" s="265">
        <f t="shared" si="37"/>
        <v>2.5249365671641786</v>
      </c>
      <c r="S112" s="265">
        <f t="shared" si="38"/>
        <v>1.500803571428571</v>
      </c>
      <c r="T112" s="265">
        <f t="shared" si="39"/>
        <v>0.82693877551020412</v>
      </c>
      <c r="U112" s="265">
        <f t="shared" ca="1" si="40"/>
        <v>105.46889513031917</v>
      </c>
      <c r="V112" s="265">
        <f t="shared" ca="1" si="41"/>
        <v>2.3384188965702846</v>
      </c>
      <c r="W112" s="258">
        <f t="shared" ca="1" si="42"/>
        <v>24.732972972972973</v>
      </c>
      <c r="X112" s="265">
        <f t="shared" si="43"/>
        <v>2.5249365671641786</v>
      </c>
      <c r="Y112" s="265">
        <f t="shared" si="44"/>
        <v>1.500803571428571</v>
      </c>
      <c r="Z112" s="265">
        <f t="shared" si="45"/>
        <v>0.82693877551020412</v>
      </c>
      <c r="AA112" s="265">
        <f t="shared" ca="1" si="46"/>
        <v>29.585651887075926</v>
      </c>
      <c r="AB112" s="265">
        <f t="shared" ca="1" si="47"/>
        <v>0.65596256938696607</v>
      </c>
      <c r="AC112" s="258"/>
      <c r="AD112" s="258"/>
      <c r="AE112" s="258"/>
      <c r="AF112" s="258"/>
      <c r="AG112" s="258"/>
      <c r="AH112" s="258"/>
      <c r="AI112" s="258"/>
      <c r="AJ112" s="258"/>
      <c r="AK112" s="258"/>
      <c r="AL112" s="258"/>
      <c r="AM112" s="258"/>
    </row>
    <row r="113" spans="3:39" x14ac:dyDescent="0.25">
      <c r="C113" s="255" t="s">
        <v>6046</v>
      </c>
      <c r="D113" s="255">
        <v>82.1</v>
      </c>
      <c r="E113" s="255">
        <v>1.65</v>
      </c>
      <c r="F113" s="266">
        <f t="shared" si="25"/>
        <v>20.097442143727161</v>
      </c>
      <c r="G113" s="266">
        <f t="shared" si="26"/>
        <v>49.757575757575758</v>
      </c>
      <c r="H113" s="265">
        <f t="shared" si="27"/>
        <v>0.35758706467661688</v>
      </c>
      <c r="I113" s="265">
        <f t="shared" si="28"/>
        <v>0.2790178571428571</v>
      </c>
      <c r="J113" s="265">
        <f t="shared" si="29"/>
        <v>0.14172335600907029</v>
      </c>
      <c r="K113" s="258">
        <f t="shared" ca="1" si="30"/>
        <v>185.09818181818184</v>
      </c>
      <c r="L113" s="265">
        <f t="shared" si="31"/>
        <v>2.5249365671641786</v>
      </c>
      <c r="M113" s="265">
        <f t="shared" si="32"/>
        <v>1.500803571428571</v>
      </c>
      <c r="N113" s="265">
        <f t="shared" si="33"/>
        <v>0.82693877551020412</v>
      </c>
      <c r="O113" s="265">
        <f t="shared" ca="1" si="34"/>
        <v>189.95086073228481</v>
      </c>
      <c r="P113" s="265">
        <f t="shared" ca="1" si="35"/>
        <v>3.7587308342047185</v>
      </c>
      <c r="Q113" s="258">
        <f t="shared" ca="1" si="36"/>
        <v>112.94969696969697</v>
      </c>
      <c r="R113" s="265">
        <f t="shared" si="37"/>
        <v>2.5249365671641786</v>
      </c>
      <c r="S113" s="265">
        <f t="shared" si="38"/>
        <v>1.500803571428571</v>
      </c>
      <c r="T113" s="265">
        <f t="shared" si="39"/>
        <v>0.82693877551020412</v>
      </c>
      <c r="U113" s="265">
        <f t="shared" ca="1" si="40"/>
        <v>117.80237588379993</v>
      </c>
      <c r="V113" s="265">
        <f t="shared" ca="1" si="41"/>
        <v>2.3310629963455343</v>
      </c>
      <c r="W113" s="258">
        <f t="shared" ca="1" si="42"/>
        <v>27.764727272727274</v>
      </c>
      <c r="X113" s="265">
        <f t="shared" si="43"/>
        <v>2.5249365671641786</v>
      </c>
      <c r="Y113" s="265">
        <f t="shared" si="44"/>
        <v>1.500803571428571</v>
      </c>
      <c r="Z113" s="265">
        <f t="shared" si="45"/>
        <v>0.82693877551020412</v>
      </c>
      <c r="AA113" s="265">
        <f t="shared" ca="1" si="46"/>
        <v>32.61740618683023</v>
      </c>
      <c r="AB113" s="265">
        <f t="shared" ca="1" si="47"/>
        <v>0.64543034916282926</v>
      </c>
      <c r="AC113" s="258"/>
      <c r="AD113" s="258"/>
      <c r="AE113" s="258"/>
      <c r="AF113" s="258"/>
      <c r="AG113" s="258"/>
      <c r="AH113" s="258"/>
      <c r="AI113" s="258"/>
      <c r="AJ113" s="258"/>
      <c r="AK113" s="258"/>
      <c r="AL113" s="258"/>
      <c r="AM113" s="258"/>
    </row>
    <row r="114" spans="3:39" x14ac:dyDescent="0.25">
      <c r="C114" s="255" t="s">
        <v>6047</v>
      </c>
      <c r="D114" s="255">
        <v>74.599999999999994</v>
      </c>
      <c r="E114" s="255">
        <v>1.64</v>
      </c>
      <c r="F114" s="266">
        <f t="shared" si="25"/>
        <v>21.98391420911528</v>
      </c>
      <c r="G114" s="266">
        <f t="shared" si="26"/>
        <v>45.487804878048777</v>
      </c>
      <c r="H114" s="265">
        <f t="shared" si="27"/>
        <v>0.35758706467661688</v>
      </c>
      <c r="I114" s="265">
        <f t="shared" si="28"/>
        <v>0.2790178571428571</v>
      </c>
      <c r="J114" s="265">
        <f t="shared" si="29"/>
        <v>0.14172335600907029</v>
      </c>
      <c r="K114" s="258">
        <f t="shared" ca="1" si="30"/>
        <v>169.21463414634147</v>
      </c>
      <c r="L114" s="265">
        <f t="shared" si="31"/>
        <v>2.5249365671641786</v>
      </c>
      <c r="M114" s="265">
        <f t="shared" si="32"/>
        <v>1.500803571428571</v>
      </c>
      <c r="N114" s="265">
        <f t="shared" si="33"/>
        <v>0.82693877551020412</v>
      </c>
      <c r="O114" s="265">
        <f t="shared" ca="1" si="34"/>
        <v>174.06731306044443</v>
      </c>
      <c r="P114" s="265">
        <f t="shared" ca="1" si="35"/>
        <v>3.7623051936064416</v>
      </c>
      <c r="Q114" s="258">
        <f t="shared" ca="1" si="36"/>
        <v>103.25731707317073</v>
      </c>
      <c r="R114" s="265">
        <f t="shared" si="37"/>
        <v>2.5249365671641786</v>
      </c>
      <c r="S114" s="265">
        <f t="shared" si="38"/>
        <v>1.500803571428571</v>
      </c>
      <c r="T114" s="265">
        <f t="shared" si="39"/>
        <v>0.82693877551020412</v>
      </c>
      <c r="U114" s="265">
        <f t="shared" ca="1" si="40"/>
        <v>108.10999598727368</v>
      </c>
      <c r="V114" s="265">
        <f t="shared" ca="1" si="41"/>
        <v>2.336698327976436</v>
      </c>
      <c r="W114" s="258">
        <f t="shared" ca="1" si="42"/>
        <v>25.38219512195122</v>
      </c>
      <c r="X114" s="265">
        <f t="shared" si="43"/>
        <v>2.5249365671641786</v>
      </c>
      <c r="Y114" s="265">
        <f t="shared" si="44"/>
        <v>1.500803571428571</v>
      </c>
      <c r="Z114" s="265">
        <f t="shared" si="45"/>
        <v>0.82693877551020412</v>
      </c>
      <c r="AA114" s="265">
        <f t="shared" ca="1" si="46"/>
        <v>30.234874036054173</v>
      </c>
      <c r="AB114" s="265">
        <f t="shared" ca="1" si="47"/>
        <v>0.65349904938431946</v>
      </c>
      <c r="AC114" s="258"/>
      <c r="AD114" s="258"/>
      <c r="AE114" s="258"/>
      <c r="AF114" s="258"/>
      <c r="AG114" s="258"/>
      <c r="AH114" s="258"/>
      <c r="AI114" s="258"/>
      <c r="AJ114" s="258"/>
      <c r="AK114" s="258"/>
      <c r="AL114" s="258"/>
      <c r="AM114" s="258"/>
    </row>
    <row r="115" spans="3:39" x14ac:dyDescent="0.25">
      <c r="C115" s="255" t="s">
        <v>6048</v>
      </c>
      <c r="D115" s="255">
        <v>67.099999999999994</v>
      </c>
      <c r="E115" s="255">
        <v>1.63</v>
      </c>
      <c r="F115" s="266">
        <f t="shared" si="25"/>
        <v>24.292101341281668</v>
      </c>
      <c r="G115" s="266">
        <f t="shared" si="26"/>
        <v>41.165644171779142</v>
      </c>
      <c r="H115" s="265">
        <f t="shared" si="27"/>
        <v>0.35758706467661688</v>
      </c>
      <c r="I115" s="265">
        <f t="shared" si="28"/>
        <v>0.2790178571428571</v>
      </c>
      <c r="J115" s="265">
        <f t="shared" si="29"/>
        <v>0.14172335600907029</v>
      </c>
      <c r="K115" s="258">
        <f t="shared" ca="1" si="30"/>
        <v>153.13619631901841</v>
      </c>
      <c r="L115" s="265">
        <f t="shared" si="31"/>
        <v>2.5249365671641786</v>
      </c>
      <c r="M115" s="265">
        <f t="shared" si="32"/>
        <v>1.500803571428571</v>
      </c>
      <c r="N115" s="265">
        <f t="shared" si="33"/>
        <v>0.82693877551020412</v>
      </c>
      <c r="O115" s="265">
        <f t="shared" ca="1" si="34"/>
        <v>157.98887523312138</v>
      </c>
      <c r="P115" s="265">
        <f t="shared" ca="1" si="35"/>
        <v>3.7666645767263063</v>
      </c>
      <c r="Q115" s="258">
        <f t="shared" ca="1" si="36"/>
        <v>93.446012269938649</v>
      </c>
      <c r="R115" s="265">
        <f t="shared" si="37"/>
        <v>2.5249365671641786</v>
      </c>
      <c r="S115" s="265">
        <f t="shared" si="38"/>
        <v>1.500803571428571</v>
      </c>
      <c r="T115" s="265">
        <f t="shared" si="39"/>
        <v>0.82693877551020412</v>
      </c>
      <c r="U115" s="265">
        <f t="shared" ca="1" si="40"/>
        <v>98.298691184041601</v>
      </c>
      <c r="V115" s="265">
        <f t="shared" ca="1" si="41"/>
        <v>2.3435713272542218</v>
      </c>
      <c r="W115" s="258">
        <f t="shared" ca="1" si="42"/>
        <v>22.970429447852762</v>
      </c>
      <c r="X115" s="265">
        <f t="shared" si="43"/>
        <v>2.5249365671641786</v>
      </c>
      <c r="Y115" s="265">
        <f t="shared" si="44"/>
        <v>1.500803571428571</v>
      </c>
      <c r="Z115" s="265">
        <f t="shared" si="45"/>
        <v>0.82693877551020412</v>
      </c>
      <c r="AA115" s="265">
        <f t="shared" ca="1" si="46"/>
        <v>27.823108361955715</v>
      </c>
      <c r="AB115" s="265">
        <f t="shared" ca="1" si="47"/>
        <v>0.66333984925683764</v>
      </c>
      <c r="AC115" s="258"/>
      <c r="AD115" s="258"/>
      <c r="AE115" s="258"/>
      <c r="AF115" s="258"/>
      <c r="AG115" s="258"/>
      <c r="AH115" s="258"/>
      <c r="AI115" s="258"/>
      <c r="AJ115" s="258"/>
      <c r="AK115" s="258"/>
      <c r="AL115" s="258"/>
      <c r="AM115" s="258"/>
    </row>
    <row r="116" spans="3:39" x14ac:dyDescent="0.25">
      <c r="C116" s="255" t="s">
        <v>6049</v>
      </c>
      <c r="D116" s="255">
        <v>59.7</v>
      </c>
      <c r="E116" s="255">
        <v>1.49</v>
      </c>
      <c r="F116" s="266">
        <f t="shared" si="25"/>
        <v>24.958123953098827</v>
      </c>
      <c r="G116" s="266">
        <f t="shared" si="26"/>
        <v>40.067114093959731</v>
      </c>
      <c r="H116" s="265">
        <f t="shared" si="27"/>
        <v>0.35758706467661688</v>
      </c>
      <c r="I116" s="265">
        <f t="shared" si="28"/>
        <v>0.2790178571428571</v>
      </c>
      <c r="J116" s="265">
        <f t="shared" si="29"/>
        <v>0.14172335600907029</v>
      </c>
      <c r="K116" s="258">
        <f t="shared" ca="1" si="30"/>
        <v>149.0496644295302</v>
      </c>
      <c r="L116" s="265">
        <f t="shared" si="31"/>
        <v>2.5249365671641786</v>
      </c>
      <c r="M116" s="265">
        <f t="shared" si="32"/>
        <v>1.500803571428571</v>
      </c>
      <c r="N116" s="265">
        <f t="shared" si="33"/>
        <v>0.82693877551020412</v>
      </c>
      <c r="O116" s="265">
        <f t="shared" ca="1" si="34"/>
        <v>153.90234334363316</v>
      </c>
      <c r="P116" s="265">
        <f t="shared" ca="1" si="35"/>
        <v>3.7679196112693512</v>
      </c>
      <c r="Q116" s="258">
        <f t="shared" ca="1" si="36"/>
        <v>90.952348993288595</v>
      </c>
      <c r="R116" s="265">
        <f t="shared" si="37"/>
        <v>2.5249365671641786</v>
      </c>
      <c r="S116" s="265">
        <f t="shared" si="38"/>
        <v>1.500803571428571</v>
      </c>
      <c r="T116" s="265">
        <f t="shared" si="39"/>
        <v>0.82693877551020412</v>
      </c>
      <c r="U116" s="265">
        <f t="shared" ca="1" si="40"/>
        <v>95.805027907391548</v>
      </c>
      <c r="V116" s="265">
        <f t="shared" ca="1" si="41"/>
        <v>2.3455500135203229</v>
      </c>
      <c r="W116" s="258">
        <f t="shared" ca="1" si="42"/>
        <v>22.357449664429531</v>
      </c>
      <c r="X116" s="265">
        <f t="shared" si="43"/>
        <v>2.5249365671641786</v>
      </c>
      <c r="Y116" s="265">
        <f t="shared" si="44"/>
        <v>1.500803571428571</v>
      </c>
      <c r="Z116" s="265">
        <f t="shared" si="45"/>
        <v>0.82693877551020412</v>
      </c>
      <c r="AA116" s="265">
        <f t="shared" ca="1" si="46"/>
        <v>27.210128578532483</v>
      </c>
      <c r="AB116" s="265">
        <f t="shared" ca="1" si="47"/>
        <v>0.66617294362629731</v>
      </c>
      <c r="AC116" s="258"/>
      <c r="AD116" s="258"/>
      <c r="AE116" s="258"/>
      <c r="AF116" s="258"/>
      <c r="AG116" s="258"/>
      <c r="AH116" s="258"/>
      <c r="AI116" s="258"/>
      <c r="AJ116" s="258"/>
      <c r="AK116" s="258"/>
      <c r="AL116" s="258"/>
      <c r="AM116" s="258"/>
    </row>
    <row r="117" spans="3:39" x14ac:dyDescent="0.25">
      <c r="C117" s="255" t="s">
        <v>6050</v>
      </c>
      <c r="D117" s="255">
        <v>53.7</v>
      </c>
      <c r="E117" s="255">
        <v>1.48</v>
      </c>
      <c r="F117" s="266">
        <f t="shared" si="25"/>
        <v>27.560521415270017</v>
      </c>
      <c r="G117" s="266">
        <f t="shared" si="26"/>
        <v>36.28378378378379</v>
      </c>
      <c r="H117" s="265">
        <f t="shared" si="27"/>
        <v>0.35758706467661688</v>
      </c>
      <c r="I117" s="265">
        <f t="shared" si="28"/>
        <v>0.2790178571428571</v>
      </c>
      <c r="J117" s="265">
        <f t="shared" si="29"/>
        <v>0.14172335600907029</v>
      </c>
      <c r="K117" s="258">
        <f t="shared" ca="1" si="30"/>
        <v>134.97567567567572</v>
      </c>
      <c r="L117" s="265">
        <f t="shared" si="31"/>
        <v>2.5249365671641786</v>
      </c>
      <c r="M117" s="265">
        <f t="shared" si="32"/>
        <v>1.500803571428571</v>
      </c>
      <c r="N117" s="265">
        <f t="shared" si="33"/>
        <v>0.82693877551020412</v>
      </c>
      <c r="O117" s="265">
        <f t="shared" ca="1" si="34"/>
        <v>139.82835458977868</v>
      </c>
      <c r="P117" s="265">
        <f t="shared" ca="1" si="35"/>
        <v>3.7728112838611838</v>
      </c>
      <c r="Q117" s="258">
        <f t="shared" ca="1" si="36"/>
        <v>82.364189189189204</v>
      </c>
      <c r="R117" s="265">
        <f t="shared" si="37"/>
        <v>2.5249365671641786</v>
      </c>
      <c r="S117" s="265">
        <f t="shared" si="38"/>
        <v>1.500803571428571</v>
      </c>
      <c r="T117" s="265">
        <f t="shared" si="39"/>
        <v>0.82693877551020412</v>
      </c>
      <c r="U117" s="265">
        <f t="shared" ca="1" si="40"/>
        <v>87.216868103292157</v>
      </c>
      <c r="V117" s="265">
        <f t="shared" ca="1" si="41"/>
        <v>2.3532622198730118</v>
      </c>
      <c r="W117" s="258">
        <f t="shared" ca="1" si="42"/>
        <v>20.246351351351358</v>
      </c>
      <c r="X117" s="265">
        <f t="shared" si="43"/>
        <v>2.5249365671641786</v>
      </c>
      <c r="Y117" s="265">
        <f t="shared" si="44"/>
        <v>1.500803571428571</v>
      </c>
      <c r="Z117" s="265">
        <f t="shared" si="45"/>
        <v>0.82693877551020412</v>
      </c>
      <c r="AA117" s="265">
        <f t="shared" ca="1" si="46"/>
        <v>25.09903026545431</v>
      </c>
      <c r="AB117" s="265">
        <f t="shared" ca="1" si="47"/>
        <v>0.67721532501249504</v>
      </c>
      <c r="AC117" s="258"/>
      <c r="AD117" s="258"/>
      <c r="AE117" s="258"/>
      <c r="AF117" s="258"/>
      <c r="AG117" s="258"/>
      <c r="AH117" s="258"/>
      <c r="AI117" s="258"/>
      <c r="AJ117" s="258"/>
      <c r="AK117" s="258"/>
      <c r="AL117" s="258"/>
      <c r="AM117" s="258"/>
    </row>
    <row r="118" spans="3:39" x14ac:dyDescent="0.25">
      <c r="C118" s="255" t="s">
        <v>6051</v>
      </c>
      <c r="D118" s="255">
        <v>56.7</v>
      </c>
      <c r="E118" s="255">
        <v>1.37</v>
      </c>
      <c r="F118" s="266">
        <f t="shared" si="25"/>
        <v>24.162257495590829</v>
      </c>
      <c r="G118" s="266">
        <f t="shared" si="26"/>
        <v>41.386861313868614</v>
      </c>
      <c r="H118" s="265">
        <f t="shared" si="27"/>
        <v>0.35758706467661688</v>
      </c>
      <c r="I118" s="265">
        <f t="shared" si="28"/>
        <v>0.2790178571428571</v>
      </c>
      <c r="J118" s="265">
        <f t="shared" si="29"/>
        <v>0.14172335600907029</v>
      </c>
      <c r="K118" s="258">
        <f t="shared" ca="1" si="30"/>
        <v>153.95912408759125</v>
      </c>
      <c r="L118" s="265">
        <f t="shared" si="31"/>
        <v>2.5249365671641786</v>
      </c>
      <c r="M118" s="265">
        <f t="shared" si="32"/>
        <v>1.500803571428571</v>
      </c>
      <c r="N118" s="265">
        <f t="shared" si="33"/>
        <v>0.82693877551020412</v>
      </c>
      <c r="O118" s="265">
        <f t="shared" ca="1" si="34"/>
        <v>158.81180300169422</v>
      </c>
      <c r="P118" s="265">
        <f t="shared" ca="1" si="35"/>
        <v>3.7664197538190654</v>
      </c>
      <c r="Q118" s="258">
        <f t="shared" ca="1" si="36"/>
        <v>93.948175182481762</v>
      </c>
      <c r="R118" s="265">
        <f t="shared" si="37"/>
        <v>2.5249365671641786</v>
      </c>
      <c r="S118" s="265">
        <f t="shared" si="38"/>
        <v>1.500803571428571</v>
      </c>
      <c r="T118" s="265">
        <f t="shared" si="39"/>
        <v>0.82693877551020412</v>
      </c>
      <c r="U118" s="265">
        <f t="shared" ca="1" si="40"/>
        <v>98.800854096584715</v>
      </c>
      <c r="V118" s="265">
        <f t="shared" ca="1" si="41"/>
        <v>2.3431853396916735</v>
      </c>
      <c r="W118" s="258">
        <f t="shared" ca="1" si="42"/>
        <v>23.093868613138689</v>
      </c>
      <c r="X118" s="265">
        <f t="shared" si="43"/>
        <v>2.5249365671641786</v>
      </c>
      <c r="Y118" s="265">
        <f t="shared" si="44"/>
        <v>1.500803571428571</v>
      </c>
      <c r="Z118" s="265">
        <f t="shared" si="45"/>
        <v>0.82693877551020412</v>
      </c>
      <c r="AA118" s="265">
        <f t="shared" ca="1" si="46"/>
        <v>27.946547527241641</v>
      </c>
      <c r="AB118" s="265">
        <f t="shared" ca="1" si="47"/>
        <v>0.66278719004609099</v>
      </c>
      <c r="AC118" s="258"/>
      <c r="AD118" s="258"/>
      <c r="AE118" s="258"/>
      <c r="AF118" s="258"/>
      <c r="AG118" s="258"/>
      <c r="AH118" s="258"/>
      <c r="AI118" s="258"/>
      <c r="AJ118" s="258"/>
      <c r="AK118" s="258"/>
      <c r="AL118" s="258"/>
      <c r="AM118" s="258"/>
    </row>
    <row r="119" spans="3:39" x14ac:dyDescent="0.25">
      <c r="C119" s="255" t="s">
        <v>6052</v>
      </c>
      <c r="D119" s="255">
        <v>50.7</v>
      </c>
      <c r="E119" s="255">
        <v>1.36</v>
      </c>
      <c r="F119" s="266">
        <f t="shared" si="25"/>
        <v>26.824457593688361</v>
      </c>
      <c r="G119" s="266">
        <f t="shared" si="26"/>
        <v>37.279411764705884</v>
      </c>
      <c r="H119" s="265">
        <f t="shared" si="27"/>
        <v>0.35758706467661688</v>
      </c>
      <c r="I119" s="265">
        <f t="shared" si="28"/>
        <v>0.2790178571428571</v>
      </c>
      <c r="J119" s="265">
        <f t="shared" si="29"/>
        <v>0.14172335600907029</v>
      </c>
      <c r="K119" s="258">
        <f t="shared" ca="1" si="30"/>
        <v>138.67941176470589</v>
      </c>
      <c r="L119" s="265">
        <f t="shared" si="31"/>
        <v>2.5249365671641786</v>
      </c>
      <c r="M119" s="265">
        <f t="shared" si="32"/>
        <v>1.500803571428571</v>
      </c>
      <c r="N119" s="265">
        <f t="shared" si="33"/>
        <v>0.82693877551020412</v>
      </c>
      <c r="O119" s="265">
        <f t="shared" ca="1" si="34"/>
        <v>143.53209067880886</v>
      </c>
      <c r="P119" s="265">
        <f t="shared" ca="1" si="35"/>
        <v>3.7714296886360898</v>
      </c>
      <c r="Q119" s="258">
        <f t="shared" ca="1" si="36"/>
        <v>84.624264705882354</v>
      </c>
      <c r="R119" s="265">
        <f t="shared" si="37"/>
        <v>2.5249365671641786</v>
      </c>
      <c r="S119" s="265">
        <f t="shared" si="38"/>
        <v>1.500803571428571</v>
      </c>
      <c r="T119" s="265">
        <f t="shared" si="39"/>
        <v>0.82693877551020412</v>
      </c>
      <c r="U119" s="265">
        <f t="shared" ca="1" si="40"/>
        <v>89.476943619985306</v>
      </c>
      <c r="V119" s="265">
        <f t="shared" ca="1" si="41"/>
        <v>2.3510839981560463</v>
      </c>
      <c r="W119" s="258">
        <f t="shared" ca="1" si="42"/>
        <v>20.801911764705885</v>
      </c>
      <c r="X119" s="265">
        <f t="shared" si="43"/>
        <v>2.5249365671641786</v>
      </c>
      <c r="Y119" s="265">
        <f t="shared" si="44"/>
        <v>1.500803571428571</v>
      </c>
      <c r="Z119" s="265">
        <f t="shared" si="45"/>
        <v>0.82693877551020412</v>
      </c>
      <c r="AA119" s="265">
        <f t="shared" ca="1" si="46"/>
        <v>25.654590678808837</v>
      </c>
      <c r="AB119" s="265">
        <f t="shared" ca="1" si="47"/>
        <v>0.67409653463754093</v>
      </c>
      <c r="AC119" s="258"/>
      <c r="AD119" s="258"/>
      <c r="AE119" s="258"/>
      <c r="AF119" s="258"/>
      <c r="AG119" s="258"/>
      <c r="AH119" s="258"/>
      <c r="AI119" s="258"/>
      <c r="AJ119" s="258"/>
      <c r="AK119" s="258"/>
      <c r="AL119" s="258"/>
      <c r="AM119" s="258"/>
    </row>
    <row r="120" spans="3:39" x14ac:dyDescent="0.25">
      <c r="C120" s="255" t="s">
        <v>6053</v>
      </c>
      <c r="D120" s="255">
        <v>44.7</v>
      </c>
      <c r="E120" s="255">
        <v>1.35</v>
      </c>
      <c r="F120" s="266">
        <f t="shared" si="25"/>
        <v>30.201342281879196</v>
      </c>
      <c r="G120" s="266">
        <f t="shared" si="26"/>
        <v>33.111111111111114</v>
      </c>
      <c r="H120" s="265">
        <f t="shared" si="27"/>
        <v>0.35758706467661688</v>
      </c>
      <c r="I120" s="265">
        <f t="shared" si="28"/>
        <v>0.2790178571428571</v>
      </c>
      <c r="J120" s="265">
        <f t="shared" si="29"/>
        <v>0.14172335600907029</v>
      </c>
      <c r="K120" s="258">
        <f t="shared" ca="1" si="30"/>
        <v>123.17333333333335</v>
      </c>
      <c r="L120" s="265">
        <f t="shared" si="31"/>
        <v>2.5249365671641786</v>
      </c>
      <c r="M120" s="265">
        <f t="shared" si="32"/>
        <v>1.500803571428571</v>
      </c>
      <c r="N120" s="265">
        <f t="shared" si="33"/>
        <v>0.82693877551020412</v>
      </c>
      <c r="O120" s="265">
        <f t="shared" ca="1" si="34"/>
        <v>128.02601224743631</v>
      </c>
      <c r="P120" s="265">
        <f t="shared" ca="1" si="35"/>
        <v>3.7777553879873147</v>
      </c>
      <c r="Q120" s="258">
        <f t="shared" ca="1" si="36"/>
        <v>75.162222222222226</v>
      </c>
      <c r="R120" s="265">
        <f t="shared" si="37"/>
        <v>2.5249365671641786</v>
      </c>
      <c r="S120" s="265">
        <f t="shared" si="38"/>
        <v>1.500803571428571</v>
      </c>
      <c r="T120" s="265">
        <f t="shared" si="39"/>
        <v>0.82693877551020412</v>
      </c>
      <c r="U120" s="265">
        <f t="shared" ca="1" si="40"/>
        <v>80.014901136325179</v>
      </c>
      <c r="V120" s="265">
        <f t="shared" ca="1" si="41"/>
        <v>2.3610570897327761</v>
      </c>
      <c r="W120" s="258">
        <f t="shared" ca="1" si="42"/>
        <v>18.476000000000003</v>
      </c>
      <c r="X120" s="265">
        <f t="shared" si="43"/>
        <v>2.5249365671641786</v>
      </c>
      <c r="Y120" s="265">
        <f t="shared" si="44"/>
        <v>1.500803571428571</v>
      </c>
      <c r="Z120" s="265">
        <f t="shared" si="45"/>
        <v>0.82693877551020412</v>
      </c>
      <c r="AA120" s="265">
        <f t="shared" ca="1" si="46"/>
        <v>23.328678914102955</v>
      </c>
      <c r="AB120" s="265">
        <f t="shared" ca="1" si="47"/>
        <v>0.68837606448328059</v>
      </c>
      <c r="AC120" s="258"/>
      <c r="AD120" s="258"/>
      <c r="AE120" s="258"/>
      <c r="AF120" s="258"/>
      <c r="AG120" s="258"/>
      <c r="AH120" s="258"/>
      <c r="AI120" s="258"/>
      <c r="AJ120" s="258"/>
      <c r="AK120" s="258"/>
      <c r="AL120" s="258"/>
      <c r="AM120" s="258"/>
    </row>
    <row r="121" spans="3:39" x14ac:dyDescent="0.25">
      <c r="C121" s="255" t="s">
        <v>6054</v>
      </c>
      <c r="D121" s="255">
        <v>46.2</v>
      </c>
      <c r="E121" s="255">
        <v>1.25</v>
      </c>
      <c r="F121" s="266">
        <f t="shared" si="25"/>
        <v>27.056277056277057</v>
      </c>
      <c r="G121" s="266">
        <f t="shared" si="26"/>
        <v>36.96</v>
      </c>
      <c r="H121" s="265">
        <f t="shared" si="27"/>
        <v>0.35758706467661688</v>
      </c>
      <c r="I121" s="265">
        <f t="shared" si="28"/>
        <v>0.2790178571428571</v>
      </c>
      <c r="J121" s="265">
        <f t="shared" si="29"/>
        <v>0.14172335600907029</v>
      </c>
      <c r="K121" s="258">
        <f t="shared" ca="1" si="30"/>
        <v>137.49120000000002</v>
      </c>
      <c r="L121" s="265">
        <f t="shared" si="31"/>
        <v>2.5249365671641786</v>
      </c>
      <c r="M121" s="265">
        <f t="shared" si="32"/>
        <v>1.500803571428571</v>
      </c>
      <c r="N121" s="265">
        <f t="shared" si="33"/>
        <v>0.82693877551020412</v>
      </c>
      <c r="O121" s="265">
        <f t="shared" ca="1" si="34"/>
        <v>142.34387891410299</v>
      </c>
      <c r="P121" s="265">
        <f t="shared" ca="1" si="35"/>
        <v>3.7718649820991335</v>
      </c>
      <c r="Q121" s="258">
        <f t="shared" ca="1" si="36"/>
        <v>83.899200000000008</v>
      </c>
      <c r="R121" s="265">
        <f t="shared" si="37"/>
        <v>2.5249365671641786</v>
      </c>
      <c r="S121" s="265">
        <f t="shared" si="38"/>
        <v>1.500803571428571</v>
      </c>
      <c r="T121" s="265">
        <f t="shared" si="39"/>
        <v>0.82693877551020412</v>
      </c>
      <c r="U121" s="265">
        <f t="shared" ca="1" si="40"/>
        <v>88.75187891410296</v>
      </c>
      <c r="V121" s="265">
        <f t="shared" ca="1" si="41"/>
        <v>2.3517702814155954</v>
      </c>
      <c r="W121" s="258">
        <f t="shared" ca="1" si="42"/>
        <v>20.623680000000004</v>
      </c>
      <c r="X121" s="265">
        <f t="shared" si="43"/>
        <v>2.5249365671641786</v>
      </c>
      <c r="Y121" s="265">
        <f t="shared" si="44"/>
        <v>1.500803571428571</v>
      </c>
      <c r="Z121" s="265">
        <f t="shared" si="45"/>
        <v>0.82693877551020412</v>
      </c>
      <c r="AA121" s="265">
        <f t="shared" ca="1" si="46"/>
        <v>25.476358914102956</v>
      </c>
      <c r="AB121" s="265">
        <f t="shared" ca="1" si="47"/>
        <v>0.67507915895337756</v>
      </c>
      <c r="AC121" s="258"/>
      <c r="AD121" s="258"/>
      <c r="AE121" s="258"/>
      <c r="AF121" s="258"/>
      <c r="AG121" s="258"/>
      <c r="AH121" s="258"/>
      <c r="AI121" s="258"/>
      <c r="AJ121" s="258"/>
      <c r="AK121" s="258"/>
      <c r="AL121" s="258"/>
      <c r="AM121" s="258"/>
    </row>
    <row r="122" spans="3:39" x14ac:dyDescent="0.25">
      <c r="C122" s="255" t="s">
        <v>6055</v>
      </c>
      <c r="D122" s="255">
        <v>40.4</v>
      </c>
      <c r="E122" s="255">
        <v>1.24</v>
      </c>
      <c r="F122" s="266">
        <f t="shared" si="25"/>
        <v>30.693069306930692</v>
      </c>
      <c r="G122" s="266">
        <f t="shared" si="26"/>
        <v>32.58064516129032</v>
      </c>
      <c r="H122" s="265">
        <f t="shared" si="27"/>
        <v>0.35758706467661688</v>
      </c>
      <c r="I122" s="265">
        <f t="shared" si="28"/>
        <v>0.2790178571428571</v>
      </c>
      <c r="J122" s="265">
        <f t="shared" si="29"/>
        <v>0.14172335600907029</v>
      </c>
      <c r="K122" s="258">
        <f t="shared" ca="1" si="30"/>
        <v>121.2</v>
      </c>
      <c r="L122" s="265">
        <f t="shared" si="31"/>
        <v>2.5249365671641786</v>
      </c>
      <c r="M122" s="265">
        <f t="shared" si="32"/>
        <v>1.500803571428571</v>
      </c>
      <c r="N122" s="265">
        <f t="shared" si="33"/>
        <v>0.82693877551020412</v>
      </c>
      <c r="O122" s="265">
        <f t="shared" ca="1" si="34"/>
        <v>126.05267891410296</v>
      </c>
      <c r="P122" s="265">
        <f t="shared" ca="1" si="35"/>
        <v>3.7786737995446087</v>
      </c>
      <c r="Q122" s="258">
        <f t="shared" ca="1" si="36"/>
        <v>73.958064516129028</v>
      </c>
      <c r="R122" s="265">
        <f t="shared" si="37"/>
        <v>2.5249365671641786</v>
      </c>
      <c r="S122" s="265">
        <f t="shared" si="38"/>
        <v>1.500803571428571</v>
      </c>
      <c r="T122" s="265">
        <f t="shared" si="39"/>
        <v>0.82693877551020412</v>
      </c>
      <c r="U122" s="265">
        <f t="shared" ca="1" si="40"/>
        <v>78.81074343023198</v>
      </c>
      <c r="V122" s="265">
        <f t="shared" ca="1" si="41"/>
        <v>2.362505056519919</v>
      </c>
      <c r="W122" s="258">
        <f t="shared" ca="1" si="42"/>
        <v>18.18</v>
      </c>
      <c r="X122" s="265">
        <f t="shared" si="43"/>
        <v>2.5249365671641786</v>
      </c>
      <c r="Y122" s="265">
        <f t="shared" si="44"/>
        <v>1.500803571428571</v>
      </c>
      <c r="Z122" s="265">
        <f t="shared" si="45"/>
        <v>0.82693877551020412</v>
      </c>
      <c r="AA122" s="265">
        <f t="shared" ca="1" si="46"/>
        <v>23.032678914102952</v>
      </c>
      <c r="AB122" s="265">
        <f t="shared" ca="1" si="47"/>
        <v>0.69044927165214753</v>
      </c>
      <c r="AC122" s="258"/>
      <c r="AD122" s="258"/>
      <c r="AE122" s="258"/>
      <c r="AF122" s="258"/>
      <c r="AG122" s="258"/>
      <c r="AH122" s="258"/>
      <c r="AI122" s="258"/>
      <c r="AJ122" s="258"/>
      <c r="AK122" s="258"/>
      <c r="AL122" s="258"/>
      <c r="AM122" s="258"/>
    </row>
    <row r="123" spans="3:39" x14ac:dyDescent="0.25">
      <c r="C123" s="255" t="s">
        <v>6056</v>
      </c>
      <c r="D123" s="267">
        <v>32</v>
      </c>
      <c r="E123" s="255">
        <v>1.1599999999999999</v>
      </c>
      <c r="F123" s="266">
        <f t="shared" si="25"/>
        <v>36.25</v>
      </c>
      <c r="G123" s="266">
        <f t="shared" si="26"/>
        <v>27.586206896551726</v>
      </c>
      <c r="H123" s="265">
        <f t="shared" si="27"/>
        <v>0.35758706467661688</v>
      </c>
      <c r="I123" s="265">
        <f t="shared" si="28"/>
        <v>0.2790178571428571</v>
      </c>
      <c r="J123" s="265">
        <f t="shared" si="29"/>
        <v>0.14172335600907029</v>
      </c>
      <c r="K123" s="258">
        <f t="shared" ca="1" si="30"/>
        <v>102.62068965517243</v>
      </c>
      <c r="L123" s="265">
        <f t="shared" si="31"/>
        <v>2.5249365671641786</v>
      </c>
      <c r="M123" s="265">
        <f t="shared" si="32"/>
        <v>1.500803571428571</v>
      </c>
      <c r="N123" s="265">
        <f t="shared" si="33"/>
        <v>0.82693877551020412</v>
      </c>
      <c r="O123" s="265">
        <f t="shared" ca="1" si="34"/>
        <v>107.47336856927538</v>
      </c>
      <c r="P123" s="265">
        <f t="shared" ca="1" si="35"/>
        <v>3.7890051047389863</v>
      </c>
      <c r="Q123" s="258">
        <f t="shared" ca="1" si="36"/>
        <v>62.62068965517242</v>
      </c>
      <c r="R123" s="265">
        <f t="shared" si="37"/>
        <v>2.5249365671641786</v>
      </c>
      <c r="S123" s="265">
        <f t="shared" si="38"/>
        <v>1.500803571428571</v>
      </c>
      <c r="T123" s="265">
        <f t="shared" si="39"/>
        <v>0.82693877551020412</v>
      </c>
      <c r="U123" s="265">
        <f t="shared" ca="1" si="40"/>
        <v>67.47336856927538</v>
      </c>
      <c r="V123" s="265">
        <f t="shared" ca="1" si="41"/>
        <v>2.3787933824566752</v>
      </c>
      <c r="W123" s="258">
        <f t="shared" ca="1" si="42"/>
        <v>15.393103448275864</v>
      </c>
      <c r="X123" s="265">
        <f t="shared" si="43"/>
        <v>2.5249365671641786</v>
      </c>
      <c r="Y123" s="265">
        <f t="shared" si="44"/>
        <v>1.500803571428571</v>
      </c>
      <c r="Z123" s="265">
        <f t="shared" si="45"/>
        <v>0.82693877551020412</v>
      </c>
      <c r="AA123" s="265">
        <f t="shared" ca="1" si="46"/>
        <v>20.245782362378815</v>
      </c>
      <c r="AB123" s="265">
        <f t="shared" ca="1" si="47"/>
        <v>0.71377099035507674</v>
      </c>
      <c r="AC123" s="258"/>
      <c r="AD123" s="258"/>
      <c r="AE123" s="258"/>
      <c r="AF123" s="258"/>
      <c r="AG123" s="258"/>
      <c r="AH123" s="258"/>
      <c r="AI123" s="258"/>
      <c r="AJ123" s="258"/>
      <c r="AK123" s="258"/>
      <c r="AL123" s="258"/>
      <c r="AM123" s="258"/>
    </row>
    <row r="124" spans="3:39" x14ac:dyDescent="0.25">
      <c r="C124" s="255" t="s">
        <v>6057</v>
      </c>
      <c r="D124" s="255">
        <v>37.299999999999997</v>
      </c>
      <c r="E124" s="255">
        <v>1.07</v>
      </c>
      <c r="F124" s="266">
        <f t="shared" si="25"/>
        <v>28.686327077747993</v>
      </c>
      <c r="G124" s="266">
        <f t="shared" si="26"/>
        <v>34.859813084112147</v>
      </c>
      <c r="H124" s="265">
        <f t="shared" si="27"/>
        <v>0.35758706467661688</v>
      </c>
      <c r="I124" s="265">
        <f t="shared" si="28"/>
        <v>0.2790178571428571</v>
      </c>
      <c r="J124" s="265">
        <f t="shared" si="29"/>
        <v>0.14172335600907029</v>
      </c>
      <c r="K124" s="258">
        <f t="shared" ca="1" si="30"/>
        <v>129.67850467289719</v>
      </c>
      <c r="L124" s="265">
        <f t="shared" si="31"/>
        <v>2.5249365671641786</v>
      </c>
      <c r="M124" s="265">
        <f t="shared" si="32"/>
        <v>1.500803571428571</v>
      </c>
      <c r="N124" s="265">
        <f t="shared" si="33"/>
        <v>0.82693877551020412</v>
      </c>
      <c r="O124" s="265">
        <f t="shared" ca="1" si="34"/>
        <v>134.53118358700016</v>
      </c>
      <c r="P124" s="265">
        <f t="shared" ca="1" si="35"/>
        <v>3.7749214309664043</v>
      </c>
      <c r="Q124" s="258">
        <f t="shared" ca="1" si="36"/>
        <v>79.131775700934568</v>
      </c>
      <c r="R124" s="265">
        <f t="shared" si="37"/>
        <v>2.5249365671641786</v>
      </c>
      <c r="S124" s="265">
        <f t="shared" si="38"/>
        <v>1.500803571428571</v>
      </c>
      <c r="T124" s="265">
        <f t="shared" si="39"/>
        <v>0.82693877551020412</v>
      </c>
      <c r="U124" s="265">
        <f t="shared" ca="1" si="40"/>
        <v>83.984454615037521</v>
      </c>
      <c r="V124" s="265">
        <f t="shared" ca="1" si="41"/>
        <v>2.356589075790795</v>
      </c>
      <c r="W124" s="258">
        <f t="shared" ca="1" si="42"/>
        <v>19.451775700934579</v>
      </c>
      <c r="X124" s="265">
        <f t="shared" si="43"/>
        <v>2.5249365671641786</v>
      </c>
      <c r="Y124" s="265">
        <f t="shared" si="44"/>
        <v>1.500803571428571</v>
      </c>
      <c r="Z124" s="265">
        <f t="shared" si="45"/>
        <v>0.82693877551020412</v>
      </c>
      <c r="AA124" s="265">
        <f t="shared" ca="1" si="46"/>
        <v>24.304454615037532</v>
      </c>
      <c r="AB124" s="265">
        <f t="shared" ca="1" si="47"/>
        <v>0.68197873643862839</v>
      </c>
      <c r="AC124" s="258"/>
      <c r="AD124" s="258"/>
      <c r="AE124" s="258"/>
      <c r="AF124" s="258"/>
      <c r="AG124" s="258"/>
      <c r="AH124" s="258"/>
      <c r="AI124" s="258"/>
      <c r="AJ124" s="258"/>
      <c r="AK124" s="258"/>
      <c r="AL124" s="258"/>
      <c r="AM124" s="258"/>
    </row>
    <row r="125" spans="3:39" x14ac:dyDescent="0.25">
      <c r="C125" s="255" t="s">
        <v>6058</v>
      </c>
      <c r="D125" s="255">
        <v>31.4</v>
      </c>
      <c r="E125" s="255">
        <v>1.06</v>
      </c>
      <c r="F125" s="266">
        <f t="shared" si="25"/>
        <v>33.757961783439498</v>
      </c>
      <c r="G125" s="266">
        <f t="shared" si="26"/>
        <v>29.622641509433958</v>
      </c>
      <c r="H125" s="265">
        <f t="shared" si="27"/>
        <v>0.35758706467661688</v>
      </c>
      <c r="I125" s="265">
        <f t="shared" si="28"/>
        <v>0.2790178571428571</v>
      </c>
      <c r="J125" s="265">
        <f t="shared" si="29"/>
        <v>0.14172335600907029</v>
      </c>
      <c r="K125" s="258">
        <f t="shared" ca="1" si="30"/>
        <v>110.19622641509433</v>
      </c>
      <c r="L125" s="265">
        <f t="shared" si="31"/>
        <v>2.5249365671641786</v>
      </c>
      <c r="M125" s="265">
        <f t="shared" si="32"/>
        <v>1.500803571428571</v>
      </c>
      <c r="N125" s="265">
        <f t="shared" si="33"/>
        <v>0.82693877551020412</v>
      </c>
      <c r="O125" s="265">
        <f t="shared" ca="1" si="34"/>
        <v>115.04890532919728</v>
      </c>
      <c r="P125" s="265">
        <f t="shared" ca="1" si="35"/>
        <v>3.7843827395730263</v>
      </c>
      <c r="Q125" s="258">
        <f t="shared" ca="1" si="36"/>
        <v>67.243396226415086</v>
      </c>
      <c r="R125" s="265">
        <f t="shared" si="37"/>
        <v>2.5249365671641786</v>
      </c>
      <c r="S125" s="265">
        <f t="shared" si="38"/>
        <v>1.500803571428571</v>
      </c>
      <c r="T125" s="265">
        <f t="shared" si="39"/>
        <v>0.82693877551020412</v>
      </c>
      <c r="U125" s="265">
        <f t="shared" ca="1" si="40"/>
        <v>72.096075140518039</v>
      </c>
      <c r="V125" s="265">
        <f t="shared" ca="1" si="41"/>
        <v>2.3715057659353054</v>
      </c>
      <c r="W125" s="258">
        <f t="shared" ca="1" si="42"/>
        <v>16.52943396226415</v>
      </c>
      <c r="X125" s="265">
        <f t="shared" si="43"/>
        <v>2.5249365671641786</v>
      </c>
      <c r="Y125" s="265">
        <f t="shared" si="44"/>
        <v>1.500803571428571</v>
      </c>
      <c r="Z125" s="265">
        <f t="shared" si="45"/>
        <v>0.82693877551020412</v>
      </c>
      <c r="AA125" s="265">
        <f t="shared" ca="1" si="46"/>
        <v>21.382112876367103</v>
      </c>
      <c r="AB125" s="265">
        <f t="shared" ca="1" si="47"/>
        <v>0.70333653912994076</v>
      </c>
      <c r="AC125" s="258"/>
      <c r="AD125" s="258"/>
      <c r="AE125" s="258"/>
      <c r="AF125" s="258"/>
      <c r="AG125" s="258"/>
      <c r="AH125" s="258"/>
      <c r="AI125" s="258"/>
      <c r="AJ125" s="258"/>
      <c r="AK125" s="258"/>
      <c r="AL125" s="258"/>
      <c r="AM125" s="258"/>
    </row>
    <row r="126" spans="3:39" x14ac:dyDescent="0.25">
      <c r="C126" s="255" t="s">
        <v>6059</v>
      </c>
      <c r="D126" s="255">
        <v>25.7</v>
      </c>
      <c r="E126" s="255">
        <v>0.96099999999999997</v>
      </c>
      <c r="F126" s="266">
        <f t="shared" si="25"/>
        <v>37.392996108949418</v>
      </c>
      <c r="G126" s="266">
        <f t="shared" si="26"/>
        <v>26.742976066597294</v>
      </c>
      <c r="H126" s="265">
        <f t="shared" si="27"/>
        <v>0.35758706467661688</v>
      </c>
      <c r="I126" s="265">
        <f t="shared" si="28"/>
        <v>0.2790178571428571</v>
      </c>
      <c r="J126" s="265">
        <f t="shared" si="29"/>
        <v>0.14172335600907029</v>
      </c>
      <c r="K126" s="258">
        <f t="shared" ca="1" si="30"/>
        <v>99.483870967741936</v>
      </c>
      <c r="L126" s="265">
        <f t="shared" si="31"/>
        <v>2.5249365671641786</v>
      </c>
      <c r="M126" s="265">
        <f t="shared" si="32"/>
        <v>1.500803571428571</v>
      </c>
      <c r="N126" s="265">
        <f t="shared" si="33"/>
        <v>0.82693877551020412</v>
      </c>
      <c r="O126" s="265">
        <f t="shared" ca="1" si="34"/>
        <v>104.33654988184489</v>
      </c>
      <c r="P126" s="265">
        <f t="shared" ca="1" si="35"/>
        <v>3.7911193661494171</v>
      </c>
      <c r="Q126" s="258">
        <f t="shared" ca="1" si="36"/>
        <v>60.706555671175856</v>
      </c>
      <c r="R126" s="265">
        <f t="shared" si="37"/>
        <v>2.5249365671641786</v>
      </c>
      <c r="S126" s="265">
        <f t="shared" si="38"/>
        <v>1.500803571428571</v>
      </c>
      <c r="T126" s="265">
        <f t="shared" si="39"/>
        <v>0.82693877551020412</v>
      </c>
      <c r="U126" s="265">
        <f t="shared" ca="1" si="40"/>
        <v>65.559234585278801</v>
      </c>
      <c r="V126" s="265">
        <f t="shared" ca="1" si="41"/>
        <v>2.3821267249841362</v>
      </c>
      <c r="W126" s="258">
        <f t="shared" ca="1" si="42"/>
        <v>14.922580645161291</v>
      </c>
      <c r="X126" s="265">
        <f t="shared" si="43"/>
        <v>2.5249365671641786</v>
      </c>
      <c r="Y126" s="265">
        <f t="shared" si="44"/>
        <v>1.500803571428571</v>
      </c>
      <c r="Z126" s="265">
        <f t="shared" si="45"/>
        <v>0.82693877551020412</v>
      </c>
      <c r="AA126" s="265">
        <f t="shared" ca="1" si="46"/>
        <v>19.775259559264242</v>
      </c>
      <c r="AB126" s="265">
        <f t="shared" ca="1" si="47"/>
        <v>0.71854368934623258</v>
      </c>
      <c r="AC126" s="258"/>
      <c r="AD126" s="258"/>
      <c r="AE126" s="258"/>
      <c r="AF126" s="258"/>
      <c r="AG126" s="258"/>
      <c r="AH126" s="258"/>
      <c r="AI126" s="258"/>
      <c r="AJ126" s="258"/>
      <c r="AK126" s="258"/>
      <c r="AL126" s="258"/>
      <c r="AM126" s="258"/>
    </row>
    <row r="127" spans="3:39" x14ac:dyDescent="0.25">
      <c r="C127" s="255" t="s">
        <v>6060</v>
      </c>
      <c r="D127" s="255">
        <v>29.8</v>
      </c>
      <c r="E127" s="255">
        <v>0.92200000000000004</v>
      </c>
      <c r="F127" s="266">
        <f t="shared" si="25"/>
        <v>30.939597315436242</v>
      </c>
      <c r="G127" s="266">
        <f t="shared" si="26"/>
        <v>32.321041214750544</v>
      </c>
      <c r="H127" s="265">
        <f t="shared" si="27"/>
        <v>0.35758706467661688</v>
      </c>
      <c r="I127" s="265">
        <f t="shared" si="28"/>
        <v>0.2790178571428571</v>
      </c>
      <c r="J127" s="265">
        <f t="shared" si="29"/>
        <v>0.14172335600907029</v>
      </c>
      <c r="K127" s="258">
        <f t="shared" ca="1" si="30"/>
        <v>120.23427331887203</v>
      </c>
      <c r="L127" s="265">
        <f t="shared" si="31"/>
        <v>2.5249365671641786</v>
      </c>
      <c r="M127" s="265">
        <f t="shared" si="32"/>
        <v>1.500803571428571</v>
      </c>
      <c r="N127" s="265">
        <f t="shared" si="33"/>
        <v>0.82693877551020412</v>
      </c>
      <c r="O127" s="265">
        <f t="shared" ca="1" si="34"/>
        <v>125.08695223297498</v>
      </c>
      <c r="P127" s="265">
        <f t="shared" ca="1" si="35"/>
        <v>3.7791339880664374</v>
      </c>
      <c r="Q127" s="258">
        <f t="shared" ca="1" si="36"/>
        <v>73.368763557483732</v>
      </c>
      <c r="R127" s="265">
        <f t="shared" si="37"/>
        <v>2.5249365671641786</v>
      </c>
      <c r="S127" s="265">
        <f t="shared" si="38"/>
        <v>1.500803571428571</v>
      </c>
      <c r="T127" s="265">
        <f t="shared" si="39"/>
        <v>0.82693877551020412</v>
      </c>
      <c r="U127" s="265">
        <f t="shared" ca="1" si="40"/>
        <v>78.221442471586684</v>
      </c>
      <c r="V127" s="265">
        <f t="shared" ca="1" si="41"/>
        <v>2.3632305893054553</v>
      </c>
      <c r="W127" s="258">
        <f t="shared" ca="1" si="42"/>
        <v>18.035140997830805</v>
      </c>
      <c r="X127" s="265">
        <f t="shared" si="43"/>
        <v>2.5249365671641786</v>
      </c>
      <c r="Y127" s="265">
        <f t="shared" si="44"/>
        <v>1.500803571428571</v>
      </c>
      <c r="Z127" s="265">
        <f t="shared" si="45"/>
        <v>0.82693877551020412</v>
      </c>
      <c r="AA127" s="265">
        <f t="shared" ca="1" si="46"/>
        <v>22.887819911933757</v>
      </c>
      <c r="AB127" s="265">
        <f t="shared" ca="1" si="47"/>
        <v>0.69148809366490294</v>
      </c>
      <c r="AC127" s="258"/>
      <c r="AD127" s="258"/>
      <c r="AE127" s="258"/>
      <c r="AF127" s="258"/>
      <c r="AG127" s="258"/>
      <c r="AH127" s="258"/>
      <c r="AI127" s="258"/>
      <c r="AJ127" s="258"/>
      <c r="AK127" s="258"/>
      <c r="AL127" s="258"/>
      <c r="AM127" s="258"/>
    </row>
    <row r="128" spans="3:39" x14ac:dyDescent="0.25">
      <c r="C128" s="255" t="s">
        <v>6061</v>
      </c>
      <c r="D128" s="255">
        <v>25.4</v>
      </c>
      <c r="E128" s="255">
        <v>0.91200000000000003</v>
      </c>
      <c r="F128" s="266">
        <f t="shared" si="25"/>
        <v>35.905511811023622</v>
      </c>
      <c r="G128" s="266">
        <f t="shared" si="26"/>
        <v>27.850877192982452</v>
      </c>
      <c r="H128" s="265">
        <f t="shared" si="27"/>
        <v>0.35758706467661688</v>
      </c>
      <c r="I128" s="265">
        <f t="shared" si="28"/>
        <v>0.2790178571428571</v>
      </c>
      <c r="J128" s="265">
        <f t="shared" si="29"/>
        <v>0.14172335600907029</v>
      </c>
      <c r="K128" s="258">
        <f t="shared" ca="1" si="30"/>
        <v>103.60526315789473</v>
      </c>
      <c r="L128" s="265">
        <f t="shared" si="31"/>
        <v>2.5249365671641786</v>
      </c>
      <c r="M128" s="265">
        <f t="shared" si="32"/>
        <v>1.500803571428571</v>
      </c>
      <c r="N128" s="265">
        <f t="shared" si="33"/>
        <v>0.82693877551020412</v>
      </c>
      <c r="O128" s="265">
        <f t="shared" ca="1" si="34"/>
        <v>108.45794207199768</v>
      </c>
      <c r="P128" s="265">
        <f t="shared" ca="1" si="35"/>
        <v>3.7883671687143514</v>
      </c>
      <c r="Q128" s="258">
        <f t="shared" ca="1" si="36"/>
        <v>63.221491228070164</v>
      </c>
      <c r="R128" s="265">
        <f t="shared" si="37"/>
        <v>2.5249365671641786</v>
      </c>
      <c r="S128" s="265">
        <f t="shared" si="38"/>
        <v>1.500803571428571</v>
      </c>
      <c r="T128" s="265">
        <f t="shared" si="39"/>
        <v>0.82693877551020412</v>
      </c>
      <c r="U128" s="265">
        <f t="shared" ca="1" si="40"/>
        <v>68.074170142173116</v>
      </c>
      <c r="V128" s="265">
        <f t="shared" ca="1" si="41"/>
        <v>2.3777876131273836</v>
      </c>
      <c r="W128" s="258">
        <f t="shared" ca="1" si="42"/>
        <v>15.54078947368421</v>
      </c>
      <c r="X128" s="265">
        <f t="shared" si="43"/>
        <v>2.5249365671641786</v>
      </c>
      <c r="Y128" s="265">
        <f t="shared" si="44"/>
        <v>1.500803571428571</v>
      </c>
      <c r="Z128" s="265">
        <f t="shared" si="45"/>
        <v>0.82693877551020412</v>
      </c>
      <c r="AA128" s="265">
        <f t="shared" ca="1" si="46"/>
        <v>20.393468387787163</v>
      </c>
      <c r="AB128" s="265">
        <f t="shared" ca="1" si="47"/>
        <v>0.71233092404815046</v>
      </c>
      <c r="AC128" s="258"/>
      <c r="AD128" s="258"/>
      <c r="AE128" s="258"/>
      <c r="AF128" s="258"/>
      <c r="AG128" s="258"/>
      <c r="AH128" s="258"/>
      <c r="AI128" s="258"/>
      <c r="AJ128" s="258"/>
      <c r="AK128" s="258"/>
      <c r="AL128" s="258"/>
      <c r="AM128" s="258"/>
    </row>
    <row r="129" spans="3:39" x14ac:dyDescent="0.25">
      <c r="C129" s="255" t="s">
        <v>6062</v>
      </c>
      <c r="D129" s="255">
        <v>22.3</v>
      </c>
      <c r="E129" s="255">
        <v>0.91</v>
      </c>
      <c r="F129" s="266">
        <f t="shared" si="25"/>
        <v>40.80717488789238</v>
      </c>
      <c r="G129" s="266">
        <f t="shared" si="26"/>
        <v>24.505494505494504</v>
      </c>
      <c r="H129" s="265">
        <f t="shared" si="27"/>
        <v>0.35758706467661688</v>
      </c>
      <c r="I129" s="265">
        <f t="shared" si="28"/>
        <v>0.2790178571428571</v>
      </c>
      <c r="J129" s="265">
        <f t="shared" si="29"/>
        <v>0.14172335600907029</v>
      </c>
      <c r="K129" s="258">
        <f t="shared" ca="1" si="30"/>
        <v>91.160439560439556</v>
      </c>
      <c r="L129" s="265">
        <f t="shared" si="31"/>
        <v>2.5249365671641786</v>
      </c>
      <c r="M129" s="265">
        <f t="shared" si="32"/>
        <v>1.500803571428571</v>
      </c>
      <c r="N129" s="265">
        <f t="shared" si="33"/>
        <v>0.82693877551020412</v>
      </c>
      <c r="O129" s="265">
        <f t="shared" ca="1" si="34"/>
        <v>96.013118474542509</v>
      </c>
      <c r="P129" s="265">
        <f t="shared" ca="1" si="35"/>
        <v>3.797413045382986</v>
      </c>
      <c r="Q129" s="258">
        <f t="shared" ca="1" si="36"/>
        <v>55.627472527472527</v>
      </c>
      <c r="R129" s="265">
        <f t="shared" si="37"/>
        <v>2.5249365671641786</v>
      </c>
      <c r="S129" s="265">
        <f t="shared" si="38"/>
        <v>1.500803571428571</v>
      </c>
      <c r="T129" s="265">
        <f t="shared" si="39"/>
        <v>0.82693877551020412</v>
      </c>
      <c r="U129" s="265">
        <f t="shared" ca="1" si="40"/>
        <v>60.48015144157548</v>
      </c>
      <c r="V129" s="265">
        <f t="shared" ca="1" si="41"/>
        <v>2.3920493336738451</v>
      </c>
      <c r="W129" s="258">
        <f t="shared" ca="1" si="42"/>
        <v>13.674065934065935</v>
      </c>
      <c r="X129" s="265">
        <f t="shared" si="43"/>
        <v>2.5249365671641786</v>
      </c>
      <c r="Y129" s="265">
        <f t="shared" si="44"/>
        <v>1.500803571428571</v>
      </c>
      <c r="Z129" s="265">
        <f t="shared" si="45"/>
        <v>0.82693877551020412</v>
      </c>
      <c r="AA129" s="265">
        <f t="shared" ca="1" si="46"/>
        <v>18.526744848168885</v>
      </c>
      <c r="AB129" s="265">
        <f t="shared" ca="1" si="47"/>
        <v>0.73275093750415532</v>
      </c>
      <c r="AC129" s="258"/>
      <c r="AD129" s="258"/>
      <c r="AE129" s="258"/>
      <c r="AF129" s="258"/>
      <c r="AG129" s="258"/>
      <c r="AH129" s="258"/>
      <c r="AI129" s="258"/>
      <c r="AJ129" s="258"/>
      <c r="AK129" s="258"/>
      <c r="AL129" s="258"/>
      <c r="AM129" s="258"/>
    </row>
    <row r="130" spans="3:39" x14ac:dyDescent="0.25">
      <c r="C130" s="255" t="s">
        <v>6063</v>
      </c>
      <c r="D130" s="255">
        <v>18.2</v>
      </c>
      <c r="E130" s="255">
        <v>0.76400000000000001</v>
      </c>
      <c r="F130" s="266">
        <f t="shared" si="25"/>
        <v>41.978021978021978</v>
      </c>
      <c r="G130" s="266">
        <f t="shared" si="26"/>
        <v>23.821989528795811</v>
      </c>
      <c r="H130" s="265">
        <f t="shared" si="27"/>
        <v>0.35758706467661688</v>
      </c>
      <c r="I130" s="265">
        <f t="shared" si="28"/>
        <v>0.2790178571428571</v>
      </c>
      <c r="J130" s="265">
        <f t="shared" si="29"/>
        <v>0.14172335600907029</v>
      </c>
      <c r="K130" s="258">
        <f t="shared" ca="1" si="30"/>
        <v>88.617801047120423</v>
      </c>
      <c r="L130" s="265">
        <f t="shared" si="31"/>
        <v>2.5249365671641786</v>
      </c>
      <c r="M130" s="265">
        <f t="shared" si="32"/>
        <v>1.500803571428571</v>
      </c>
      <c r="N130" s="265">
        <f t="shared" si="33"/>
        <v>0.82693877551020412</v>
      </c>
      <c r="O130" s="265">
        <f t="shared" ca="1" si="34"/>
        <v>93.470479961223376</v>
      </c>
      <c r="P130" s="265">
        <f t="shared" ca="1" si="35"/>
        <v>3.799563920107313</v>
      </c>
      <c r="Q130" s="258">
        <f t="shared" ca="1" si="36"/>
        <v>54.075916230366488</v>
      </c>
      <c r="R130" s="265">
        <f t="shared" si="37"/>
        <v>2.5249365671641786</v>
      </c>
      <c r="S130" s="265">
        <f t="shared" si="38"/>
        <v>1.500803571428571</v>
      </c>
      <c r="T130" s="265">
        <f t="shared" si="39"/>
        <v>0.82693877551020412</v>
      </c>
      <c r="U130" s="265">
        <f t="shared" ca="1" si="40"/>
        <v>58.92859514446944</v>
      </c>
      <c r="V130" s="265">
        <f t="shared" ca="1" si="41"/>
        <v>2.3954404007171481</v>
      </c>
      <c r="W130" s="258">
        <f t="shared" ca="1" si="42"/>
        <v>13.292670157068065</v>
      </c>
      <c r="X130" s="265">
        <f t="shared" si="43"/>
        <v>2.5249365671641786</v>
      </c>
      <c r="Y130" s="265">
        <f t="shared" si="44"/>
        <v>1.500803571428571</v>
      </c>
      <c r="Z130" s="265">
        <f t="shared" si="45"/>
        <v>0.82693877551020412</v>
      </c>
      <c r="AA130" s="265">
        <f t="shared" ca="1" si="46"/>
        <v>18.145349071171019</v>
      </c>
      <c r="AB130" s="265">
        <f t="shared" ca="1" si="47"/>
        <v>0.73760628678889872</v>
      </c>
      <c r="AC130" s="258"/>
      <c r="AD130" s="258"/>
      <c r="AE130" s="258"/>
      <c r="AF130" s="258"/>
      <c r="AG130" s="258"/>
      <c r="AH130" s="258"/>
      <c r="AI130" s="258"/>
      <c r="AJ130" s="258"/>
      <c r="AK130" s="258"/>
      <c r="AL130" s="258"/>
      <c r="AM130" s="258"/>
    </row>
    <row r="131" spans="3:39" x14ac:dyDescent="0.25">
      <c r="C131" s="255" t="s">
        <v>6064</v>
      </c>
      <c r="D131" s="255">
        <v>22.2</v>
      </c>
      <c r="E131" s="255">
        <v>0.69099999999999995</v>
      </c>
      <c r="F131" s="266">
        <f t="shared" si="25"/>
        <v>31.126126126126124</v>
      </c>
      <c r="G131" s="266">
        <f t="shared" si="26"/>
        <v>32.127351664254704</v>
      </c>
      <c r="H131" s="265">
        <f t="shared" si="27"/>
        <v>0.35758706467661688</v>
      </c>
      <c r="I131" s="265">
        <f t="shared" si="28"/>
        <v>0.2790178571428571</v>
      </c>
      <c r="J131" s="265">
        <f t="shared" si="29"/>
        <v>0.14172335600907029</v>
      </c>
      <c r="K131" s="258">
        <f t="shared" ca="1" si="30"/>
        <v>119.5137481910275</v>
      </c>
      <c r="L131" s="265">
        <f t="shared" si="31"/>
        <v>2.5249365671641786</v>
      </c>
      <c r="M131" s="265">
        <f t="shared" si="32"/>
        <v>1.500803571428571</v>
      </c>
      <c r="N131" s="265">
        <f t="shared" si="33"/>
        <v>0.82693877551020412</v>
      </c>
      <c r="O131" s="265">
        <f t="shared" ca="1" si="34"/>
        <v>124.36642710513046</v>
      </c>
      <c r="P131" s="265">
        <f t="shared" ca="1" si="35"/>
        <v>3.7794820627935901</v>
      </c>
      <c r="Q131" s="258">
        <f t="shared" ca="1" si="36"/>
        <v>72.929088277858185</v>
      </c>
      <c r="R131" s="265">
        <f t="shared" si="37"/>
        <v>2.5249365671641786</v>
      </c>
      <c r="S131" s="265">
        <f t="shared" si="38"/>
        <v>1.500803571428571</v>
      </c>
      <c r="T131" s="265">
        <f t="shared" si="39"/>
        <v>0.82693877551020412</v>
      </c>
      <c r="U131" s="265">
        <f t="shared" ca="1" si="40"/>
        <v>77.781767191961137</v>
      </c>
      <c r="V131" s="265">
        <f t="shared" ca="1" si="41"/>
        <v>2.3637793635890083</v>
      </c>
      <c r="W131" s="258">
        <f t="shared" ca="1" si="42"/>
        <v>17.927062228654126</v>
      </c>
      <c r="X131" s="265">
        <f t="shared" si="43"/>
        <v>2.5249365671641786</v>
      </c>
      <c r="Y131" s="265">
        <f t="shared" si="44"/>
        <v>1.500803571428571</v>
      </c>
      <c r="Z131" s="265">
        <f t="shared" si="45"/>
        <v>0.82693877551020412</v>
      </c>
      <c r="AA131" s="265">
        <f t="shared" ca="1" si="46"/>
        <v>22.779741142757079</v>
      </c>
      <c r="AB131" s="265">
        <f t="shared" ca="1" si="47"/>
        <v>0.69227383183849511</v>
      </c>
      <c r="AC131" s="258"/>
      <c r="AD131" s="258"/>
      <c r="AE131" s="258"/>
      <c r="AF131" s="258"/>
      <c r="AG131" s="258"/>
      <c r="AH131" s="258"/>
      <c r="AI131" s="258"/>
      <c r="AJ131" s="258"/>
      <c r="AK131" s="258"/>
      <c r="AL131" s="258"/>
      <c r="AM131" s="258"/>
    </row>
    <row r="132" spans="3:39" x14ac:dyDescent="0.25">
      <c r="C132" s="255" t="s">
        <v>6065</v>
      </c>
      <c r="D132" s="255">
        <v>18.100000000000001</v>
      </c>
      <c r="E132" s="255">
        <v>0.68500000000000005</v>
      </c>
      <c r="F132" s="266">
        <f t="shared" si="25"/>
        <v>37.84530386740331</v>
      </c>
      <c r="G132" s="266">
        <f t="shared" si="26"/>
        <v>26.423357664233578</v>
      </c>
      <c r="H132" s="265">
        <f t="shared" si="27"/>
        <v>0.35758706467661688</v>
      </c>
      <c r="I132" s="265">
        <f t="shared" si="28"/>
        <v>0.2790178571428571</v>
      </c>
      <c r="J132" s="265">
        <f t="shared" si="29"/>
        <v>0.14172335600907029</v>
      </c>
      <c r="K132" s="258">
        <f t="shared" ca="1" si="30"/>
        <v>98.294890510948917</v>
      </c>
      <c r="L132" s="265">
        <f t="shared" si="31"/>
        <v>2.5249365671641786</v>
      </c>
      <c r="M132" s="265">
        <f t="shared" si="32"/>
        <v>1.500803571428571</v>
      </c>
      <c r="N132" s="265">
        <f t="shared" si="33"/>
        <v>0.82693877551020412</v>
      </c>
      <c r="O132" s="265">
        <f t="shared" ca="1" si="34"/>
        <v>103.14756942505187</v>
      </c>
      <c r="P132" s="265">
        <f t="shared" ca="1" si="35"/>
        <v>3.7919550150218515</v>
      </c>
      <c r="Q132" s="258">
        <f t="shared" ca="1" si="36"/>
        <v>59.981021897810223</v>
      </c>
      <c r="R132" s="265">
        <f t="shared" si="37"/>
        <v>2.5249365671641786</v>
      </c>
      <c r="S132" s="265">
        <f t="shared" si="38"/>
        <v>1.500803571428571</v>
      </c>
      <c r="T132" s="265">
        <f t="shared" si="39"/>
        <v>0.82693877551020412</v>
      </c>
      <c r="U132" s="265">
        <f t="shared" ca="1" si="40"/>
        <v>64.833700811913175</v>
      </c>
      <c r="V132" s="265">
        <f t="shared" ca="1" si="41"/>
        <v>2.3834442082010971</v>
      </c>
      <c r="W132" s="258">
        <f t="shared" ca="1" si="42"/>
        <v>14.744233576642337</v>
      </c>
      <c r="X132" s="265">
        <f t="shared" si="43"/>
        <v>2.5249365671641786</v>
      </c>
      <c r="Y132" s="265">
        <f t="shared" si="44"/>
        <v>1.500803571428571</v>
      </c>
      <c r="Z132" s="265">
        <f t="shared" si="45"/>
        <v>0.82693877551020412</v>
      </c>
      <c r="AA132" s="265">
        <f t="shared" ca="1" si="46"/>
        <v>19.596912490745289</v>
      </c>
      <c r="AB132" s="265">
        <f t="shared" ca="1" si="47"/>
        <v>0.72043006938928267</v>
      </c>
      <c r="AC132" s="258"/>
      <c r="AD132" s="258"/>
      <c r="AE132" s="258"/>
      <c r="AF132" s="258"/>
      <c r="AG132" s="258"/>
      <c r="AH132" s="258"/>
      <c r="AI132" s="258"/>
      <c r="AJ132" s="258"/>
      <c r="AK132" s="258"/>
      <c r="AL132" s="258"/>
      <c r="AM132" s="258"/>
    </row>
    <row r="133" spans="3:39" x14ac:dyDescent="0.25">
      <c r="C133" s="255" t="s">
        <v>6066</v>
      </c>
      <c r="D133" s="255">
        <v>16.100000000000001</v>
      </c>
      <c r="E133" s="255">
        <v>0.68200000000000005</v>
      </c>
      <c r="F133" s="266">
        <f t="shared" si="25"/>
        <v>42.360248447204974</v>
      </c>
      <c r="G133" s="266">
        <f t="shared" si="26"/>
        <v>23.607038123167154</v>
      </c>
      <c r="H133" s="265">
        <f t="shared" si="27"/>
        <v>0.35758706467661688</v>
      </c>
      <c r="I133" s="265">
        <f t="shared" si="28"/>
        <v>0.2790178571428571</v>
      </c>
      <c r="J133" s="265">
        <f t="shared" si="29"/>
        <v>0.14172335600907029</v>
      </c>
      <c r="K133" s="258">
        <f t="shared" ca="1" si="30"/>
        <v>87.818181818181813</v>
      </c>
      <c r="L133" s="265">
        <f t="shared" si="31"/>
        <v>2.5249365671641786</v>
      </c>
      <c r="M133" s="265">
        <f t="shared" si="32"/>
        <v>1.500803571428571</v>
      </c>
      <c r="N133" s="265">
        <f t="shared" si="33"/>
        <v>0.82693877551020412</v>
      </c>
      <c r="O133" s="265">
        <f t="shared" ca="1" si="34"/>
        <v>92.670860732284766</v>
      </c>
      <c r="P133" s="265">
        <f t="shared" ca="1" si="35"/>
        <v>3.8002652577941514</v>
      </c>
      <c r="Q133" s="258">
        <f t="shared" ca="1" si="36"/>
        <v>53.587976539589441</v>
      </c>
      <c r="R133" s="265">
        <f t="shared" si="37"/>
        <v>2.5249365671641786</v>
      </c>
      <c r="S133" s="265">
        <f t="shared" si="38"/>
        <v>1.500803571428571</v>
      </c>
      <c r="T133" s="265">
        <f t="shared" si="39"/>
        <v>0.82693877551020412</v>
      </c>
      <c r="U133" s="265">
        <f t="shared" ca="1" si="40"/>
        <v>58.440655453692393</v>
      </c>
      <c r="V133" s="265">
        <f t="shared" ca="1" si="41"/>
        <v>2.3965461290467283</v>
      </c>
      <c r="W133" s="258">
        <f t="shared" ca="1" si="42"/>
        <v>13.172727272727274</v>
      </c>
      <c r="X133" s="265">
        <f t="shared" si="43"/>
        <v>2.5249365671641786</v>
      </c>
      <c r="Y133" s="265">
        <f t="shared" si="44"/>
        <v>1.500803571428571</v>
      </c>
      <c r="Z133" s="265">
        <f t="shared" si="45"/>
        <v>0.82693877551020412</v>
      </c>
      <c r="AA133" s="265">
        <f t="shared" ca="1" si="46"/>
        <v>18.025406186830228</v>
      </c>
      <c r="AB133" s="265">
        <f t="shared" ca="1" si="47"/>
        <v>0.73918947496701204</v>
      </c>
      <c r="AC133" s="258"/>
      <c r="AD133" s="258"/>
      <c r="AE133" s="258"/>
      <c r="AF133" s="258"/>
      <c r="AG133" s="258"/>
      <c r="AH133" s="258"/>
      <c r="AI133" s="258"/>
      <c r="AJ133" s="258"/>
      <c r="AK133" s="258"/>
      <c r="AL133" s="258"/>
      <c r="AM133" s="258"/>
    </row>
    <row r="134" spans="3:39" x14ac:dyDescent="0.25">
      <c r="C134" s="255" t="s">
        <v>6067</v>
      </c>
      <c r="D134" s="267">
        <v>18</v>
      </c>
      <c r="E134" s="255">
        <v>0.58399999999999996</v>
      </c>
      <c r="F134" s="266">
        <f t="shared" si="25"/>
        <v>32.444444444444443</v>
      </c>
      <c r="G134" s="266">
        <f t="shared" si="26"/>
        <v>30.82191780821918</v>
      </c>
      <c r="H134" s="265">
        <f t="shared" si="27"/>
        <v>0.35758706467661688</v>
      </c>
      <c r="I134" s="265">
        <f t="shared" si="28"/>
        <v>0.2790178571428571</v>
      </c>
      <c r="J134" s="265">
        <f t="shared" si="29"/>
        <v>0.14172335600907029</v>
      </c>
      <c r="K134" s="258">
        <f t="shared" ca="1" si="30"/>
        <v>114.65753424657535</v>
      </c>
      <c r="L134" s="265">
        <f t="shared" si="31"/>
        <v>2.5249365671641786</v>
      </c>
      <c r="M134" s="265">
        <f t="shared" si="32"/>
        <v>1.500803571428571</v>
      </c>
      <c r="N134" s="265">
        <f t="shared" si="33"/>
        <v>0.82693877551020412</v>
      </c>
      <c r="O134" s="265">
        <f t="shared" ca="1" si="34"/>
        <v>119.5102131606783</v>
      </c>
      <c r="P134" s="265">
        <f t="shared" ca="1" si="35"/>
        <v>3.7819393189297017</v>
      </c>
      <c r="Q134" s="258">
        <f t="shared" ca="1" si="36"/>
        <v>69.965753424657535</v>
      </c>
      <c r="R134" s="265">
        <f t="shared" si="37"/>
        <v>2.5249365671641786</v>
      </c>
      <c r="S134" s="265">
        <f t="shared" si="38"/>
        <v>1.500803571428571</v>
      </c>
      <c r="T134" s="265">
        <f t="shared" si="39"/>
        <v>0.82693877551020412</v>
      </c>
      <c r="U134" s="265">
        <f t="shared" ca="1" si="40"/>
        <v>74.818432338760488</v>
      </c>
      <c r="V134" s="265">
        <f t="shared" ca="1" si="41"/>
        <v>2.3676534712745365</v>
      </c>
      <c r="W134" s="258">
        <f t="shared" ca="1" si="42"/>
        <v>17.198630136986303</v>
      </c>
      <c r="X134" s="265">
        <f t="shared" si="43"/>
        <v>2.5249365671641786</v>
      </c>
      <c r="Y134" s="265">
        <f t="shared" si="44"/>
        <v>1.500803571428571</v>
      </c>
      <c r="Z134" s="265">
        <f t="shared" si="45"/>
        <v>0.82693877551020412</v>
      </c>
      <c r="AA134" s="265">
        <f t="shared" ca="1" si="46"/>
        <v>22.051309051089255</v>
      </c>
      <c r="AB134" s="265">
        <f t="shared" ca="1" si="47"/>
        <v>0.6978208014913353</v>
      </c>
      <c r="AC134" s="258"/>
      <c r="AD134" s="258"/>
      <c r="AE134" s="258"/>
      <c r="AF134" s="258"/>
      <c r="AG134" s="258"/>
      <c r="AH134" s="258"/>
      <c r="AI134" s="258"/>
      <c r="AJ134" s="258"/>
      <c r="AK134" s="258"/>
      <c r="AL134" s="258"/>
      <c r="AM134" s="258"/>
    </row>
    <row r="135" spans="3:39" x14ac:dyDescent="0.25">
      <c r="C135" s="255" t="s">
        <v>6068</v>
      </c>
      <c r="D135" s="267">
        <v>14</v>
      </c>
      <c r="E135" s="255">
        <v>0.57599999999999996</v>
      </c>
      <c r="F135" s="266">
        <f t="shared" si="25"/>
        <v>41.142857142857139</v>
      </c>
      <c r="G135" s="266">
        <f t="shared" si="26"/>
        <v>24.305555555555557</v>
      </c>
      <c r="H135" s="265">
        <f t="shared" si="27"/>
        <v>0.35758706467661688</v>
      </c>
      <c r="I135" s="265">
        <f t="shared" si="28"/>
        <v>0.2790178571428571</v>
      </c>
      <c r="J135" s="265">
        <f t="shared" si="29"/>
        <v>0.14172335600907029</v>
      </c>
      <c r="K135" s="258">
        <f t="shared" ca="1" si="30"/>
        <v>90.416666666666671</v>
      </c>
      <c r="L135" s="265">
        <f t="shared" si="31"/>
        <v>2.5249365671641786</v>
      </c>
      <c r="M135" s="265">
        <f t="shared" si="32"/>
        <v>1.500803571428571</v>
      </c>
      <c r="N135" s="265">
        <f t="shared" si="33"/>
        <v>0.82693877551020412</v>
      </c>
      <c r="O135" s="265">
        <f t="shared" ca="1" si="34"/>
        <v>95.269345580769624</v>
      </c>
      <c r="P135" s="265">
        <f t="shared" ca="1" si="35"/>
        <v>3.7980300902994855</v>
      </c>
      <c r="Q135" s="258">
        <f t="shared" ca="1" si="36"/>
        <v>55.173611111111114</v>
      </c>
      <c r="R135" s="265">
        <f t="shared" si="37"/>
        <v>2.5249365671641786</v>
      </c>
      <c r="S135" s="265">
        <f t="shared" si="38"/>
        <v>1.500803571428571</v>
      </c>
      <c r="T135" s="265">
        <f t="shared" si="39"/>
        <v>0.82693877551020412</v>
      </c>
      <c r="U135" s="265">
        <f t="shared" ca="1" si="40"/>
        <v>60.026290025214067</v>
      </c>
      <c r="V135" s="265">
        <f t="shared" ca="1" si="41"/>
        <v>2.3930221661019324</v>
      </c>
      <c r="W135" s="258">
        <f t="shared" ca="1" si="42"/>
        <v>13.562500000000002</v>
      </c>
      <c r="X135" s="265">
        <f t="shared" si="43"/>
        <v>2.5249365671641786</v>
      </c>
      <c r="Y135" s="265">
        <f t="shared" si="44"/>
        <v>1.500803571428571</v>
      </c>
      <c r="Z135" s="265">
        <f t="shared" si="45"/>
        <v>0.82693877551020412</v>
      </c>
      <c r="AA135" s="265">
        <f t="shared" ca="1" si="46"/>
        <v>18.415178914102952</v>
      </c>
      <c r="AB135" s="265">
        <f t="shared" ca="1" si="47"/>
        <v>0.73414384456661441</v>
      </c>
      <c r="AC135" s="258"/>
      <c r="AD135" s="258"/>
      <c r="AE135" s="258"/>
      <c r="AF135" s="258"/>
      <c r="AG135" s="258"/>
      <c r="AH135" s="258"/>
      <c r="AI135" s="258"/>
      <c r="AJ135" s="258"/>
      <c r="AK135" s="258"/>
      <c r="AL135" s="258"/>
      <c r="AM135" s="258"/>
    </row>
    <row r="136" spans="3:39" x14ac:dyDescent="0.25">
      <c r="C136" s="255" t="s">
        <v>6069</v>
      </c>
      <c r="D136" s="255">
        <v>158</v>
      </c>
      <c r="E136" s="255">
        <v>1.84</v>
      </c>
      <c r="F136" s="266">
        <v>11.645569620253164</v>
      </c>
      <c r="G136" s="266">
        <f t="shared" si="26"/>
        <v>85.869565217391298</v>
      </c>
      <c r="H136" s="265">
        <f t="shared" si="27"/>
        <v>0.35758706467661688</v>
      </c>
      <c r="I136" s="265">
        <f t="shared" si="28"/>
        <v>0.2790178571428571</v>
      </c>
      <c r="J136" s="265">
        <f t="shared" si="29"/>
        <v>0.14172335600907029</v>
      </c>
      <c r="K136" s="258">
        <f t="shared" ca="1" si="30"/>
        <v>319.43478260869563</v>
      </c>
      <c r="L136" s="265">
        <f t="shared" si="31"/>
        <v>2.5249365671641786</v>
      </c>
      <c r="M136" s="265">
        <f t="shared" si="32"/>
        <v>1.500803571428571</v>
      </c>
      <c r="N136" s="265">
        <f t="shared" si="33"/>
        <v>0.82693877551020412</v>
      </c>
      <c r="O136" s="265">
        <f t="shared" ca="1" si="34"/>
        <v>324.28746152279854</v>
      </c>
      <c r="P136" s="265">
        <f t="shared" ca="1" si="35"/>
        <v>3.742589097572103</v>
      </c>
      <c r="Q136" s="258">
        <f t="shared" ca="1" si="36"/>
        <v>194.92391304347825</v>
      </c>
      <c r="R136" s="265">
        <f t="shared" si="37"/>
        <v>2.5249365671641786</v>
      </c>
      <c r="S136" s="265">
        <f t="shared" si="38"/>
        <v>1.500803571428571</v>
      </c>
      <c r="T136" s="265">
        <f t="shared" si="39"/>
        <v>0.82693877551020412</v>
      </c>
      <c r="U136" s="265">
        <f t="shared" ca="1" si="40"/>
        <v>199.77659195758122</v>
      </c>
      <c r="V136" s="265">
        <f t="shared" ca="1" si="41"/>
        <v>2.3056139497332664</v>
      </c>
      <c r="W136" s="258">
        <f t="shared" ca="1" si="42"/>
        <v>47.915217391304346</v>
      </c>
      <c r="X136" s="265">
        <f t="shared" si="43"/>
        <v>2.5249365671641786</v>
      </c>
      <c r="Y136" s="265">
        <f t="shared" si="44"/>
        <v>1.500803571428571</v>
      </c>
      <c r="Z136" s="265">
        <f t="shared" si="45"/>
        <v>0.82693877551020412</v>
      </c>
      <c r="AA136" s="265">
        <f t="shared" ca="1" si="46"/>
        <v>52.767896305407298</v>
      </c>
      <c r="AB136" s="265">
        <f t="shared" ca="1" si="47"/>
        <v>0.6089922579401007</v>
      </c>
      <c r="AC136" s="258"/>
      <c r="AD136" s="258"/>
      <c r="AE136" s="258"/>
      <c r="AF136" s="258"/>
      <c r="AG136" s="258"/>
      <c r="AH136" s="258"/>
      <c r="AI136" s="258"/>
      <c r="AJ136" s="258"/>
      <c r="AK136" s="258"/>
      <c r="AL136" s="258"/>
      <c r="AM136" s="258"/>
    </row>
    <row r="137" spans="3:39" x14ac:dyDescent="0.25">
      <c r="C137" s="255" t="s">
        <v>6070</v>
      </c>
      <c r="D137" s="255">
        <v>137</v>
      </c>
      <c r="E137" s="255">
        <v>1.82</v>
      </c>
      <c r="F137" s="266">
        <v>13.284671532846716</v>
      </c>
      <c r="G137" s="266">
        <f t="shared" si="26"/>
        <v>75.27472527472527</v>
      </c>
      <c r="H137" s="265">
        <f t="shared" si="27"/>
        <v>0.35758706467661688</v>
      </c>
      <c r="I137" s="265">
        <f t="shared" si="28"/>
        <v>0.2790178571428571</v>
      </c>
      <c r="J137" s="265">
        <f t="shared" si="29"/>
        <v>0.14172335600907029</v>
      </c>
      <c r="K137" s="258">
        <f t="shared" ca="1" si="30"/>
        <v>280.02197802197804</v>
      </c>
      <c r="L137" s="265">
        <f t="shared" si="31"/>
        <v>2.5249365671641786</v>
      </c>
      <c r="M137" s="265">
        <f t="shared" si="32"/>
        <v>1.500803571428571</v>
      </c>
      <c r="N137" s="265">
        <f t="shared" si="33"/>
        <v>0.82693877551020412</v>
      </c>
      <c r="O137" s="265">
        <f t="shared" ca="1" si="34"/>
        <v>284.87465693608095</v>
      </c>
      <c r="P137" s="265">
        <f t="shared" ca="1" si="35"/>
        <v>3.7457359518014384</v>
      </c>
      <c r="Q137" s="258">
        <f t="shared" ca="1" si="36"/>
        <v>170.87362637362637</v>
      </c>
      <c r="R137" s="265">
        <f t="shared" si="37"/>
        <v>2.5249365671641786</v>
      </c>
      <c r="S137" s="265">
        <f t="shared" si="38"/>
        <v>1.500803571428571</v>
      </c>
      <c r="T137" s="265">
        <f t="shared" si="39"/>
        <v>0.82693877551020412</v>
      </c>
      <c r="U137" s="265">
        <f t="shared" ca="1" si="40"/>
        <v>175.72630528772933</v>
      </c>
      <c r="V137" s="265">
        <f t="shared" ca="1" si="41"/>
        <v>2.310575277116254</v>
      </c>
      <c r="W137" s="258">
        <f t="shared" ca="1" si="42"/>
        <v>42.003296703296705</v>
      </c>
      <c r="X137" s="265">
        <f t="shared" si="43"/>
        <v>2.5249365671641786</v>
      </c>
      <c r="Y137" s="265">
        <f t="shared" si="44"/>
        <v>1.500803571428571</v>
      </c>
      <c r="Z137" s="265">
        <f t="shared" si="45"/>
        <v>0.82693877551020412</v>
      </c>
      <c r="AA137" s="265">
        <f t="shared" ca="1" si="46"/>
        <v>46.855975617399658</v>
      </c>
      <c r="AB137" s="265">
        <f t="shared" ca="1" si="47"/>
        <v>0.61609591500519389</v>
      </c>
      <c r="AC137" s="258"/>
      <c r="AD137" s="258"/>
      <c r="AE137" s="258"/>
      <c r="AF137" s="258"/>
      <c r="AG137" s="258"/>
      <c r="AH137" s="258"/>
      <c r="AI137" s="258"/>
      <c r="AJ137" s="258"/>
      <c r="AK137" s="258"/>
      <c r="AL137" s="258"/>
      <c r="AM137" s="258"/>
    </row>
    <row r="138" spans="3:39" x14ac:dyDescent="0.25">
      <c r="C138" s="255" t="s">
        <v>6071</v>
      </c>
      <c r="D138" s="255">
        <v>118</v>
      </c>
      <c r="E138" s="255">
        <v>1.81</v>
      </c>
      <c r="F138" s="266">
        <v>15.338983050847459</v>
      </c>
      <c r="G138" s="266">
        <f t="shared" si="26"/>
        <v>65.193370165745861</v>
      </c>
      <c r="H138" s="265">
        <f t="shared" si="27"/>
        <v>0.35758706467661688</v>
      </c>
      <c r="I138" s="265">
        <f t="shared" si="28"/>
        <v>0.2790178571428571</v>
      </c>
      <c r="J138" s="265">
        <f t="shared" si="29"/>
        <v>0.14172335600907029</v>
      </c>
      <c r="K138" s="258">
        <f t="shared" ca="1" si="30"/>
        <v>242.51933701657461</v>
      </c>
      <c r="L138" s="265">
        <f t="shared" si="31"/>
        <v>2.5249365671641786</v>
      </c>
      <c r="M138" s="265">
        <f t="shared" si="32"/>
        <v>1.500803571428571</v>
      </c>
      <c r="N138" s="265">
        <f t="shared" si="33"/>
        <v>0.82693877551020412</v>
      </c>
      <c r="O138" s="265">
        <f t="shared" ca="1" si="34"/>
        <v>247.37201593067758</v>
      </c>
      <c r="P138" s="265">
        <f t="shared" ca="1" si="35"/>
        <v>3.7496687483687396</v>
      </c>
      <c r="Q138" s="258">
        <f t="shared" ca="1" si="36"/>
        <v>147.98895027624312</v>
      </c>
      <c r="R138" s="265">
        <f t="shared" si="37"/>
        <v>2.5249365671641786</v>
      </c>
      <c r="S138" s="265">
        <f t="shared" si="38"/>
        <v>1.500803571428571</v>
      </c>
      <c r="T138" s="265">
        <f t="shared" si="39"/>
        <v>0.82693877551020412</v>
      </c>
      <c r="U138" s="265">
        <f t="shared" ca="1" si="40"/>
        <v>152.84162919034608</v>
      </c>
      <c r="V138" s="265">
        <f t="shared" ca="1" si="41"/>
        <v>2.3167757204412665</v>
      </c>
      <c r="W138" s="258">
        <f t="shared" ca="1" si="42"/>
        <v>36.377900552486196</v>
      </c>
      <c r="X138" s="265">
        <f t="shared" si="43"/>
        <v>2.5249365671641786</v>
      </c>
      <c r="Y138" s="265">
        <f t="shared" si="44"/>
        <v>1.500803571428571</v>
      </c>
      <c r="Z138" s="265">
        <f t="shared" si="45"/>
        <v>0.82693877551020412</v>
      </c>
      <c r="AA138" s="265">
        <f t="shared" ca="1" si="46"/>
        <v>41.230579466589148</v>
      </c>
      <c r="AB138" s="265">
        <f t="shared" ca="1" si="47"/>
        <v>0.62497374539862216</v>
      </c>
      <c r="AC138" s="258"/>
      <c r="AD138" s="258"/>
      <c r="AE138" s="258"/>
      <c r="AF138" s="258"/>
      <c r="AG138" s="258"/>
      <c r="AH138" s="258"/>
      <c r="AI138" s="258"/>
      <c r="AJ138" s="258"/>
      <c r="AK138" s="258"/>
      <c r="AL138" s="258"/>
      <c r="AM138" s="258"/>
    </row>
    <row r="139" spans="3:39" x14ac:dyDescent="0.25">
      <c r="C139" s="255" t="s">
        <v>6072</v>
      </c>
      <c r="D139" s="255">
        <v>96.8</v>
      </c>
      <c r="E139" s="255">
        <v>1.79</v>
      </c>
      <c r="F139" s="266">
        <v>18.491735537190081</v>
      </c>
      <c r="G139" s="266">
        <f t="shared" si="26"/>
        <v>54.07821229050279</v>
      </c>
      <c r="H139" s="265">
        <f t="shared" si="27"/>
        <v>0.35758706467661688</v>
      </c>
      <c r="I139" s="265">
        <f t="shared" si="28"/>
        <v>0.2790178571428571</v>
      </c>
      <c r="J139" s="265">
        <f t="shared" si="29"/>
        <v>0.14172335600907029</v>
      </c>
      <c r="K139" s="258">
        <f t="shared" ca="1" si="30"/>
        <v>201.17094972067039</v>
      </c>
      <c r="L139" s="265">
        <f t="shared" si="31"/>
        <v>2.5249365671641786</v>
      </c>
      <c r="M139" s="265">
        <f t="shared" si="32"/>
        <v>1.500803571428571</v>
      </c>
      <c r="N139" s="265">
        <f t="shared" si="33"/>
        <v>0.82693877551020412</v>
      </c>
      <c r="O139" s="265">
        <f t="shared" ca="1" si="34"/>
        <v>206.02362863477336</v>
      </c>
      <c r="P139" s="265">
        <f t="shared" ca="1" si="35"/>
        <v>3.7556802981067081</v>
      </c>
      <c r="Q139" s="258">
        <f t="shared" ca="1" si="36"/>
        <v>122.75754189944134</v>
      </c>
      <c r="R139" s="265">
        <f t="shared" si="37"/>
        <v>2.5249365671641786</v>
      </c>
      <c r="S139" s="265">
        <f t="shared" si="38"/>
        <v>1.500803571428571</v>
      </c>
      <c r="T139" s="265">
        <f t="shared" si="39"/>
        <v>0.82693877551020412</v>
      </c>
      <c r="U139" s="265">
        <f t="shared" ca="1" si="40"/>
        <v>127.61022081354429</v>
      </c>
      <c r="V139" s="265">
        <f t="shared" ca="1" si="41"/>
        <v>2.3262535240367241</v>
      </c>
      <c r="W139" s="258">
        <f t="shared" ca="1" si="42"/>
        <v>30.175642458100558</v>
      </c>
      <c r="X139" s="265">
        <f t="shared" si="43"/>
        <v>2.5249365671641786</v>
      </c>
      <c r="Y139" s="265">
        <f t="shared" si="44"/>
        <v>1.500803571428571</v>
      </c>
      <c r="Z139" s="265">
        <f t="shared" si="45"/>
        <v>0.82693877551020412</v>
      </c>
      <c r="AA139" s="265">
        <f t="shared" ca="1" si="46"/>
        <v>35.028321372203514</v>
      </c>
      <c r="AB139" s="265">
        <f t="shared" ca="1" si="47"/>
        <v>0.63854411906581943</v>
      </c>
      <c r="AC139" s="258"/>
      <c r="AD139" s="258"/>
      <c r="AE139" s="258"/>
      <c r="AF139" s="258"/>
      <c r="AG139" s="258"/>
      <c r="AH139" s="258"/>
      <c r="AI139" s="258"/>
      <c r="AJ139" s="258"/>
      <c r="AK139" s="258"/>
      <c r="AL139" s="258"/>
      <c r="AM139" s="258"/>
    </row>
    <row r="140" spans="3:39" x14ac:dyDescent="0.25">
      <c r="C140" s="255" t="s">
        <v>6073</v>
      </c>
      <c r="D140" s="255">
        <v>89.5</v>
      </c>
      <c r="E140" s="255">
        <v>1.5</v>
      </c>
      <c r="F140" s="266">
        <v>16.759776536312849</v>
      </c>
      <c r="G140" s="266">
        <f t="shared" si="26"/>
        <v>59.666666666666664</v>
      </c>
      <c r="H140" s="265">
        <f t="shared" si="27"/>
        <v>0.35758706467661688</v>
      </c>
      <c r="I140" s="265">
        <f t="shared" si="28"/>
        <v>0.2790178571428571</v>
      </c>
      <c r="J140" s="265">
        <f t="shared" si="29"/>
        <v>0.14172335600907029</v>
      </c>
      <c r="K140" s="258">
        <f t="shared" ca="1" si="30"/>
        <v>221.96</v>
      </c>
      <c r="L140" s="265">
        <f t="shared" si="31"/>
        <v>2.5249365671641786</v>
      </c>
      <c r="M140" s="265">
        <f t="shared" si="32"/>
        <v>1.500803571428571</v>
      </c>
      <c r="N140" s="265">
        <f t="shared" si="33"/>
        <v>0.82693877551020412</v>
      </c>
      <c r="O140" s="265">
        <f t="shared" ca="1" si="34"/>
        <v>226.81267891410297</v>
      </c>
      <c r="P140" s="265">
        <f t="shared" ca="1" si="35"/>
        <v>3.7523814688441637</v>
      </c>
      <c r="Q140" s="258">
        <f t="shared" ca="1" si="36"/>
        <v>135.44333333333333</v>
      </c>
      <c r="R140" s="265">
        <f t="shared" si="37"/>
        <v>2.5249365671641786</v>
      </c>
      <c r="S140" s="265">
        <f t="shared" si="38"/>
        <v>1.500803571428571</v>
      </c>
      <c r="T140" s="265">
        <f t="shared" si="39"/>
        <v>0.82693877551020412</v>
      </c>
      <c r="U140" s="265">
        <f t="shared" ca="1" si="40"/>
        <v>140.29601224743629</v>
      </c>
      <c r="V140" s="265">
        <f t="shared" ca="1" si="41"/>
        <v>2.3210525929610193</v>
      </c>
      <c r="W140" s="258">
        <f t="shared" ca="1" si="42"/>
        <v>33.294000000000004</v>
      </c>
      <c r="X140" s="265">
        <f t="shared" si="43"/>
        <v>2.5249365671641786</v>
      </c>
      <c r="Y140" s="265">
        <f t="shared" si="44"/>
        <v>1.500803571428571</v>
      </c>
      <c r="Z140" s="265">
        <f t="shared" si="45"/>
        <v>0.82693877551020412</v>
      </c>
      <c r="AA140" s="265">
        <f t="shared" ca="1" si="46"/>
        <v>38.146678914102957</v>
      </c>
      <c r="AB140" s="265">
        <f t="shared" ca="1" si="47"/>
        <v>0.63109739605623072</v>
      </c>
      <c r="AC140" s="258"/>
      <c r="AD140" s="258"/>
      <c r="AE140" s="258"/>
      <c r="AF140" s="258"/>
      <c r="AG140" s="258"/>
      <c r="AH140" s="258"/>
      <c r="AI140" s="258"/>
      <c r="AJ140" s="258"/>
      <c r="AK140" s="258"/>
      <c r="AL140" s="258"/>
      <c r="AM140" s="258"/>
    </row>
    <row r="141" spans="3:39" x14ac:dyDescent="0.25">
      <c r="C141" s="255" t="s">
        <v>6074</v>
      </c>
      <c r="D141" s="255">
        <v>72.900000000000006</v>
      </c>
      <c r="E141" s="255">
        <v>1.48</v>
      </c>
      <c r="F141" s="266">
        <v>20.301783264746224</v>
      </c>
      <c r="G141" s="266">
        <f t="shared" si="26"/>
        <v>49.256756756756758</v>
      </c>
      <c r="H141" s="265">
        <f t="shared" si="27"/>
        <v>0.35758706467661688</v>
      </c>
      <c r="I141" s="265">
        <f t="shared" si="28"/>
        <v>0.2790178571428571</v>
      </c>
      <c r="J141" s="265">
        <f t="shared" si="29"/>
        <v>0.14172335600907029</v>
      </c>
      <c r="K141" s="258">
        <f t="shared" ca="1" si="30"/>
        <v>183.23513513513515</v>
      </c>
      <c r="L141" s="265">
        <f t="shared" si="31"/>
        <v>2.5249365671641786</v>
      </c>
      <c r="M141" s="265">
        <f t="shared" si="32"/>
        <v>1.500803571428571</v>
      </c>
      <c r="N141" s="265">
        <f t="shared" si="33"/>
        <v>0.82693877551020412</v>
      </c>
      <c r="O141" s="265">
        <f t="shared" ca="1" si="34"/>
        <v>188.08781404923812</v>
      </c>
      <c r="P141" s="265">
        <f t="shared" ca="1" si="35"/>
        <v>3.7591185049296483</v>
      </c>
      <c r="Q141" s="258">
        <f t="shared" ca="1" si="36"/>
        <v>111.81283783783785</v>
      </c>
      <c r="R141" s="265">
        <f t="shared" si="37"/>
        <v>2.5249365671641786</v>
      </c>
      <c r="S141" s="265">
        <f t="shared" si="38"/>
        <v>1.500803571428571</v>
      </c>
      <c r="T141" s="265">
        <f t="shared" si="39"/>
        <v>0.82693877551020412</v>
      </c>
      <c r="U141" s="265">
        <f t="shared" ca="1" si="40"/>
        <v>116.6655167519408</v>
      </c>
      <c r="V141" s="265">
        <f t="shared" ca="1" si="41"/>
        <v>2.3316741976414979</v>
      </c>
      <c r="W141" s="258">
        <f t="shared" ca="1" si="42"/>
        <v>27.485270270270274</v>
      </c>
      <c r="X141" s="265">
        <f t="shared" si="43"/>
        <v>2.5249365671641786</v>
      </c>
      <c r="Y141" s="265">
        <f t="shared" si="44"/>
        <v>1.500803571428571</v>
      </c>
      <c r="Z141" s="265">
        <f t="shared" si="45"/>
        <v>0.82693877551020412</v>
      </c>
      <c r="AA141" s="265">
        <f t="shared" ca="1" si="46"/>
        <v>32.33794918437323</v>
      </c>
      <c r="AB141" s="265">
        <f t="shared" ca="1" si="47"/>
        <v>0.64630547069162692</v>
      </c>
      <c r="AC141" s="258"/>
      <c r="AD141" s="258"/>
      <c r="AE141" s="258"/>
      <c r="AF141" s="258"/>
      <c r="AG141" s="258"/>
      <c r="AH141" s="258"/>
      <c r="AI141" s="258"/>
      <c r="AJ141" s="258"/>
      <c r="AK141" s="258"/>
      <c r="AL141" s="258"/>
      <c r="AM141" s="258"/>
    </row>
    <row r="142" spans="3:39" x14ac:dyDescent="0.25">
      <c r="C142" s="255" t="s">
        <v>6075</v>
      </c>
      <c r="D142" s="255">
        <v>59.5</v>
      </c>
      <c r="E142" s="255">
        <v>1.22</v>
      </c>
      <c r="F142" s="266">
        <v>20.504201680672267</v>
      </c>
      <c r="G142" s="266">
        <f t="shared" si="26"/>
        <v>48.770491803278688</v>
      </c>
      <c r="H142" s="265">
        <f t="shared" si="27"/>
        <v>0.35758706467661688</v>
      </c>
      <c r="I142" s="265">
        <f t="shared" si="28"/>
        <v>0.2790178571428571</v>
      </c>
      <c r="J142" s="265">
        <f t="shared" si="29"/>
        <v>0.14172335600907029</v>
      </c>
      <c r="K142" s="258">
        <f t="shared" ca="1" si="30"/>
        <v>181.42622950819674</v>
      </c>
      <c r="L142" s="265">
        <f t="shared" si="31"/>
        <v>2.5249365671641786</v>
      </c>
      <c r="M142" s="265">
        <f t="shared" si="32"/>
        <v>1.500803571428571</v>
      </c>
      <c r="N142" s="265">
        <f t="shared" si="33"/>
        <v>0.82693877551020412</v>
      </c>
      <c r="O142" s="265">
        <f t="shared" ca="1" si="34"/>
        <v>186.27890842229971</v>
      </c>
      <c r="P142" s="265">
        <f t="shared" ca="1" si="35"/>
        <v>3.759502408278883</v>
      </c>
      <c r="Q142" s="258">
        <f t="shared" ca="1" si="36"/>
        <v>110.70901639344262</v>
      </c>
      <c r="R142" s="265">
        <f t="shared" si="37"/>
        <v>2.5249365671641786</v>
      </c>
      <c r="S142" s="265">
        <f t="shared" si="38"/>
        <v>1.500803571428571</v>
      </c>
      <c r="T142" s="265">
        <f t="shared" si="39"/>
        <v>0.82693877551020412</v>
      </c>
      <c r="U142" s="265">
        <f t="shared" ca="1" si="40"/>
        <v>115.56169530754558</v>
      </c>
      <c r="V142" s="265">
        <f t="shared" ca="1" si="41"/>
        <v>2.332279459296525</v>
      </c>
      <c r="W142" s="258">
        <f t="shared" ca="1" si="42"/>
        <v>27.21393442622951</v>
      </c>
      <c r="X142" s="265">
        <f t="shared" si="43"/>
        <v>2.5249365671641786</v>
      </c>
      <c r="Y142" s="265">
        <f t="shared" si="44"/>
        <v>1.500803571428571</v>
      </c>
      <c r="Z142" s="265">
        <f t="shared" si="45"/>
        <v>0.82693877551020412</v>
      </c>
      <c r="AA142" s="265">
        <f t="shared" ca="1" si="46"/>
        <v>32.066613340332466</v>
      </c>
      <c r="AB142" s="265">
        <f t="shared" ca="1" si="47"/>
        <v>0.64717208780839042</v>
      </c>
      <c r="AC142" s="258"/>
      <c r="AD142" s="258"/>
      <c r="AE142" s="258"/>
      <c r="AF142" s="258"/>
      <c r="AG142" s="258"/>
      <c r="AH142" s="258"/>
      <c r="AI142" s="258"/>
      <c r="AJ142" s="258"/>
      <c r="AK142" s="258"/>
      <c r="AL142" s="258"/>
      <c r="AM142" s="258"/>
    </row>
    <row r="143" spans="3:39" x14ac:dyDescent="0.25">
      <c r="C143" s="255" t="s">
        <v>6076</v>
      </c>
      <c r="D143" s="255">
        <v>52.2</v>
      </c>
      <c r="E143" s="255">
        <v>1.19</v>
      </c>
      <c r="F143" s="266">
        <v>22.796934865900379</v>
      </c>
      <c r="G143" s="266">
        <f t="shared" si="26"/>
        <v>43.865546218487403</v>
      </c>
      <c r="H143" s="265">
        <f t="shared" si="27"/>
        <v>0.35758706467661688</v>
      </c>
      <c r="I143" s="265">
        <f t="shared" si="28"/>
        <v>0.2790178571428571</v>
      </c>
      <c r="J143" s="265">
        <f t="shared" si="29"/>
        <v>0.14172335600907029</v>
      </c>
      <c r="K143" s="258">
        <f t="shared" ca="1" si="30"/>
        <v>163.17983193277314</v>
      </c>
      <c r="L143" s="265">
        <f t="shared" si="31"/>
        <v>2.5249365671641786</v>
      </c>
      <c r="M143" s="265">
        <f t="shared" si="32"/>
        <v>1.500803571428571</v>
      </c>
      <c r="N143" s="265">
        <f t="shared" si="33"/>
        <v>0.82693877551020412</v>
      </c>
      <c r="O143" s="265">
        <f t="shared" ca="1" si="34"/>
        <v>168.03251084687611</v>
      </c>
      <c r="P143" s="265">
        <f t="shared" ca="1" si="35"/>
        <v>3.7638424698273512</v>
      </c>
      <c r="Q143" s="258">
        <f t="shared" ca="1" si="36"/>
        <v>99.574789915966406</v>
      </c>
      <c r="R143" s="265">
        <f t="shared" si="37"/>
        <v>2.5249365671641786</v>
      </c>
      <c r="S143" s="265">
        <f t="shared" si="38"/>
        <v>1.500803571428571</v>
      </c>
      <c r="T143" s="265">
        <f t="shared" si="39"/>
        <v>0.82693877551020412</v>
      </c>
      <c r="U143" s="265">
        <f t="shared" ca="1" si="40"/>
        <v>104.42746883006936</v>
      </c>
      <c r="V143" s="265">
        <f t="shared" ca="1" si="41"/>
        <v>2.3391219962032377</v>
      </c>
      <c r="W143" s="258">
        <f t="shared" ca="1" si="42"/>
        <v>24.476974789915975</v>
      </c>
      <c r="X143" s="265">
        <f t="shared" si="43"/>
        <v>2.5249365671641786</v>
      </c>
      <c r="Y143" s="265">
        <f t="shared" si="44"/>
        <v>1.500803571428571</v>
      </c>
      <c r="Z143" s="265">
        <f t="shared" si="45"/>
        <v>0.82693877551020412</v>
      </c>
      <c r="AA143" s="265">
        <f t="shared" ca="1" si="46"/>
        <v>29.329653704018927</v>
      </c>
      <c r="AB143" s="265">
        <f t="shared" ca="1" si="47"/>
        <v>0.65696927148290496</v>
      </c>
      <c r="AC143" s="258"/>
      <c r="AD143" s="258"/>
      <c r="AE143" s="258"/>
      <c r="AF143" s="258"/>
      <c r="AG143" s="258"/>
      <c r="AH143" s="258"/>
      <c r="AI143" s="258"/>
      <c r="AJ143" s="258"/>
      <c r="AK143" s="258"/>
      <c r="AL143" s="258"/>
      <c r="AM143" s="258"/>
    </row>
    <row r="144" spans="3:39" x14ac:dyDescent="0.25">
      <c r="C144" s="255" t="s">
        <v>6077</v>
      </c>
      <c r="D144" s="255">
        <v>46.2</v>
      </c>
      <c r="E144" s="255">
        <v>1.18</v>
      </c>
      <c r="F144" s="266">
        <v>25.541125541125538</v>
      </c>
      <c r="G144" s="266">
        <f t="shared" si="26"/>
        <v>39.152542372881364</v>
      </c>
      <c r="H144" s="265">
        <f t="shared" si="27"/>
        <v>0.35758706467661688</v>
      </c>
      <c r="I144" s="265">
        <f t="shared" si="28"/>
        <v>0.2790178571428571</v>
      </c>
      <c r="J144" s="265">
        <f t="shared" si="29"/>
        <v>0.14172335600907029</v>
      </c>
      <c r="K144" s="258">
        <f t="shared" ca="1" si="30"/>
        <v>145.64745762711868</v>
      </c>
      <c r="L144" s="265">
        <f t="shared" si="31"/>
        <v>2.5249365671641786</v>
      </c>
      <c r="M144" s="265">
        <f t="shared" si="32"/>
        <v>1.500803571428571</v>
      </c>
      <c r="N144" s="265">
        <f t="shared" si="33"/>
        <v>0.82693877551020412</v>
      </c>
      <c r="O144" s="265">
        <f t="shared" ca="1" si="34"/>
        <v>150.50013654122165</v>
      </c>
      <c r="P144" s="265">
        <f t="shared" ca="1" si="35"/>
        <v>3.7690171561171808</v>
      </c>
      <c r="Q144" s="258">
        <f t="shared" ca="1" si="36"/>
        <v>88.87627118644069</v>
      </c>
      <c r="R144" s="265">
        <f t="shared" si="37"/>
        <v>2.5249365671641786</v>
      </c>
      <c r="S144" s="265">
        <f t="shared" si="38"/>
        <v>1.500803571428571</v>
      </c>
      <c r="T144" s="265">
        <f t="shared" si="39"/>
        <v>0.82693877551020412</v>
      </c>
      <c r="U144" s="265">
        <f t="shared" ca="1" si="40"/>
        <v>93.728950100543642</v>
      </c>
      <c r="V144" s="265">
        <f t="shared" ca="1" si="41"/>
        <v>2.3472804016828341</v>
      </c>
      <c r="W144" s="258">
        <f t="shared" ca="1" si="42"/>
        <v>21.847118644067802</v>
      </c>
      <c r="X144" s="265">
        <f t="shared" si="43"/>
        <v>2.5249365671641786</v>
      </c>
      <c r="Y144" s="265">
        <f t="shared" si="44"/>
        <v>1.500803571428571</v>
      </c>
      <c r="Z144" s="265">
        <f t="shared" si="45"/>
        <v>0.82693877551020412</v>
      </c>
      <c r="AA144" s="265">
        <f t="shared" ca="1" si="46"/>
        <v>26.699797558170754</v>
      </c>
      <c r="AB144" s="265">
        <f t="shared" ca="1" si="47"/>
        <v>0.66865052334379982</v>
      </c>
      <c r="AC144" s="258"/>
      <c r="AD144" s="258"/>
      <c r="AE144" s="258"/>
      <c r="AF144" s="258"/>
      <c r="AG144" s="258"/>
      <c r="AH144" s="258"/>
      <c r="AI144" s="258"/>
      <c r="AJ144" s="258"/>
      <c r="AK144" s="258"/>
      <c r="AL144" s="258"/>
      <c r="AM144" s="258"/>
    </row>
    <row r="145" spans="3:39" x14ac:dyDescent="0.25">
      <c r="C145" s="255" t="s">
        <v>6078</v>
      </c>
      <c r="D145" s="255">
        <v>37.200000000000003</v>
      </c>
      <c r="E145" s="255">
        <v>0.90800000000000003</v>
      </c>
      <c r="F145" s="266">
        <v>24.408602150537632</v>
      </c>
      <c r="G145" s="266">
        <f t="shared" si="26"/>
        <v>40.969162995594715</v>
      </c>
      <c r="H145" s="265">
        <f t="shared" si="27"/>
        <v>0.35758706467661688</v>
      </c>
      <c r="I145" s="265">
        <f t="shared" si="28"/>
        <v>0.2790178571428571</v>
      </c>
      <c r="J145" s="265">
        <f t="shared" si="29"/>
        <v>0.14172335600907029</v>
      </c>
      <c r="K145" s="258">
        <f t="shared" ca="1" si="30"/>
        <v>152.40528634361235</v>
      </c>
      <c r="L145" s="265">
        <f t="shared" si="31"/>
        <v>2.5249365671641786</v>
      </c>
      <c r="M145" s="265">
        <f t="shared" si="32"/>
        <v>1.500803571428571</v>
      </c>
      <c r="N145" s="265">
        <f t="shared" si="33"/>
        <v>0.82693877551020412</v>
      </c>
      <c r="O145" s="265">
        <f t="shared" ca="1" si="34"/>
        <v>157.25796525771531</v>
      </c>
      <c r="P145" s="265">
        <f t="shared" ca="1" si="35"/>
        <v>3.7668841997657192</v>
      </c>
      <c r="Q145" s="258">
        <f t="shared" ca="1" si="36"/>
        <v>93</v>
      </c>
      <c r="R145" s="265">
        <f t="shared" si="37"/>
        <v>2.5249365671641786</v>
      </c>
      <c r="S145" s="265">
        <f t="shared" si="38"/>
        <v>1.500803571428571</v>
      </c>
      <c r="T145" s="265">
        <f t="shared" si="39"/>
        <v>0.82693877551020412</v>
      </c>
      <c r="U145" s="265">
        <f t="shared" ca="1" si="40"/>
        <v>97.852678914102952</v>
      </c>
      <c r="V145" s="265">
        <f t="shared" ca="1" si="41"/>
        <v>2.3439175847291365</v>
      </c>
      <c r="W145" s="258">
        <f t="shared" ca="1" si="42"/>
        <v>22.860792951541853</v>
      </c>
      <c r="X145" s="265">
        <f t="shared" si="43"/>
        <v>2.5249365671641786</v>
      </c>
      <c r="Y145" s="265">
        <f t="shared" si="44"/>
        <v>1.500803571428571</v>
      </c>
      <c r="Z145" s="265">
        <f t="shared" si="45"/>
        <v>0.82693877551020412</v>
      </c>
      <c r="AA145" s="265">
        <f t="shared" ca="1" si="46"/>
        <v>27.713471865644806</v>
      </c>
      <c r="AB145" s="265">
        <f t="shared" ca="1" si="47"/>
        <v>0.66383562269973795</v>
      </c>
      <c r="AC145" s="258"/>
      <c r="AD145" s="258"/>
      <c r="AE145" s="258"/>
      <c r="AF145" s="258"/>
      <c r="AG145" s="258"/>
      <c r="AH145" s="258"/>
      <c r="AI145" s="258"/>
      <c r="AJ145" s="258"/>
      <c r="AK145" s="258"/>
      <c r="AL145" s="258"/>
      <c r="AM145" s="258"/>
    </row>
    <row r="146" spans="3:39" x14ac:dyDescent="0.25">
      <c r="C146" s="255" t="s">
        <v>6079</v>
      </c>
      <c r="D146" s="267">
        <v>30</v>
      </c>
      <c r="E146" s="255">
        <v>0.89900000000000002</v>
      </c>
      <c r="F146" s="266">
        <v>29.966666666666665</v>
      </c>
      <c r="G146" s="266">
        <f t="shared" si="26"/>
        <v>33.370411568409345</v>
      </c>
      <c r="H146" s="265">
        <f t="shared" si="27"/>
        <v>0.35758706467661688</v>
      </c>
      <c r="I146" s="265">
        <f t="shared" si="28"/>
        <v>0.2790178571428571</v>
      </c>
      <c r="J146" s="265">
        <f t="shared" si="29"/>
        <v>0.14172335600907029</v>
      </c>
      <c r="K146" s="258">
        <f t="shared" ca="1" si="30"/>
        <v>124.13793103448278</v>
      </c>
      <c r="L146" s="265">
        <f t="shared" si="31"/>
        <v>2.5249365671641786</v>
      </c>
      <c r="M146" s="265">
        <f t="shared" si="32"/>
        <v>1.500803571428571</v>
      </c>
      <c r="N146" s="265">
        <f t="shared" si="33"/>
        <v>0.82693877551020412</v>
      </c>
      <c r="O146" s="265">
        <f t="shared" ca="1" si="34"/>
        <v>128.99060994858573</v>
      </c>
      <c r="P146" s="265">
        <f t="shared" ca="1" si="35"/>
        <v>3.7773168359767868</v>
      </c>
      <c r="Q146" s="258">
        <f t="shared" ca="1" si="36"/>
        <v>75.75083426028921</v>
      </c>
      <c r="R146" s="265">
        <f t="shared" si="37"/>
        <v>2.5249365671641786</v>
      </c>
      <c r="S146" s="265">
        <f t="shared" si="38"/>
        <v>1.500803571428571</v>
      </c>
      <c r="T146" s="265">
        <f t="shared" si="39"/>
        <v>0.82693877551020412</v>
      </c>
      <c r="U146" s="265">
        <f t="shared" ca="1" si="40"/>
        <v>80.603513174392162</v>
      </c>
      <c r="V146" s="265">
        <f t="shared" ca="1" si="41"/>
        <v>2.3603656690503652</v>
      </c>
      <c r="W146" s="258">
        <f t="shared" ca="1" si="42"/>
        <v>18.620689655172416</v>
      </c>
      <c r="X146" s="265">
        <f t="shared" si="43"/>
        <v>2.5249365671641786</v>
      </c>
      <c r="Y146" s="265">
        <f t="shared" si="44"/>
        <v>1.500803571428571</v>
      </c>
      <c r="Z146" s="265">
        <f t="shared" si="45"/>
        <v>0.82693877551020412</v>
      </c>
      <c r="AA146" s="265">
        <f t="shared" ca="1" si="46"/>
        <v>23.473368569275369</v>
      </c>
      <c r="AB146" s="265">
        <f t="shared" ca="1" si="47"/>
        <v>0.68738608437586002</v>
      </c>
      <c r="AC146" s="258"/>
      <c r="AD146" s="258"/>
      <c r="AE146" s="258"/>
      <c r="AF146" s="258"/>
      <c r="AG146" s="258"/>
      <c r="AH146" s="258"/>
      <c r="AI146" s="258"/>
      <c r="AJ146" s="258"/>
      <c r="AK146" s="258"/>
      <c r="AL146" s="258"/>
      <c r="AM146" s="258"/>
    </row>
    <row r="147" spans="3:39" x14ac:dyDescent="0.25">
      <c r="C147" s="255" t="s">
        <v>6080</v>
      </c>
      <c r="D147" s="255">
        <v>23.4</v>
      </c>
      <c r="E147" s="255">
        <v>0.88500000000000001</v>
      </c>
      <c r="F147" s="266">
        <v>37.820512820512825</v>
      </c>
      <c r="G147" s="266">
        <f t="shared" si="26"/>
        <v>26.440677966101692</v>
      </c>
      <c r="H147" s="265">
        <f t="shared" si="27"/>
        <v>0.35758706467661688</v>
      </c>
      <c r="I147" s="265">
        <f t="shared" si="28"/>
        <v>0.2790178571428571</v>
      </c>
      <c r="J147" s="265">
        <f t="shared" si="29"/>
        <v>0.14172335600907029</v>
      </c>
      <c r="K147" s="258">
        <f t="shared" ca="1" si="30"/>
        <v>98.359322033898295</v>
      </c>
      <c r="L147" s="265">
        <f t="shared" si="31"/>
        <v>2.5249365671641786</v>
      </c>
      <c r="M147" s="265">
        <f t="shared" si="32"/>
        <v>1.500803571428571</v>
      </c>
      <c r="N147" s="265">
        <f t="shared" si="33"/>
        <v>0.82693877551020412</v>
      </c>
      <c r="O147" s="265">
        <f t="shared" ca="1" si="34"/>
        <v>103.21200094800125</v>
      </c>
      <c r="P147" s="265">
        <f t="shared" ca="1" si="35"/>
        <v>3.79190922780354</v>
      </c>
      <c r="Q147" s="258">
        <f t="shared" ca="1" si="36"/>
        <v>60.020338983050841</v>
      </c>
      <c r="R147" s="265">
        <f t="shared" si="37"/>
        <v>2.5249365671641786</v>
      </c>
      <c r="S147" s="265">
        <f t="shared" si="38"/>
        <v>1.500803571428571</v>
      </c>
      <c r="T147" s="265">
        <f t="shared" si="39"/>
        <v>0.82693877551020412</v>
      </c>
      <c r="U147" s="265">
        <f t="shared" ca="1" si="40"/>
        <v>64.873017897153787</v>
      </c>
      <c r="V147" s="265">
        <f t="shared" ca="1" si="41"/>
        <v>2.3833720201162851</v>
      </c>
      <c r="W147" s="258">
        <f t="shared" ca="1" si="42"/>
        <v>14.753898305084746</v>
      </c>
      <c r="X147" s="265">
        <f t="shared" si="43"/>
        <v>2.5249365671641786</v>
      </c>
      <c r="Y147" s="265">
        <f t="shared" si="44"/>
        <v>1.500803571428571</v>
      </c>
      <c r="Z147" s="265">
        <f t="shared" si="45"/>
        <v>0.82693877551020412</v>
      </c>
      <c r="AA147" s="265">
        <f t="shared" ca="1" si="46"/>
        <v>19.606577219187699</v>
      </c>
      <c r="AB147" s="265">
        <f t="shared" ca="1" si="47"/>
        <v>0.72032671007450577</v>
      </c>
      <c r="AC147" s="258"/>
      <c r="AD147" s="258"/>
      <c r="AE147" s="258"/>
      <c r="AF147" s="258"/>
      <c r="AG147" s="258"/>
      <c r="AH147" s="258"/>
      <c r="AI147" s="258"/>
      <c r="AJ147" s="258"/>
      <c r="AK147" s="258"/>
      <c r="AL147" s="258"/>
      <c r="AM147" s="258"/>
    </row>
    <row r="148" spans="3:39" x14ac:dyDescent="0.25">
      <c r="C148" s="255" t="s">
        <v>6081</v>
      </c>
      <c r="D148" s="255">
        <v>14.8</v>
      </c>
      <c r="E148" s="255">
        <v>0.56299999999999994</v>
      </c>
      <c r="F148" s="266">
        <v>38.040540540540533</v>
      </c>
      <c r="G148" s="266">
        <f t="shared" si="26"/>
        <v>26.287744227353468</v>
      </c>
      <c r="H148" s="265">
        <f t="shared" si="27"/>
        <v>0.35758706467661688</v>
      </c>
      <c r="I148" s="265">
        <f t="shared" si="28"/>
        <v>0.2790178571428571</v>
      </c>
      <c r="J148" s="265">
        <f t="shared" si="29"/>
        <v>0.14172335600907029</v>
      </c>
      <c r="K148" s="258">
        <f t="shared" ca="1" si="30"/>
        <v>97.790408525754899</v>
      </c>
      <c r="L148" s="265">
        <f t="shared" si="31"/>
        <v>2.5249365671641786</v>
      </c>
      <c r="M148" s="265">
        <f t="shared" si="32"/>
        <v>1.500803571428571</v>
      </c>
      <c r="N148" s="265">
        <f t="shared" si="33"/>
        <v>0.82693877551020412</v>
      </c>
      <c r="O148" s="265">
        <f t="shared" ca="1" si="34"/>
        <v>102.64308743985785</v>
      </c>
      <c r="P148" s="265">
        <f t="shared" ca="1" si="35"/>
        <v>3.7923155426486801</v>
      </c>
      <c r="Q148" s="258">
        <f t="shared" ca="1" si="36"/>
        <v>59.673179396092372</v>
      </c>
      <c r="R148" s="265">
        <f t="shared" si="37"/>
        <v>2.5249365671641786</v>
      </c>
      <c r="S148" s="265">
        <f t="shared" si="38"/>
        <v>1.500803571428571</v>
      </c>
      <c r="T148" s="265">
        <f t="shared" si="39"/>
        <v>0.82693877551020412</v>
      </c>
      <c r="U148" s="265">
        <f t="shared" ca="1" si="40"/>
        <v>64.525858310195318</v>
      </c>
      <c r="V148" s="265">
        <f t="shared" ca="1" si="41"/>
        <v>2.3840126157144272</v>
      </c>
      <c r="W148" s="258">
        <f t="shared" ca="1" si="42"/>
        <v>14.668561278863237</v>
      </c>
      <c r="X148" s="265">
        <f t="shared" si="43"/>
        <v>2.5249365671641786</v>
      </c>
      <c r="Y148" s="265">
        <f t="shared" si="44"/>
        <v>1.500803571428571</v>
      </c>
      <c r="Z148" s="265">
        <f t="shared" si="45"/>
        <v>0.82693877551020412</v>
      </c>
      <c r="AA148" s="265">
        <f t="shared" ca="1" si="46"/>
        <v>19.521240192966189</v>
      </c>
      <c r="AB148" s="265">
        <f t="shared" ca="1" si="47"/>
        <v>0.72124391853412395</v>
      </c>
      <c r="AC148" s="258"/>
      <c r="AD148" s="258"/>
      <c r="AE148" s="258"/>
      <c r="AF148" s="258"/>
      <c r="AG148" s="258"/>
      <c r="AH148" s="258"/>
      <c r="AI148" s="258"/>
      <c r="AJ148" s="258"/>
      <c r="AK148" s="258"/>
      <c r="AL148" s="258"/>
      <c r="AM148" s="258"/>
    </row>
    <row r="149" spans="3:39" x14ac:dyDescent="0.25">
      <c r="C149" s="255" t="s">
        <v>6082</v>
      </c>
      <c r="D149" s="255">
        <v>455</v>
      </c>
      <c r="E149" s="255">
        <v>4.37</v>
      </c>
      <c r="F149" s="266">
        <v>9.604395604395604</v>
      </c>
      <c r="G149" s="266">
        <f t="shared" si="26"/>
        <v>104.11899313501144</v>
      </c>
      <c r="H149" s="265">
        <f t="shared" si="27"/>
        <v>0.35758706467661688</v>
      </c>
      <c r="I149" s="265">
        <f t="shared" si="28"/>
        <v>0.2790178571428571</v>
      </c>
      <c r="J149" s="265">
        <f t="shared" si="29"/>
        <v>0.14172335600907029</v>
      </c>
      <c r="K149" s="258">
        <f t="shared" ca="1" si="30"/>
        <v>387.32265446224255</v>
      </c>
      <c r="L149" s="265">
        <f t="shared" si="31"/>
        <v>2.5249365671641786</v>
      </c>
      <c r="M149" s="265">
        <f t="shared" si="32"/>
        <v>1.500803571428571</v>
      </c>
      <c r="N149" s="265">
        <f t="shared" si="33"/>
        <v>0.82693877551020412</v>
      </c>
      <c r="O149" s="265">
        <f t="shared" ca="1" si="34"/>
        <v>392.17533337634546</v>
      </c>
      <c r="P149" s="265">
        <f t="shared" ca="1" si="35"/>
        <v>3.7386591773194806</v>
      </c>
      <c r="Q149" s="258">
        <f t="shared" ca="1" si="36"/>
        <v>236.35011441647598</v>
      </c>
      <c r="R149" s="265">
        <f t="shared" si="37"/>
        <v>2.5249365671641786</v>
      </c>
      <c r="S149" s="265">
        <f t="shared" si="38"/>
        <v>1.500803571428571</v>
      </c>
      <c r="T149" s="265">
        <f t="shared" si="39"/>
        <v>0.82693877551020412</v>
      </c>
      <c r="U149" s="265">
        <f t="shared" ca="1" si="40"/>
        <v>241.20279333057894</v>
      </c>
      <c r="V149" s="265">
        <f t="shared" ca="1" si="41"/>
        <v>2.2994180412032375</v>
      </c>
      <c r="W149" s="258">
        <f t="shared" ca="1" si="42"/>
        <v>58.098398169336384</v>
      </c>
      <c r="X149" s="265">
        <f t="shared" si="43"/>
        <v>2.5249365671641786</v>
      </c>
      <c r="Y149" s="265">
        <f t="shared" si="44"/>
        <v>1.500803571428571</v>
      </c>
      <c r="Z149" s="265">
        <f t="shared" si="45"/>
        <v>0.82693877551020412</v>
      </c>
      <c r="AA149" s="265">
        <f t="shared" ca="1" si="46"/>
        <v>62.951077083439337</v>
      </c>
      <c r="AB149" s="265">
        <f t="shared" ca="1" si="47"/>
        <v>0.60012092049219656</v>
      </c>
      <c r="AC149" s="258"/>
      <c r="AD149" s="258"/>
      <c r="AE149" s="258"/>
      <c r="AF149" s="258"/>
      <c r="AG149" s="258"/>
      <c r="AH149" s="258"/>
      <c r="AI149" s="258"/>
      <c r="AJ149" s="258"/>
      <c r="AK149" s="258"/>
      <c r="AL149" s="258"/>
      <c r="AM149" s="258"/>
    </row>
    <row r="150" spans="3:39" x14ac:dyDescent="0.25">
      <c r="C150" s="255" t="s">
        <v>6083</v>
      </c>
      <c r="D150" s="255">
        <v>423</v>
      </c>
      <c r="E150" s="255">
        <v>4.3499999999999996</v>
      </c>
      <c r="F150" s="266">
        <v>10.283687943262411</v>
      </c>
      <c r="G150" s="266">
        <f t="shared" si="26"/>
        <v>97.24137931034484</v>
      </c>
      <c r="H150" s="265">
        <f t="shared" si="27"/>
        <v>0.35758706467661688</v>
      </c>
      <c r="I150" s="265">
        <f t="shared" si="28"/>
        <v>0.2790178571428571</v>
      </c>
      <c r="J150" s="265">
        <f t="shared" si="29"/>
        <v>0.14172335600907029</v>
      </c>
      <c r="K150" s="258">
        <f t="shared" ca="1" si="30"/>
        <v>361.73793103448281</v>
      </c>
      <c r="L150" s="265">
        <f t="shared" si="31"/>
        <v>2.5249365671641786</v>
      </c>
      <c r="M150" s="265">
        <f t="shared" si="32"/>
        <v>1.500803571428571</v>
      </c>
      <c r="N150" s="265">
        <f t="shared" si="33"/>
        <v>0.82693877551020412</v>
      </c>
      <c r="O150" s="265">
        <f t="shared" ca="1" si="34"/>
        <v>366.59060994858572</v>
      </c>
      <c r="P150" s="265">
        <f t="shared" ca="1" si="35"/>
        <v>3.7399684101160986</v>
      </c>
      <c r="Q150" s="258">
        <f t="shared" ca="1" si="36"/>
        <v>220.73793103448278</v>
      </c>
      <c r="R150" s="265">
        <f t="shared" si="37"/>
        <v>2.5249365671641786</v>
      </c>
      <c r="S150" s="265">
        <f t="shared" si="38"/>
        <v>1.500803571428571</v>
      </c>
      <c r="T150" s="265">
        <f t="shared" si="39"/>
        <v>0.82693877551020412</v>
      </c>
      <c r="U150" s="265">
        <f t="shared" ca="1" si="40"/>
        <v>225.59060994858575</v>
      </c>
      <c r="V150" s="265">
        <f t="shared" ca="1" si="41"/>
        <v>2.3014821763843383</v>
      </c>
      <c r="W150" s="258">
        <f t="shared" ca="1" si="42"/>
        <v>54.260689655172428</v>
      </c>
      <c r="X150" s="265">
        <f t="shared" si="43"/>
        <v>2.5249365671641786</v>
      </c>
      <c r="Y150" s="265">
        <f t="shared" si="44"/>
        <v>1.500803571428571</v>
      </c>
      <c r="Z150" s="265">
        <f t="shared" si="45"/>
        <v>0.82693877551020412</v>
      </c>
      <c r="AA150" s="265">
        <f t="shared" ca="1" si="46"/>
        <v>59.11336856927538</v>
      </c>
      <c r="AB150" s="265">
        <f t="shared" ca="1" si="47"/>
        <v>0.60307636110932172</v>
      </c>
      <c r="AC150" s="258"/>
      <c r="AD150" s="258"/>
      <c r="AE150" s="258"/>
      <c r="AF150" s="258"/>
      <c r="AG150" s="258"/>
      <c r="AH150" s="258"/>
      <c r="AI150" s="258"/>
      <c r="AJ150" s="258"/>
      <c r="AK150" s="258"/>
      <c r="AL150" s="258"/>
      <c r="AM150" s="258"/>
    </row>
    <row r="151" spans="3:39" x14ac:dyDescent="0.25">
      <c r="C151" s="255" t="s">
        <v>6084</v>
      </c>
      <c r="D151" s="255">
        <v>392</v>
      </c>
      <c r="E151" s="255">
        <v>4.34</v>
      </c>
      <c r="F151" s="266">
        <v>11.071428571428571</v>
      </c>
      <c r="G151" s="266">
        <f t="shared" si="26"/>
        <v>90.322580645161295</v>
      </c>
      <c r="H151" s="265">
        <f t="shared" si="27"/>
        <v>0.35758706467661688</v>
      </c>
      <c r="I151" s="265">
        <f t="shared" si="28"/>
        <v>0.2790178571428571</v>
      </c>
      <c r="J151" s="265">
        <f t="shared" si="29"/>
        <v>0.14172335600907029</v>
      </c>
      <c r="K151" s="258">
        <f t="shared" ca="1" si="30"/>
        <v>336.00000000000006</v>
      </c>
      <c r="L151" s="265">
        <f t="shared" si="31"/>
        <v>2.5249365671641786</v>
      </c>
      <c r="M151" s="265">
        <f t="shared" si="32"/>
        <v>1.500803571428571</v>
      </c>
      <c r="N151" s="265">
        <f t="shared" si="33"/>
        <v>0.82693877551020412</v>
      </c>
      <c r="O151" s="265">
        <f t="shared" ca="1" si="34"/>
        <v>340.85267891410297</v>
      </c>
      <c r="P151" s="265">
        <f t="shared" ca="1" si="35"/>
        <v>3.7414849417390039</v>
      </c>
      <c r="Q151" s="258">
        <f t="shared" ca="1" si="36"/>
        <v>205.03225806451613</v>
      </c>
      <c r="R151" s="265">
        <f t="shared" si="37"/>
        <v>2.5249365671641786</v>
      </c>
      <c r="S151" s="265">
        <f t="shared" si="38"/>
        <v>1.500803571428571</v>
      </c>
      <c r="T151" s="265">
        <f t="shared" si="39"/>
        <v>0.82693877551020412</v>
      </c>
      <c r="U151" s="265">
        <f t="shared" ca="1" si="40"/>
        <v>209.88493697861909</v>
      </c>
      <c r="V151" s="265">
        <f t="shared" ca="1" si="41"/>
        <v>2.3038731386976692</v>
      </c>
      <c r="W151" s="258">
        <f t="shared" ca="1" si="42"/>
        <v>50.400000000000006</v>
      </c>
      <c r="X151" s="265">
        <f t="shared" si="43"/>
        <v>2.5249365671641786</v>
      </c>
      <c r="Y151" s="265">
        <f t="shared" si="44"/>
        <v>1.500803571428571</v>
      </c>
      <c r="Z151" s="265">
        <f t="shared" si="45"/>
        <v>0.82693877551020412</v>
      </c>
      <c r="AA151" s="265">
        <f t="shared" ca="1" si="46"/>
        <v>55.252678914102958</v>
      </c>
      <c r="AB151" s="265">
        <f t="shared" ca="1" si="47"/>
        <v>0.6064997546930031</v>
      </c>
      <c r="AC151" s="258"/>
      <c r="AD151" s="258"/>
      <c r="AE151" s="258"/>
      <c r="AF151" s="258"/>
      <c r="AG151" s="258"/>
      <c r="AH151" s="258"/>
      <c r="AI151" s="258"/>
      <c r="AJ151" s="258"/>
      <c r="AK151" s="258"/>
      <c r="AL151" s="258"/>
      <c r="AM151" s="258"/>
    </row>
    <row r="152" spans="3:39" x14ac:dyDescent="0.25">
      <c r="C152" s="255" t="s">
        <v>6085</v>
      </c>
      <c r="D152" s="255">
        <v>342</v>
      </c>
      <c r="E152" s="255">
        <v>3.94</v>
      </c>
      <c r="F152" s="266">
        <v>11.520467836257309</v>
      </c>
      <c r="G152" s="266">
        <f t="shared" si="26"/>
        <v>86.802030456852791</v>
      </c>
      <c r="H152" s="265">
        <f t="shared" si="27"/>
        <v>0.35758706467661688</v>
      </c>
      <c r="I152" s="265">
        <f t="shared" si="28"/>
        <v>0.2790178571428571</v>
      </c>
      <c r="J152" s="265">
        <f t="shared" si="29"/>
        <v>0.14172335600907029</v>
      </c>
      <c r="K152" s="258">
        <f t="shared" ca="1" si="30"/>
        <v>322.90355329949239</v>
      </c>
      <c r="L152" s="265">
        <f t="shared" si="31"/>
        <v>2.5249365671641786</v>
      </c>
      <c r="M152" s="265">
        <f t="shared" si="32"/>
        <v>1.500803571428571</v>
      </c>
      <c r="N152" s="265">
        <f t="shared" si="33"/>
        <v>0.82693877551020412</v>
      </c>
      <c r="O152" s="265">
        <f t="shared" ca="1" si="34"/>
        <v>327.7562322135953</v>
      </c>
      <c r="P152" s="265">
        <f t="shared" ca="1" si="35"/>
        <v>3.7423485921827542</v>
      </c>
      <c r="Q152" s="258">
        <f t="shared" ca="1" si="36"/>
        <v>197.04060913705584</v>
      </c>
      <c r="R152" s="265">
        <f t="shared" si="37"/>
        <v>2.5249365671641786</v>
      </c>
      <c r="S152" s="265">
        <f t="shared" si="38"/>
        <v>1.500803571428571</v>
      </c>
      <c r="T152" s="265">
        <f t="shared" si="39"/>
        <v>0.82693877551020412</v>
      </c>
      <c r="U152" s="265">
        <f t="shared" ca="1" si="40"/>
        <v>201.89328805115881</v>
      </c>
      <c r="V152" s="265">
        <f t="shared" ca="1" si="41"/>
        <v>2.3052347691653172</v>
      </c>
      <c r="W152" s="258">
        <f t="shared" ca="1" si="42"/>
        <v>48.435532994923861</v>
      </c>
      <c r="X152" s="265">
        <f t="shared" si="43"/>
        <v>2.5249365671641786</v>
      </c>
      <c r="Y152" s="265">
        <f t="shared" si="44"/>
        <v>1.500803571428571</v>
      </c>
      <c r="Z152" s="265">
        <f t="shared" si="45"/>
        <v>0.82693877551020412</v>
      </c>
      <c r="AA152" s="265">
        <f t="shared" ca="1" si="46"/>
        <v>53.288211909026813</v>
      </c>
      <c r="AB152" s="265">
        <f t="shared" ca="1" si="47"/>
        <v>0.60844934502334913</v>
      </c>
      <c r="AC152" s="258"/>
      <c r="AD152" s="258"/>
      <c r="AE152" s="258"/>
      <c r="AF152" s="258"/>
      <c r="AG152" s="258"/>
      <c r="AH152" s="258"/>
      <c r="AI152" s="258"/>
      <c r="AJ152" s="258"/>
      <c r="AK152" s="258"/>
      <c r="AL152" s="258"/>
      <c r="AM152" s="258"/>
    </row>
    <row r="153" spans="3:39" x14ac:dyDescent="0.25">
      <c r="C153" s="255" t="s">
        <v>6086</v>
      </c>
      <c r="D153" s="255">
        <v>317</v>
      </c>
      <c r="E153" s="255">
        <v>3.92</v>
      </c>
      <c r="F153" s="266">
        <v>12.365930599369085</v>
      </c>
      <c r="G153" s="266">
        <f t="shared" si="26"/>
        <v>80.867346938775512</v>
      </c>
      <c r="H153" s="265">
        <f t="shared" si="27"/>
        <v>0.35758706467661688</v>
      </c>
      <c r="I153" s="265">
        <f t="shared" si="28"/>
        <v>0.2790178571428571</v>
      </c>
      <c r="J153" s="265">
        <f t="shared" si="29"/>
        <v>0.14172335600907029</v>
      </c>
      <c r="K153" s="258">
        <f t="shared" ca="1" si="30"/>
        <v>300.82653061224494</v>
      </c>
      <c r="L153" s="265">
        <f t="shared" si="31"/>
        <v>2.5249365671641786</v>
      </c>
      <c r="M153" s="265">
        <f t="shared" si="32"/>
        <v>1.500803571428571</v>
      </c>
      <c r="N153" s="265">
        <f t="shared" si="33"/>
        <v>0.82693877551020412</v>
      </c>
      <c r="O153" s="265">
        <f t="shared" ca="1" si="34"/>
        <v>305.67920952634785</v>
      </c>
      <c r="P153" s="265">
        <f t="shared" ca="1" si="35"/>
        <v>3.7439730728588878</v>
      </c>
      <c r="Q153" s="258">
        <f t="shared" ca="1" si="36"/>
        <v>183.56887755102042</v>
      </c>
      <c r="R153" s="265">
        <f t="shared" si="37"/>
        <v>2.5249365671641786</v>
      </c>
      <c r="S153" s="265">
        <f t="shared" si="38"/>
        <v>1.500803571428571</v>
      </c>
      <c r="T153" s="265">
        <f t="shared" si="39"/>
        <v>0.82693877551020412</v>
      </c>
      <c r="U153" s="265">
        <f t="shared" ca="1" si="40"/>
        <v>188.42155646512339</v>
      </c>
      <c r="V153" s="265">
        <f t="shared" ca="1" si="41"/>
        <v>2.3077959238532282</v>
      </c>
      <c r="W153" s="258">
        <f t="shared" ca="1" si="42"/>
        <v>45.123979591836736</v>
      </c>
      <c r="X153" s="265">
        <f t="shared" si="43"/>
        <v>2.5249365671641786</v>
      </c>
      <c r="Y153" s="265">
        <f t="shared" si="44"/>
        <v>1.500803571428571</v>
      </c>
      <c r="Z153" s="265">
        <f t="shared" si="45"/>
        <v>0.82693877551020412</v>
      </c>
      <c r="AA153" s="265">
        <f t="shared" ca="1" si="46"/>
        <v>49.976658505939689</v>
      </c>
      <c r="AB153" s="265">
        <f t="shared" ca="1" si="47"/>
        <v>0.61211642102723485</v>
      </c>
      <c r="AC153" s="258"/>
      <c r="AD153" s="258"/>
      <c r="AE153" s="258"/>
      <c r="AF153" s="258"/>
      <c r="AG153" s="258"/>
      <c r="AH153" s="258"/>
      <c r="AI153" s="258"/>
      <c r="AJ153" s="258"/>
      <c r="AK153" s="258"/>
      <c r="AL153" s="258"/>
      <c r="AM153" s="258"/>
    </row>
    <row r="154" spans="3:39" x14ac:dyDescent="0.25">
      <c r="C154" s="255" t="s">
        <v>6087</v>
      </c>
      <c r="D154" s="255">
        <v>278</v>
      </c>
      <c r="E154" s="255">
        <v>3.71</v>
      </c>
      <c r="F154" s="266">
        <v>13.345323741007194</v>
      </c>
      <c r="G154" s="266">
        <f t="shared" si="26"/>
        <v>74.932614555256066</v>
      </c>
      <c r="H154" s="265">
        <f t="shared" si="27"/>
        <v>0.35758706467661688</v>
      </c>
      <c r="I154" s="265">
        <f t="shared" si="28"/>
        <v>0.2790178571428571</v>
      </c>
      <c r="J154" s="265">
        <f t="shared" si="29"/>
        <v>0.14172335600907029</v>
      </c>
      <c r="K154" s="258">
        <f t="shared" ca="1" si="30"/>
        <v>278.74932614555257</v>
      </c>
      <c r="L154" s="265">
        <f t="shared" si="31"/>
        <v>2.5249365671641786</v>
      </c>
      <c r="M154" s="265">
        <f t="shared" si="32"/>
        <v>1.500803571428571</v>
      </c>
      <c r="N154" s="265">
        <f t="shared" si="33"/>
        <v>0.82693877551020412</v>
      </c>
      <c r="O154" s="265">
        <f t="shared" ca="1" si="34"/>
        <v>283.60200505965548</v>
      </c>
      <c r="P154" s="265">
        <f t="shared" ca="1" si="35"/>
        <v>3.7458522433790824</v>
      </c>
      <c r="Q154" s="258">
        <f t="shared" ca="1" si="36"/>
        <v>170.09703504043128</v>
      </c>
      <c r="R154" s="265">
        <f t="shared" si="37"/>
        <v>2.5249365671641786</v>
      </c>
      <c r="S154" s="265">
        <f t="shared" si="38"/>
        <v>1.500803571428571</v>
      </c>
      <c r="T154" s="265">
        <f t="shared" si="39"/>
        <v>0.82693877551020412</v>
      </c>
      <c r="U154" s="265">
        <f t="shared" ca="1" si="40"/>
        <v>174.94971395453425</v>
      </c>
      <c r="V154" s="265">
        <f t="shared" ca="1" si="41"/>
        <v>2.310758622306889</v>
      </c>
      <c r="W154" s="258">
        <f t="shared" ca="1" si="42"/>
        <v>41.812398921832887</v>
      </c>
      <c r="X154" s="265">
        <f t="shared" si="43"/>
        <v>2.5249365671641786</v>
      </c>
      <c r="Y154" s="265">
        <f t="shared" si="44"/>
        <v>1.500803571428571</v>
      </c>
      <c r="Z154" s="265">
        <f t="shared" si="45"/>
        <v>0.82693877551020412</v>
      </c>
      <c r="AA154" s="265">
        <f t="shared" ca="1" si="46"/>
        <v>46.66507783593584</v>
      </c>
      <c r="AB154" s="265">
        <f t="shared" ca="1" si="47"/>
        <v>0.61635842970302912</v>
      </c>
      <c r="AC154" s="258"/>
      <c r="AD154" s="258"/>
      <c r="AE154" s="258"/>
      <c r="AF154" s="258"/>
      <c r="AG154" s="258"/>
      <c r="AH154" s="258"/>
      <c r="AI154" s="258"/>
      <c r="AJ154" s="258"/>
      <c r="AK154" s="258"/>
      <c r="AL154" s="258"/>
      <c r="AM154" s="258"/>
    </row>
    <row r="155" spans="3:39" x14ac:dyDescent="0.25">
      <c r="C155" s="255" t="s">
        <v>6088</v>
      </c>
      <c r="D155" s="255">
        <v>249</v>
      </c>
      <c r="E155" s="255">
        <v>3.41</v>
      </c>
      <c r="F155" s="266">
        <v>13.694779116465863</v>
      </c>
      <c r="G155" s="266">
        <f t="shared" si="26"/>
        <v>73.020527859237532</v>
      </c>
      <c r="H155" s="265">
        <f t="shared" si="27"/>
        <v>0.35758706467661688</v>
      </c>
      <c r="I155" s="265">
        <f t="shared" si="28"/>
        <v>0.2790178571428571</v>
      </c>
      <c r="J155" s="265">
        <f t="shared" si="29"/>
        <v>0.14172335600907029</v>
      </c>
      <c r="K155" s="258">
        <f t="shared" ca="1" si="30"/>
        <v>271.63636363636363</v>
      </c>
      <c r="L155" s="265">
        <f t="shared" si="31"/>
        <v>2.5249365671641786</v>
      </c>
      <c r="M155" s="265">
        <f t="shared" si="32"/>
        <v>1.500803571428571</v>
      </c>
      <c r="N155" s="265">
        <f t="shared" si="33"/>
        <v>0.82693877551020412</v>
      </c>
      <c r="O155" s="265">
        <f t="shared" ca="1" si="34"/>
        <v>276.48904255046654</v>
      </c>
      <c r="P155" s="265">
        <f t="shared" ca="1" si="35"/>
        <v>3.7465220604089775</v>
      </c>
      <c r="Q155" s="258">
        <f t="shared" ca="1" si="36"/>
        <v>165.7565982404692</v>
      </c>
      <c r="R155" s="265">
        <f t="shared" si="37"/>
        <v>2.5249365671641786</v>
      </c>
      <c r="S155" s="265">
        <f t="shared" si="38"/>
        <v>1.500803571428571</v>
      </c>
      <c r="T155" s="265">
        <f t="shared" si="39"/>
        <v>0.82693877551020412</v>
      </c>
      <c r="U155" s="265">
        <f t="shared" ca="1" si="40"/>
        <v>170.60927715457217</v>
      </c>
      <c r="V155" s="265">
        <f t="shared" ca="1" si="41"/>
        <v>2.3118146551987309</v>
      </c>
      <c r="W155" s="258">
        <f t="shared" ca="1" si="42"/>
        <v>40.74545454545455</v>
      </c>
      <c r="X155" s="265">
        <f t="shared" si="43"/>
        <v>2.5249365671641786</v>
      </c>
      <c r="Y155" s="265">
        <f t="shared" si="44"/>
        <v>1.500803571428571</v>
      </c>
      <c r="Z155" s="265">
        <f t="shared" si="45"/>
        <v>0.82693877551020412</v>
      </c>
      <c r="AA155" s="265">
        <f t="shared" ca="1" si="46"/>
        <v>45.598133459557502</v>
      </c>
      <c r="AB155" s="265">
        <f t="shared" ca="1" si="47"/>
        <v>0.61787046366773513</v>
      </c>
      <c r="AC155" s="258"/>
      <c r="AD155" s="258"/>
      <c r="AE155" s="258"/>
      <c r="AF155" s="258"/>
      <c r="AG155" s="258"/>
      <c r="AH155" s="258"/>
      <c r="AI155" s="258"/>
      <c r="AJ155" s="258"/>
      <c r="AK155" s="258"/>
      <c r="AL155" s="258"/>
      <c r="AM155" s="258"/>
    </row>
    <row r="156" spans="3:39" x14ac:dyDescent="0.25">
      <c r="C156" s="255" t="s">
        <v>6089</v>
      </c>
      <c r="D156" s="255">
        <v>322</v>
      </c>
      <c r="E156" s="255">
        <v>3.62</v>
      </c>
      <c r="F156" s="266">
        <v>11.24223602484472</v>
      </c>
      <c r="G156" s="266">
        <f t="shared" si="26"/>
        <v>88.950276243093924</v>
      </c>
      <c r="H156" s="265">
        <f t="shared" si="27"/>
        <v>0.35758706467661688</v>
      </c>
      <c r="I156" s="265">
        <f t="shared" si="28"/>
        <v>0.2790178571428571</v>
      </c>
      <c r="J156" s="265">
        <f t="shared" si="29"/>
        <v>0.14172335600907029</v>
      </c>
      <c r="K156" s="258">
        <f t="shared" ca="1" si="30"/>
        <v>330.89502762430942</v>
      </c>
      <c r="L156" s="265">
        <f t="shared" si="31"/>
        <v>2.5249365671641786</v>
      </c>
      <c r="M156" s="265">
        <f t="shared" si="32"/>
        <v>1.500803571428571</v>
      </c>
      <c r="N156" s="265">
        <f t="shared" si="33"/>
        <v>0.82693877551020412</v>
      </c>
      <c r="O156" s="265">
        <f t="shared" ca="1" si="34"/>
        <v>335.74770653841233</v>
      </c>
      <c r="P156" s="265">
        <f t="shared" ca="1" si="35"/>
        <v>3.7418135312705587</v>
      </c>
      <c r="Q156" s="258">
        <f t="shared" ca="1" si="36"/>
        <v>201.91712707182322</v>
      </c>
      <c r="R156" s="265">
        <f t="shared" si="37"/>
        <v>2.5249365671641786</v>
      </c>
      <c r="S156" s="265">
        <f t="shared" si="38"/>
        <v>1.500803571428571</v>
      </c>
      <c r="T156" s="265">
        <f t="shared" si="39"/>
        <v>0.82693877551020412</v>
      </c>
      <c r="U156" s="265">
        <f t="shared" ca="1" si="40"/>
        <v>206.76980598592618</v>
      </c>
      <c r="V156" s="265">
        <f t="shared" ca="1" si="41"/>
        <v>2.3043911926403871</v>
      </c>
      <c r="W156" s="258">
        <f t="shared" ca="1" si="42"/>
        <v>49.634254143646416</v>
      </c>
      <c r="X156" s="265">
        <f t="shared" si="43"/>
        <v>2.5249365671641786</v>
      </c>
      <c r="Y156" s="265">
        <f t="shared" si="44"/>
        <v>1.500803571428571</v>
      </c>
      <c r="Z156" s="265">
        <f t="shared" si="45"/>
        <v>0.82693877551020412</v>
      </c>
      <c r="AA156" s="265">
        <f t="shared" ca="1" si="46"/>
        <v>54.486933057749368</v>
      </c>
      <c r="AB156" s="265">
        <f t="shared" ca="1" si="47"/>
        <v>0.6072415073060049</v>
      </c>
      <c r="AC156" s="258"/>
      <c r="AD156" s="258"/>
      <c r="AE156" s="258"/>
      <c r="AF156" s="258"/>
      <c r="AG156" s="258"/>
      <c r="AH156" s="258"/>
      <c r="AI156" s="258"/>
      <c r="AJ156" s="258"/>
      <c r="AK156" s="258"/>
      <c r="AL156" s="258"/>
      <c r="AM156" s="258"/>
    </row>
    <row r="157" spans="3:39" x14ac:dyDescent="0.25">
      <c r="C157" s="255" t="s">
        <v>6090</v>
      </c>
      <c r="D157" s="255">
        <v>296</v>
      </c>
      <c r="E157" s="255">
        <v>3.6</v>
      </c>
      <c r="F157" s="266">
        <v>12.162162162162163</v>
      </c>
      <c r="G157" s="266">
        <f t="shared" si="26"/>
        <v>82.222222222222214</v>
      </c>
      <c r="H157" s="265">
        <f t="shared" si="27"/>
        <v>0.35758706467661688</v>
      </c>
      <c r="I157" s="265">
        <f t="shared" si="28"/>
        <v>0.2790178571428571</v>
      </c>
      <c r="J157" s="265">
        <f t="shared" si="29"/>
        <v>0.14172335600907029</v>
      </c>
      <c r="K157" s="258">
        <f t="shared" ca="1" si="30"/>
        <v>305.86666666666667</v>
      </c>
      <c r="L157" s="265">
        <f t="shared" si="31"/>
        <v>2.5249365671641786</v>
      </c>
      <c r="M157" s="265">
        <f t="shared" si="32"/>
        <v>1.500803571428571</v>
      </c>
      <c r="N157" s="265">
        <f t="shared" si="33"/>
        <v>0.82693877551020412</v>
      </c>
      <c r="O157" s="265">
        <f t="shared" ca="1" si="34"/>
        <v>310.71934558076958</v>
      </c>
      <c r="P157" s="265">
        <f t="shared" ca="1" si="35"/>
        <v>3.7435817438413199</v>
      </c>
      <c r="Q157" s="258">
        <f t="shared" ca="1" si="36"/>
        <v>186.64444444444442</v>
      </c>
      <c r="R157" s="265">
        <f t="shared" si="37"/>
        <v>2.5249365671641786</v>
      </c>
      <c r="S157" s="265">
        <f t="shared" si="38"/>
        <v>1.500803571428571</v>
      </c>
      <c r="T157" s="265">
        <f t="shared" si="39"/>
        <v>0.82693877551020412</v>
      </c>
      <c r="U157" s="265">
        <f t="shared" ca="1" si="40"/>
        <v>191.49712335854738</v>
      </c>
      <c r="V157" s="265">
        <f t="shared" ca="1" si="41"/>
        <v>2.3071789548965733</v>
      </c>
      <c r="W157" s="258">
        <f t="shared" ca="1" si="42"/>
        <v>45.88</v>
      </c>
      <c r="X157" s="265">
        <f t="shared" si="43"/>
        <v>2.5249365671641786</v>
      </c>
      <c r="Y157" s="265">
        <f t="shared" si="44"/>
        <v>1.500803571428571</v>
      </c>
      <c r="Z157" s="265">
        <f t="shared" si="45"/>
        <v>0.82693877551020412</v>
      </c>
      <c r="AA157" s="265">
        <f t="shared" ca="1" si="46"/>
        <v>50.732678914102955</v>
      </c>
      <c r="AB157" s="265">
        <f t="shared" ca="1" si="47"/>
        <v>0.61123304132870693</v>
      </c>
      <c r="AC157" s="258"/>
      <c r="AD157" s="258"/>
      <c r="AE157" s="258"/>
      <c r="AF157" s="258"/>
      <c r="AG157" s="258"/>
      <c r="AH157" s="258"/>
      <c r="AI157" s="258"/>
      <c r="AJ157" s="258"/>
      <c r="AK157" s="258"/>
      <c r="AL157" s="258"/>
      <c r="AM157" s="258"/>
    </row>
    <row r="158" spans="3:39" x14ac:dyDescent="0.25">
      <c r="C158" s="255" t="s">
        <v>6091</v>
      </c>
      <c r="D158" s="255">
        <v>258</v>
      </c>
      <c r="E158" s="255">
        <v>3.39</v>
      </c>
      <c r="F158" s="266">
        <v>13.13953488372093</v>
      </c>
      <c r="G158" s="266">
        <f t="shared" si="26"/>
        <v>76.106194690265482</v>
      </c>
      <c r="H158" s="265">
        <f t="shared" si="27"/>
        <v>0.35758706467661688</v>
      </c>
      <c r="I158" s="265">
        <f t="shared" si="28"/>
        <v>0.2790178571428571</v>
      </c>
      <c r="J158" s="265">
        <f t="shared" si="29"/>
        <v>0.14172335600907029</v>
      </c>
      <c r="K158" s="258">
        <f t="shared" ca="1" si="30"/>
        <v>283.11504424778764</v>
      </c>
      <c r="L158" s="265">
        <f t="shared" si="31"/>
        <v>2.5249365671641786</v>
      </c>
      <c r="M158" s="265">
        <f t="shared" si="32"/>
        <v>1.500803571428571</v>
      </c>
      <c r="N158" s="265">
        <f t="shared" si="33"/>
        <v>0.82693877551020412</v>
      </c>
      <c r="O158" s="265">
        <f t="shared" ca="1" si="34"/>
        <v>287.96772316189055</v>
      </c>
      <c r="P158" s="265">
        <f t="shared" ca="1" si="35"/>
        <v>3.7454576297676061</v>
      </c>
      <c r="Q158" s="258">
        <f t="shared" ca="1" si="36"/>
        <v>172.76106194690266</v>
      </c>
      <c r="R158" s="265">
        <f t="shared" si="37"/>
        <v>2.5249365671641786</v>
      </c>
      <c r="S158" s="265">
        <f t="shared" si="38"/>
        <v>1.500803571428571</v>
      </c>
      <c r="T158" s="265">
        <f t="shared" si="39"/>
        <v>0.82693877551020412</v>
      </c>
      <c r="U158" s="265">
        <f t="shared" ca="1" si="40"/>
        <v>177.61374086100562</v>
      </c>
      <c r="V158" s="265">
        <f t="shared" ca="1" si="41"/>
        <v>2.3101364748626034</v>
      </c>
      <c r="W158" s="258">
        <f t="shared" ca="1" si="42"/>
        <v>42.467256637168141</v>
      </c>
      <c r="X158" s="265">
        <f t="shared" si="43"/>
        <v>2.5249365671641786</v>
      </c>
      <c r="Y158" s="265">
        <f t="shared" si="44"/>
        <v>1.500803571428571</v>
      </c>
      <c r="Z158" s="265">
        <f t="shared" si="45"/>
        <v>0.82693877551020412</v>
      </c>
      <c r="AA158" s="265">
        <f t="shared" ca="1" si="46"/>
        <v>47.319935551271094</v>
      </c>
      <c r="AB158" s="265">
        <f t="shared" ca="1" si="47"/>
        <v>0.61546763541614458</v>
      </c>
      <c r="AC158" s="258"/>
      <c r="AD158" s="258"/>
      <c r="AE158" s="258"/>
      <c r="AF158" s="258"/>
      <c r="AG158" s="258"/>
      <c r="AH158" s="258"/>
      <c r="AI158" s="258"/>
      <c r="AJ158" s="258"/>
      <c r="AK158" s="258"/>
      <c r="AL158" s="258"/>
      <c r="AM158" s="258"/>
    </row>
    <row r="159" spans="3:39" x14ac:dyDescent="0.25">
      <c r="C159" s="255" t="s">
        <v>6092</v>
      </c>
      <c r="D159" s="255">
        <v>215</v>
      </c>
      <c r="E159" s="255">
        <v>3.17</v>
      </c>
      <c r="F159" s="266">
        <v>14.744186046511627</v>
      </c>
      <c r="G159" s="266">
        <f t="shared" si="26"/>
        <v>67.82334384858045</v>
      </c>
      <c r="H159" s="265">
        <f t="shared" si="27"/>
        <v>0.35758706467661688</v>
      </c>
      <c r="I159" s="265">
        <f t="shared" si="28"/>
        <v>0.2790178571428571</v>
      </c>
      <c r="J159" s="265">
        <f t="shared" si="29"/>
        <v>0.14172335600907029</v>
      </c>
      <c r="K159" s="258">
        <f t="shared" ca="1" si="30"/>
        <v>252.3028391167193</v>
      </c>
      <c r="L159" s="265">
        <f t="shared" si="31"/>
        <v>2.5249365671641786</v>
      </c>
      <c r="M159" s="265">
        <f t="shared" si="32"/>
        <v>1.500803571428571</v>
      </c>
      <c r="N159" s="265">
        <f t="shared" si="33"/>
        <v>0.82693877551020412</v>
      </c>
      <c r="O159" s="265">
        <f t="shared" ca="1" si="34"/>
        <v>257.15551803082224</v>
      </c>
      <c r="P159" s="265">
        <f t="shared" ca="1" si="35"/>
        <v>3.7485313412911299</v>
      </c>
      <c r="Q159" s="258">
        <f t="shared" ca="1" si="36"/>
        <v>153.95899053627761</v>
      </c>
      <c r="R159" s="265">
        <f t="shared" si="37"/>
        <v>2.5249365671641786</v>
      </c>
      <c r="S159" s="265">
        <f t="shared" si="38"/>
        <v>1.500803571428571</v>
      </c>
      <c r="T159" s="265">
        <f t="shared" si="39"/>
        <v>0.82693877551020412</v>
      </c>
      <c r="U159" s="265">
        <f t="shared" ca="1" si="40"/>
        <v>158.81166945038058</v>
      </c>
      <c r="V159" s="265">
        <f t="shared" ca="1" si="41"/>
        <v>2.314982485525221</v>
      </c>
      <c r="W159" s="258">
        <f t="shared" ca="1" si="42"/>
        <v>37.845425867507892</v>
      </c>
      <c r="X159" s="265">
        <f t="shared" si="43"/>
        <v>2.5249365671641786</v>
      </c>
      <c r="Y159" s="265">
        <f t="shared" si="44"/>
        <v>1.500803571428571</v>
      </c>
      <c r="Z159" s="265">
        <f t="shared" si="45"/>
        <v>0.82693877551020412</v>
      </c>
      <c r="AA159" s="265">
        <f t="shared" ca="1" si="46"/>
        <v>42.698104781610844</v>
      </c>
      <c r="AB159" s="265">
        <f t="shared" ca="1" si="47"/>
        <v>0.62240618133816183</v>
      </c>
      <c r="AC159" s="258"/>
      <c r="AD159" s="258"/>
      <c r="AE159" s="258"/>
      <c r="AF159" s="258"/>
      <c r="AG159" s="258"/>
      <c r="AH159" s="258"/>
      <c r="AI159" s="258"/>
      <c r="AJ159" s="258"/>
      <c r="AK159" s="258"/>
      <c r="AL159" s="258"/>
      <c r="AM159" s="258"/>
    </row>
    <row r="160" spans="3:39" x14ac:dyDescent="0.25">
      <c r="C160" s="255" t="s">
        <v>6093</v>
      </c>
      <c r="D160" s="255">
        <v>282</v>
      </c>
      <c r="E160" s="255">
        <v>3.42</v>
      </c>
      <c r="F160" s="266">
        <v>12.127659574468085</v>
      </c>
      <c r="G160" s="266">
        <f t="shared" si="26"/>
        <v>82.456140350877192</v>
      </c>
      <c r="H160" s="265">
        <f t="shared" si="27"/>
        <v>0.35758706467661688</v>
      </c>
      <c r="I160" s="265">
        <f t="shared" si="28"/>
        <v>0.2790178571428571</v>
      </c>
      <c r="J160" s="265">
        <f t="shared" si="29"/>
        <v>0.14172335600907029</v>
      </c>
      <c r="K160" s="258">
        <f t="shared" ca="1" si="30"/>
        <v>306.73684210526318</v>
      </c>
      <c r="L160" s="265">
        <f t="shared" si="31"/>
        <v>2.5249365671641786</v>
      </c>
      <c r="M160" s="265">
        <f t="shared" si="32"/>
        <v>1.500803571428571</v>
      </c>
      <c r="N160" s="265">
        <f t="shared" si="33"/>
        <v>0.82693877551020412</v>
      </c>
      <c r="O160" s="265">
        <f t="shared" ca="1" si="34"/>
        <v>311.58952101936609</v>
      </c>
      <c r="P160" s="265">
        <f t="shared" ca="1" si="35"/>
        <v>3.7435154708479237</v>
      </c>
      <c r="Q160" s="258">
        <f t="shared" ca="1" si="36"/>
        <v>187.17543859649123</v>
      </c>
      <c r="R160" s="265">
        <f t="shared" si="37"/>
        <v>2.5249365671641786</v>
      </c>
      <c r="S160" s="265">
        <f t="shared" si="38"/>
        <v>1.500803571428571</v>
      </c>
      <c r="T160" s="265">
        <f t="shared" si="39"/>
        <v>0.82693877551020412</v>
      </c>
      <c r="U160" s="265">
        <f t="shared" ca="1" si="40"/>
        <v>192.0281175105942</v>
      </c>
      <c r="V160" s="265">
        <f t="shared" ca="1" si="41"/>
        <v>2.3070744689582594</v>
      </c>
      <c r="W160" s="258">
        <f t="shared" ca="1" si="42"/>
        <v>46.010526315789477</v>
      </c>
      <c r="X160" s="265">
        <f t="shared" si="43"/>
        <v>2.5249365671641786</v>
      </c>
      <c r="Y160" s="265">
        <f t="shared" si="44"/>
        <v>1.500803571428571</v>
      </c>
      <c r="Z160" s="265">
        <f t="shared" si="45"/>
        <v>0.82693877551020412</v>
      </c>
      <c r="AA160" s="265">
        <f t="shared" ca="1" si="46"/>
        <v>50.863205229892429</v>
      </c>
      <c r="AB160" s="265">
        <f t="shared" ca="1" si="47"/>
        <v>0.61108343776163454</v>
      </c>
      <c r="AC160" s="258"/>
      <c r="AD160" s="258"/>
      <c r="AE160" s="258"/>
      <c r="AF160" s="258"/>
      <c r="AG160" s="258"/>
      <c r="AH160" s="258"/>
      <c r="AI160" s="258"/>
      <c r="AJ160" s="258"/>
      <c r="AK160" s="258"/>
      <c r="AL160" s="258"/>
      <c r="AM160" s="258"/>
    </row>
    <row r="161" spans="3:39" x14ac:dyDescent="0.25">
      <c r="C161" s="255" t="s">
        <v>6094</v>
      </c>
      <c r="D161" s="255">
        <v>257</v>
      </c>
      <c r="E161" s="255">
        <v>3.41</v>
      </c>
      <c r="F161" s="266">
        <v>13.268482490272374</v>
      </c>
      <c r="G161" s="266">
        <f t="shared" si="26"/>
        <v>75.366568914956005</v>
      </c>
      <c r="H161" s="265">
        <f t="shared" si="27"/>
        <v>0.35758706467661688</v>
      </c>
      <c r="I161" s="265">
        <f t="shared" si="28"/>
        <v>0.2790178571428571</v>
      </c>
      <c r="J161" s="265">
        <f t="shared" si="29"/>
        <v>0.14172335600907029</v>
      </c>
      <c r="K161" s="258">
        <f t="shared" ca="1" si="30"/>
        <v>280.36363636363637</v>
      </c>
      <c r="L161" s="265">
        <f t="shared" si="31"/>
        <v>2.5249365671641786</v>
      </c>
      <c r="M161" s="265">
        <f t="shared" si="32"/>
        <v>1.500803571428571</v>
      </c>
      <c r="N161" s="265">
        <f t="shared" si="33"/>
        <v>0.82693877551020412</v>
      </c>
      <c r="O161" s="265">
        <f t="shared" ca="1" si="34"/>
        <v>285.21631527773928</v>
      </c>
      <c r="P161" s="265">
        <f t="shared" ca="1" si="35"/>
        <v>3.745704909885494</v>
      </c>
      <c r="Q161" s="258">
        <f t="shared" ca="1" si="36"/>
        <v>171.08211143695013</v>
      </c>
      <c r="R161" s="265">
        <f t="shared" si="37"/>
        <v>2.5249365671641786</v>
      </c>
      <c r="S161" s="265">
        <f t="shared" si="38"/>
        <v>1.500803571428571</v>
      </c>
      <c r="T161" s="265">
        <f t="shared" si="39"/>
        <v>0.82693877551020412</v>
      </c>
      <c r="U161" s="265">
        <f t="shared" ca="1" si="40"/>
        <v>175.9347903510531</v>
      </c>
      <c r="V161" s="265">
        <f t="shared" ca="1" si="41"/>
        <v>2.3105263364611197</v>
      </c>
      <c r="W161" s="258">
        <f t="shared" ca="1" si="42"/>
        <v>42.054545454545455</v>
      </c>
      <c r="X161" s="265">
        <f t="shared" si="43"/>
        <v>2.5249365671641786</v>
      </c>
      <c r="Y161" s="265">
        <f t="shared" si="44"/>
        <v>1.500803571428571</v>
      </c>
      <c r="Z161" s="265">
        <f t="shared" si="45"/>
        <v>0.82693877551020412</v>
      </c>
      <c r="AA161" s="265">
        <f t="shared" ca="1" si="46"/>
        <v>46.907224368648407</v>
      </c>
      <c r="AB161" s="265">
        <f t="shared" ca="1" si="47"/>
        <v>0.61602584149385797</v>
      </c>
      <c r="AC161" s="258"/>
      <c r="AD161" s="258"/>
      <c r="AE161" s="258"/>
      <c r="AF161" s="258"/>
      <c r="AG161" s="258"/>
      <c r="AH161" s="258"/>
      <c r="AI161" s="258"/>
      <c r="AJ161" s="258"/>
      <c r="AK161" s="258"/>
      <c r="AL161" s="258"/>
      <c r="AM161" s="258"/>
    </row>
    <row r="162" spans="3:39" x14ac:dyDescent="0.25">
      <c r="C162" s="255" t="s">
        <v>6095</v>
      </c>
      <c r="D162" s="255">
        <v>218</v>
      </c>
      <c r="E162" s="255">
        <v>3.2</v>
      </c>
      <c r="F162" s="266">
        <v>14.678899082568808</v>
      </c>
      <c r="G162" s="266">
        <f t="shared" ref="G162:G225" si="48">D162/E162</f>
        <v>68.125</v>
      </c>
      <c r="H162" s="265">
        <f t="shared" ref="H162:H225" si="49">$AJ$40</f>
        <v>0.35758706467661688</v>
      </c>
      <c r="I162" s="265">
        <f t="shared" ref="I162:I225" si="50">$AK$40</f>
        <v>0.2790178571428571</v>
      </c>
      <c r="J162" s="265">
        <f t="shared" ref="J162:J225" si="51">$AL$40</f>
        <v>0.14172335600907029</v>
      </c>
      <c r="K162" s="258">
        <f t="shared" ref="K162:K225" ca="1" si="52">K$30*$G162</f>
        <v>253.42500000000001</v>
      </c>
      <c r="L162" s="265">
        <f t="shared" ref="L162:L225" si="53">L$30*$H162</f>
        <v>2.5249365671641786</v>
      </c>
      <c r="M162" s="265">
        <f t="shared" ref="M162:M225" si="54">M$30*$I162</f>
        <v>1.500803571428571</v>
      </c>
      <c r="N162" s="265">
        <f t="shared" ref="N162:N225" si="55">N$30*$J162</f>
        <v>0.82693877551020412</v>
      </c>
      <c r="O162" s="265">
        <f t="shared" ref="O162:O225" ca="1" si="56">SUM(K162:N162)</f>
        <v>258.27767891410298</v>
      </c>
      <c r="P162" s="265">
        <f t="shared" ref="P162:P225" ca="1" si="57">O162/SUM($G162:$J162)</f>
        <v>3.7484064321637507</v>
      </c>
      <c r="Q162" s="258">
        <f t="shared" ref="Q162:Q225" ca="1" si="58">Q$30*$G162</f>
        <v>154.64375000000001</v>
      </c>
      <c r="R162" s="265">
        <f t="shared" ref="R162:R225" si="59">R$30*$H162</f>
        <v>2.5249365671641786</v>
      </c>
      <c r="S162" s="265">
        <f t="shared" ref="S162:S225" si="60">S$30*$I162</f>
        <v>1.500803571428571</v>
      </c>
      <c r="T162" s="265">
        <f t="shared" ref="T162:T225" si="61">T$30*$J162</f>
        <v>0.82693877551020412</v>
      </c>
      <c r="U162" s="265">
        <f t="shared" ref="U162:U225" ca="1" si="62">SUM(Q162:T162)</f>
        <v>159.49642891410298</v>
      </c>
      <c r="V162" s="265">
        <f t="shared" ref="V162:V225" ca="1" si="63">U162/SUM($G162:$J162)</f>
        <v>2.3147855539138757</v>
      </c>
      <c r="W162" s="258">
        <f t="shared" ref="W162:W225" ca="1" si="64">W$30*$G162</f>
        <v>38.013750000000002</v>
      </c>
      <c r="X162" s="265">
        <f t="shared" ref="X162:X225" si="65">X$30*$H162</f>
        <v>2.5249365671641786</v>
      </c>
      <c r="Y162" s="265">
        <f t="shared" ref="Y162:Y225" si="66">Y$30*$I162</f>
        <v>1.500803571428571</v>
      </c>
      <c r="Z162" s="265">
        <f t="shared" ref="Z162:Z225" si="67">Z$30*$J162</f>
        <v>0.82693877551020412</v>
      </c>
      <c r="AA162" s="265">
        <f t="shared" ref="AA162:AA225" ca="1" si="68">SUM(W162:Z162)</f>
        <v>42.866428914102954</v>
      </c>
      <c r="AB162" s="265">
        <f t="shared" ref="AB162:AB225" ca="1" si="69">AA162/SUM($G162:$J162)</f>
        <v>0.62212421352505765</v>
      </c>
      <c r="AC162" s="258"/>
      <c r="AD162" s="258"/>
      <c r="AE162" s="258"/>
      <c r="AF162" s="258"/>
      <c r="AG162" s="258"/>
      <c r="AH162" s="258"/>
      <c r="AI162" s="258"/>
      <c r="AJ162" s="258"/>
      <c r="AK162" s="258"/>
      <c r="AL162" s="258"/>
      <c r="AM162" s="258"/>
    </row>
    <row r="163" spans="3:39" x14ac:dyDescent="0.25">
      <c r="C163" s="255" t="s">
        <v>6096</v>
      </c>
      <c r="D163" s="255">
        <v>175</v>
      </c>
      <c r="E163" s="255">
        <v>2.98</v>
      </c>
      <c r="F163" s="266">
        <v>17.028571428571428</v>
      </c>
      <c r="G163" s="266">
        <f t="shared" si="48"/>
        <v>58.724832214765101</v>
      </c>
      <c r="H163" s="265">
        <f t="shared" si="49"/>
        <v>0.35758706467661688</v>
      </c>
      <c r="I163" s="265">
        <f t="shared" si="50"/>
        <v>0.2790178571428571</v>
      </c>
      <c r="J163" s="265">
        <f t="shared" si="51"/>
        <v>0.14172335600907029</v>
      </c>
      <c r="K163" s="258">
        <f t="shared" ca="1" si="52"/>
        <v>218.45637583892619</v>
      </c>
      <c r="L163" s="265">
        <f t="shared" si="53"/>
        <v>2.5249365671641786</v>
      </c>
      <c r="M163" s="265">
        <f t="shared" si="54"/>
        <v>1.500803571428571</v>
      </c>
      <c r="N163" s="265">
        <f t="shared" si="55"/>
        <v>0.82693877551020412</v>
      </c>
      <c r="O163" s="265">
        <f t="shared" ca="1" si="56"/>
        <v>223.30905475302916</v>
      </c>
      <c r="P163" s="265">
        <f t="shared" ca="1" si="57"/>
        <v>3.752894012761296</v>
      </c>
      <c r="Q163" s="258">
        <f t="shared" ca="1" si="58"/>
        <v>133.30536912751677</v>
      </c>
      <c r="R163" s="265">
        <f t="shared" si="59"/>
        <v>2.5249365671641786</v>
      </c>
      <c r="S163" s="265">
        <f t="shared" si="60"/>
        <v>1.500803571428571</v>
      </c>
      <c r="T163" s="265">
        <f t="shared" si="61"/>
        <v>0.82693877551020412</v>
      </c>
      <c r="U163" s="265">
        <f t="shared" ca="1" si="62"/>
        <v>138.15804804161974</v>
      </c>
      <c r="V163" s="265">
        <f t="shared" ca="1" si="63"/>
        <v>2.3218606692129615</v>
      </c>
      <c r="W163" s="258">
        <f t="shared" ca="1" si="64"/>
        <v>32.76845637583893</v>
      </c>
      <c r="X163" s="265">
        <f t="shared" si="65"/>
        <v>2.5249365671641786</v>
      </c>
      <c r="Y163" s="265">
        <f t="shared" si="66"/>
        <v>1.500803571428571</v>
      </c>
      <c r="Z163" s="265">
        <f t="shared" si="67"/>
        <v>0.82693877551020412</v>
      </c>
      <c r="AA163" s="265">
        <f t="shared" ca="1" si="68"/>
        <v>37.621135289941883</v>
      </c>
      <c r="AB163" s="265">
        <f t="shared" ca="1" si="69"/>
        <v>0.63225440427865309</v>
      </c>
      <c r="AC163" s="258"/>
      <c r="AD163" s="258"/>
      <c r="AE163" s="258"/>
      <c r="AF163" s="258"/>
      <c r="AG163" s="258"/>
      <c r="AH163" s="258"/>
      <c r="AI163" s="258"/>
      <c r="AJ163" s="258"/>
      <c r="AK163" s="258"/>
      <c r="AL163" s="258"/>
      <c r="AM163" s="258"/>
    </row>
    <row r="164" spans="3:39" x14ac:dyDescent="0.25">
      <c r="C164" s="255" t="s">
        <v>6097</v>
      </c>
      <c r="D164" s="255">
        <v>192</v>
      </c>
      <c r="E164" s="255">
        <v>2.81</v>
      </c>
      <c r="F164" s="266">
        <v>14.635416666666666</v>
      </c>
      <c r="G164" s="266">
        <f t="shared" si="48"/>
        <v>68.32740213523131</v>
      </c>
      <c r="H164" s="265">
        <f t="shared" si="49"/>
        <v>0.35758706467661688</v>
      </c>
      <c r="I164" s="265">
        <f t="shared" si="50"/>
        <v>0.2790178571428571</v>
      </c>
      <c r="J164" s="265">
        <f t="shared" si="51"/>
        <v>0.14172335600907029</v>
      </c>
      <c r="K164" s="258">
        <f t="shared" ca="1" si="52"/>
        <v>254.17793594306048</v>
      </c>
      <c r="L164" s="265">
        <f t="shared" si="53"/>
        <v>2.5249365671641786</v>
      </c>
      <c r="M164" s="265">
        <f t="shared" si="54"/>
        <v>1.500803571428571</v>
      </c>
      <c r="N164" s="265">
        <f t="shared" si="55"/>
        <v>0.82693877551020412</v>
      </c>
      <c r="O164" s="265">
        <f t="shared" ca="1" si="56"/>
        <v>259.03061485716341</v>
      </c>
      <c r="P164" s="265">
        <f t="shared" ca="1" si="57"/>
        <v>3.7483232332381347</v>
      </c>
      <c r="Q164" s="258">
        <f t="shared" ca="1" si="58"/>
        <v>155.10320284697508</v>
      </c>
      <c r="R164" s="265">
        <f t="shared" si="59"/>
        <v>2.5249365671641786</v>
      </c>
      <c r="S164" s="265">
        <f t="shared" si="60"/>
        <v>1.500803571428571</v>
      </c>
      <c r="T164" s="265">
        <f t="shared" si="61"/>
        <v>0.82693877551020412</v>
      </c>
      <c r="U164" s="265">
        <f t="shared" ca="1" si="62"/>
        <v>159.95588176107805</v>
      </c>
      <c r="V164" s="265">
        <f t="shared" ca="1" si="63"/>
        <v>2.3146543825669337</v>
      </c>
      <c r="W164" s="258">
        <f t="shared" ca="1" si="64"/>
        <v>38.126690391459071</v>
      </c>
      <c r="X164" s="265">
        <f t="shared" si="65"/>
        <v>2.5249365671641786</v>
      </c>
      <c r="Y164" s="265">
        <f t="shared" si="66"/>
        <v>1.500803571428571</v>
      </c>
      <c r="Z164" s="265">
        <f t="shared" si="67"/>
        <v>0.82693877551020412</v>
      </c>
      <c r="AA164" s="265">
        <f t="shared" ca="1" si="68"/>
        <v>42.979369305562024</v>
      </c>
      <c r="AB164" s="265">
        <f t="shared" ca="1" si="69"/>
        <v>0.6219364016365222</v>
      </c>
      <c r="AC164" s="258"/>
      <c r="AD164" s="258"/>
      <c r="AE164" s="258"/>
      <c r="AF164" s="258"/>
      <c r="AG164" s="258"/>
      <c r="AH164" s="258"/>
      <c r="AI164" s="258"/>
      <c r="AJ164" s="258"/>
      <c r="AK164" s="258"/>
      <c r="AL164" s="258"/>
      <c r="AM164" s="258"/>
    </row>
    <row r="165" spans="3:39" x14ac:dyDescent="0.25">
      <c r="C165" s="255" t="s">
        <v>6098</v>
      </c>
      <c r="D165" s="255">
        <v>168</v>
      </c>
      <c r="E165" s="255">
        <v>2.7</v>
      </c>
      <c r="F165" s="266">
        <v>16.071428571428573</v>
      </c>
      <c r="G165" s="266">
        <f t="shared" si="48"/>
        <v>62.222222222222221</v>
      </c>
      <c r="H165" s="265">
        <f t="shared" si="49"/>
        <v>0.35758706467661688</v>
      </c>
      <c r="I165" s="265">
        <f t="shared" si="50"/>
        <v>0.2790178571428571</v>
      </c>
      <c r="J165" s="265">
        <f t="shared" si="51"/>
        <v>0.14172335600907029</v>
      </c>
      <c r="K165" s="258">
        <f t="shared" ca="1" si="52"/>
        <v>231.46666666666667</v>
      </c>
      <c r="L165" s="265">
        <f t="shared" si="53"/>
        <v>2.5249365671641786</v>
      </c>
      <c r="M165" s="265">
        <f t="shared" si="54"/>
        <v>1.500803571428571</v>
      </c>
      <c r="N165" s="265">
        <f t="shared" si="55"/>
        <v>0.82693877551020412</v>
      </c>
      <c r="O165" s="265">
        <f t="shared" ca="1" si="56"/>
        <v>236.31934558076964</v>
      </c>
      <c r="P165" s="265">
        <f t="shared" ca="1" si="57"/>
        <v>3.7510679463122978</v>
      </c>
      <c r="Q165" s="258">
        <f t="shared" ca="1" si="58"/>
        <v>141.24444444444444</v>
      </c>
      <c r="R165" s="265">
        <f t="shared" si="59"/>
        <v>2.5249365671641786</v>
      </c>
      <c r="S165" s="265">
        <f t="shared" si="60"/>
        <v>1.500803571428571</v>
      </c>
      <c r="T165" s="265">
        <f t="shared" si="61"/>
        <v>0.82693877551020412</v>
      </c>
      <c r="U165" s="265">
        <f t="shared" ca="1" si="62"/>
        <v>146.09712335854741</v>
      </c>
      <c r="V165" s="265">
        <f t="shared" ca="1" si="63"/>
        <v>2.3189816945874098</v>
      </c>
      <c r="W165" s="258">
        <f t="shared" ca="1" si="64"/>
        <v>34.720000000000006</v>
      </c>
      <c r="X165" s="265">
        <f t="shared" si="65"/>
        <v>2.5249365671641786</v>
      </c>
      <c r="Y165" s="265">
        <f t="shared" si="66"/>
        <v>1.500803571428571</v>
      </c>
      <c r="Z165" s="265">
        <f t="shared" si="67"/>
        <v>0.82693877551020412</v>
      </c>
      <c r="AA165" s="265">
        <f t="shared" ca="1" si="68"/>
        <v>39.572678914102958</v>
      </c>
      <c r="AB165" s="265">
        <f t="shared" ca="1" si="69"/>
        <v>0.62813227186119702</v>
      </c>
      <c r="AC165" s="258"/>
      <c r="AD165" s="258"/>
      <c r="AE165" s="258"/>
      <c r="AF165" s="258"/>
      <c r="AG165" s="258"/>
      <c r="AH165" s="258"/>
      <c r="AI165" s="258"/>
      <c r="AJ165" s="258"/>
      <c r="AK165" s="258"/>
      <c r="AL165" s="258"/>
      <c r="AM165" s="258"/>
    </row>
    <row r="166" spans="3:39" x14ac:dyDescent="0.25">
      <c r="C166" s="255" t="s">
        <v>6099</v>
      </c>
      <c r="D166" s="255">
        <v>146</v>
      </c>
      <c r="E166" s="255">
        <v>2.68</v>
      </c>
      <c r="F166" s="266">
        <v>18.356164383561644</v>
      </c>
      <c r="G166" s="266">
        <f t="shared" si="48"/>
        <v>54.477611940298502</v>
      </c>
      <c r="H166" s="265">
        <f t="shared" si="49"/>
        <v>0.35758706467661688</v>
      </c>
      <c r="I166" s="265">
        <f t="shared" si="50"/>
        <v>0.2790178571428571</v>
      </c>
      <c r="J166" s="265">
        <f t="shared" si="51"/>
        <v>0.14172335600907029</v>
      </c>
      <c r="K166" s="258">
        <f t="shared" ca="1" si="52"/>
        <v>202.65671641791045</v>
      </c>
      <c r="L166" s="265">
        <f t="shared" si="53"/>
        <v>2.5249365671641786</v>
      </c>
      <c r="M166" s="265">
        <f t="shared" si="54"/>
        <v>1.500803571428571</v>
      </c>
      <c r="N166" s="265">
        <f t="shared" si="55"/>
        <v>0.82693877551020412</v>
      </c>
      <c r="O166" s="265">
        <f t="shared" ca="1" si="56"/>
        <v>207.50939533201341</v>
      </c>
      <c r="P166" s="265">
        <f t="shared" ca="1" si="57"/>
        <v>3.7554223946394583</v>
      </c>
      <c r="Q166" s="258">
        <f t="shared" ca="1" si="58"/>
        <v>123.6641791044776</v>
      </c>
      <c r="R166" s="265">
        <f t="shared" si="59"/>
        <v>2.5249365671641786</v>
      </c>
      <c r="S166" s="265">
        <f t="shared" si="60"/>
        <v>1.500803571428571</v>
      </c>
      <c r="T166" s="265">
        <f t="shared" si="61"/>
        <v>0.82693877551020412</v>
      </c>
      <c r="U166" s="265">
        <f t="shared" ca="1" si="62"/>
        <v>128.51685801858056</v>
      </c>
      <c r="V166" s="265">
        <f t="shared" ca="1" si="63"/>
        <v>2.3258469136757145</v>
      </c>
      <c r="W166" s="258">
        <f t="shared" ca="1" si="64"/>
        <v>30.398507462686567</v>
      </c>
      <c r="X166" s="265">
        <f t="shared" si="65"/>
        <v>2.5249365671641786</v>
      </c>
      <c r="Y166" s="265">
        <f t="shared" si="66"/>
        <v>1.500803571428571</v>
      </c>
      <c r="Z166" s="265">
        <f t="shared" si="67"/>
        <v>0.82693877551020412</v>
      </c>
      <c r="AA166" s="265">
        <f t="shared" ca="1" si="68"/>
        <v>35.251186376789519</v>
      </c>
      <c r="AB166" s="265">
        <f t="shared" ca="1" si="69"/>
        <v>0.63796193201369422</v>
      </c>
      <c r="AC166" s="258"/>
      <c r="AD166" s="258"/>
      <c r="AE166" s="258"/>
      <c r="AF166" s="258"/>
      <c r="AG166" s="258"/>
      <c r="AH166" s="258"/>
      <c r="AI166" s="258"/>
      <c r="AJ166" s="258"/>
      <c r="AK166" s="258"/>
      <c r="AL166" s="258"/>
      <c r="AM166" s="258"/>
    </row>
    <row r="167" spans="3:39" x14ac:dyDescent="0.25">
      <c r="C167" s="255" t="s">
        <v>6100</v>
      </c>
      <c r="D167" s="255">
        <v>122</v>
      </c>
      <c r="E167" s="255">
        <v>2.56</v>
      </c>
      <c r="F167" s="266">
        <v>20.983606557377048</v>
      </c>
      <c r="G167" s="266">
        <f t="shared" si="48"/>
        <v>47.65625</v>
      </c>
      <c r="H167" s="265">
        <f t="shared" si="49"/>
        <v>0.35758706467661688</v>
      </c>
      <c r="I167" s="265">
        <f t="shared" si="50"/>
        <v>0.2790178571428571</v>
      </c>
      <c r="J167" s="265">
        <f t="shared" si="51"/>
        <v>0.14172335600907029</v>
      </c>
      <c r="K167" s="258">
        <f t="shared" ca="1" si="52"/>
        <v>177.28125</v>
      </c>
      <c r="L167" s="265">
        <f t="shared" si="53"/>
        <v>2.5249365671641786</v>
      </c>
      <c r="M167" s="265">
        <f t="shared" si="54"/>
        <v>1.500803571428571</v>
      </c>
      <c r="N167" s="265">
        <f t="shared" si="55"/>
        <v>0.82693877551020412</v>
      </c>
      <c r="O167" s="265">
        <f t="shared" ca="1" si="56"/>
        <v>182.13392891410297</v>
      </c>
      <c r="P167" s="265">
        <f t="shared" ca="1" si="57"/>
        <v>3.7604111647128096</v>
      </c>
      <c r="Q167" s="258">
        <f t="shared" ca="1" si="58"/>
        <v>108.1796875</v>
      </c>
      <c r="R167" s="265">
        <f t="shared" si="59"/>
        <v>2.5249365671641786</v>
      </c>
      <c r="S167" s="265">
        <f t="shared" si="60"/>
        <v>1.500803571428571</v>
      </c>
      <c r="T167" s="265">
        <f t="shared" si="61"/>
        <v>0.82693877551020412</v>
      </c>
      <c r="U167" s="265">
        <f t="shared" ca="1" si="62"/>
        <v>113.03236641410295</v>
      </c>
      <c r="V167" s="265">
        <f t="shared" ca="1" si="63"/>
        <v>2.3337122038253559</v>
      </c>
      <c r="W167" s="258">
        <f t="shared" ca="1" si="64"/>
        <v>26.592187500000001</v>
      </c>
      <c r="X167" s="265">
        <f t="shared" si="65"/>
        <v>2.5249365671641786</v>
      </c>
      <c r="Y167" s="265">
        <f t="shared" si="66"/>
        <v>1.500803571428571</v>
      </c>
      <c r="Z167" s="265">
        <f t="shared" si="67"/>
        <v>0.82693877551020412</v>
      </c>
      <c r="AA167" s="265">
        <f t="shared" ca="1" si="68"/>
        <v>31.444866414102954</v>
      </c>
      <c r="AB167" s="265">
        <f t="shared" ca="1" si="69"/>
        <v>0.64922349966030746</v>
      </c>
      <c r="AC167" s="258"/>
      <c r="AD167" s="258"/>
      <c r="AE167" s="258"/>
      <c r="AF167" s="258"/>
      <c r="AG167" s="258"/>
      <c r="AH167" s="258"/>
      <c r="AI167" s="258"/>
      <c r="AJ167" s="258"/>
      <c r="AK167" s="258"/>
      <c r="AL167" s="258"/>
      <c r="AM167" s="258"/>
    </row>
    <row r="168" spans="3:39" x14ac:dyDescent="0.25">
      <c r="C168" s="255" t="s">
        <v>6101</v>
      </c>
      <c r="D168" s="255">
        <v>173</v>
      </c>
      <c r="E168" s="255">
        <v>2.5099999999999998</v>
      </c>
      <c r="F168" s="266">
        <v>14.508670520231211</v>
      </c>
      <c r="G168" s="266">
        <f t="shared" si="48"/>
        <v>68.924302788844628</v>
      </c>
      <c r="H168" s="265">
        <f t="shared" si="49"/>
        <v>0.35758706467661688</v>
      </c>
      <c r="I168" s="265">
        <f t="shared" si="50"/>
        <v>0.2790178571428571</v>
      </c>
      <c r="J168" s="265">
        <f t="shared" si="51"/>
        <v>0.14172335600907029</v>
      </c>
      <c r="K168" s="258">
        <f t="shared" ca="1" si="52"/>
        <v>256.39840637450203</v>
      </c>
      <c r="L168" s="265">
        <f t="shared" si="53"/>
        <v>2.5249365671641786</v>
      </c>
      <c r="M168" s="265">
        <f t="shared" si="54"/>
        <v>1.500803571428571</v>
      </c>
      <c r="N168" s="265">
        <f t="shared" si="55"/>
        <v>0.82693877551020412</v>
      </c>
      <c r="O168" s="265">
        <f t="shared" ca="1" si="56"/>
        <v>261.25108528860494</v>
      </c>
      <c r="P168" s="265">
        <f t="shared" ca="1" si="57"/>
        <v>3.748080686347528</v>
      </c>
      <c r="Q168" s="258">
        <f t="shared" ca="1" si="58"/>
        <v>156.4581673306773</v>
      </c>
      <c r="R168" s="265">
        <f t="shared" si="59"/>
        <v>2.5249365671641786</v>
      </c>
      <c r="S168" s="265">
        <f t="shared" si="60"/>
        <v>1.500803571428571</v>
      </c>
      <c r="T168" s="265">
        <f t="shared" si="61"/>
        <v>0.82693877551020412</v>
      </c>
      <c r="U168" s="265">
        <f t="shared" ca="1" si="62"/>
        <v>161.31084624478027</v>
      </c>
      <c r="V168" s="265">
        <f t="shared" ca="1" si="63"/>
        <v>2.3142719833700451</v>
      </c>
      <c r="W168" s="258">
        <f t="shared" ca="1" si="64"/>
        <v>38.459760956175309</v>
      </c>
      <c r="X168" s="265">
        <f t="shared" si="65"/>
        <v>2.5249365671641786</v>
      </c>
      <c r="Y168" s="265">
        <f t="shared" si="66"/>
        <v>1.500803571428571</v>
      </c>
      <c r="Z168" s="265">
        <f t="shared" si="67"/>
        <v>0.82693877551020412</v>
      </c>
      <c r="AA168" s="265">
        <f t="shared" ca="1" si="68"/>
        <v>43.312439870278261</v>
      </c>
      <c r="AB168" s="265">
        <f t="shared" ca="1" si="69"/>
        <v>0.62138888026835448</v>
      </c>
      <c r="AC168" s="258"/>
      <c r="AD168" s="258"/>
      <c r="AE168" s="258"/>
      <c r="AF168" s="258"/>
      <c r="AG168" s="258"/>
      <c r="AH168" s="258"/>
      <c r="AI168" s="258"/>
      <c r="AJ168" s="258"/>
      <c r="AK168" s="258"/>
      <c r="AL168" s="258"/>
      <c r="AM168" s="258"/>
    </row>
    <row r="169" spans="3:39" x14ac:dyDescent="0.25">
      <c r="C169" s="255" t="s">
        <v>6102</v>
      </c>
      <c r="D169" s="255">
        <v>150</v>
      </c>
      <c r="E169" s="255">
        <v>2.4</v>
      </c>
      <c r="F169" s="266">
        <v>16</v>
      </c>
      <c r="G169" s="266">
        <f t="shared" si="48"/>
        <v>62.5</v>
      </c>
      <c r="H169" s="265">
        <f t="shared" si="49"/>
        <v>0.35758706467661688</v>
      </c>
      <c r="I169" s="265">
        <f t="shared" si="50"/>
        <v>0.2790178571428571</v>
      </c>
      <c r="J169" s="265">
        <f t="shared" si="51"/>
        <v>0.14172335600907029</v>
      </c>
      <c r="K169" s="258">
        <f t="shared" ca="1" si="52"/>
        <v>232.5</v>
      </c>
      <c r="L169" s="265">
        <f t="shared" si="53"/>
        <v>2.5249365671641786</v>
      </c>
      <c r="M169" s="265">
        <f t="shared" si="54"/>
        <v>1.500803571428571</v>
      </c>
      <c r="N169" s="265">
        <f t="shared" si="55"/>
        <v>0.82693877551020412</v>
      </c>
      <c r="O169" s="265">
        <f t="shared" ca="1" si="56"/>
        <v>237.35267891410297</v>
      </c>
      <c r="P169" s="265">
        <f t="shared" ca="1" si="57"/>
        <v>3.7509315649425363</v>
      </c>
      <c r="Q169" s="258">
        <f t="shared" ca="1" si="58"/>
        <v>141.875</v>
      </c>
      <c r="R169" s="265">
        <f t="shared" si="59"/>
        <v>2.5249365671641786</v>
      </c>
      <c r="S169" s="265">
        <f t="shared" si="60"/>
        <v>1.500803571428571</v>
      </c>
      <c r="T169" s="265">
        <f t="shared" si="61"/>
        <v>0.82693877551020412</v>
      </c>
      <c r="U169" s="265">
        <f t="shared" ca="1" si="62"/>
        <v>146.72767891410297</v>
      </c>
      <c r="V169" s="265">
        <f t="shared" ca="1" si="63"/>
        <v>2.318766675849643</v>
      </c>
      <c r="W169" s="258">
        <f t="shared" ca="1" si="64"/>
        <v>34.875</v>
      </c>
      <c r="X169" s="265">
        <f t="shared" si="65"/>
        <v>2.5249365671641786</v>
      </c>
      <c r="Y169" s="265">
        <f t="shared" si="66"/>
        <v>1.500803571428571</v>
      </c>
      <c r="Z169" s="265">
        <f t="shared" si="67"/>
        <v>0.82693877551020412</v>
      </c>
      <c r="AA169" s="265">
        <f t="shared" ca="1" si="68"/>
        <v>39.727678914102952</v>
      </c>
      <c r="AB169" s="265">
        <f t="shared" ca="1" si="69"/>
        <v>0.62782440679651674</v>
      </c>
      <c r="AC169" s="258"/>
      <c r="AD169" s="258"/>
      <c r="AE169" s="258"/>
      <c r="AF169" s="258"/>
      <c r="AG169" s="258"/>
      <c r="AH169" s="258"/>
      <c r="AI169" s="258"/>
      <c r="AJ169" s="258"/>
      <c r="AK169" s="258"/>
      <c r="AL169" s="258"/>
      <c r="AM169" s="258"/>
    </row>
    <row r="170" spans="3:39" x14ac:dyDescent="0.25">
      <c r="C170" s="255" t="s">
        <v>6103</v>
      </c>
      <c r="D170" s="255">
        <v>130</v>
      </c>
      <c r="E170" s="255">
        <v>2.38</v>
      </c>
      <c r="F170" s="266">
        <v>18.307692307692307</v>
      </c>
      <c r="G170" s="266">
        <f t="shared" si="48"/>
        <v>54.621848739495803</v>
      </c>
      <c r="H170" s="265">
        <f t="shared" si="49"/>
        <v>0.35758706467661688</v>
      </c>
      <c r="I170" s="265">
        <f t="shared" si="50"/>
        <v>0.2790178571428571</v>
      </c>
      <c r="J170" s="265">
        <f t="shared" si="51"/>
        <v>0.14172335600907029</v>
      </c>
      <c r="K170" s="258">
        <f t="shared" ca="1" si="52"/>
        <v>203.1932773109244</v>
      </c>
      <c r="L170" s="265">
        <f t="shared" si="53"/>
        <v>2.5249365671641786</v>
      </c>
      <c r="M170" s="265">
        <f t="shared" si="54"/>
        <v>1.500803571428571</v>
      </c>
      <c r="N170" s="265">
        <f t="shared" si="55"/>
        <v>0.82693877551020412</v>
      </c>
      <c r="O170" s="265">
        <f t="shared" ca="1" si="56"/>
        <v>208.04595622502737</v>
      </c>
      <c r="P170" s="265">
        <f t="shared" ca="1" si="57"/>
        <v>3.7553301708759652</v>
      </c>
      <c r="Q170" s="258">
        <f t="shared" ca="1" si="58"/>
        <v>123.99159663865548</v>
      </c>
      <c r="R170" s="265">
        <f t="shared" si="59"/>
        <v>2.5249365671641786</v>
      </c>
      <c r="S170" s="265">
        <f t="shared" si="60"/>
        <v>1.500803571428571</v>
      </c>
      <c r="T170" s="265">
        <f t="shared" si="61"/>
        <v>0.82693877551020412</v>
      </c>
      <c r="U170" s="265">
        <f t="shared" ca="1" si="62"/>
        <v>128.84427555275843</v>
      </c>
      <c r="V170" s="265">
        <f t="shared" ca="1" si="63"/>
        <v>2.3257015137779646</v>
      </c>
      <c r="W170" s="258">
        <f t="shared" ca="1" si="64"/>
        <v>30.478991596638661</v>
      </c>
      <c r="X170" s="265">
        <f t="shared" si="65"/>
        <v>2.5249365671641786</v>
      </c>
      <c r="Y170" s="265">
        <f t="shared" si="66"/>
        <v>1.500803571428571</v>
      </c>
      <c r="Z170" s="265">
        <f t="shared" si="67"/>
        <v>0.82693877551020412</v>
      </c>
      <c r="AA170" s="265">
        <f t="shared" ca="1" si="68"/>
        <v>35.331670510741617</v>
      </c>
      <c r="AB170" s="265">
        <f t="shared" ca="1" si="69"/>
        <v>0.63775374760432535</v>
      </c>
      <c r="AC170" s="258"/>
      <c r="AD170" s="258"/>
      <c r="AE170" s="258"/>
      <c r="AF170" s="258"/>
      <c r="AG170" s="258"/>
      <c r="AH170" s="258"/>
      <c r="AI170" s="258"/>
      <c r="AJ170" s="258"/>
      <c r="AK170" s="258"/>
      <c r="AL170" s="258"/>
      <c r="AM170" s="258"/>
    </row>
    <row r="171" spans="3:39" x14ac:dyDescent="0.25">
      <c r="C171" s="255" t="s">
        <v>6104</v>
      </c>
      <c r="D171" s="255">
        <v>115</v>
      </c>
      <c r="E171" s="255">
        <v>2.36</v>
      </c>
      <c r="F171" s="266">
        <v>20.521739130434781</v>
      </c>
      <c r="G171" s="266">
        <f t="shared" si="48"/>
        <v>48.728813559322035</v>
      </c>
      <c r="H171" s="265">
        <f t="shared" si="49"/>
        <v>0.35758706467661688</v>
      </c>
      <c r="I171" s="265">
        <f t="shared" si="50"/>
        <v>0.2790178571428571</v>
      </c>
      <c r="J171" s="265">
        <f t="shared" si="51"/>
        <v>0.14172335600907029</v>
      </c>
      <c r="K171" s="258">
        <f t="shared" ca="1" si="52"/>
        <v>181.27118644067798</v>
      </c>
      <c r="L171" s="265">
        <f t="shared" si="53"/>
        <v>2.5249365671641786</v>
      </c>
      <c r="M171" s="265">
        <f t="shared" si="54"/>
        <v>1.500803571428571</v>
      </c>
      <c r="N171" s="265">
        <f t="shared" si="55"/>
        <v>0.82693877551020412</v>
      </c>
      <c r="O171" s="265">
        <f t="shared" ca="1" si="56"/>
        <v>186.12386535478095</v>
      </c>
      <c r="P171" s="265">
        <f t="shared" ca="1" si="57"/>
        <v>3.7595356639052029</v>
      </c>
      <c r="Q171" s="258">
        <f t="shared" ca="1" si="58"/>
        <v>110.61440677966102</v>
      </c>
      <c r="R171" s="265">
        <f t="shared" si="59"/>
        <v>2.5249365671641786</v>
      </c>
      <c r="S171" s="265">
        <f t="shared" si="60"/>
        <v>1.500803571428571</v>
      </c>
      <c r="T171" s="265">
        <f t="shared" si="61"/>
        <v>0.82693877551020412</v>
      </c>
      <c r="U171" s="265">
        <f t="shared" ca="1" si="62"/>
        <v>115.46708569376398</v>
      </c>
      <c r="V171" s="265">
        <f t="shared" ca="1" si="63"/>
        <v>2.3323318900853311</v>
      </c>
      <c r="W171" s="258">
        <f t="shared" ca="1" si="64"/>
        <v>27.190677966101699</v>
      </c>
      <c r="X171" s="265">
        <f t="shared" si="65"/>
        <v>2.5249365671641786</v>
      </c>
      <c r="Y171" s="265">
        <f t="shared" si="66"/>
        <v>1.500803571428571</v>
      </c>
      <c r="Z171" s="265">
        <f t="shared" si="67"/>
        <v>0.82693877551020412</v>
      </c>
      <c r="AA171" s="265">
        <f t="shared" ca="1" si="68"/>
        <v>32.043356880204655</v>
      </c>
      <c r="AB171" s="265">
        <f t="shared" ca="1" si="69"/>
        <v>0.64724715851317938</v>
      </c>
      <c r="AC171" s="258"/>
      <c r="AD171" s="258"/>
      <c r="AE171" s="258"/>
      <c r="AF171" s="258"/>
      <c r="AG171" s="258"/>
      <c r="AH171" s="258"/>
      <c r="AI171" s="258"/>
      <c r="AJ171" s="258"/>
      <c r="AK171" s="258"/>
      <c r="AL171" s="258"/>
      <c r="AM171" s="258"/>
    </row>
    <row r="172" spans="3:39" x14ac:dyDescent="0.25">
      <c r="C172" s="255" t="s">
        <v>6105</v>
      </c>
      <c r="D172" s="255">
        <v>440</v>
      </c>
      <c r="E172" s="255">
        <v>2.88</v>
      </c>
      <c r="F172" s="266">
        <v>6.545454545454545</v>
      </c>
      <c r="G172" s="266">
        <f t="shared" si="48"/>
        <v>152.77777777777777</v>
      </c>
      <c r="H172" s="265">
        <f t="shared" si="49"/>
        <v>0.35758706467661688</v>
      </c>
      <c r="I172" s="265">
        <f t="shared" si="50"/>
        <v>0.2790178571428571</v>
      </c>
      <c r="J172" s="265">
        <f t="shared" si="51"/>
        <v>0.14172335600907029</v>
      </c>
      <c r="K172" s="258">
        <f t="shared" ca="1" si="52"/>
        <v>568.33333333333337</v>
      </c>
      <c r="L172" s="265">
        <f t="shared" si="53"/>
        <v>2.5249365671641786</v>
      </c>
      <c r="M172" s="265">
        <f t="shared" si="54"/>
        <v>1.500803571428571</v>
      </c>
      <c r="N172" s="265">
        <f t="shared" si="55"/>
        <v>0.82693877551020412</v>
      </c>
      <c r="O172" s="265">
        <f t="shared" ca="1" si="56"/>
        <v>573.18601224743645</v>
      </c>
      <c r="P172" s="265">
        <f t="shared" ca="1" si="57"/>
        <v>3.7327464662321681</v>
      </c>
      <c r="Q172" s="258">
        <f t="shared" ca="1" si="58"/>
        <v>346.80555555555554</v>
      </c>
      <c r="R172" s="265">
        <f t="shared" si="59"/>
        <v>2.5249365671641786</v>
      </c>
      <c r="S172" s="265">
        <f t="shared" si="60"/>
        <v>1.500803571428571</v>
      </c>
      <c r="T172" s="265">
        <f t="shared" si="61"/>
        <v>0.82693877551020412</v>
      </c>
      <c r="U172" s="265">
        <f t="shared" ca="1" si="62"/>
        <v>351.65823446965845</v>
      </c>
      <c r="V172" s="265">
        <f t="shared" ca="1" si="63"/>
        <v>2.2900960665303316</v>
      </c>
      <c r="W172" s="258">
        <f t="shared" ca="1" si="64"/>
        <v>85.25</v>
      </c>
      <c r="X172" s="265">
        <f t="shared" si="65"/>
        <v>2.5249365671641786</v>
      </c>
      <c r="Y172" s="265">
        <f t="shared" si="66"/>
        <v>1.500803571428571</v>
      </c>
      <c r="Z172" s="265">
        <f t="shared" si="67"/>
        <v>0.82693877551020412</v>
      </c>
      <c r="AA172" s="265">
        <f t="shared" ca="1" si="68"/>
        <v>90.102678914102952</v>
      </c>
      <c r="AB172" s="265">
        <f t="shared" ca="1" si="69"/>
        <v>0.58677366357202776</v>
      </c>
      <c r="AC172" s="258"/>
      <c r="AD172" s="258"/>
      <c r="AE172" s="258"/>
      <c r="AF172" s="258"/>
      <c r="AG172" s="258"/>
      <c r="AH172" s="258"/>
      <c r="AI172" s="258"/>
      <c r="AJ172" s="258"/>
      <c r="AK172" s="258"/>
      <c r="AL172" s="258"/>
      <c r="AM172" s="258"/>
    </row>
    <row r="173" spans="3:39" x14ac:dyDescent="0.25">
      <c r="C173" s="255" t="s">
        <v>6106</v>
      </c>
      <c r="D173" s="255">
        <v>414</v>
      </c>
      <c r="E173" s="255">
        <v>2.9</v>
      </c>
      <c r="F173" s="266">
        <v>7.0048309178743953</v>
      </c>
      <c r="G173" s="266">
        <f t="shared" si="48"/>
        <v>142.75862068965517</v>
      </c>
      <c r="H173" s="265">
        <f t="shared" si="49"/>
        <v>0.35758706467661688</v>
      </c>
      <c r="I173" s="265">
        <f t="shared" si="50"/>
        <v>0.2790178571428571</v>
      </c>
      <c r="J173" s="265">
        <f t="shared" si="51"/>
        <v>0.14172335600907029</v>
      </c>
      <c r="K173" s="258">
        <f t="shared" ca="1" si="52"/>
        <v>531.06206896551726</v>
      </c>
      <c r="L173" s="265">
        <f t="shared" si="53"/>
        <v>2.5249365671641786</v>
      </c>
      <c r="M173" s="265">
        <f t="shared" si="54"/>
        <v>1.500803571428571</v>
      </c>
      <c r="N173" s="265">
        <f t="shared" si="55"/>
        <v>0.82693877551020412</v>
      </c>
      <c r="O173" s="265">
        <f t="shared" ca="1" si="56"/>
        <v>535.91474787962034</v>
      </c>
      <c r="P173" s="265">
        <f t="shared" ca="1" si="57"/>
        <v>3.7336361942667762</v>
      </c>
      <c r="Q173" s="258">
        <f t="shared" ca="1" si="58"/>
        <v>324.06206896551726</v>
      </c>
      <c r="R173" s="265">
        <f t="shared" si="59"/>
        <v>2.5249365671641786</v>
      </c>
      <c r="S173" s="265">
        <f t="shared" si="60"/>
        <v>1.500803571428571</v>
      </c>
      <c r="T173" s="265">
        <f t="shared" si="61"/>
        <v>0.82693877551020412</v>
      </c>
      <c r="U173" s="265">
        <f t="shared" ca="1" si="62"/>
        <v>328.91474787962017</v>
      </c>
      <c r="V173" s="265">
        <f t="shared" ca="1" si="63"/>
        <v>2.2914988109029069</v>
      </c>
      <c r="W173" s="258">
        <f t="shared" ca="1" si="64"/>
        <v>79.659310344827588</v>
      </c>
      <c r="X173" s="265">
        <f t="shared" si="65"/>
        <v>2.5249365671641786</v>
      </c>
      <c r="Y173" s="265">
        <f t="shared" si="66"/>
        <v>1.500803571428571</v>
      </c>
      <c r="Z173" s="265">
        <f t="shared" si="67"/>
        <v>0.82693877551020412</v>
      </c>
      <c r="AA173" s="265">
        <f t="shared" ca="1" si="68"/>
        <v>84.511989258930541</v>
      </c>
      <c r="AB173" s="265">
        <f t="shared" ca="1" si="69"/>
        <v>0.58878212102777483</v>
      </c>
      <c r="AC173" s="258"/>
      <c r="AD173" s="258"/>
      <c r="AE173" s="258"/>
      <c r="AF173" s="258"/>
      <c r="AG173" s="258"/>
      <c r="AH173" s="258"/>
      <c r="AI173" s="258"/>
      <c r="AJ173" s="258"/>
      <c r="AK173" s="258"/>
      <c r="AL173" s="258"/>
      <c r="AM173" s="258"/>
    </row>
    <row r="174" spans="3:39" x14ac:dyDescent="0.25">
      <c r="C174" s="255" t="s">
        <v>6107</v>
      </c>
      <c r="D174" s="255">
        <v>383</v>
      </c>
      <c r="E174" s="255">
        <v>2.88</v>
      </c>
      <c r="F174" s="266">
        <v>7.5195822454308088</v>
      </c>
      <c r="G174" s="266">
        <f t="shared" si="48"/>
        <v>132.98611111111111</v>
      </c>
      <c r="H174" s="265">
        <f t="shared" si="49"/>
        <v>0.35758706467661688</v>
      </c>
      <c r="I174" s="265">
        <f t="shared" si="50"/>
        <v>0.2790178571428571</v>
      </c>
      <c r="J174" s="265">
        <f t="shared" si="51"/>
        <v>0.14172335600907029</v>
      </c>
      <c r="K174" s="258">
        <f t="shared" ca="1" si="52"/>
        <v>494.70833333333337</v>
      </c>
      <c r="L174" s="265">
        <f t="shared" si="53"/>
        <v>2.5249365671641786</v>
      </c>
      <c r="M174" s="265">
        <f t="shared" si="54"/>
        <v>1.500803571428571</v>
      </c>
      <c r="N174" s="265">
        <f t="shared" si="55"/>
        <v>0.82693877551020412</v>
      </c>
      <c r="O174" s="265">
        <f t="shared" ca="1" si="56"/>
        <v>499.56101224743628</v>
      </c>
      <c r="P174" s="265">
        <f t="shared" ca="1" si="57"/>
        <v>3.7346324219614875</v>
      </c>
      <c r="Q174" s="258">
        <f t="shared" ca="1" si="58"/>
        <v>301.87847222222223</v>
      </c>
      <c r="R174" s="265">
        <f t="shared" si="59"/>
        <v>2.5249365671641786</v>
      </c>
      <c r="S174" s="265">
        <f t="shared" si="60"/>
        <v>1.500803571428571</v>
      </c>
      <c r="T174" s="265">
        <f t="shared" si="61"/>
        <v>0.82693877551020412</v>
      </c>
      <c r="U174" s="265">
        <f t="shared" ca="1" si="62"/>
        <v>306.73115113632514</v>
      </c>
      <c r="V174" s="265">
        <f t="shared" ca="1" si="63"/>
        <v>2.2930694625382424</v>
      </c>
      <c r="W174" s="258">
        <f t="shared" ca="1" si="64"/>
        <v>74.206250000000011</v>
      </c>
      <c r="X174" s="265">
        <f t="shared" si="65"/>
        <v>2.5249365671641786</v>
      </c>
      <c r="Y174" s="265">
        <f t="shared" si="66"/>
        <v>1.500803571428571</v>
      </c>
      <c r="Z174" s="265">
        <f t="shared" si="67"/>
        <v>0.82693877551020412</v>
      </c>
      <c r="AA174" s="265">
        <f t="shared" ca="1" si="68"/>
        <v>79.058928914102964</v>
      </c>
      <c r="AB174" s="265">
        <f t="shared" ca="1" si="69"/>
        <v>0.5910309890674873</v>
      </c>
      <c r="AC174" s="258"/>
      <c r="AD174" s="258"/>
      <c r="AE174" s="258"/>
      <c r="AF174" s="258"/>
      <c r="AG174" s="258"/>
      <c r="AH174" s="258"/>
      <c r="AI174" s="258"/>
      <c r="AJ174" s="258"/>
      <c r="AK174" s="258"/>
      <c r="AL174" s="258"/>
      <c r="AM174" s="258"/>
    </row>
    <row r="175" spans="3:39" x14ac:dyDescent="0.25">
      <c r="C175" s="255" t="s">
        <v>6108</v>
      </c>
      <c r="D175" s="255">
        <v>340</v>
      </c>
      <c r="E175" s="255">
        <v>2.98</v>
      </c>
      <c r="F175" s="266">
        <v>8.764705882352942</v>
      </c>
      <c r="G175" s="266">
        <f t="shared" si="48"/>
        <v>114.09395973154362</v>
      </c>
      <c r="H175" s="265">
        <f t="shared" si="49"/>
        <v>0.35758706467661688</v>
      </c>
      <c r="I175" s="265">
        <f t="shared" si="50"/>
        <v>0.2790178571428571</v>
      </c>
      <c r="J175" s="265">
        <f t="shared" si="51"/>
        <v>0.14172335600907029</v>
      </c>
      <c r="K175" s="258">
        <f t="shared" ca="1" si="52"/>
        <v>424.42953020134229</v>
      </c>
      <c r="L175" s="265">
        <f t="shared" si="53"/>
        <v>2.5249365671641786</v>
      </c>
      <c r="M175" s="265">
        <f t="shared" si="54"/>
        <v>1.500803571428571</v>
      </c>
      <c r="N175" s="265">
        <f t="shared" si="55"/>
        <v>0.82693877551020412</v>
      </c>
      <c r="O175" s="265">
        <f t="shared" ca="1" si="56"/>
        <v>429.2822091154452</v>
      </c>
      <c r="P175" s="265">
        <f t="shared" ca="1" si="57"/>
        <v>3.7370389025455908</v>
      </c>
      <c r="Q175" s="258">
        <f t="shared" ca="1" si="58"/>
        <v>258.99328859060404</v>
      </c>
      <c r="R175" s="265">
        <f t="shared" si="59"/>
        <v>2.5249365671641786</v>
      </c>
      <c r="S175" s="265">
        <f t="shared" si="60"/>
        <v>1.500803571428571</v>
      </c>
      <c r="T175" s="265">
        <f t="shared" si="61"/>
        <v>0.82693877551020412</v>
      </c>
      <c r="U175" s="265">
        <f t="shared" ca="1" si="62"/>
        <v>263.84596750470695</v>
      </c>
      <c r="V175" s="265">
        <f t="shared" ca="1" si="63"/>
        <v>2.2968635175368002</v>
      </c>
      <c r="W175" s="258">
        <f t="shared" ca="1" si="64"/>
        <v>63.664429530201346</v>
      </c>
      <c r="X175" s="265">
        <f t="shared" si="65"/>
        <v>2.5249365671641786</v>
      </c>
      <c r="Y175" s="265">
        <f t="shared" si="66"/>
        <v>1.500803571428571</v>
      </c>
      <c r="Z175" s="265">
        <f t="shared" si="67"/>
        <v>0.82693877551020412</v>
      </c>
      <c r="AA175" s="265">
        <f t="shared" ca="1" si="68"/>
        <v>68.517108444304299</v>
      </c>
      <c r="AB175" s="265">
        <f t="shared" ca="1" si="69"/>
        <v>0.59646333882297309</v>
      </c>
      <c r="AC175" s="258"/>
      <c r="AD175" s="258"/>
      <c r="AE175" s="258"/>
      <c r="AF175" s="258"/>
      <c r="AG175" s="258"/>
      <c r="AH175" s="258"/>
      <c r="AI175" s="258"/>
      <c r="AJ175" s="258"/>
      <c r="AK175" s="258"/>
      <c r="AL175" s="258"/>
      <c r="AM175" s="258"/>
    </row>
    <row r="176" spans="3:39" x14ac:dyDescent="0.25">
      <c r="C176" s="255" t="s">
        <v>6109</v>
      </c>
      <c r="D176" s="255">
        <v>290</v>
      </c>
      <c r="E176" s="255">
        <v>2.97</v>
      </c>
      <c r="F176" s="266">
        <v>10.241379310344827</v>
      </c>
      <c r="G176" s="266">
        <f t="shared" si="48"/>
        <v>97.643097643097633</v>
      </c>
      <c r="H176" s="265">
        <f t="shared" si="49"/>
        <v>0.35758706467661688</v>
      </c>
      <c r="I176" s="265">
        <f t="shared" si="50"/>
        <v>0.2790178571428571</v>
      </c>
      <c r="J176" s="265">
        <f t="shared" si="51"/>
        <v>0.14172335600907029</v>
      </c>
      <c r="K176" s="258">
        <f t="shared" ca="1" si="52"/>
        <v>363.23232323232321</v>
      </c>
      <c r="L176" s="265">
        <f t="shared" si="53"/>
        <v>2.5249365671641786</v>
      </c>
      <c r="M176" s="265">
        <f t="shared" si="54"/>
        <v>1.500803571428571</v>
      </c>
      <c r="N176" s="265">
        <f t="shared" si="55"/>
        <v>0.82693877551020412</v>
      </c>
      <c r="O176" s="265">
        <f t="shared" ca="1" si="56"/>
        <v>368.08500214642612</v>
      </c>
      <c r="P176" s="265">
        <f t="shared" ca="1" si="57"/>
        <v>3.7398869067610669</v>
      </c>
      <c r="Q176" s="258">
        <f t="shared" ca="1" si="58"/>
        <v>221.64983164983164</v>
      </c>
      <c r="R176" s="265">
        <f t="shared" si="59"/>
        <v>2.5249365671641786</v>
      </c>
      <c r="S176" s="265">
        <f t="shared" si="60"/>
        <v>1.500803571428571</v>
      </c>
      <c r="T176" s="265">
        <f t="shared" si="61"/>
        <v>0.82693877551020412</v>
      </c>
      <c r="U176" s="265">
        <f t="shared" ca="1" si="62"/>
        <v>226.50251056393461</v>
      </c>
      <c r="V176" s="265">
        <f t="shared" ca="1" si="63"/>
        <v>2.3013536782723656</v>
      </c>
      <c r="W176" s="258">
        <f t="shared" ca="1" si="64"/>
        <v>54.484848484848484</v>
      </c>
      <c r="X176" s="265">
        <f t="shared" si="65"/>
        <v>2.5249365671641786</v>
      </c>
      <c r="Y176" s="265">
        <f t="shared" si="66"/>
        <v>1.500803571428571</v>
      </c>
      <c r="Z176" s="265">
        <f t="shared" si="67"/>
        <v>0.82693877551020412</v>
      </c>
      <c r="AA176" s="265">
        <f t="shared" ca="1" si="68"/>
        <v>59.337527398951437</v>
      </c>
      <c r="AB176" s="265">
        <f t="shared" ca="1" si="69"/>
        <v>0.60289237677398044</v>
      </c>
      <c r="AC176" s="258"/>
      <c r="AD176" s="258"/>
      <c r="AE176" s="258"/>
      <c r="AF176" s="258"/>
      <c r="AG176" s="258"/>
      <c r="AH176" s="258"/>
      <c r="AI176" s="258"/>
      <c r="AJ176" s="258"/>
      <c r="AK176" s="258"/>
      <c r="AL176" s="258"/>
      <c r="AM176" s="258"/>
    </row>
    <row r="177" spans="3:39" x14ac:dyDescent="0.25">
      <c r="C177" s="255" t="s">
        <v>6110</v>
      </c>
      <c r="D177" s="255">
        <v>267</v>
      </c>
      <c r="E177" s="255">
        <v>2.96</v>
      </c>
      <c r="F177" s="266">
        <v>11.086142322097379</v>
      </c>
      <c r="G177" s="266">
        <f t="shared" si="48"/>
        <v>90.202702702702709</v>
      </c>
      <c r="H177" s="265">
        <f t="shared" si="49"/>
        <v>0.35758706467661688</v>
      </c>
      <c r="I177" s="265">
        <f t="shared" si="50"/>
        <v>0.2790178571428571</v>
      </c>
      <c r="J177" s="265">
        <f t="shared" si="51"/>
        <v>0.14172335600907029</v>
      </c>
      <c r="K177" s="258">
        <f t="shared" ca="1" si="52"/>
        <v>335.55405405405412</v>
      </c>
      <c r="L177" s="265">
        <f t="shared" si="53"/>
        <v>2.5249365671641786</v>
      </c>
      <c r="M177" s="265">
        <f t="shared" si="54"/>
        <v>1.500803571428571</v>
      </c>
      <c r="N177" s="265">
        <f t="shared" si="55"/>
        <v>0.82693877551020412</v>
      </c>
      <c r="O177" s="265">
        <f t="shared" ca="1" si="56"/>
        <v>340.40673296815703</v>
      </c>
      <c r="P177" s="265">
        <f t="shared" ca="1" si="57"/>
        <v>3.7415132506137416</v>
      </c>
      <c r="Q177" s="258">
        <f t="shared" ca="1" si="58"/>
        <v>204.76013513513516</v>
      </c>
      <c r="R177" s="265">
        <f t="shared" si="59"/>
        <v>2.5249365671641786</v>
      </c>
      <c r="S177" s="265">
        <f t="shared" si="60"/>
        <v>1.500803571428571</v>
      </c>
      <c r="T177" s="265">
        <f t="shared" si="61"/>
        <v>0.82693877551020412</v>
      </c>
      <c r="U177" s="265">
        <f t="shared" ca="1" si="62"/>
        <v>209.61281404923812</v>
      </c>
      <c r="V177" s="265">
        <f t="shared" ca="1" si="63"/>
        <v>2.3039177704426379</v>
      </c>
      <c r="W177" s="258">
        <f t="shared" ca="1" si="64"/>
        <v>50.333108108108114</v>
      </c>
      <c r="X177" s="265">
        <f t="shared" si="65"/>
        <v>2.5249365671641786</v>
      </c>
      <c r="Y177" s="265">
        <f t="shared" si="66"/>
        <v>1.500803571428571</v>
      </c>
      <c r="Z177" s="265">
        <f t="shared" si="67"/>
        <v>0.82693877551020412</v>
      </c>
      <c r="AA177" s="265">
        <f t="shared" ca="1" si="68"/>
        <v>55.185787022211066</v>
      </c>
      <c r="AB177" s="265">
        <f t="shared" ca="1" si="69"/>
        <v>0.60656365868199602</v>
      </c>
      <c r="AC177" s="258"/>
      <c r="AD177" s="258"/>
      <c r="AE177" s="258"/>
      <c r="AF177" s="258"/>
      <c r="AG177" s="258"/>
      <c r="AH177" s="258"/>
      <c r="AI177" s="258"/>
      <c r="AJ177" s="258"/>
      <c r="AK177" s="258"/>
      <c r="AL177" s="258"/>
      <c r="AM177" s="258"/>
    </row>
    <row r="178" spans="3:39" x14ac:dyDescent="0.25">
      <c r="C178" s="255" t="s">
        <v>6111</v>
      </c>
      <c r="D178" s="255">
        <v>228</v>
      </c>
      <c r="E178" s="255">
        <v>2.94</v>
      </c>
      <c r="F178" s="266">
        <v>12.894736842105262</v>
      </c>
      <c r="G178" s="266">
        <f t="shared" si="48"/>
        <v>77.551020408163268</v>
      </c>
      <c r="H178" s="265">
        <f t="shared" si="49"/>
        <v>0.35758706467661688</v>
      </c>
      <c r="I178" s="265">
        <f t="shared" si="50"/>
        <v>0.2790178571428571</v>
      </c>
      <c r="J178" s="265">
        <f t="shared" si="51"/>
        <v>0.14172335600907029</v>
      </c>
      <c r="K178" s="258">
        <f t="shared" ca="1" si="52"/>
        <v>288.48979591836735</v>
      </c>
      <c r="L178" s="265">
        <f t="shared" si="53"/>
        <v>2.5249365671641786</v>
      </c>
      <c r="M178" s="265">
        <f t="shared" si="54"/>
        <v>1.500803571428571</v>
      </c>
      <c r="N178" s="265">
        <f t="shared" si="55"/>
        <v>0.82693877551020412</v>
      </c>
      <c r="O178" s="265">
        <f t="shared" ca="1" si="56"/>
        <v>293.34247483247026</v>
      </c>
      <c r="P178" s="265">
        <f t="shared" ca="1" si="57"/>
        <v>3.7449880504997832</v>
      </c>
      <c r="Q178" s="258">
        <f t="shared" ca="1" si="58"/>
        <v>176.04081632653063</v>
      </c>
      <c r="R178" s="265">
        <f t="shared" si="59"/>
        <v>2.5249365671641786</v>
      </c>
      <c r="S178" s="265">
        <f t="shared" si="60"/>
        <v>1.500803571428571</v>
      </c>
      <c r="T178" s="265">
        <f t="shared" si="61"/>
        <v>0.82693877551020412</v>
      </c>
      <c r="U178" s="265">
        <f t="shared" ca="1" si="62"/>
        <v>180.8934952406336</v>
      </c>
      <c r="V178" s="265">
        <f t="shared" ca="1" si="63"/>
        <v>2.3093961366358715</v>
      </c>
      <c r="W178" s="258">
        <f t="shared" ca="1" si="64"/>
        <v>43.273469387755107</v>
      </c>
      <c r="X178" s="265">
        <f t="shared" si="65"/>
        <v>2.5249365671641786</v>
      </c>
      <c r="Y178" s="265">
        <f t="shared" si="66"/>
        <v>1.500803571428571</v>
      </c>
      <c r="Z178" s="265">
        <f t="shared" si="67"/>
        <v>0.82693877551020412</v>
      </c>
      <c r="AA178" s="265">
        <f t="shared" ca="1" si="68"/>
        <v>48.126148301858059</v>
      </c>
      <c r="AB178" s="265">
        <f t="shared" ca="1" si="69"/>
        <v>0.61440761488758289</v>
      </c>
      <c r="AC178" s="258"/>
      <c r="AD178" s="258"/>
      <c r="AE178" s="258"/>
      <c r="AF178" s="258"/>
      <c r="AG178" s="258"/>
      <c r="AH178" s="258"/>
      <c r="AI178" s="258"/>
      <c r="AJ178" s="258"/>
      <c r="AK178" s="258"/>
      <c r="AL178" s="258"/>
      <c r="AM178" s="258"/>
    </row>
    <row r="179" spans="3:39" x14ac:dyDescent="0.25">
      <c r="C179" s="255" t="s">
        <v>6112</v>
      </c>
      <c r="D179" s="255">
        <v>361</v>
      </c>
      <c r="E179" s="255">
        <v>2.38</v>
      </c>
      <c r="F179" s="266">
        <v>6.5927977839335181</v>
      </c>
      <c r="G179" s="266">
        <f t="shared" si="48"/>
        <v>151.68067226890756</v>
      </c>
      <c r="H179" s="265">
        <f t="shared" si="49"/>
        <v>0.35758706467661688</v>
      </c>
      <c r="I179" s="265">
        <f t="shared" si="50"/>
        <v>0.2790178571428571</v>
      </c>
      <c r="J179" s="265">
        <f t="shared" si="51"/>
        <v>0.14172335600907029</v>
      </c>
      <c r="K179" s="258">
        <f t="shared" ca="1" si="52"/>
        <v>564.2521008403362</v>
      </c>
      <c r="L179" s="265">
        <f t="shared" si="53"/>
        <v>2.5249365671641786</v>
      </c>
      <c r="M179" s="265">
        <f t="shared" si="54"/>
        <v>1.500803571428571</v>
      </c>
      <c r="N179" s="265">
        <f t="shared" si="55"/>
        <v>0.82693877551020412</v>
      </c>
      <c r="O179" s="265">
        <f t="shared" ca="1" si="56"/>
        <v>569.10477975443928</v>
      </c>
      <c r="P179" s="265">
        <f t="shared" ca="1" si="57"/>
        <v>3.732838190684459</v>
      </c>
      <c r="Q179" s="258">
        <f t="shared" ca="1" si="58"/>
        <v>344.31512605042013</v>
      </c>
      <c r="R179" s="265">
        <f t="shared" si="59"/>
        <v>2.5249365671641786</v>
      </c>
      <c r="S179" s="265">
        <f t="shared" si="60"/>
        <v>1.500803571428571</v>
      </c>
      <c r="T179" s="265">
        <f t="shared" si="61"/>
        <v>0.82693877551020412</v>
      </c>
      <c r="U179" s="265">
        <f t="shared" ca="1" si="62"/>
        <v>349.16780496452304</v>
      </c>
      <c r="V179" s="265">
        <f t="shared" ca="1" si="63"/>
        <v>2.2902406792145156</v>
      </c>
      <c r="W179" s="258">
        <f t="shared" ca="1" si="64"/>
        <v>84.637815126050427</v>
      </c>
      <c r="X179" s="265">
        <f t="shared" si="65"/>
        <v>2.5249365671641786</v>
      </c>
      <c r="Y179" s="265">
        <f t="shared" si="66"/>
        <v>1.500803571428571</v>
      </c>
      <c r="Z179" s="265">
        <f t="shared" si="67"/>
        <v>0.82693877551020412</v>
      </c>
      <c r="AA179" s="265">
        <f t="shared" ca="1" si="68"/>
        <v>89.490494040153379</v>
      </c>
      <c r="AB179" s="265">
        <f t="shared" ca="1" si="69"/>
        <v>0.58698072084448827</v>
      </c>
      <c r="AC179" s="258"/>
      <c r="AD179" s="258"/>
      <c r="AE179" s="258"/>
      <c r="AF179" s="258"/>
      <c r="AG179" s="258"/>
      <c r="AH179" s="258"/>
      <c r="AI179" s="258"/>
      <c r="AJ179" s="258"/>
      <c r="AK179" s="258"/>
      <c r="AL179" s="258"/>
      <c r="AM179" s="258"/>
    </row>
    <row r="180" spans="3:39" x14ac:dyDescent="0.25">
      <c r="C180" s="255" t="s">
        <v>6113</v>
      </c>
      <c r="D180" s="255">
        <v>328</v>
      </c>
      <c r="E180" s="255">
        <v>2.4</v>
      </c>
      <c r="F180" s="266">
        <v>7.3170731707317067</v>
      </c>
      <c r="G180" s="266">
        <f t="shared" si="48"/>
        <v>136.66666666666669</v>
      </c>
      <c r="H180" s="265">
        <f t="shared" si="49"/>
        <v>0.35758706467661688</v>
      </c>
      <c r="I180" s="265">
        <f t="shared" si="50"/>
        <v>0.2790178571428571</v>
      </c>
      <c r="J180" s="265">
        <f t="shared" si="51"/>
        <v>0.14172335600907029</v>
      </c>
      <c r="K180" s="258">
        <f t="shared" ca="1" si="52"/>
        <v>508.40000000000009</v>
      </c>
      <c r="L180" s="265">
        <f t="shared" si="53"/>
        <v>2.5249365671641786</v>
      </c>
      <c r="M180" s="265">
        <f t="shared" si="54"/>
        <v>1.500803571428571</v>
      </c>
      <c r="N180" s="265">
        <f t="shared" si="55"/>
        <v>0.82693877551020412</v>
      </c>
      <c r="O180" s="265">
        <f t="shared" ca="1" si="56"/>
        <v>513.25267891410306</v>
      </c>
      <c r="P180" s="265">
        <f t="shared" ca="1" si="57"/>
        <v>3.7342405892726123</v>
      </c>
      <c r="Q180" s="258">
        <f t="shared" ca="1" si="58"/>
        <v>310.23333333333341</v>
      </c>
      <c r="R180" s="265">
        <f t="shared" si="59"/>
        <v>2.5249365671641786</v>
      </c>
      <c r="S180" s="265">
        <f t="shared" si="60"/>
        <v>1.500803571428571</v>
      </c>
      <c r="T180" s="265">
        <f t="shared" si="61"/>
        <v>0.82693877551020412</v>
      </c>
      <c r="U180" s="265">
        <f t="shared" ca="1" si="62"/>
        <v>315.08601224743632</v>
      </c>
      <c r="V180" s="265">
        <f t="shared" ca="1" si="63"/>
        <v>2.2924516994938835</v>
      </c>
      <c r="W180" s="258">
        <f t="shared" ca="1" si="64"/>
        <v>76.260000000000019</v>
      </c>
      <c r="X180" s="265">
        <f t="shared" si="65"/>
        <v>2.5249365671641786</v>
      </c>
      <c r="Y180" s="265">
        <f t="shared" si="66"/>
        <v>1.500803571428571</v>
      </c>
      <c r="Z180" s="265">
        <f t="shared" si="67"/>
        <v>0.82693877551020412</v>
      </c>
      <c r="AA180" s="265">
        <f t="shared" ca="1" si="68"/>
        <v>81.112678914102972</v>
      </c>
      <c r="AB180" s="265">
        <f t="shared" ca="1" si="69"/>
        <v>0.5901464723896197</v>
      </c>
      <c r="AC180" s="258"/>
      <c r="AD180" s="258"/>
      <c r="AE180" s="258"/>
      <c r="AF180" s="258"/>
      <c r="AG180" s="258"/>
      <c r="AH180" s="258"/>
      <c r="AI180" s="258"/>
      <c r="AJ180" s="258"/>
      <c r="AK180" s="258"/>
      <c r="AL180" s="258"/>
      <c r="AM180" s="258"/>
    </row>
    <row r="181" spans="3:39" x14ac:dyDescent="0.25">
      <c r="C181" s="255" t="s">
        <v>6114</v>
      </c>
      <c r="D181" s="255">
        <v>303</v>
      </c>
      <c r="E181" s="255">
        <v>2.39</v>
      </c>
      <c r="F181" s="266">
        <v>7.8877887788778889</v>
      </c>
      <c r="G181" s="266">
        <f t="shared" si="48"/>
        <v>126.77824267782427</v>
      </c>
      <c r="H181" s="265">
        <f t="shared" si="49"/>
        <v>0.35758706467661688</v>
      </c>
      <c r="I181" s="265">
        <f t="shared" si="50"/>
        <v>0.2790178571428571</v>
      </c>
      <c r="J181" s="265">
        <f t="shared" si="51"/>
        <v>0.14172335600907029</v>
      </c>
      <c r="K181" s="258">
        <f t="shared" ca="1" si="52"/>
        <v>471.61506276150629</v>
      </c>
      <c r="L181" s="265">
        <f t="shared" si="53"/>
        <v>2.5249365671641786</v>
      </c>
      <c r="M181" s="265">
        <f t="shared" si="54"/>
        <v>1.500803571428571</v>
      </c>
      <c r="N181" s="265">
        <f t="shared" si="55"/>
        <v>0.82693877551020412</v>
      </c>
      <c r="O181" s="265">
        <f t="shared" ca="1" si="56"/>
        <v>476.4677416756092</v>
      </c>
      <c r="P181" s="265">
        <f t="shared" ca="1" si="57"/>
        <v>3.7353445463915866</v>
      </c>
      <c r="Q181" s="258">
        <f t="shared" ca="1" si="58"/>
        <v>287.78661087866107</v>
      </c>
      <c r="R181" s="265">
        <f t="shared" si="59"/>
        <v>2.5249365671641786</v>
      </c>
      <c r="S181" s="265">
        <f t="shared" si="60"/>
        <v>1.500803571428571</v>
      </c>
      <c r="T181" s="265">
        <f t="shared" si="61"/>
        <v>0.82693877551020412</v>
      </c>
      <c r="U181" s="265">
        <f t="shared" ca="1" si="62"/>
        <v>292.63928979276398</v>
      </c>
      <c r="V181" s="265">
        <f t="shared" ca="1" si="63"/>
        <v>2.2941921972369808</v>
      </c>
      <c r="W181" s="258">
        <f t="shared" ca="1" si="64"/>
        <v>70.742259414225941</v>
      </c>
      <c r="X181" s="265">
        <f t="shared" si="65"/>
        <v>2.5249365671641786</v>
      </c>
      <c r="Y181" s="265">
        <f t="shared" si="66"/>
        <v>1.500803571428571</v>
      </c>
      <c r="Z181" s="265">
        <f t="shared" si="67"/>
        <v>0.82693877551020412</v>
      </c>
      <c r="AA181" s="265">
        <f t="shared" ca="1" si="68"/>
        <v>75.594938328328894</v>
      </c>
      <c r="AB181" s="265">
        <f t="shared" ca="1" si="69"/>
        <v>0.59263852706271591</v>
      </c>
      <c r="AC181" s="258"/>
      <c r="AD181" s="258"/>
      <c r="AE181" s="258"/>
      <c r="AF181" s="258"/>
      <c r="AG181" s="258"/>
      <c r="AH181" s="258"/>
      <c r="AI181" s="258"/>
      <c r="AJ181" s="258"/>
      <c r="AK181" s="258"/>
      <c r="AL181" s="258"/>
      <c r="AM181" s="258"/>
    </row>
    <row r="182" spans="3:39" x14ac:dyDescent="0.25">
      <c r="C182" s="255" t="s">
        <v>6115</v>
      </c>
      <c r="D182" s="255">
        <v>270</v>
      </c>
      <c r="E182" s="255">
        <v>2.38</v>
      </c>
      <c r="F182" s="266">
        <v>8.8148148148148149</v>
      </c>
      <c r="G182" s="266">
        <f t="shared" si="48"/>
        <v>113.44537815126051</v>
      </c>
      <c r="H182" s="265">
        <f t="shared" si="49"/>
        <v>0.35758706467661688</v>
      </c>
      <c r="I182" s="265">
        <f t="shared" si="50"/>
        <v>0.2790178571428571</v>
      </c>
      <c r="J182" s="265">
        <f t="shared" si="51"/>
        <v>0.14172335600907029</v>
      </c>
      <c r="K182" s="258">
        <f t="shared" ca="1" si="52"/>
        <v>422.01680672268913</v>
      </c>
      <c r="L182" s="265">
        <f t="shared" si="53"/>
        <v>2.5249365671641786</v>
      </c>
      <c r="M182" s="265">
        <f t="shared" si="54"/>
        <v>1.500803571428571</v>
      </c>
      <c r="N182" s="265">
        <f t="shared" si="55"/>
        <v>0.82693877551020412</v>
      </c>
      <c r="O182" s="265">
        <f t="shared" ca="1" si="56"/>
        <v>426.86948563679204</v>
      </c>
      <c r="P182" s="265">
        <f t="shared" ca="1" si="57"/>
        <v>3.7371356523244659</v>
      </c>
      <c r="Q182" s="258">
        <f t="shared" ca="1" si="58"/>
        <v>257.52100840336135</v>
      </c>
      <c r="R182" s="265">
        <f t="shared" si="59"/>
        <v>2.5249365671641786</v>
      </c>
      <c r="S182" s="265">
        <f t="shared" si="60"/>
        <v>1.500803571428571</v>
      </c>
      <c r="T182" s="265">
        <f t="shared" si="61"/>
        <v>0.82693877551020412</v>
      </c>
      <c r="U182" s="265">
        <f t="shared" ca="1" si="62"/>
        <v>262.37368731746426</v>
      </c>
      <c r="V182" s="265">
        <f t="shared" ca="1" si="63"/>
        <v>2.2970160531460939</v>
      </c>
      <c r="W182" s="258">
        <f t="shared" ca="1" si="64"/>
        <v>63.302521008403374</v>
      </c>
      <c r="X182" s="265">
        <f t="shared" si="65"/>
        <v>2.5249365671641786</v>
      </c>
      <c r="Y182" s="265">
        <f t="shared" si="66"/>
        <v>1.500803571428571</v>
      </c>
      <c r="Z182" s="265">
        <f t="shared" si="67"/>
        <v>0.82693877551020412</v>
      </c>
      <c r="AA182" s="265">
        <f t="shared" ca="1" si="68"/>
        <v>68.155199922506327</v>
      </c>
      <c r="AB182" s="265">
        <f t="shared" ca="1" si="69"/>
        <v>0.59668174018514786</v>
      </c>
      <c r="AC182" s="258"/>
      <c r="AD182" s="258"/>
      <c r="AE182" s="258"/>
      <c r="AF182" s="258"/>
      <c r="AG182" s="258"/>
      <c r="AH182" s="258"/>
      <c r="AI182" s="258"/>
      <c r="AJ182" s="258"/>
      <c r="AK182" s="258"/>
      <c r="AL182" s="258"/>
      <c r="AM182" s="258"/>
    </row>
    <row r="183" spans="3:39" x14ac:dyDescent="0.25">
      <c r="C183" s="255" t="s">
        <v>6116</v>
      </c>
      <c r="D183" s="255">
        <v>212</v>
      </c>
      <c r="E183" s="255">
        <v>2.36</v>
      </c>
      <c r="F183" s="266">
        <v>11.132075471698112</v>
      </c>
      <c r="G183" s="266">
        <f t="shared" si="48"/>
        <v>89.830508474576277</v>
      </c>
      <c r="H183" s="265">
        <f t="shared" si="49"/>
        <v>0.35758706467661688</v>
      </c>
      <c r="I183" s="265">
        <f t="shared" si="50"/>
        <v>0.2790178571428571</v>
      </c>
      <c r="J183" s="265">
        <f t="shared" si="51"/>
        <v>0.14172335600907029</v>
      </c>
      <c r="K183" s="258">
        <f t="shared" ca="1" si="52"/>
        <v>334.16949152542378</v>
      </c>
      <c r="L183" s="265">
        <f t="shared" si="53"/>
        <v>2.5249365671641786</v>
      </c>
      <c r="M183" s="265">
        <f t="shared" si="54"/>
        <v>1.500803571428571</v>
      </c>
      <c r="N183" s="265">
        <f t="shared" si="55"/>
        <v>0.82693877551020412</v>
      </c>
      <c r="O183" s="265">
        <f t="shared" ca="1" si="56"/>
        <v>339.02217043952669</v>
      </c>
      <c r="P183" s="265">
        <f t="shared" ca="1" si="57"/>
        <v>3.741601620666748</v>
      </c>
      <c r="Q183" s="258">
        <f t="shared" ca="1" si="58"/>
        <v>203.91525423728814</v>
      </c>
      <c r="R183" s="265">
        <f t="shared" si="59"/>
        <v>2.5249365671641786</v>
      </c>
      <c r="S183" s="265">
        <f t="shared" si="60"/>
        <v>1.500803571428571</v>
      </c>
      <c r="T183" s="265">
        <f t="shared" si="61"/>
        <v>0.82693877551020412</v>
      </c>
      <c r="U183" s="265">
        <f t="shared" ca="1" si="62"/>
        <v>208.76793315139111</v>
      </c>
      <c r="V183" s="265">
        <f t="shared" ca="1" si="63"/>
        <v>2.3040570945841026</v>
      </c>
      <c r="W183" s="258">
        <f t="shared" ca="1" si="64"/>
        <v>50.125423728813566</v>
      </c>
      <c r="X183" s="265">
        <f t="shared" si="65"/>
        <v>2.5249365671641786</v>
      </c>
      <c r="Y183" s="265">
        <f t="shared" si="66"/>
        <v>1.500803571428571</v>
      </c>
      <c r="Z183" s="265">
        <f t="shared" si="67"/>
        <v>0.82693877551020412</v>
      </c>
      <c r="AA183" s="265">
        <f t="shared" ca="1" si="68"/>
        <v>54.978102642916518</v>
      </c>
      <c r="AB183" s="265">
        <f t="shared" ca="1" si="69"/>
        <v>0.60676314378859253</v>
      </c>
      <c r="AC183" s="258"/>
      <c r="AD183" s="258"/>
      <c r="AE183" s="258"/>
      <c r="AF183" s="258"/>
      <c r="AG183" s="258"/>
      <c r="AH183" s="258"/>
      <c r="AI183" s="258"/>
      <c r="AJ183" s="258"/>
      <c r="AK183" s="258"/>
      <c r="AL183" s="258"/>
      <c r="AM183" s="258"/>
    </row>
    <row r="184" spans="3:39" x14ac:dyDescent="0.25">
      <c r="C184" s="255" t="s">
        <v>6117</v>
      </c>
      <c r="D184" s="255">
        <v>181</v>
      </c>
      <c r="E184" s="255">
        <v>2.34</v>
      </c>
      <c r="F184" s="266">
        <v>12.928176795580111</v>
      </c>
      <c r="G184" s="266">
        <f t="shared" si="48"/>
        <v>77.350427350427353</v>
      </c>
      <c r="H184" s="265">
        <f t="shared" si="49"/>
        <v>0.35758706467661688</v>
      </c>
      <c r="I184" s="265">
        <f t="shared" si="50"/>
        <v>0.2790178571428571</v>
      </c>
      <c r="J184" s="265">
        <f t="shared" si="51"/>
        <v>0.14172335600907029</v>
      </c>
      <c r="K184" s="258">
        <f t="shared" ca="1" si="52"/>
        <v>287.74358974358978</v>
      </c>
      <c r="L184" s="265">
        <f t="shared" si="53"/>
        <v>2.5249365671641786</v>
      </c>
      <c r="M184" s="265">
        <f t="shared" si="54"/>
        <v>1.500803571428571</v>
      </c>
      <c r="N184" s="265">
        <f t="shared" si="55"/>
        <v>0.82693877551020412</v>
      </c>
      <c r="O184" s="265">
        <f t="shared" ca="1" si="56"/>
        <v>292.59626865769269</v>
      </c>
      <c r="P184" s="265">
        <f t="shared" ca="1" si="57"/>
        <v>3.7450522065127179</v>
      </c>
      <c r="Q184" s="258">
        <f t="shared" ca="1" si="58"/>
        <v>175.58547008547009</v>
      </c>
      <c r="R184" s="265">
        <f t="shared" si="59"/>
        <v>2.5249365671641786</v>
      </c>
      <c r="S184" s="265">
        <f t="shared" si="60"/>
        <v>1.500803571428571</v>
      </c>
      <c r="T184" s="265">
        <f t="shared" si="61"/>
        <v>0.82693877551020412</v>
      </c>
      <c r="U184" s="265">
        <f t="shared" ca="1" si="62"/>
        <v>180.43814899957306</v>
      </c>
      <c r="V184" s="265">
        <f t="shared" ca="1" si="63"/>
        <v>2.3094972849448037</v>
      </c>
      <c r="W184" s="258">
        <f t="shared" ca="1" si="64"/>
        <v>43.16153846153847</v>
      </c>
      <c r="X184" s="265">
        <f t="shared" si="65"/>
        <v>2.5249365671641786</v>
      </c>
      <c r="Y184" s="265">
        <f t="shared" si="66"/>
        <v>1.500803571428571</v>
      </c>
      <c r="Z184" s="265">
        <f t="shared" si="67"/>
        <v>0.82693877551020412</v>
      </c>
      <c r="AA184" s="265">
        <f t="shared" ca="1" si="68"/>
        <v>48.014217375641422</v>
      </c>
      <c r="AB184" s="265">
        <f t="shared" ca="1" si="69"/>
        <v>0.6145524396177211</v>
      </c>
      <c r="AC184" s="258"/>
      <c r="AD184" s="258"/>
      <c r="AE184" s="258"/>
      <c r="AF184" s="258"/>
      <c r="AG184" s="258"/>
      <c r="AH184" s="258"/>
      <c r="AI184" s="258"/>
      <c r="AJ184" s="258"/>
      <c r="AK184" s="258"/>
      <c r="AL184" s="258"/>
      <c r="AM184" s="258"/>
    </row>
    <row r="185" spans="3:39" x14ac:dyDescent="0.25">
      <c r="C185" s="255" t="s">
        <v>6118</v>
      </c>
      <c r="D185" s="255">
        <v>144</v>
      </c>
      <c r="E185" s="255">
        <v>2.33</v>
      </c>
      <c r="F185" s="266">
        <v>16.180555555555557</v>
      </c>
      <c r="G185" s="266">
        <f t="shared" si="48"/>
        <v>61.802575107296136</v>
      </c>
      <c r="H185" s="265">
        <f t="shared" si="49"/>
        <v>0.35758706467661688</v>
      </c>
      <c r="I185" s="265">
        <f t="shared" si="50"/>
        <v>0.2790178571428571</v>
      </c>
      <c r="J185" s="265">
        <f t="shared" si="51"/>
        <v>0.14172335600907029</v>
      </c>
      <c r="K185" s="258">
        <f t="shared" ca="1" si="52"/>
        <v>229.90557939914163</v>
      </c>
      <c r="L185" s="265">
        <f t="shared" si="53"/>
        <v>2.5249365671641786</v>
      </c>
      <c r="M185" s="265">
        <f t="shared" si="54"/>
        <v>1.500803571428571</v>
      </c>
      <c r="N185" s="265">
        <f t="shared" si="55"/>
        <v>0.82693877551020412</v>
      </c>
      <c r="O185" s="265">
        <f t="shared" ca="1" si="56"/>
        <v>234.7582583132446</v>
      </c>
      <c r="P185" s="265">
        <f t="shared" ca="1" si="57"/>
        <v>3.7512762778212951</v>
      </c>
      <c r="Q185" s="258">
        <f t="shared" ca="1" si="58"/>
        <v>140.29184549356222</v>
      </c>
      <c r="R185" s="265">
        <f t="shared" si="59"/>
        <v>2.5249365671641786</v>
      </c>
      <c r="S185" s="265">
        <f t="shared" si="60"/>
        <v>1.500803571428571</v>
      </c>
      <c r="T185" s="265">
        <f t="shared" si="61"/>
        <v>0.82693877551020412</v>
      </c>
      <c r="U185" s="265">
        <f t="shared" ca="1" si="62"/>
        <v>145.14452440766519</v>
      </c>
      <c r="V185" s="265">
        <f t="shared" ca="1" si="63"/>
        <v>2.3193101498462179</v>
      </c>
      <c r="W185" s="258">
        <f t="shared" ca="1" si="64"/>
        <v>34.485836909871246</v>
      </c>
      <c r="X185" s="265">
        <f t="shared" si="65"/>
        <v>2.5249365671641786</v>
      </c>
      <c r="Y185" s="265">
        <f t="shared" si="66"/>
        <v>1.500803571428571</v>
      </c>
      <c r="Z185" s="265">
        <f t="shared" si="67"/>
        <v>0.82693877551020412</v>
      </c>
      <c r="AA185" s="265">
        <f t="shared" ca="1" si="68"/>
        <v>39.338515823974198</v>
      </c>
      <c r="AB185" s="265">
        <f t="shared" ca="1" si="69"/>
        <v>0.62860255598874692</v>
      </c>
      <c r="AC185" s="258"/>
      <c r="AD185" s="258"/>
      <c r="AE185" s="258"/>
      <c r="AF185" s="258"/>
      <c r="AG185" s="258"/>
      <c r="AH185" s="258"/>
      <c r="AI185" s="258"/>
      <c r="AJ185" s="258"/>
      <c r="AK185" s="258"/>
      <c r="AL185" s="258"/>
      <c r="AM185" s="258"/>
    </row>
    <row r="186" spans="3:39" x14ac:dyDescent="0.25">
      <c r="C186" s="255" t="s">
        <v>6119</v>
      </c>
      <c r="D186" s="255">
        <v>280</v>
      </c>
      <c r="E186" s="255">
        <v>2.0499999999999998</v>
      </c>
      <c r="F186" s="266">
        <v>7.3214285714285712</v>
      </c>
      <c r="G186" s="266">
        <f t="shared" si="48"/>
        <v>136.58536585365854</v>
      </c>
      <c r="H186" s="265">
        <f t="shared" si="49"/>
        <v>0.35758706467661688</v>
      </c>
      <c r="I186" s="265">
        <f t="shared" si="50"/>
        <v>0.2790178571428571</v>
      </c>
      <c r="J186" s="265">
        <f t="shared" si="51"/>
        <v>0.14172335600907029</v>
      </c>
      <c r="K186" s="258">
        <f t="shared" ca="1" si="52"/>
        <v>508.09756097560984</v>
      </c>
      <c r="L186" s="265">
        <f t="shared" si="53"/>
        <v>2.5249365671641786</v>
      </c>
      <c r="M186" s="265">
        <f t="shared" si="54"/>
        <v>1.500803571428571</v>
      </c>
      <c r="N186" s="265">
        <f t="shared" si="55"/>
        <v>0.82693877551020412</v>
      </c>
      <c r="O186" s="265">
        <f t="shared" ca="1" si="56"/>
        <v>512.95023988971286</v>
      </c>
      <c r="P186" s="265">
        <f t="shared" ca="1" si="57"/>
        <v>3.7342490177841849</v>
      </c>
      <c r="Q186" s="258">
        <f t="shared" ca="1" si="58"/>
        <v>310.04878048780489</v>
      </c>
      <c r="R186" s="265">
        <f t="shared" si="59"/>
        <v>2.5249365671641786</v>
      </c>
      <c r="S186" s="265">
        <f t="shared" si="60"/>
        <v>1.500803571428571</v>
      </c>
      <c r="T186" s="265">
        <f t="shared" si="61"/>
        <v>0.82693877551020412</v>
      </c>
      <c r="U186" s="265">
        <f t="shared" ca="1" si="62"/>
        <v>314.9014594019078</v>
      </c>
      <c r="V186" s="265">
        <f t="shared" ca="1" si="63"/>
        <v>2.2924649878772061</v>
      </c>
      <c r="W186" s="258">
        <f t="shared" ca="1" si="64"/>
        <v>76.214634146341481</v>
      </c>
      <c r="X186" s="265">
        <f t="shared" si="65"/>
        <v>2.5249365671641786</v>
      </c>
      <c r="Y186" s="265">
        <f t="shared" si="66"/>
        <v>1.500803571428571</v>
      </c>
      <c r="Z186" s="265">
        <f t="shared" si="67"/>
        <v>0.82693877551020412</v>
      </c>
      <c r="AA186" s="265">
        <f t="shared" ca="1" si="68"/>
        <v>81.067313060444434</v>
      </c>
      <c r="AB186" s="265">
        <f t="shared" ca="1" si="69"/>
        <v>0.5901654987732442</v>
      </c>
      <c r="AC186" s="258"/>
      <c r="AD186" s="258"/>
      <c r="AE186" s="258"/>
      <c r="AF186" s="258"/>
      <c r="AG186" s="258"/>
      <c r="AH186" s="258"/>
      <c r="AI186" s="258"/>
      <c r="AJ186" s="258"/>
      <c r="AK186" s="258"/>
      <c r="AL186" s="258"/>
      <c r="AM186" s="258"/>
    </row>
    <row r="187" spans="3:39" x14ac:dyDescent="0.25">
      <c r="C187" s="255" t="s">
        <v>6120</v>
      </c>
      <c r="D187" s="255">
        <v>258</v>
      </c>
      <c r="E187" s="255">
        <v>2.04</v>
      </c>
      <c r="F187" s="266">
        <v>7.9069767441860472</v>
      </c>
      <c r="G187" s="266">
        <f t="shared" si="48"/>
        <v>126.47058823529412</v>
      </c>
      <c r="H187" s="265">
        <f t="shared" si="49"/>
        <v>0.35758706467661688</v>
      </c>
      <c r="I187" s="265">
        <f t="shared" si="50"/>
        <v>0.2790178571428571</v>
      </c>
      <c r="J187" s="265">
        <f t="shared" si="51"/>
        <v>0.14172335600907029</v>
      </c>
      <c r="K187" s="258">
        <f t="shared" ca="1" si="52"/>
        <v>470.47058823529414</v>
      </c>
      <c r="L187" s="265">
        <f t="shared" si="53"/>
        <v>2.5249365671641786</v>
      </c>
      <c r="M187" s="265">
        <f t="shared" si="54"/>
        <v>1.500803571428571</v>
      </c>
      <c r="N187" s="265">
        <f t="shared" si="55"/>
        <v>0.82693877551020412</v>
      </c>
      <c r="O187" s="265">
        <f t="shared" ca="1" si="56"/>
        <v>475.32326714939705</v>
      </c>
      <c r="P187" s="265">
        <f t="shared" ca="1" si="57"/>
        <v>3.7353816454726267</v>
      </c>
      <c r="Q187" s="258">
        <f t="shared" ca="1" si="58"/>
        <v>287.08823529411762</v>
      </c>
      <c r="R187" s="265">
        <f t="shared" si="59"/>
        <v>2.5249365671641786</v>
      </c>
      <c r="S187" s="265">
        <f t="shared" si="60"/>
        <v>1.500803571428571</v>
      </c>
      <c r="T187" s="265">
        <f t="shared" si="61"/>
        <v>0.82693877551020412</v>
      </c>
      <c r="U187" s="265">
        <f t="shared" ca="1" si="62"/>
        <v>291.94091420822053</v>
      </c>
      <c r="V187" s="265">
        <f t="shared" ca="1" si="63"/>
        <v>2.2942506876128399</v>
      </c>
      <c r="W187" s="258">
        <f t="shared" ca="1" si="64"/>
        <v>70.570588235294125</v>
      </c>
      <c r="X187" s="265">
        <f t="shared" si="65"/>
        <v>2.5249365671641786</v>
      </c>
      <c r="Y187" s="265">
        <f t="shared" si="66"/>
        <v>1.500803571428571</v>
      </c>
      <c r="Z187" s="265">
        <f t="shared" si="67"/>
        <v>0.82693877551020412</v>
      </c>
      <c r="AA187" s="265">
        <f t="shared" ca="1" si="68"/>
        <v>75.423267149397077</v>
      </c>
      <c r="AB187" s="265">
        <f t="shared" ca="1" si="69"/>
        <v>0.59272227391907872</v>
      </c>
      <c r="AC187" s="258"/>
      <c r="AD187" s="258"/>
      <c r="AE187" s="258"/>
      <c r="AF187" s="258"/>
      <c r="AG187" s="258"/>
      <c r="AH187" s="258"/>
      <c r="AI187" s="258"/>
      <c r="AJ187" s="258"/>
      <c r="AK187" s="258"/>
      <c r="AL187" s="258"/>
      <c r="AM187" s="258"/>
    </row>
    <row r="188" spans="3:39" x14ac:dyDescent="0.25">
      <c r="C188" s="255" t="s">
        <v>6121</v>
      </c>
      <c r="D188" s="255">
        <v>230</v>
      </c>
      <c r="E188" s="255">
        <v>2.0299999999999998</v>
      </c>
      <c r="F188" s="266">
        <v>8.8260869565217384</v>
      </c>
      <c r="G188" s="266">
        <f t="shared" si="48"/>
        <v>113.30049261083745</v>
      </c>
      <c r="H188" s="265">
        <f t="shared" si="49"/>
        <v>0.35758706467661688</v>
      </c>
      <c r="I188" s="265">
        <f t="shared" si="50"/>
        <v>0.2790178571428571</v>
      </c>
      <c r="J188" s="265">
        <f t="shared" si="51"/>
        <v>0.14172335600907029</v>
      </c>
      <c r="K188" s="258">
        <f t="shared" ca="1" si="52"/>
        <v>421.47783251231533</v>
      </c>
      <c r="L188" s="265">
        <f t="shared" si="53"/>
        <v>2.5249365671641786</v>
      </c>
      <c r="M188" s="265">
        <f t="shared" si="54"/>
        <v>1.500803571428571</v>
      </c>
      <c r="N188" s="265">
        <f t="shared" si="55"/>
        <v>0.82693877551020412</v>
      </c>
      <c r="O188" s="265">
        <f t="shared" ca="1" si="56"/>
        <v>426.33051142641824</v>
      </c>
      <c r="P188" s="265">
        <f t="shared" ca="1" si="57"/>
        <v>3.737157415419738</v>
      </c>
      <c r="Q188" s="258">
        <f t="shared" ca="1" si="58"/>
        <v>257.192118226601</v>
      </c>
      <c r="R188" s="265">
        <f t="shared" si="59"/>
        <v>2.5249365671641786</v>
      </c>
      <c r="S188" s="265">
        <f t="shared" si="60"/>
        <v>1.500803571428571</v>
      </c>
      <c r="T188" s="265">
        <f t="shared" si="61"/>
        <v>0.82693877551020412</v>
      </c>
      <c r="U188" s="265">
        <f t="shared" ca="1" si="62"/>
        <v>262.04479714070391</v>
      </c>
      <c r="V188" s="265">
        <f t="shared" ca="1" si="63"/>
        <v>2.2970503648213869</v>
      </c>
      <c r="W188" s="258">
        <f t="shared" ca="1" si="64"/>
        <v>63.221674876847302</v>
      </c>
      <c r="X188" s="265">
        <f t="shared" si="65"/>
        <v>2.5249365671641786</v>
      </c>
      <c r="Y188" s="265">
        <f t="shared" si="66"/>
        <v>1.500803571428571</v>
      </c>
      <c r="Z188" s="265">
        <f t="shared" si="67"/>
        <v>0.82693877551020412</v>
      </c>
      <c r="AA188" s="265">
        <f t="shared" ca="1" si="68"/>
        <v>68.074353790950255</v>
      </c>
      <c r="AB188" s="265">
        <f t="shared" ca="1" si="69"/>
        <v>0.59673086783905915</v>
      </c>
      <c r="AC188" s="258"/>
      <c r="AD188" s="258"/>
      <c r="AE188" s="258"/>
      <c r="AF188" s="258"/>
      <c r="AG188" s="258"/>
      <c r="AH188" s="258"/>
      <c r="AI188" s="258"/>
      <c r="AJ188" s="258"/>
      <c r="AK188" s="258"/>
      <c r="AL188" s="258"/>
      <c r="AM188" s="258"/>
    </row>
    <row r="189" spans="3:39" x14ac:dyDescent="0.25">
      <c r="C189" s="255" t="s">
        <v>6122</v>
      </c>
      <c r="D189" s="255">
        <v>197</v>
      </c>
      <c r="E189" s="255">
        <v>2.02</v>
      </c>
      <c r="F189" s="266">
        <v>10.253807106598986</v>
      </c>
      <c r="G189" s="266">
        <f t="shared" si="48"/>
        <v>97.524752475247524</v>
      </c>
      <c r="H189" s="265">
        <f t="shared" si="49"/>
        <v>0.35758706467661688</v>
      </c>
      <c r="I189" s="265">
        <f t="shared" si="50"/>
        <v>0.2790178571428571</v>
      </c>
      <c r="J189" s="265">
        <f t="shared" si="51"/>
        <v>0.14172335600907029</v>
      </c>
      <c r="K189" s="258">
        <f t="shared" ca="1" si="52"/>
        <v>362.79207920792084</v>
      </c>
      <c r="L189" s="265">
        <f t="shared" si="53"/>
        <v>2.5249365671641786</v>
      </c>
      <c r="M189" s="265">
        <f t="shared" si="54"/>
        <v>1.500803571428571</v>
      </c>
      <c r="N189" s="265">
        <f t="shared" si="55"/>
        <v>0.82693877551020412</v>
      </c>
      <c r="O189" s="265">
        <f t="shared" ca="1" si="56"/>
        <v>367.64475812202375</v>
      </c>
      <c r="P189" s="265">
        <f t="shared" ca="1" si="57"/>
        <v>3.7399108482215042</v>
      </c>
      <c r="Q189" s="258">
        <f t="shared" ca="1" si="58"/>
        <v>221.38118811881188</v>
      </c>
      <c r="R189" s="265">
        <f t="shared" si="59"/>
        <v>2.5249365671641786</v>
      </c>
      <c r="S189" s="265">
        <f t="shared" si="60"/>
        <v>1.500803571428571</v>
      </c>
      <c r="T189" s="265">
        <f t="shared" si="61"/>
        <v>0.82693877551020412</v>
      </c>
      <c r="U189" s="265">
        <f t="shared" ca="1" si="62"/>
        <v>226.23386703291484</v>
      </c>
      <c r="V189" s="265">
        <f t="shared" ca="1" si="63"/>
        <v>2.3013914243561038</v>
      </c>
      <c r="W189" s="258">
        <f t="shared" ca="1" si="64"/>
        <v>54.418811881188127</v>
      </c>
      <c r="X189" s="265">
        <f t="shared" si="65"/>
        <v>2.5249365671641786</v>
      </c>
      <c r="Y189" s="265">
        <f t="shared" si="66"/>
        <v>1.500803571428571</v>
      </c>
      <c r="Z189" s="265">
        <f t="shared" si="67"/>
        <v>0.82693877551020412</v>
      </c>
      <c r="AA189" s="265">
        <f t="shared" ca="1" si="68"/>
        <v>59.271490795291079</v>
      </c>
      <c r="AB189" s="265">
        <f t="shared" ca="1" si="69"/>
        <v>0.602946421833645</v>
      </c>
      <c r="AC189" s="258"/>
      <c r="AD189" s="258"/>
      <c r="AE189" s="258"/>
      <c r="AF189" s="258"/>
      <c r="AG189" s="258"/>
      <c r="AH189" s="258"/>
      <c r="AI189" s="258"/>
      <c r="AJ189" s="258"/>
      <c r="AK189" s="258"/>
      <c r="AL189" s="258"/>
      <c r="AM189" s="258"/>
    </row>
    <row r="190" spans="3:39" x14ac:dyDescent="0.25">
      <c r="C190" s="255" t="s">
        <v>6123</v>
      </c>
      <c r="D190" s="255">
        <v>28.3</v>
      </c>
      <c r="E190" s="268">
        <v>0.624</v>
      </c>
      <c r="F190" s="266">
        <f t="shared" ref="F190:F253" si="70">E190/D190*1000</f>
        <v>22.049469964664308</v>
      </c>
      <c r="G190" s="266">
        <f t="shared" si="48"/>
        <v>45.352564102564102</v>
      </c>
      <c r="H190" s="265">
        <f t="shared" si="49"/>
        <v>0.35758706467661688</v>
      </c>
      <c r="I190" s="265">
        <f t="shared" si="50"/>
        <v>0.2790178571428571</v>
      </c>
      <c r="J190" s="265">
        <f t="shared" si="51"/>
        <v>0.14172335600907029</v>
      </c>
      <c r="K190" s="258">
        <f t="shared" ca="1" si="52"/>
        <v>168.71153846153848</v>
      </c>
      <c r="L190" s="265">
        <f t="shared" si="53"/>
        <v>2.5249365671641786</v>
      </c>
      <c r="M190" s="265">
        <f t="shared" si="54"/>
        <v>1.500803571428571</v>
      </c>
      <c r="N190" s="265">
        <f t="shared" si="55"/>
        <v>0.82693877551020412</v>
      </c>
      <c r="O190" s="265">
        <f t="shared" ca="1" si="56"/>
        <v>173.56421737564145</v>
      </c>
      <c r="P190" s="265">
        <f t="shared" ca="1" si="57"/>
        <v>3.7624292186771728</v>
      </c>
      <c r="Q190" s="258">
        <f t="shared" ca="1" si="58"/>
        <v>102.95032051282051</v>
      </c>
      <c r="R190" s="265">
        <f t="shared" si="59"/>
        <v>2.5249365671641786</v>
      </c>
      <c r="S190" s="265">
        <f t="shared" si="60"/>
        <v>1.500803571428571</v>
      </c>
      <c r="T190" s="265">
        <f t="shared" si="61"/>
        <v>0.82693877551020412</v>
      </c>
      <c r="U190" s="265">
        <f t="shared" ca="1" si="62"/>
        <v>107.80299942692346</v>
      </c>
      <c r="V190" s="265">
        <f t="shared" ca="1" si="63"/>
        <v>2.3368938657849112</v>
      </c>
      <c r="W190" s="258">
        <f t="shared" ca="1" si="64"/>
        <v>25.306730769230771</v>
      </c>
      <c r="X190" s="265">
        <f t="shared" si="65"/>
        <v>2.5249365671641786</v>
      </c>
      <c r="Y190" s="265">
        <f t="shared" si="66"/>
        <v>1.500803571428571</v>
      </c>
      <c r="Z190" s="265">
        <f t="shared" si="67"/>
        <v>0.82693877551020412</v>
      </c>
      <c r="AA190" s="265">
        <f t="shared" ca="1" si="68"/>
        <v>30.159409683333724</v>
      </c>
      <c r="AB190" s="265">
        <f t="shared" ca="1" si="69"/>
        <v>0.65377902154246215</v>
      </c>
      <c r="AC190" s="258"/>
      <c r="AD190" s="258"/>
      <c r="AE190" s="258"/>
      <c r="AF190" s="258"/>
      <c r="AG190" s="258"/>
      <c r="AH190" s="258"/>
      <c r="AI190" s="258"/>
      <c r="AJ190" s="258"/>
      <c r="AK190" s="258"/>
      <c r="AL190" s="258"/>
      <c r="AM190" s="258"/>
    </row>
    <row r="191" spans="3:39" x14ac:dyDescent="0.25">
      <c r="C191" s="255" t="s">
        <v>6124</v>
      </c>
      <c r="D191" s="255">
        <v>23.6</v>
      </c>
      <c r="E191" s="268">
        <v>0.62</v>
      </c>
      <c r="F191" s="266">
        <f t="shared" si="70"/>
        <v>26.271186440677965</v>
      </c>
      <c r="G191" s="266">
        <f t="shared" si="48"/>
        <v>38.064516129032263</v>
      </c>
      <c r="H191" s="265">
        <f t="shared" si="49"/>
        <v>0.35758706467661688</v>
      </c>
      <c r="I191" s="265">
        <f t="shared" si="50"/>
        <v>0.2790178571428571</v>
      </c>
      <c r="J191" s="265">
        <f t="shared" si="51"/>
        <v>0.14172335600907029</v>
      </c>
      <c r="K191" s="258">
        <f t="shared" ca="1" si="52"/>
        <v>141.60000000000002</v>
      </c>
      <c r="L191" s="265">
        <f t="shared" si="53"/>
        <v>2.5249365671641786</v>
      </c>
      <c r="M191" s="265">
        <f t="shared" si="54"/>
        <v>1.500803571428571</v>
      </c>
      <c r="N191" s="265">
        <f t="shared" si="55"/>
        <v>0.82693877551020412</v>
      </c>
      <c r="O191" s="265">
        <f t="shared" ca="1" si="56"/>
        <v>146.45267891410299</v>
      </c>
      <c r="P191" s="265">
        <f t="shared" ca="1" si="57"/>
        <v>3.770390174830633</v>
      </c>
      <c r="Q191" s="258">
        <f t="shared" ca="1" si="58"/>
        <v>86.40645161290324</v>
      </c>
      <c r="R191" s="265">
        <f t="shared" si="59"/>
        <v>2.5249365671641786</v>
      </c>
      <c r="S191" s="265">
        <f t="shared" si="60"/>
        <v>1.500803571428571</v>
      </c>
      <c r="T191" s="265">
        <f t="shared" si="61"/>
        <v>0.82693877551020412</v>
      </c>
      <c r="U191" s="265">
        <f t="shared" ca="1" si="62"/>
        <v>91.259130527006192</v>
      </c>
      <c r="V191" s="265">
        <f t="shared" ca="1" si="63"/>
        <v>2.3494451016797089</v>
      </c>
      <c r="W191" s="258">
        <f t="shared" ca="1" si="64"/>
        <v>21.240000000000006</v>
      </c>
      <c r="X191" s="265">
        <f t="shared" si="65"/>
        <v>2.5249365671641786</v>
      </c>
      <c r="Y191" s="265">
        <f t="shared" si="66"/>
        <v>1.500803571428571</v>
      </c>
      <c r="Z191" s="265">
        <f t="shared" si="67"/>
        <v>0.82693877551020412</v>
      </c>
      <c r="AA191" s="265">
        <f t="shared" ca="1" si="68"/>
        <v>26.092678914102958</v>
      </c>
      <c r="AB191" s="265">
        <f t="shared" ca="1" si="69"/>
        <v>0.67174995324220421</v>
      </c>
      <c r="AC191" s="258"/>
      <c r="AD191" s="258"/>
      <c r="AE191" s="258"/>
      <c r="AF191" s="258"/>
      <c r="AG191" s="258"/>
      <c r="AH191" s="258"/>
      <c r="AI191" s="258"/>
      <c r="AJ191" s="258"/>
      <c r="AK191" s="258"/>
      <c r="AL191" s="258"/>
      <c r="AM191" s="258"/>
    </row>
    <row r="192" spans="3:39" x14ac:dyDescent="0.25">
      <c r="C192" s="255" t="s">
        <v>6125</v>
      </c>
      <c r="D192" s="255">
        <v>18.8</v>
      </c>
      <c r="E192" s="268">
        <v>0.61599999999999999</v>
      </c>
      <c r="F192" s="266">
        <f t="shared" si="70"/>
        <v>32.765957446808514</v>
      </c>
      <c r="G192" s="266">
        <f t="shared" si="48"/>
        <v>30.519480519480521</v>
      </c>
      <c r="H192" s="265">
        <f t="shared" si="49"/>
        <v>0.35758706467661688</v>
      </c>
      <c r="I192" s="265">
        <f t="shared" si="50"/>
        <v>0.2790178571428571</v>
      </c>
      <c r="J192" s="265">
        <f t="shared" si="51"/>
        <v>0.14172335600907029</v>
      </c>
      <c r="K192" s="258">
        <f t="shared" ca="1" si="52"/>
        <v>113.53246753246754</v>
      </c>
      <c r="L192" s="265">
        <f t="shared" si="53"/>
        <v>2.5249365671641786</v>
      </c>
      <c r="M192" s="265">
        <f t="shared" si="54"/>
        <v>1.500803571428571</v>
      </c>
      <c r="N192" s="265">
        <f t="shared" si="55"/>
        <v>0.82693877551020412</v>
      </c>
      <c r="O192" s="265">
        <f t="shared" ca="1" si="56"/>
        <v>118.38514644657049</v>
      </c>
      <c r="P192" s="265">
        <f t="shared" ca="1" si="57"/>
        <v>3.782537851555571</v>
      </c>
      <c r="Q192" s="258">
        <f t="shared" ca="1" si="58"/>
        <v>69.279220779220779</v>
      </c>
      <c r="R192" s="265">
        <f t="shared" si="59"/>
        <v>2.5249365671641786</v>
      </c>
      <c r="S192" s="265">
        <f t="shared" si="60"/>
        <v>1.500803571428571</v>
      </c>
      <c r="T192" s="265">
        <f t="shared" si="61"/>
        <v>0.82693877551020412</v>
      </c>
      <c r="U192" s="265">
        <f t="shared" ca="1" si="62"/>
        <v>74.131899693323732</v>
      </c>
      <c r="V192" s="265">
        <f t="shared" ca="1" si="63"/>
        <v>2.3685971172428362</v>
      </c>
      <c r="W192" s="258">
        <f t="shared" ca="1" si="64"/>
        <v>17.029870129870133</v>
      </c>
      <c r="X192" s="265">
        <f t="shared" si="65"/>
        <v>2.5249365671641786</v>
      </c>
      <c r="Y192" s="265">
        <f t="shared" si="66"/>
        <v>1.500803571428571</v>
      </c>
      <c r="Z192" s="265">
        <f t="shared" si="67"/>
        <v>0.82693877551020412</v>
      </c>
      <c r="AA192" s="265">
        <f t="shared" ca="1" si="68"/>
        <v>21.882549043973086</v>
      </c>
      <c r="AB192" s="265">
        <f t="shared" ca="1" si="69"/>
        <v>0.69917191921290378</v>
      </c>
      <c r="AC192" s="258"/>
      <c r="AD192" s="258"/>
      <c r="AE192" s="258"/>
      <c r="AF192" s="258"/>
      <c r="AG192" s="258"/>
      <c r="AH192" s="258"/>
      <c r="AI192" s="258"/>
      <c r="AJ192" s="258"/>
      <c r="AK192" s="258"/>
      <c r="AL192" s="258"/>
      <c r="AM192" s="258"/>
    </row>
    <row r="193" spans="3:39" x14ac:dyDescent="0.25">
      <c r="C193" s="255" t="s">
        <v>6126</v>
      </c>
      <c r="D193" s="255">
        <v>14.1</v>
      </c>
      <c r="E193" s="268">
        <v>0.61199999999999999</v>
      </c>
      <c r="F193" s="266">
        <f t="shared" si="70"/>
        <v>43.404255319148938</v>
      </c>
      <c r="G193" s="266">
        <f t="shared" si="48"/>
        <v>23.03921568627451</v>
      </c>
      <c r="H193" s="265">
        <f t="shared" si="49"/>
        <v>0.35758706467661688</v>
      </c>
      <c r="I193" s="265">
        <f t="shared" si="50"/>
        <v>0.2790178571428571</v>
      </c>
      <c r="J193" s="265">
        <f t="shared" si="51"/>
        <v>0.14172335600907029</v>
      </c>
      <c r="K193" s="258">
        <f t="shared" ca="1" si="52"/>
        <v>85.705882352941174</v>
      </c>
      <c r="L193" s="265">
        <f t="shared" si="53"/>
        <v>2.5249365671641786</v>
      </c>
      <c r="M193" s="265">
        <f t="shared" si="54"/>
        <v>1.500803571428571</v>
      </c>
      <c r="N193" s="265">
        <f t="shared" si="55"/>
        <v>0.82693877551020412</v>
      </c>
      <c r="O193" s="265">
        <f t="shared" ca="1" si="56"/>
        <v>90.558561267044126</v>
      </c>
      <c r="P193" s="265">
        <f t="shared" ca="1" si="57"/>
        <v>3.8021788226162498</v>
      </c>
      <c r="Q193" s="258">
        <f t="shared" ca="1" si="58"/>
        <v>52.299019607843135</v>
      </c>
      <c r="R193" s="265">
        <f t="shared" si="59"/>
        <v>2.5249365671641786</v>
      </c>
      <c r="S193" s="265">
        <f t="shared" si="60"/>
        <v>1.500803571428571</v>
      </c>
      <c r="T193" s="265">
        <f t="shared" si="61"/>
        <v>0.82693877551020412</v>
      </c>
      <c r="U193" s="265">
        <f t="shared" ca="1" si="62"/>
        <v>57.151698521946088</v>
      </c>
      <c r="V193" s="265">
        <f t="shared" ca="1" si="63"/>
        <v>2.3995630535240355</v>
      </c>
      <c r="W193" s="258">
        <f t="shared" ca="1" si="64"/>
        <v>12.855882352941178</v>
      </c>
      <c r="X193" s="265">
        <f t="shared" si="65"/>
        <v>2.5249365671641786</v>
      </c>
      <c r="Y193" s="265">
        <f t="shared" si="66"/>
        <v>1.500803571428571</v>
      </c>
      <c r="Z193" s="265">
        <f t="shared" si="67"/>
        <v>0.82693877551020412</v>
      </c>
      <c r="AA193" s="265">
        <f t="shared" ca="1" si="68"/>
        <v>17.708561267044132</v>
      </c>
      <c r="AB193" s="265">
        <f t="shared" ca="1" si="69"/>
        <v>0.74350912477515896</v>
      </c>
      <c r="AC193" s="258"/>
      <c r="AD193" s="258"/>
      <c r="AE193" s="258"/>
      <c r="AF193" s="258"/>
      <c r="AG193" s="258"/>
      <c r="AH193" s="258"/>
      <c r="AI193" s="258"/>
      <c r="AJ193" s="258"/>
      <c r="AK193" s="258"/>
      <c r="AL193" s="258"/>
      <c r="AM193" s="258"/>
    </row>
    <row r="194" spans="3:39" x14ac:dyDescent="0.25">
      <c r="C194" s="255" t="s">
        <v>6127</v>
      </c>
      <c r="D194" s="255">
        <v>23.6</v>
      </c>
      <c r="E194" s="268">
        <v>0.52400000000000002</v>
      </c>
      <c r="F194" s="266">
        <f t="shared" si="70"/>
        <v>22.203389830508474</v>
      </c>
      <c r="G194" s="266">
        <f t="shared" si="48"/>
        <v>45.038167938931302</v>
      </c>
      <c r="H194" s="265">
        <f t="shared" si="49"/>
        <v>0.35758706467661688</v>
      </c>
      <c r="I194" s="265">
        <f t="shared" si="50"/>
        <v>0.2790178571428571</v>
      </c>
      <c r="J194" s="265">
        <f t="shared" si="51"/>
        <v>0.14172335600907029</v>
      </c>
      <c r="K194" s="258">
        <f t="shared" ca="1" si="52"/>
        <v>167.54198473282446</v>
      </c>
      <c r="L194" s="265">
        <f t="shared" si="53"/>
        <v>2.5249365671641786</v>
      </c>
      <c r="M194" s="265">
        <f t="shared" si="54"/>
        <v>1.500803571428571</v>
      </c>
      <c r="N194" s="265">
        <f t="shared" si="55"/>
        <v>0.82693877551020412</v>
      </c>
      <c r="O194" s="265">
        <f t="shared" ca="1" si="56"/>
        <v>172.39466364692743</v>
      </c>
      <c r="P194" s="265">
        <f t="shared" ca="1" si="57"/>
        <v>3.7627203710934318</v>
      </c>
      <c r="Q194" s="258">
        <f t="shared" ca="1" si="58"/>
        <v>102.23664122137406</v>
      </c>
      <c r="R194" s="265">
        <f t="shared" si="59"/>
        <v>2.5249365671641786</v>
      </c>
      <c r="S194" s="265">
        <f t="shared" si="60"/>
        <v>1.500803571428571</v>
      </c>
      <c r="T194" s="265">
        <f t="shared" si="61"/>
        <v>0.82693877551020412</v>
      </c>
      <c r="U194" s="265">
        <f t="shared" ca="1" si="62"/>
        <v>107.08932013547701</v>
      </c>
      <c r="V194" s="265">
        <f t="shared" ca="1" si="63"/>
        <v>2.3373528964072845</v>
      </c>
      <c r="W194" s="258">
        <f t="shared" ca="1" si="64"/>
        <v>25.131297709923668</v>
      </c>
      <c r="X194" s="265">
        <f t="shared" si="65"/>
        <v>2.5249365671641786</v>
      </c>
      <c r="Y194" s="265">
        <f t="shared" si="66"/>
        <v>1.500803571428571</v>
      </c>
      <c r="Z194" s="265">
        <f t="shared" si="67"/>
        <v>0.82693877551020412</v>
      </c>
      <c r="AA194" s="265">
        <f t="shared" ca="1" si="68"/>
        <v>29.983976624026621</v>
      </c>
      <c r="AB194" s="265">
        <f t="shared" ca="1" si="69"/>
        <v>0.65443626422612322</v>
      </c>
      <c r="AC194" s="258"/>
      <c r="AD194" s="258"/>
      <c r="AE194" s="258"/>
      <c r="AF194" s="258"/>
      <c r="AG194" s="258"/>
      <c r="AH194" s="258"/>
      <c r="AI194" s="258"/>
      <c r="AJ194" s="258"/>
      <c r="AK194" s="258"/>
      <c r="AL194" s="258"/>
      <c r="AM194" s="258"/>
    </row>
    <row r="195" spans="3:39" x14ac:dyDescent="0.25">
      <c r="C195" s="255" t="s">
        <v>6128</v>
      </c>
      <c r="D195" s="255">
        <v>19.600000000000001</v>
      </c>
      <c r="E195" s="268">
        <v>0.52</v>
      </c>
      <c r="F195" s="266">
        <f t="shared" si="70"/>
        <v>26.530612244897959</v>
      </c>
      <c r="G195" s="266">
        <f t="shared" si="48"/>
        <v>37.692307692307693</v>
      </c>
      <c r="H195" s="265">
        <f t="shared" si="49"/>
        <v>0.35758706467661688</v>
      </c>
      <c r="I195" s="265">
        <f t="shared" si="50"/>
        <v>0.2790178571428571</v>
      </c>
      <c r="J195" s="265">
        <f t="shared" si="51"/>
        <v>0.14172335600907029</v>
      </c>
      <c r="K195" s="258">
        <f t="shared" ca="1" si="52"/>
        <v>140.21538461538464</v>
      </c>
      <c r="L195" s="265">
        <f t="shared" si="53"/>
        <v>2.5249365671641786</v>
      </c>
      <c r="M195" s="265">
        <f t="shared" si="54"/>
        <v>1.500803571428571</v>
      </c>
      <c r="N195" s="265">
        <f t="shared" si="55"/>
        <v>0.82693877551020412</v>
      </c>
      <c r="O195" s="265">
        <f t="shared" ca="1" si="56"/>
        <v>145.0680635294876</v>
      </c>
      <c r="P195" s="265">
        <f t="shared" ca="1" si="57"/>
        <v>3.7708777063654524</v>
      </c>
      <c r="Q195" s="258">
        <f t="shared" ca="1" si="58"/>
        <v>85.561538461538461</v>
      </c>
      <c r="R195" s="265">
        <f t="shared" si="59"/>
        <v>2.5249365671641786</v>
      </c>
      <c r="S195" s="265">
        <f t="shared" si="60"/>
        <v>1.500803571428571</v>
      </c>
      <c r="T195" s="265">
        <f t="shared" si="61"/>
        <v>0.82693877551020412</v>
      </c>
      <c r="U195" s="265">
        <f t="shared" ca="1" si="62"/>
        <v>90.414217375641414</v>
      </c>
      <c r="V195" s="265">
        <f t="shared" ca="1" si="63"/>
        <v>2.350213743433502</v>
      </c>
      <c r="W195" s="258">
        <f t="shared" ca="1" si="64"/>
        <v>21.032307692307693</v>
      </c>
      <c r="X195" s="265">
        <f t="shared" si="65"/>
        <v>2.5249365671641786</v>
      </c>
      <c r="Y195" s="265">
        <f t="shared" si="66"/>
        <v>1.500803571428571</v>
      </c>
      <c r="Z195" s="265">
        <f t="shared" si="67"/>
        <v>0.82693877551020412</v>
      </c>
      <c r="AA195" s="265">
        <f t="shared" ca="1" si="68"/>
        <v>25.884986606410646</v>
      </c>
      <c r="AB195" s="265">
        <f t="shared" ca="1" si="69"/>
        <v>0.67285049892350346</v>
      </c>
      <c r="AC195" s="258"/>
      <c r="AD195" s="258"/>
      <c r="AE195" s="258"/>
      <c r="AF195" s="258"/>
      <c r="AG195" s="258"/>
      <c r="AH195" s="258"/>
      <c r="AI195" s="258"/>
      <c r="AJ195" s="258"/>
      <c r="AK195" s="258"/>
      <c r="AL195" s="258"/>
      <c r="AM195" s="258"/>
    </row>
    <row r="196" spans="3:39" x14ac:dyDescent="0.25">
      <c r="C196" s="255" t="s">
        <v>6129</v>
      </c>
      <c r="D196" s="255">
        <v>15.7</v>
      </c>
      <c r="E196" s="268">
        <v>0.51600000000000001</v>
      </c>
      <c r="F196" s="266">
        <f t="shared" si="70"/>
        <v>32.866242038216569</v>
      </c>
      <c r="G196" s="266">
        <f t="shared" si="48"/>
        <v>30.426356589147286</v>
      </c>
      <c r="H196" s="265">
        <f t="shared" si="49"/>
        <v>0.35758706467661688</v>
      </c>
      <c r="I196" s="265">
        <f t="shared" si="50"/>
        <v>0.2790178571428571</v>
      </c>
      <c r="J196" s="265">
        <f t="shared" si="51"/>
        <v>0.14172335600907029</v>
      </c>
      <c r="K196" s="258">
        <f t="shared" ca="1" si="52"/>
        <v>113.18604651162791</v>
      </c>
      <c r="L196" s="265">
        <f t="shared" si="53"/>
        <v>2.5249365671641786</v>
      </c>
      <c r="M196" s="265">
        <f t="shared" si="54"/>
        <v>1.500803571428571</v>
      </c>
      <c r="N196" s="265">
        <f t="shared" si="55"/>
        <v>0.82693877551020412</v>
      </c>
      <c r="O196" s="265">
        <f t="shared" ca="1" si="56"/>
        <v>118.03872542573086</v>
      </c>
      <c r="P196" s="265">
        <f t="shared" ca="1" si="57"/>
        <v>3.7827244828436704</v>
      </c>
      <c r="Q196" s="258">
        <f t="shared" ca="1" si="58"/>
        <v>69.06782945736434</v>
      </c>
      <c r="R196" s="265">
        <f t="shared" si="59"/>
        <v>2.5249365671641786</v>
      </c>
      <c r="S196" s="265">
        <f t="shared" si="60"/>
        <v>1.500803571428571</v>
      </c>
      <c r="T196" s="265">
        <f t="shared" si="61"/>
        <v>0.82693877551020412</v>
      </c>
      <c r="U196" s="265">
        <f t="shared" ca="1" si="62"/>
        <v>73.920508371467292</v>
      </c>
      <c r="V196" s="265">
        <f t="shared" ca="1" si="63"/>
        <v>2.3688913599540293</v>
      </c>
      <c r="W196" s="258">
        <f t="shared" ca="1" si="64"/>
        <v>16.977906976744187</v>
      </c>
      <c r="X196" s="265">
        <f t="shared" si="65"/>
        <v>2.5249365671641786</v>
      </c>
      <c r="Y196" s="265">
        <f t="shared" si="66"/>
        <v>1.500803571428571</v>
      </c>
      <c r="Z196" s="265">
        <f t="shared" si="67"/>
        <v>0.82693877551020412</v>
      </c>
      <c r="AA196" s="265">
        <f t="shared" ca="1" si="68"/>
        <v>21.830585890847139</v>
      </c>
      <c r="AB196" s="265">
        <f t="shared" ca="1" si="69"/>
        <v>0.69959321761812188</v>
      </c>
      <c r="AC196" s="258"/>
      <c r="AD196" s="258"/>
      <c r="AE196" s="258"/>
      <c r="AF196" s="258"/>
      <c r="AG196" s="258"/>
      <c r="AH196" s="258"/>
      <c r="AI196" s="258"/>
      <c r="AJ196" s="258"/>
      <c r="AK196" s="258"/>
      <c r="AL196" s="258"/>
      <c r="AM196" s="258"/>
    </row>
    <row r="197" spans="3:39" x14ac:dyDescent="0.25">
      <c r="C197" s="255" t="s">
        <v>6130</v>
      </c>
      <c r="D197" s="255">
        <v>11.8</v>
      </c>
      <c r="E197" s="268">
        <v>0.51200000000000001</v>
      </c>
      <c r="F197" s="266">
        <f t="shared" si="70"/>
        <v>43.389830508474574</v>
      </c>
      <c r="G197" s="266">
        <f t="shared" si="48"/>
        <v>23.046875</v>
      </c>
      <c r="H197" s="265">
        <f t="shared" si="49"/>
        <v>0.35758706467661688</v>
      </c>
      <c r="I197" s="265">
        <f t="shared" si="50"/>
        <v>0.2790178571428571</v>
      </c>
      <c r="J197" s="265">
        <f t="shared" si="51"/>
        <v>0.14172335600907029</v>
      </c>
      <c r="K197" s="258">
        <f t="shared" ca="1" si="52"/>
        <v>85.734375</v>
      </c>
      <c r="L197" s="265">
        <f t="shared" si="53"/>
        <v>2.5249365671641786</v>
      </c>
      <c r="M197" s="265">
        <f t="shared" si="54"/>
        <v>1.500803571428571</v>
      </c>
      <c r="N197" s="265">
        <f t="shared" si="55"/>
        <v>0.82693877551020412</v>
      </c>
      <c r="O197" s="265">
        <f t="shared" ca="1" si="56"/>
        <v>90.587053914102952</v>
      </c>
      <c r="P197" s="265">
        <f t="shared" ca="1" si="57"/>
        <v>3.8021524038118995</v>
      </c>
      <c r="Q197" s="258">
        <f t="shared" ca="1" si="58"/>
        <v>52.31640625</v>
      </c>
      <c r="R197" s="265">
        <f t="shared" si="59"/>
        <v>2.5249365671641786</v>
      </c>
      <c r="S197" s="265">
        <f t="shared" si="60"/>
        <v>1.500803571428571</v>
      </c>
      <c r="T197" s="265">
        <f t="shared" si="61"/>
        <v>0.82693877551020412</v>
      </c>
      <c r="U197" s="265">
        <f t="shared" ca="1" si="62"/>
        <v>57.169085164102952</v>
      </c>
      <c r="V197" s="265">
        <f t="shared" ca="1" si="63"/>
        <v>2.3995214016622404</v>
      </c>
      <c r="W197" s="258">
        <f t="shared" ca="1" si="64"/>
        <v>12.860156250000001</v>
      </c>
      <c r="X197" s="265">
        <f t="shared" si="65"/>
        <v>2.5249365671641786</v>
      </c>
      <c r="Y197" s="265">
        <f t="shared" si="66"/>
        <v>1.500803571428571</v>
      </c>
      <c r="Z197" s="265">
        <f t="shared" si="67"/>
        <v>0.82693877551020412</v>
      </c>
      <c r="AA197" s="265">
        <f t="shared" ca="1" si="68"/>
        <v>17.712835164102955</v>
      </c>
      <c r="AB197" s="265">
        <f t="shared" ca="1" si="69"/>
        <v>0.74344948740002192</v>
      </c>
      <c r="AC197" s="258"/>
      <c r="AD197" s="258"/>
      <c r="AE197" s="258"/>
      <c r="AF197" s="258"/>
      <c r="AG197" s="258"/>
      <c r="AH197" s="258"/>
      <c r="AI197" s="258"/>
      <c r="AJ197" s="258"/>
      <c r="AK197" s="258"/>
      <c r="AL197" s="258"/>
      <c r="AM197" s="258"/>
    </row>
    <row r="198" spans="3:39" x14ac:dyDescent="0.25">
      <c r="C198" s="255" t="s">
        <v>6131</v>
      </c>
      <c r="D198" s="255">
        <v>39.299999999999997</v>
      </c>
      <c r="E198" s="268">
        <v>0.45</v>
      </c>
      <c r="F198" s="266">
        <f t="shared" si="70"/>
        <v>11.450381679389315</v>
      </c>
      <c r="G198" s="266">
        <f t="shared" si="48"/>
        <v>87.333333333333329</v>
      </c>
      <c r="H198" s="265">
        <f t="shared" si="49"/>
        <v>0.35758706467661688</v>
      </c>
      <c r="I198" s="265">
        <f t="shared" si="50"/>
        <v>0.2790178571428571</v>
      </c>
      <c r="J198" s="265">
        <f t="shared" si="51"/>
        <v>0.14172335600907029</v>
      </c>
      <c r="K198" s="258">
        <f t="shared" ca="1" si="52"/>
        <v>324.88</v>
      </c>
      <c r="L198" s="265">
        <f t="shared" si="53"/>
        <v>2.5249365671641786</v>
      </c>
      <c r="M198" s="265">
        <f t="shared" si="54"/>
        <v>1.500803571428571</v>
      </c>
      <c r="N198" s="265">
        <f t="shared" si="55"/>
        <v>0.82693877551020412</v>
      </c>
      <c r="O198" s="265">
        <f t="shared" ca="1" si="56"/>
        <v>329.73267891410291</v>
      </c>
      <c r="P198" s="265">
        <f t="shared" ca="1" si="57"/>
        <v>3.7422138328206578</v>
      </c>
      <c r="Q198" s="258">
        <f t="shared" ca="1" si="58"/>
        <v>198.24666666666667</v>
      </c>
      <c r="R198" s="265">
        <f t="shared" si="59"/>
        <v>2.5249365671641786</v>
      </c>
      <c r="S198" s="265">
        <f t="shared" si="60"/>
        <v>1.500803571428571</v>
      </c>
      <c r="T198" s="265">
        <f t="shared" si="61"/>
        <v>0.82693877551020412</v>
      </c>
      <c r="U198" s="265">
        <f t="shared" ca="1" si="62"/>
        <v>203.09934558076964</v>
      </c>
      <c r="V198" s="265">
        <f t="shared" ca="1" si="63"/>
        <v>2.3050223076832914</v>
      </c>
      <c r="W198" s="258">
        <f t="shared" ca="1" si="64"/>
        <v>48.731999999999999</v>
      </c>
      <c r="X198" s="265">
        <f t="shared" si="65"/>
        <v>2.5249365671641786</v>
      </c>
      <c r="Y198" s="265">
        <f t="shared" si="66"/>
        <v>1.500803571428571</v>
      </c>
      <c r="Z198" s="265">
        <f t="shared" si="67"/>
        <v>0.82693877551020412</v>
      </c>
      <c r="AA198" s="265">
        <f t="shared" ca="1" si="68"/>
        <v>53.584678914102952</v>
      </c>
      <c r="AB198" s="265">
        <f t="shared" ca="1" si="69"/>
        <v>0.60814514145213794</v>
      </c>
      <c r="AC198" s="258"/>
      <c r="AD198" s="258"/>
      <c r="AE198" s="258"/>
      <c r="AF198" s="258"/>
      <c r="AG198" s="258"/>
      <c r="AH198" s="258"/>
      <c r="AI198" s="258"/>
      <c r="AJ198" s="258"/>
      <c r="AK198" s="258"/>
      <c r="AL198" s="258"/>
      <c r="AM198" s="258"/>
    </row>
    <row r="199" spans="3:39" x14ac:dyDescent="0.25">
      <c r="C199" s="255" t="s">
        <v>6132</v>
      </c>
      <c r="D199" s="255">
        <v>31.4</v>
      </c>
      <c r="E199" s="268">
        <v>0.44</v>
      </c>
      <c r="F199" s="266">
        <f t="shared" si="70"/>
        <v>14.012738853503185</v>
      </c>
      <c r="G199" s="266">
        <f t="shared" si="48"/>
        <v>71.36363636363636</v>
      </c>
      <c r="H199" s="265">
        <f t="shared" si="49"/>
        <v>0.35758706467661688</v>
      </c>
      <c r="I199" s="265">
        <f t="shared" si="50"/>
        <v>0.2790178571428571</v>
      </c>
      <c r="J199" s="265">
        <f t="shared" si="51"/>
        <v>0.14172335600907029</v>
      </c>
      <c r="K199" s="258">
        <f t="shared" ca="1" si="52"/>
        <v>265.4727272727273</v>
      </c>
      <c r="L199" s="265">
        <f t="shared" si="53"/>
        <v>2.5249365671641786</v>
      </c>
      <c r="M199" s="265">
        <f t="shared" si="54"/>
        <v>1.500803571428571</v>
      </c>
      <c r="N199" s="265">
        <f t="shared" si="55"/>
        <v>0.82693877551020412</v>
      </c>
      <c r="O199" s="265">
        <f t="shared" ca="1" si="56"/>
        <v>270.32540618683021</v>
      </c>
      <c r="P199" s="265">
        <f t="shared" ca="1" si="57"/>
        <v>3.7471311951415274</v>
      </c>
      <c r="Q199" s="258">
        <f t="shared" ca="1" si="58"/>
        <v>161.99545454545455</v>
      </c>
      <c r="R199" s="265">
        <f t="shared" si="59"/>
        <v>2.5249365671641786</v>
      </c>
      <c r="S199" s="265">
        <f t="shared" si="60"/>
        <v>1.500803571428571</v>
      </c>
      <c r="T199" s="265">
        <f t="shared" si="61"/>
        <v>0.82693877551020412</v>
      </c>
      <c r="U199" s="265">
        <f t="shared" ca="1" si="62"/>
        <v>166.84813345955752</v>
      </c>
      <c r="V199" s="265">
        <f t="shared" ca="1" si="63"/>
        <v>2.3127750164383314</v>
      </c>
      <c r="W199" s="258">
        <f t="shared" ca="1" si="64"/>
        <v>39.82090909090909</v>
      </c>
      <c r="X199" s="265">
        <f t="shared" si="65"/>
        <v>2.5249365671641786</v>
      </c>
      <c r="Y199" s="265">
        <f t="shared" si="66"/>
        <v>1.500803571428571</v>
      </c>
      <c r="Z199" s="265">
        <f t="shared" si="67"/>
        <v>0.82693877551020412</v>
      </c>
      <c r="AA199" s="265">
        <f t="shared" ca="1" si="68"/>
        <v>44.673588005012043</v>
      </c>
      <c r="AB199" s="265">
        <f t="shared" ca="1" si="69"/>
        <v>0.61924551441083275</v>
      </c>
      <c r="AC199" s="258"/>
      <c r="AD199" s="258"/>
      <c r="AE199" s="258"/>
      <c r="AF199" s="258"/>
      <c r="AG199" s="258"/>
      <c r="AH199" s="258"/>
      <c r="AI199" s="258"/>
      <c r="AJ199" s="258"/>
      <c r="AK199" s="258"/>
      <c r="AL199" s="258"/>
      <c r="AM199" s="258"/>
    </row>
    <row r="200" spans="3:39" x14ac:dyDescent="0.25">
      <c r="C200" s="255" t="s">
        <v>6133</v>
      </c>
      <c r="D200" s="255">
        <v>25.1</v>
      </c>
      <c r="E200" s="268">
        <v>0.432</v>
      </c>
      <c r="F200" s="266">
        <f t="shared" si="70"/>
        <v>17.211155378486055</v>
      </c>
      <c r="G200" s="266">
        <f t="shared" si="48"/>
        <v>58.101851851851855</v>
      </c>
      <c r="H200" s="265">
        <f t="shared" si="49"/>
        <v>0.35758706467661688</v>
      </c>
      <c r="I200" s="265">
        <f t="shared" si="50"/>
        <v>0.2790178571428571</v>
      </c>
      <c r="J200" s="265">
        <f t="shared" si="51"/>
        <v>0.14172335600907029</v>
      </c>
      <c r="K200" s="258">
        <f t="shared" ca="1" si="52"/>
        <v>216.13888888888891</v>
      </c>
      <c r="L200" s="265">
        <f t="shared" si="53"/>
        <v>2.5249365671641786</v>
      </c>
      <c r="M200" s="265">
        <f t="shared" si="54"/>
        <v>1.500803571428571</v>
      </c>
      <c r="N200" s="265">
        <f t="shared" si="55"/>
        <v>0.82693877551020412</v>
      </c>
      <c r="O200" s="265">
        <f t="shared" ca="1" si="56"/>
        <v>220.99156780299188</v>
      </c>
      <c r="P200" s="265">
        <f t="shared" ca="1" si="57"/>
        <v>3.7532420470907182</v>
      </c>
      <c r="Q200" s="258">
        <f t="shared" ca="1" si="58"/>
        <v>131.89120370370372</v>
      </c>
      <c r="R200" s="265">
        <f t="shared" si="59"/>
        <v>2.5249365671641786</v>
      </c>
      <c r="S200" s="265">
        <f t="shared" si="60"/>
        <v>1.500803571428571</v>
      </c>
      <c r="T200" s="265">
        <f t="shared" si="61"/>
        <v>0.82693877551020412</v>
      </c>
      <c r="U200" s="265">
        <f t="shared" ca="1" si="62"/>
        <v>136.74388261780669</v>
      </c>
      <c r="V200" s="265">
        <f t="shared" ca="1" si="63"/>
        <v>2.3224093798054919</v>
      </c>
      <c r="W200" s="258">
        <f t="shared" ca="1" si="64"/>
        <v>32.420833333333341</v>
      </c>
      <c r="X200" s="265">
        <f t="shared" si="65"/>
        <v>2.5249365671641786</v>
      </c>
      <c r="Y200" s="265">
        <f t="shared" si="66"/>
        <v>1.500803571428571</v>
      </c>
      <c r="Z200" s="265">
        <f t="shared" si="67"/>
        <v>0.82693877551020412</v>
      </c>
      <c r="AA200" s="265">
        <f t="shared" ca="1" si="68"/>
        <v>37.273512247436294</v>
      </c>
      <c r="AB200" s="265">
        <f t="shared" ca="1" si="69"/>
        <v>0.63304005125907237</v>
      </c>
      <c r="AC200" s="258"/>
      <c r="AD200" s="258"/>
      <c r="AE200" s="258"/>
      <c r="AF200" s="258"/>
      <c r="AG200" s="258"/>
      <c r="AH200" s="258"/>
      <c r="AI200" s="258"/>
      <c r="AJ200" s="258"/>
      <c r="AK200" s="258"/>
      <c r="AL200" s="258"/>
      <c r="AM200" s="258"/>
    </row>
    <row r="201" spans="3:39" x14ac:dyDescent="0.25">
      <c r="C201" s="255" t="s">
        <v>6134</v>
      </c>
      <c r="D201" s="255">
        <v>18.8</v>
      </c>
      <c r="E201" s="268">
        <v>0.42399999999999999</v>
      </c>
      <c r="F201" s="266">
        <f t="shared" si="70"/>
        <v>22.553191489361701</v>
      </c>
      <c r="G201" s="266">
        <f t="shared" si="48"/>
        <v>44.339622641509436</v>
      </c>
      <c r="H201" s="265">
        <f t="shared" si="49"/>
        <v>0.35758706467661688</v>
      </c>
      <c r="I201" s="265">
        <f t="shared" si="50"/>
        <v>0.2790178571428571</v>
      </c>
      <c r="J201" s="265">
        <f t="shared" si="51"/>
        <v>0.14172335600907029</v>
      </c>
      <c r="K201" s="258">
        <f t="shared" ca="1" si="52"/>
        <v>164.9433962264151</v>
      </c>
      <c r="L201" s="265">
        <f t="shared" si="53"/>
        <v>2.5249365671641786</v>
      </c>
      <c r="M201" s="265">
        <f t="shared" si="54"/>
        <v>1.500803571428571</v>
      </c>
      <c r="N201" s="265">
        <f t="shared" si="55"/>
        <v>0.82693877551020412</v>
      </c>
      <c r="O201" s="265">
        <f t="shared" ca="1" si="56"/>
        <v>169.79607514051807</v>
      </c>
      <c r="P201" s="265">
        <f t="shared" ca="1" si="57"/>
        <v>3.7633817955092876</v>
      </c>
      <c r="Q201" s="258">
        <f t="shared" ca="1" si="58"/>
        <v>100.65094339622642</v>
      </c>
      <c r="R201" s="265">
        <f t="shared" si="59"/>
        <v>2.5249365671641786</v>
      </c>
      <c r="S201" s="265">
        <f t="shared" si="60"/>
        <v>1.500803571428571</v>
      </c>
      <c r="T201" s="265">
        <f t="shared" si="61"/>
        <v>0.82693877551020412</v>
      </c>
      <c r="U201" s="265">
        <f t="shared" ca="1" si="62"/>
        <v>105.50362231032938</v>
      </c>
      <c r="V201" s="265">
        <f t="shared" ca="1" si="63"/>
        <v>2.3383956975118196</v>
      </c>
      <c r="W201" s="258">
        <f t="shared" ca="1" si="64"/>
        <v>24.741509433962268</v>
      </c>
      <c r="X201" s="265">
        <f t="shared" si="65"/>
        <v>2.5249365671641786</v>
      </c>
      <c r="Y201" s="265">
        <f t="shared" si="66"/>
        <v>1.500803571428571</v>
      </c>
      <c r="Z201" s="265">
        <f t="shared" si="67"/>
        <v>0.82693877551020412</v>
      </c>
      <c r="AA201" s="265">
        <f t="shared" ca="1" si="68"/>
        <v>29.59418834806522</v>
      </c>
      <c r="AB201" s="265">
        <f t="shared" ca="1" si="69"/>
        <v>0.65592935284170617</v>
      </c>
      <c r="AC201" s="258"/>
      <c r="AD201" s="258"/>
      <c r="AE201" s="258"/>
      <c r="AF201" s="258"/>
      <c r="AG201" s="258"/>
      <c r="AH201" s="258"/>
      <c r="AI201" s="258"/>
      <c r="AJ201" s="258"/>
      <c r="AK201" s="258"/>
      <c r="AL201" s="258"/>
      <c r="AM201" s="258"/>
    </row>
    <row r="202" spans="3:39" x14ac:dyDescent="0.25">
      <c r="C202" s="255" t="s">
        <v>6135</v>
      </c>
      <c r="D202" s="255">
        <v>15.7</v>
      </c>
      <c r="E202" s="268">
        <v>0.42</v>
      </c>
      <c r="F202" s="266">
        <f t="shared" si="70"/>
        <v>26.751592356687897</v>
      </c>
      <c r="G202" s="266">
        <f t="shared" si="48"/>
        <v>37.38095238095238</v>
      </c>
      <c r="H202" s="265">
        <f t="shared" si="49"/>
        <v>0.35758706467661688</v>
      </c>
      <c r="I202" s="265">
        <f t="shared" si="50"/>
        <v>0.2790178571428571</v>
      </c>
      <c r="J202" s="265">
        <f t="shared" si="51"/>
        <v>0.14172335600907029</v>
      </c>
      <c r="K202" s="258">
        <f t="shared" ca="1" si="52"/>
        <v>139.05714285714285</v>
      </c>
      <c r="L202" s="265">
        <f t="shared" si="53"/>
        <v>2.5249365671641786</v>
      </c>
      <c r="M202" s="265">
        <f t="shared" si="54"/>
        <v>1.500803571428571</v>
      </c>
      <c r="N202" s="265">
        <f t="shared" si="55"/>
        <v>0.82693877551020412</v>
      </c>
      <c r="O202" s="265">
        <f t="shared" ca="1" si="56"/>
        <v>143.90982177124582</v>
      </c>
      <c r="P202" s="265">
        <f t="shared" ca="1" si="57"/>
        <v>3.771292835891821</v>
      </c>
      <c r="Q202" s="258">
        <f t="shared" ca="1" si="58"/>
        <v>84.854761904761901</v>
      </c>
      <c r="R202" s="265">
        <f t="shared" si="59"/>
        <v>2.5249365671641786</v>
      </c>
      <c r="S202" s="265">
        <f t="shared" si="60"/>
        <v>1.500803571428571</v>
      </c>
      <c r="T202" s="265">
        <f t="shared" si="61"/>
        <v>0.82693877551020412</v>
      </c>
      <c r="U202" s="265">
        <f t="shared" ca="1" si="62"/>
        <v>89.707440818864853</v>
      </c>
      <c r="V202" s="265">
        <f t="shared" ca="1" si="63"/>
        <v>2.3508682362496804</v>
      </c>
      <c r="W202" s="258">
        <f t="shared" ca="1" si="64"/>
        <v>20.85857142857143</v>
      </c>
      <c r="X202" s="265">
        <f t="shared" si="65"/>
        <v>2.5249365671641786</v>
      </c>
      <c r="Y202" s="265">
        <f t="shared" si="66"/>
        <v>1.500803571428571</v>
      </c>
      <c r="Z202" s="265">
        <f t="shared" si="67"/>
        <v>0.82693877551020412</v>
      </c>
      <c r="AA202" s="265">
        <f t="shared" ca="1" si="68"/>
        <v>25.711250342674383</v>
      </c>
      <c r="AB202" s="265">
        <f t="shared" ca="1" si="69"/>
        <v>0.67378760549978833</v>
      </c>
      <c r="AC202" s="258"/>
      <c r="AD202" s="258"/>
      <c r="AE202" s="258"/>
      <c r="AF202" s="258"/>
      <c r="AG202" s="258"/>
      <c r="AH202" s="258"/>
      <c r="AI202" s="258"/>
      <c r="AJ202" s="258"/>
      <c r="AK202" s="258"/>
      <c r="AL202" s="258"/>
      <c r="AM202" s="258"/>
    </row>
    <row r="203" spans="3:39" x14ac:dyDescent="0.25">
      <c r="C203" s="255" t="s">
        <v>6136</v>
      </c>
      <c r="D203" s="255">
        <v>12.6</v>
      </c>
      <c r="E203" s="268">
        <v>0.41599999999999998</v>
      </c>
      <c r="F203" s="266">
        <f t="shared" si="70"/>
        <v>33.015873015873012</v>
      </c>
      <c r="G203" s="266">
        <f t="shared" si="48"/>
        <v>30.28846153846154</v>
      </c>
      <c r="H203" s="265">
        <f t="shared" si="49"/>
        <v>0.35758706467661688</v>
      </c>
      <c r="I203" s="265">
        <f t="shared" si="50"/>
        <v>0.2790178571428571</v>
      </c>
      <c r="J203" s="265">
        <f t="shared" si="51"/>
        <v>0.14172335600907029</v>
      </c>
      <c r="K203" s="258">
        <f t="shared" ca="1" si="52"/>
        <v>112.67307692307693</v>
      </c>
      <c r="L203" s="265">
        <f t="shared" si="53"/>
        <v>2.5249365671641786</v>
      </c>
      <c r="M203" s="265">
        <f t="shared" si="54"/>
        <v>1.500803571428571</v>
      </c>
      <c r="N203" s="265">
        <f t="shared" si="55"/>
        <v>0.82693877551020412</v>
      </c>
      <c r="O203" s="265">
        <f t="shared" ca="1" si="56"/>
        <v>117.52575583717989</v>
      </c>
      <c r="P203" s="265">
        <f t="shared" ca="1" si="57"/>
        <v>3.783002895766026</v>
      </c>
      <c r="Q203" s="258">
        <f t="shared" ca="1" si="58"/>
        <v>68.754807692307693</v>
      </c>
      <c r="R203" s="265">
        <f t="shared" si="59"/>
        <v>2.5249365671641786</v>
      </c>
      <c r="S203" s="265">
        <f t="shared" si="60"/>
        <v>1.500803571428571</v>
      </c>
      <c r="T203" s="265">
        <f t="shared" si="61"/>
        <v>0.82693877551020412</v>
      </c>
      <c r="U203" s="265">
        <f t="shared" ca="1" si="62"/>
        <v>73.607486606410646</v>
      </c>
      <c r="V203" s="265">
        <f t="shared" ca="1" si="63"/>
        <v>2.3693303055024391</v>
      </c>
      <c r="W203" s="258">
        <f t="shared" ca="1" si="64"/>
        <v>16.900961538461541</v>
      </c>
      <c r="X203" s="265">
        <f t="shared" si="65"/>
        <v>2.5249365671641786</v>
      </c>
      <c r="Y203" s="265">
        <f t="shared" si="66"/>
        <v>1.500803571428571</v>
      </c>
      <c r="Z203" s="265">
        <f t="shared" si="67"/>
        <v>0.82693877551020412</v>
      </c>
      <c r="AA203" s="265">
        <f t="shared" ca="1" si="68"/>
        <v>21.753640452564493</v>
      </c>
      <c r="AB203" s="265">
        <f t="shared" ca="1" si="69"/>
        <v>0.70022170237743142</v>
      </c>
      <c r="AC203" s="258"/>
      <c r="AD203" s="258"/>
      <c r="AE203" s="258"/>
      <c r="AF203" s="258"/>
      <c r="AG203" s="258"/>
      <c r="AH203" s="258"/>
      <c r="AI203" s="258"/>
      <c r="AJ203" s="258"/>
      <c r="AK203" s="258"/>
      <c r="AL203" s="258"/>
      <c r="AM203" s="258"/>
    </row>
    <row r="204" spans="3:39" x14ac:dyDescent="0.25">
      <c r="C204" s="255" t="s">
        <v>6137</v>
      </c>
      <c r="D204" s="255">
        <v>9.42</v>
      </c>
      <c r="E204" s="268">
        <v>0.41199999999999998</v>
      </c>
      <c r="F204" s="266">
        <f t="shared" si="70"/>
        <v>43.736730360934182</v>
      </c>
      <c r="G204" s="266">
        <f t="shared" si="48"/>
        <v>22.864077669902915</v>
      </c>
      <c r="H204" s="265">
        <f t="shared" si="49"/>
        <v>0.35758706467661688</v>
      </c>
      <c r="I204" s="265">
        <f t="shared" si="50"/>
        <v>0.2790178571428571</v>
      </c>
      <c r="J204" s="265">
        <f t="shared" si="51"/>
        <v>0.14172335600907029</v>
      </c>
      <c r="K204" s="258">
        <f t="shared" ca="1" si="52"/>
        <v>85.054368932038855</v>
      </c>
      <c r="L204" s="265">
        <f t="shared" si="53"/>
        <v>2.5249365671641786</v>
      </c>
      <c r="M204" s="265">
        <f t="shared" si="54"/>
        <v>1.500803571428571</v>
      </c>
      <c r="N204" s="265">
        <f t="shared" si="55"/>
        <v>0.82693877551020412</v>
      </c>
      <c r="O204" s="265">
        <f t="shared" ca="1" si="56"/>
        <v>89.907047846141808</v>
      </c>
      <c r="P204" s="265">
        <f t="shared" ca="1" si="57"/>
        <v>3.8027875862087792</v>
      </c>
      <c r="Q204" s="258">
        <f t="shared" ca="1" si="58"/>
        <v>51.90145631067962</v>
      </c>
      <c r="R204" s="265">
        <f t="shared" si="59"/>
        <v>2.5249365671641786</v>
      </c>
      <c r="S204" s="265">
        <f t="shared" si="60"/>
        <v>1.500803571428571</v>
      </c>
      <c r="T204" s="265">
        <f t="shared" si="61"/>
        <v>0.82693877551020412</v>
      </c>
      <c r="U204" s="265">
        <f t="shared" ca="1" si="62"/>
        <v>56.754135224782573</v>
      </c>
      <c r="V204" s="265">
        <f t="shared" ca="1" si="63"/>
        <v>2.4005228296246326</v>
      </c>
      <c r="W204" s="258">
        <f t="shared" ca="1" si="64"/>
        <v>12.758155339805828</v>
      </c>
      <c r="X204" s="265">
        <f t="shared" si="65"/>
        <v>2.5249365671641786</v>
      </c>
      <c r="Y204" s="265">
        <f t="shared" si="66"/>
        <v>1.500803571428571</v>
      </c>
      <c r="Z204" s="265">
        <f t="shared" si="67"/>
        <v>0.82693877551020412</v>
      </c>
      <c r="AA204" s="265">
        <f t="shared" ca="1" si="68"/>
        <v>17.610834253908781</v>
      </c>
      <c r="AB204" s="265">
        <f t="shared" ca="1" si="69"/>
        <v>0.7448833377128683</v>
      </c>
      <c r="AC204" s="258"/>
      <c r="AD204" s="258"/>
      <c r="AE204" s="258"/>
      <c r="AF204" s="258"/>
      <c r="AG204" s="258"/>
      <c r="AH204" s="258"/>
      <c r="AI204" s="258"/>
      <c r="AJ204" s="258"/>
      <c r="AK204" s="258"/>
      <c r="AL204" s="258"/>
      <c r="AM204" s="258"/>
    </row>
    <row r="205" spans="3:39" x14ac:dyDescent="0.25">
      <c r="C205" s="255" t="s">
        <v>6138</v>
      </c>
      <c r="D205" s="255">
        <v>28.3</v>
      </c>
      <c r="E205" s="268">
        <v>0.4</v>
      </c>
      <c r="F205" s="266">
        <f t="shared" si="70"/>
        <v>14.134275618374557</v>
      </c>
      <c r="G205" s="266">
        <f t="shared" si="48"/>
        <v>70.75</v>
      </c>
      <c r="H205" s="265">
        <f t="shared" si="49"/>
        <v>0.35758706467661688</v>
      </c>
      <c r="I205" s="265">
        <f t="shared" si="50"/>
        <v>0.2790178571428571</v>
      </c>
      <c r="J205" s="265">
        <f t="shared" si="51"/>
        <v>0.14172335600907029</v>
      </c>
      <c r="K205" s="258">
        <f t="shared" ca="1" si="52"/>
        <v>263.19</v>
      </c>
      <c r="L205" s="265">
        <f t="shared" si="53"/>
        <v>2.5249365671641786</v>
      </c>
      <c r="M205" s="265">
        <f t="shared" si="54"/>
        <v>1.500803571428571</v>
      </c>
      <c r="N205" s="265">
        <f t="shared" si="55"/>
        <v>0.82693877551020412</v>
      </c>
      <c r="O205" s="265">
        <f t="shared" ca="1" si="56"/>
        <v>268.04267891410291</v>
      </c>
      <c r="P205" s="265">
        <f t="shared" ca="1" si="57"/>
        <v>3.7473639517056547</v>
      </c>
      <c r="Q205" s="258">
        <f t="shared" ca="1" si="58"/>
        <v>160.60249999999999</v>
      </c>
      <c r="R205" s="265">
        <f t="shared" si="59"/>
        <v>2.5249365671641786</v>
      </c>
      <c r="S205" s="265">
        <f t="shared" si="60"/>
        <v>1.500803571428571</v>
      </c>
      <c r="T205" s="265">
        <f t="shared" si="61"/>
        <v>0.82693877551020412</v>
      </c>
      <c r="U205" s="265">
        <f t="shared" ca="1" si="62"/>
        <v>165.45517891410296</v>
      </c>
      <c r="V205" s="265">
        <f t="shared" ca="1" si="63"/>
        <v>2.3131419802158115</v>
      </c>
      <c r="W205" s="258">
        <f t="shared" ca="1" si="64"/>
        <v>39.478500000000004</v>
      </c>
      <c r="X205" s="265">
        <f t="shared" si="65"/>
        <v>2.5249365671641786</v>
      </c>
      <c r="Y205" s="265">
        <f t="shared" si="66"/>
        <v>1.500803571428571</v>
      </c>
      <c r="Z205" s="265">
        <f t="shared" si="67"/>
        <v>0.82693877551020412</v>
      </c>
      <c r="AA205" s="265">
        <f t="shared" ca="1" si="68"/>
        <v>44.331178914102956</v>
      </c>
      <c r="AB205" s="265">
        <f t="shared" ca="1" si="69"/>
        <v>0.61977093525676841</v>
      </c>
      <c r="AC205" s="258"/>
      <c r="AD205" s="258"/>
      <c r="AE205" s="258"/>
      <c r="AF205" s="258"/>
      <c r="AG205" s="258"/>
      <c r="AH205" s="258"/>
      <c r="AI205" s="258"/>
      <c r="AJ205" s="258"/>
      <c r="AK205" s="258"/>
      <c r="AL205" s="258"/>
      <c r="AM205" s="258"/>
    </row>
    <row r="206" spans="3:39" x14ac:dyDescent="0.25">
      <c r="C206" s="255" t="s">
        <v>6139</v>
      </c>
      <c r="D206" s="267">
        <v>17</v>
      </c>
      <c r="E206" s="268">
        <v>0.38400000000000001</v>
      </c>
      <c r="F206" s="266">
        <f t="shared" si="70"/>
        <v>22.588235294117649</v>
      </c>
      <c r="G206" s="266">
        <f t="shared" si="48"/>
        <v>44.270833333333336</v>
      </c>
      <c r="H206" s="265">
        <f t="shared" si="49"/>
        <v>0.35758706467661688</v>
      </c>
      <c r="I206" s="265">
        <f t="shared" si="50"/>
        <v>0.2790178571428571</v>
      </c>
      <c r="J206" s="265">
        <f t="shared" si="51"/>
        <v>0.14172335600907029</v>
      </c>
      <c r="K206" s="258">
        <f t="shared" ca="1" si="52"/>
        <v>164.68750000000003</v>
      </c>
      <c r="L206" s="265">
        <f t="shared" si="53"/>
        <v>2.5249365671641786</v>
      </c>
      <c r="M206" s="265">
        <f t="shared" si="54"/>
        <v>1.500803571428571</v>
      </c>
      <c r="N206" s="265">
        <f t="shared" si="55"/>
        <v>0.82693877551020412</v>
      </c>
      <c r="O206" s="265">
        <f t="shared" ca="1" si="56"/>
        <v>169.540178914103</v>
      </c>
      <c r="P206" s="265">
        <f t="shared" ca="1" si="57"/>
        <v>3.7634480387776152</v>
      </c>
      <c r="Q206" s="258">
        <f t="shared" ca="1" si="58"/>
        <v>100.49479166666667</v>
      </c>
      <c r="R206" s="265">
        <f t="shared" si="59"/>
        <v>2.5249365671641786</v>
      </c>
      <c r="S206" s="265">
        <f t="shared" si="60"/>
        <v>1.500803571428571</v>
      </c>
      <c r="T206" s="265">
        <f t="shared" si="61"/>
        <v>0.82693877551020412</v>
      </c>
      <c r="U206" s="265">
        <f t="shared" ca="1" si="62"/>
        <v>105.34747058076962</v>
      </c>
      <c r="V206" s="265">
        <f t="shared" ca="1" si="63"/>
        <v>2.3385001365856177</v>
      </c>
      <c r="W206" s="258">
        <f t="shared" ca="1" si="64"/>
        <v>24.703125000000004</v>
      </c>
      <c r="X206" s="265">
        <f t="shared" si="65"/>
        <v>2.5249365671641786</v>
      </c>
      <c r="Y206" s="265">
        <f t="shared" si="66"/>
        <v>1.500803571428571</v>
      </c>
      <c r="Z206" s="265">
        <f t="shared" si="67"/>
        <v>0.82693877551020412</v>
      </c>
      <c r="AA206" s="265">
        <f t="shared" ca="1" si="68"/>
        <v>29.555803914102956</v>
      </c>
      <c r="AB206" s="265">
        <f t="shared" ca="1" si="69"/>
        <v>0.65607888930789526</v>
      </c>
      <c r="AC206" s="258"/>
      <c r="AD206" s="258"/>
      <c r="AE206" s="258"/>
      <c r="AF206" s="258"/>
      <c r="AG206" s="258"/>
      <c r="AH206" s="258"/>
      <c r="AI206" s="258"/>
      <c r="AJ206" s="258"/>
      <c r="AK206" s="258"/>
      <c r="AL206" s="258"/>
      <c r="AM206" s="258"/>
    </row>
    <row r="207" spans="3:39" x14ac:dyDescent="0.25">
      <c r="C207" s="255" t="s">
        <v>6140</v>
      </c>
      <c r="D207" s="255">
        <v>14.1</v>
      </c>
      <c r="E207" s="268">
        <v>0.38</v>
      </c>
      <c r="F207" s="266">
        <f t="shared" si="70"/>
        <v>26.950354609929079</v>
      </c>
      <c r="G207" s="266">
        <f t="shared" si="48"/>
        <v>37.105263157894733</v>
      </c>
      <c r="H207" s="265">
        <f t="shared" si="49"/>
        <v>0.35758706467661688</v>
      </c>
      <c r="I207" s="265">
        <f t="shared" si="50"/>
        <v>0.2790178571428571</v>
      </c>
      <c r="J207" s="265">
        <f t="shared" si="51"/>
        <v>0.14172335600907029</v>
      </c>
      <c r="K207" s="258">
        <f t="shared" ca="1" si="52"/>
        <v>138.03157894736842</v>
      </c>
      <c r="L207" s="265">
        <f t="shared" si="53"/>
        <v>2.5249365671641786</v>
      </c>
      <c r="M207" s="265">
        <f t="shared" si="54"/>
        <v>1.500803571428571</v>
      </c>
      <c r="N207" s="265">
        <f t="shared" si="55"/>
        <v>0.82693877551020412</v>
      </c>
      <c r="O207" s="265">
        <f t="shared" ca="1" si="56"/>
        <v>142.88425786147138</v>
      </c>
      <c r="P207" s="265">
        <f t="shared" ca="1" si="57"/>
        <v>3.77166610784254</v>
      </c>
      <c r="Q207" s="258">
        <f t="shared" ca="1" si="58"/>
        <v>84.228947368421046</v>
      </c>
      <c r="R207" s="265">
        <f t="shared" si="59"/>
        <v>2.5249365671641786</v>
      </c>
      <c r="S207" s="265">
        <f t="shared" si="60"/>
        <v>1.500803571428571</v>
      </c>
      <c r="T207" s="265">
        <f t="shared" si="61"/>
        <v>0.82693877551020412</v>
      </c>
      <c r="U207" s="265">
        <f t="shared" ca="1" si="62"/>
        <v>89.081626282523999</v>
      </c>
      <c r="V207" s="265">
        <f t="shared" ca="1" si="63"/>
        <v>2.3514567364519263</v>
      </c>
      <c r="W207" s="258">
        <f t="shared" ca="1" si="64"/>
        <v>20.704736842105262</v>
      </c>
      <c r="X207" s="265">
        <f t="shared" si="65"/>
        <v>2.5249365671641786</v>
      </c>
      <c r="Y207" s="265">
        <f t="shared" si="66"/>
        <v>1.500803571428571</v>
      </c>
      <c r="Z207" s="265">
        <f t="shared" si="67"/>
        <v>0.82693877551020412</v>
      </c>
      <c r="AA207" s="265">
        <f t="shared" ca="1" si="68"/>
        <v>25.557415756208215</v>
      </c>
      <c r="AB207" s="265">
        <f t="shared" ca="1" si="69"/>
        <v>0.67463022347211288</v>
      </c>
      <c r="AC207" s="258"/>
      <c r="AD207" s="258"/>
      <c r="AE207" s="258"/>
      <c r="AF207" s="258"/>
      <c r="AG207" s="258"/>
      <c r="AH207" s="258"/>
      <c r="AI207" s="258"/>
      <c r="AJ207" s="258"/>
      <c r="AK207" s="258"/>
      <c r="AL207" s="258"/>
      <c r="AM207" s="258"/>
    </row>
    <row r="208" spans="3:39" x14ac:dyDescent="0.25">
      <c r="C208" s="255" t="s">
        <v>6141</v>
      </c>
      <c r="D208" s="255">
        <v>8.48</v>
      </c>
      <c r="E208" s="268">
        <v>0.372</v>
      </c>
      <c r="F208" s="266">
        <f t="shared" si="70"/>
        <v>43.867924528301884</v>
      </c>
      <c r="G208" s="266">
        <f t="shared" si="48"/>
        <v>22.795698924731184</v>
      </c>
      <c r="H208" s="265">
        <f t="shared" si="49"/>
        <v>0.35758706467661688</v>
      </c>
      <c r="I208" s="265">
        <f t="shared" si="50"/>
        <v>0.2790178571428571</v>
      </c>
      <c r="J208" s="265">
        <f t="shared" si="51"/>
        <v>0.14172335600907029</v>
      </c>
      <c r="K208" s="258">
        <f t="shared" ca="1" si="52"/>
        <v>84.800000000000011</v>
      </c>
      <c r="L208" s="265">
        <f t="shared" si="53"/>
        <v>2.5249365671641786</v>
      </c>
      <c r="M208" s="265">
        <f t="shared" si="54"/>
        <v>1.500803571428571</v>
      </c>
      <c r="N208" s="265">
        <f t="shared" si="55"/>
        <v>0.82693877551020412</v>
      </c>
      <c r="O208" s="265">
        <f t="shared" ca="1" si="56"/>
        <v>89.652678914102964</v>
      </c>
      <c r="P208" s="265">
        <f t="shared" ca="1" si="57"/>
        <v>3.8030277196069511</v>
      </c>
      <c r="Q208" s="258">
        <f t="shared" ca="1" si="58"/>
        <v>51.746236559139788</v>
      </c>
      <c r="R208" s="265">
        <f t="shared" si="59"/>
        <v>2.5249365671641786</v>
      </c>
      <c r="S208" s="265">
        <f t="shared" si="60"/>
        <v>1.500803571428571</v>
      </c>
      <c r="T208" s="265">
        <f t="shared" si="61"/>
        <v>0.82693877551020412</v>
      </c>
      <c r="U208" s="265">
        <f t="shared" ca="1" si="62"/>
        <v>56.598915473242741</v>
      </c>
      <c r="V208" s="265">
        <f t="shared" ca="1" si="63"/>
        <v>2.4009014237116464</v>
      </c>
      <c r="W208" s="258">
        <f t="shared" ca="1" si="64"/>
        <v>12.720000000000002</v>
      </c>
      <c r="X208" s="265">
        <f t="shared" si="65"/>
        <v>2.5249365671641786</v>
      </c>
      <c r="Y208" s="265">
        <f t="shared" si="66"/>
        <v>1.500803571428571</v>
      </c>
      <c r="Z208" s="265">
        <f t="shared" si="67"/>
        <v>0.82693877551020412</v>
      </c>
      <c r="AA208" s="265">
        <f t="shared" ca="1" si="68"/>
        <v>17.572678914102955</v>
      </c>
      <c r="AB208" s="265">
        <f t="shared" ca="1" si="69"/>
        <v>0.74542541090284598</v>
      </c>
      <c r="AC208" s="258"/>
      <c r="AD208" s="258"/>
      <c r="AE208" s="258"/>
      <c r="AF208" s="258"/>
      <c r="AG208" s="258"/>
      <c r="AH208" s="258"/>
      <c r="AI208" s="258"/>
      <c r="AJ208" s="258"/>
      <c r="AK208" s="258"/>
      <c r="AL208" s="258"/>
      <c r="AM208" s="258"/>
    </row>
    <row r="209" spans="3:39" x14ac:dyDescent="0.25">
      <c r="C209" s="255" t="s">
        <v>6142</v>
      </c>
      <c r="D209" s="255">
        <v>58.9</v>
      </c>
      <c r="E209" s="268">
        <v>0.4</v>
      </c>
      <c r="F209" s="266">
        <f t="shared" si="70"/>
        <v>6.7911714770797973</v>
      </c>
      <c r="G209" s="266">
        <f t="shared" si="48"/>
        <v>147.25</v>
      </c>
      <c r="H209" s="265">
        <f t="shared" si="49"/>
        <v>0.35758706467661688</v>
      </c>
      <c r="I209" s="265">
        <f t="shared" si="50"/>
        <v>0.2790178571428571</v>
      </c>
      <c r="J209" s="265">
        <f t="shared" si="51"/>
        <v>0.14172335600907029</v>
      </c>
      <c r="K209" s="258">
        <f t="shared" ca="1" si="52"/>
        <v>547.77</v>
      </c>
      <c r="L209" s="265">
        <f t="shared" si="53"/>
        <v>2.5249365671641786</v>
      </c>
      <c r="M209" s="265">
        <f t="shared" si="54"/>
        <v>1.500803571428571</v>
      </c>
      <c r="N209" s="265">
        <f t="shared" si="55"/>
        <v>0.82693877551020412</v>
      </c>
      <c r="O209" s="265">
        <f t="shared" ca="1" si="56"/>
        <v>552.62267891410306</v>
      </c>
      <c r="P209" s="265">
        <f t="shared" ca="1" si="57"/>
        <v>3.7332224537245824</v>
      </c>
      <c r="Q209" s="258">
        <f t="shared" ca="1" si="58"/>
        <v>334.25749999999999</v>
      </c>
      <c r="R209" s="265">
        <f t="shared" si="59"/>
        <v>2.5249365671641786</v>
      </c>
      <c r="S209" s="265">
        <f t="shared" si="60"/>
        <v>1.500803571428571</v>
      </c>
      <c r="T209" s="265">
        <f t="shared" si="61"/>
        <v>0.82693877551020412</v>
      </c>
      <c r="U209" s="265">
        <f t="shared" ca="1" si="62"/>
        <v>339.1101789141029</v>
      </c>
      <c r="V209" s="265">
        <f t="shared" ca="1" si="63"/>
        <v>2.2908465079578577</v>
      </c>
      <c r="W209" s="258">
        <f t="shared" ca="1" si="64"/>
        <v>82.165500000000009</v>
      </c>
      <c r="X209" s="265">
        <f t="shared" si="65"/>
        <v>2.5249365671641786</v>
      </c>
      <c r="Y209" s="265">
        <f t="shared" si="66"/>
        <v>1.500803571428571</v>
      </c>
      <c r="Z209" s="265">
        <f t="shared" si="67"/>
        <v>0.82693877551020412</v>
      </c>
      <c r="AA209" s="265">
        <f t="shared" ca="1" si="68"/>
        <v>87.018178914102961</v>
      </c>
      <c r="AB209" s="265">
        <f t="shared" ca="1" si="69"/>
        <v>0.58784814992156076</v>
      </c>
      <c r="AC209" s="258"/>
      <c r="AD209" s="258"/>
      <c r="AE209" s="258"/>
      <c r="AF209" s="258"/>
      <c r="AG209" s="258"/>
      <c r="AH209" s="258"/>
      <c r="AI209" s="258"/>
      <c r="AJ209" s="258"/>
      <c r="AK209" s="258"/>
      <c r="AL209" s="258"/>
      <c r="AM209" s="258"/>
    </row>
    <row r="210" spans="3:39" x14ac:dyDescent="0.25">
      <c r="C210" s="255" t="s">
        <v>6143</v>
      </c>
      <c r="D210" s="255">
        <v>29.4</v>
      </c>
      <c r="E210" s="268">
        <v>0.35</v>
      </c>
      <c r="F210" s="266">
        <f t="shared" si="70"/>
        <v>11.904761904761903</v>
      </c>
      <c r="G210" s="266">
        <f t="shared" si="48"/>
        <v>84</v>
      </c>
      <c r="H210" s="265">
        <f t="shared" si="49"/>
        <v>0.35758706467661688</v>
      </c>
      <c r="I210" s="265">
        <f t="shared" si="50"/>
        <v>0.2790178571428571</v>
      </c>
      <c r="J210" s="265">
        <f t="shared" si="51"/>
        <v>0.14172335600907029</v>
      </c>
      <c r="K210" s="258">
        <f t="shared" ca="1" si="52"/>
        <v>312.48</v>
      </c>
      <c r="L210" s="265">
        <f t="shared" si="53"/>
        <v>2.5249365671641786</v>
      </c>
      <c r="M210" s="265">
        <f t="shared" si="54"/>
        <v>1.500803571428571</v>
      </c>
      <c r="N210" s="265">
        <f t="shared" si="55"/>
        <v>0.82693877551020412</v>
      </c>
      <c r="O210" s="265">
        <f t="shared" ca="1" si="56"/>
        <v>317.33267891410293</v>
      </c>
      <c r="P210" s="265">
        <f t="shared" ca="1" si="57"/>
        <v>3.7430872412837211</v>
      </c>
      <c r="Q210" s="258">
        <f t="shared" ca="1" si="58"/>
        <v>190.68</v>
      </c>
      <c r="R210" s="265">
        <f t="shared" si="59"/>
        <v>2.5249365671641786</v>
      </c>
      <c r="S210" s="265">
        <f t="shared" si="60"/>
        <v>1.500803571428571</v>
      </c>
      <c r="T210" s="265">
        <f t="shared" si="61"/>
        <v>0.82693877551020412</v>
      </c>
      <c r="U210" s="265">
        <f t="shared" ca="1" si="62"/>
        <v>195.53267891410297</v>
      </c>
      <c r="V210" s="265">
        <f t="shared" ca="1" si="63"/>
        <v>2.3063993226349</v>
      </c>
      <c r="W210" s="258">
        <f t="shared" ca="1" si="64"/>
        <v>46.872000000000007</v>
      </c>
      <c r="X210" s="265">
        <f t="shared" si="65"/>
        <v>2.5249365671641786</v>
      </c>
      <c r="Y210" s="265">
        <f t="shared" si="66"/>
        <v>1.500803571428571</v>
      </c>
      <c r="Z210" s="265">
        <f t="shared" si="67"/>
        <v>0.82693877551020412</v>
      </c>
      <c r="AA210" s="265">
        <f t="shared" ca="1" si="68"/>
        <v>51.724678914102959</v>
      </c>
      <c r="AB210" s="265">
        <f t="shared" ca="1" si="69"/>
        <v>0.6101167593750505</v>
      </c>
      <c r="AC210" s="258"/>
      <c r="AD210" s="258"/>
      <c r="AE210" s="258"/>
      <c r="AF210" s="258"/>
      <c r="AG210" s="258"/>
      <c r="AH210" s="258"/>
      <c r="AI210" s="258"/>
      <c r="AJ210" s="258"/>
      <c r="AK210" s="258"/>
      <c r="AL210" s="258"/>
      <c r="AM210" s="258"/>
    </row>
    <row r="211" spans="3:39" x14ac:dyDescent="0.25">
      <c r="C211" s="255" t="s">
        <v>6144</v>
      </c>
      <c r="D211" s="255">
        <v>23.6</v>
      </c>
      <c r="E211" s="268">
        <v>0.34</v>
      </c>
      <c r="F211" s="266">
        <f t="shared" si="70"/>
        <v>14.40677966101695</v>
      </c>
      <c r="G211" s="266">
        <f t="shared" si="48"/>
        <v>69.411764705882348</v>
      </c>
      <c r="H211" s="265">
        <f t="shared" si="49"/>
        <v>0.35758706467661688</v>
      </c>
      <c r="I211" s="265">
        <f t="shared" si="50"/>
        <v>0.2790178571428571</v>
      </c>
      <c r="J211" s="265">
        <f t="shared" si="51"/>
        <v>0.14172335600907029</v>
      </c>
      <c r="K211" s="258">
        <f t="shared" ca="1" si="52"/>
        <v>258.21176470588233</v>
      </c>
      <c r="L211" s="265">
        <f t="shared" si="53"/>
        <v>2.5249365671641786</v>
      </c>
      <c r="M211" s="265">
        <f t="shared" si="54"/>
        <v>1.500803571428571</v>
      </c>
      <c r="N211" s="265">
        <f t="shared" si="55"/>
        <v>0.82693877551020412</v>
      </c>
      <c r="O211" s="265">
        <f t="shared" ca="1" si="56"/>
        <v>263.06444361998524</v>
      </c>
      <c r="P211" s="265">
        <f t="shared" ca="1" si="57"/>
        <v>3.7478856692928861</v>
      </c>
      <c r="Q211" s="258">
        <f t="shared" ca="1" si="58"/>
        <v>157.56470588235294</v>
      </c>
      <c r="R211" s="265">
        <f t="shared" si="59"/>
        <v>2.5249365671641786</v>
      </c>
      <c r="S211" s="265">
        <f t="shared" si="60"/>
        <v>1.500803571428571</v>
      </c>
      <c r="T211" s="265">
        <f t="shared" si="61"/>
        <v>0.82693877551020412</v>
      </c>
      <c r="U211" s="265">
        <f t="shared" ca="1" si="62"/>
        <v>162.41738479645591</v>
      </c>
      <c r="V211" s="265">
        <f t="shared" ca="1" si="63"/>
        <v>2.3139645196673029</v>
      </c>
      <c r="W211" s="258">
        <f t="shared" ca="1" si="64"/>
        <v>38.731764705882355</v>
      </c>
      <c r="X211" s="265">
        <f t="shared" si="65"/>
        <v>2.5249365671641786</v>
      </c>
      <c r="Y211" s="265">
        <f t="shared" si="66"/>
        <v>1.500803571428571</v>
      </c>
      <c r="Z211" s="265">
        <f t="shared" si="67"/>
        <v>0.82693877551020412</v>
      </c>
      <c r="AA211" s="265">
        <f t="shared" ca="1" si="68"/>
        <v>43.584443619985308</v>
      </c>
      <c r="AB211" s="265">
        <f t="shared" ca="1" si="69"/>
        <v>0.62094865197144</v>
      </c>
      <c r="AC211" s="258"/>
      <c r="AD211" s="258"/>
      <c r="AE211" s="258"/>
      <c r="AF211" s="258"/>
      <c r="AG211" s="258"/>
      <c r="AH211" s="258"/>
      <c r="AI211" s="258"/>
      <c r="AJ211" s="258"/>
      <c r="AK211" s="258"/>
      <c r="AL211" s="258"/>
      <c r="AM211" s="258"/>
    </row>
    <row r="212" spans="3:39" x14ac:dyDescent="0.25">
      <c r="C212" s="255" t="s">
        <v>6145</v>
      </c>
      <c r="D212" s="255">
        <v>18.8</v>
      </c>
      <c r="E212" s="268">
        <v>0.33200000000000002</v>
      </c>
      <c r="F212" s="266">
        <f t="shared" si="70"/>
        <v>17.659574468085108</v>
      </c>
      <c r="G212" s="266">
        <f t="shared" si="48"/>
        <v>56.626506024096386</v>
      </c>
      <c r="H212" s="265">
        <f t="shared" si="49"/>
        <v>0.35758706467661688</v>
      </c>
      <c r="I212" s="265">
        <f t="shared" si="50"/>
        <v>0.2790178571428571</v>
      </c>
      <c r="J212" s="265">
        <f t="shared" si="51"/>
        <v>0.14172335600907029</v>
      </c>
      <c r="K212" s="258">
        <f t="shared" ca="1" si="52"/>
        <v>210.65060240963857</v>
      </c>
      <c r="L212" s="265">
        <f t="shared" si="53"/>
        <v>2.5249365671641786</v>
      </c>
      <c r="M212" s="265">
        <f t="shared" si="54"/>
        <v>1.500803571428571</v>
      </c>
      <c r="N212" s="265">
        <f t="shared" si="55"/>
        <v>0.82693877551020412</v>
      </c>
      <c r="O212" s="265">
        <f t="shared" ca="1" si="56"/>
        <v>215.50328132374153</v>
      </c>
      <c r="P212" s="265">
        <f t="shared" ca="1" si="57"/>
        <v>3.7540963917827241</v>
      </c>
      <c r="Q212" s="258">
        <f t="shared" ca="1" si="58"/>
        <v>128.54216867469879</v>
      </c>
      <c r="R212" s="265">
        <f t="shared" si="59"/>
        <v>2.5249365671641786</v>
      </c>
      <c r="S212" s="265">
        <f t="shared" si="60"/>
        <v>1.500803571428571</v>
      </c>
      <c r="T212" s="265">
        <f t="shared" si="61"/>
        <v>0.82693877551020412</v>
      </c>
      <c r="U212" s="265">
        <f t="shared" ca="1" si="62"/>
        <v>133.39484758880175</v>
      </c>
      <c r="V212" s="265">
        <f t="shared" ca="1" si="63"/>
        <v>2.3237563388337956</v>
      </c>
      <c r="W212" s="258">
        <f t="shared" ca="1" si="64"/>
        <v>31.597590361445786</v>
      </c>
      <c r="X212" s="265">
        <f t="shared" si="65"/>
        <v>2.5249365671641786</v>
      </c>
      <c r="Y212" s="265">
        <f t="shared" si="66"/>
        <v>1.500803571428571</v>
      </c>
      <c r="Z212" s="265">
        <f t="shared" si="67"/>
        <v>0.82693877551020412</v>
      </c>
      <c r="AA212" s="265">
        <f t="shared" ca="1" si="68"/>
        <v>36.450269275548742</v>
      </c>
      <c r="AB212" s="265">
        <f t="shared" ca="1" si="69"/>
        <v>0.6349686349382333</v>
      </c>
      <c r="AC212" s="258"/>
      <c r="AD212" s="258"/>
      <c r="AE212" s="258"/>
      <c r="AF212" s="258"/>
      <c r="AG212" s="258"/>
      <c r="AH212" s="258"/>
      <c r="AI212" s="258"/>
      <c r="AJ212" s="258"/>
      <c r="AK212" s="258"/>
      <c r="AL212" s="258"/>
      <c r="AM212" s="258"/>
    </row>
    <row r="213" spans="3:39" x14ac:dyDescent="0.25">
      <c r="C213" s="255" t="s">
        <v>6146</v>
      </c>
      <c r="D213" s="255">
        <v>14.1</v>
      </c>
      <c r="E213" s="268">
        <v>0.32400000000000001</v>
      </c>
      <c r="F213" s="266">
        <f t="shared" si="70"/>
        <v>22.978723404255319</v>
      </c>
      <c r="G213" s="266">
        <f t="shared" si="48"/>
        <v>43.518518518518519</v>
      </c>
      <c r="H213" s="265">
        <f t="shared" si="49"/>
        <v>0.35758706467661688</v>
      </c>
      <c r="I213" s="265">
        <f t="shared" si="50"/>
        <v>0.2790178571428571</v>
      </c>
      <c r="J213" s="265">
        <f t="shared" si="51"/>
        <v>0.14172335600907029</v>
      </c>
      <c r="K213" s="258">
        <f t="shared" ca="1" si="52"/>
        <v>161.88888888888889</v>
      </c>
      <c r="L213" s="265">
        <f t="shared" si="53"/>
        <v>2.5249365671641786</v>
      </c>
      <c r="M213" s="265">
        <f t="shared" si="54"/>
        <v>1.500803571428571</v>
      </c>
      <c r="N213" s="265">
        <f t="shared" si="55"/>
        <v>0.82693877551020412</v>
      </c>
      <c r="O213" s="265">
        <f t="shared" ca="1" si="56"/>
        <v>166.74156780299185</v>
      </c>
      <c r="P213" s="265">
        <f t="shared" ca="1" si="57"/>
        <v>3.7641859378745259</v>
      </c>
      <c r="Q213" s="258">
        <f t="shared" ca="1" si="58"/>
        <v>98.787037037037038</v>
      </c>
      <c r="R213" s="265">
        <f t="shared" si="59"/>
        <v>2.5249365671641786</v>
      </c>
      <c r="S213" s="265">
        <f t="shared" si="60"/>
        <v>1.500803571428571</v>
      </c>
      <c r="T213" s="265">
        <f t="shared" si="61"/>
        <v>0.82693877551020412</v>
      </c>
      <c r="U213" s="265">
        <f t="shared" ca="1" si="62"/>
        <v>103.63971595113999</v>
      </c>
      <c r="V213" s="265">
        <f t="shared" ca="1" si="63"/>
        <v>2.3396635075995214</v>
      </c>
      <c r="W213" s="258">
        <f t="shared" ca="1" si="64"/>
        <v>24.283333333333335</v>
      </c>
      <c r="X213" s="265">
        <f t="shared" si="65"/>
        <v>2.5249365671641786</v>
      </c>
      <c r="Y213" s="265">
        <f t="shared" si="66"/>
        <v>1.500803571428571</v>
      </c>
      <c r="Z213" s="265">
        <f t="shared" si="67"/>
        <v>0.82693877551020412</v>
      </c>
      <c r="AA213" s="265">
        <f t="shared" ca="1" si="68"/>
        <v>29.136012247436287</v>
      </c>
      <c r="AB213" s="265">
        <f t="shared" ca="1" si="69"/>
        <v>0.6577446106127578</v>
      </c>
      <c r="AC213" s="258"/>
      <c r="AD213" s="258"/>
      <c r="AE213" s="258"/>
      <c r="AF213" s="258"/>
      <c r="AG213" s="258"/>
      <c r="AH213" s="258"/>
      <c r="AI213" s="258"/>
      <c r="AJ213" s="258"/>
      <c r="AK213" s="258"/>
      <c r="AL213" s="258"/>
      <c r="AM213" s="258"/>
    </row>
    <row r="214" spans="3:39" x14ac:dyDescent="0.25">
      <c r="C214" s="255" t="s">
        <v>6147</v>
      </c>
      <c r="D214" s="255">
        <v>11.8</v>
      </c>
      <c r="E214" s="268">
        <v>0.32</v>
      </c>
      <c r="F214" s="266">
        <f t="shared" si="70"/>
        <v>27.118644067796609</v>
      </c>
      <c r="G214" s="266">
        <f t="shared" si="48"/>
        <v>36.875</v>
      </c>
      <c r="H214" s="265">
        <f t="shared" si="49"/>
        <v>0.35758706467661688</v>
      </c>
      <c r="I214" s="265">
        <f t="shared" si="50"/>
        <v>0.2790178571428571</v>
      </c>
      <c r="J214" s="265">
        <f t="shared" si="51"/>
        <v>0.14172335600907029</v>
      </c>
      <c r="K214" s="258">
        <f t="shared" ca="1" si="52"/>
        <v>137.17500000000001</v>
      </c>
      <c r="L214" s="265">
        <f t="shared" si="53"/>
        <v>2.5249365671641786</v>
      </c>
      <c r="M214" s="265">
        <f t="shared" si="54"/>
        <v>1.500803571428571</v>
      </c>
      <c r="N214" s="265">
        <f t="shared" si="55"/>
        <v>0.82693877551020412</v>
      </c>
      <c r="O214" s="265">
        <f t="shared" ca="1" si="56"/>
        <v>142.02767891410298</v>
      </c>
      <c r="P214" s="265">
        <f t="shared" ca="1" si="57"/>
        <v>3.7719820640061004</v>
      </c>
      <c r="Q214" s="258">
        <f t="shared" ca="1" si="58"/>
        <v>83.706249999999997</v>
      </c>
      <c r="R214" s="265">
        <f t="shared" si="59"/>
        <v>2.5249365671641786</v>
      </c>
      <c r="S214" s="265">
        <f t="shared" si="60"/>
        <v>1.500803571428571</v>
      </c>
      <c r="T214" s="265">
        <f t="shared" si="61"/>
        <v>0.82693877551020412</v>
      </c>
      <c r="U214" s="265">
        <f t="shared" ca="1" si="62"/>
        <v>88.55892891410295</v>
      </c>
      <c r="V214" s="265">
        <f t="shared" ca="1" si="63"/>
        <v>2.3519548726386881</v>
      </c>
      <c r="W214" s="258">
        <f t="shared" ca="1" si="64"/>
        <v>20.576250000000002</v>
      </c>
      <c r="X214" s="265">
        <f t="shared" si="65"/>
        <v>2.5249365671641786</v>
      </c>
      <c r="Y214" s="265">
        <f t="shared" si="66"/>
        <v>1.500803571428571</v>
      </c>
      <c r="Z214" s="265">
        <f t="shared" si="67"/>
        <v>0.82693877551020412</v>
      </c>
      <c r="AA214" s="265">
        <f t="shared" ca="1" si="68"/>
        <v>25.428928914102954</v>
      </c>
      <c r="AB214" s="265">
        <f t="shared" ca="1" si="69"/>
        <v>0.67534345772764803</v>
      </c>
      <c r="AC214" s="258"/>
      <c r="AD214" s="258"/>
      <c r="AE214" s="258"/>
      <c r="AF214" s="258"/>
      <c r="AG214" s="258"/>
      <c r="AH214" s="258"/>
      <c r="AI214" s="258"/>
      <c r="AJ214" s="258"/>
      <c r="AK214" s="258"/>
      <c r="AL214" s="258"/>
      <c r="AM214" s="258"/>
    </row>
    <row r="215" spans="3:39" x14ac:dyDescent="0.25">
      <c r="C215" s="255" t="s">
        <v>6148</v>
      </c>
      <c r="D215" s="255">
        <v>9.42</v>
      </c>
      <c r="E215" s="268">
        <v>0.316</v>
      </c>
      <c r="F215" s="266">
        <f t="shared" si="70"/>
        <v>33.545647558386413</v>
      </c>
      <c r="G215" s="266">
        <f t="shared" si="48"/>
        <v>29.810126582278482</v>
      </c>
      <c r="H215" s="265">
        <f t="shared" si="49"/>
        <v>0.35758706467661688</v>
      </c>
      <c r="I215" s="265">
        <f t="shared" si="50"/>
        <v>0.2790178571428571</v>
      </c>
      <c r="J215" s="265">
        <f t="shared" si="51"/>
        <v>0.14172335600907029</v>
      </c>
      <c r="K215" s="258">
        <f t="shared" ca="1" si="52"/>
        <v>110.89367088607595</v>
      </c>
      <c r="L215" s="265">
        <f t="shared" si="53"/>
        <v>2.5249365671641786</v>
      </c>
      <c r="M215" s="265">
        <f t="shared" si="54"/>
        <v>1.500803571428571</v>
      </c>
      <c r="N215" s="265">
        <f t="shared" si="55"/>
        <v>0.82693877551020412</v>
      </c>
      <c r="O215" s="265">
        <f t="shared" ca="1" si="56"/>
        <v>115.7463498001789</v>
      </c>
      <c r="P215" s="265">
        <f t="shared" ca="1" si="57"/>
        <v>3.7839881200123462</v>
      </c>
      <c r="Q215" s="258">
        <f t="shared" ca="1" si="58"/>
        <v>67.668987341772151</v>
      </c>
      <c r="R215" s="265">
        <f t="shared" si="59"/>
        <v>2.5249365671641786</v>
      </c>
      <c r="S215" s="265">
        <f t="shared" si="60"/>
        <v>1.500803571428571</v>
      </c>
      <c r="T215" s="265">
        <f t="shared" si="61"/>
        <v>0.82693877551020412</v>
      </c>
      <c r="U215" s="265">
        <f t="shared" ca="1" si="62"/>
        <v>72.521666255875104</v>
      </c>
      <c r="V215" s="265">
        <f t="shared" ca="1" si="63"/>
        <v>2.3708836091115115</v>
      </c>
      <c r="W215" s="258">
        <f t="shared" ca="1" si="64"/>
        <v>16.634050632911393</v>
      </c>
      <c r="X215" s="265">
        <f t="shared" si="65"/>
        <v>2.5249365671641786</v>
      </c>
      <c r="Y215" s="265">
        <f t="shared" si="66"/>
        <v>1.500803571428571</v>
      </c>
      <c r="Z215" s="265">
        <f t="shared" si="67"/>
        <v>0.82693877551020412</v>
      </c>
      <c r="AA215" s="265">
        <f t="shared" ca="1" si="68"/>
        <v>21.486729547014345</v>
      </c>
      <c r="AB215" s="265">
        <f t="shared" ca="1" si="69"/>
        <v>0.7024457314134227</v>
      </c>
      <c r="AC215" s="258"/>
      <c r="AD215" s="258"/>
      <c r="AE215" s="258"/>
      <c r="AF215" s="258"/>
      <c r="AG215" s="258"/>
      <c r="AH215" s="258"/>
      <c r="AI215" s="258"/>
      <c r="AJ215" s="258"/>
      <c r="AK215" s="258"/>
      <c r="AL215" s="258"/>
      <c r="AM215" s="258"/>
    </row>
    <row r="216" spans="3:39" x14ac:dyDescent="0.25">
      <c r="C216" s="255" t="s">
        <v>6149</v>
      </c>
      <c r="D216" s="255">
        <v>7.07</v>
      </c>
      <c r="E216" s="268">
        <v>0.312</v>
      </c>
      <c r="F216" s="266">
        <f t="shared" si="70"/>
        <v>44.13012729844413</v>
      </c>
      <c r="G216" s="266">
        <f t="shared" si="48"/>
        <v>22.660256410256412</v>
      </c>
      <c r="H216" s="265">
        <f t="shared" si="49"/>
        <v>0.35758706467661688</v>
      </c>
      <c r="I216" s="265">
        <f t="shared" si="50"/>
        <v>0.2790178571428571</v>
      </c>
      <c r="J216" s="265">
        <f t="shared" si="51"/>
        <v>0.14172335600907029</v>
      </c>
      <c r="K216" s="258">
        <f t="shared" ca="1" si="52"/>
        <v>84.296153846153857</v>
      </c>
      <c r="L216" s="265">
        <f t="shared" si="53"/>
        <v>2.5249365671641786</v>
      </c>
      <c r="M216" s="265">
        <f t="shared" si="54"/>
        <v>1.500803571428571</v>
      </c>
      <c r="N216" s="265">
        <f t="shared" si="55"/>
        <v>0.82693877551020412</v>
      </c>
      <c r="O216" s="265">
        <f t="shared" ca="1" si="56"/>
        <v>89.148832760256809</v>
      </c>
      <c r="P216" s="265">
        <f t="shared" ca="1" si="57"/>
        <v>3.8035075046820452</v>
      </c>
      <c r="Q216" s="258">
        <f t="shared" ca="1" si="58"/>
        <v>51.438782051282054</v>
      </c>
      <c r="R216" s="265">
        <f t="shared" si="59"/>
        <v>2.5249365671641786</v>
      </c>
      <c r="S216" s="265">
        <f t="shared" si="60"/>
        <v>1.500803571428571</v>
      </c>
      <c r="T216" s="265">
        <f t="shared" si="61"/>
        <v>0.82693877551020412</v>
      </c>
      <c r="U216" s="265">
        <f t="shared" ca="1" si="62"/>
        <v>56.291460965385006</v>
      </c>
      <c r="V216" s="265">
        <f t="shared" ca="1" si="63"/>
        <v>2.4016578524044099</v>
      </c>
      <c r="W216" s="258">
        <f t="shared" ca="1" si="64"/>
        <v>12.644423076923079</v>
      </c>
      <c r="X216" s="265">
        <f t="shared" si="65"/>
        <v>2.5249365671641786</v>
      </c>
      <c r="Y216" s="265">
        <f t="shared" si="66"/>
        <v>1.500803571428571</v>
      </c>
      <c r="Z216" s="265">
        <f t="shared" si="67"/>
        <v>0.82693877551020412</v>
      </c>
      <c r="AA216" s="265">
        <f t="shared" ca="1" si="68"/>
        <v>17.497101991026032</v>
      </c>
      <c r="AB216" s="265">
        <f t="shared" ca="1" si="69"/>
        <v>0.74650846985316099</v>
      </c>
      <c r="AC216" s="258"/>
      <c r="AD216" s="258"/>
      <c r="AE216" s="258"/>
      <c r="AF216" s="258"/>
      <c r="AG216" s="258"/>
      <c r="AH216" s="258"/>
      <c r="AI216" s="258"/>
      <c r="AJ216" s="258"/>
      <c r="AK216" s="258"/>
      <c r="AL216" s="258"/>
      <c r="AM216" s="258"/>
    </row>
    <row r="217" spans="3:39" x14ac:dyDescent="0.25">
      <c r="C217" s="255" t="s">
        <v>6150</v>
      </c>
      <c r="D217" s="255">
        <v>5.89</v>
      </c>
      <c r="E217" s="268">
        <v>0.31</v>
      </c>
      <c r="F217" s="266">
        <f t="shared" si="70"/>
        <v>52.631578947368425</v>
      </c>
      <c r="G217" s="266">
        <f t="shared" si="48"/>
        <v>19</v>
      </c>
      <c r="H217" s="265">
        <f t="shared" si="49"/>
        <v>0.35758706467661688</v>
      </c>
      <c r="I217" s="265">
        <f t="shared" si="50"/>
        <v>0.2790178571428571</v>
      </c>
      <c r="J217" s="265">
        <f t="shared" si="51"/>
        <v>0.14172335600907029</v>
      </c>
      <c r="K217" s="258">
        <f t="shared" ca="1" si="52"/>
        <v>70.680000000000007</v>
      </c>
      <c r="L217" s="265">
        <f t="shared" si="53"/>
        <v>2.5249365671641786</v>
      </c>
      <c r="M217" s="265">
        <f t="shared" si="54"/>
        <v>1.500803571428571</v>
      </c>
      <c r="N217" s="265">
        <f t="shared" si="55"/>
        <v>0.82693877551020412</v>
      </c>
      <c r="O217" s="265">
        <f t="shared" ca="1" si="56"/>
        <v>75.532678914102959</v>
      </c>
      <c r="P217" s="265">
        <f t="shared" ca="1" si="57"/>
        <v>3.8189617369621121</v>
      </c>
      <c r="Q217" s="258">
        <f t="shared" ca="1" si="58"/>
        <v>43.13</v>
      </c>
      <c r="R217" s="265">
        <f t="shared" si="59"/>
        <v>2.5249365671641786</v>
      </c>
      <c r="S217" s="265">
        <f t="shared" si="60"/>
        <v>1.500803571428571</v>
      </c>
      <c r="T217" s="265">
        <f t="shared" si="61"/>
        <v>0.82693877551020412</v>
      </c>
      <c r="U217" s="265">
        <f t="shared" ca="1" si="62"/>
        <v>47.982678914102955</v>
      </c>
      <c r="V217" s="265">
        <f t="shared" ca="1" si="63"/>
        <v>2.4260229803087761</v>
      </c>
      <c r="W217" s="258">
        <f t="shared" ca="1" si="64"/>
        <v>10.602</v>
      </c>
      <c r="X217" s="265">
        <f t="shared" si="65"/>
        <v>2.5249365671641786</v>
      </c>
      <c r="Y217" s="265">
        <f t="shared" si="66"/>
        <v>1.500803571428571</v>
      </c>
      <c r="Z217" s="265">
        <f t="shared" si="67"/>
        <v>0.82693877551020412</v>
      </c>
      <c r="AA217" s="265">
        <f t="shared" ca="1" si="68"/>
        <v>15.454678914102955</v>
      </c>
      <c r="AB217" s="265">
        <f t="shared" ca="1" si="69"/>
        <v>0.78139460003945882</v>
      </c>
      <c r="AC217" s="258"/>
      <c r="AD217" s="258"/>
      <c r="AE217" s="258"/>
      <c r="AF217" s="258"/>
      <c r="AG217" s="258"/>
      <c r="AH217" s="258"/>
      <c r="AI217" s="258"/>
      <c r="AJ217" s="258"/>
      <c r="AK217" s="258"/>
      <c r="AL217" s="258"/>
      <c r="AM217" s="258"/>
    </row>
    <row r="218" spans="3:39" x14ac:dyDescent="0.25">
      <c r="C218" s="255" t="s">
        <v>6151</v>
      </c>
      <c r="D218" s="255">
        <v>25.5</v>
      </c>
      <c r="E218" s="268">
        <v>0.31</v>
      </c>
      <c r="F218" s="266">
        <f t="shared" si="70"/>
        <v>12.15686274509804</v>
      </c>
      <c r="G218" s="266">
        <f t="shared" si="48"/>
        <v>82.258064516129039</v>
      </c>
      <c r="H218" s="265">
        <f t="shared" si="49"/>
        <v>0.35758706467661688</v>
      </c>
      <c r="I218" s="265">
        <f t="shared" si="50"/>
        <v>0.2790178571428571</v>
      </c>
      <c r="J218" s="265">
        <f t="shared" si="51"/>
        <v>0.14172335600907029</v>
      </c>
      <c r="K218" s="258">
        <f t="shared" ca="1" si="52"/>
        <v>306.00000000000006</v>
      </c>
      <c r="L218" s="265">
        <f t="shared" si="53"/>
        <v>2.5249365671641786</v>
      </c>
      <c r="M218" s="265">
        <f t="shared" si="54"/>
        <v>1.500803571428571</v>
      </c>
      <c r="N218" s="265">
        <f t="shared" si="55"/>
        <v>0.82693877551020412</v>
      </c>
      <c r="O218" s="265">
        <f t="shared" ca="1" si="56"/>
        <v>310.85267891410297</v>
      </c>
      <c r="P218" s="265">
        <f t="shared" ca="1" si="57"/>
        <v>3.7435715648852605</v>
      </c>
      <c r="Q218" s="258">
        <f t="shared" ca="1" si="58"/>
        <v>186.72580645161293</v>
      </c>
      <c r="R218" s="265">
        <f t="shared" si="59"/>
        <v>2.5249365671641786</v>
      </c>
      <c r="S218" s="265">
        <f t="shared" si="60"/>
        <v>1.500803571428571</v>
      </c>
      <c r="T218" s="265">
        <f t="shared" si="61"/>
        <v>0.82693877551020412</v>
      </c>
      <c r="U218" s="265">
        <f t="shared" ca="1" si="62"/>
        <v>191.57848536571589</v>
      </c>
      <c r="V218" s="265">
        <f t="shared" ca="1" si="63"/>
        <v>2.3071629067641379</v>
      </c>
      <c r="W218" s="258">
        <f t="shared" ca="1" si="64"/>
        <v>45.900000000000006</v>
      </c>
      <c r="X218" s="265">
        <f t="shared" si="65"/>
        <v>2.5249365671641786</v>
      </c>
      <c r="Y218" s="265">
        <f t="shared" si="66"/>
        <v>1.500803571428571</v>
      </c>
      <c r="Z218" s="265">
        <f t="shared" si="67"/>
        <v>0.82693877551020412</v>
      </c>
      <c r="AA218" s="265">
        <f t="shared" ca="1" si="68"/>
        <v>50.752678914102958</v>
      </c>
      <c r="AB218" s="265">
        <f t="shared" ca="1" si="69"/>
        <v>0.61121006352043916</v>
      </c>
      <c r="AC218" s="258"/>
      <c r="AD218" s="258"/>
      <c r="AE218" s="258"/>
      <c r="AF218" s="258"/>
      <c r="AG218" s="258"/>
      <c r="AH218" s="258"/>
      <c r="AI218" s="258"/>
      <c r="AJ218" s="258"/>
      <c r="AK218" s="258"/>
      <c r="AL218" s="258"/>
      <c r="AM218" s="258"/>
    </row>
    <row r="219" spans="3:39" x14ac:dyDescent="0.25">
      <c r="C219" s="255" t="s">
        <v>6152</v>
      </c>
      <c r="D219" s="255">
        <v>20.399999999999999</v>
      </c>
      <c r="E219" s="268">
        <v>0.3</v>
      </c>
      <c r="F219" s="266">
        <f t="shared" si="70"/>
        <v>14.705882352941176</v>
      </c>
      <c r="G219" s="266">
        <f t="shared" si="48"/>
        <v>68</v>
      </c>
      <c r="H219" s="265">
        <f t="shared" si="49"/>
        <v>0.35758706467661688</v>
      </c>
      <c r="I219" s="265">
        <f t="shared" si="50"/>
        <v>0.2790178571428571</v>
      </c>
      <c r="J219" s="265">
        <f t="shared" si="51"/>
        <v>0.14172335600907029</v>
      </c>
      <c r="K219" s="258">
        <f t="shared" ca="1" si="52"/>
        <v>252.96</v>
      </c>
      <c r="L219" s="265">
        <f t="shared" si="53"/>
        <v>2.5249365671641786</v>
      </c>
      <c r="M219" s="265">
        <f t="shared" si="54"/>
        <v>1.500803571428571</v>
      </c>
      <c r="N219" s="265">
        <f t="shared" si="55"/>
        <v>0.82693877551020412</v>
      </c>
      <c r="O219" s="265">
        <f t="shared" ca="1" si="56"/>
        <v>257.81267891410295</v>
      </c>
      <c r="P219" s="265">
        <f t="shared" ca="1" si="57"/>
        <v>3.7484580589495327</v>
      </c>
      <c r="Q219" s="258">
        <f t="shared" ca="1" si="58"/>
        <v>154.36000000000001</v>
      </c>
      <c r="R219" s="265">
        <f t="shared" si="59"/>
        <v>2.5249365671641786</v>
      </c>
      <c r="S219" s="265">
        <f t="shared" si="60"/>
        <v>1.500803571428571</v>
      </c>
      <c r="T219" s="265">
        <f t="shared" si="61"/>
        <v>0.82693877551020412</v>
      </c>
      <c r="U219" s="265">
        <f t="shared" ca="1" si="62"/>
        <v>159.21267891410298</v>
      </c>
      <c r="V219" s="265">
        <f t="shared" ca="1" si="63"/>
        <v>2.3148669486552049</v>
      </c>
      <c r="W219" s="258">
        <f t="shared" ca="1" si="64"/>
        <v>37.944000000000003</v>
      </c>
      <c r="X219" s="265">
        <f t="shared" si="65"/>
        <v>2.5249365671641786</v>
      </c>
      <c r="Y219" s="265">
        <f t="shared" si="66"/>
        <v>1.500803571428571</v>
      </c>
      <c r="Z219" s="265">
        <f t="shared" si="67"/>
        <v>0.82693877551020412</v>
      </c>
      <c r="AA219" s="265">
        <f t="shared" ca="1" si="68"/>
        <v>42.796678914102955</v>
      </c>
      <c r="AB219" s="265">
        <f t="shared" ca="1" si="69"/>
        <v>0.62224075498355691</v>
      </c>
      <c r="AC219" s="258"/>
      <c r="AD219" s="258"/>
      <c r="AE219" s="258"/>
      <c r="AF219" s="258"/>
      <c r="AG219" s="258"/>
      <c r="AH219" s="258"/>
      <c r="AI219" s="258"/>
      <c r="AJ219" s="258"/>
      <c r="AK219" s="258"/>
      <c r="AL219" s="258"/>
      <c r="AM219" s="258"/>
    </row>
    <row r="220" spans="3:39" x14ac:dyDescent="0.25">
      <c r="C220" s="255" t="s">
        <v>6153</v>
      </c>
      <c r="D220" s="255">
        <v>16.3</v>
      </c>
      <c r="E220" s="268">
        <v>0.29199999999999998</v>
      </c>
      <c r="F220" s="266">
        <f t="shared" si="70"/>
        <v>17.914110429447849</v>
      </c>
      <c r="G220" s="266">
        <f t="shared" si="48"/>
        <v>55.821917808219183</v>
      </c>
      <c r="H220" s="265">
        <f t="shared" si="49"/>
        <v>0.35758706467661688</v>
      </c>
      <c r="I220" s="265">
        <f t="shared" si="50"/>
        <v>0.2790178571428571</v>
      </c>
      <c r="J220" s="265">
        <f t="shared" si="51"/>
        <v>0.14172335600907029</v>
      </c>
      <c r="K220" s="258">
        <f t="shared" ca="1" si="52"/>
        <v>207.65753424657538</v>
      </c>
      <c r="L220" s="265">
        <f t="shared" si="53"/>
        <v>2.5249365671641786</v>
      </c>
      <c r="M220" s="265">
        <f t="shared" si="54"/>
        <v>1.500803571428571</v>
      </c>
      <c r="N220" s="265">
        <f t="shared" si="55"/>
        <v>0.82693877551020412</v>
      </c>
      <c r="O220" s="265">
        <f t="shared" ca="1" si="56"/>
        <v>212.51021316067835</v>
      </c>
      <c r="P220" s="265">
        <f t="shared" ca="1" si="57"/>
        <v>3.754581081460409</v>
      </c>
      <c r="Q220" s="258">
        <f t="shared" ca="1" si="58"/>
        <v>126.71575342465755</v>
      </c>
      <c r="R220" s="265">
        <f t="shared" si="59"/>
        <v>2.5249365671641786</v>
      </c>
      <c r="S220" s="265">
        <f t="shared" si="60"/>
        <v>1.500803571428571</v>
      </c>
      <c r="T220" s="265">
        <f t="shared" si="61"/>
        <v>0.82693877551020412</v>
      </c>
      <c r="U220" s="265">
        <f t="shared" ca="1" si="62"/>
        <v>131.56843233876052</v>
      </c>
      <c r="V220" s="265">
        <f t="shared" ca="1" si="63"/>
        <v>2.3245205001183353</v>
      </c>
      <c r="W220" s="258">
        <f t="shared" ca="1" si="64"/>
        <v>31.148630136986306</v>
      </c>
      <c r="X220" s="265">
        <f t="shared" si="65"/>
        <v>2.5249365671641786</v>
      </c>
      <c r="Y220" s="265">
        <f t="shared" si="66"/>
        <v>1.500803571428571</v>
      </c>
      <c r="Z220" s="265">
        <f t="shared" si="67"/>
        <v>0.82693877551020412</v>
      </c>
      <c r="AA220" s="265">
        <f t="shared" ca="1" si="68"/>
        <v>36.001309051089258</v>
      </c>
      <c r="AB220" s="265">
        <f t="shared" ca="1" si="69"/>
        <v>0.63606276545790108</v>
      </c>
      <c r="AC220" s="258"/>
      <c r="AD220" s="258"/>
      <c r="AE220" s="258"/>
      <c r="AF220" s="258"/>
      <c r="AG220" s="258"/>
      <c r="AH220" s="258"/>
      <c r="AI220" s="258"/>
      <c r="AJ220" s="258"/>
      <c r="AK220" s="258"/>
      <c r="AL220" s="258"/>
      <c r="AM220" s="258"/>
    </row>
    <row r="221" spans="3:39" x14ac:dyDescent="0.25">
      <c r="C221" s="255" t="s">
        <v>6154</v>
      </c>
      <c r="D221" s="255">
        <v>12.2</v>
      </c>
      <c r="E221" s="268">
        <v>0.28399999999999997</v>
      </c>
      <c r="F221" s="266">
        <f t="shared" si="70"/>
        <v>23.278688524590162</v>
      </c>
      <c r="G221" s="266">
        <f t="shared" si="48"/>
        <v>42.95774647887324</v>
      </c>
      <c r="H221" s="265">
        <f t="shared" si="49"/>
        <v>0.35758706467661688</v>
      </c>
      <c r="I221" s="265">
        <f t="shared" si="50"/>
        <v>0.2790178571428571</v>
      </c>
      <c r="J221" s="265">
        <f t="shared" si="51"/>
        <v>0.14172335600907029</v>
      </c>
      <c r="K221" s="258">
        <f t="shared" ca="1" si="52"/>
        <v>159.80281690140845</v>
      </c>
      <c r="L221" s="265">
        <f t="shared" si="53"/>
        <v>2.5249365671641786</v>
      </c>
      <c r="M221" s="265">
        <f t="shared" si="54"/>
        <v>1.500803571428571</v>
      </c>
      <c r="N221" s="265">
        <f t="shared" si="55"/>
        <v>0.82693877551020412</v>
      </c>
      <c r="O221" s="265">
        <f t="shared" ca="1" si="56"/>
        <v>164.65549581551142</v>
      </c>
      <c r="P221" s="265">
        <f t="shared" ca="1" si="57"/>
        <v>3.7647524779365544</v>
      </c>
      <c r="Q221" s="258">
        <f t="shared" ca="1" si="58"/>
        <v>97.514084507042256</v>
      </c>
      <c r="R221" s="265">
        <f t="shared" si="59"/>
        <v>2.5249365671641786</v>
      </c>
      <c r="S221" s="265">
        <f t="shared" si="60"/>
        <v>1.500803571428571</v>
      </c>
      <c r="T221" s="265">
        <f t="shared" si="61"/>
        <v>0.82693877551020412</v>
      </c>
      <c r="U221" s="265">
        <f t="shared" ca="1" si="62"/>
        <v>102.36676342114521</v>
      </c>
      <c r="V221" s="265">
        <f t="shared" ca="1" si="63"/>
        <v>2.3405567141221173</v>
      </c>
      <c r="W221" s="258">
        <f t="shared" ca="1" si="64"/>
        <v>23.97042253521127</v>
      </c>
      <c r="X221" s="265">
        <f t="shared" si="65"/>
        <v>2.5249365671641786</v>
      </c>
      <c r="Y221" s="265">
        <f t="shared" si="66"/>
        <v>1.500803571428571</v>
      </c>
      <c r="Z221" s="265">
        <f t="shared" si="67"/>
        <v>0.82693877551020412</v>
      </c>
      <c r="AA221" s="265">
        <f t="shared" ca="1" si="68"/>
        <v>28.823101449314223</v>
      </c>
      <c r="AB221" s="265">
        <f t="shared" ca="1" si="69"/>
        <v>0.65902350884603766</v>
      </c>
      <c r="AC221" s="258"/>
      <c r="AD221" s="258"/>
      <c r="AE221" s="258"/>
      <c r="AF221" s="258"/>
      <c r="AG221" s="258"/>
      <c r="AH221" s="258"/>
      <c r="AI221" s="258"/>
      <c r="AJ221" s="258"/>
      <c r="AK221" s="258"/>
      <c r="AL221" s="258"/>
      <c r="AM221" s="258"/>
    </row>
    <row r="222" spans="3:39" x14ac:dyDescent="0.25">
      <c r="C222" s="255" t="s">
        <v>6155</v>
      </c>
      <c r="D222" s="255">
        <v>10.199999999999999</v>
      </c>
      <c r="E222" s="268">
        <v>0.28000000000000003</v>
      </c>
      <c r="F222" s="266">
        <f t="shared" si="70"/>
        <v>27.450980392156865</v>
      </c>
      <c r="G222" s="266">
        <f t="shared" si="48"/>
        <v>36.428571428571423</v>
      </c>
      <c r="H222" s="265">
        <f t="shared" si="49"/>
        <v>0.35758706467661688</v>
      </c>
      <c r="I222" s="265">
        <f t="shared" si="50"/>
        <v>0.2790178571428571</v>
      </c>
      <c r="J222" s="265">
        <f t="shared" si="51"/>
        <v>0.14172335600907029</v>
      </c>
      <c r="K222" s="258">
        <f t="shared" ca="1" si="52"/>
        <v>135.51428571428571</v>
      </c>
      <c r="L222" s="265">
        <f t="shared" si="53"/>
        <v>2.5249365671641786</v>
      </c>
      <c r="M222" s="265">
        <f t="shared" si="54"/>
        <v>1.500803571428571</v>
      </c>
      <c r="N222" s="265">
        <f t="shared" si="55"/>
        <v>0.82693877551020412</v>
      </c>
      <c r="O222" s="265">
        <f t="shared" ca="1" si="56"/>
        <v>140.36696462838867</v>
      </c>
      <c r="P222" s="265">
        <f t="shared" ca="1" si="57"/>
        <v>3.7726057730159153</v>
      </c>
      <c r="Q222" s="258">
        <f t="shared" ca="1" si="58"/>
        <v>82.692857142857136</v>
      </c>
      <c r="R222" s="265">
        <f t="shared" si="59"/>
        <v>2.5249365671641786</v>
      </c>
      <c r="S222" s="265">
        <f t="shared" si="60"/>
        <v>1.500803571428571</v>
      </c>
      <c r="T222" s="265">
        <f t="shared" si="61"/>
        <v>0.82693877551020412</v>
      </c>
      <c r="U222" s="265">
        <f t="shared" ca="1" si="62"/>
        <v>87.545536056960088</v>
      </c>
      <c r="V222" s="265">
        <f t="shared" ca="1" si="63"/>
        <v>2.3529382116699544</v>
      </c>
      <c r="W222" s="258">
        <f t="shared" ca="1" si="64"/>
        <v>20.327142857142857</v>
      </c>
      <c r="X222" s="265">
        <f t="shared" si="65"/>
        <v>2.5249365671641786</v>
      </c>
      <c r="Y222" s="265">
        <f t="shared" si="66"/>
        <v>1.500803571428571</v>
      </c>
      <c r="Z222" s="265">
        <f t="shared" si="67"/>
        <v>0.82693877551020412</v>
      </c>
      <c r="AA222" s="265">
        <f t="shared" ca="1" si="68"/>
        <v>25.179821771245809</v>
      </c>
      <c r="AB222" s="265">
        <f t="shared" ca="1" si="69"/>
        <v>0.67675140820493096</v>
      </c>
      <c r="AC222" s="258"/>
      <c r="AD222" s="258"/>
      <c r="AE222" s="258"/>
      <c r="AF222" s="258"/>
      <c r="AG222" s="258"/>
      <c r="AH222" s="258"/>
      <c r="AI222" s="258"/>
      <c r="AJ222" s="258"/>
      <c r="AK222" s="258"/>
      <c r="AL222" s="258"/>
      <c r="AM222" s="258"/>
    </row>
    <row r="223" spans="3:39" x14ac:dyDescent="0.25">
      <c r="C223" s="255" t="s">
        <v>6156</v>
      </c>
      <c r="D223" s="255">
        <v>8.16</v>
      </c>
      <c r="E223" s="268">
        <v>0.27600000000000002</v>
      </c>
      <c r="F223" s="266">
        <f t="shared" si="70"/>
        <v>33.82352941176471</v>
      </c>
      <c r="G223" s="266">
        <f t="shared" si="48"/>
        <v>29.565217391304344</v>
      </c>
      <c r="H223" s="265">
        <f t="shared" si="49"/>
        <v>0.35758706467661688</v>
      </c>
      <c r="I223" s="265">
        <f t="shared" si="50"/>
        <v>0.2790178571428571</v>
      </c>
      <c r="J223" s="265">
        <f t="shared" si="51"/>
        <v>0.14172335600907029</v>
      </c>
      <c r="K223" s="258">
        <f t="shared" ca="1" si="52"/>
        <v>109.98260869565216</v>
      </c>
      <c r="L223" s="265">
        <f t="shared" si="53"/>
        <v>2.5249365671641786</v>
      </c>
      <c r="M223" s="265">
        <f t="shared" si="54"/>
        <v>1.500803571428571</v>
      </c>
      <c r="N223" s="265">
        <f t="shared" si="55"/>
        <v>0.82693877551020412</v>
      </c>
      <c r="O223" s="265">
        <f t="shared" ca="1" si="56"/>
        <v>114.83528760975511</v>
      </c>
      <c r="P223" s="265">
        <f t="shared" ca="1" si="57"/>
        <v>3.7845045816966549</v>
      </c>
      <c r="Q223" s="258">
        <f t="shared" ca="1" si="58"/>
        <v>67.113043478260863</v>
      </c>
      <c r="R223" s="265">
        <f t="shared" si="59"/>
        <v>2.5249365671641786</v>
      </c>
      <c r="S223" s="265">
        <f t="shared" si="60"/>
        <v>1.500803571428571</v>
      </c>
      <c r="T223" s="265">
        <f t="shared" si="61"/>
        <v>0.82693877551020412</v>
      </c>
      <c r="U223" s="265">
        <f t="shared" ca="1" si="62"/>
        <v>71.965722392363816</v>
      </c>
      <c r="V223" s="265">
        <f t="shared" ca="1" si="63"/>
        <v>2.3716978621114562</v>
      </c>
      <c r="W223" s="258">
        <f t="shared" ca="1" si="64"/>
        <v>16.497391304347826</v>
      </c>
      <c r="X223" s="265">
        <f t="shared" si="65"/>
        <v>2.5249365671641786</v>
      </c>
      <c r="Y223" s="265">
        <f t="shared" si="66"/>
        <v>1.500803571428571</v>
      </c>
      <c r="Z223" s="265">
        <f t="shared" si="67"/>
        <v>0.82693877551020412</v>
      </c>
      <c r="AA223" s="265">
        <f t="shared" ca="1" si="68"/>
        <v>21.350070218450778</v>
      </c>
      <c r="AB223" s="265">
        <f t="shared" ca="1" si="69"/>
        <v>0.70361158353913911</v>
      </c>
      <c r="AC223" s="258"/>
      <c r="AD223" s="258"/>
      <c r="AE223" s="258"/>
      <c r="AF223" s="258"/>
      <c r="AG223" s="258"/>
      <c r="AH223" s="258"/>
      <c r="AI223" s="258"/>
      <c r="AJ223" s="258"/>
      <c r="AK223" s="258"/>
      <c r="AL223" s="258"/>
      <c r="AM223" s="258"/>
    </row>
    <row r="224" spans="3:39" x14ac:dyDescent="0.25">
      <c r="C224" s="255" t="s">
        <v>6157</v>
      </c>
      <c r="D224" s="255">
        <v>6.12</v>
      </c>
      <c r="E224" s="268">
        <v>0.27200000000000002</v>
      </c>
      <c r="F224" s="266">
        <f t="shared" si="70"/>
        <v>44.444444444444443</v>
      </c>
      <c r="G224" s="266">
        <f t="shared" si="48"/>
        <v>22.5</v>
      </c>
      <c r="H224" s="265">
        <f t="shared" si="49"/>
        <v>0.35758706467661688</v>
      </c>
      <c r="I224" s="265">
        <f t="shared" si="50"/>
        <v>0.2790178571428571</v>
      </c>
      <c r="J224" s="265">
        <f t="shared" si="51"/>
        <v>0.14172335600907029</v>
      </c>
      <c r="K224" s="258">
        <f t="shared" ca="1" si="52"/>
        <v>83.7</v>
      </c>
      <c r="L224" s="265">
        <f t="shared" si="53"/>
        <v>2.5249365671641786</v>
      </c>
      <c r="M224" s="265">
        <f t="shared" si="54"/>
        <v>1.500803571428571</v>
      </c>
      <c r="N224" s="265">
        <f t="shared" si="55"/>
        <v>0.82693877551020412</v>
      </c>
      <c r="O224" s="265">
        <f t="shared" ca="1" si="56"/>
        <v>88.552678914102955</v>
      </c>
      <c r="P224" s="265">
        <f t="shared" ca="1" si="57"/>
        <v>3.8040824004722449</v>
      </c>
      <c r="Q224" s="258">
        <f t="shared" ca="1" si="58"/>
        <v>51.075000000000003</v>
      </c>
      <c r="R224" s="265">
        <f t="shared" si="59"/>
        <v>2.5249365671641786</v>
      </c>
      <c r="S224" s="265">
        <f t="shared" si="60"/>
        <v>1.500803571428571</v>
      </c>
      <c r="T224" s="265">
        <f t="shared" si="61"/>
        <v>0.82693877551020412</v>
      </c>
      <c r="U224" s="265">
        <f t="shared" ca="1" si="62"/>
        <v>55.927678914102955</v>
      </c>
      <c r="V224" s="265">
        <f t="shared" ca="1" si="63"/>
        <v>2.4025642325600889</v>
      </c>
      <c r="W224" s="258">
        <f t="shared" ca="1" si="64"/>
        <v>12.555000000000001</v>
      </c>
      <c r="X224" s="265">
        <f t="shared" si="65"/>
        <v>2.5249365671641786</v>
      </c>
      <c r="Y224" s="265">
        <f t="shared" si="66"/>
        <v>1.500803571428571</v>
      </c>
      <c r="Z224" s="265">
        <f t="shared" si="67"/>
        <v>0.82693877551020412</v>
      </c>
      <c r="AA224" s="265">
        <f t="shared" ca="1" si="68"/>
        <v>17.407678914102956</v>
      </c>
      <c r="AB224" s="265">
        <f t="shared" ca="1" si="69"/>
        <v>0.74780623017001213</v>
      </c>
      <c r="AC224" s="258"/>
      <c r="AD224" s="258"/>
      <c r="AE224" s="258"/>
      <c r="AF224" s="258"/>
      <c r="AG224" s="258"/>
      <c r="AH224" s="258"/>
      <c r="AI224" s="258"/>
      <c r="AJ224" s="258"/>
      <c r="AK224" s="258"/>
      <c r="AL224" s="258"/>
      <c r="AM224" s="258"/>
    </row>
    <row r="225" spans="3:39" x14ac:dyDescent="0.25">
      <c r="C225" s="255" t="s">
        <v>6158</v>
      </c>
      <c r="D225" s="270">
        <v>5.0999999999999996</v>
      </c>
      <c r="E225" s="268">
        <v>0.27</v>
      </c>
      <c r="F225" s="266">
        <f t="shared" si="70"/>
        <v>52.941176470588239</v>
      </c>
      <c r="G225" s="266">
        <f t="shared" si="48"/>
        <v>18.888888888888886</v>
      </c>
      <c r="H225" s="265">
        <f t="shared" si="49"/>
        <v>0.35758706467661688</v>
      </c>
      <c r="I225" s="265">
        <f t="shared" si="50"/>
        <v>0.2790178571428571</v>
      </c>
      <c r="J225" s="265">
        <f t="shared" si="51"/>
        <v>0.14172335600907029</v>
      </c>
      <c r="K225" s="258">
        <f t="shared" ca="1" si="52"/>
        <v>70.266666666666652</v>
      </c>
      <c r="L225" s="265">
        <f t="shared" si="53"/>
        <v>2.5249365671641786</v>
      </c>
      <c r="M225" s="265">
        <f t="shared" si="54"/>
        <v>1.500803571428571</v>
      </c>
      <c r="N225" s="265">
        <f t="shared" si="55"/>
        <v>0.82693877551020412</v>
      </c>
      <c r="O225" s="265">
        <f t="shared" ca="1" si="56"/>
        <v>75.119345580769604</v>
      </c>
      <c r="P225" s="265">
        <f t="shared" ca="1" si="57"/>
        <v>3.8195208271708649</v>
      </c>
      <c r="Q225" s="258">
        <f t="shared" ca="1" si="58"/>
        <v>42.877777777777773</v>
      </c>
      <c r="R225" s="265">
        <f t="shared" si="59"/>
        <v>2.5249365671641786</v>
      </c>
      <c r="S225" s="265">
        <f t="shared" si="60"/>
        <v>1.500803571428571</v>
      </c>
      <c r="T225" s="265">
        <f t="shared" si="61"/>
        <v>0.82693877551020412</v>
      </c>
      <c r="U225" s="265">
        <f t="shared" ca="1" si="62"/>
        <v>47.730456691880725</v>
      </c>
      <c r="V225" s="265">
        <f t="shared" ca="1" si="63"/>
        <v>2.42690444139979</v>
      </c>
      <c r="W225" s="258">
        <f t="shared" ca="1" si="64"/>
        <v>10.54</v>
      </c>
      <c r="X225" s="265">
        <f t="shared" si="65"/>
        <v>2.5249365671641786</v>
      </c>
      <c r="Y225" s="265">
        <f t="shared" si="66"/>
        <v>1.500803571428571</v>
      </c>
      <c r="Z225" s="265">
        <f t="shared" si="67"/>
        <v>0.82693877551020412</v>
      </c>
      <c r="AA225" s="265">
        <f t="shared" ca="1" si="68"/>
        <v>15.392678914102953</v>
      </c>
      <c r="AB225" s="265">
        <f t="shared" ca="1" si="69"/>
        <v>0.78265668109628528</v>
      </c>
      <c r="AC225" s="258"/>
      <c r="AD225" s="258"/>
      <c r="AE225" s="258"/>
      <c r="AF225" s="258"/>
      <c r="AG225" s="258"/>
      <c r="AH225" s="258"/>
      <c r="AI225" s="258"/>
      <c r="AJ225" s="258"/>
      <c r="AK225" s="258"/>
      <c r="AL225" s="258"/>
      <c r="AM225" s="258"/>
    </row>
    <row r="226" spans="3:39" x14ac:dyDescent="0.25">
      <c r="C226" s="255" t="s">
        <v>6159</v>
      </c>
      <c r="D226" s="255">
        <v>10.4</v>
      </c>
      <c r="E226" s="268">
        <v>0.24399999999999999</v>
      </c>
      <c r="F226" s="266">
        <f t="shared" si="70"/>
        <v>23.46153846153846</v>
      </c>
      <c r="G226" s="266">
        <f t="shared" ref="G226:G289" si="71">D226/E226</f>
        <v>42.622950819672134</v>
      </c>
      <c r="H226" s="265">
        <f t="shared" ref="H226:H289" si="72">$AJ$40</f>
        <v>0.35758706467661688</v>
      </c>
      <c r="I226" s="265">
        <f t="shared" ref="I226:I289" si="73">$AK$40</f>
        <v>0.2790178571428571</v>
      </c>
      <c r="J226" s="265">
        <f t="shared" ref="J226:J289" si="74">$AL$40</f>
        <v>0.14172335600907029</v>
      </c>
      <c r="K226" s="258">
        <f t="shared" ref="K226:K289" ca="1" si="75">K$30*$G226</f>
        <v>158.55737704918036</v>
      </c>
      <c r="L226" s="265">
        <f t="shared" ref="L226:L289" si="76">L$30*$H226</f>
        <v>2.5249365671641786</v>
      </c>
      <c r="M226" s="265">
        <f t="shared" ref="M226:M289" si="77">M$30*$I226</f>
        <v>1.500803571428571</v>
      </c>
      <c r="N226" s="265">
        <f t="shared" ref="N226:N289" si="78">N$30*$J226</f>
        <v>0.82693877551020412</v>
      </c>
      <c r="O226" s="265">
        <f t="shared" ref="O226:O289" ca="1" si="79">SUM(K226:N226)</f>
        <v>163.41005596328333</v>
      </c>
      <c r="P226" s="265">
        <f t="shared" ref="P226:P289" ca="1" si="80">O226/SUM($G226:$J226)</f>
        <v>3.7650976966873202</v>
      </c>
      <c r="Q226" s="258">
        <f t="shared" ref="Q226:Q289" ca="1" si="81">Q$30*$G226</f>
        <v>96.754098360655746</v>
      </c>
      <c r="R226" s="265">
        <f t="shared" ref="R226:R289" si="82">R$30*$H226</f>
        <v>2.5249365671641786</v>
      </c>
      <c r="S226" s="265">
        <f t="shared" ref="S226:S289" si="83">S$30*$I226</f>
        <v>1.500803571428571</v>
      </c>
      <c r="T226" s="265">
        <f t="shared" ref="T226:T289" si="84">T$30*$J226</f>
        <v>0.82693877551020412</v>
      </c>
      <c r="U226" s="265">
        <f t="shared" ref="U226:U289" ca="1" si="85">SUM(Q226:T226)</f>
        <v>101.6067772747587</v>
      </c>
      <c r="V226" s="265">
        <f t="shared" ref="V226:V289" ca="1" si="86">U226/SUM($G226:$J226)</f>
        <v>2.3411009856760159</v>
      </c>
      <c r="W226" s="258">
        <f t="shared" ref="W226:W289" ca="1" si="87">W$30*$G226</f>
        <v>23.783606557377052</v>
      </c>
      <c r="X226" s="265">
        <f t="shared" ref="X226:X289" si="88">X$30*$H226</f>
        <v>2.5249365671641786</v>
      </c>
      <c r="Y226" s="265">
        <f t="shared" ref="Y226:Y289" si="89">Y$30*$I226</f>
        <v>1.500803571428571</v>
      </c>
      <c r="Z226" s="265">
        <f t="shared" ref="Z226:Z289" si="90">Z$30*$J226</f>
        <v>0.82693877551020412</v>
      </c>
      <c r="AA226" s="265">
        <f t="shared" ref="AA226:AA289" ca="1" si="91">SUM(W226:Z226)</f>
        <v>28.636285471480004</v>
      </c>
      <c r="AB226" s="265">
        <f t="shared" ref="AB226:AB289" ca="1" si="92">AA226/SUM($G226:$J226)</f>
        <v>0.65980279998542868</v>
      </c>
      <c r="AC226" s="258"/>
      <c r="AD226" s="258"/>
      <c r="AE226" s="258"/>
      <c r="AF226" s="258"/>
      <c r="AG226" s="258"/>
      <c r="AH226" s="258"/>
      <c r="AI226" s="258"/>
      <c r="AJ226" s="258"/>
      <c r="AK226" s="258"/>
      <c r="AL226" s="258"/>
      <c r="AM226" s="258"/>
    </row>
    <row r="227" spans="3:39" x14ac:dyDescent="0.25">
      <c r="C227" s="255" t="s">
        <v>6160</v>
      </c>
      <c r="D227" s="255">
        <v>8.64</v>
      </c>
      <c r="E227" s="268">
        <v>0.24</v>
      </c>
      <c r="F227" s="266">
        <f t="shared" si="70"/>
        <v>27.777777777777775</v>
      </c>
      <c r="G227" s="266">
        <f t="shared" si="71"/>
        <v>36.000000000000007</v>
      </c>
      <c r="H227" s="265">
        <f t="shared" si="72"/>
        <v>0.35758706467661688</v>
      </c>
      <c r="I227" s="265">
        <f t="shared" si="73"/>
        <v>0.2790178571428571</v>
      </c>
      <c r="J227" s="265">
        <f t="shared" si="74"/>
        <v>0.14172335600907029</v>
      </c>
      <c r="K227" s="258">
        <f t="shared" ca="1" si="75"/>
        <v>133.92000000000004</v>
      </c>
      <c r="L227" s="265">
        <f t="shared" si="76"/>
        <v>2.5249365671641786</v>
      </c>
      <c r="M227" s="265">
        <f t="shared" si="77"/>
        <v>1.500803571428571</v>
      </c>
      <c r="N227" s="265">
        <f t="shared" si="78"/>
        <v>0.82693877551020412</v>
      </c>
      <c r="O227" s="265">
        <f t="shared" ca="1" si="79"/>
        <v>138.77267891410301</v>
      </c>
      <c r="P227" s="265">
        <f t="shared" ca="1" si="80"/>
        <v>3.7732187788905223</v>
      </c>
      <c r="Q227" s="258">
        <f t="shared" ca="1" si="81"/>
        <v>81.720000000000013</v>
      </c>
      <c r="R227" s="265">
        <f t="shared" si="82"/>
        <v>2.5249365671641786</v>
      </c>
      <c r="S227" s="265">
        <f t="shared" si="83"/>
        <v>1.500803571428571</v>
      </c>
      <c r="T227" s="265">
        <f t="shared" si="84"/>
        <v>0.82693877551020412</v>
      </c>
      <c r="U227" s="265">
        <f t="shared" ca="1" si="85"/>
        <v>86.572678914102966</v>
      </c>
      <c r="V227" s="265">
        <f t="shared" ca="1" si="86"/>
        <v>2.3539046761484386</v>
      </c>
      <c r="W227" s="258">
        <f t="shared" ca="1" si="87"/>
        <v>20.088000000000005</v>
      </c>
      <c r="X227" s="265">
        <f t="shared" si="88"/>
        <v>2.5249365671641786</v>
      </c>
      <c r="Y227" s="265">
        <f t="shared" si="89"/>
        <v>1.500803571428571</v>
      </c>
      <c r="Z227" s="265">
        <f t="shared" si="90"/>
        <v>0.82693877551020412</v>
      </c>
      <c r="AA227" s="265">
        <f t="shared" ca="1" si="91"/>
        <v>24.940678914102957</v>
      </c>
      <c r="AB227" s="265">
        <f t="shared" ca="1" si="92"/>
        <v>0.67813519760054453</v>
      </c>
      <c r="AC227" s="258"/>
      <c r="AD227" s="258"/>
      <c r="AE227" s="258"/>
      <c r="AF227" s="258"/>
      <c r="AG227" s="258"/>
      <c r="AH227" s="258"/>
      <c r="AI227" s="258"/>
      <c r="AJ227" s="258"/>
      <c r="AK227" s="258"/>
      <c r="AL227" s="258"/>
      <c r="AM227" s="258"/>
    </row>
    <row r="228" spans="3:39" x14ac:dyDescent="0.25">
      <c r="C228" s="255" t="s">
        <v>6161</v>
      </c>
      <c r="D228" s="255">
        <v>6.91</v>
      </c>
      <c r="E228" s="268">
        <v>0.23599999999999999</v>
      </c>
      <c r="F228" s="266">
        <f t="shared" si="70"/>
        <v>34.153400868306804</v>
      </c>
      <c r="G228" s="266">
        <f t="shared" si="71"/>
        <v>29.279661016949156</v>
      </c>
      <c r="H228" s="265">
        <f t="shared" si="72"/>
        <v>0.35758706467661688</v>
      </c>
      <c r="I228" s="265">
        <f t="shared" si="73"/>
        <v>0.2790178571428571</v>
      </c>
      <c r="J228" s="265">
        <f t="shared" si="74"/>
        <v>0.14172335600907029</v>
      </c>
      <c r="K228" s="258">
        <f t="shared" ca="1" si="75"/>
        <v>108.92033898305087</v>
      </c>
      <c r="L228" s="265">
        <f t="shared" si="76"/>
        <v>2.5249365671641786</v>
      </c>
      <c r="M228" s="265">
        <f t="shared" si="77"/>
        <v>1.500803571428571</v>
      </c>
      <c r="N228" s="265">
        <f t="shared" si="78"/>
        <v>0.82693877551020412</v>
      </c>
      <c r="O228" s="265">
        <f t="shared" ca="1" si="79"/>
        <v>113.77301789715382</v>
      </c>
      <c r="P228" s="265">
        <f t="shared" ca="1" si="80"/>
        <v>3.7851173869744117</v>
      </c>
      <c r="Q228" s="258">
        <f t="shared" ca="1" si="81"/>
        <v>66.464830508474577</v>
      </c>
      <c r="R228" s="265">
        <f t="shared" si="82"/>
        <v>2.5249365671641786</v>
      </c>
      <c r="S228" s="265">
        <f t="shared" si="83"/>
        <v>1.500803571428571</v>
      </c>
      <c r="T228" s="265">
        <f t="shared" si="84"/>
        <v>0.82693877551020412</v>
      </c>
      <c r="U228" s="265">
        <f t="shared" ca="1" si="85"/>
        <v>71.31750942257753</v>
      </c>
      <c r="V228" s="265">
        <f t="shared" ca="1" si="86"/>
        <v>2.372664010329137</v>
      </c>
      <c r="W228" s="258">
        <f t="shared" ca="1" si="87"/>
        <v>16.33805084745763</v>
      </c>
      <c r="X228" s="265">
        <f t="shared" si="88"/>
        <v>2.5249365671641786</v>
      </c>
      <c r="Y228" s="265">
        <f t="shared" si="89"/>
        <v>1.500803571428571</v>
      </c>
      <c r="Z228" s="265">
        <f t="shared" si="90"/>
        <v>0.82693877551020412</v>
      </c>
      <c r="AA228" s="265">
        <f t="shared" ca="1" si="91"/>
        <v>21.190729761560583</v>
      </c>
      <c r="AB228" s="265">
        <f t="shared" ca="1" si="92"/>
        <v>0.70499492011071663</v>
      </c>
      <c r="AC228" s="258"/>
      <c r="AD228" s="258"/>
      <c r="AE228" s="258"/>
      <c r="AF228" s="258"/>
      <c r="AG228" s="258"/>
      <c r="AH228" s="258"/>
      <c r="AI228" s="258"/>
      <c r="AJ228" s="258"/>
      <c r="AK228" s="258"/>
      <c r="AL228" s="258"/>
      <c r="AM228" s="258"/>
    </row>
    <row r="229" spans="3:39" x14ac:dyDescent="0.25">
      <c r="C229" s="255" t="s">
        <v>6162</v>
      </c>
      <c r="D229" s="255">
        <v>5.18</v>
      </c>
      <c r="E229" s="268">
        <v>0.23200000000000001</v>
      </c>
      <c r="F229" s="266">
        <f t="shared" si="70"/>
        <v>44.787644787644794</v>
      </c>
      <c r="G229" s="266">
        <f t="shared" si="71"/>
        <v>22.327586206896548</v>
      </c>
      <c r="H229" s="265">
        <f t="shared" si="72"/>
        <v>0.35758706467661688</v>
      </c>
      <c r="I229" s="265">
        <f t="shared" si="73"/>
        <v>0.2790178571428571</v>
      </c>
      <c r="J229" s="265">
        <f t="shared" si="74"/>
        <v>0.14172335600907029</v>
      </c>
      <c r="K229" s="258">
        <f t="shared" ca="1" si="75"/>
        <v>83.058620689655157</v>
      </c>
      <c r="L229" s="265">
        <f t="shared" si="76"/>
        <v>2.5249365671641786</v>
      </c>
      <c r="M229" s="265">
        <f t="shared" si="77"/>
        <v>1.500803571428571</v>
      </c>
      <c r="N229" s="265">
        <f t="shared" si="78"/>
        <v>0.82693877551020412</v>
      </c>
      <c r="O229" s="265">
        <f t="shared" ca="1" si="79"/>
        <v>87.91129960375811</v>
      </c>
      <c r="P229" s="265">
        <f t="shared" ca="1" si="80"/>
        <v>3.804709814098667</v>
      </c>
      <c r="Q229" s="258">
        <f t="shared" ca="1" si="81"/>
        <v>50.683620689655164</v>
      </c>
      <c r="R229" s="265">
        <f t="shared" si="82"/>
        <v>2.5249365671641786</v>
      </c>
      <c r="S229" s="265">
        <f t="shared" si="83"/>
        <v>1.500803571428571</v>
      </c>
      <c r="T229" s="265">
        <f t="shared" si="84"/>
        <v>0.82693877551020412</v>
      </c>
      <c r="U229" s="265">
        <f t="shared" ca="1" si="85"/>
        <v>55.536299603758117</v>
      </c>
      <c r="V229" s="265">
        <f t="shared" ca="1" si="86"/>
        <v>2.4035534122863722</v>
      </c>
      <c r="W229" s="258">
        <f t="shared" ca="1" si="87"/>
        <v>12.458793103448276</v>
      </c>
      <c r="X229" s="265">
        <f t="shared" si="88"/>
        <v>2.5249365671641786</v>
      </c>
      <c r="Y229" s="265">
        <f t="shared" si="89"/>
        <v>1.500803571428571</v>
      </c>
      <c r="Z229" s="265">
        <f t="shared" si="90"/>
        <v>0.82693877551020412</v>
      </c>
      <c r="AA229" s="265">
        <f t="shared" ca="1" si="91"/>
        <v>17.311472017551228</v>
      </c>
      <c r="AB229" s="265">
        <f t="shared" ca="1" si="92"/>
        <v>0.7492225433879941</v>
      </c>
      <c r="AC229" s="258"/>
      <c r="AD229" s="258"/>
      <c r="AE229" s="258"/>
      <c r="AF229" s="258"/>
      <c r="AG229" s="258"/>
      <c r="AH229" s="258"/>
      <c r="AI229" s="258"/>
      <c r="AJ229" s="258"/>
      <c r="AK229" s="258"/>
      <c r="AL229" s="258"/>
      <c r="AM229" s="258"/>
    </row>
    <row r="230" spans="3:39" x14ac:dyDescent="0.25">
      <c r="C230" s="255" t="s">
        <v>6163</v>
      </c>
      <c r="D230" s="255">
        <v>39.299999999999997</v>
      </c>
      <c r="E230" s="268">
        <v>0.3</v>
      </c>
      <c r="F230" s="266">
        <f t="shared" si="70"/>
        <v>7.6335877862595423</v>
      </c>
      <c r="G230" s="266">
        <f t="shared" si="71"/>
        <v>131</v>
      </c>
      <c r="H230" s="265">
        <f t="shared" si="72"/>
        <v>0.35758706467661688</v>
      </c>
      <c r="I230" s="265">
        <f t="shared" si="73"/>
        <v>0.2790178571428571</v>
      </c>
      <c r="J230" s="265">
        <f t="shared" si="74"/>
        <v>0.14172335600907029</v>
      </c>
      <c r="K230" s="258">
        <f t="shared" ca="1" si="75"/>
        <v>487.32000000000005</v>
      </c>
      <c r="L230" s="265">
        <f t="shared" si="76"/>
        <v>2.5249365671641786</v>
      </c>
      <c r="M230" s="265">
        <f t="shared" si="77"/>
        <v>1.500803571428571</v>
      </c>
      <c r="N230" s="265">
        <f t="shared" si="78"/>
        <v>0.82693877551020412</v>
      </c>
      <c r="O230" s="265">
        <f t="shared" ca="1" si="79"/>
        <v>492.17267891410296</v>
      </c>
      <c r="P230" s="265">
        <f t="shared" ca="1" si="80"/>
        <v>3.7348529560676642</v>
      </c>
      <c r="Q230" s="258">
        <f t="shared" ca="1" si="81"/>
        <v>297.37</v>
      </c>
      <c r="R230" s="265">
        <f t="shared" si="82"/>
        <v>2.5249365671641786</v>
      </c>
      <c r="S230" s="265">
        <f t="shared" si="83"/>
        <v>1.500803571428571</v>
      </c>
      <c r="T230" s="265">
        <f t="shared" si="84"/>
        <v>0.82693877551020412</v>
      </c>
      <c r="U230" s="265">
        <f t="shared" ca="1" si="85"/>
        <v>302.22267891410291</v>
      </c>
      <c r="V230" s="265">
        <f t="shared" ca="1" si="86"/>
        <v>2.2934171564001495</v>
      </c>
      <c r="W230" s="258">
        <f t="shared" ca="1" si="87"/>
        <v>73.098000000000013</v>
      </c>
      <c r="X230" s="265">
        <f t="shared" si="88"/>
        <v>2.5249365671641786</v>
      </c>
      <c r="Y230" s="265">
        <f t="shared" si="89"/>
        <v>1.500803571428571</v>
      </c>
      <c r="Z230" s="265">
        <f t="shared" si="90"/>
        <v>0.82693877551020412</v>
      </c>
      <c r="AA230" s="265">
        <f t="shared" ca="1" si="91"/>
        <v>77.950678914102966</v>
      </c>
      <c r="AB230" s="265">
        <f t="shared" ca="1" si="92"/>
        <v>0.59152881913753963</v>
      </c>
      <c r="AC230" s="258"/>
      <c r="AD230" s="258"/>
      <c r="AE230" s="258"/>
      <c r="AF230" s="258"/>
      <c r="AG230" s="258"/>
      <c r="AH230" s="258"/>
      <c r="AI230" s="258"/>
      <c r="AJ230" s="258"/>
      <c r="AK230" s="258"/>
      <c r="AL230" s="258"/>
      <c r="AM230" s="258"/>
    </row>
    <row r="231" spans="3:39" x14ac:dyDescent="0.25">
      <c r="C231" s="255" t="s">
        <v>6164</v>
      </c>
      <c r="D231" s="255">
        <v>19.600000000000001</v>
      </c>
      <c r="E231" s="268">
        <v>0.25</v>
      </c>
      <c r="F231" s="266">
        <f t="shared" si="70"/>
        <v>12.755102040816325</v>
      </c>
      <c r="G231" s="266">
        <f t="shared" si="71"/>
        <v>78.400000000000006</v>
      </c>
      <c r="H231" s="265">
        <f t="shared" si="72"/>
        <v>0.35758706467661688</v>
      </c>
      <c r="I231" s="265">
        <f t="shared" si="73"/>
        <v>0.2790178571428571</v>
      </c>
      <c r="J231" s="265">
        <f t="shared" si="74"/>
        <v>0.14172335600907029</v>
      </c>
      <c r="K231" s="258">
        <f t="shared" ca="1" si="75"/>
        <v>291.64800000000002</v>
      </c>
      <c r="L231" s="265">
        <f t="shared" si="76"/>
        <v>2.5249365671641786</v>
      </c>
      <c r="M231" s="265">
        <f t="shared" si="77"/>
        <v>1.500803571428571</v>
      </c>
      <c r="N231" s="265">
        <f t="shared" si="78"/>
        <v>0.82693877551020412</v>
      </c>
      <c r="O231" s="265">
        <f t="shared" ca="1" si="79"/>
        <v>296.50067891410293</v>
      </c>
      <c r="P231" s="265">
        <f t="shared" ca="1" si="80"/>
        <v>3.7447201192946733</v>
      </c>
      <c r="Q231" s="258">
        <f t="shared" ca="1" si="81"/>
        <v>177.96800000000002</v>
      </c>
      <c r="R231" s="265">
        <f t="shared" si="82"/>
        <v>2.5249365671641786</v>
      </c>
      <c r="S231" s="265">
        <f t="shared" si="83"/>
        <v>1.500803571428571</v>
      </c>
      <c r="T231" s="265">
        <f t="shared" si="84"/>
        <v>0.82693877551020412</v>
      </c>
      <c r="U231" s="265">
        <f t="shared" ca="1" si="85"/>
        <v>182.82067891410298</v>
      </c>
      <c r="V231" s="265">
        <f t="shared" ca="1" si="86"/>
        <v>2.3089737165528952</v>
      </c>
      <c r="W231" s="258">
        <f t="shared" ca="1" si="87"/>
        <v>43.747200000000007</v>
      </c>
      <c r="X231" s="265">
        <f t="shared" si="88"/>
        <v>2.5249365671641786</v>
      </c>
      <c r="Y231" s="265">
        <f t="shared" si="89"/>
        <v>1.500803571428571</v>
      </c>
      <c r="Z231" s="265">
        <f t="shared" si="90"/>
        <v>0.82693877551020412</v>
      </c>
      <c r="AA231" s="265">
        <f t="shared" ca="1" si="91"/>
        <v>48.599878914102959</v>
      </c>
      <c r="AB231" s="265">
        <f t="shared" ca="1" si="92"/>
        <v>0.61380279138467053</v>
      </c>
      <c r="AC231" s="258"/>
      <c r="AD231" s="258"/>
      <c r="AE231" s="258"/>
      <c r="AF231" s="258"/>
      <c r="AG231" s="258"/>
      <c r="AH231" s="258"/>
      <c r="AI231" s="258"/>
      <c r="AJ231" s="258"/>
      <c r="AK231" s="258"/>
      <c r="AL231" s="258"/>
      <c r="AM231" s="258"/>
    </row>
    <row r="232" spans="3:39" x14ac:dyDescent="0.25">
      <c r="C232" s="255" t="s">
        <v>6165</v>
      </c>
      <c r="D232" s="255">
        <v>15.7</v>
      </c>
      <c r="E232" s="268">
        <v>0.24</v>
      </c>
      <c r="F232" s="266">
        <f t="shared" si="70"/>
        <v>15.286624203821656</v>
      </c>
      <c r="G232" s="266">
        <f t="shared" si="71"/>
        <v>65.416666666666671</v>
      </c>
      <c r="H232" s="265">
        <f t="shared" si="72"/>
        <v>0.35758706467661688</v>
      </c>
      <c r="I232" s="265">
        <f t="shared" si="73"/>
        <v>0.2790178571428571</v>
      </c>
      <c r="J232" s="265">
        <f t="shared" si="74"/>
        <v>0.14172335600907029</v>
      </c>
      <c r="K232" s="258">
        <f t="shared" ca="1" si="75"/>
        <v>243.35000000000002</v>
      </c>
      <c r="L232" s="265">
        <f t="shared" si="76"/>
        <v>2.5249365671641786</v>
      </c>
      <c r="M232" s="265">
        <f t="shared" si="77"/>
        <v>1.500803571428571</v>
      </c>
      <c r="N232" s="265">
        <f t="shared" si="78"/>
        <v>0.82693877551020412</v>
      </c>
      <c r="O232" s="265">
        <f t="shared" ca="1" si="79"/>
        <v>248.20267891410299</v>
      </c>
      <c r="P232" s="265">
        <f t="shared" ca="1" si="80"/>
        <v>3.7495686663655157</v>
      </c>
      <c r="Q232" s="258">
        <f t="shared" ca="1" si="81"/>
        <v>148.49583333333334</v>
      </c>
      <c r="R232" s="265">
        <f t="shared" si="82"/>
        <v>2.5249365671641786</v>
      </c>
      <c r="S232" s="265">
        <f t="shared" si="83"/>
        <v>1.500803571428571</v>
      </c>
      <c r="T232" s="265">
        <f t="shared" si="84"/>
        <v>0.82693877551020412</v>
      </c>
      <c r="U232" s="265">
        <f t="shared" ca="1" si="85"/>
        <v>153.3485122474363</v>
      </c>
      <c r="V232" s="265">
        <f t="shared" ca="1" si="86"/>
        <v>2.3166179312502355</v>
      </c>
      <c r="W232" s="258">
        <f t="shared" ca="1" si="87"/>
        <v>36.502500000000005</v>
      </c>
      <c r="X232" s="265">
        <f t="shared" si="88"/>
        <v>2.5249365671641786</v>
      </c>
      <c r="Y232" s="265">
        <f t="shared" si="89"/>
        <v>1.500803571428571</v>
      </c>
      <c r="Z232" s="265">
        <f t="shared" si="90"/>
        <v>0.82693877551020412</v>
      </c>
      <c r="AA232" s="265">
        <f t="shared" ca="1" si="91"/>
        <v>41.355178914102957</v>
      </c>
      <c r="AB232" s="265">
        <f t="shared" ca="1" si="92"/>
        <v>0.62474782192791833</v>
      </c>
      <c r="AC232" s="258"/>
      <c r="AD232" s="258"/>
      <c r="AE232" s="258"/>
      <c r="AF232" s="258"/>
      <c r="AG232" s="258"/>
      <c r="AH232" s="258"/>
      <c r="AI232" s="258"/>
      <c r="AJ232" s="258"/>
      <c r="AK232" s="258"/>
      <c r="AL232" s="258"/>
      <c r="AM232" s="258"/>
    </row>
    <row r="233" spans="3:39" x14ac:dyDescent="0.25">
      <c r="C233" s="255" t="s">
        <v>6166</v>
      </c>
      <c r="D233" s="255">
        <v>12.6</v>
      </c>
      <c r="E233" s="268">
        <v>0.23200000000000001</v>
      </c>
      <c r="F233" s="266">
        <f t="shared" si="70"/>
        <v>18.412698412698415</v>
      </c>
      <c r="G233" s="266">
        <f t="shared" si="71"/>
        <v>54.310344827586199</v>
      </c>
      <c r="H233" s="265">
        <f t="shared" si="72"/>
        <v>0.35758706467661688</v>
      </c>
      <c r="I233" s="265">
        <f t="shared" si="73"/>
        <v>0.2790178571428571</v>
      </c>
      <c r="J233" s="265">
        <f t="shared" si="74"/>
        <v>0.14172335600907029</v>
      </c>
      <c r="K233" s="258">
        <f t="shared" ca="1" si="75"/>
        <v>202.03448275862067</v>
      </c>
      <c r="L233" s="265">
        <f t="shared" si="76"/>
        <v>2.5249365671641786</v>
      </c>
      <c r="M233" s="265">
        <f t="shared" si="77"/>
        <v>1.500803571428571</v>
      </c>
      <c r="N233" s="265">
        <f t="shared" si="78"/>
        <v>0.82693877551020412</v>
      </c>
      <c r="O233" s="265">
        <f t="shared" ca="1" si="79"/>
        <v>206.88716167272364</v>
      </c>
      <c r="P233" s="265">
        <f t="shared" ca="1" si="80"/>
        <v>3.755529948540155</v>
      </c>
      <c r="Q233" s="258">
        <f t="shared" ca="1" si="81"/>
        <v>123.28448275862067</v>
      </c>
      <c r="R233" s="265">
        <f t="shared" si="82"/>
        <v>2.5249365671641786</v>
      </c>
      <c r="S233" s="265">
        <f t="shared" si="83"/>
        <v>1.500803571428571</v>
      </c>
      <c r="T233" s="265">
        <f t="shared" si="84"/>
        <v>0.82693877551020412</v>
      </c>
      <c r="U233" s="265">
        <f t="shared" ca="1" si="85"/>
        <v>128.13716167272364</v>
      </c>
      <c r="V233" s="265">
        <f t="shared" ca="1" si="86"/>
        <v>2.3260164830531895</v>
      </c>
      <c r="W233" s="258">
        <f t="shared" ca="1" si="87"/>
        <v>30.305172413793102</v>
      </c>
      <c r="X233" s="265">
        <f t="shared" si="88"/>
        <v>2.5249365671641786</v>
      </c>
      <c r="Y233" s="265">
        <f t="shared" si="89"/>
        <v>1.500803571428571</v>
      </c>
      <c r="Z233" s="265">
        <f t="shared" si="90"/>
        <v>0.82693877551020412</v>
      </c>
      <c r="AA233" s="265">
        <f t="shared" ca="1" si="91"/>
        <v>35.157851327896054</v>
      </c>
      <c r="AB233" s="265">
        <f t="shared" ca="1" si="92"/>
        <v>0.6382047224230627</v>
      </c>
      <c r="AC233" s="258"/>
      <c r="AD233" s="258"/>
      <c r="AE233" s="258"/>
      <c r="AF233" s="258"/>
      <c r="AG233" s="258"/>
      <c r="AH233" s="258"/>
      <c r="AI233" s="258"/>
      <c r="AJ233" s="258"/>
      <c r="AK233" s="258"/>
      <c r="AL233" s="258"/>
      <c r="AM233" s="258"/>
    </row>
    <row r="234" spans="3:39" x14ac:dyDescent="0.25">
      <c r="C234" s="255" t="s">
        <v>6167</v>
      </c>
      <c r="D234" s="255">
        <v>9.42</v>
      </c>
      <c r="E234" s="268">
        <v>0.224</v>
      </c>
      <c r="F234" s="266">
        <f t="shared" si="70"/>
        <v>23.7791932059448</v>
      </c>
      <c r="G234" s="266">
        <f t="shared" si="71"/>
        <v>42.053571428571431</v>
      </c>
      <c r="H234" s="265">
        <f t="shared" si="72"/>
        <v>0.35758706467661688</v>
      </c>
      <c r="I234" s="265">
        <f t="shared" si="73"/>
        <v>0.2790178571428571</v>
      </c>
      <c r="J234" s="265">
        <f t="shared" si="74"/>
        <v>0.14172335600907029</v>
      </c>
      <c r="K234" s="258">
        <f t="shared" ca="1" si="75"/>
        <v>156.43928571428572</v>
      </c>
      <c r="L234" s="265">
        <f t="shared" si="76"/>
        <v>2.5249365671641786</v>
      </c>
      <c r="M234" s="265">
        <f t="shared" si="77"/>
        <v>1.500803571428571</v>
      </c>
      <c r="N234" s="265">
        <f t="shared" si="78"/>
        <v>0.82693877551020412</v>
      </c>
      <c r="O234" s="265">
        <f t="shared" ca="1" si="79"/>
        <v>161.29196462838868</v>
      </c>
      <c r="P234" s="265">
        <f t="shared" ca="1" si="80"/>
        <v>3.7656971961084493</v>
      </c>
      <c r="Q234" s="258">
        <f t="shared" ca="1" si="81"/>
        <v>95.461607142857147</v>
      </c>
      <c r="R234" s="265">
        <f t="shared" si="82"/>
        <v>2.5249365671641786</v>
      </c>
      <c r="S234" s="265">
        <f t="shared" si="83"/>
        <v>1.500803571428571</v>
      </c>
      <c r="T234" s="265">
        <f t="shared" si="84"/>
        <v>0.82693877551020412</v>
      </c>
      <c r="U234" s="265">
        <f t="shared" ca="1" si="85"/>
        <v>100.3142860569601</v>
      </c>
      <c r="V234" s="265">
        <f t="shared" ca="1" si="86"/>
        <v>2.3420461558928021</v>
      </c>
      <c r="W234" s="258">
        <f t="shared" ca="1" si="87"/>
        <v>23.465892857142862</v>
      </c>
      <c r="X234" s="265">
        <f t="shared" si="88"/>
        <v>2.5249365671641786</v>
      </c>
      <c r="Y234" s="265">
        <f t="shared" si="89"/>
        <v>1.500803571428571</v>
      </c>
      <c r="Z234" s="265">
        <f t="shared" si="90"/>
        <v>0.82693877551020412</v>
      </c>
      <c r="AA234" s="265">
        <f t="shared" ca="1" si="91"/>
        <v>28.318571771245814</v>
      </c>
      <c r="AB234" s="265">
        <f t="shared" ca="1" si="92"/>
        <v>0.66115610013474213</v>
      </c>
      <c r="AC234" s="258"/>
      <c r="AD234" s="258"/>
      <c r="AE234" s="258"/>
      <c r="AF234" s="258"/>
      <c r="AG234" s="258"/>
      <c r="AH234" s="258"/>
      <c r="AI234" s="258"/>
      <c r="AJ234" s="258"/>
      <c r="AK234" s="258"/>
      <c r="AL234" s="258"/>
      <c r="AM234" s="258"/>
    </row>
    <row r="235" spans="3:39" x14ac:dyDescent="0.25">
      <c r="C235" s="255" t="s">
        <v>6168</v>
      </c>
      <c r="D235" s="255">
        <v>7.85</v>
      </c>
      <c r="E235" s="268">
        <v>0.22</v>
      </c>
      <c r="F235" s="266">
        <f t="shared" si="70"/>
        <v>28.02547770700637</v>
      </c>
      <c r="G235" s="266">
        <f t="shared" si="71"/>
        <v>35.68181818181818</v>
      </c>
      <c r="H235" s="265">
        <f t="shared" si="72"/>
        <v>0.35758706467661688</v>
      </c>
      <c r="I235" s="265">
        <f t="shared" si="73"/>
        <v>0.2790178571428571</v>
      </c>
      <c r="J235" s="265">
        <f t="shared" si="74"/>
        <v>0.14172335600907029</v>
      </c>
      <c r="K235" s="258">
        <f t="shared" ca="1" si="75"/>
        <v>132.73636363636365</v>
      </c>
      <c r="L235" s="265">
        <f t="shared" si="76"/>
        <v>2.5249365671641786</v>
      </c>
      <c r="M235" s="265">
        <f t="shared" si="77"/>
        <v>1.500803571428571</v>
      </c>
      <c r="N235" s="265">
        <f t="shared" si="78"/>
        <v>0.82693877551020412</v>
      </c>
      <c r="O235" s="265">
        <f t="shared" ca="1" si="79"/>
        <v>137.58904255046662</v>
      </c>
      <c r="P235" s="265">
        <f t="shared" ca="1" si="80"/>
        <v>3.7736832105912437</v>
      </c>
      <c r="Q235" s="258">
        <f t="shared" ca="1" si="81"/>
        <v>80.997727272727275</v>
      </c>
      <c r="R235" s="265">
        <f t="shared" si="82"/>
        <v>2.5249365671641786</v>
      </c>
      <c r="S235" s="265">
        <f t="shared" si="83"/>
        <v>1.500803571428571</v>
      </c>
      <c r="T235" s="265">
        <f t="shared" si="84"/>
        <v>0.82693877551020412</v>
      </c>
      <c r="U235" s="265">
        <f t="shared" ca="1" si="85"/>
        <v>85.850406186830227</v>
      </c>
      <c r="V235" s="265">
        <f t="shared" ca="1" si="86"/>
        <v>2.3546368987257784</v>
      </c>
      <c r="W235" s="258">
        <f t="shared" ca="1" si="87"/>
        <v>19.910454545454545</v>
      </c>
      <c r="X235" s="265">
        <f t="shared" si="88"/>
        <v>2.5249365671641786</v>
      </c>
      <c r="Y235" s="265">
        <f t="shared" si="89"/>
        <v>1.500803571428571</v>
      </c>
      <c r="Z235" s="265">
        <f t="shared" si="90"/>
        <v>0.82693877551020412</v>
      </c>
      <c r="AA235" s="265">
        <f t="shared" ca="1" si="91"/>
        <v>24.763133459557498</v>
      </c>
      <c r="AB235" s="265">
        <f t="shared" ca="1" si="92"/>
        <v>0.6791835980956572</v>
      </c>
      <c r="AC235" s="258"/>
      <c r="AD235" s="258"/>
      <c r="AE235" s="258"/>
      <c r="AF235" s="258"/>
      <c r="AG235" s="258"/>
      <c r="AH235" s="258"/>
      <c r="AI235" s="258"/>
      <c r="AJ235" s="258"/>
      <c r="AK235" s="258"/>
      <c r="AL235" s="258"/>
      <c r="AM235" s="258"/>
    </row>
    <row r="236" spans="3:39" x14ac:dyDescent="0.25">
      <c r="C236" s="255" t="s">
        <v>6169</v>
      </c>
      <c r="D236" s="255">
        <v>6.28</v>
      </c>
      <c r="E236" s="268">
        <v>0.216</v>
      </c>
      <c r="F236" s="266">
        <f t="shared" si="70"/>
        <v>34.394904458598724</v>
      </c>
      <c r="G236" s="266">
        <f t="shared" si="71"/>
        <v>29.074074074074076</v>
      </c>
      <c r="H236" s="265">
        <f t="shared" si="72"/>
        <v>0.35758706467661688</v>
      </c>
      <c r="I236" s="265">
        <f t="shared" si="73"/>
        <v>0.2790178571428571</v>
      </c>
      <c r="J236" s="265">
        <f t="shared" si="74"/>
        <v>0.14172335600907029</v>
      </c>
      <c r="K236" s="258">
        <f t="shared" ca="1" si="75"/>
        <v>108.15555555555557</v>
      </c>
      <c r="L236" s="265">
        <f t="shared" si="76"/>
        <v>2.5249365671641786</v>
      </c>
      <c r="M236" s="265">
        <f t="shared" si="77"/>
        <v>1.500803571428571</v>
      </c>
      <c r="N236" s="265">
        <f t="shared" si="78"/>
        <v>0.82693877551020412</v>
      </c>
      <c r="O236" s="265">
        <f t="shared" ca="1" si="79"/>
        <v>113.00823446965852</v>
      </c>
      <c r="P236" s="265">
        <f t="shared" ca="1" si="80"/>
        <v>3.7855658361262847</v>
      </c>
      <c r="Q236" s="258">
        <f t="shared" ca="1" si="81"/>
        <v>65.998148148148147</v>
      </c>
      <c r="R236" s="265">
        <f t="shared" si="82"/>
        <v>2.5249365671641786</v>
      </c>
      <c r="S236" s="265">
        <f t="shared" si="83"/>
        <v>1.500803571428571</v>
      </c>
      <c r="T236" s="265">
        <f t="shared" si="84"/>
        <v>0.82693877551020412</v>
      </c>
      <c r="U236" s="265">
        <f t="shared" ca="1" si="85"/>
        <v>70.850827062251099</v>
      </c>
      <c r="V236" s="265">
        <f t="shared" ca="1" si="86"/>
        <v>2.3733710348351735</v>
      </c>
      <c r="W236" s="258">
        <f t="shared" ca="1" si="87"/>
        <v>16.223333333333336</v>
      </c>
      <c r="X236" s="265">
        <f t="shared" si="88"/>
        <v>2.5249365671641786</v>
      </c>
      <c r="Y236" s="265">
        <f t="shared" si="89"/>
        <v>1.500803571428571</v>
      </c>
      <c r="Z236" s="265">
        <f t="shared" si="90"/>
        <v>0.82693877551020412</v>
      </c>
      <c r="AA236" s="265">
        <f t="shared" ca="1" si="91"/>
        <v>21.076012247436289</v>
      </c>
      <c r="AB236" s="265">
        <f t="shared" ca="1" si="92"/>
        <v>0.70600724186249697</v>
      </c>
      <c r="AC236" s="258"/>
      <c r="AD236" s="258"/>
      <c r="AE236" s="258"/>
      <c r="AF236" s="258"/>
      <c r="AG236" s="258"/>
      <c r="AH236" s="258"/>
      <c r="AI236" s="258"/>
      <c r="AJ236" s="258"/>
      <c r="AK236" s="258"/>
      <c r="AL236" s="258"/>
      <c r="AM236" s="258"/>
    </row>
    <row r="237" spans="3:39" x14ac:dyDescent="0.25">
      <c r="C237" s="255" t="s">
        <v>6170</v>
      </c>
      <c r="D237" s="255">
        <v>4.71</v>
      </c>
      <c r="E237" s="268">
        <v>0.21199999999999999</v>
      </c>
      <c r="F237" s="266">
        <f t="shared" si="70"/>
        <v>45.010615711252647</v>
      </c>
      <c r="G237" s="266">
        <f t="shared" si="71"/>
        <v>22.216981132075471</v>
      </c>
      <c r="H237" s="265">
        <f t="shared" si="72"/>
        <v>0.35758706467661688</v>
      </c>
      <c r="I237" s="265">
        <f t="shared" si="73"/>
        <v>0.2790178571428571</v>
      </c>
      <c r="J237" s="265">
        <f t="shared" si="74"/>
        <v>0.14172335600907029</v>
      </c>
      <c r="K237" s="258">
        <f t="shared" ca="1" si="75"/>
        <v>82.647169811320751</v>
      </c>
      <c r="L237" s="265">
        <f t="shared" si="76"/>
        <v>2.5249365671641786</v>
      </c>
      <c r="M237" s="265">
        <f t="shared" si="77"/>
        <v>1.500803571428571</v>
      </c>
      <c r="N237" s="265">
        <f t="shared" si="78"/>
        <v>0.82693877551020412</v>
      </c>
      <c r="O237" s="265">
        <f t="shared" ca="1" si="79"/>
        <v>87.499848725423703</v>
      </c>
      <c r="P237" s="265">
        <f t="shared" ca="1" si="80"/>
        <v>3.8051172595980707</v>
      </c>
      <c r="Q237" s="258">
        <f t="shared" ca="1" si="81"/>
        <v>50.432547169811322</v>
      </c>
      <c r="R237" s="265">
        <f t="shared" si="82"/>
        <v>2.5249365671641786</v>
      </c>
      <c r="S237" s="265">
        <f t="shared" si="83"/>
        <v>1.500803571428571</v>
      </c>
      <c r="T237" s="265">
        <f t="shared" si="84"/>
        <v>0.82693877551020412</v>
      </c>
      <c r="U237" s="265">
        <f t="shared" ca="1" si="85"/>
        <v>55.285226083914274</v>
      </c>
      <c r="V237" s="265">
        <f t="shared" ca="1" si="86"/>
        <v>2.4041957904729507</v>
      </c>
      <c r="W237" s="258">
        <f t="shared" ca="1" si="87"/>
        <v>12.397075471698114</v>
      </c>
      <c r="X237" s="265">
        <f t="shared" si="88"/>
        <v>2.5249365671641786</v>
      </c>
      <c r="Y237" s="265">
        <f t="shared" si="89"/>
        <v>1.500803571428571</v>
      </c>
      <c r="Z237" s="265">
        <f t="shared" si="90"/>
        <v>0.82693877551020412</v>
      </c>
      <c r="AA237" s="265">
        <f t="shared" ca="1" si="91"/>
        <v>17.249754385801069</v>
      </c>
      <c r="AB237" s="265">
        <f t="shared" ca="1" si="92"/>
        <v>0.75014230416798156</v>
      </c>
      <c r="AC237" s="258"/>
      <c r="AD237" s="258"/>
      <c r="AE237" s="258"/>
      <c r="AF237" s="258"/>
      <c r="AG237" s="258"/>
      <c r="AH237" s="258"/>
      <c r="AI237" s="258"/>
      <c r="AJ237" s="258"/>
      <c r="AK237" s="258"/>
      <c r="AL237" s="258"/>
      <c r="AM237" s="258"/>
    </row>
    <row r="238" spans="3:39" x14ac:dyDescent="0.25">
      <c r="C238" s="255" t="s">
        <v>6171</v>
      </c>
      <c r="D238" s="255">
        <v>3.93</v>
      </c>
      <c r="E238" s="268">
        <v>0.21</v>
      </c>
      <c r="F238" s="266">
        <f t="shared" si="70"/>
        <v>53.435114503816791</v>
      </c>
      <c r="G238" s="266">
        <f t="shared" si="71"/>
        <v>18.714285714285715</v>
      </c>
      <c r="H238" s="265">
        <f t="shared" si="72"/>
        <v>0.35758706467661688</v>
      </c>
      <c r="I238" s="265">
        <f t="shared" si="73"/>
        <v>0.2790178571428571</v>
      </c>
      <c r="J238" s="265">
        <f t="shared" si="74"/>
        <v>0.14172335600907029</v>
      </c>
      <c r="K238" s="258">
        <f t="shared" ca="1" si="75"/>
        <v>69.617142857142866</v>
      </c>
      <c r="L238" s="265">
        <f t="shared" si="76"/>
        <v>2.5249365671641786</v>
      </c>
      <c r="M238" s="265">
        <f t="shared" si="77"/>
        <v>1.500803571428571</v>
      </c>
      <c r="N238" s="265">
        <f t="shared" si="78"/>
        <v>0.82693877551020412</v>
      </c>
      <c r="O238" s="265">
        <f t="shared" ca="1" si="79"/>
        <v>74.469821771245819</v>
      </c>
      <c r="P238" s="265">
        <f t="shared" ca="1" si="80"/>
        <v>3.8204122752019094</v>
      </c>
      <c r="Q238" s="258">
        <f t="shared" ca="1" si="81"/>
        <v>42.481428571428573</v>
      </c>
      <c r="R238" s="265">
        <f t="shared" si="82"/>
        <v>2.5249365671641786</v>
      </c>
      <c r="S238" s="265">
        <f t="shared" si="83"/>
        <v>1.500803571428571</v>
      </c>
      <c r="T238" s="265">
        <f t="shared" si="84"/>
        <v>0.82693877551020412</v>
      </c>
      <c r="U238" s="265">
        <f t="shared" ca="1" si="85"/>
        <v>47.334107485531526</v>
      </c>
      <c r="V238" s="265">
        <f t="shared" ca="1" si="86"/>
        <v>2.4283098975171078</v>
      </c>
      <c r="W238" s="258">
        <f t="shared" ca="1" si="87"/>
        <v>10.44257142857143</v>
      </c>
      <c r="X238" s="265">
        <f t="shared" si="88"/>
        <v>2.5249365671641786</v>
      </c>
      <c r="Y238" s="265">
        <f t="shared" si="89"/>
        <v>1.500803571428571</v>
      </c>
      <c r="Z238" s="265">
        <f t="shared" si="90"/>
        <v>0.82693877551020412</v>
      </c>
      <c r="AA238" s="265">
        <f t="shared" ca="1" si="91"/>
        <v>15.295250342674384</v>
      </c>
      <c r="AB238" s="265">
        <f t="shared" ca="1" si="92"/>
        <v>0.78466902124374283</v>
      </c>
      <c r="AC238" s="258"/>
      <c r="AD238" s="258"/>
      <c r="AE238" s="258"/>
      <c r="AF238" s="258"/>
      <c r="AG238" s="258"/>
      <c r="AH238" s="258"/>
      <c r="AI238" s="258"/>
      <c r="AJ238" s="258"/>
      <c r="AK238" s="258"/>
      <c r="AL238" s="258"/>
      <c r="AM238" s="258"/>
    </row>
    <row r="239" spans="3:39" x14ac:dyDescent="0.25">
      <c r="C239" s="255" t="s">
        <v>6172</v>
      </c>
      <c r="D239" s="255">
        <v>8.48</v>
      </c>
      <c r="E239" s="268">
        <v>0.20399999999999999</v>
      </c>
      <c r="F239" s="266">
        <f t="shared" si="70"/>
        <v>24.056603773584904</v>
      </c>
      <c r="G239" s="266">
        <f t="shared" si="71"/>
        <v>41.568627450980394</v>
      </c>
      <c r="H239" s="265">
        <f t="shared" si="72"/>
        <v>0.35758706467661688</v>
      </c>
      <c r="I239" s="265">
        <f t="shared" si="73"/>
        <v>0.2790178571428571</v>
      </c>
      <c r="J239" s="265">
        <f t="shared" si="74"/>
        <v>0.14172335600907029</v>
      </c>
      <c r="K239" s="258">
        <f t="shared" ca="1" si="75"/>
        <v>154.63529411764708</v>
      </c>
      <c r="L239" s="265">
        <f t="shared" si="76"/>
        <v>2.5249365671641786</v>
      </c>
      <c r="M239" s="265">
        <f t="shared" si="77"/>
        <v>1.500803571428571</v>
      </c>
      <c r="N239" s="265">
        <f t="shared" si="78"/>
        <v>0.82693877551020412</v>
      </c>
      <c r="O239" s="265">
        <f t="shared" ca="1" si="79"/>
        <v>159.48797303175004</v>
      </c>
      <c r="P239" s="265">
        <f t="shared" ca="1" si="80"/>
        <v>3.7662205059819502</v>
      </c>
      <c r="Q239" s="258">
        <f t="shared" ca="1" si="81"/>
        <v>94.360784313725489</v>
      </c>
      <c r="R239" s="265">
        <f t="shared" si="82"/>
        <v>2.5249365671641786</v>
      </c>
      <c r="S239" s="265">
        <f t="shared" si="83"/>
        <v>1.500803571428571</v>
      </c>
      <c r="T239" s="265">
        <f t="shared" si="84"/>
        <v>0.82693877551020412</v>
      </c>
      <c r="U239" s="265">
        <f t="shared" ca="1" si="85"/>
        <v>99.213463227828441</v>
      </c>
      <c r="V239" s="265">
        <f t="shared" ca="1" si="86"/>
        <v>2.3428712057413095</v>
      </c>
      <c r="W239" s="258">
        <f t="shared" ca="1" si="87"/>
        <v>23.195294117647062</v>
      </c>
      <c r="X239" s="265">
        <f t="shared" si="88"/>
        <v>2.5249365671641786</v>
      </c>
      <c r="Y239" s="265">
        <f t="shared" si="89"/>
        <v>1.500803571428571</v>
      </c>
      <c r="Z239" s="265">
        <f t="shared" si="90"/>
        <v>0.82693877551020412</v>
      </c>
      <c r="AA239" s="265">
        <f t="shared" ca="1" si="91"/>
        <v>28.047973031750015</v>
      </c>
      <c r="AB239" s="265">
        <f t="shared" ca="1" si="92"/>
        <v>0.66233741125029155</v>
      </c>
      <c r="AC239" s="258"/>
      <c r="AD239" s="258"/>
      <c r="AE239" s="258"/>
      <c r="AF239" s="258"/>
      <c r="AG239" s="258"/>
      <c r="AH239" s="258"/>
      <c r="AI239" s="258"/>
      <c r="AJ239" s="258"/>
      <c r="AK239" s="258"/>
      <c r="AL239" s="258"/>
      <c r="AM239" s="258"/>
    </row>
    <row r="240" spans="3:39" x14ac:dyDescent="0.25">
      <c r="C240" s="255" t="s">
        <v>6173</v>
      </c>
      <c r="D240" s="255">
        <v>7.07</v>
      </c>
      <c r="E240" s="268">
        <v>0.2</v>
      </c>
      <c r="F240" s="266">
        <f t="shared" si="70"/>
        <v>28.288543140028292</v>
      </c>
      <c r="G240" s="266">
        <f t="shared" si="71"/>
        <v>35.35</v>
      </c>
      <c r="H240" s="265">
        <f t="shared" si="72"/>
        <v>0.35758706467661688</v>
      </c>
      <c r="I240" s="265">
        <f t="shared" si="73"/>
        <v>0.2790178571428571</v>
      </c>
      <c r="J240" s="265">
        <f t="shared" si="74"/>
        <v>0.14172335600907029</v>
      </c>
      <c r="K240" s="258">
        <f t="shared" ca="1" si="75"/>
        <v>131.50200000000001</v>
      </c>
      <c r="L240" s="265">
        <f t="shared" si="76"/>
        <v>2.5249365671641786</v>
      </c>
      <c r="M240" s="265">
        <f t="shared" si="77"/>
        <v>1.500803571428571</v>
      </c>
      <c r="N240" s="265">
        <f t="shared" si="78"/>
        <v>0.82693877551020412</v>
      </c>
      <c r="O240" s="265">
        <f t="shared" ca="1" si="79"/>
        <v>136.35467891410298</v>
      </c>
      <c r="P240" s="265">
        <f t="shared" ca="1" si="80"/>
        <v>3.7741762603995701</v>
      </c>
      <c r="Q240" s="258">
        <f t="shared" ca="1" si="81"/>
        <v>80.244500000000002</v>
      </c>
      <c r="R240" s="265">
        <f t="shared" si="82"/>
        <v>2.5249365671641786</v>
      </c>
      <c r="S240" s="265">
        <f t="shared" si="83"/>
        <v>1.500803571428571</v>
      </c>
      <c r="T240" s="265">
        <f t="shared" si="84"/>
        <v>0.82693877551020412</v>
      </c>
      <c r="U240" s="265">
        <f t="shared" ca="1" si="85"/>
        <v>85.097178914102955</v>
      </c>
      <c r="V240" s="265">
        <f t="shared" ca="1" si="86"/>
        <v>2.3554142405843317</v>
      </c>
      <c r="W240" s="258">
        <f t="shared" ca="1" si="87"/>
        <v>19.725300000000004</v>
      </c>
      <c r="X240" s="265">
        <f t="shared" si="88"/>
        <v>2.5249365671641786</v>
      </c>
      <c r="Y240" s="265">
        <f t="shared" si="89"/>
        <v>1.500803571428571</v>
      </c>
      <c r="Z240" s="265">
        <f t="shared" si="90"/>
        <v>0.82693877551020412</v>
      </c>
      <c r="AA240" s="265">
        <f t="shared" ca="1" si="91"/>
        <v>24.577978914102957</v>
      </c>
      <c r="AB240" s="265">
        <f t="shared" ca="1" si="92"/>
        <v>0.68029660063696118</v>
      </c>
      <c r="AC240" s="258"/>
      <c r="AD240" s="258"/>
      <c r="AE240" s="258"/>
      <c r="AF240" s="258"/>
      <c r="AG240" s="258"/>
      <c r="AH240" s="258"/>
      <c r="AI240" s="258"/>
      <c r="AJ240" s="258"/>
      <c r="AK240" s="258"/>
      <c r="AL240" s="258"/>
      <c r="AM240" s="258"/>
    </row>
    <row r="241" spans="3:39" x14ac:dyDescent="0.25">
      <c r="C241" s="255" t="s">
        <v>6174</v>
      </c>
      <c r="D241" s="255">
        <v>5.65</v>
      </c>
      <c r="E241" s="268">
        <v>0.19600000000000001</v>
      </c>
      <c r="F241" s="266">
        <f t="shared" si="70"/>
        <v>34.690265486725664</v>
      </c>
      <c r="G241" s="266">
        <f t="shared" si="71"/>
        <v>28.826530612244898</v>
      </c>
      <c r="H241" s="265">
        <f t="shared" si="72"/>
        <v>0.35758706467661688</v>
      </c>
      <c r="I241" s="265">
        <f t="shared" si="73"/>
        <v>0.2790178571428571</v>
      </c>
      <c r="J241" s="265">
        <f t="shared" si="74"/>
        <v>0.14172335600907029</v>
      </c>
      <c r="K241" s="258">
        <f t="shared" ca="1" si="75"/>
        <v>107.23469387755102</v>
      </c>
      <c r="L241" s="265">
        <f t="shared" si="76"/>
        <v>2.5249365671641786</v>
      </c>
      <c r="M241" s="265">
        <f t="shared" si="77"/>
        <v>1.500803571428571</v>
      </c>
      <c r="N241" s="265">
        <f t="shared" si="78"/>
        <v>0.82693877551020412</v>
      </c>
      <c r="O241" s="265">
        <f t="shared" ca="1" si="79"/>
        <v>112.08737279165398</v>
      </c>
      <c r="P241" s="265">
        <f t="shared" ca="1" si="80"/>
        <v>3.7861140702561178</v>
      </c>
      <c r="Q241" s="258">
        <f t="shared" ca="1" si="81"/>
        <v>65.436224489795919</v>
      </c>
      <c r="R241" s="265">
        <f t="shared" si="82"/>
        <v>2.5249365671641786</v>
      </c>
      <c r="S241" s="265">
        <f t="shared" si="83"/>
        <v>1.500803571428571</v>
      </c>
      <c r="T241" s="265">
        <f t="shared" si="84"/>
        <v>0.82693877551020412</v>
      </c>
      <c r="U241" s="265">
        <f t="shared" ca="1" si="85"/>
        <v>70.288903403898871</v>
      </c>
      <c r="V241" s="265">
        <f t="shared" ca="1" si="86"/>
        <v>2.3742353802424927</v>
      </c>
      <c r="W241" s="258">
        <f t="shared" ca="1" si="87"/>
        <v>16.085204081632654</v>
      </c>
      <c r="X241" s="265">
        <f t="shared" si="88"/>
        <v>2.5249365671641786</v>
      </c>
      <c r="Y241" s="265">
        <f t="shared" si="89"/>
        <v>1.500803571428571</v>
      </c>
      <c r="Z241" s="265">
        <f t="shared" si="90"/>
        <v>0.82693877551020412</v>
      </c>
      <c r="AA241" s="265">
        <f t="shared" ca="1" si="91"/>
        <v>20.937882995735606</v>
      </c>
      <c r="AB241" s="265">
        <f t="shared" ca="1" si="92"/>
        <v>0.70724481658502725</v>
      </c>
      <c r="AC241" s="258"/>
      <c r="AD241" s="258"/>
      <c r="AE241" s="258"/>
      <c r="AF241" s="258"/>
      <c r="AG241" s="258"/>
      <c r="AH241" s="258"/>
      <c r="AI241" s="258"/>
      <c r="AJ241" s="258"/>
      <c r="AK241" s="258"/>
      <c r="AL241" s="258"/>
      <c r="AM241" s="258"/>
    </row>
    <row r="242" spans="3:39" x14ac:dyDescent="0.25">
      <c r="C242" s="255" t="s">
        <v>6175</v>
      </c>
      <c r="D242" s="255">
        <v>4.24</v>
      </c>
      <c r="E242" s="268">
        <v>0.192</v>
      </c>
      <c r="F242" s="266">
        <f t="shared" si="70"/>
        <v>45.283018867924525</v>
      </c>
      <c r="G242" s="266">
        <f t="shared" si="71"/>
        <v>22.083333333333336</v>
      </c>
      <c r="H242" s="265">
        <f t="shared" si="72"/>
        <v>0.35758706467661688</v>
      </c>
      <c r="I242" s="265">
        <f t="shared" si="73"/>
        <v>0.2790178571428571</v>
      </c>
      <c r="J242" s="265">
        <f t="shared" si="74"/>
        <v>0.14172335600907029</v>
      </c>
      <c r="K242" s="258">
        <f t="shared" ca="1" si="75"/>
        <v>82.15000000000002</v>
      </c>
      <c r="L242" s="265">
        <f t="shared" si="76"/>
        <v>2.5249365671641786</v>
      </c>
      <c r="M242" s="265">
        <f t="shared" si="77"/>
        <v>1.500803571428571</v>
      </c>
      <c r="N242" s="265">
        <f t="shared" si="78"/>
        <v>0.82693877551020412</v>
      </c>
      <c r="O242" s="265">
        <f t="shared" ca="1" si="79"/>
        <v>87.002678914102972</v>
      </c>
      <c r="P242" s="265">
        <f t="shared" ca="1" si="80"/>
        <v>3.8056148496059072</v>
      </c>
      <c r="Q242" s="258">
        <f t="shared" ca="1" si="81"/>
        <v>50.12916666666667</v>
      </c>
      <c r="R242" s="265">
        <f t="shared" si="82"/>
        <v>2.5249365671641786</v>
      </c>
      <c r="S242" s="265">
        <f t="shared" si="83"/>
        <v>1.500803571428571</v>
      </c>
      <c r="T242" s="265">
        <f t="shared" si="84"/>
        <v>0.82693877551020412</v>
      </c>
      <c r="U242" s="265">
        <f t="shared" ca="1" si="85"/>
        <v>54.981845580769622</v>
      </c>
      <c r="V242" s="265">
        <f t="shared" ca="1" si="86"/>
        <v>2.4049802904057298</v>
      </c>
      <c r="W242" s="258">
        <f t="shared" ca="1" si="87"/>
        <v>12.322500000000003</v>
      </c>
      <c r="X242" s="265">
        <f t="shared" si="88"/>
        <v>2.5249365671641786</v>
      </c>
      <c r="Y242" s="265">
        <f t="shared" si="89"/>
        <v>1.500803571428571</v>
      </c>
      <c r="Z242" s="265">
        <f t="shared" si="90"/>
        <v>0.82693877551020412</v>
      </c>
      <c r="AA242" s="265">
        <f t="shared" ca="1" si="91"/>
        <v>17.175178914102958</v>
      </c>
      <c r="AB242" s="265">
        <f t="shared" ca="1" si="92"/>
        <v>0.75126555568110676</v>
      </c>
      <c r="AC242" s="258"/>
      <c r="AD242" s="258"/>
      <c r="AE242" s="258"/>
      <c r="AF242" s="258"/>
      <c r="AG242" s="258"/>
      <c r="AH242" s="258"/>
      <c r="AI242" s="258"/>
      <c r="AJ242" s="258"/>
      <c r="AK242" s="258"/>
      <c r="AL242" s="258"/>
      <c r="AM242" s="258"/>
    </row>
    <row r="243" spans="3:39" x14ac:dyDescent="0.25">
      <c r="C243" s="255" t="s">
        <v>6176</v>
      </c>
      <c r="D243" s="255">
        <v>23.6</v>
      </c>
      <c r="E243" s="268">
        <v>0.23</v>
      </c>
      <c r="F243" s="266">
        <f t="shared" si="70"/>
        <v>9.7457627118644066</v>
      </c>
      <c r="G243" s="266">
        <f t="shared" si="71"/>
        <v>102.60869565217392</v>
      </c>
      <c r="H243" s="265">
        <f t="shared" si="72"/>
        <v>0.35758706467661688</v>
      </c>
      <c r="I243" s="265">
        <f t="shared" si="73"/>
        <v>0.2790178571428571</v>
      </c>
      <c r="J243" s="265">
        <f t="shared" si="74"/>
        <v>0.14172335600907029</v>
      </c>
      <c r="K243" s="258">
        <f t="shared" ca="1" si="75"/>
        <v>381.70434782608703</v>
      </c>
      <c r="L243" s="265">
        <f t="shared" si="76"/>
        <v>2.5249365671641786</v>
      </c>
      <c r="M243" s="265">
        <f t="shared" si="77"/>
        <v>1.500803571428571</v>
      </c>
      <c r="N243" s="265">
        <f t="shared" si="78"/>
        <v>0.82693877551020412</v>
      </c>
      <c r="O243" s="265">
        <f t="shared" ca="1" si="79"/>
        <v>386.55702674018994</v>
      </c>
      <c r="P243" s="265">
        <f t="shared" ca="1" si="80"/>
        <v>3.7389317541619724</v>
      </c>
      <c r="Q243" s="258">
        <f t="shared" ca="1" si="81"/>
        <v>232.92173913043482</v>
      </c>
      <c r="R243" s="265">
        <f t="shared" si="82"/>
        <v>2.5249365671641786</v>
      </c>
      <c r="S243" s="265">
        <f t="shared" si="83"/>
        <v>1.500803571428571</v>
      </c>
      <c r="T243" s="265">
        <f t="shared" si="84"/>
        <v>0.82693877551020412</v>
      </c>
      <c r="U243" s="265">
        <f t="shared" ca="1" si="85"/>
        <v>237.77441804453778</v>
      </c>
      <c r="V243" s="265">
        <f t="shared" ca="1" si="86"/>
        <v>2.2998477855936876</v>
      </c>
      <c r="W243" s="258">
        <f t="shared" ca="1" si="87"/>
        <v>57.255652173913056</v>
      </c>
      <c r="X243" s="265">
        <f t="shared" si="88"/>
        <v>2.5249365671641786</v>
      </c>
      <c r="Y243" s="265">
        <f t="shared" si="89"/>
        <v>1.500803571428571</v>
      </c>
      <c r="Z243" s="265">
        <f t="shared" si="90"/>
        <v>0.82693877551020412</v>
      </c>
      <c r="AA243" s="265">
        <f t="shared" ca="1" si="91"/>
        <v>62.108331088016008</v>
      </c>
      <c r="AB243" s="265">
        <f t="shared" ca="1" si="92"/>
        <v>0.60073623098065054</v>
      </c>
      <c r="AC243" s="258"/>
      <c r="AD243" s="258"/>
      <c r="AE243" s="258"/>
      <c r="AF243" s="258"/>
      <c r="AG243" s="258"/>
      <c r="AH243" s="258"/>
      <c r="AI243" s="258"/>
      <c r="AJ243" s="258"/>
      <c r="AK243" s="258"/>
      <c r="AL243" s="258"/>
      <c r="AM243" s="258"/>
    </row>
    <row r="244" spans="3:39" x14ac:dyDescent="0.25">
      <c r="C244" s="255" t="s">
        <v>6177</v>
      </c>
      <c r="D244" s="255">
        <v>14.7</v>
      </c>
      <c r="E244" s="268">
        <v>0.2</v>
      </c>
      <c r="F244" s="266">
        <f t="shared" si="70"/>
        <v>13.605442176870749</v>
      </c>
      <c r="G244" s="266">
        <f t="shared" si="71"/>
        <v>73.499999999999986</v>
      </c>
      <c r="H244" s="265">
        <f t="shared" si="72"/>
        <v>0.35758706467661688</v>
      </c>
      <c r="I244" s="265">
        <f t="shared" si="73"/>
        <v>0.2790178571428571</v>
      </c>
      <c r="J244" s="265">
        <f t="shared" si="74"/>
        <v>0.14172335600907029</v>
      </c>
      <c r="K244" s="258">
        <f t="shared" ca="1" si="75"/>
        <v>273.41999999999996</v>
      </c>
      <c r="L244" s="265">
        <f t="shared" si="76"/>
        <v>2.5249365671641786</v>
      </c>
      <c r="M244" s="265">
        <f t="shared" si="77"/>
        <v>1.500803571428571</v>
      </c>
      <c r="N244" s="265">
        <f t="shared" si="78"/>
        <v>0.82693877551020412</v>
      </c>
      <c r="O244" s="265">
        <f t="shared" ca="1" si="79"/>
        <v>278.27267891410287</v>
      </c>
      <c r="P244" s="265">
        <f t="shared" ca="1" si="80"/>
        <v>3.7463508585338605</v>
      </c>
      <c r="Q244" s="258">
        <f t="shared" ca="1" si="81"/>
        <v>166.84499999999997</v>
      </c>
      <c r="R244" s="265">
        <f t="shared" si="82"/>
        <v>2.5249365671641786</v>
      </c>
      <c r="S244" s="265">
        <f t="shared" si="83"/>
        <v>1.500803571428571</v>
      </c>
      <c r="T244" s="265">
        <f t="shared" si="84"/>
        <v>0.82693877551020412</v>
      </c>
      <c r="U244" s="265">
        <f t="shared" ca="1" si="85"/>
        <v>171.69767891410294</v>
      </c>
      <c r="V244" s="265">
        <f t="shared" ca="1" si="86"/>
        <v>2.3115447384853609</v>
      </c>
      <c r="W244" s="258">
        <f t="shared" ca="1" si="87"/>
        <v>41.012999999999998</v>
      </c>
      <c r="X244" s="265">
        <f t="shared" si="88"/>
        <v>2.5249365671641786</v>
      </c>
      <c r="Y244" s="265">
        <f t="shared" si="89"/>
        <v>1.500803571428571</v>
      </c>
      <c r="Z244" s="265">
        <f t="shared" si="90"/>
        <v>0.82693877551020412</v>
      </c>
      <c r="AA244" s="265">
        <f t="shared" ca="1" si="91"/>
        <v>45.865678914102951</v>
      </c>
      <c r="AB244" s="265">
        <f t="shared" ca="1" si="92"/>
        <v>0.6174839953660276</v>
      </c>
      <c r="AC244" s="258"/>
      <c r="AD244" s="258"/>
      <c r="AE244" s="258"/>
      <c r="AF244" s="258"/>
      <c r="AG244" s="258"/>
      <c r="AH244" s="258"/>
      <c r="AI244" s="258"/>
      <c r="AJ244" s="258"/>
      <c r="AK244" s="258"/>
      <c r="AL244" s="258"/>
      <c r="AM244" s="258"/>
    </row>
    <row r="245" spans="3:39" x14ac:dyDescent="0.25">
      <c r="C245" s="255" t="s">
        <v>6178</v>
      </c>
      <c r="D245" s="255">
        <v>11.8</v>
      </c>
      <c r="E245" s="268">
        <v>0.19</v>
      </c>
      <c r="F245" s="266">
        <f t="shared" si="70"/>
        <v>16.101694915254235</v>
      </c>
      <c r="G245" s="266">
        <f t="shared" si="71"/>
        <v>62.10526315789474</v>
      </c>
      <c r="H245" s="265">
        <f t="shared" si="72"/>
        <v>0.35758706467661688</v>
      </c>
      <c r="I245" s="265">
        <f t="shared" si="73"/>
        <v>0.2790178571428571</v>
      </c>
      <c r="J245" s="265">
        <f t="shared" si="74"/>
        <v>0.14172335600907029</v>
      </c>
      <c r="K245" s="258">
        <f t="shared" ca="1" si="75"/>
        <v>231.03157894736844</v>
      </c>
      <c r="L245" s="265">
        <f t="shared" si="76"/>
        <v>2.5249365671641786</v>
      </c>
      <c r="M245" s="265">
        <f t="shared" si="77"/>
        <v>1.500803571428571</v>
      </c>
      <c r="N245" s="265">
        <f t="shared" si="78"/>
        <v>0.82693877551020412</v>
      </c>
      <c r="O245" s="265">
        <f t="shared" ca="1" si="79"/>
        <v>235.88425786147141</v>
      </c>
      <c r="P245" s="265">
        <f t="shared" ca="1" si="80"/>
        <v>3.7511257305108194</v>
      </c>
      <c r="Q245" s="258">
        <f t="shared" ca="1" si="81"/>
        <v>140.97894736842105</v>
      </c>
      <c r="R245" s="265">
        <f t="shared" si="82"/>
        <v>2.5249365671641786</v>
      </c>
      <c r="S245" s="265">
        <f t="shared" si="83"/>
        <v>1.500803571428571</v>
      </c>
      <c r="T245" s="265">
        <f t="shared" si="84"/>
        <v>0.82693877551020412</v>
      </c>
      <c r="U245" s="265">
        <f t="shared" ca="1" si="85"/>
        <v>145.83162628252401</v>
      </c>
      <c r="V245" s="265">
        <f t="shared" ca="1" si="86"/>
        <v>2.3190727970998029</v>
      </c>
      <c r="W245" s="258">
        <f t="shared" ca="1" si="87"/>
        <v>34.654736842105265</v>
      </c>
      <c r="X245" s="265">
        <f t="shared" si="88"/>
        <v>2.5249365671641786</v>
      </c>
      <c r="Y245" s="265">
        <f t="shared" si="89"/>
        <v>1.500803571428571</v>
      </c>
      <c r="Z245" s="265">
        <f t="shared" si="90"/>
        <v>0.82693877551020412</v>
      </c>
      <c r="AA245" s="265">
        <f t="shared" ca="1" si="91"/>
        <v>39.507415756208218</v>
      </c>
      <c r="AB245" s="265">
        <f t="shared" ca="1" si="92"/>
        <v>0.6282627129621069</v>
      </c>
      <c r="AC245" s="258"/>
      <c r="AD245" s="258"/>
      <c r="AE245" s="258"/>
      <c r="AF245" s="258"/>
      <c r="AG245" s="258"/>
      <c r="AH245" s="258"/>
      <c r="AI245" s="258"/>
      <c r="AJ245" s="258"/>
      <c r="AK245" s="258"/>
      <c r="AL245" s="258"/>
      <c r="AM245" s="258"/>
    </row>
    <row r="246" spans="3:39" x14ac:dyDescent="0.25">
      <c r="C246" s="255" t="s">
        <v>6179</v>
      </c>
      <c r="D246" s="255">
        <v>9.42</v>
      </c>
      <c r="E246" s="268">
        <v>0.182</v>
      </c>
      <c r="F246" s="266">
        <f t="shared" si="70"/>
        <v>19.320594479830149</v>
      </c>
      <c r="G246" s="266">
        <f t="shared" si="71"/>
        <v>51.758241758241759</v>
      </c>
      <c r="H246" s="265">
        <f t="shared" si="72"/>
        <v>0.35758706467661688</v>
      </c>
      <c r="I246" s="265">
        <f t="shared" si="73"/>
        <v>0.2790178571428571</v>
      </c>
      <c r="J246" s="265">
        <f t="shared" si="74"/>
        <v>0.14172335600907029</v>
      </c>
      <c r="K246" s="258">
        <f t="shared" ca="1" si="75"/>
        <v>192.54065934065935</v>
      </c>
      <c r="L246" s="265">
        <f t="shared" si="76"/>
        <v>2.5249365671641786</v>
      </c>
      <c r="M246" s="265">
        <f t="shared" si="77"/>
        <v>1.500803571428571</v>
      </c>
      <c r="N246" s="265">
        <f t="shared" si="78"/>
        <v>0.82693877551020412</v>
      </c>
      <c r="O246" s="265">
        <f t="shared" ca="1" si="79"/>
        <v>197.39333825476231</v>
      </c>
      <c r="P246" s="265">
        <f t="shared" ca="1" si="80"/>
        <v>3.757255909916406</v>
      </c>
      <c r="Q246" s="258">
        <f t="shared" ca="1" si="81"/>
        <v>117.49120879120879</v>
      </c>
      <c r="R246" s="265">
        <f t="shared" si="82"/>
        <v>2.5249365671641786</v>
      </c>
      <c r="S246" s="265">
        <f t="shared" si="83"/>
        <v>1.500803571428571</v>
      </c>
      <c r="T246" s="265">
        <f t="shared" si="84"/>
        <v>0.82693877551020412</v>
      </c>
      <c r="U246" s="265">
        <f t="shared" ca="1" si="85"/>
        <v>122.34388770531174</v>
      </c>
      <c r="V246" s="265">
        <f t="shared" ca="1" si="86"/>
        <v>2.3287376321163236</v>
      </c>
      <c r="W246" s="258">
        <f t="shared" ca="1" si="87"/>
        <v>28.881098901098905</v>
      </c>
      <c r="X246" s="265">
        <f t="shared" si="88"/>
        <v>2.5249365671641786</v>
      </c>
      <c r="Y246" s="265">
        <f t="shared" si="89"/>
        <v>1.500803571428571</v>
      </c>
      <c r="Z246" s="265">
        <f t="shared" si="90"/>
        <v>0.82693877551020412</v>
      </c>
      <c r="AA246" s="265">
        <f t="shared" ca="1" si="91"/>
        <v>33.733777815201861</v>
      </c>
      <c r="AB246" s="265">
        <f t="shared" ca="1" si="92"/>
        <v>0.64210087929305415</v>
      </c>
      <c r="AC246" s="258"/>
      <c r="AD246" s="258"/>
      <c r="AE246" s="258"/>
      <c r="AF246" s="258"/>
      <c r="AG246" s="258"/>
      <c r="AH246" s="258"/>
      <c r="AI246" s="258"/>
      <c r="AJ246" s="258"/>
      <c r="AK246" s="258"/>
      <c r="AL246" s="258"/>
      <c r="AM246" s="258"/>
    </row>
    <row r="247" spans="3:39" x14ac:dyDescent="0.25">
      <c r="C247" s="255" t="s">
        <v>6180</v>
      </c>
      <c r="D247" s="255">
        <v>7.07</v>
      </c>
      <c r="E247" s="268">
        <v>0.17399999999999999</v>
      </c>
      <c r="F247" s="266">
        <f t="shared" si="70"/>
        <v>24.611032531824605</v>
      </c>
      <c r="G247" s="266">
        <f t="shared" si="71"/>
        <v>40.632183908045981</v>
      </c>
      <c r="H247" s="265">
        <f t="shared" si="72"/>
        <v>0.35758706467661688</v>
      </c>
      <c r="I247" s="265">
        <f t="shared" si="73"/>
        <v>0.2790178571428571</v>
      </c>
      <c r="J247" s="265">
        <f t="shared" si="74"/>
        <v>0.14172335600907029</v>
      </c>
      <c r="K247" s="258">
        <f t="shared" ca="1" si="75"/>
        <v>151.15172413793107</v>
      </c>
      <c r="L247" s="265">
        <f t="shared" si="76"/>
        <v>2.5249365671641786</v>
      </c>
      <c r="M247" s="265">
        <f t="shared" si="77"/>
        <v>1.500803571428571</v>
      </c>
      <c r="N247" s="265">
        <f t="shared" si="78"/>
        <v>0.82693877551020412</v>
      </c>
      <c r="O247" s="265">
        <f t="shared" ca="1" si="79"/>
        <v>156.00440305203404</v>
      </c>
      <c r="P247" s="265">
        <f t="shared" ca="1" si="80"/>
        <v>3.7672657211240304</v>
      </c>
      <c r="Q247" s="258">
        <f t="shared" ca="1" si="81"/>
        <v>92.235057471264383</v>
      </c>
      <c r="R247" s="265">
        <f t="shared" si="82"/>
        <v>2.5249365671641786</v>
      </c>
      <c r="S247" s="265">
        <f t="shared" si="83"/>
        <v>1.500803571428571</v>
      </c>
      <c r="T247" s="265">
        <f t="shared" si="84"/>
        <v>0.82693877551020412</v>
      </c>
      <c r="U247" s="265">
        <f t="shared" ca="1" si="85"/>
        <v>97.087736385367336</v>
      </c>
      <c r="V247" s="265">
        <f t="shared" ca="1" si="86"/>
        <v>2.3445190909395413</v>
      </c>
      <c r="W247" s="258">
        <f t="shared" ca="1" si="87"/>
        <v>22.67275862068966</v>
      </c>
      <c r="X247" s="265">
        <f t="shared" si="88"/>
        <v>2.5249365671641786</v>
      </c>
      <c r="Y247" s="265">
        <f t="shared" si="89"/>
        <v>1.500803571428571</v>
      </c>
      <c r="Z247" s="265">
        <f t="shared" si="90"/>
        <v>0.82693877551020412</v>
      </c>
      <c r="AA247" s="265">
        <f t="shared" ca="1" si="91"/>
        <v>27.525437534792612</v>
      </c>
      <c r="AB247" s="265">
        <f t="shared" ca="1" si="92"/>
        <v>0.66469686274930384</v>
      </c>
      <c r="AC247" s="258"/>
      <c r="AD247" s="258"/>
      <c r="AE247" s="258"/>
      <c r="AF247" s="258"/>
      <c r="AG247" s="258"/>
      <c r="AH247" s="258"/>
      <c r="AI247" s="258"/>
      <c r="AJ247" s="258"/>
      <c r="AK247" s="258"/>
      <c r="AL247" s="258"/>
      <c r="AM247" s="258"/>
    </row>
    <row r="248" spans="3:39" x14ac:dyDescent="0.25">
      <c r="C248" s="255" t="s">
        <v>6181</v>
      </c>
      <c r="D248" s="255">
        <v>5.89</v>
      </c>
      <c r="E248" s="268">
        <v>0.17</v>
      </c>
      <c r="F248" s="266">
        <f t="shared" si="70"/>
        <v>28.862478777589139</v>
      </c>
      <c r="G248" s="266">
        <f t="shared" si="71"/>
        <v>34.647058823529406</v>
      </c>
      <c r="H248" s="265">
        <f t="shared" si="72"/>
        <v>0.35758706467661688</v>
      </c>
      <c r="I248" s="265">
        <f t="shared" si="73"/>
        <v>0.2790178571428571</v>
      </c>
      <c r="J248" s="265">
        <f t="shared" si="74"/>
        <v>0.14172335600907029</v>
      </c>
      <c r="K248" s="258">
        <f t="shared" ca="1" si="75"/>
        <v>128.8870588235294</v>
      </c>
      <c r="L248" s="265">
        <f t="shared" si="76"/>
        <v>2.5249365671641786</v>
      </c>
      <c r="M248" s="265">
        <f t="shared" si="77"/>
        <v>1.500803571428571</v>
      </c>
      <c r="N248" s="265">
        <f t="shared" si="78"/>
        <v>0.82693877551020412</v>
      </c>
      <c r="O248" s="265">
        <f t="shared" ca="1" si="79"/>
        <v>133.73973773763237</v>
      </c>
      <c r="P248" s="265">
        <f t="shared" ca="1" si="80"/>
        <v>3.7752512726249297</v>
      </c>
      <c r="Q248" s="258">
        <f t="shared" ca="1" si="81"/>
        <v>78.648823529411757</v>
      </c>
      <c r="R248" s="265">
        <f t="shared" si="82"/>
        <v>2.5249365671641786</v>
      </c>
      <c r="S248" s="265">
        <f t="shared" si="83"/>
        <v>1.500803571428571</v>
      </c>
      <c r="T248" s="265">
        <f t="shared" si="84"/>
        <v>0.82693877551020412</v>
      </c>
      <c r="U248" s="265">
        <f t="shared" ca="1" si="85"/>
        <v>83.50150244351471</v>
      </c>
      <c r="V248" s="265">
        <f t="shared" ca="1" si="86"/>
        <v>2.357109103835703</v>
      </c>
      <c r="W248" s="258">
        <f t="shared" ca="1" si="87"/>
        <v>19.333058823529409</v>
      </c>
      <c r="X248" s="265">
        <f t="shared" si="88"/>
        <v>2.5249365671641786</v>
      </c>
      <c r="Y248" s="265">
        <f t="shared" si="89"/>
        <v>1.500803571428571</v>
      </c>
      <c r="Z248" s="265">
        <f t="shared" si="90"/>
        <v>0.82693877551020412</v>
      </c>
      <c r="AA248" s="265">
        <f t="shared" ca="1" si="91"/>
        <v>24.185737737632362</v>
      </c>
      <c r="AB248" s="265">
        <f t="shared" ca="1" si="92"/>
        <v>0.68272331558249255</v>
      </c>
      <c r="AC248" s="258"/>
      <c r="AD248" s="258"/>
      <c r="AE248" s="258"/>
      <c r="AF248" s="258"/>
      <c r="AG248" s="258"/>
      <c r="AH248" s="258"/>
      <c r="AI248" s="258"/>
      <c r="AJ248" s="258"/>
      <c r="AK248" s="258"/>
      <c r="AL248" s="258"/>
      <c r="AM248" s="258"/>
    </row>
    <row r="249" spans="3:39" x14ac:dyDescent="0.25">
      <c r="C249" s="255" t="s">
        <v>6182</v>
      </c>
      <c r="D249" s="255">
        <v>4.71</v>
      </c>
      <c r="E249" s="268">
        <v>0.16600000000000001</v>
      </c>
      <c r="F249" s="266">
        <f t="shared" si="70"/>
        <v>35.244161358811041</v>
      </c>
      <c r="G249" s="266">
        <f t="shared" si="71"/>
        <v>28.373493975903614</v>
      </c>
      <c r="H249" s="265">
        <f t="shared" si="72"/>
        <v>0.35758706467661688</v>
      </c>
      <c r="I249" s="265">
        <f t="shared" si="73"/>
        <v>0.2790178571428571</v>
      </c>
      <c r="J249" s="265">
        <f t="shared" si="74"/>
        <v>0.14172335600907029</v>
      </c>
      <c r="K249" s="258">
        <f t="shared" ca="1" si="75"/>
        <v>105.54939759036145</v>
      </c>
      <c r="L249" s="265">
        <f t="shared" si="76"/>
        <v>2.5249365671641786</v>
      </c>
      <c r="M249" s="265">
        <f t="shared" si="77"/>
        <v>1.500803571428571</v>
      </c>
      <c r="N249" s="265">
        <f t="shared" si="78"/>
        <v>0.82693877551020412</v>
      </c>
      <c r="O249" s="265">
        <f t="shared" ca="1" si="79"/>
        <v>110.4020765044644</v>
      </c>
      <c r="P249" s="265">
        <f t="shared" ca="1" si="80"/>
        <v>3.7871415221849531</v>
      </c>
      <c r="Q249" s="258">
        <f t="shared" ca="1" si="81"/>
        <v>64.407831325301203</v>
      </c>
      <c r="R249" s="265">
        <f t="shared" si="82"/>
        <v>2.5249365671641786</v>
      </c>
      <c r="S249" s="265">
        <f t="shared" si="83"/>
        <v>1.500803571428571</v>
      </c>
      <c r="T249" s="265">
        <f t="shared" si="84"/>
        <v>0.82693877551020412</v>
      </c>
      <c r="U249" s="265">
        <f t="shared" ca="1" si="85"/>
        <v>69.260510239404155</v>
      </c>
      <c r="V249" s="265">
        <f t="shared" ca="1" si="86"/>
        <v>2.3758552599756291</v>
      </c>
      <c r="W249" s="258">
        <f t="shared" ca="1" si="87"/>
        <v>15.832409638554218</v>
      </c>
      <c r="X249" s="265">
        <f t="shared" si="88"/>
        <v>2.5249365671641786</v>
      </c>
      <c r="Y249" s="265">
        <f t="shared" si="89"/>
        <v>1.500803571428571</v>
      </c>
      <c r="Z249" s="265">
        <f t="shared" si="90"/>
        <v>0.82693877551020412</v>
      </c>
      <c r="AA249" s="265">
        <f t="shared" ca="1" si="91"/>
        <v>20.68508855265717</v>
      </c>
      <c r="AB249" s="265">
        <f t="shared" ca="1" si="92"/>
        <v>0.70956416969813829</v>
      </c>
      <c r="AC249" s="258"/>
      <c r="AD249" s="258"/>
      <c r="AE249" s="258"/>
      <c r="AF249" s="258"/>
      <c r="AG249" s="258"/>
      <c r="AH249" s="258"/>
      <c r="AI249" s="258"/>
      <c r="AJ249" s="258"/>
      <c r="AK249" s="258"/>
      <c r="AL249" s="258"/>
      <c r="AM249" s="258"/>
    </row>
    <row r="250" spans="3:39" x14ac:dyDescent="0.25">
      <c r="C250" s="255" t="s">
        <v>6183</v>
      </c>
      <c r="D250" s="255">
        <v>3.53</v>
      </c>
      <c r="E250" s="268">
        <v>0.16200000000000001</v>
      </c>
      <c r="F250" s="266">
        <f t="shared" si="70"/>
        <v>45.892351274787536</v>
      </c>
      <c r="G250" s="266">
        <f t="shared" si="71"/>
        <v>21.79012345679012</v>
      </c>
      <c r="H250" s="265">
        <f t="shared" si="72"/>
        <v>0.35758706467661688</v>
      </c>
      <c r="I250" s="265">
        <f t="shared" si="73"/>
        <v>0.2790178571428571</v>
      </c>
      <c r="J250" s="265">
        <f t="shared" si="74"/>
        <v>0.14172335600907029</v>
      </c>
      <c r="K250" s="258">
        <f t="shared" ca="1" si="75"/>
        <v>81.05925925925925</v>
      </c>
      <c r="L250" s="265">
        <f t="shared" si="76"/>
        <v>2.5249365671641786</v>
      </c>
      <c r="M250" s="265">
        <f t="shared" si="77"/>
        <v>1.500803571428571</v>
      </c>
      <c r="N250" s="265">
        <f t="shared" si="78"/>
        <v>0.82693877551020412</v>
      </c>
      <c r="O250" s="265">
        <f t="shared" ca="1" si="79"/>
        <v>85.911938173362202</v>
      </c>
      <c r="P250" s="265">
        <f t="shared" ca="1" si="80"/>
        <v>3.8067271598245433</v>
      </c>
      <c r="Q250" s="258">
        <f t="shared" ca="1" si="81"/>
        <v>49.463580246913573</v>
      </c>
      <c r="R250" s="265">
        <f t="shared" si="82"/>
        <v>2.5249365671641786</v>
      </c>
      <c r="S250" s="265">
        <f t="shared" si="83"/>
        <v>1.500803571428571</v>
      </c>
      <c r="T250" s="265">
        <f t="shared" si="84"/>
        <v>0.82693877551020412</v>
      </c>
      <c r="U250" s="265">
        <f t="shared" ca="1" si="85"/>
        <v>54.316259161016525</v>
      </c>
      <c r="V250" s="265">
        <f t="shared" ca="1" si="86"/>
        <v>2.4067339576378033</v>
      </c>
      <c r="W250" s="258">
        <f t="shared" ca="1" si="87"/>
        <v>12.158888888888889</v>
      </c>
      <c r="X250" s="265">
        <f t="shared" si="88"/>
        <v>2.5249365671641786</v>
      </c>
      <c r="Y250" s="265">
        <f t="shared" si="89"/>
        <v>1.500803571428571</v>
      </c>
      <c r="Z250" s="265">
        <f t="shared" si="90"/>
        <v>0.82693877551020412</v>
      </c>
      <c r="AA250" s="265">
        <f t="shared" ca="1" si="91"/>
        <v>17.011567802991841</v>
      </c>
      <c r="AB250" s="265">
        <f t="shared" ca="1" si="92"/>
        <v>0.7537764665042177</v>
      </c>
      <c r="AC250" s="258"/>
      <c r="AD250" s="258"/>
      <c r="AE250" s="258"/>
      <c r="AF250" s="258"/>
      <c r="AG250" s="258"/>
      <c r="AH250" s="258"/>
      <c r="AI250" s="258"/>
      <c r="AJ250" s="258"/>
      <c r="AK250" s="258"/>
      <c r="AL250" s="258"/>
      <c r="AM250" s="258"/>
    </row>
    <row r="251" spans="3:39" x14ac:dyDescent="0.25">
      <c r="C251" s="255" t="s">
        <v>6184</v>
      </c>
      <c r="D251" s="255">
        <v>2.94</v>
      </c>
      <c r="E251" s="268">
        <v>0.16</v>
      </c>
      <c r="F251" s="266">
        <f t="shared" si="70"/>
        <v>54.421768707482997</v>
      </c>
      <c r="G251" s="266">
        <f t="shared" si="71"/>
        <v>18.375</v>
      </c>
      <c r="H251" s="265">
        <f t="shared" si="72"/>
        <v>0.35758706467661688</v>
      </c>
      <c r="I251" s="265">
        <f t="shared" si="73"/>
        <v>0.2790178571428571</v>
      </c>
      <c r="J251" s="265">
        <f t="shared" si="74"/>
        <v>0.14172335600907029</v>
      </c>
      <c r="K251" s="258">
        <f t="shared" ca="1" si="75"/>
        <v>68.355000000000004</v>
      </c>
      <c r="L251" s="265">
        <f t="shared" si="76"/>
        <v>2.5249365671641786</v>
      </c>
      <c r="M251" s="265">
        <f t="shared" si="77"/>
        <v>1.500803571428571</v>
      </c>
      <c r="N251" s="265">
        <f t="shared" si="78"/>
        <v>0.82693877551020412</v>
      </c>
      <c r="O251" s="265">
        <f t="shared" ca="1" si="79"/>
        <v>73.207678914102956</v>
      </c>
      <c r="P251" s="265">
        <f t="shared" ca="1" si="80"/>
        <v>3.822190997417743</v>
      </c>
      <c r="Q251" s="258">
        <f t="shared" ca="1" si="81"/>
        <v>41.71125</v>
      </c>
      <c r="R251" s="265">
        <f t="shared" si="82"/>
        <v>2.5249365671641786</v>
      </c>
      <c r="S251" s="265">
        <f t="shared" si="83"/>
        <v>1.500803571428571</v>
      </c>
      <c r="T251" s="265">
        <f t="shared" si="84"/>
        <v>0.82693877551020412</v>
      </c>
      <c r="U251" s="265">
        <f t="shared" ca="1" si="85"/>
        <v>46.563928914102952</v>
      </c>
      <c r="V251" s="265">
        <f t="shared" ca="1" si="86"/>
        <v>2.4311142292697134</v>
      </c>
      <c r="W251" s="258">
        <f t="shared" ca="1" si="87"/>
        <v>10.253250000000001</v>
      </c>
      <c r="X251" s="265">
        <f t="shared" si="88"/>
        <v>2.5249365671641786</v>
      </c>
      <c r="Y251" s="265">
        <f t="shared" si="89"/>
        <v>1.500803571428571</v>
      </c>
      <c r="Z251" s="265">
        <f t="shared" si="90"/>
        <v>0.82693877551020412</v>
      </c>
      <c r="AA251" s="265">
        <f t="shared" ca="1" si="91"/>
        <v>15.105928914102956</v>
      </c>
      <c r="AB251" s="265">
        <f t="shared" ca="1" si="92"/>
        <v>0.78868427956666065</v>
      </c>
      <c r="AC251" s="258"/>
      <c r="AD251" s="258"/>
      <c r="AE251" s="258"/>
      <c r="AF251" s="258"/>
      <c r="AG251" s="258"/>
      <c r="AH251" s="258"/>
      <c r="AI251" s="258"/>
      <c r="AJ251" s="258"/>
      <c r="AK251" s="258"/>
      <c r="AL251" s="258"/>
      <c r="AM251" s="258"/>
    </row>
    <row r="252" spans="3:39" x14ac:dyDescent="0.25">
      <c r="C252" s="255" t="s">
        <v>6185</v>
      </c>
      <c r="D252" s="255">
        <v>10.199999999999999</v>
      </c>
      <c r="E252" s="268">
        <v>0.17</v>
      </c>
      <c r="F252" s="266">
        <f t="shared" si="70"/>
        <v>16.666666666666671</v>
      </c>
      <c r="G252" s="266">
        <f t="shared" si="71"/>
        <v>59.999999999999993</v>
      </c>
      <c r="H252" s="265">
        <f t="shared" si="72"/>
        <v>0.35758706467661688</v>
      </c>
      <c r="I252" s="265">
        <f t="shared" si="73"/>
        <v>0.2790178571428571</v>
      </c>
      <c r="J252" s="265">
        <f t="shared" si="74"/>
        <v>0.14172335600907029</v>
      </c>
      <c r="K252" s="258">
        <f t="shared" ca="1" si="75"/>
        <v>223.2</v>
      </c>
      <c r="L252" s="265">
        <f t="shared" si="76"/>
        <v>2.5249365671641786</v>
      </c>
      <c r="M252" s="265">
        <f t="shared" si="77"/>
        <v>1.500803571428571</v>
      </c>
      <c r="N252" s="265">
        <f t="shared" si="78"/>
        <v>0.82693877551020412</v>
      </c>
      <c r="O252" s="265">
        <f t="shared" ca="1" si="79"/>
        <v>228.05267891410296</v>
      </c>
      <c r="P252" s="265">
        <f t="shared" ca="1" si="80"/>
        <v>3.7522038755596179</v>
      </c>
      <c r="Q252" s="258">
        <f t="shared" ca="1" si="81"/>
        <v>136.19999999999999</v>
      </c>
      <c r="R252" s="265">
        <f t="shared" si="82"/>
        <v>2.5249365671641786</v>
      </c>
      <c r="S252" s="265">
        <f t="shared" si="83"/>
        <v>1.500803571428571</v>
      </c>
      <c r="T252" s="265">
        <f t="shared" si="84"/>
        <v>0.82693877551020412</v>
      </c>
      <c r="U252" s="265">
        <f t="shared" ca="1" si="85"/>
        <v>141.05267891410296</v>
      </c>
      <c r="V252" s="265">
        <f t="shared" ca="1" si="86"/>
        <v>2.3207725995576269</v>
      </c>
      <c r="W252" s="258">
        <f t="shared" ca="1" si="87"/>
        <v>33.479999999999997</v>
      </c>
      <c r="X252" s="265">
        <f t="shared" si="88"/>
        <v>2.5249365671641786</v>
      </c>
      <c r="Y252" s="265">
        <f t="shared" si="89"/>
        <v>1.500803571428571</v>
      </c>
      <c r="Z252" s="265">
        <f t="shared" si="90"/>
        <v>0.82693877551020412</v>
      </c>
      <c r="AA252" s="265">
        <f t="shared" ca="1" si="91"/>
        <v>38.332678914102949</v>
      </c>
      <c r="AB252" s="265">
        <f t="shared" ca="1" si="92"/>
        <v>0.63069649989182763</v>
      </c>
      <c r="AC252" s="258"/>
      <c r="AD252" s="258"/>
      <c r="AE252" s="258"/>
      <c r="AF252" s="258"/>
      <c r="AG252" s="258"/>
      <c r="AH252" s="258"/>
      <c r="AI252" s="258"/>
      <c r="AJ252" s="258"/>
      <c r="AK252" s="258"/>
      <c r="AL252" s="258"/>
      <c r="AM252" s="258"/>
    </row>
    <row r="253" spans="3:39" x14ac:dyDescent="0.25">
      <c r="C253" s="255" t="s">
        <v>6186</v>
      </c>
      <c r="D253" s="255">
        <v>8.16</v>
      </c>
      <c r="E253" s="268">
        <v>0.16200000000000001</v>
      </c>
      <c r="F253" s="266">
        <f t="shared" si="70"/>
        <v>19.852941176470587</v>
      </c>
      <c r="G253" s="266">
        <f t="shared" si="71"/>
        <v>50.370370370370367</v>
      </c>
      <c r="H253" s="265">
        <f t="shared" si="72"/>
        <v>0.35758706467661688</v>
      </c>
      <c r="I253" s="265">
        <f t="shared" si="73"/>
        <v>0.2790178571428571</v>
      </c>
      <c r="J253" s="265">
        <f t="shared" si="74"/>
        <v>0.14172335600907029</v>
      </c>
      <c r="K253" s="258">
        <f t="shared" ca="1" si="75"/>
        <v>187.37777777777777</v>
      </c>
      <c r="L253" s="265">
        <f t="shared" si="76"/>
        <v>2.5249365671641786</v>
      </c>
      <c r="M253" s="265">
        <f t="shared" si="77"/>
        <v>1.500803571428571</v>
      </c>
      <c r="N253" s="265">
        <f t="shared" si="78"/>
        <v>0.82693877551020412</v>
      </c>
      <c r="O253" s="265">
        <f t="shared" ca="1" si="79"/>
        <v>192.23045669188073</v>
      </c>
      <c r="P253" s="265">
        <f t="shared" ca="1" si="80"/>
        <v>3.7582668136689672</v>
      </c>
      <c r="Q253" s="258">
        <f t="shared" ca="1" si="81"/>
        <v>114.34074074074073</v>
      </c>
      <c r="R253" s="265">
        <f t="shared" si="82"/>
        <v>2.5249365671641786</v>
      </c>
      <c r="S253" s="265">
        <f t="shared" si="83"/>
        <v>1.500803571428571</v>
      </c>
      <c r="T253" s="265">
        <f t="shared" si="84"/>
        <v>0.82693877551020412</v>
      </c>
      <c r="U253" s="265">
        <f t="shared" ca="1" si="85"/>
        <v>119.19341965484368</v>
      </c>
      <c r="V253" s="265">
        <f t="shared" ca="1" si="86"/>
        <v>2.3303314220104956</v>
      </c>
      <c r="W253" s="258">
        <f t="shared" ca="1" si="87"/>
        <v>28.106666666666666</v>
      </c>
      <c r="X253" s="265">
        <f t="shared" si="88"/>
        <v>2.5249365671641786</v>
      </c>
      <c r="Y253" s="265">
        <f t="shared" si="89"/>
        <v>1.500803571428571</v>
      </c>
      <c r="Z253" s="265">
        <f t="shared" si="90"/>
        <v>0.82693877551020412</v>
      </c>
      <c r="AA253" s="265">
        <f t="shared" ca="1" si="91"/>
        <v>32.959345580769622</v>
      </c>
      <c r="AB253" s="265">
        <f t="shared" ca="1" si="92"/>
        <v>0.64438287682476969</v>
      </c>
      <c r="AC253" s="258"/>
      <c r="AD253" s="258"/>
      <c r="AE253" s="258"/>
      <c r="AF253" s="258"/>
      <c r="AG253" s="258"/>
      <c r="AH253" s="258"/>
      <c r="AI253" s="258"/>
      <c r="AJ253" s="258"/>
      <c r="AK253" s="258"/>
      <c r="AL253" s="258"/>
      <c r="AM253" s="258"/>
    </row>
    <row r="254" spans="3:39" x14ac:dyDescent="0.25">
      <c r="C254" s="255" t="s">
        <v>6187</v>
      </c>
      <c r="D254" s="255">
        <v>6.12</v>
      </c>
      <c r="E254" s="268">
        <v>0.154</v>
      </c>
      <c r="F254" s="266">
        <f t="shared" ref="F254:F284" si="93">E254/D254*1000</f>
        <v>25.163398692810457</v>
      </c>
      <c r="G254" s="266">
        <f t="shared" si="71"/>
        <v>39.740259740259738</v>
      </c>
      <c r="H254" s="265">
        <f t="shared" si="72"/>
        <v>0.35758706467661688</v>
      </c>
      <c r="I254" s="265">
        <f t="shared" si="73"/>
        <v>0.2790178571428571</v>
      </c>
      <c r="J254" s="265">
        <f t="shared" si="74"/>
        <v>0.14172335600907029</v>
      </c>
      <c r="K254" s="258">
        <f t="shared" ca="1" si="75"/>
        <v>147.83376623376623</v>
      </c>
      <c r="L254" s="265">
        <f t="shared" si="76"/>
        <v>2.5249365671641786</v>
      </c>
      <c r="M254" s="265">
        <f t="shared" si="77"/>
        <v>1.500803571428571</v>
      </c>
      <c r="N254" s="265">
        <f t="shared" si="78"/>
        <v>0.82693877551020412</v>
      </c>
      <c r="O254" s="265">
        <f t="shared" ca="1" si="79"/>
        <v>152.68644514786919</v>
      </c>
      <c r="P254" s="265">
        <f t="shared" ca="1" si="80"/>
        <v>3.768306168016196</v>
      </c>
      <c r="Q254" s="258">
        <f t="shared" ca="1" si="81"/>
        <v>90.210389610389612</v>
      </c>
      <c r="R254" s="265">
        <f t="shared" si="82"/>
        <v>2.5249365671641786</v>
      </c>
      <c r="S254" s="265">
        <f t="shared" si="83"/>
        <v>1.500803571428571</v>
      </c>
      <c r="T254" s="265">
        <f t="shared" si="84"/>
        <v>0.82693877551020412</v>
      </c>
      <c r="U254" s="265">
        <f t="shared" ca="1" si="85"/>
        <v>95.063068524492564</v>
      </c>
      <c r="V254" s="265">
        <f t="shared" ca="1" si="86"/>
        <v>2.3461594585194967</v>
      </c>
      <c r="W254" s="258">
        <f t="shared" ca="1" si="87"/>
        <v>22.175064935064935</v>
      </c>
      <c r="X254" s="265">
        <f t="shared" si="88"/>
        <v>2.5249365671641786</v>
      </c>
      <c r="Y254" s="265">
        <f t="shared" si="89"/>
        <v>1.500803571428571</v>
      </c>
      <c r="Z254" s="265">
        <f t="shared" si="90"/>
        <v>0.82693877551020412</v>
      </c>
      <c r="AA254" s="265">
        <f t="shared" ca="1" si="91"/>
        <v>27.027743849167887</v>
      </c>
      <c r="AB254" s="265">
        <f t="shared" ca="1" si="92"/>
        <v>0.66704555047925607</v>
      </c>
      <c r="AC254" s="258"/>
      <c r="AD254" s="258"/>
      <c r="AE254" s="258"/>
      <c r="AF254" s="258"/>
      <c r="AG254" s="258"/>
      <c r="AH254" s="258"/>
      <c r="AI254" s="258"/>
      <c r="AJ254" s="258"/>
      <c r="AK254" s="258"/>
      <c r="AL254" s="258"/>
      <c r="AM254" s="258"/>
    </row>
    <row r="255" spans="3:39" x14ac:dyDescent="0.25">
      <c r="C255" s="255" t="s">
        <v>6188</v>
      </c>
      <c r="D255" s="270">
        <v>5.0999999999999996</v>
      </c>
      <c r="E255" s="268">
        <v>0.15</v>
      </c>
      <c r="F255" s="266">
        <f t="shared" si="93"/>
        <v>29.411764705882351</v>
      </c>
      <c r="G255" s="266">
        <f t="shared" si="71"/>
        <v>34</v>
      </c>
      <c r="H255" s="265">
        <f t="shared" si="72"/>
        <v>0.35758706467661688</v>
      </c>
      <c r="I255" s="265">
        <f t="shared" si="73"/>
        <v>0.2790178571428571</v>
      </c>
      <c r="J255" s="265">
        <f t="shared" si="74"/>
        <v>0.14172335600907029</v>
      </c>
      <c r="K255" s="258">
        <f t="shared" ca="1" si="75"/>
        <v>126.48</v>
      </c>
      <c r="L255" s="265">
        <f t="shared" si="76"/>
        <v>2.5249365671641786</v>
      </c>
      <c r="M255" s="265">
        <f t="shared" si="77"/>
        <v>1.500803571428571</v>
      </c>
      <c r="N255" s="265">
        <f t="shared" si="78"/>
        <v>0.82693877551020412</v>
      </c>
      <c r="O255" s="265">
        <f t="shared" ca="1" si="79"/>
        <v>131.33267891410296</v>
      </c>
      <c r="P255" s="265">
        <f t="shared" ca="1" si="80"/>
        <v>3.7762792353026517</v>
      </c>
      <c r="Q255" s="258">
        <f t="shared" ca="1" si="81"/>
        <v>77.180000000000007</v>
      </c>
      <c r="R255" s="265">
        <f t="shared" si="82"/>
        <v>2.5249365671641786</v>
      </c>
      <c r="S255" s="265">
        <f t="shared" si="83"/>
        <v>1.500803571428571</v>
      </c>
      <c r="T255" s="265">
        <f t="shared" si="84"/>
        <v>0.82693877551020412</v>
      </c>
      <c r="U255" s="265">
        <f t="shared" ca="1" si="85"/>
        <v>82.032678914102959</v>
      </c>
      <c r="V255" s="265">
        <f t="shared" ca="1" si="86"/>
        <v>2.3587297888150487</v>
      </c>
      <c r="W255" s="258">
        <f t="shared" ca="1" si="87"/>
        <v>18.972000000000001</v>
      </c>
      <c r="X255" s="265">
        <f t="shared" si="88"/>
        <v>2.5249365671641786</v>
      </c>
      <c r="Y255" s="265">
        <f t="shared" si="89"/>
        <v>1.500803571428571</v>
      </c>
      <c r="Z255" s="265">
        <f t="shared" si="90"/>
        <v>0.82693877551020412</v>
      </c>
      <c r="AA255" s="265">
        <f t="shared" ca="1" si="91"/>
        <v>23.824678914102954</v>
      </c>
      <c r="AB255" s="265">
        <f t="shared" ca="1" si="92"/>
        <v>0.6850438216517547</v>
      </c>
      <c r="AC255" s="258"/>
      <c r="AD255" s="258"/>
      <c r="AE255" s="258"/>
      <c r="AF255" s="258"/>
      <c r="AG255" s="258"/>
      <c r="AH255" s="258"/>
      <c r="AI255" s="258"/>
      <c r="AJ255" s="258"/>
      <c r="AK255" s="258"/>
      <c r="AL255" s="258"/>
      <c r="AM255" s="258"/>
    </row>
    <row r="256" spans="3:39" x14ac:dyDescent="0.25">
      <c r="C256" s="255" t="s">
        <v>6189</v>
      </c>
      <c r="D256" s="255">
        <v>4.08</v>
      </c>
      <c r="E256" s="268">
        <v>0.14599999999999999</v>
      </c>
      <c r="F256" s="266">
        <f t="shared" si="93"/>
        <v>35.784313725490193</v>
      </c>
      <c r="G256" s="266">
        <f t="shared" si="71"/>
        <v>27.945205479452056</v>
      </c>
      <c r="H256" s="265">
        <f t="shared" si="72"/>
        <v>0.35758706467661688</v>
      </c>
      <c r="I256" s="265">
        <f t="shared" si="73"/>
        <v>0.2790178571428571</v>
      </c>
      <c r="J256" s="265">
        <f t="shared" si="74"/>
        <v>0.14172335600907029</v>
      </c>
      <c r="K256" s="258">
        <f t="shared" ca="1" si="75"/>
        <v>103.95616438356166</v>
      </c>
      <c r="L256" s="265">
        <f t="shared" si="76"/>
        <v>2.5249365671641786</v>
      </c>
      <c r="M256" s="265">
        <f t="shared" si="77"/>
        <v>1.500803571428571</v>
      </c>
      <c r="N256" s="265">
        <f t="shared" si="78"/>
        <v>0.82693877551020412</v>
      </c>
      <c r="O256" s="265">
        <f t="shared" ca="1" si="79"/>
        <v>108.80884329766461</v>
      </c>
      <c r="P256" s="265">
        <f t="shared" ca="1" si="80"/>
        <v>3.7881426504524236</v>
      </c>
      <c r="Q256" s="258">
        <f t="shared" ca="1" si="81"/>
        <v>63.43561643835617</v>
      </c>
      <c r="R256" s="265">
        <f t="shared" si="82"/>
        <v>2.5249365671641786</v>
      </c>
      <c r="S256" s="265">
        <f t="shared" si="83"/>
        <v>1.500803571428571</v>
      </c>
      <c r="T256" s="265">
        <f t="shared" si="84"/>
        <v>0.82693877551020412</v>
      </c>
      <c r="U256" s="265">
        <f t="shared" ca="1" si="85"/>
        <v>68.28829535245913</v>
      </c>
      <c r="V256" s="265">
        <f t="shared" ca="1" si="86"/>
        <v>2.3774336378493115</v>
      </c>
      <c r="W256" s="258">
        <f t="shared" ca="1" si="87"/>
        <v>15.593424657534248</v>
      </c>
      <c r="X256" s="265">
        <f t="shared" si="88"/>
        <v>2.5249365671641786</v>
      </c>
      <c r="Y256" s="265">
        <f t="shared" si="89"/>
        <v>1.500803571428571</v>
      </c>
      <c r="Z256" s="265">
        <f t="shared" si="90"/>
        <v>0.82693877551020412</v>
      </c>
      <c r="AA256" s="265">
        <f t="shared" ca="1" si="91"/>
        <v>20.446103571637199</v>
      </c>
      <c r="AB256" s="265">
        <f t="shared" ca="1" si="92"/>
        <v>0.71182410021032638</v>
      </c>
      <c r="AC256" s="258"/>
      <c r="AD256" s="258"/>
      <c r="AE256" s="258"/>
      <c r="AF256" s="258"/>
      <c r="AG256" s="258"/>
      <c r="AH256" s="258"/>
      <c r="AI256" s="258"/>
      <c r="AJ256" s="258"/>
      <c r="AK256" s="258"/>
      <c r="AL256" s="258"/>
      <c r="AM256" s="258"/>
    </row>
    <row r="257" spans="3:39" x14ac:dyDescent="0.25">
      <c r="C257" s="255" t="s">
        <v>6190</v>
      </c>
      <c r="D257" s="255">
        <v>3.06</v>
      </c>
      <c r="E257" s="268">
        <v>0.14199999999999999</v>
      </c>
      <c r="F257" s="266">
        <f t="shared" si="93"/>
        <v>46.405228758169926</v>
      </c>
      <c r="G257" s="266">
        <f t="shared" si="71"/>
        <v>21.549295774647888</v>
      </c>
      <c r="H257" s="265">
        <f t="shared" si="72"/>
        <v>0.35758706467661688</v>
      </c>
      <c r="I257" s="265">
        <f t="shared" si="73"/>
        <v>0.2790178571428571</v>
      </c>
      <c r="J257" s="265">
        <f t="shared" si="74"/>
        <v>0.14172335600907029</v>
      </c>
      <c r="K257" s="258">
        <f t="shared" ca="1" si="75"/>
        <v>80.163380281690152</v>
      </c>
      <c r="L257" s="265">
        <f t="shared" si="76"/>
        <v>2.5249365671641786</v>
      </c>
      <c r="M257" s="265">
        <f t="shared" si="77"/>
        <v>1.500803571428571</v>
      </c>
      <c r="N257" s="265">
        <f t="shared" si="78"/>
        <v>0.82693877551020412</v>
      </c>
      <c r="O257" s="265">
        <f t="shared" ca="1" si="79"/>
        <v>85.016059195793105</v>
      </c>
      <c r="P257" s="265">
        <f t="shared" ca="1" si="80"/>
        <v>3.8076626064636589</v>
      </c>
      <c r="Q257" s="258">
        <f t="shared" ca="1" si="81"/>
        <v>48.916901408450705</v>
      </c>
      <c r="R257" s="265">
        <f t="shared" si="82"/>
        <v>2.5249365671641786</v>
      </c>
      <c r="S257" s="265">
        <f t="shared" si="83"/>
        <v>1.500803571428571</v>
      </c>
      <c r="T257" s="265">
        <f t="shared" si="84"/>
        <v>0.82693877551020412</v>
      </c>
      <c r="U257" s="265">
        <f t="shared" ca="1" si="85"/>
        <v>53.769580322553658</v>
      </c>
      <c r="V257" s="265">
        <f t="shared" ca="1" si="86"/>
        <v>2.4082087819187321</v>
      </c>
      <c r="W257" s="258">
        <f t="shared" ca="1" si="87"/>
        <v>12.024507042253523</v>
      </c>
      <c r="X257" s="265">
        <f t="shared" si="88"/>
        <v>2.5249365671641786</v>
      </c>
      <c r="Y257" s="265">
        <f t="shared" si="89"/>
        <v>1.500803571428571</v>
      </c>
      <c r="Z257" s="265">
        <f t="shared" si="90"/>
        <v>0.82693877551020412</v>
      </c>
      <c r="AA257" s="265">
        <f t="shared" ca="1" si="91"/>
        <v>16.877185956356477</v>
      </c>
      <c r="AB257" s="265">
        <f t="shared" ca="1" si="92"/>
        <v>0.7558881283870672</v>
      </c>
      <c r="AC257" s="258"/>
      <c r="AD257" s="258"/>
      <c r="AE257" s="258"/>
      <c r="AF257" s="258"/>
      <c r="AG257" s="258"/>
      <c r="AH257" s="258"/>
      <c r="AI257" s="258"/>
      <c r="AJ257" s="258"/>
      <c r="AK257" s="258"/>
      <c r="AL257" s="258"/>
      <c r="AM257" s="258"/>
    </row>
    <row r="258" spans="3:39" x14ac:dyDescent="0.25">
      <c r="C258" s="255" t="s">
        <v>6191</v>
      </c>
      <c r="D258" s="255">
        <v>2.5499999999999998</v>
      </c>
      <c r="E258" s="268">
        <v>0.14000000000000001</v>
      </c>
      <c r="F258" s="266">
        <f t="shared" si="93"/>
        <v>54.901960784313729</v>
      </c>
      <c r="G258" s="266">
        <f t="shared" si="71"/>
        <v>18.214285714285712</v>
      </c>
      <c r="H258" s="265">
        <f t="shared" si="72"/>
        <v>0.35758706467661688</v>
      </c>
      <c r="I258" s="265">
        <f t="shared" si="73"/>
        <v>0.2790178571428571</v>
      </c>
      <c r="J258" s="265">
        <f t="shared" si="74"/>
        <v>0.14172335600907029</v>
      </c>
      <c r="K258" s="258">
        <f t="shared" ca="1" si="75"/>
        <v>67.757142857142853</v>
      </c>
      <c r="L258" s="265">
        <f t="shared" si="76"/>
        <v>2.5249365671641786</v>
      </c>
      <c r="M258" s="265">
        <f t="shared" si="77"/>
        <v>1.500803571428571</v>
      </c>
      <c r="N258" s="265">
        <f t="shared" si="78"/>
        <v>0.82693877551020412</v>
      </c>
      <c r="O258" s="265">
        <f t="shared" ca="1" si="79"/>
        <v>72.609821771245805</v>
      </c>
      <c r="P258" s="265">
        <f t="shared" ca="1" si="80"/>
        <v>3.8230557311064941</v>
      </c>
      <c r="Q258" s="258">
        <f t="shared" ca="1" si="81"/>
        <v>41.346428571428568</v>
      </c>
      <c r="R258" s="265">
        <f t="shared" si="82"/>
        <v>2.5249365671641786</v>
      </c>
      <c r="S258" s="265">
        <f t="shared" si="83"/>
        <v>1.500803571428571</v>
      </c>
      <c r="T258" s="265">
        <f t="shared" si="84"/>
        <v>0.82693877551020412</v>
      </c>
      <c r="U258" s="265">
        <f t="shared" ca="1" si="85"/>
        <v>46.19910748553152</v>
      </c>
      <c r="V258" s="265">
        <f t="shared" ca="1" si="86"/>
        <v>2.4324775675803978</v>
      </c>
      <c r="W258" s="258">
        <f t="shared" ca="1" si="87"/>
        <v>10.163571428571428</v>
      </c>
      <c r="X258" s="265">
        <f t="shared" si="88"/>
        <v>2.5249365671641786</v>
      </c>
      <c r="Y258" s="265">
        <f t="shared" si="89"/>
        <v>1.500803571428571</v>
      </c>
      <c r="Z258" s="265">
        <f t="shared" si="90"/>
        <v>0.82693877551020412</v>
      </c>
      <c r="AA258" s="265">
        <f t="shared" ca="1" si="91"/>
        <v>15.016250342674383</v>
      </c>
      <c r="AB258" s="265">
        <f t="shared" ca="1" si="92"/>
        <v>0.79063631519648303</v>
      </c>
      <c r="AC258" s="258"/>
      <c r="AD258" s="258"/>
      <c r="AE258" s="258"/>
      <c r="AF258" s="258"/>
      <c r="AG258" s="258"/>
      <c r="AH258" s="258"/>
      <c r="AI258" s="258"/>
      <c r="AJ258" s="258"/>
      <c r="AK258" s="258"/>
      <c r="AL258" s="258"/>
      <c r="AM258" s="258"/>
    </row>
    <row r="259" spans="3:39" x14ac:dyDescent="0.25">
      <c r="C259" s="255" t="s">
        <v>6192</v>
      </c>
      <c r="D259" s="255">
        <v>9.81</v>
      </c>
      <c r="E259" s="268">
        <v>0.15</v>
      </c>
      <c r="F259" s="266">
        <f t="shared" si="93"/>
        <v>15.290519877675839</v>
      </c>
      <c r="G259" s="266">
        <f t="shared" si="71"/>
        <v>65.400000000000006</v>
      </c>
      <c r="H259" s="265">
        <f t="shared" si="72"/>
        <v>0.35758706467661688</v>
      </c>
      <c r="I259" s="265">
        <f t="shared" si="73"/>
        <v>0.2790178571428571</v>
      </c>
      <c r="J259" s="265">
        <f t="shared" si="74"/>
        <v>0.14172335600907029</v>
      </c>
      <c r="K259" s="258">
        <f t="shared" ca="1" si="75"/>
        <v>243.28800000000004</v>
      </c>
      <c r="L259" s="265">
        <f t="shared" si="76"/>
        <v>2.5249365671641786</v>
      </c>
      <c r="M259" s="265">
        <f t="shared" si="77"/>
        <v>1.500803571428571</v>
      </c>
      <c r="N259" s="265">
        <f t="shared" si="78"/>
        <v>0.82693877551020412</v>
      </c>
      <c r="O259" s="265">
        <f t="shared" ca="1" si="79"/>
        <v>248.14067891410301</v>
      </c>
      <c r="P259" s="265">
        <f t="shared" ca="1" si="80"/>
        <v>3.7495761130798542</v>
      </c>
      <c r="Q259" s="258">
        <f t="shared" ca="1" si="81"/>
        <v>148.45800000000003</v>
      </c>
      <c r="R259" s="265">
        <f t="shared" si="82"/>
        <v>2.5249365671641786</v>
      </c>
      <c r="S259" s="265">
        <f t="shared" si="83"/>
        <v>1.500803571428571</v>
      </c>
      <c r="T259" s="265">
        <f t="shared" si="84"/>
        <v>0.82693877551020412</v>
      </c>
      <c r="U259" s="265">
        <f t="shared" ca="1" si="85"/>
        <v>153.31067891410299</v>
      </c>
      <c r="V259" s="265">
        <f t="shared" ca="1" si="86"/>
        <v>2.3166296717329744</v>
      </c>
      <c r="W259" s="258">
        <f t="shared" ca="1" si="87"/>
        <v>36.493200000000009</v>
      </c>
      <c r="X259" s="265">
        <f t="shared" si="88"/>
        <v>2.5249365671641786</v>
      </c>
      <c r="Y259" s="265">
        <f t="shared" si="89"/>
        <v>1.500803571428571</v>
      </c>
      <c r="Z259" s="265">
        <f t="shared" si="90"/>
        <v>0.82693877551020412</v>
      </c>
      <c r="AA259" s="265">
        <f t="shared" ca="1" si="91"/>
        <v>41.345878914102961</v>
      </c>
      <c r="AB259" s="265">
        <f t="shared" ca="1" si="92"/>
        <v>0.62476463201858934</v>
      </c>
      <c r="AC259" s="258"/>
      <c r="AD259" s="258"/>
      <c r="AE259" s="258"/>
      <c r="AF259" s="258"/>
      <c r="AG259" s="258"/>
      <c r="AH259" s="258"/>
      <c r="AI259" s="258"/>
      <c r="AJ259" s="258"/>
      <c r="AK259" s="258"/>
      <c r="AL259" s="258"/>
      <c r="AM259" s="258"/>
    </row>
    <row r="260" spans="3:39" x14ac:dyDescent="0.25">
      <c r="C260" s="255" t="s">
        <v>6193</v>
      </c>
      <c r="D260" s="255">
        <v>7.85</v>
      </c>
      <c r="E260" s="268">
        <v>0.14000000000000001</v>
      </c>
      <c r="F260" s="266">
        <f t="shared" si="93"/>
        <v>17.834394904458602</v>
      </c>
      <c r="G260" s="266">
        <f t="shared" si="71"/>
        <v>56.071428571428562</v>
      </c>
      <c r="H260" s="265">
        <f t="shared" si="72"/>
        <v>0.35758706467661688</v>
      </c>
      <c r="I260" s="265">
        <f t="shared" si="73"/>
        <v>0.2790178571428571</v>
      </c>
      <c r="J260" s="265">
        <f t="shared" si="74"/>
        <v>0.14172335600907029</v>
      </c>
      <c r="K260" s="258">
        <f t="shared" ca="1" si="75"/>
        <v>208.58571428571426</v>
      </c>
      <c r="L260" s="265">
        <f t="shared" si="76"/>
        <v>2.5249365671641786</v>
      </c>
      <c r="M260" s="265">
        <f t="shared" si="77"/>
        <v>1.500803571428571</v>
      </c>
      <c r="N260" s="265">
        <f t="shared" si="78"/>
        <v>0.82693877551020412</v>
      </c>
      <c r="O260" s="265">
        <f t="shared" ca="1" si="79"/>
        <v>213.43839319981723</v>
      </c>
      <c r="P260" s="265">
        <f t="shared" ca="1" si="80"/>
        <v>3.754429306809012</v>
      </c>
      <c r="Q260" s="258">
        <f t="shared" ca="1" si="81"/>
        <v>127.28214285714284</v>
      </c>
      <c r="R260" s="265">
        <f t="shared" si="82"/>
        <v>2.5249365671641786</v>
      </c>
      <c r="S260" s="265">
        <f t="shared" si="83"/>
        <v>1.500803571428571</v>
      </c>
      <c r="T260" s="265">
        <f t="shared" si="84"/>
        <v>0.82693877551020412</v>
      </c>
      <c r="U260" s="265">
        <f t="shared" ca="1" si="85"/>
        <v>132.13482177124581</v>
      </c>
      <c r="V260" s="265">
        <f t="shared" ca="1" si="86"/>
        <v>2.324281212347393</v>
      </c>
      <c r="W260" s="258">
        <f t="shared" ca="1" si="87"/>
        <v>31.287857142857142</v>
      </c>
      <c r="X260" s="265">
        <f t="shared" si="88"/>
        <v>2.5249365671641786</v>
      </c>
      <c r="Y260" s="265">
        <f t="shared" si="89"/>
        <v>1.500803571428571</v>
      </c>
      <c r="Z260" s="265">
        <f t="shared" si="90"/>
        <v>0.82693877551020412</v>
      </c>
      <c r="AA260" s="265">
        <f t="shared" ca="1" si="91"/>
        <v>36.140536056960094</v>
      </c>
      <c r="AB260" s="265">
        <f t="shared" ca="1" si="92"/>
        <v>0.63572015185201913</v>
      </c>
      <c r="AC260" s="258"/>
      <c r="AD260" s="258"/>
      <c r="AE260" s="258"/>
      <c r="AF260" s="258"/>
      <c r="AG260" s="258"/>
      <c r="AH260" s="258"/>
      <c r="AI260" s="258"/>
      <c r="AJ260" s="258"/>
      <c r="AK260" s="258"/>
      <c r="AL260" s="258"/>
      <c r="AM260" s="258"/>
    </row>
    <row r="261" spans="3:39" x14ac:dyDescent="0.25">
      <c r="C261" s="255" t="s">
        <v>6194</v>
      </c>
      <c r="D261" s="255">
        <v>6.28</v>
      </c>
      <c r="E261" s="268">
        <v>0.13200000000000001</v>
      </c>
      <c r="F261" s="266">
        <f t="shared" si="93"/>
        <v>21.019108280254777</v>
      </c>
      <c r="G261" s="266">
        <f t="shared" si="71"/>
        <v>47.575757575757578</v>
      </c>
      <c r="H261" s="265">
        <f t="shared" si="72"/>
        <v>0.35758706467661688</v>
      </c>
      <c r="I261" s="265">
        <f t="shared" si="73"/>
        <v>0.2790178571428571</v>
      </c>
      <c r="J261" s="265">
        <f t="shared" si="74"/>
        <v>0.14172335600907029</v>
      </c>
      <c r="K261" s="258">
        <f t="shared" ca="1" si="75"/>
        <v>176.9818181818182</v>
      </c>
      <c r="L261" s="265">
        <f t="shared" si="76"/>
        <v>2.5249365671641786</v>
      </c>
      <c r="M261" s="265">
        <f t="shared" si="77"/>
        <v>1.500803571428571</v>
      </c>
      <c r="N261" s="265">
        <f t="shared" si="78"/>
        <v>0.82693877551020412</v>
      </c>
      <c r="O261" s="265">
        <f t="shared" ca="1" si="79"/>
        <v>181.83449709592117</v>
      </c>
      <c r="P261" s="265">
        <f t="shared" ca="1" si="80"/>
        <v>3.7604784349870122</v>
      </c>
      <c r="Q261" s="258">
        <f t="shared" ca="1" si="81"/>
        <v>107.9969696969697</v>
      </c>
      <c r="R261" s="265">
        <f t="shared" si="82"/>
        <v>2.5249365671641786</v>
      </c>
      <c r="S261" s="265">
        <f t="shared" si="83"/>
        <v>1.500803571428571</v>
      </c>
      <c r="T261" s="265">
        <f t="shared" si="84"/>
        <v>0.82693877551020412</v>
      </c>
      <c r="U261" s="265">
        <f t="shared" ca="1" si="85"/>
        <v>112.84964861107265</v>
      </c>
      <c r="V261" s="265">
        <f t="shared" ca="1" si="86"/>
        <v>2.3338182620756402</v>
      </c>
      <c r="W261" s="258">
        <f t="shared" ca="1" si="87"/>
        <v>26.54727272727273</v>
      </c>
      <c r="X261" s="265">
        <f t="shared" si="88"/>
        <v>2.5249365671641786</v>
      </c>
      <c r="Y261" s="265">
        <f t="shared" si="89"/>
        <v>1.500803571428571</v>
      </c>
      <c r="Z261" s="265">
        <f t="shared" si="90"/>
        <v>0.82693877551020412</v>
      </c>
      <c r="AA261" s="265">
        <f t="shared" ca="1" si="91"/>
        <v>31.399951641375683</v>
      </c>
      <c r="AB261" s="265">
        <f t="shared" ca="1" si="92"/>
        <v>0.64937535447269645</v>
      </c>
      <c r="AC261" s="258"/>
      <c r="AD261" s="258"/>
      <c r="AE261" s="258"/>
      <c r="AF261" s="258"/>
      <c r="AG261" s="258"/>
      <c r="AH261" s="258"/>
      <c r="AI261" s="258"/>
      <c r="AJ261" s="258"/>
      <c r="AK261" s="258"/>
      <c r="AL261" s="258"/>
      <c r="AM261" s="258"/>
    </row>
    <row r="262" spans="3:39" x14ac:dyDescent="0.25">
      <c r="C262" s="255" t="s">
        <v>6195</v>
      </c>
      <c r="D262" s="255">
        <v>4.71</v>
      </c>
      <c r="E262" s="268">
        <v>0.124</v>
      </c>
      <c r="F262" s="266">
        <f t="shared" si="93"/>
        <v>26.326963906581742</v>
      </c>
      <c r="G262" s="266">
        <f t="shared" si="71"/>
        <v>37.983870967741936</v>
      </c>
      <c r="H262" s="265">
        <f t="shared" si="72"/>
        <v>0.35758706467661688</v>
      </c>
      <c r="I262" s="265">
        <f t="shared" si="73"/>
        <v>0.2790178571428571</v>
      </c>
      <c r="J262" s="265">
        <f t="shared" si="74"/>
        <v>0.14172335600907029</v>
      </c>
      <c r="K262" s="258">
        <f t="shared" ca="1" si="75"/>
        <v>141.30000000000001</v>
      </c>
      <c r="L262" s="265">
        <f t="shared" si="76"/>
        <v>2.5249365671641786</v>
      </c>
      <c r="M262" s="265">
        <f t="shared" si="77"/>
        <v>1.500803571428571</v>
      </c>
      <c r="N262" s="265">
        <f t="shared" si="78"/>
        <v>0.82693877551020412</v>
      </c>
      <c r="O262" s="265">
        <f t="shared" ca="1" si="79"/>
        <v>146.15267891410298</v>
      </c>
      <c r="P262" s="265">
        <f t="shared" ca="1" si="80"/>
        <v>3.7704950121168492</v>
      </c>
      <c r="Q262" s="258">
        <f t="shared" ca="1" si="81"/>
        <v>86.223387096774189</v>
      </c>
      <c r="R262" s="265">
        <f t="shared" si="82"/>
        <v>2.5249365671641786</v>
      </c>
      <c r="S262" s="265">
        <f t="shared" si="83"/>
        <v>1.500803571428571</v>
      </c>
      <c r="T262" s="265">
        <f t="shared" si="84"/>
        <v>0.82693877551020412</v>
      </c>
      <c r="U262" s="265">
        <f t="shared" ca="1" si="85"/>
        <v>91.076066010877142</v>
      </c>
      <c r="V262" s="265">
        <f t="shared" ca="1" si="86"/>
        <v>2.3496103880453787</v>
      </c>
      <c r="W262" s="258">
        <f t="shared" ca="1" si="87"/>
        <v>21.195000000000004</v>
      </c>
      <c r="X262" s="265">
        <f t="shared" si="88"/>
        <v>2.5249365671641786</v>
      </c>
      <c r="Y262" s="265">
        <f t="shared" si="89"/>
        <v>1.500803571428571</v>
      </c>
      <c r="Z262" s="265">
        <f t="shared" si="90"/>
        <v>0.82693877551020412</v>
      </c>
      <c r="AA262" s="265">
        <f t="shared" ca="1" si="91"/>
        <v>26.047678914102956</v>
      </c>
      <c r="AB262" s="265">
        <f t="shared" ca="1" si="92"/>
        <v>0.67198661121065095</v>
      </c>
      <c r="AC262" s="258"/>
      <c r="AD262" s="258"/>
      <c r="AE262" s="258"/>
      <c r="AF262" s="258"/>
      <c r="AG262" s="258"/>
      <c r="AH262" s="258"/>
      <c r="AI262" s="258"/>
      <c r="AJ262" s="258"/>
      <c r="AK262" s="258"/>
      <c r="AL262" s="258"/>
      <c r="AM262" s="258"/>
    </row>
    <row r="263" spans="3:39" x14ac:dyDescent="0.25">
      <c r="C263" s="255" t="s">
        <v>6196</v>
      </c>
      <c r="D263" s="255">
        <v>3.93</v>
      </c>
      <c r="E263" s="268">
        <v>0.12</v>
      </c>
      <c r="F263" s="266">
        <f t="shared" si="93"/>
        <v>30.534351145038165</v>
      </c>
      <c r="G263" s="266">
        <f t="shared" si="71"/>
        <v>32.75</v>
      </c>
      <c r="H263" s="265">
        <f t="shared" si="72"/>
        <v>0.35758706467661688</v>
      </c>
      <c r="I263" s="265">
        <f t="shared" si="73"/>
        <v>0.2790178571428571</v>
      </c>
      <c r="J263" s="265">
        <f t="shared" si="74"/>
        <v>0.14172335600907029</v>
      </c>
      <c r="K263" s="258">
        <f t="shared" ca="1" si="75"/>
        <v>121.83000000000001</v>
      </c>
      <c r="L263" s="265">
        <f t="shared" si="76"/>
        <v>2.5249365671641786</v>
      </c>
      <c r="M263" s="265">
        <f t="shared" si="77"/>
        <v>1.500803571428571</v>
      </c>
      <c r="N263" s="265">
        <f t="shared" si="78"/>
        <v>0.82693877551020412</v>
      </c>
      <c r="O263" s="265">
        <f t="shared" ca="1" si="79"/>
        <v>126.68267891410296</v>
      </c>
      <c r="P263" s="265">
        <f t="shared" ca="1" si="80"/>
        <v>3.7783774324911721</v>
      </c>
      <c r="Q263" s="258">
        <f t="shared" ca="1" si="81"/>
        <v>74.342500000000001</v>
      </c>
      <c r="R263" s="265">
        <f t="shared" si="82"/>
        <v>2.5249365671641786</v>
      </c>
      <c r="S263" s="265">
        <f t="shared" si="83"/>
        <v>1.500803571428571</v>
      </c>
      <c r="T263" s="265">
        <f t="shared" si="84"/>
        <v>0.82693877551020412</v>
      </c>
      <c r="U263" s="265">
        <f t="shared" ca="1" si="85"/>
        <v>79.195178914102954</v>
      </c>
      <c r="V263" s="265">
        <f t="shared" ca="1" si="86"/>
        <v>2.3620378045055341</v>
      </c>
      <c r="W263" s="258">
        <f t="shared" ca="1" si="87"/>
        <v>18.274500000000003</v>
      </c>
      <c r="X263" s="265">
        <f t="shared" si="88"/>
        <v>2.5249365671641786</v>
      </c>
      <c r="Y263" s="265">
        <f t="shared" si="89"/>
        <v>1.500803571428571</v>
      </c>
      <c r="Z263" s="265">
        <f t="shared" si="90"/>
        <v>0.82693877551020412</v>
      </c>
      <c r="AA263" s="265">
        <f t="shared" ca="1" si="91"/>
        <v>23.127178914102956</v>
      </c>
      <c r="AB263" s="265">
        <f t="shared" ca="1" si="92"/>
        <v>0.68978025753214756</v>
      </c>
      <c r="AC263" s="258"/>
      <c r="AD263" s="258"/>
      <c r="AE263" s="258"/>
      <c r="AF263" s="258"/>
      <c r="AG263" s="258"/>
      <c r="AH263" s="258"/>
      <c r="AI263" s="258"/>
      <c r="AJ263" s="258"/>
      <c r="AK263" s="258"/>
      <c r="AL263" s="258"/>
      <c r="AM263" s="258"/>
    </row>
    <row r="264" spans="3:39" x14ac:dyDescent="0.25">
      <c r="C264" s="255" t="s">
        <v>6197</v>
      </c>
      <c r="D264" s="255">
        <v>3.14</v>
      </c>
      <c r="E264" s="268">
        <v>0.11600000000000001</v>
      </c>
      <c r="F264" s="266">
        <f t="shared" si="93"/>
        <v>36.942675159235669</v>
      </c>
      <c r="G264" s="266">
        <f t="shared" si="71"/>
        <v>27.068965517241381</v>
      </c>
      <c r="H264" s="265">
        <f t="shared" si="72"/>
        <v>0.35758706467661688</v>
      </c>
      <c r="I264" s="265">
        <f t="shared" si="73"/>
        <v>0.2790178571428571</v>
      </c>
      <c r="J264" s="265">
        <f t="shared" si="74"/>
        <v>0.14172335600907029</v>
      </c>
      <c r="K264" s="258">
        <f t="shared" ca="1" si="75"/>
        <v>100.69655172413795</v>
      </c>
      <c r="L264" s="265">
        <f t="shared" si="76"/>
        <v>2.5249365671641786</v>
      </c>
      <c r="M264" s="265">
        <f t="shared" si="77"/>
        <v>1.500803571428571</v>
      </c>
      <c r="N264" s="265">
        <f t="shared" si="78"/>
        <v>0.82693877551020412</v>
      </c>
      <c r="O264" s="265">
        <f t="shared" ca="1" si="79"/>
        <v>105.5492306382409</v>
      </c>
      <c r="P264" s="265">
        <f t="shared" ca="1" si="80"/>
        <v>3.7902868197888333</v>
      </c>
      <c r="Q264" s="258">
        <f t="shared" ca="1" si="81"/>
        <v>61.446551724137933</v>
      </c>
      <c r="R264" s="265">
        <f t="shared" si="82"/>
        <v>2.5249365671641786</v>
      </c>
      <c r="S264" s="265">
        <f t="shared" si="83"/>
        <v>1.500803571428571</v>
      </c>
      <c r="T264" s="265">
        <f t="shared" si="84"/>
        <v>0.82693877551020412</v>
      </c>
      <c r="U264" s="265">
        <f t="shared" ca="1" si="85"/>
        <v>66.299230638240886</v>
      </c>
      <c r="V264" s="265">
        <f t="shared" ca="1" si="86"/>
        <v>2.3808141331844057</v>
      </c>
      <c r="W264" s="258">
        <f t="shared" ca="1" si="87"/>
        <v>15.104482758620692</v>
      </c>
      <c r="X264" s="265">
        <f t="shared" si="88"/>
        <v>2.5249365671641786</v>
      </c>
      <c r="Y264" s="265">
        <f t="shared" si="89"/>
        <v>1.500803571428571</v>
      </c>
      <c r="Z264" s="265">
        <f t="shared" si="90"/>
        <v>0.82693877551020412</v>
      </c>
      <c r="AA264" s="265">
        <f t="shared" ca="1" si="91"/>
        <v>19.957161672723643</v>
      </c>
      <c r="AB264" s="265">
        <f t="shared" ca="1" si="92"/>
        <v>0.71666431286248899</v>
      </c>
      <c r="AC264" s="258"/>
      <c r="AD264" s="258"/>
      <c r="AE264" s="258"/>
      <c r="AF264" s="258"/>
      <c r="AG264" s="258"/>
      <c r="AH264" s="258"/>
      <c r="AI264" s="258"/>
      <c r="AJ264" s="258"/>
      <c r="AK264" s="258"/>
      <c r="AL264" s="258"/>
      <c r="AM264" s="258"/>
    </row>
    <row r="265" spans="3:39" x14ac:dyDescent="0.25">
      <c r="C265" s="255" t="s">
        <v>6198</v>
      </c>
      <c r="D265" s="255">
        <v>2.36</v>
      </c>
      <c r="E265" s="268">
        <v>0.112</v>
      </c>
      <c r="F265" s="266">
        <f t="shared" si="93"/>
        <v>47.457627118644069</v>
      </c>
      <c r="G265" s="266">
        <f t="shared" si="71"/>
        <v>21.071428571428569</v>
      </c>
      <c r="H265" s="265">
        <f t="shared" si="72"/>
        <v>0.35758706467661688</v>
      </c>
      <c r="I265" s="265">
        <f t="shared" si="73"/>
        <v>0.2790178571428571</v>
      </c>
      <c r="J265" s="265">
        <f t="shared" si="74"/>
        <v>0.14172335600907029</v>
      </c>
      <c r="K265" s="258">
        <f t="shared" ca="1" si="75"/>
        <v>78.385714285714286</v>
      </c>
      <c r="L265" s="265">
        <f t="shared" si="76"/>
        <v>2.5249365671641786</v>
      </c>
      <c r="M265" s="265">
        <f t="shared" si="77"/>
        <v>1.500803571428571</v>
      </c>
      <c r="N265" s="265">
        <f t="shared" si="78"/>
        <v>0.82693877551020412</v>
      </c>
      <c r="O265" s="265">
        <f t="shared" ca="1" si="79"/>
        <v>83.238393199817239</v>
      </c>
      <c r="P265" s="265">
        <f t="shared" ca="1" si="80"/>
        <v>3.8095798399077982</v>
      </c>
      <c r="Q265" s="258">
        <f t="shared" ca="1" si="81"/>
        <v>47.832142857142856</v>
      </c>
      <c r="R265" s="265">
        <f t="shared" si="82"/>
        <v>2.5249365671641786</v>
      </c>
      <c r="S265" s="265">
        <f t="shared" si="83"/>
        <v>1.500803571428571</v>
      </c>
      <c r="T265" s="265">
        <f t="shared" si="84"/>
        <v>0.82693877551020412</v>
      </c>
      <c r="U265" s="265">
        <f t="shared" ca="1" si="85"/>
        <v>52.684821771245808</v>
      </c>
      <c r="V265" s="265">
        <f t="shared" ca="1" si="86"/>
        <v>2.4112314903420571</v>
      </c>
      <c r="W265" s="258">
        <f t="shared" ca="1" si="87"/>
        <v>11.757857142857143</v>
      </c>
      <c r="X265" s="265">
        <f t="shared" si="88"/>
        <v>2.5249365671641786</v>
      </c>
      <c r="Y265" s="265">
        <f t="shared" si="89"/>
        <v>1.500803571428571</v>
      </c>
      <c r="Z265" s="265">
        <f t="shared" si="90"/>
        <v>0.82693877551020412</v>
      </c>
      <c r="AA265" s="265">
        <f t="shared" ca="1" si="91"/>
        <v>16.610536056960097</v>
      </c>
      <c r="AB265" s="265">
        <f t="shared" ca="1" si="92"/>
        <v>0.76021605968236894</v>
      </c>
      <c r="AC265" s="258"/>
      <c r="AD265" s="258"/>
      <c r="AE265" s="258"/>
      <c r="AF265" s="258"/>
      <c r="AG265" s="258"/>
      <c r="AH265" s="258"/>
      <c r="AI265" s="258"/>
      <c r="AJ265" s="258"/>
      <c r="AK265" s="258"/>
      <c r="AL265" s="258"/>
      <c r="AM265" s="258"/>
    </row>
    <row r="266" spans="3:39" x14ac:dyDescent="0.25">
      <c r="C266" s="255" t="s">
        <v>6199</v>
      </c>
      <c r="D266" s="255">
        <v>1.96</v>
      </c>
      <c r="E266" s="268">
        <v>0.11</v>
      </c>
      <c r="F266" s="266">
        <f t="shared" si="93"/>
        <v>56.122448979591837</v>
      </c>
      <c r="G266" s="266">
        <f t="shared" si="71"/>
        <v>17.818181818181817</v>
      </c>
      <c r="H266" s="265">
        <f t="shared" si="72"/>
        <v>0.35758706467661688</v>
      </c>
      <c r="I266" s="265">
        <f t="shared" si="73"/>
        <v>0.2790178571428571</v>
      </c>
      <c r="J266" s="265">
        <f t="shared" si="74"/>
        <v>0.14172335600907029</v>
      </c>
      <c r="K266" s="258">
        <f t="shared" ca="1" si="75"/>
        <v>66.283636363636361</v>
      </c>
      <c r="L266" s="265">
        <f t="shared" si="76"/>
        <v>2.5249365671641786</v>
      </c>
      <c r="M266" s="265">
        <f t="shared" si="77"/>
        <v>1.500803571428571</v>
      </c>
      <c r="N266" s="265">
        <f t="shared" si="78"/>
        <v>0.82693877551020412</v>
      </c>
      <c r="O266" s="265">
        <f t="shared" ca="1" si="79"/>
        <v>71.136315277739314</v>
      </c>
      <c r="P266" s="265">
        <f t="shared" ca="1" si="80"/>
        <v>3.8252508083761736</v>
      </c>
      <c r="Q266" s="258">
        <f t="shared" ca="1" si="81"/>
        <v>40.447272727272725</v>
      </c>
      <c r="R266" s="265">
        <f t="shared" si="82"/>
        <v>2.5249365671641786</v>
      </c>
      <c r="S266" s="265">
        <f t="shared" si="83"/>
        <v>1.500803571428571</v>
      </c>
      <c r="T266" s="265">
        <f t="shared" si="84"/>
        <v>0.82693877551020412</v>
      </c>
      <c r="U266" s="265">
        <f t="shared" ca="1" si="85"/>
        <v>45.299951641375678</v>
      </c>
      <c r="V266" s="265">
        <f t="shared" ca="1" si="86"/>
        <v>2.4359383243146353</v>
      </c>
      <c r="W266" s="258">
        <f t="shared" ca="1" si="87"/>
        <v>9.9425454545454546</v>
      </c>
      <c r="X266" s="265">
        <f t="shared" si="88"/>
        <v>2.5249365671641786</v>
      </c>
      <c r="Y266" s="265">
        <f t="shared" si="89"/>
        <v>1.500803571428571</v>
      </c>
      <c r="Z266" s="265">
        <f t="shared" si="90"/>
        <v>0.82693877551020412</v>
      </c>
      <c r="AA266" s="265">
        <f t="shared" ca="1" si="91"/>
        <v>14.795224368648409</v>
      </c>
      <c r="AB266" s="265">
        <f t="shared" ca="1" si="92"/>
        <v>0.79559144658128789</v>
      </c>
      <c r="AC266" s="258"/>
      <c r="AD266" s="258"/>
      <c r="AE266" s="258"/>
      <c r="AF266" s="258"/>
      <c r="AG266" s="258"/>
      <c r="AH266" s="258"/>
      <c r="AI266" s="258"/>
      <c r="AJ266" s="258"/>
      <c r="AK266" s="258"/>
      <c r="AL266" s="258"/>
      <c r="AM266" s="258"/>
    </row>
    <row r="267" spans="3:39" x14ac:dyDescent="0.25">
      <c r="C267" s="255" t="s">
        <v>6200</v>
      </c>
      <c r="D267" s="255">
        <v>6.28</v>
      </c>
      <c r="E267" s="268">
        <v>0.12</v>
      </c>
      <c r="F267" s="266">
        <f t="shared" si="93"/>
        <v>19.108280254777068</v>
      </c>
      <c r="G267" s="266">
        <f t="shared" si="71"/>
        <v>52.333333333333336</v>
      </c>
      <c r="H267" s="265">
        <f t="shared" si="72"/>
        <v>0.35758706467661688</v>
      </c>
      <c r="I267" s="265">
        <f t="shared" si="73"/>
        <v>0.2790178571428571</v>
      </c>
      <c r="J267" s="265">
        <f t="shared" si="74"/>
        <v>0.14172335600907029</v>
      </c>
      <c r="K267" s="258">
        <f t="shared" ca="1" si="75"/>
        <v>194.68</v>
      </c>
      <c r="L267" s="265">
        <f t="shared" si="76"/>
        <v>2.5249365671641786</v>
      </c>
      <c r="M267" s="265">
        <f t="shared" si="77"/>
        <v>1.500803571428571</v>
      </c>
      <c r="N267" s="265">
        <f t="shared" si="78"/>
        <v>0.82693877551020412</v>
      </c>
      <c r="O267" s="265">
        <f t="shared" ca="1" si="79"/>
        <v>199.53267891410297</v>
      </c>
      <c r="P267" s="265">
        <f t="shared" ca="1" si="80"/>
        <v>3.7568525039738061</v>
      </c>
      <c r="Q267" s="258">
        <f t="shared" ca="1" si="81"/>
        <v>118.79666666666667</v>
      </c>
      <c r="R267" s="265">
        <f t="shared" si="82"/>
        <v>2.5249365671641786</v>
      </c>
      <c r="S267" s="265">
        <f t="shared" si="83"/>
        <v>1.500803571428571</v>
      </c>
      <c r="T267" s="265">
        <f t="shared" si="84"/>
        <v>0.82693877551020412</v>
      </c>
      <c r="U267" s="265">
        <f t="shared" ca="1" si="85"/>
        <v>123.64934558076962</v>
      </c>
      <c r="V267" s="265">
        <f t="shared" ca="1" si="86"/>
        <v>2.3281016226911575</v>
      </c>
      <c r="W267" s="258">
        <f t="shared" ca="1" si="87"/>
        <v>29.202000000000005</v>
      </c>
      <c r="X267" s="265">
        <f t="shared" si="88"/>
        <v>2.5249365671641786</v>
      </c>
      <c r="Y267" s="265">
        <f t="shared" si="89"/>
        <v>1.500803571428571</v>
      </c>
      <c r="Z267" s="265">
        <f t="shared" si="90"/>
        <v>0.82693877551020412</v>
      </c>
      <c r="AA267" s="265">
        <f t="shared" ca="1" si="91"/>
        <v>34.054678914102965</v>
      </c>
      <c r="AB267" s="265">
        <f t="shared" ca="1" si="92"/>
        <v>0.64119023734226532</v>
      </c>
      <c r="AC267" s="258"/>
      <c r="AD267" s="258"/>
      <c r="AE267" s="258"/>
      <c r="AF267" s="258"/>
      <c r="AG267" s="258"/>
      <c r="AH267" s="258"/>
      <c r="AI267" s="258"/>
      <c r="AJ267" s="258"/>
      <c r="AK267" s="258"/>
      <c r="AL267" s="258"/>
      <c r="AM267" s="258"/>
    </row>
    <row r="268" spans="3:39" x14ac:dyDescent="0.25">
      <c r="C268" s="255" t="s">
        <v>6201</v>
      </c>
      <c r="D268" s="255">
        <v>5.0199999999999996</v>
      </c>
      <c r="E268" s="268">
        <v>0.112</v>
      </c>
      <c r="F268" s="266">
        <f t="shared" si="93"/>
        <v>22.310756972111555</v>
      </c>
      <c r="G268" s="266">
        <f t="shared" si="71"/>
        <v>44.821428571428569</v>
      </c>
      <c r="H268" s="265">
        <f t="shared" si="72"/>
        <v>0.35758706467661688</v>
      </c>
      <c r="I268" s="265">
        <f t="shared" si="73"/>
        <v>0.2790178571428571</v>
      </c>
      <c r="J268" s="265">
        <f t="shared" si="74"/>
        <v>0.14172335600907029</v>
      </c>
      <c r="K268" s="258">
        <f t="shared" ca="1" si="75"/>
        <v>166.73571428571429</v>
      </c>
      <c r="L268" s="265">
        <f t="shared" si="76"/>
        <v>2.5249365671641786</v>
      </c>
      <c r="M268" s="265">
        <f t="shared" si="77"/>
        <v>1.500803571428571</v>
      </c>
      <c r="N268" s="265">
        <f t="shared" si="78"/>
        <v>0.82693877551020412</v>
      </c>
      <c r="O268" s="265">
        <f t="shared" ca="1" si="79"/>
        <v>171.58839319981726</v>
      </c>
      <c r="P268" s="265">
        <f t="shared" ca="1" si="80"/>
        <v>3.7629234245053369</v>
      </c>
      <c r="Q268" s="258">
        <f t="shared" ca="1" si="81"/>
        <v>101.74464285714285</v>
      </c>
      <c r="R268" s="265">
        <f t="shared" si="82"/>
        <v>2.5249365671641786</v>
      </c>
      <c r="S268" s="265">
        <f t="shared" si="83"/>
        <v>1.500803571428571</v>
      </c>
      <c r="T268" s="265">
        <f t="shared" si="84"/>
        <v>0.82693877551020412</v>
      </c>
      <c r="U268" s="265">
        <f t="shared" ca="1" si="85"/>
        <v>106.5973217712458</v>
      </c>
      <c r="V268" s="265">
        <f t="shared" ca="1" si="86"/>
        <v>2.3376730302232396</v>
      </c>
      <c r="W268" s="258">
        <f t="shared" ca="1" si="87"/>
        <v>25.010357142857146</v>
      </c>
      <c r="X268" s="265">
        <f t="shared" si="88"/>
        <v>2.5249365671641786</v>
      </c>
      <c r="Y268" s="265">
        <f t="shared" si="89"/>
        <v>1.500803571428571</v>
      </c>
      <c r="Z268" s="265">
        <f t="shared" si="90"/>
        <v>0.82693877551020412</v>
      </c>
      <c r="AA268" s="265">
        <f t="shared" ca="1" si="91"/>
        <v>29.863036056960098</v>
      </c>
      <c r="AB268" s="265">
        <f t="shared" ca="1" si="92"/>
        <v>0.65489463366396461</v>
      </c>
      <c r="AC268" s="258"/>
      <c r="AD268" s="258"/>
      <c r="AE268" s="258"/>
      <c r="AF268" s="258"/>
      <c r="AG268" s="258"/>
      <c r="AH268" s="258"/>
      <c r="AI268" s="258"/>
      <c r="AJ268" s="258"/>
      <c r="AK268" s="258"/>
      <c r="AL268" s="258"/>
      <c r="AM268" s="258"/>
    </row>
    <row r="269" spans="3:39" x14ac:dyDescent="0.25">
      <c r="C269" s="255" t="s">
        <v>6202</v>
      </c>
      <c r="D269" s="255">
        <v>3.77</v>
      </c>
      <c r="E269" s="268">
        <v>0.104</v>
      </c>
      <c r="F269" s="266">
        <f t="shared" si="93"/>
        <v>27.586206896551722</v>
      </c>
      <c r="G269" s="266">
        <f t="shared" si="71"/>
        <v>36.25</v>
      </c>
      <c r="H269" s="265">
        <f t="shared" si="72"/>
        <v>0.35758706467661688</v>
      </c>
      <c r="I269" s="265">
        <f t="shared" si="73"/>
        <v>0.2790178571428571</v>
      </c>
      <c r="J269" s="265">
        <f t="shared" si="74"/>
        <v>0.14172335600907029</v>
      </c>
      <c r="K269" s="258">
        <f t="shared" ca="1" si="75"/>
        <v>134.85</v>
      </c>
      <c r="L269" s="265">
        <f t="shared" si="76"/>
        <v>2.5249365671641786</v>
      </c>
      <c r="M269" s="265">
        <f t="shared" si="77"/>
        <v>1.500803571428571</v>
      </c>
      <c r="N269" s="265">
        <f t="shared" si="78"/>
        <v>0.82693877551020412</v>
      </c>
      <c r="O269" s="265">
        <f t="shared" ca="1" si="79"/>
        <v>139.70267891410296</v>
      </c>
      <c r="P269" s="265">
        <f t="shared" ca="1" si="80"/>
        <v>3.7728594676458229</v>
      </c>
      <c r="Q269" s="258">
        <f t="shared" ca="1" si="81"/>
        <v>82.287499999999994</v>
      </c>
      <c r="R269" s="265">
        <f t="shared" si="82"/>
        <v>2.5249365671641786</v>
      </c>
      <c r="S269" s="265">
        <f t="shared" si="83"/>
        <v>1.500803571428571</v>
      </c>
      <c r="T269" s="265">
        <f t="shared" si="84"/>
        <v>0.82693877551020412</v>
      </c>
      <c r="U269" s="265">
        <f t="shared" ca="1" si="85"/>
        <v>87.140178914102947</v>
      </c>
      <c r="V269" s="265">
        <f t="shared" ca="1" si="86"/>
        <v>2.353338186382016</v>
      </c>
      <c r="W269" s="258">
        <f t="shared" ca="1" si="87"/>
        <v>20.227500000000003</v>
      </c>
      <c r="X269" s="265">
        <f t="shared" si="88"/>
        <v>2.5249365671641786</v>
      </c>
      <c r="Y269" s="265">
        <f t="shared" si="89"/>
        <v>1.500803571428571</v>
      </c>
      <c r="Z269" s="265">
        <f t="shared" si="90"/>
        <v>0.82693877551020412</v>
      </c>
      <c r="AA269" s="265">
        <f t="shared" ca="1" si="91"/>
        <v>25.080178914102955</v>
      </c>
      <c r="AB269" s="265">
        <f t="shared" ca="1" si="92"/>
        <v>0.67732409429675</v>
      </c>
      <c r="AC269" s="258"/>
      <c r="AD269" s="258"/>
      <c r="AE269" s="258"/>
      <c r="AF269" s="258"/>
      <c r="AG269" s="258"/>
      <c r="AH269" s="258"/>
      <c r="AI269" s="258"/>
      <c r="AJ269" s="258"/>
      <c r="AK269" s="258"/>
      <c r="AL269" s="258"/>
      <c r="AM269" s="258"/>
    </row>
    <row r="270" spans="3:39" x14ac:dyDescent="0.25">
      <c r="C270" s="255" t="s">
        <v>6203</v>
      </c>
      <c r="D270" s="255">
        <v>3.14</v>
      </c>
      <c r="E270" s="268">
        <v>0.1</v>
      </c>
      <c r="F270" s="266">
        <f t="shared" si="93"/>
        <v>31.847133757961782</v>
      </c>
      <c r="G270" s="266">
        <f t="shared" si="71"/>
        <v>31.4</v>
      </c>
      <c r="H270" s="265">
        <f t="shared" si="72"/>
        <v>0.35758706467661688</v>
      </c>
      <c r="I270" s="265">
        <f t="shared" si="73"/>
        <v>0.2790178571428571</v>
      </c>
      <c r="J270" s="265">
        <f t="shared" si="74"/>
        <v>0.14172335600907029</v>
      </c>
      <c r="K270" s="258">
        <f t="shared" ca="1" si="75"/>
        <v>116.80800000000001</v>
      </c>
      <c r="L270" s="265">
        <f t="shared" si="76"/>
        <v>2.5249365671641786</v>
      </c>
      <c r="M270" s="265">
        <f t="shared" si="77"/>
        <v>1.500803571428571</v>
      </c>
      <c r="N270" s="265">
        <f t="shared" si="78"/>
        <v>0.82693877551020412</v>
      </c>
      <c r="O270" s="265">
        <f t="shared" ca="1" si="79"/>
        <v>121.66067891410296</v>
      </c>
      <c r="P270" s="265">
        <f t="shared" ca="1" si="80"/>
        <v>3.7808265819057287</v>
      </c>
      <c r="Q270" s="258">
        <f t="shared" ca="1" si="81"/>
        <v>71.277999999999992</v>
      </c>
      <c r="R270" s="265">
        <f t="shared" si="82"/>
        <v>2.5249365671641786</v>
      </c>
      <c r="S270" s="265">
        <f t="shared" si="83"/>
        <v>1.500803571428571</v>
      </c>
      <c r="T270" s="265">
        <f t="shared" si="84"/>
        <v>0.82693877551020412</v>
      </c>
      <c r="U270" s="265">
        <f t="shared" ca="1" si="85"/>
        <v>76.130678914102944</v>
      </c>
      <c r="V270" s="265">
        <f t="shared" ca="1" si="86"/>
        <v>2.3658991311415751</v>
      </c>
      <c r="W270" s="258">
        <f t="shared" ca="1" si="87"/>
        <v>17.5212</v>
      </c>
      <c r="X270" s="265">
        <f t="shared" si="88"/>
        <v>2.5249365671641786</v>
      </c>
      <c r="Y270" s="265">
        <f t="shared" si="89"/>
        <v>1.500803571428571</v>
      </c>
      <c r="Z270" s="265">
        <f t="shared" si="90"/>
        <v>0.82693877551020412</v>
      </c>
      <c r="AA270" s="265">
        <f t="shared" ca="1" si="91"/>
        <v>22.373878914102953</v>
      </c>
      <c r="AB270" s="265">
        <f t="shared" ca="1" si="92"/>
        <v>0.69530892720486548</v>
      </c>
      <c r="AC270" s="258"/>
      <c r="AD270" s="258"/>
      <c r="AE270" s="258"/>
      <c r="AF270" s="258"/>
      <c r="AG270" s="258"/>
      <c r="AH270" s="258"/>
      <c r="AI270" s="258"/>
      <c r="AJ270" s="258"/>
      <c r="AK270" s="258"/>
      <c r="AL270" s="258"/>
      <c r="AM270" s="258"/>
    </row>
    <row r="271" spans="3:39" x14ac:dyDescent="0.25">
      <c r="C271" s="255" t="s">
        <v>6204</v>
      </c>
      <c r="D271" s="255">
        <v>2.5099999999999998</v>
      </c>
      <c r="E271" s="268">
        <v>9.6000000000000002E-2</v>
      </c>
      <c r="F271" s="266">
        <f t="shared" si="93"/>
        <v>38.247011952191237</v>
      </c>
      <c r="G271" s="266">
        <f t="shared" si="71"/>
        <v>26.145833333333332</v>
      </c>
      <c r="H271" s="265">
        <f t="shared" si="72"/>
        <v>0.35758706467661688</v>
      </c>
      <c r="I271" s="265">
        <f t="shared" si="73"/>
        <v>0.2790178571428571</v>
      </c>
      <c r="J271" s="265">
        <f t="shared" si="74"/>
        <v>0.14172335600907029</v>
      </c>
      <c r="K271" s="258">
        <f t="shared" ca="1" si="75"/>
        <v>97.262500000000003</v>
      </c>
      <c r="L271" s="265">
        <f t="shared" si="76"/>
        <v>2.5249365671641786</v>
      </c>
      <c r="M271" s="265">
        <f t="shared" si="77"/>
        <v>1.500803571428571</v>
      </c>
      <c r="N271" s="265">
        <f t="shared" si="78"/>
        <v>0.82693877551020412</v>
      </c>
      <c r="O271" s="265">
        <f t="shared" ca="1" si="79"/>
        <v>102.11517891410296</v>
      </c>
      <c r="P271" s="265">
        <f t="shared" ca="1" si="80"/>
        <v>3.7926967007867511</v>
      </c>
      <c r="Q271" s="258">
        <f t="shared" ca="1" si="81"/>
        <v>59.351041666666667</v>
      </c>
      <c r="R271" s="265">
        <f t="shared" si="82"/>
        <v>2.5249365671641786</v>
      </c>
      <c r="S271" s="265">
        <f t="shared" si="83"/>
        <v>1.500803571428571</v>
      </c>
      <c r="T271" s="265">
        <f t="shared" si="84"/>
        <v>0.82693877551020412</v>
      </c>
      <c r="U271" s="265">
        <f t="shared" ca="1" si="85"/>
        <v>64.203720580769613</v>
      </c>
      <c r="V271" s="265">
        <f t="shared" ca="1" si="86"/>
        <v>2.3846135492721467</v>
      </c>
      <c r="W271" s="258">
        <f t="shared" ca="1" si="87"/>
        <v>14.589375</v>
      </c>
      <c r="X271" s="265">
        <f t="shared" si="88"/>
        <v>2.5249365671641786</v>
      </c>
      <c r="Y271" s="265">
        <f t="shared" si="89"/>
        <v>1.500803571428571</v>
      </c>
      <c r="Z271" s="265">
        <f t="shared" si="90"/>
        <v>0.82693877551020412</v>
      </c>
      <c r="AA271" s="265">
        <f t="shared" ca="1" si="91"/>
        <v>19.442053914102953</v>
      </c>
      <c r="AB271" s="265">
        <f t="shared" ca="1" si="92"/>
        <v>0.72210433865628376</v>
      </c>
      <c r="AC271" s="258"/>
      <c r="AD271" s="258"/>
      <c r="AE271" s="258"/>
      <c r="AF271" s="258"/>
      <c r="AG271" s="258"/>
      <c r="AH271" s="258"/>
      <c r="AI271" s="258"/>
      <c r="AJ271" s="258"/>
      <c r="AK271" s="258"/>
      <c r="AL271" s="258"/>
      <c r="AM271" s="258"/>
    </row>
    <row r="272" spans="3:39" x14ac:dyDescent="0.25">
      <c r="C272" s="255" t="s">
        <v>6205</v>
      </c>
      <c r="D272" s="255">
        <v>1.88</v>
      </c>
      <c r="E272" s="268">
        <v>9.1999999999999998E-2</v>
      </c>
      <c r="F272" s="266">
        <f t="shared" si="93"/>
        <v>48.936170212765958</v>
      </c>
      <c r="G272" s="266">
        <f t="shared" si="71"/>
        <v>20.434782608695652</v>
      </c>
      <c r="H272" s="265">
        <f t="shared" si="72"/>
        <v>0.35758706467661688</v>
      </c>
      <c r="I272" s="265">
        <f t="shared" si="73"/>
        <v>0.2790178571428571</v>
      </c>
      <c r="J272" s="265">
        <f t="shared" si="74"/>
        <v>0.14172335600907029</v>
      </c>
      <c r="K272" s="258">
        <f t="shared" ca="1" si="75"/>
        <v>76.017391304347825</v>
      </c>
      <c r="L272" s="265">
        <f t="shared" si="76"/>
        <v>2.5249365671641786</v>
      </c>
      <c r="M272" s="265">
        <f t="shared" si="77"/>
        <v>1.500803571428571</v>
      </c>
      <c r="N272" s="265">
        <f t="shared" si="78"/>
        <v>0.82693877551020412</v>
      </c>
      <c r="O272" s="265">
        <f t="shared" ca="1" si="79"/>
        <v>80.870070218450778</v>
      </c>
      <c r="P272" s="265">
        <f t="shared" ca="1" si="80"/>
        <v>3.8122683019501937</v>
      </c>
      <c r="Q272" s="258">
        <f t="shared" ca="1" si="81"/>
        <v>46.38695652173913</v>
      </c>
      <c r="R272" s="265">
        <f t="shared" si="82"/>
        <v>2.5249365671641786</v>
      </c>
      <c r="S272" s="265">
        <f t="shared" si="83"/>
        <v>1.500803571428571</v>
      </c>
      <c r="T272" s="265">
        <f t="shared" si="84"/>
        <v>0.82693877551020412</v>
      </c>
      <c r="U272" s="265">
        <f t="shared" ca="1" si="85"/>
        <v>51.239635435842082</v>
      </c>
      <c r="V272" s="265">
        <f t="shared" ca="1" si="86"/>
        <v>2.4154701170393862</v>
      </c>
      <c r="W272" s="258">
        <f t="shared" ca="1" si="87"/>
        <v>11.402608695652175</v>
      </c>
      <c r="X272" s="265">
        <f t="shared" si="88"/>
        <v>2.5249365671641786</v>
      </c>
      <c r="Y272" s="265">
        <f t="shared" si="89"/>
        <v>1.500803571428571</v>
      </c>
      <c r="Z272" s="265">
        <f t="shared" si="90"/>
        <v>0.82693877551020412</v>
      </c>
      <c r="AA272" s="265">
        <f t="shared" ca="1" si="91"/>
        <v>16.255287609755129</v>
      </c>
      <c r="AB272" s="265">
        <f t="shared" ca="1" si="92"/>
        <v>0.76628494975159123</v>
      </c>
      <c r="AC272" s="258"/>
      <c r="AD272" s="258"/>
      <c r="AE272" s="258"/>
      <c r="AF272" s="258"/>
      <c r="AG272" s="258"/>
      <c r="AH272" s="258"/>
      <c r="AI272" s="258"/>
      <c r="AJ272" s="258"/>
      <c r="AK272" s="258"/>
      <c r="AL272" s="258"/>
      <c r="AM272" s="258"/>
    </row>
    <row r="273" spans="3:39" x14ac:dyDescent="0.25">
      <c r="C273" s="255" t="s">
        <v>6206</v>
      </c>
      <c r="D273" s="255">
        <v>1.57</v>
      </c>
      <c r="E273" s="268">
        <v>0.09</v>
      </c>
      <c r="F273" s="266">
        <f t="shared" si="93"/>
        <v>57.324840764331206</v>
      </c>
      <c r="G273" s="266">
        <f t="shared" si="71"/>
        <v>17.444444444444446</v>
      </c>
      <c r="H273" s="265">
        <f t="shared" si="72"/>
        <v>0.35758706467661688</v>
      </c>
      <c r="I273" s="265">
        <f t="shared" si="73"/>
        <v>0.2790178571428571</v>
      </c>
      <c r="J273" s="265">
        <f t="shared" si="74"/>
        <v>0.14172335600907029</v>
      </c>
      <c r="K273" s="258">
        <f t="shared" ca="1" si="75"/>
        <v>64.893333333333345</v>
      </c>
      <c r="L273" s="265">
        <f t="shared" si="76"/>
        <v>2.5249365671641786</v>
      </c>
      <c r="M273" s="265">
        <f t="shared" si="77"/>
        <v>1.500803571428571</v>
      </c>
      <c r="N273" s="265">
        <f t="shared" si="78"/>
        <v>0.82693877551020412</v>
      </c>
      <c r="O273" s="265">
        <f t="shared" ca="1" si="79"/>
        <v>69.746012247436298</v>
      </c>
      <c r="P273" s="265">
        <f t="shared" ca="1" si="80"/>
        <v>3.8274094349093448</v>
      </c>
      <c r="Q273" s="258">
        <f t="shared" ca="1" si="81"/>
        <v>39.598888888888894</v>
      </c>
      <c r="R273" s="265">
        <f t="shared" si="82"/>
        <v>2.5249365671641786</v>
      </c>
      <c r="S273" s="265">
        <f t="shared" si="83"/>
        <v>1.500803571428571</v>
      </c>
      <c r="T273" s="265">
        <f t="shared" si="84"/>
        <v>0.82693877551020412</v>
      </c>
      <c r="U273" s="265">
        <f t="shared" ca="1" si="85"/>
        <v>44.451567802991846</v>
      </c>
      <c r="V273" s="265">
        <f t="shared" ca="1" si="86"/>
        <v>2.439341612852385</v>
      </c>
      <c r="W273" s="258">
        <f t="shared" ca="1" si="87"/>
        <v>9.7340000000000018</v>
      </c>
      <c r="X273" s="265">
        <f t="shared" si="88"/>
        <v>2.5249365671641786</v>
      </c>
      <c r="Y273" s="265">
        <f t="shared" si="89"/>
        <v>1.500803571428571</v>
      </c>
      <c r="Z273" s="265">
        <f t="shared" si="90"/>
        <v>0.82693877551020412</v>
      </c>
      <c r="AA273" s="265">
        <f t="shared" ca="1" si="91"/>
        <v>14.586678914102956</v>
      </c>
      <c r="AB273" s="265">
        <f t="shared" ca="1" si="92"/>
        <v>0.80046429467202984</v>
      </c>
      <c r="AC273" s="258"/>
      <c r="AD273" s="258"/>
      <c r="AE273" s="258"/>
      <c r="AF273" s="258"/>
      <c r="AG273" s="258"/>
      <c r="AH273" s="258"/>
      <c r="AI273" s="258"/>
      <c r="AJ273" s="258"/>
      <c r="AK273" s="258"/>
      <c r="AL273" s="258"/>
      <c r="AM273" s="258"/>
    </row>
    <row r="274" spans="3:39" x14ac:dyDescent="0.25">
      <c r="C274" s="255" t="s">
        <v>6207</v>
      </c>
      <c r="D274" s="255">
        <v>3.01</v>
      </c>
      <c r="E274" s="268">
        <v>8.7999999999999995E-2</v>
      </c>
      <c r="F274" s="266">
        <f t="shared" si="93"/>
        <v>29.2358803986711</v>
      </c>
      <c r="G274" s="266">
        <f t="shared" si="71"/>
        <v>34.204545454545453</v>
      </c>
      <c r="H274" s="265">
        <f t="shared" si="72"/>
        <v>0.35758706467661688</v>
      </c>
      <c r="I274" s="265">
        <f t="shared" si="73"/>
        <v>0.2790178571428571</v>
      </c>
      <c r="J274" s="265">
        <f t="shared" si="74"/>
        <v>0.14172335600907029</v>
      </c>
      <c r="K274" s="258">
        <f t="shared" ca="1" si="75"/>
        <v>127.2409090909091</v>
      </c>
      <c r="L274" s="265">
        <f t="shared" si="76"/>
        <v>2.5249365671641786</v>
      </c>
      <c r="M274" s="265">
        <f t="shared" si="77"/>
        <v>1.500803571428571</v>
      </c>
      <c r="N274" s="265">
        <f t="shared" si="78"/>
        <v>0.82693877551020412</v>
      </c>
      <c r="O274" s="265">
        <f t="shared" ca="1" si="79"/>
        <v>132.09358800501207</v>
      </c>
      <c r="P274" s="265">
        <f t="shared" ca="1" si="80"/>
        <v>3.7759501696617184</v>
      </c>
      <c r="Q274" s="258">
        <f t="shared" ca="1" si="81"/>
        <v>77.644318181818178</v>
      </c>
      <c r="R274" s="265">
        <f t="shared" si="82"/>
        <v>2.5249365671641786</v>
      </c>
      <c r="S274" s="265">
        <f t="shared" si="83"/>
        <v>1.500803571428571</v>
      </c>
      <c r="T274" s="265">
        <f t="shared" si="84"/>
        <v>0.82693877551020412</v>
      </c>
      <c r="U274" s="265">
        <f t="shared" ca="1" si="85"/>
        <v>82.496997095921131</v>
      </c>
      <c r="V274" s="265">
        <f t="shared" ca="1" si="86"/>
        <v>2.3582109842387369</v>
      </c>
      <c r="W274" s="258">
        <f t="shared" ca="1" si="87"/>
        <v>19.086136363636363</v>
      </c>
      <c r="X274" s="265">
        <f t="shared" si="88"/>
        <v>2.5249365671641786</v>
      </c>
      <c r="Y274" s="265">
        <f t="shared" si="89"/>
        <v>1.500803571428571</v>
      </c>
      <c r="Z274" s="265">
        <f t="shared" si="90"/>
        <v>0.82693877551020412</v>
      </c>
      <c r="AA274" s="265">
        <f t="shared" ca="1" si="91"/>
        <v>23.938815277739316</v>
      </c>
      <c r="AB274" s="265">
        <f t="shared" ca="1" si="92"/>
        <v>0.68430099427725855</v>
      </c>
      <c r="AC274" s="258"/>
      <c r="AD274" s="258"/>
      <c r="AE274" s="258"/>
      <c r="AF274" s="258"/>
      <c r="AG274" s="258"/>
      <c r="AH274" s="258"/>
      <c r="AI274" s="258"/>
      <c r="AJ274" s="258"/>
      <c r="AK274" s="258"/>
      <c r="AL274" s="258"/>
      <c r="AM274" s="258"/>
    </row>
    <row r="275" spans="3:39" x14ac:dyDescent="0.25">
      <c r="C275" s="255" t="s">
        <v>6208</v>
      </c>
      <c r="D275" s="255">
        <v>2.5099999999999998</v>
      </c>
      <c r="E275" s="268">
        <v>8.4000000000000005E-2</v>
      </c>
      <c r="F275" s="266">
        <f t="shared" si="93"/>
        <v>33.466135458167336</v>
      </c>
      <c r="G275" s="266">
        <f t="shared" si="71"/>
        <v>29.880952380952376</v>
      </c>
      <c r="H275" s="265">
        <f t="shared" si="72"/>
        <v>0.35758706467661688</v>
      </c>
      <c r="I275" s="265">
        <f t="shared" si="73"/>
        <v>0.2790178571428571</v>
      </c>
      <c r="J275" s="265">
        <f t="shared" si="74"/>
        <v>0.14172335600907029</v>
      </c>
      <c r="K275" s="258">
        <f t="shared" ca="1" si="75"/>
        <v>111.15714285714284</v>
      </c>
      <c r="L275" s="265">
        <f t="shared" si="76"/>
        <v>2.5249365671641786</v>
      </c>
      <c r="M275" s="265">
        <f t="shared" si="77"/>
        <v>1.500803571428571</v>
      </c>
      <c r="N275" s="265">
        <f t="shared" si="78"/>
        <v>0.82693877551020412</v>
      </c>
      <c r="O275" s="265">
        <f t="shared" ca="1" si="79"/>
        <v>116.0098217712458</v>
      </c>
      <c r="P275" s="265">
        <f t="shared" ca="1" si="80"/>
        <v>3.7838403014853577</v>
      </c>
      <c r="Q275" s="258">
        <f t="shared" ca="1" si="81"/>
        <v>67.829761904761895</v>
      </c>
      <c r="R275" s="265">
        <f t="shared" si="82"/>
        <v>2.5249365671641786</v>
      </c>
      <c r="S275" s="265">
        <f t="shared" si="83"/>
        <v>1.500803571428571</v>
      </c>
      <c r="T275" s="265">
        <f t="shared" si="84"/>
        <v>0.82693877551020412</v>
      </c>
      <c r="U275" s="265">
        <f t="shared" ca="1" si="85"/>
        <v>72.682440818864848</v>
      </c>
      <c r="V275" s="265">
        <f t="shared" ca="1" si="86"/>
        <v>2.3706505585625459</v>
      </c>
      <c r="W275" s="258">
        <f t="shared" ca="1" si="87"/>
        <v>16.673571428571428</v>
      </c>
      <c r="X275" s="265">
        <f t="shared" si="88"/>
        <v>2.5249365671641786</v>
      </c>
      <c r="Y275" s="265">
        <f t="shared" si="89"/>
        <v>1.500803571428571</v>
      </c>
      <c r="Z275" s="265">
        <f t="shared" si="90"/>
        <v>0.82693877551020412</v>
      </c>
      <c r="AA275" s="265">
        <f t="shared" ca="1" si="91"/>
        <v>21.526250342674381</v>
      </c>
      <c r="AB275" s="265">
        <f t="shared" ca="1" si="92"/>
        <v>0.70211204829781904</v>
      </c>
      <c r="AC275" s="258"/>
      <c r="AD275" s="258"/>
      <c r="AE275" s="258"/>
      <c r="AF275" s="258"/>
      <c r="AG275" s="258"/>
      <c r="AH275" s="258"/>
      <c r="AI275" s="258"/>
      <c r="AJ275" s="258"/>
      <c r="AK275" s="258"/>
      <c r="AL275" s="258"/>
      <c r="AM275" s="258"/>
    </row>
    <row r="276" spans="3:39" x14ac:dyDescent="0.25">
      <c r="C276" s="255" t="s">
        <v>6209</v>
      </c>
      <c r="D276" s="255">
        <v>2.0099999999999998</v>
      </c>
      <c r="E276" s="268">
        <v>0.08</v>
      </c>
      <c r="F276" s="266">
        <f t="shared" si="93"/>
        <v>39.800995024875625</v>
      </c>
      <c r="G276" s="266">
        <f t="shared" si="71"/>
        <v>25.124999999999996</v>
      </c>
      <c r="H276" s="265">
        <f t="shared" si="72"/>
        <v>0.35758706467661688</v>
      </c>
      <c r="I276" s="265">
        <f t="shared" si="73"/>
        <v>0.2790178571428571</v>
      </c>
      <c r="J276" s="265">
        <f t="shared" si="74"/>
        <v>0.14172335600907029</v>
      </c>
      <c r="K276" s="258">
        <f t="shared" ca="1" si="75"/>
        <v>93.464999999999989</v>
      </c>
      <c r="L276" s="265">
        <f t="shared" si="76"/>
        <v>2.5249365671641786</v>
      </c>
      <c r="M276" s="265">
        <f t="shared" si="77"/>
        <v>1.500803571428571</v>
      </c>
      <c r="N276" s="265">
        <f t="shared" si="78"/>
        <v>0.82693877551020412</v>
      </c>
      <c r="O276" s="265">
        <f t="shared" ca="1" si="79"/>
        <v>98.317678914102942</v>
      </c>
      <c r="P276" s="265">
        <f t="shared" ca="1" si="80"/>
        <v>3.7955616305205102</v>
      </c>
      <c r="Q276" s="258">
        <f t="shared" ca="1" si="81"/>
        <v>57.033749999999991</v>
      </c>
      <c r="R276" s="265">
        <f t="shared" si="82"/>
        <v>2.5249365671641786</v>
      </c>
      <c r="S276" s="265">
        <f t="shared" si="83"/>
        <v>1.500803571428571</v>
      </c>
      <c r="T276" s="265">
        <f t="shared" si="84"/>
        <v>0.82693877551020412</v>
      </c>
      <c r="U276" s="265">
        <f t="shared" ca="1" si="85"/>
        <v>61.886428914102943</v>
      </c>
      <c r="V276" s="265">
        <f t="shared" ca="1" si="86"/>
        <v>2.3891303947637281</v>
      </c>
      <c r="W276" s="258">
        <f t="shared" ca="1" si="87"/>
        <v>14.01975</v>
      </c>
      <c r="X276" s="265">
        <f t="shared" si="88"/>
        <v>2.5249365671641786</v>
      </c>
      <c r="Y276" s="265">
        <f t="shared" si="89"/>
        <v>1.500803571428571</v>
      </c>
      <c r="Z276" s="265">
        <f t="shared" si="90"/>
        <v>0.82693877551020412</v>
      </c>
      <c r="AA276" s="265">
        <f t="shared" ca="1" si="91"/>
        <v>18.872428914102951</v>
      </c>
      <c r="AB276" s="265">
        <f t="shared" ca="1" si="92"/>
        <v>0.72857158399434119</v>
      </c>
      <c r="AC276" s="258"/>
      <c r="AD276" s="258"/>
      <c r="AE276" s="258"/>
      <c r="AF276" s="258"/>
      <c r="AG276" s="258"/>
      <c r="AH276" s="258"/>
      <c r="AI276" s="258"/>
      <c r="AJ276" s="258"/>
      <c r="AK276" s="258"/>
      <c r="AL276" s="258"/>
      <c r="AM276" s="258"/>
    </row>
    <row r="277" spans="3:39" x14ac:dyDescent="0.25">
      <c r="C277" s="255" t="s">
        <v>6210</v>
      </c>
      <c r="D277" s="255">
        <v>1.51</v>
      </c>
      <c r="E277" s="268">
        <v>7.5999999999999998E-2</v>
      </c>
      <c r="F277" s="266">
        <f t="shared" si="93"/>
        <v>50.331125827814574</v>
      </c>
      <c r="G277" s="266">
        <f t="shared" si="71"/>
        <v>19.868421052631579</v>
      </c>
      <c r="H277" s="265">
        <f t="shared" si="72"/>
        <v>0.35758706467661688</v>
      </c>
      <c r="I277" s="265">
        <f t="shared" si="73"/>
        <v>0.2790178571428571</v>
      </c>
      <c r="J277" s="265">
        <f t="shared" si="74"/>
        <v>0.14172335600907029</v>
      </c>
      <c r="K277" s="258">
        <f t="shared" ca="1" si="75"/>
        <v>73.910526315789483</v>
      </c>
      <c r="L277" s="265">
        <f t="shared" si="76"/>
        <v>2.5249365671641786</v>
      </c>
      <c r="M277" s="265">
        <f t="shared" si="77"/>
        <v>1.500803571428571</v>
      </c>
      <c r="N277" s="265">
        <f t="shared" si="78"/>
        <v>0.82693877551020412</v>
      </c>
      <c r="O277" s="265">
        <f t="shared" ca="1" si="79"/>
        <v>78.763205229892435</v>
      </c>
      <c r="P277" s="265">
        <f t="shared" ca="1" si="80"/>
        <v>3.8147993163114142</v>
      </c>
      <c r="Q277" s="258">
        <f t="shared" ca="1" si="81"/>
        <v>45.101315789473681</v>
      </c>
      <c r="R277" s="265">
        <f t="shared" si="82"/>
        <v>2.5249365671641786</v>
      </c>
      <c r="S277" s="265">
        <f t="shared" si="83"/>
        <v>1.500803571428571</v>
      </c>
      <c r="T277" s="265">
        <f t="shared" si="84"/>
        <v>0.82693877551020412</v>
      </c>
      <c r="U277" s="265">
        <f t="shared" ca="1" si="85"/>
        <v>49.953994703576633</v>
      </c>
      <c r="V277" s="265">
        <f t="shared" ca="1" si="86"/>
        <v>2.4194605118724217</v>
      </c>
      <c r="W277" s="258">
        <f t="shared" ca="1" si="87"/>
        <v>11.086578947368421</v>
      </c>
      <c r="X277" s="265">
        <f t="shared" si="88"/>
        <v>2.5249365671641786</v>
      </c>
      <c r="Y277" s="265">
        <f t="shared" si="89"/>
        <v>1.500803571428571</v>
      </c>
      <c r="Z277" s="265">
        <f t="shared" si="90"/>
        <v>0.82693877551020412</v>
      </c>
      <c r="AA277" s="265">
        <f t="shared" ca="1" si="91"/>
        <v>15.939257861471376</v>
      </c>
      <c r="AB277" s="265">
        <f t="shared" ca="1" si="92"/>
        <v>0.77199842001066032</v>
      </c>
      <c r="AC277" s="258"/>
      <c r="AD277" s="258"/>
      <c r="AE277" s="258"/>
      <c r="AF277" s="258"/>
      <c r="AG277" s="258"/>
      <c r="AH277" s="258"/>
      <c r="AI277" s="258"/>
      <c r="AJ277" s="258"/>
      <c r="AK277" s="258"/>
      <c r="AL277" s="258"/>
      <c r="AM277" s="258"/>
    </row>
    <row r="278" spans="3:39" x14ac:dyDescent="0.25">
      <c r="C278" s="255" t="s">
        <v>6211</v>
      </c>
      <c r="D278" s="255">
        <v>1.26</v>
      </c>
      <c r="E278" s="268">
        <v>7.3999999999999996E-2</v>
      </c>
      <c r="F278" s="266">
        <f t="shared" si="93"/>
        <v>58.730158730158728</v>
      </c>
      <c r="G278" s="266">
        <f t="shared" si="71"/>
        <v>17.027027027027028</v>
      </c>
      <c r="H278" s="265">
        <f t="shared" si="72"/>
        <v>0.35758706467661688</v>
      </c>
      <c r="I278" s="265">
        <f t="shared" si="73"/>
        <v>0.2790178571428571</v>
      </c>
      <c r="J278" s="265">
        <f t="shared" si="74"/>
        <v>0.14172335600907029</v>
      </c>
      <c r="K278" s="258">
        <f t="shared" ca="1" si="75"/>
        <v>63.340540540540545</v>
      </c>
      <c r="L278" s="265">
        <f t="shared" si="76"/>
        <v>2.5249365671641786</v>
      </c>
      <c r="M278" s="265">
        <f t="shared" si="77"/>
        <v>1.500803571428571</v>
      </c>
      <c r="N278" s="265">
        <f t="shared" si="78"/>
        <v>0.82693877551020412</v>
      </c>
      <c r="O278" s="265">
        <f t="shared" ca="1" si="79"/>
        <v>68.193219454643497</v>
      </c>
      <c r="P278" s="265">
        <f t="shared" ca="1" si="80"/>
        <v>3.8299274733398327</v>
      </c>
      <c r="Q278" s="258">
        <f t="shared" ca="1" si="81"/>
        <v>38.651351351351352</v>
      </c>
      <c r="R278" s="265">
        <f t="shared" si="82"/>
        <v>2.5249365671641786</v>
      </c>
      <c r="S278" s="265">
        <f t="shared" si="83"/>
        <v>1.500803571428571</v>
      </c>
      <c r="T278" s="265">
        <f t="shared" si="84"/>
        <v>0.82693877551020412</v>
      </c>
      <c r="U278" s="265">
        <f t="shared" ca="1" si="85"/>
        <v>43.504030265454304</v>
      </c>
      <c r="V278" s="265">
        <f t="shared" ca="1" si="86"/>
        <v>2.4433115498453786</v>
      </c>
      <c r="W278" s="258">
        <f t="shared" ca="1" si="87"/>
        <v>9.5010810810810824</v>
      </c>
      <c r="X278" s="265">
        <f t="shared" si="88"/>
        <v>2.5249365671641786</v>
      </c>
      <c r="Y278" s="265">
        <f t="shared" si="89"/>
        <v>1.500803571428571</v>
      </c>
      <c r="Z278" s="265">
        <f t="shared" si="90"/>
        <v>0.82693877551020412</v>
      </c>
      <c r="AA278" s="265">
        <f t="shared" ca="1" si="91"/>
        <v>14.353759995184037</v>
      </c>
      <c r="AB278" s="265">
        <f t="shared" ca="1" si="92"/>
        <v>0.80614847327813355</v>
      </c>
      <c r="AC278" s="258"/>
      <c r="AD278" s="258"/>
      <c r="AE278" s="258"/>
      <c r="AF278" s="258"/>
      <c r="AG278" s="258"/>
      <c r="AH278" s="258"/>
      <c r="AI278" s="258"/>
      <c r="AJ278" s="258"/>
      <c r="AK278" s="258"/>
      <c r="AL278" s="258"/>
      <c r="AM278" s="258"/>
    </row>
    <row r="279" spans="3:39" x14ac:dyDescent="0.25">
      <c r="C279" s="255" t="s">
        <v>6212</v>
      </c>
      <c r="D279" s="255">
        <v>2.36</v>
      </c>
      <c r="E279" s="268">
        <v>7.3999999999999996E-2</v>
      </c>
      <c r="F279" s="266">
        <f t="shared" si="93"/>
        <v>31.35593220338983</v>
      </c>
      <c r="G279" s="266">
        <f t="shared" si="71"/>
        <v>31.891891891891891</v>
      </c>
      <c r="H279" s="265">
        <f t="shared" si="72"/>
        <v>0.35758706467661688</v>
      </c>
      <c r="I279" s="265">
        <f t="shared" si="73"/>
        <v>0.2790178571428571</v>
      </c>
      <c r="J279" s="265">
        <f t="shared" si="74"/>
        <v>0.14172335600907029</v>
      </c>
      <c r="K279" s="258">
        <f t="shared" ca="1" si="75"/>
        <v>118.63783783783784</v>
      </c>
      <c r="L279" s="265">
        <f t="shared" si="76"/>
        <v>2.5249365671641786</v>
      </c>
      <c r="M279" s="265">
        <f t="shared" si="77"/>
        <v>1.500803571428571</v>
      </c>
      <c r="N279" s="265">
        <f t="shared" si="78"/>
        <v>0.82693877551020412</v>
      </c>
      <c r="O279" s="265">
        <f t="shared" ca="1" si="79"/>
        <v>123.49051675194079</v>
      </c>
      <c r="P279" s="265">
        <f t="shared" ca="1" si="80"/>
        <v>3.7799107600258792</v>
      </c>
      <c r="Q279" s="258">
        <f t="shared" ca="1" si="81"/>
        <v>72.394594594594594</v>
      </c>
      <c r="R279" s="265">
        <f t="shared" si="82"/>
        <v>2.5249365671641786</v>
      </c>
      <c r="S279" s="265">
        <f t="shared" si="83"/>
        <v>1.500803571428571</v>
      </c>
      <c r="T279" s="265">
        <f t="shared" si="84"/>
        <v>0.82693877551020412</v>
      </c>
      <c r="U279" s="265">
        <f t="shared" ca="1" si="85"/>
        <v>77.247273508697546</v>
      </c>
      <c r="V279" s="265">
        <f t="shared" ca="1" si="86"/>
        <v>2.3644552472374283</v>
      </c>
      <c r="W279" s="258">
        <f t="shared" ca="1" si="87"/>
        <v>17.795675675675678</v>
      </c>
      <c r="X279" s="265">
        <f t="shared" si="88"/>
        <v>2.5249365671641786</v>
      </c>
      <c r="Y279" s="265">
        <f t="shared" si="89"/>
        <v>1.500803571428571</v>
      </c>
      <c r="Z279" s="265">
        <f t="shared" si="90"/>
        <v>0.82693877551020412</v>
      </c>
      <c r="AA279" s="265">
        <f t="shared" ca="1" si="91"/>
        <v>22.648354589778631</v>
      </c>
      <c r="AB279" s="265">
        <f t="shared" ca="1" si="92"/>
        <v>0.69324156593133957</v>
      </c>
      <c r="AC279" s="258"/>
      <c r="AD279" s="258"/>
      <c r="AE279" s="258"/>
      <c r="AF279" s="258"/>
      <c r="AG279" s="258"/>
      <c r="AH279" s="258"/>
      <c r="AI279" s="258"/>
      <c r="AJ279" s="258"/>
      <c r="AK279" s="258"/>
      <c r="AL279" s="258"/>
      <c r="AM279" s="258"/>
    </row>
    <row r="280" spans="3:39" x14ac:dyDescent="0.25">
      <c r="C280" s="255" t="s">
        <v>6213</v>
      </c>
      <c r="D280" s="255">
        <v>1.96</v>
      </c>
      <c r="E280" s="268">
        <v>7.0000000000000007E-2</v>
      </c>
      <c r="F280" s="266">
        <f t="shared" si="93"/>
        <v>35.714285714285722</v>
      </c>
      <c r="G280" s="266">
        <f t="shared" si="71"/>
        <v>27.999999999999996</v>
      </c>
      <c r="H280" s="265">
        <f t="shared" si="72"/>
        <v>0.35758706467661688</v>
      </c>
      <c r="I280" s="265">
        <f t="shared" si="73"/>
        <v>0.2790178571428571</v>
      </c>
      <c r="J280" s="265">
        <f t="shared" si="74"/>
        <v>0.14172335600907029</v>
      </c>
      <c r="K280" s="258">
        <f t="shared" ca="1" si="75"/>
        <v>104.16</v>
      </c>
      <c r="L280" s="265">
        <f t="shared" si="76"/>
        <v>2.5249365671641786</v>
      </c>
      <c r="M280" s="265">
        <f t="shared" si="77"/>
        <v>1.500803571428571</v>
      </c>
      <c r="N280" s="265">
        <f t="shared" si="78"/>
        <v>0.82693877551020412</v>
      </c>
      <c r="O280" s="265">
        <f t="shared" ca="1" si="79"/>
        <v>109.01267891410295</v>
      </c>
      <c r="P280" s="265">
        <f t="shared" ca="1" si="80"/>
        <v>3.7880129054643077</v>
      </c>
      <c r="Q280" s="258">
        <f t="shared" ca="1" si="81"/>
        <v>63.559999999999995</v>
      </c>
      <c r="R280" s="265">
        <f t="shared" si="82"/>
        <v>2.5249365671641786</v>
      </c>
      <c r="S280" s="265">
        <f t="shared" si="83"/>
        <v>1.500803571428571</v>
      </c>
      <c r="T280" s="265">
        <f t="shared" si="84"/>
        <v>0.82693877551020412</v>
      </c>
      <c r="U280" s="265">
        <f t="shared" ca="1" si="85"/>
        <v>68.412678914102955</v>
      </c>
      <c r="V280" s="265">
        <f t="shared" ca="1" si="86"/>
        <v>2.3772290820245314</v>
      </c>
      <c r="W280" s="258">
        <f t="shared" ca="1" si="87"/>
        <v>15.623999999999999</v>
      </c>
      <c r="X280" s="265">
        <f t="shared" si="88"/>
        <v>2.5249365671641786</v>
      </c>
      <c r="Y280" s="265">
        <f t="shared" si="89"/>
        <v>1.500803571428571</v>
      </c>
      <c r="Z280" s="265">
        <f t="shared" si="90"/>
        <v>0.82693877551020412</v>
      </c>
      <c r="AA280" s="265">
        <f t="shared" ca="1" si="91"/>
        <v>20.476678914102951</v>
      </c>
      <c r="AB280" s="265">
        <f t="shared" ca="1" si="92"/>
        <v>0.71153121600460145</v>
      </c>
      <c r="AC280" s="258"/>
      <c r="AD280" s="258"/>
      <c r="AE280" s="258"/>
      <c r="AF280" s="258"/>
      <c r="AG280" s="258"/>
      <c r="AH280" s="258"/>
      <c r="AI280" s="258"/>
      <c r="AJ280" s="258"/>
      <c r="AK280" s="258"/>
      <c r="AL280" s="258"/>
      <c r="AM280" s="258"/>
    </row>
    <row r="281" spans="3:39" x14ac:dyDescent="0.25">
      <c r="C281" s="255" t="s">
        <v>6214</v>
      </c>
      <c r="D281" s="255">
        <v>1.57</v>
      </c>
      <c r="E281" s="268">
        <v>6.6000000000000003E-2</v>
      </c>
      <c r="F281" s="266">
        <f t="shared" si="93"/>
        <v>42.038216560509554</v>
      </c>
      <c r="G281" s="266">
        <f t="shared" si="71"/>
        <v>23.787878787878789</v>
      </c>
      <c r="H281" s="265">
        <f t="shared" si="72"/>
        <v>0.35758706467661688</v>
      </c>
      <c r="I281" s="265">
        <f t="shared" si="73"/>
        <v>0.2790178571428571</v>
      </c>
      <c r="J281" s="265">
        <f t="shared" si="74"/>
        <v>0.14172335600907029</v>
      </c>
      <c r="K281" s="258">
        <f t="shared" ca="1" si="75"/>
        <v>88.490909090909099</v>
      </c>
      <c r="L281" s="265">
        <f t="shared" si="76"/>
        <v>2.5249365671641786</v>
      </c>
      <c r="M281" s="265">
        <f t="shared" si="77"/>
        <v>1.500803571428571</v>
      </c>
      <c r="N281" s="265">
        <f t="shared" si="78"/>
        <v>0.82693877551020412</v>
      </c>
      <c r="O281" s="265">
        <f t="shared" ca="1" si="79"/>
        <v>93.343588005012052</v>
      </c>
      <c r="P281" s="265">
        <f t="shared" ca="1" si="80"/>
        <v>3.799674396431878</v>
      </c>
      <c r="Q281" s="258">
        <f t="shared" ca="1" si="81"/>
        <v>53.99848484848485</v>
      </c>
      <c r="R281" s="265">
        <f t="shared" si="82"/>
        <v>2.5249365671641786</v>
      </c>
      <c r="S281" s="265">
        <f t="shared" si="83"/>
        <v>1.500803571428571</v>
      </c>
      <c r="T281" s="265">
        <f t="shared" si="84"/>
        <v>0.82693877551020412</v>
      </c>
      <c r="U281" s="265">
        <f t="shared" ca="1" si="85"/>
        <v>58.851163762587802</v>
      </c>
      <c r="V281" s="265">
        <f t="shared" ca="1" si="86"/>
        <v>2.3956145775853126</v>
      </c>
      <c r="W281" s="258">
        <f t="shared" ca="1" si="87"/>
        <v>13.273636363636365</v>
      </c>
      <c r="X281" s="265">
        <f t="shared" si="88"/>
        <v>2.5249365671641786</v>
      </c>
      <c r="Y281" s="265">
        <f t="shared" si="89"/>
        <v>1.500803571428571</v>
      </c>
      <c r="Z281" s="265">
        <f t="shared" si="90"/>
        <v>0.82693877551020412</v>
      </c>
      <c r="AA281" s="265">
        <f t="shared" ca="1" si="91"/>
        <v>18.126315277739319</v>
      </c>
      <c r="AB281" s="265">
        <f t="shared" ca="1" si="92"/>
        <v>0.73785567422992038</v>
      </c>
      <c r="AC281" s="258"/>
      <c r="AD281" s="258"/>
      <c r="AE281" s="258"/>
      <c r="AF281" s="258"/>
      <c r="AG281" s="258"/>
      <c r="AH281" s="258"/>
      <c r="AI281" s="258"/>
      <c r="AJ281" s="258"/>
      <c r="AK281" s="258"/>
      <c r="AL281" s="258"/>
      <c r="AM281" s="258"/>
    </row>
    <row r="282" spans="3:39" x14ac:dyDescent="0.25">
      <c r="C282" s="255" t="s">
        <v>6215</v>
      </c>
      <c r="D282" s="255">
        <v>1.18</v>
      </c>
      <c r="E282" s="268">
        <v>6.2E-2</v>
      </c>
      <c r="F282" s="266">
        <f t="shared" si="93"/>
        <v>52.542372881355938</v>
      </c>
      <c r="G282" s="266">
        <f t="shared" si="71"/>
        <v>19.032258064516128</v>
      </c>
      <c r="H282" s="265">
        <f t="shared" si="72"/>
        <v>0.35758706467661688</v>
      </c>
      <c r="I282" s="265">
        <f t="shared" si="73"/>
        <v>0.2790178571428571</v>
      </c>
      <c r="J282" s="265">
        <f t="shared" si="74"/>
        <v>0.14172335600907029</v>
      </c>
      <c r="K282" s="258">
        <f t="shared" ca="1" si="75"/>
        <v>70.8</v>
      </c>
      <c r="L282" s="265">
        <f t="shared" si="76"/>
        <v>2.5249365671641786</v>
      </c>
      <c r="M282" s="265">
        <f t="shared" si="77"/>
        <v>1.500803571428571</v>
      </c>
      <c r="N282" s="265">
        <f t="shared" si="78"/>
        <v>0.82693877551020412</v>
      </c>
      <c r="O282" s="265">
        <f t="shared" ca="1" si="79"/>
        <v>75.65267891410295</v>
      </c>
      <c r="P282" s="265">
        <f t="shared" ca="1" si="80"/>
        <v>3.8188005951341824</v>
      </c>
      <c r="Q282" s="258">
        <f t="shared" ca="1" si="81"/>
        <v>43.203225806451613</v>
      </c>
      <c r="R282" s="265">
        <f t="shared" si="82"/>
        <v>2.5249365671641786</v>
      </c>
      <c r="S282" s="265">
        <f t="shared" si="83"/>
        <v>1.500803571428571</v>
      </c>
      <c r="T282" s="265">
        <f t="shared" si="84"/>
        <v>0.82693877551020412</v>
      </c>
      <c r="U282" s="265">
        <f t="shared" ca="1" si="85"/>
        <v>48.055904720554565</v>
      </c>
      <c r="V282" s="265">
        <f t="shared" ca="1" si="86"/>
        <v>2.4257689242562281</v>
      </c>
      <c r="W282" s="258">
        <f t="shared" ca="1" si="87"/>
        <v>10.620000000000001</v>
      </c>
      <c r="X282" s="265">
        <f t="shared" si="88"/>
        <v>2.5249365671641786</v>
      </c>
      <c r="Y282" s="265">
        <f t="shared" si="89"/>
        <v>1.500803571428571</v>
      </c>
      <c r="Z282" s="265">
        <f t="shared" si="90"/>
        <v>0.82693877551020412</v>
      </c>
      <c r="AA282" s="265">
        <f t="shared" ca="1" si="91"/>
        <v>15.472678914102955</v>
      </c>
      <c r="AB282" s="265">
        <f t="shared" ca="1" si="92"/>
        <v>0.78103084112308474</v>
      </c>
      <c r="AC282" s="258"/>
      <c r="AD282" s="258"/>
      <c r="AE282" s="258"/>
      <c r="AF282" s="258"/>
      <c r="AG282" s="258"/>
      <c r="AH282" s="258"/>
      <c r="AI282" s="258"/>
      <c r="AJ282" s="258"/>
      <c r="AK282" s="258"/>
      <c r="AL282" s="258"/>
      <c r="AM282" s="258"/>
    </row>
    <row r="283" spans="3:39" x14ac:dyDescent="0.25">
      <c r="C283" s="255" t="s">
        <v>6216</v>
      </c>
      <c r="D283" s="255">
        <v>0.98099999999999998</v>
      </c>
      <c r="E283" s="268">
        <v>0.06</v>
      </c>
      <c r="F283" s="266">
        <f t="shared" si="93"/>
        <v>61.162079510703364</v>
      </c>
      <c r="G283" s="266">
        <f t="shared" si="71"/>
        <v>16.350000000000001</v>
      </c>
      <c r="H283" s="265">
        <f t="shared" si="72"/>
        <v>0.35758706467661688</v>
      </c>
      <c r="I283" s="265">
        <f t="shared" si="73"/>
        <v>0.2790178571428571</v>
      </c>
      <c r="J283" s="265">
        <f t="shared" si="74"/>
        <v>0.14172335600907029</v>
      </c>
      <c r="K283" s="258">
        <f t="shared" ca="1" si="75"/>
        <v>60.82200000000001</v>
      </c>
      <c r="L283" s="265">
        <f t="shared" si="76"/>
        <v>2.5249365671641786</v>
      </c>
      <c r="M283" s="265">
        <f t="shared" si="77"/>
        <v>1.500803571428571</v>
      </c>
      <c r="N283" s="265">
        <f t="shared" si="78"/>
        <v>0.82693877551020412</v>
      </c>
      <c r="O283" s="265">
        <f t="shared" ca="1" si="79"/>
        <v>65.674678914102955</v>
      </c>
      <c r="P283" s="265">
        <f t="shared" ca="1" si="80"/>
        <v>3.834272548309011</v>
      </c>
      <c r="Q283" s="258">
        <f t="shared" ca="1" si="81"/>
        <v>37.114500000000007</v>
      </c>
      <c r="R283" s="265">
        <f t="shared" si="82"/>
        <v>2.5249365671641786</v>
      </c>
      <c r="S283" s="265">
        <f t="shared" si="83"/>
        <v>1.500803571428571</v>
      </c>
      <c r="T283" s="265">
        <f t="shared" si="84"/>
        <v>0.82693877551020412</v>
      </c>
      <c r="U283" s="265">
        <f t="shared" ca="1" si="85"/>
        <v>41.967178914102959</v>
      </c>
      <c r="V283" s="265">
        <f t="shared" ca="1" si="86"/>
        <v>2.4501619909064103</v>
      </c>
      <c r="W283" s="258">
        <f t="shared" ca="1" si="87"/>
        <v>9.1233000000000022</v>
      </c>
      <c r="X283" s="265">
        <f t="shared" si="88"/>
        <v>2.5249365671641786</v>
      </c>
      <c r="Y283" s="265">
        <f t="shared" si="89"/>
        <v>1.500803571428571</v>
      </c>
      <c r="Z283" s="265">
        <f t="shared" si="90"/>
        <v>0.82693877551020412</v>
      </c>
      <c r="AA283" s="265">
        <f t="shared" ca="1" si="91"/>
        <v>13.975978914102956</v>
      </c>
      <c r="AB283" s="265">
        <f t="shared" ca="1" si="92"/>
        <v>0.81595697416623592</v>
      </c>
      <c r="AC283" s="258"/>
      <c r="AD283" s="258"/>
      <c r="AE283" s="258"/>
      <c r="AF283" s="258"/>
      <c r="AG283" s="258"/>
      <c r="AH283" s="258"/>
      <c r="AI283" s="258"/>
      <c r="AJ283" s="258"/>
      <c r="AK283" s="258"/>
      <c r="AL283" s="258"/>
      <c r="AM283" s="258"/>
    </row>
    <row r="284" spans="3:39" x14ac:dyDescent="0.25">
      <c r="C284" s="255" t="s">
        <v>6217</v>
      </c>
      <c r="D284" s="255">
        <v>1.57</v>
      </c>
      <c r="E284" s="268">
        <v>0.06</v>
      </c>
      <c r="F284" s="266">
        <f t="shared" si="93"/>
        <v>38.216560509554135</v>
      </c>
      <c r="G284" s="266">
        <f t="shared" si="71"/>
        <v>26.166666666666668</v>
      </c>
      <c r="H284" s="265">
        <f t="shared" si="72"/>
        <v>0.35758706467661688</v>
      </c>
      <c r="I284" s="265">
        <f t="shared" si="73"/>
        <v>0.2790178571428571</v>
      </c>
      <c r="J284" s="265">
        <f t="shared" si="74"/>
        <v>0.14172335600907029</v>
      </c>
      <c r="K284" s="258">
        <f t="shared" ca="1" si="75"/>
        <v>97.34</v>
      </c>
      <c r="L284" s="265">
        <f t="shared" si="76"/>
        <v>2.5249365671641786</v>
      </c>
      <c r="M284" s="265">
        <f t="shared" si="77"/>
        <v>1.500803571428571</v>
      </c>
      <c r="N284" s="265">
        <f t="shared" si="78"/>
        <v>0.82693877551020412</v>
      </c>
      <c r="O284" s="265">
        <f t="shared" ca="1" si="79"/>
        <v>102.19267891410296</v>
      </c>
      <c r="P284" s="265">
        <f t="shared" ca="1" si="80"/>
        <v>3.7926404931458571</v>
      </c>
      <c r="Q284" s="258">
        <f t="shared" ca="1" si="81"/>
        <v>59.398333333333333</v>
      </c>
      <c r="R284" s="265">
        <f t="shared" si="82"/>
        <v>2.5249365671641786</v>
      </c>
      <c r="S284" s="265">
        <f t="shared" si="83"/>
        <v>1.500803571428571</v>
      </c>
      <c r="T284" s="265">
        <f t="shared" si="84"/>
        <v>0.82693877551020412</v>
      </c>
      <c r="U284" s="265">
        <f t="shared" ca="1" si="85"/>
        <v>64.251012247436279</v>
      </c>
      <c r="V284" s="265">
        <f t="shared" ca="1" si="86"/>
        <v>2.3845249323590085</v>
      </c>
      <c r="W284" s="258">
        <f t="shared" ca="1" si="87"/>
        <v>14.601000000000003</v>
      </c>
      <c r="X284" s="265">
        <f t="shared" si="88"/>
        <v>2.5249365671641786</v>
      </c>
      <c r="Y284" s="265">
        <f t="shared" si="89"/>
        <v>1.500803571428571</v>
      </c>
      <c r="Z284" s="265">
        <f t="shared" si="90"/>
        <v>0.82693877551020412</v>
      </c>
      <c r="AA284" s="265">
        <f t="shared" ca="1" si="91"/>
        <v>19.453678914102955</v>
      </c>
      <c r="AB284" s="265">
        <f t="shared" ca="1" si="92"/>
        <v>0.72197745645067513</v>
      </c>
      <c r="AC284" s="258"/>
      <c r="AD284" s="258"/>
      <c r="AE284" s="258"/>
      <c r="AF284" s="258"/>
      <c r="AG284" s="258"/>
      <c r="AH284" s="258"/>
      <c r="AI284" s="258"/>
      <c r="AJ284" s="258"/>
      <c r="AK284" s="258"/>
      <c r="AL284" s="258"/>
      <c r="AM284" s="258"/>
    </row>
    <row r="285" spans="3:39" x14ac:dyDescent="0.25">
      <c r="C285" s="255" t="s">
        <v>6218</v>
      </c>
      <c r="D285" s="255">
        <v>2</v>
      </c>
      <c r="E285" s="255">
        <v>5.7000000000000002E-2</v>
      </c>
      <c r="F285" s="266">
        <v>28.5</v>
      </c>
      <c r="G285" s="266">
        <f t="shared" si="71"/>
        <v>35.087719298245609</v>
      </c>
      <c r="H285" s="265">
        <f t="shared" si="72"/>
        <v>0.35758706467661688</v>
      </c>
      <c r="I285" s="265">
        <f t="shared" si="73"/>
        <v>0.2790178571428571</v>
      </c>
      <c r="J285" s="265">
        <f t="shared" si="74"/>
        <v>0.14172335600907029</v>
      </c>
      <c r="K285" s="258">
        <f t="shared" ca="1" si="75"/>
        <v>130.52631578947367</v>
      </c>
      <c r="L285" s="265">
        <f t="shared" si="76"/>
        <v>2.5249365671641786</v>
      </c>
      <c r="M285" s="265">
        <f t="shared" si="77"/>
        <v>1.500803571428571</v>
      </c>
      <c r="N285" s="265">
        <f t="shared" si="78"/>
        <v>0.82693877551020412</v>
      </c>
      <c r="O285" s="265">
        <f t="shared" ca="1" si="79"/>
        <v>135.37899470357664</v>
      </c>
      <c r="P285" s="265">
        <f t="shared" ca="1" si="80"/>
        <v>3.7745724397545963</v>
      </c>
      <c r="Q285" s="258">
        <f t="shared" ca="1" si="81"/>
        <v>79.649122807017534</v>
      </c>
      <c r="R285" s="265">
        <f t="shared" si="82"/>
        <v>2.5249365671641786</v>
      </c>
      <c r="S285" s="265">
        <f t="shared" si="83"/>
        <v>1.500803571428571</v>
      </c>
      <c r="T285" s="265">
        <f t="shared" si="84"/>
        <v>0.82693877551020412</v>
      </c>
      <c r="U285" s="265">
        <f t="shared" ca="1" si="85"/>
        <v>84.501801721120486</v>
      </c>
      <c r="V285" s="265">
        <f t="shared" ca="1" si="86"/>
        <v>2.3560388565784067</v>
      </c>
      <c r="W285" s="258">
        <f t="shared" ca="1" si="87"/>
        <v>19.578947368421051</v>
      </c>
      <c r="X285" s="265">
        <f t="shared" si="88"/>
        <v>2.5249365671641786</v>
      </c>
      <c r="Y285" s="265">
        <f t="shared" si="89"/>
        <v>1.500803571428571</v>
      </c>
      <c r="Z285" s="265">
        <f t="shared" si="90"/>
        <v>0.82693877551020412</v>
      </c>
      <c r="AA285" s="265">
        <f t="shared" ca="1" si="91"/>
        <v>24.431626282524004</v>
      </c>
      <c r="AB285" s="265">
        <f t="shared" ca="1" si="92"/>
        <v>0.68119092940762382</v>
      </c>
      <c r="AC285" s="258"/>
      <c r="AD285" s="258"/>
      <c r="AE285" s="258"/>
      <c r="AF285" s="258"/>
      <c r="AG285" s="258"/>
      <c r="AH285" s="258"/>
      <c r="AI285" s="258"/>
      <c r="AJ285" s="258"/>
      <c r="AK285" s="258"/>
      <c r="AL285" s="258"/>
      <c r="AM285" s="258"/>
    </row>
    <row r="286" spans="3:39" x14ac:dyDescent="0.25">
      <c r="C286" s="255" t="s">
        <v>6219</v>
      </c>
      <c r="D286" s="255">
        <v>1.78</v>
      </c>
      <c r="E286" s="255">
        <v>5.2999999999999999E-2</v>
      </c>
      <c r="F286" s="266">
        <v>29.775280898876403</v>
      </c>
      <c r="G286" s="266">
        <f t="shared" si="71"/>
        <v>33.584905660377359</v>
      </c>
      <c r="H286" s="265">
        <f t="shared" si="72"/>
        <v>0.35758706467661688</v>
      </c>
      <c r="I286" s="265">
        <f t="shared" si="73"/>
        <v>0.2790178571428571</v>
      </c>
      <c r="J286" s="265">
        <f t="shared" si="74"/>
        <v>0.14172335600907029</v>
      </c>
      <c r="K286" s="258">
        <f t="shared" ca="1" si="75"/>
        <v>124.93584905660379</v>
      </c>
      <c r="L286" s="265">
        <f t="shared" si="76"/>
        <v>2.5249365671641786</v>
      </c>
      <c r="M286" s="265">
        <f t="shared" si="77"/>
        <v>1.500803571428571</v>
      </c>
      <c r="N286" s="265">
        <f t="shared" si="78"/>
        <v>0.82693877551020412</v>
      </c>
      <c r="O286" s="265">
        <f t="shared" ca="1" si="79"/>
        <v>129.78852797070672</v>
      </c>
      <c r="P286" s="265">
        <f t="shared" ca="1" si="80"/>
        <v>3.7769590663119921</v>
      </c>
      <c r="Q286" s="258">
        <f t="shared" ca="1" si="81"/>
        <v>76.237735849056605</v>
      </c>
      <c r="R286" s="265">
        <f t="shared" si="82"/>
        <v>2.5249365671641786</v>
      </c>
      <c r="S286" s="265">
        <f t="shared" si="83"/>
        <v>1.500803571428571</v>
      </c>
      <c r="T286" s="265">
        <f t="shared" si="84"/>
        <v>0.82693877551020412</v>
      </c>
      <c r="U286" s="265">
        <f t="shared" ca="1" si="85"/>
        <v>81.090414763159558</v>
      </c>
      <c r="V286" s="265">
        <f t="shared" ca="1" si="86"/>
        <v>2.359801609737354</v>
      </c>
      <c r="W286" s="258">
        <f t="shared" ca="1" si="87"/>
        <v>18.740377358490569</v>
      </c>
      <c r="X286" s="265">
        <f t="shared" si="88"/>
        <v>2.5249365671641786</v>
      </c>
      <c r="Y286" s="265">
        <f t="shared" si="89"/>
        <v>1.500803571428571</v>
      </c>
      <c r="Z286" s="265">
        <f t="shared" si="90"/>
        <v>0.82693877551020412</v>
      </c>
      <c r="AA286" s="265">
        <f t="shared" ca="1" si="91"/>
        <v>23.593056272593522</v>
      </c>
      <c r="AB286" s="265">
        <f t="shared" ca="1" si="92"/>
        <v>0.68657846100922915</v>
      </c>
      <c r="AC286" s="258"/>
      <c r="AD286" s="258"/>
      <c r="AE286" s="258"/>
      <c r="AF286" s="258"/>
      <c r="AG286" s="258"/>
      <c r="AH286" s="258"/>
      <c r="AI286" s="258"/>
      <c r="AJ286" s="258"/>
      <c r="AK286" s="258"/>
      <c r="AL286" s="258"/>
      <c r="AM286" s="258"/>
    </row>
    <row r="287" spans="3:39" x14ac:dyDescent="0.25">
      <c r="C287" s="255" t="s">
        <v>6220</v>
      </c>
      <c r="D287" s="255">
        <v>1.58</v>
      </c>
      <c r="E287" s="255">
        <v>0.05</v>
      </c>
      <c r="F287" s="266">
        <v>31.645569620253166</v>
      </c>
      <c r="G287" s="266">
        <f t="shared" si="71"/>
        <v>31.6</v>
      </c>
      <c r="H287" s="265">
        <f t="shared" si="72"/>
        <v>0.35758706467661688</v>
      </c>
      <c r="I287" s="265">
        <f t="shared" si="73"/>
        <v>0.2790178571428571</v>
      </c>
      <c r="J287" s="265">
        <f t="shared" si="74"/>
        <v>0.14172335600907029</v>
      </c>
      <c r="K287" s="258">
        <f t="shared" ca="1" si="75"/>
        <v>117.55200000000001</v>
      </c>
      <c r="L287" s="265">
        <f t="shared" si="76"/>
        <v>2.5249365671641786</v>
      </c>
      <c r="M287" s="265">
        <f t="shared" si="77"/>
        <v>1.500803571428571</v>
      </c>
      <c r="N287" s="265">
        <f t="shared" si="78"/>
        <v>0.82693877551020412</v>
      </c>
      <c r="O287" s="265">
        <f t="shared" ca="1" si="79"/>
        <v>122.40467891410296</v>
      </c>
      <c r="P287" s="265">
        <f t="shared" ca="1" si="80"/>
        <v>3.7804508578634999</v>
      </c>
      <c r="Q287" s="258">
        <f t="shared" ca="1" si="81"/>
        <v>71.731999999999999</v>
      </c>
      <c r="R287" s="265">
        <f t="shared" si="82"/>
        <v>2.5249365671641786</v>
      </c>
      <c r="S287" s="265">
        <f t="shared" si="83"/>
        <v>1.500803571428571</v>
      </c>
      <c r="T287" s="265">
        <f t="shared" si="84"/>
        <v>0.82693877551020412</v>
      </c>
      <c r="U287" s="265">
        <f t="shared" ca="1" si="85"/>
        <v>76.584678914102952</v>
      </c>
      <c r="V287" s="265">
        <f t="shared" ca="1" si="86"/>
        <v>2.3653067649741888</v>
      </c>
      <c r="W287" s="258">
        <f t="shared" ca="1" si="87"/>
        <v>17.632800000000003</v>
      </c>
      <c r="X287" s="265">
        <f t="shared" si="88"/>
        <v>2.5249365671641786</v>
      </c>
      <c r="Y287" s="265">
        <f t="shared" si="89"/>
        <v>1.500803571428571</v>
      </c>
      <c r="Z287" s="265">
        <f t="shared" si="90"/>
        <v>0.82693877551020412</v>
      </c>
      <c r="AA287" s="265">
        <f t="shared" ca="1" si="91"/>
        <v>22.485478914102956</v>
      </c>
      <c r="AB287" s="265">
        <f t="shared" ca="1" si="92"/>
        <v>0.69446077392143057</v>
      </c>
      <c r="AC287" s="258"/>
      <c r="AD287" s="258"/>
      <c r="AE287" s="258"/>
      <c r="AF287" s="258"/>
      <c r="AG287" s="258"/>
      <c r="AH287" s="258"/>
      <c r="AI287" s="258"/>
      <c r="AJ287" s="258"/>
      <c r="AK287" s="258"/>
      <c r="AL287" s="258"/>
      <c r="AM287" s="258"/>
    </row>
    <row r="288" spans="3:39" x14ac:dyDescent="0.25">
      <c r="C288" s="255" t="s">
        <v>6221</v>
      </c>
      <c r="D288" s="255">
        <v>1.39</v>
      </c>
      <c r="E288" s="255">
        <v>4.7E-2</v>
      </c>
      <c r="F288" s="266">
        <v>33.812949640287769</v>
      </c>
      <c r="G288" s="266">
        <f t="shared" si="71"/>
        <v>29.574468085106382</v>
      </c>
      <c r="H288" s="265">
        <f t="shared" si="72"/>
        <v>0.35758706467661688</v>
      </c>
      <c r="I288" s="265">
        <f t="shared" si="73"/>
        <v>0.2790178571428571</v>
      </c>
      <c r="J288" s="265">
        <f t="shared" si="74"/>
        <v>0.14172335600907029</v>
      </c>
      <c r="K288" s="258">
        <f t="shared" ca="1" si="75"/>
        <v>110.01702127659574</v>
      </c>
      <c r="L288" s="265">
        <f t="shared" si="76"/>
        <v>2.5249365671641786</v>
      </c>
      <c r="M288" s="265">
        <f t="shared" si="77"/>
        <v>1.500803571428571</v>
      </c>
      <c r="N288" s="265">
        <f t="shared" si="78"/>
        <v>0.82693877551020412</v>
      </c>
      <c r="O288" s="265">
        <f t="shared" ca="1" si="79"/>
        <v>114.86970019069869</v>
      </c>
      <c r="P288" s="265">
        <f t="shared" ca="1" si="80"/>
        <v>3.7844849224821639</v>
      </c>
      <c r="Q288" s="258">
        <f t="shared" ca="1" si="81"/>
        <v>67.134042553191492</v>
      </c>
      <c r="R288" s="265">
        <f t="shared" si="82"/>
        <v>2.5249365671641786</v>
      </c>
      <c r="S288" s="265">
        <f t="shared" si="83"/>
        <v>1.500803571428571</v>
      </c>
      <c r="T288" s="265">
        <f t="shared" si="84"/>
        <v>0.82693877551020412</v>
      </c>
      <c r="U288" s="265">
        <f t="shared" ca="1" si="85"/>
        <v>71.986721467294444</v>
      </c>
      <c r="V288" s="265">
        <f t="shared" ca="1" si="86"/>
        <v>2.3716668674126002</v>
      </c>
      <c r="W288" s="258">
        <f t="shared" ca="1" si="87"/>
        <v>16.502553191489362</v>
      </c>
      <c r="X288" s="265">
        <f t="shared" si="88"/>
        <v>2.5249365671641786</v>
      </c>
      <c r="Y288" s="265">
        <f t="shared" si="89"/>
        <v>1.500803571428571</v>
      </c>
      <c r="Z288" s="265">
        <f t="shared" si="90"/>
        <v>0.82693877551020412</v>
      </c>
      <c r="AA288" s="265">
        <f t="shared" ca="1" si="91"/>
        <v>21.355232105592314</v>
      </c>
      <c r="AB288" s="265">
        <f t="shared" ca="1" si="92"/>
        <v>0.70356720515115645</v>
      </c>
      <c r="AC288" s="258"/>
      <c r="AD288" s="258"/>
      <c r="AE288" s="258"/>
      <c r="AF288" s="258"/>
      <c r="AG288" s="258"/>
      <c r="AH288" s="258"/>
      <c r="AI288" s="258"/>
      <c r="AJ288" s="258"/>
      <c r="AK288" s="258"/>
      <c r="AL288" s="258"/>
      <c r="AM288" s="258"/>
    </row>
    <row r="289" spans="3:39" x14ac:dyDescent="0.25">
      <c r="C289" s="255" t="s">
        <v>6222</v>
      </c>
      <c r="D289" s="255">
        <v>1.21</v>
      </c>
      <c r="E289" s="255">
        <v>4.3999999999999997E-2</v>
      </c>
      <c r="F289" s="266">
        <v>36.36363636363636</v>
      </c>
      <c r="G289" s="266">
        <f t="shared" si="71"/>
        <v>27.5</v>
      </c>
      <c r="H289" s="265">
        <f t="shared" si="72"/>
        <v>0.35758706467661688</v>
      </c>
      <c r="I289" s="265">
        <f t="shared" si="73"/>
        <v>0.2790178571428571</v>
      </c>
      <c r="J289" s="265">
        <f t="shared" si="74"/>
        <v>0.14172335600907029</v>
      </c>
      <c r="K289" s="258">
        <f t="shared" ca="1" si="75"/>
        <v>102.30000000000001</v>
      </c>
      <c r="L289" s="265">
        <f t="shared" si="76"/>
        <v>2.5249365671641786</v>
      </c>
      <c r="M289" s="265">
        <f t="shared" si="77"/>
        <v>1.500803571428571</v>
      </c>
      <c r="N289" s="265">
        <f t="shared" si="78"/>
        <v>0.82693877551020412</v>
      </c>
      <c r="O289" s="265">
        <f t="shared" ca="1" si="79"/>
        <v>107.15267891410296</v>
      </c>
      <c r="P289" s="265">
        <f t="shared" ca="1" si="80"/>
        <v>3.7892154678080945</v>
      </c>
      <c r="Q289" s="258">
        <f t="shared" ca="1" si="81"/>
        <v>62.424999999999997</v>
      </c>
      <c r="R289" s="265">
        <f t="shared" si="82"/>
        <v>2.5249365671641786</v>
      </c>
      <c r="S289" s="265">
        <f t="shared" si="83"/>
        <v>1.500803571428571</v>
      </c>
      <c r="T289" s="265">
        <f t="shared" si="84"/>
        <v>0.82693877551020412</v>
      </c>
      <c r="U289" s="265">
        <f t="shared" ca="1" si="85"/>
        <v>67.27767891410295</v>
      </c>
      <c r="V289" s="265">
        <f t="shared" ca="1" si="86"/>
        <v>2.3791250406712199</v>
      </c>
      <c r="W289" s="258">
        <f t="shared" ca="1" si="87"/>
        <v>15.345000000000001</v>
      </c>
      <c r="X289" s="265">
        <f t="shared" si="88"/>
        <v>2.5249365671641786</v>
      </c>
      <c r="Y289" s="265">
        <f t="shared" si="89"/>
        <v>1.500803571428571</v>
      </c>
      <c r="Z289" s="265">
        <f t="shared" si="90"/>
        <v>0.82693877551020412</v>
      </c>
      <c r="AA289" s="265">
        <f t="shared" ca="1" si="91"/>
        <v>20.197678914102951</v>
      </c>
      <c r="AB289" s="265">
        <f t="shared" ca="1" si="92"/>
        <v>0.71424586049306249</v>
      </c>
      <c r="AC289" s="258"/>
      <c r="AD289" s="258"/>
      <c r="AE289" s="258"/>
      <c r="AF289" s="258"/>
      <c r="AG289" s="258"/>
      <c r="AH289" s="258"/>
      <c r="AI289" s="258"/>
      <c r="AJ289" s="258"/>
      <c r="AK289" s="258"/>
      <c r="AL289" s="258"/>
      <c r="AM289" s="258"/>
    </row>
    <row r="290" spans="3:39" x14ac:dyDescent="0.25">
      <c r="C290" s="255" t="s">
        <v>6223</v>
      </c>
      <c r="D290" s="255">
        <v>1.04</v>
      </c>
      <c r="E290" s="255">
        <v>4.1000000000000002E-2</v>
      </c>
      <c r="F290" s="266">
        <v>39.42307692307692</v>
      </c>
      <c r="G290" s="266">
        <f t="shared" ref="G290:G353" si="94">D290/E290</f>
        <v>25.365853658536587</v>
      </c>
      <c r="H290" s="265">
        <f t="shared" ref="H290:H353" si="95">$AJ$40</f>
        <v>0.35758706467661688</v>
      </c>
      <c r="I290" s="265">
        <f t="shared" ref="I290:I353" si="96">$AK$40</f>
        <v>0.2790178571428571</v>
      </c>
      <c r="J290" s="265">
        <f t="shared" ref="J290:J353" si="97">$AL$40</f>
        <v>0.14172335600907029</v>
      </c>
      <c r="K290" s="258">
        <f t="shared" ref="K290:K353" ca="1" si="98">K$30*$G290</f>
        <v>94.36097560975611</v>
      </c>
      <c r="L290" s="265">
        <f t="shared" ref="L290:L353" si="99">L$30*$H290</f>
        <v>2.5249365671641786</v>
      </c>
      <c r="M290" s="265">
        <f t="shared" ref="M290:M353" si="100">M$30*$I290</f>
        <v>1.500803571428571</v>
      </c>
      <c r="N290" s="265">
        <f t="shared" ref="N290:N353" si="101">N$30*$J290</f>
        <v>0.82693877551020412</v>
      </c>
      <c r="O290" s="265">
        <f t="shared" ref="O290:O353" ca="1" si="102">SUM(K290:N290)</f>
        <v>99.213654523859063</v>
      </c>
      <c r="P290" s="265">
        <f t="shared" ref="P290:P353" ca="1" si="103">O290/SUM($G290:$J290)</f>
        <v>3.7948655178939936</v>
      </c>
      <c r="Q290" s="258">
        <f t="shared" ref="Q290:Q353" ca="1" si="104">Q$30*$G290</f>
        <v>57.580487804878054</v>
      </c>
      <c r="R290" s="265">
        <f t="shared" ref="R290:R353" si="105">R$30*$H290</f>
        <v>2.5249365671641786</v>
      </c>
      <c r="S290" s="265">
        <f t="shared" ref="S290:S353" si="106">S$30*$I290</f>
        <v>1.500803571428571</v>
      </c>
      <c r="T290" s="265">
        <f t="shared" ref="T290:T353" si="107">T$30*$J290</f>
        <v>0.82693877551020412</v>
      </c>
      <c r="U290" s="265">
        <f t="shared" ref="U290:U353" ca="1" si="108">SUM(Q290:T290)</f>
        <v>62.433166718981006</v>
      </c>
      <c r="V290" s="265">
        <f t="shared" ref="V290:V353" ca="1" si="109">U290/SUM($G290:$J290)</f>
        <v>2.3880329042592789</v>
      </c>
      <c r="W290" s="258">
        <f t="shared" ref="W290:W353" ca="1" si="110">W$30*$G290</f>
        <v>14.154146341463417</v>
      </c>
      <c r="X290" s="265">
        <f t="shared" ref="X290:X353" si="111">X$30*$H290</f>
        <v>2.5249365671641786</v>
      </c>
      <c r="Y290" s="265">
        <f t="shared" ref="Y290:Y353" si="112">Y$30*$I290</f>
        <v>1.500803571428571</v>
      </c>
      <c r="Z290" s="265">
        <f t="shared" ref="Z290:Z353" si="113">Z$30*$J290</f>
        <v>0.82693877551020412</v>
      </c>
      <c r="AA290" s="265">
        <f t="shared" ref="AA290:AA353" ca="1" si="114">SUM(W290:Z290)</f>
        <v>19.006825255566369</v>
      </c>
      <c r="AB290" s="265">
        <f t="shared" ref="AB290:AB353" ca="1" si="115">AA290/SUM($G290:$J290)</f>
        <v>0.72700019078160216</v>
      </c>
      <c r="AC290" s="258"/>
      <c r="AD290" s="258"/>
      <c r="AE290" s="258"/>
      <c r="AF290" s="258"/>
      <c r="AG290" s="258"/>
      <c r="AH290" s="258"/>
      <c r="AI290" s="258"/>
      <c r="AJ290" s="258"/>
      <c r="AK290" s="258"/>
      <c r="AL290" s="258"/>
      <c r="AM290" s="258"/>
    </row>
    <row r="291" spans="3:39" x14ac:dyDescent="0.25">
      <c r="C291" s="255" t="s">
        <v>6224</v>
      </c>
      <c r="D291" s="255">
        <v>0.96299999999999997</v>
      </c>
      <c r="E291" s="255">
        <v>3.9E-2</v>
      </c>
      <c r="F291" s="266">
        <v>40.49844236760125</v>
      </c>
      <c r="G291" s="266">
        <f t="shared" si="94"/>
        <v>24.69230769230769</v>
      </c>
      <c r="H291" s="265">
        <f t="shared" si="95"/>
        <v>0.35758706467661688</v>
      </c>
      <c r="I291" s="265">
        <f t="shared" si="96"/>
        <v>0.2790178571428571</v>
      </c>
      <c r="J291" s="265">
        <f t="shared" si="97"/>
        <v>0.14172335600907029</v>
      </c>
      <c r="K291" s="258">
        <f t="shared" ca="1" si="98"/>
        <v>91.855384615384608</v>
      </c>
      <c r="L291" s="265">
        <f t="shared" si="99"/>
        <v>2.5249365671641786</v>
      </c>
      <c r="M291" s="265">
        <f t="shared" si="100"/>
        <v>1.500803571428571</v>
      </c>
      <c r="N291" s="265">
        <f t="shared" si="101"/>
        <v>0.82693877551020412</v>
      </c>
      <c r="O291" s="265">
        <f t="shared" ca="1" si="102"/>
        <v>96.708063529487561</v>
      </c>
      <c r="P291" s="265">
        <f t="shared" ca="1" si="103"/>
        <v>3.7968452630266341</v>
      </c>
      <c r="Q291" s="258">
        <f t="shared" ca="1" si="104"/>
        <v>56.051538461538456</v>
      </c>
      <c r="R291" s="265">
        <f t="shared" si="105"/>
        <v>2.5249365671641786</v>
      </c>
      <c r="S291" s="265">
        <f t="shared" si="106"/>
        <v>1.500803571428571</v>
      </c>
      <c r="T291" s="265">
        <f t="shared" si="107"/>
        <v>0.82693877551020412</v>
      </c>
      <c r="U291" s="265">
        <f t="shared" ca="1" si="108"/>
        <v>60.904217375641409</v>
      </c>
      <c r="V291" s="265">
        <f t="shared" ca="1" si="109"/>
        <v>2.3911541685512003</v>
      </c>
      <c r="W291" s="258">
        <f t="shared" ca="1" si="110"/>
        <v>13.778307692307692</v>
      </c>
      <c r="X291" s="265">
        <f t="shared" si="111"/>
        <v>2.5249365671641786</v>
      </c>
      <c r="Y291" s="265">
        <f t="shared" si="112"/>
        <v>1.500803571428571</v>
      </c>
      <c r="Z291" s="265">
        <f t="shared" si="113"/>
        <v>0.82693877551020412</v>
      </c>
      <c r="AA291" s="265">
        <f t="shared" ca="1" si="114"/>
        <v>18.630986606410644</v>
      </c>
      <c r="AB291" s="265">
        <f t="shared" ca="1" si="115"/>
        <v>0.73146923493606786</v>
      </c>
      <c r="AC291" s="258"/>
      <c r="AD291" s="258"/>
      <c r="AE291" s="258"/>
      <c r="AF291" s="258"/>
      <c r="AG291" s="258"/>
      <c r="AH291" s="258"/>
      <c r="AI291" s="258"/>
      <c r="AJ291" s="258"/>
      <c r="AK291" s="258"/>
      <c r="AL291" s="258"/>
      <c r="AM291" s="258"/>
    </row>
    <row r="292" spans="3:39" x14ac:dyDescent="0.25">
      <c r="C292" s="255" t="s">
        <v>6225</v>
      </c>
      <c r="D292" s="255">
        <v>0.77300000000000002</v>
      </c>
      <c r="E292" s="255">
        <v>3.5000000000000003E-2</v>
      </c>
      <c r="F292" s="266">
        <v>45.278137128072451</v>
      </c>
      <c r="G292" s="266">
        <f t="shared" si="94"/>
        <v>22.085714285714285</v>
      </c>
      <c r="H292" s="265">
        <f t="shared" si="95"/>
        <v>0.35758706467661688</v>
      </c>
      <c r="I292" s="265">
        <f t="shared" si="96"/>
        <v>0.2790178571428571</v>
      </c>
      <c r="J292" s="265">
        <f t="shared" si="97"/>
        <v>0.14172335600907029</v>
      </c>
      <c r="K292" s="258">
        <f t="shared" ca="1" si="98"/>
        <v>82.158857142857144</v>
      </c>
      <c r="L292" s="265">
        <f t="shared" si="99"/>
        <v>2.5249365671641786</v>
      </c>
      <c r="M292" s="265">
        <f t="shared" si="100"/>
        <v>1.500803571428571</v>
      </c>
      <c r="N292" s="265">
        <f t="shared" si="101"/>
        <v>0.82693877551020412</v>
      </c>
      <c r="O292" s="265">
        <f t="shared" ca="1" si="102"/>
        <v>87.011536056960097</v>
      </c>
      <c r="P292" s="265">
        <f t="shared" ca="1" si="103"/>
        <v>3.8056059340836654</v>
      </c>
      <c r="Q292" s="258">
        <f t="shared" ca="1" si="104"/>
        <v>50.134571428571427</v>
      </c>
      <c r="R292" s="265">
        <f t="shared" si="105"/>
        <v>2.5249365671641786</v>
      </c>
      <c r="S292" s="265">
        <f t="shared" si="106"/>
        <v>1.500803571428571</v>
      </c>
      <c r="T292" s="265">
        <f t="shared" si="107"/>
        <v>0.82693877551020412</v>
      </c>
      <c r="U292" s="265">
        <f t="shared" ca="1" si="108"/>
        <v>54.987250342674379</v>
      </c>
      <c r="V292" s="265">
        <f t="shared" ca="1" si="109"/>
        <v>2.4049662342018485</v>
      </c>
      <c r="W292" s="258">
        <f t="shared" ca="1" si="110"/>
        <v>12.323828571428573</v>
      </c>
      <c r="X292" s="265">
        <f t="shared" si="111"/>
        <v>2.5249365671641786</v>
      </c>
      <c r="Y292" s="265">
        <f t="shared" si="112"/>
        <v>1.500803571428571</v>
      </c>
      <c r="Z292" s="265">
        <f t="shared" si="113"/>
        <v>0.82693877551020412</v>
      </c>
      <c r="AA292" s="265">
        <f t="shared" ca="1" si="114"/>
        <v>17.176507485531527</v>
      </c>
      <c r="AB292" s="265">
        <f t="shared" ca="1" si="115"/>
        <v>0.75124542992759336</v>
      </c>
      <c r="AC292" s="258"/>
      <c r="AD292" s="258"/>
      <c r="AE292" s="258"/>
      <c r="AF292" s="258"/>
      <c r="AG292" s="258"/>
      <c r="AH292" s="258"/>
      <c r="AI292" s="258"/>
      <c r="AJ292" s="258"/>
      <c r="AK292" s="258"/>
      <c r="AL292" s="258"/>
      <c r="AM292" s="258"/>
    </row>
    <row r="293" spans="3:39" x14ac:dyDescent="0.25">
      <c r="C293" s="255" t="s">
        <v>6226</v>
      </c>
      <c r="D293" s="255">
        <v>0.61699999999999999</v>
      </c>
      <c r="E293" s="255">
        <v>3.1E-2</v>
      </c>
      <c r="F293" s="266">
        <v>50.243111831442462</v>
      </c>
      <c r="G293" s="266">
        <f t="shared" si="94"/>
        <v>19.903225806451612</v>
      </c>
      <c r="H293" s="265">
        <f t="shared" si="95"/>
        <v>0.35758706467661688</v>
      </c>
      <c r="I293" s="265">
        <f t="shared" si="96"/>
        <v>0.2790178571428571</v>
      </c>
      <c r="J293" s="265">
        <f t="shared" si="97"/>
        <v>0.14172335600907029</v>
      </c>
      <c r="K293" s="258">
        <f t="shared" ca="1" si="98"/>
        <v>74.040000000000006</v>
      </c>
      <c r="L293" s="265">
        <f t="shared" si="99"/>
        <v>2.5249365671641786</v>
      </c>
      <c r="M293" s="265">
        <f t="shared" si="100"/>
        <v>1.500803571428571</v>
      </c>
      <c r="N293" s="265">
        <f t="shared" si="101"/>
        <v>0.82693877551020412</v>
      </c>
      <c r="O293" s="265">
        <f t="shared" ca="1" si="102"/>
        <v>78.892678914102959</v>
      </c>
      <c r="P293" s="265">
        <f t="shared" ca="1" si="103"/>
        <v>3.814639779612524</v>
      </c>
      <c r="Q293" s="258">
        <f t="shared" ca="1" si="104"/>
        <v>45.180322580645161</v>
      </c>
      <c r="R293" s="265">
        <f t="shared" si="105"/>
        <v>2.5249365671641786</v>
      </c>
      <c r="S293" s="265">
        <f t="shared" si="106"/>
        <v>1.500803571428571</v>
      </c>
      <c r="T293" s="265">
        <f t="shared" si="107"/>
        <v>0.82693877551020412</v>
      </c>
      <c r="U293" s="265">
        <f t="shared" ca="1" si="108"/>
        <v>50.033001494748113</v>
      </c>
      <c r="V293" s="265">
        <f t="shared" ca="1" si="109"/>
        <v>2.4192089864647888</v>
      </c>
      <c r="W293" s="258">
        <f t="shared" ca="1" si="110"/>
        <v>11.106</v>
      </c>
      <c r="X293" s="265">
        <f t="shared" si="111"/>
        <v>2.5249365671641786</v>
      </c>
      <c r="Y293" s="265">
        <f t="shared" si="112"/>
        <v>1.500803571428571</v>
      </c>
      <c r="Z293" s="265">
        <f t="shared" si="113"/>
        <v>0.82693877551020412</v>
      </c>
      <c r="AA293" s="265">
        <f t="shared" ca="1" si="114"/>
        <v>15.958678914102954</v>
      </c>
      <c r="AB293" s="265">
        <f t="shared" ca="1" si="115"/>
        <v>0.77163828448622174</v>
      </c>
      <c r="AC293" s="258"/>
      <c r="AD293" s="258"/>
      <c r="AE293" s="258"/>
      <c r="AF293" s="258"/>
      <c r="AG293" s="258"/>
      <c r="AH293" s="258"/>
      <c r="AI293" s="258"/>
      <c r="AJ293" s="258"/>
      <c r="AK293" s="258"/>
      <c r="AL293" s="258"/>
      <c r="AM293" s="258"/>
    </row>
    <row r="294" spans="3:39" x14ac:dyDescent="0.25">
      <c r="C294" s="255" t="s">
        <v>6227</v>
      </c>
      <c r="D294" s="255">
        <v>0.499</v>
      </c>
      <c r="E294" s="255">
        <v>2.8000000000000001E-2</v>
      </c>
      <c r="F294" s="266">
        <v>56.112224448897798</v>
      </c>
      <c r="G294" s="266">
        <f t="shared" si="94"/>
        <v>17.821428571428569</v>
      </c>
      <c r="H294" s="265">
        <f t="shared" si="95"/>
        <v>0.35758706467661688</v>
      </c>
      <c r="I294" s="265">
        <f t="shared" si="96"/>
        <v>0.2790178571428571</v>
      </c>
      <c r="J294" s="265">
        <f t="shared" si="97"/>
        <v>0.14172335600907029</v>
      </c>
      <c r="K294" s="258">
        <f t="shared" ca="1" si="98"/>
        <v>66.295714285714283</v>
      </c>
      <c r="L294" s="265">
        <f t="shared" si="99"/>
        <v>2.5249365671641786</v>
      </c>
      <c r="M294" s="265">
        <f t="shared" si="100"/>
        <v>1.500803571428571</v>
      </c>
      <c r="N294" s="265">
        <f t="shared" si="101"/>
        <v>0.82693877551020412</v>
      </c>
      <c r="O294" s="265">
        <f t="shared" ca="1" si="102"/>
        <v>71.148393199817235</v>
      </c>
      <c r="P294" s="265">
        <f t="shared" ca="1" si="103"/>
        <v>3.8252324359099856</v>
      </c>
      <c r="Q294" s="258">
        <f t="shared" ca="1" si="104"/>
        <v>40.454642857142851</v>
      </c>
      <c r="R294" s="265">
        <f t="shared" si="105"/>
        <v>2.5249365671641786</v>
      </c>
      <c r="S294" s="265">
        <f t="shared" si="106"/>
        <v>1.500803571428571</v>
      </c>
      <c r="T294" s="265">
        <f t="shared" si="107"/>
        <v>0.82693877551020412</v>
      </c>
      <c r="U294" s="265">
        <f t="shared" ca="1" si="108"/>
        <v>45.307321771245803</v>
      </c>
      <c r="V294" s="265">
        <f t="shared" ca="1" si="109"/>
        <v>2.4359093583019287</v>
      </c>
      <c r="W294" s="258">
        <f t="shared" ca="1" si="110"/>
        <v>9.9443571428571431</v>
      </c>
      <c r="X294" s="265">
        <f t="shared" si="111"/>
        <v>2.5249365671641786</v>
      </c>
      <c r="Y294" s="265">
        <f t="shared" si="112"/>
        <v>1.500803571428571</v>
      </c>
      <c r="Z294" s="265">
        <f t="shared" si="113"/>
        <v>0.82693877551020412</v>
      </c>
      <c r="AA294" s="265">
        <f t="shared" ca="1" si="114"/>
        <v>14.797036056960097</v>
      </c>
      <c r="AB294" s="265">
        <f t="shared" ca="1" si="115"/>
        <v>0.79554997287779594</v>
      </c>
      <c r="AC294" s="258"/>
      <c r="AD294" s="258"/>
      <c r="AE294" s="258"/>
      <c r="AF294" s="258"/>
      <c r="AG294" s="258"/>
      <c r="AH294" s="258"/>
      <c r="AI294" s="258"/>
      <c r="AJ294" s="258"/>
      <c r="AK294" s="258"/>
      <c r="AL294" s="258"/>
      <c r="AM294" s="258"/>
    </row>
    <row r="295" spans="3:39" x14ac:dyDescent="0.25">
      <c r="C295" s="255" t="s">
        <v>6228</v>
      </c>
      <c r="D295" s="255">
        <v>0.39500000000000002</v>
      </c>
      <c r="E295" s="255">
        <v>2.5000000000000001E-2</v>
      </c>
      <c r="F295" s="266">
        <v>63.291139240506332</v>
      </c>
      <c r="G295" s="266">
        <f t="shared" si="94"/>
        <v>15.8</v>
      </c>
      <c r="H295" s="265">
        <f t="shared" si="95"/>
        <v>0.35758706467661688</v>
      </c>
      <c r="I295" s="265">
        <f t="shared" si="96"/>
        <v>0.2790178571428571</v>
      </c>
      <c r="J295" s="265">
        <f t="shared" si="97"/>
        <v>0.14172335600907029</v>
      </c>
      <c r="K295" s="258">
        <f t="shared" ca="1" si="98"/>
        <v>58.776000000000003</v>
      </c>
      <c r="L295" s="265">
        <f t="shared" si="99"/>
        <v>2.5249365671641786</v>
      </c>
      <c r="M295" s="265">
        <f t="shared" si="100"/>
        <v>1.500803571428571</v>
      </c>
      <c r="N295" s="265">
        <f t="shared" si="101"/>
        <v>0.82693877551020412</v>
      </c>
      <c r="O295" s="265">
        <f t="shared" ca="1" si="102"/>
        <v>63.628678914102956</v>
      </c>
      <c r="P295" s="265">
        <f t="shared" ca="1" si="103"/>
        <v>3.8380636363196166</v>
      </c>
      <c r="Q295" s="258">
        <f t="shared" ca="1" si="104"/>
        <v>35.866</v>
      </c>
      <c r="R295" s="265">
        <f t="shared" si="105"/>
        <v>2.5249365671641786</v>
      </c>
      <c r="S295" s="265">
        <f t="shared" si="106"/>
        <v>1.500803571428571</v>
      </c>
      <c r="T295" s="265">
        <f t="shared" si="107"/>
        <v>0.82693877551020412</v>
      </c>
      <c r="U295" s="265">
        <f t="shared" ca="1" si="108"/>
        <v>40.718678914102952</v>
      </c>
      <c r="V295" s="265">
        <f t="shared" ca="1" si="109"/>
        <v>2.4561390166558064</v>
      </c>
      <c r="W295" s="258">
        <f t="shared" ca="1" si="110"/>
        <v>8.8164000000000016</v>
      </c>
      <c r="X295" s="265">
        <f t="shared" si="111"/>
        <v>2.5249365671641786</v>
      </c>
      <c r="Y295" s="265">
        <f t="shared" si="112"/>
        <v>1.500803571428571</v>
      </c>
      <c r="Z295" s="265">
        <f t="shared" si="113"/>
        <v>0.82693877551020412</v>
      </c>
      <c r="AA295" s="265">
        <f t="shared" ca="1" si="114"/>
        <v>13.669078914102956</v>
      </c>
      <c r="AB295" s="265">
        <f t="shared" ca="1" si="115"/>
        <v>0.82451491399067356</v>
      </c>
      <c r="AC295" s="258"/>
      <c r="AD295" s="258"/>
      <c r="AE295" s="258"/>
      <c r="AF295" s="258"/>
      <c r="AG295" s="258"/>
      <c r="AH295" s="258"/>
      <c r="AI295" s="258"/>
      <c r="AJ295" s="258"/>
      <c r="AK295" s="258"/>
      <c r="AL295" s="258"/>
      <c r="AM295" s="258"/>
    </row>
    <row r="296" spans="3:39" x14ac:dyDescent="0.25">
      <c r="C296" s="255" t="s">
        <v>6229</v>
      </c>
      <c r="D296" s="255">
        <v>0.30199999999999999</v>
      </c>
      <c r="E296" s="255">
        <v>2.1999999999999999E-2</v>
      </c>
      <c r="F296" s="266">
        <v>72.847682119205302</v>
      </c>
      <c r="G296" s="266">
        <f t="shared" si="94"/>
        <v>13.727272727272728</v>
      </c>
      <c r="H296" s="265">
        <f t="shared" si="95"/>
        <v>0.35758706467661688</v>
      </c>
      <c r="I296" s="265">
        <f t="shared" si="96"/>
        <v>0.2790178571428571</v>
      </c>
      <c r="J296" s="265">
        <f t="shared" si="97"/>
        <v>0.14172335600907029</v>
      </c>
      <c r="K296" s="258">
        <f t="shared" ca="1" si="98"/>
        <v>51.06545454545455</v>
      </c>
      <c r="L296" s="265">
        <f t="shared" si="99"/>
        <v>2.5249365671641786</v>
      </c>
      <c r="M296" s="265">
        <f t="shared" si="100"/>
        <v>1.500803571428571</v>
      </c>
      <c r="N296" s="265">
        <f t="shared" si="101"/>
        <v>0.82693877551020412</v>
      </c>
      <c r="O296" s="265">
        <f t="shared" ca="1" si="102"/>
        <v>55.918133459557502</v>
      </c>
      <c r="P296" s="265">
        <f t="shared" ca="1" si="103"/>
        <v>3.8549339279284212</v>
      </c>
      <c r="Q296" s="258">
        <f t="shared" ca="1" si="104"/>
        <v>31.160909090909094</v>
      </c>
      <c r="R296" s="265">
        <f t="shared" si="105"/>
        <v>2.5249365671641786</v>
      </c>
      <c r="S296" s="265">
        <f t="shared" si="106"/>
        <v>1.500803571428571</v>
      </c>
      <c r="T296" s="265">
        <f t="shared" si="107"/>
        <v>0.82693877551020412</v>
      </c>
      <c r="U296" s="265">
        <f t="shared" ca="1" si="108"/>
        <v>36.013588005012046</v>
      </c>
      <c r="V296" s="265">
        <f t="shared" ca="1" si="109"/>
        <v>2.4827367023501425</v>
      </c>
      <c r="W296" s="258">
        <f t="shared" ca="1" si="110"/>
        <v>7.6598181818181832</v>
      </c>
      <c r="X296" s="265">
        <f t="shared" si="111"/>
        <v>2.5249365671641786</v>
      </c>
      <c r="Y296" s="265">
        <f t="shared" si="112"/>
        <v>1.500803571428571</v>
      </c>
      <c r="Z296" s="265">
        <f t="shared" si="113"/>
        <v>0.82693877551020412</v>
      </c>
      <c r="AA296" s="265">
        <f t="shared" ca="1" si="114"/>
        <v>12.512497095921137</v>
      </c>
      <c r="AB296" s="265">
        <f t="shared" ca="1" si="115"/>
        <v>0.86259763325358196</v>
      </c>
      <c r="AC296" s="258"/>
      <c r="AD296" s="258"/>
      <c r="AE296" s="258"/>
      <c r="AF296" s="258"/>
      <c r="AG296" s="258"/>
      <c r="AH296" s="258"/>
      <c r="AI296" s="258"/>
      <c r="AJ296" s="258"/>
      <c r="AK296" s="258"/>
      <c r="AL296" s="258"/>
      <c r="AM296" s="258"/>
    </row>
    <row r="297" spans="3:39" x14ac:dyDescent="0.25">
      <c r="C297" s="255" t="s">
        <v>6230</v>
      </c>
      <c r="D297" s="255">
        <v>0.26</v>
      </c>
      <c r="E297" s="255">
        <v>0.02</v>
      </c>
      <c r="F297" s="266">
        <v>76.923076923076934</v>
      </c>
      <c r="G297" s="266">
        <f t="shared" si="94"/>
        <v>13</v>
      </c>
      <c r="H297" s="265">
        <f t="shared" si="95"/>
        <v>0.35758706467661688</v>
      </c>
      <c r="I297" s="265">
        <f t="shared" si="96"/>
        <v>0.2790178571428571</v>
      </c>
      <c r="J297" s="265">
        <f t="shared" si="97"/>
        <v>0.14172335600907029</v>
      </c>
      <c r="K297" s="258">
        <f t="shared" ca="1" si="98"/>
        <v>48.36</v>
      </c>
      <c r="L297" s="265">
        <f t="shared" si="99"/>
        <v>2.5249365671641786</v>
      </c>
      <c r="M297" s="265">
        <f t="shared" si="100"/>
        <v>1.500803571428571</v>
      </c>
      <c r="N297" s="265">
        <f t="shared" si="101"/>
        <v>0.82693877551020412</v>
      </c>
      <c r="O297" s="265">
        <f t="shared" ca="1" si="102"/>
        <v>53.212678914102952</v>
      </c>
      <c r="P297" s="265">
        <f t="shared" ca="1" si="103"/>
        <v>3.8620562553826185</v>
      </c>
      <c r="Q297" s="258">
        <f t="shared" ca="1" si="104"/>
        <v>29.51</v>
      </c>
      <c r="R297" s="265">
        <f t="shared" si="105"/>
        <v>2.5249365671641786</v>
      </c>
      <c r="S297" s="265">
        <f t="shared" si="106"/>
        <v>1.500803571428571</v>
      </c>
      <c r="T297" s="265">
        <f t="shared" si="107"/>
        <v>0.82693877551020412</v>
      </c>
      <c r="U297" s="265">
        <f t="shared" ca="1" si="108"/>
        <v>34.362678914102958</v>
      </c>
      <c r="V297" s="265">
        <f t="shared" ca="1" si="109"/>
        <v>2.4939657570358378</v>
      </c>
      <c r="W297" s="258">
        <f t="shared" ca="1" si="110"/>
        <v>7.2540000000000004</v>
      </c>
      <c r="X297" s="265">
        <f t="shared" si="111"/>
        <v>2.5249365671641786</v>
      </c>
      <c r="Y297" s="265">
        <f t="shared" si="112"/>
        <v>1.500803571428571</v>
      </c>
      <c r="Z297" s="265">
        <f t="shared" si="113"/>
        <v>0.82693877551020412</v>
      </c>
      <c r="AA297" s="265">
        <f t="shared" ca="1" si="114"/>
        <v>12.106678914102954</v>
      </c>
      <c r="AB297" s="265">
        <f t="shared" ca="1" si="115"/>
        <v>0.87867545829812077</v>
      </c>
      <c r="AC297" s="258"/>
      <c r="AD297" s="258"/>
      <c r="AE297" s="258"/>
      <c r="AF297" s="258"/>
      <c r="AG297" s="258"/>
      <c r="AH297" s="258"/>
      <c r="AI297" s="258"/>
      <c r="AJ297" s="258"/>
      <c r="AK297" s="258"/>
      <c r="AL297" s="258"/>
      <c r="AM297" s="258"/>
    </row>
    <row r="298" spans="3:39" x14ac:dyDescent="0.25">
      <c r="C298" s="255" t="s">
        <v>6231</v>
      </c>
      <c r="D298" s="255">
        <v>0.187</v>
      </c>
      <c r="E298" s="255">
        <v>1.7000000000000001E-2</v>
      </c>
      <c r="F298" s="266">
        <v>90.909090909090907</v>
      </c>
      <c r="G298" s="266">
        <f t="shared" si="94"/>
        <v>11</v>
      </c>
      <c r="H298" s="265">
        <f t="shared" si="95"/>
        <v>0.35758706467661688</v>
      </c>
      <c r="I298" s="265">
        <f t="shared" si="96"/>
        <v>0.2790178571428571</v>
      </c>
      <c r="J298" s="265">
        <f t="shared" si="97"/>
        <v>0.14172335600907029</v>
      </c>
      <c r="K298" s="258">
        <f t="shared" ca="1" si="98"/>
        <v>40.92</v>
      </c>
      <c r="L298" s="265">
        <f t="shared" si="99"/>
        <v>2.5249365671641786</v>
      </c>
      <c r="M298" s="265">
        <f t="shared" si="100"/>
        <v>1.500803571428571</v>
      </c>
      <c r="N298" s="265">
        <f t="shared" si="101"/>
        <v>0.82693877551020412</v>
      </c>
      <c r="O298" s="265">
        <f t="shared" ca="1" si="102"/>
        <v>45.772678914102954</v>
      </c>
      <c r="P298" s="265">
        <f t="shared" ca="1" si="103"/>
        <v>3.8861778882717317</v>
      </c>
      <c r="Q298" s="258">
        <f t="shared" ca="1" si="104"/>
        <v>24.97</v>
      </c>
      <c r="R298" s="265">
        <f t="shared" si="105"/>
        <v>2.5249365671641786</v>
      </c>
      <c r="S298" s="265">
        <f t="shared" si="106"/>
        <v>1.500803571428571</v>
      </c>
      <c r="T298" s="265">
        <f t="shared" si="107"/>
        <v>0.82693877551020412</v>
      </c>
      <c r="U298" s="265">
        <f t="shared" ca="1" si="108"/>
        <v>29.822678914102951</v>
      </c>
      <c r="V298" s="265">
        <f t="shared" ca="1" si="109"/>
        <v>2.5319959004913275</v>
      </c>
      <c r="W298" s="258">
        <f t="shared" ca="1" si="110"/>
        <v>6.1380000000000008</v>
      </c>
      <c r="X298" s="265">
        <f t="shared" si="111"/>
        <v>2.5249365671641786</v>
      </c>
      <c r="Y298" s="265">
        <f t="shared" si="112"/>
        <v>1.500803571428571</v>
      </c>
      <c r="Z298" s="265">
        <f t="shared" si="113"/>
        <v>0.82693877551020412</v>
      </c>
      <c r="AA298" s="265">
        <f t="shared" ca="1" si="114"/>
        <v>10.990678914102954</v>
      </c>
      <c r="AB298" s="265">
        <f t="shared" ca="1" si="115"/>
        <v>0.93312723629818872</v>
      </c>
      <c r="AC298" s="258"/>
      <c r="AD298" s="258"/>
      <c r="AE298" s="258"/>
      <c r="AF298" s="258"/>
      <c r="AG298" s="258"/>
      <c r="AH298" s="258"/>
      <c r="AI298" s="258"/>
      <c r="AJ298" s="258"/>
      <c r="AK298" s="258"/>
      <c r="AL298" s="258"/>
      <c r="AM298" s="258"/>
    </row>
    <row r="299" spans="3:39" x14ac:dyDescent="0.25">
      <c r="C299" s="255" t="s">
        <v>6232</v>
      </c>
      <c r="D299" s="255">
        <v>61.7</v>
      </c>
      <c r="E299" s="255">
        <v>0.314</v>
      </c>
      <c r="F299" s="266">
        <v>5.0891410048622365</v>
      </c>
      <c r="G299" s="266">
        <f t="shared" si="94"/>
        <v>196.49681528662421</v>
      </c>
      <c r="H299" s="265">
        <f t="shared" si="95"/>
        <v>0.35758706467661688</v>
      </c>
      <c r="I299" s="265">
        <f t="shared" si="96"/>
        <v>0.2790178571428571</v>
      </c>
      <c r="J299" s="265">
        <f t="shared" si="97"/>
        <v>0.14172335600907029</v>
      </c>
      <c r="K299" s="258">
        <f t="shared" ca="1" si="98"/>
        <v>730.96815286624212</v>
      </c>
      <c r="L299" s="265">
        <f t="shared" si="99"/>
        <v>2.5249365671641786</v>
      </c>
      <c r="M299" s="265">
        <f t="shared" si="100"/>
        <v>1.500803571428571</v>
      </c>
      <c r="N299" s="265">
        <f t="shared" si="101"/>
        <v>0.82693877551020412</v>
      </c>
      <c r="O299" s="265">
        <f t="shared" ca="1" si="102"/>
        <v>735.8208317803452</v>
      </c>
      <c r="P299" s="265">
        <f t="shared" ca="1" si="103"/>
        <v>3.7299216641550257</v>
      </c>
      <c r="Q299" s="258">
        <f t="shared" ca="1" si="104"/>
        <v>446.04777070063699</v>
      </c>
      <c r="R299" s="265">
        <f t="shared" si="105"/>
        <v>2.5249365671641786</v>
      </c>
      <c r="S299" s="265">
        <f t="shared" si="106"/>
        <v>1.500803571428571</v>
      </c>
      <c r="T299" s="265">
        <f t="shared" si="107"/>
        <v>0.82693877551020412</v>
      </c>
      <c r="U299" s="265">
        <f t="shared" ca="1" si="108"/>
        <v>450.9004496147399</v>
      </c>
      <c r="V299" s="265">
        <f t="shared" ca="1" si="109"/>
        <v>2.2856424862639826</v>
      </c>
      <c r="W299" s="258">
        <f t="shared" ca="1" si="110"/>
        <v>109.64522292993632</v>
      </c>
      <c r="X299" s="265">
        <f t="shared" si="111"/>
        <v>2.5249365671641786</v>
      </c>
      <c r="Y299" s="265">
        <f t="shared" si="112"/>
        <v>1.500803571428571</v>
      </c>
      <c r="Z299" s="265">
        <f t="shared" si="113"/>
        <v>0.82693877551020412</v>
      </c>
      <c r="AA299" s="265">
        <f t="shared" ca="1" si="114"/>
        <v>114.49790184403928</v>
      </c>
      <c r="AB299" s="265">
        <f t="shared" ca="1" si="115"/>
        <v>0.58039700174711106</v>
      </c>
      <c r="AC299" s="258"/>
      <c r="AD299" s="258"/>
      <c r="AE299" s="258"/>
      <c r="AF299" s="258"/>
      <c r="AG299" s="258"/>
      <c r="AH299" s="258"/>
      <c r="AI299" s="258"/>
      <c r="AJ299" s="258"/>
      <c r="AK299" s="258"/>
      <c r="AL299" s="258"/>
      <c r="AM299" s="258"/>
    </row>
    <row r="300" spans="3:39" x14ac:dyDescent="0.25">
      <c r="C300" s="255" t="s">
        <v>6233</v>
      </c>
      <c r="D300" s="255">
        <v>49.9</v>
      </c>
      <c r="E300" s="255">
        <v>0.28299999999999997</v>
      </c>
      <c r="F300" s="266">
        <v>5.6713426853707416</v>
      </c>
      <c r="G300" s="266">
        <f t="shared" si="94"/>
        <v>176.32508833922262</v>
      </c>
      <c r="H300" s="265">
        <f t="shared" si="95"/>
        <v>0.35758706467661688</v>
      </c>
      <c r="I300" s="265">
        <f t="shared" si="96"/>
        <v>0.2790178571428571</v>
      </c>
      <c r="J300" s="265">
        <f t="shared" si="97"/>
        <v>0.14172335600907029</v>
      </c>
      <c r="K300" s="258">
        <f t="shared" ca="1" si="98"/>
        <v>655.92932862190821</v>
      </c>
      <c r="L300" s="265">
        <f t="shared" si="99"/>
        <v>2.5249365671641786</v>
      </c>
      <c r="M300" s="265">
        <f t="shared" si="100"/>
        <v>1.500803571428571</v>
      </c>
      <c r="N300" s="265">
        <f t="shared" si="101"/>
        <v>0.82693877551020412</v>
      </c>
      <c r="O300" s="265">
        <f t="shared" ca="1" si="102"/>
        <v>660.78200753601129</v>
      </c>
      <c r="P300" s="265">
        <f t="shared" ca="1" si="103"/>
        <v>3.7310517219710855</v>
      </c>
      <c r="Q300" s="258">
        <f t="shared" ca="1" si="104"/>
        <v>400.25795053003532</v>
      </c>
      <c r="R300" s="265">
        <f t="shared" si="105"/>
        <v>2.5249365671641786</v>
      </c>
      <c r="S300" s="265">
        <f t="shared" si="106"/>
        <v>1.500803571428571</v>
      </c>
      <c r="T300" s="265">
        <f t="shared" si="107"/>
        <v>0.82693877551020412</v>
      </c>
      <c r="U300" s="265">
        <f t="shared" ca="1" si="108"/>
        <v>405.11062944413823</v>
      </c>
      <c r="V300" s="265">
        <f t="shared" ca="1" si="109"/>
        <v>2.2874241343412627</v>
      </c>
      <c r="W300" s="258">
        <f t="shared" ca="1" si="110"/>
        <v>98.389399293286232</v>
      </c>
      <c r="X300" s="265">
        <f t="shared" si="111"/>
        <v>2.5249365671641786</v>
      </c>
      <c r="Y300" s="265">
        <f t="shared" si="112"/>
        <v>1.500803571428571</v>
      </c>
      <c r="Z300" s="265">
        <f t="shared" si="113"/>
        <v>0.82693877551020412</v>
      </c>
      <c r="AA300" s="265">
        <f t="shared" ca="1" si="114"/>
        <v>103.24207820738918</v>
      </c>
      <c r="AB300" s="265">
        <f t="shared" ca="1" si="115"/>
        <v>0.58294797570522561</v>
      </c>
      <c r="AC300" s="258"/>
      <c r="AD300" s="258"/>
      <c r="AE300" s="258"/>
      <c r="AF300" s="258"/>
      <c r="AG300" s="258"/>
      <c r="AH300" s="258"/>
      <c r="AI300" s="258"/>
      <c r="AJ300" s="258"/>
      <c r="AK300" s="258"/>
      <c r="AL300" s="258"/>
      <c r="AM300" s="258"/>
    </row>
    <row r="301" spans="3:39" x14ac:dyDescent="0.25">
      <c r="C301" s="255" t="s">
        <v>6234</v>
      </c>
      <c r="D301" s="255">
        <v>39.5</v>
      </c>
      <c r="E301" s="255">
        <v>0.251</v>
      </c>
      <c r="F301" s="266">
        <v>6.3544303797468356</v>
      </c>
      <c r="G301" s="266">
        <f t="shared" si="94"/>
        <v>157.37051792828686</v>
      </c>
      <c r="H301" s="265">
        <f t="shared" si="95"/>
        <v>0.35758706467661688</v>
      </c>
      <c r="I301" s="265">
        <f t="shared" si="96"/>
        <v>0.2790178571428571</v>
      </c>
      <c r="J301" s="265">
        <f t="shared" si="97"/>
        <v>0.14172335600907029</v>
      </c>
      <c r="K301" s="258">
        <f t="shared" ca="1" si="98"/>
        <v>585.41832669322719</v>
      </c>
      <c r="L301" s="265">
        <f t="shared" si="99"/>
        <v>2.5249365671641786</v>
      </c>
      <c r="M301" s="265">
        <f t="shared" si="100"/>
        <v>1.500803571428571</v>
      </c>
      <c r="N301" s="265">
        <f t="shared" si="101"/>
        <v>0.82693877551020412</v>
      </c>
      <c r="O301" s="265">
        <f t="shared" ca="1" si="102"/>
        <v>590.27100560733027</v>
      </c>
      <c r="P301" s="265">
        <f t="shared" ca="1" si="103"/>
        <v>3.7323763009818616</v>
      </c>
      <c r="Q301" s="258">
        <f t="shared" ca="1" si="104"/>
        <v>357.23107569721117</v>
      </c>
      <c r="R301" s="265">
        <f t="shared" si="105"/>
        <v>2.5249365671641786</v>
      </c>
      <c r="S301" s="265">
        <f t="shared" si="106"/>
        <v>1.500803571428571</v>
      </c>
      <c r="T301" s="265">
        <f t="shared" si="107"/>
        <v>0.82693877551020412</v>
      </c>
      <c r="U301" s="265">
        <f t="shared" ca="1" si="108"/>
        <v>362.08375461131408</v>
      </c>
      <c r="V301" s="265">
        <f t="shared" ca="1" si="109"/>
        <v>2.289512464348999</v>
      </c>
      <c r="W301" s="258">
        <f t="shared" ca="1" si="110"/>
        <v>87.812749003984081</v>
      </c>
      <c r="X301" s="265">
        <f t="shared" si="111"/>
        <v>2.5249365671641786</v>
      </c>
      <c r="Y301" s="265">
        <f t="shared" si="112"/>
        <v>1.500803571428571</v>
      </c>
      <c r="Z301" s="265">
        <f t="shared" si="113"/>
        <v>0.82693877551020412</v>
      </c>
      <c r="AA301" s="265">
        <f t="shared" ca="1" si="114"/>
        <v>92.665427918087033</v>
      </c>
      <c r="AB301" s="265">
        <f t="shared" ca="1" si="115"/>
        <v>0.58593805861420056</v>
      </c>
      <c r="AC301" s="258"/>
      <c r="AD301" s="258"/>
      <c r="AE301" s="258"/>
      <c r="AF301" s="258"/>
      <c r="AG301" s="258"/>
      <c r="AH301" s="258"/>
      <c r="AI301" s="258"/>
      <c r="AJ301" s="258"/>
      <c r="AK301" s="258"/>
      <c r="AL301" s="258"/>
      <c r="AM301" s="258"/>
    </row>
    <row r="302" spans="3:39" x14ac:dyDescent="0.25">
      <c r="C302" s="255" t="s">
        <v>6235</v>
      </c>
      <c r="D302" s="255">
        <v>34.700000000000003</v>
      </c>
      <c r="E302" s="255">
        <v>0.23599999999999999</v>
      </c>
      <c r="F302" s="266">
        <v>6.8011527377521599</v>
      </c>
      <c r="G302" s="266">
        <f t="shared" si="94"/>
        <v>147.03389830508476</v>
      </c>
      <c r="H302" s="265">
        <f t="shared" si="95"/>
        <v>0.35758706467661688</v>
      </c>
      <c r="I302" s="265">
        <f t="shared" si="96"/>
        <v>0.2790178571428571</v>
      </c>
      <c r="J302" s="265">
        <f t="shared" si="97"/>
        <v>0.14172335600907029</v>
      </c>
      <c r="K302" s="258">
        <f t="shared" ca="1" si="98"/>
        <v>546.96610169491532</v>
      </c>
      <c r="L302" s="265">
        <f t="shared" si="99"/>
        <v>2.5249365671641786</v>
      </c>
      <c r="M302" s="265">
        <f t="shared" si="100"/>
        <v>1.500803571428571</v>
      </c>
      <c r="N302" s="265">
        <f t="shared" si="101"/>
        <v>0.82693877551020412</v>
      </c>
      <c r="O302" s="265">
        <f t="shared" ca="1" si="102"/>
        <v>551.8187806090184</v>
      </c>
      <c r="P302" s="265">
        <f t="shared" ca="1" si="103"/>
        <v>3.7332417849715771</v>
      </c>
      <c r="Q302" s="258">
        <f t="shared" ca="1" si="104"/>
        <v>333.7669491525424</v>
      </c>
      <c r="R302" s="265">
        <f t="shared" si="105"/>
        <v>2.5249365671641786</v>
      </c>
      <c r="S302" s="265">
        <f t="shared" si="106"/>
        <v>1.500803571428571</v>
      </c>
      <c r="T302" s="265">
        <f t="shared" si="107"/>
        <v>0.82693877551020412</v>
      </c>
      <c r="U302" s="265">
        <f t="shared" ca="1" si="108"/>
        <v>338.6196280666453</v>
      </c>
      <c r="V302" s="265">
        <f t="shared" ca="1" si="109"/>
        <v>2.2908769855834703</v>
      </c>
      <c r="W302" s="258">
        <f t="shared" ca="1" si="110"/>
        <v>82.04491525423731</v>
      </c>
      <c r="X302" s="265">
        <f t="shared" si="111"/>
        <v>2.5249365671641786</v>
      </c>
      <c r="Y302" s="265">
        <f t="shared" si="112"/>
        <v>1.500803571428571</v>
      </c>
      <c r="Z302" s="265">
        <f t="shared" si="113"/>
        <v>0.82693877551020412</v>
      </c>
      <c r="AA302" s="265">
        <f t="shared" ca="1" si="114"/>
        <v>86.897594168340262</v>
      </c>
      <c r="AB302" s="265">
        <f t="shared" ca="1" si="115"/>
        <v>0.58789178796110086</v>
      </c>
      <c r="AC302" s="258"/>
      <c r="AD302" s="258"/>
      <c r="AE302" s="258"/>
      <c r="AF302" s="258"/>
      <c r="AG302" s="258"/>
      <c r="AH302" s="258"/>
      <c r="AI302" s="258"/>
      <c r="AJ302" s="258"/>
      <c r="AK302" s="258"/>
      <c r="AL302" s="258"/>
      <c r="AM302" s="258"/>
    </row>
    <row r="303" spans="3:39" x14ac:dyDescent="0.25">
      <c r="C303" s="255" t="s">
        <v>6236</v>
      </c>
      <c r="D303" s="267">
        <v>26</v>
      </c>
      <c r="E303" s="255">
        <v>0.20399999999999999</v>
      </c>
      <c r="F303" s="266">
        <v>7.8461538461538467</v>
      </c>
      <c r="G303" s="266">
        <f t="shared" si="94"/>
        <v>127.45098039215686</v>
      </c>
      <c r="H303" s="265">
        <f t="shared" si="95"/>
        <v>0.35758706467661688</v>
      </c>
      <c r="I303" s="265">
        <f t="shared" si="96"/>
        <v>0.2790178571428571</v>
      </c>
      <c r="J303" s="265">
        <f t="shared" si="97"/>
        <v>0.14172335600907029</v>
      </c>
      <c r="K303" s="258">
        <f t="shared" ca="1" si="98"/>
        <v>474.11764705882354</v>
      </c>
      <c r="L303" s="265">
        <f t="shared" si="99"/>
        <v>2.5249365671641786</v>
      </c>
      <c r="M303" s="265">
        <f t="shared" si="100"/>
        <v>1.500803571428571</v>
      </c>
      <c r="N303" s="265">
        <f t="shared" si="101"/>
        <v>0.82693877551020412</v>
      </c>
      <c r="O303" s="265">
        <f t="shared" ca="1" si="102"/>
        <v>478.97032597292645</v>
      </c>
      <c r="P303" s="265">
        <f t="shared" ca="1" si="103"/>
        <v>3.7352640433055604</v>
      </c>
      <c r="Q303" s="258">
        <f t="shared" ca="1" si="104"/>
        <v>289.31372549019608</v>
      </c>
      <c r="R303" s="265">
        <f t="shared" si="105"/>
        <v>2.5249365671641786</v>
      </c>
      <c r="S303" s="265">
        <f t="shared" si="106"/>
        <v>1.500803571428571</v>
      </c>
      <c r="T303" s="265">
        <f t="shared" si="107"/>
        <v>0.82693877551020412</v>
      </c>
      <c r="U303" s="265">
        <f t="shared" ca="1" si="108"/>
        <v>294.16640440429899</v>
      </c>
      <c r="V303" s="265">
        <f t="shared" ca="1" si="109"/>
        <v>2.2940652761481699</v>
      </c>
      <c r="W303" s="258">
        <f t="shared" ca="1" si="110"/>
        <v>71.117647058823536</v>
      </c>
      <c r="X303" s="265">
        <f t="shared" si="111"/>
        <v>2.5249365671641786</v>
      </c>
      <c r="Y303" s="265">
        <f t="shared" si="112"/>
        <v>1.500803571428571</v>
      </c>
      <c r="Z303" s="265">
        <f t="shared" si="113"/>
        <v>0.82693877551020412</v>
      </c>
      <c r="AA303" s="265">
        <f t="shared" ca="1" si="114"/>
        <v>75.970325972926489</v>
      </c>
      <c r="AB303" s="265">
        <f t="shared" ca="1" si="115"/>
        <v>0.59245680071820295</v>
      </c>
      <c r="AC303" s="258"/>
      <c r="AD303" s="258"/>
      <c r="AE303" s="258"/>
      <c r="AF303" s="258"/>
      <c r="AG303" s="258"/>
      <c r="AH303" s="258"/>
      <c r="AI303" s="258"/>
      <c r="AJ303" s="258"/>
      <c r="AK303" s="258"/>
      <c r="AL303" s="258"/>
      <c r="AM303" s="258"/>
    </row>
    <row r="304" spans="3:39" x14ac:dyDescent="0.25">
      <c r="C304" s="255" t="s">
        <v>6237</v>
      </c>
      <c r="D304" s="255">
        <v>22.2</v>
      </c>
      <c r="E304" s="255">
        <v>0.188</v>
      </c>
      <c r="F304" s="266">
        <v>8.468468468468469</v>
      </c>
      <c r="G304" s="266">
        <f t="shared" si="94"/>
        <v>118.08510638297872</v>
      </c>
      <c r="H304" s="265">
        <f t="shared" si="95"/>
        <v>0.35758706467661688</v>
      </c>
      <c r="I304" s="265">
        <f t="shared" si="96"/>
        <v>0.2790178571428571</v>
      </c>
      <c r="J304" s="265">
        <f t="shared" si="97"/>
        <v>0.14172335600907029</v>
      </c>
      <c r="K304" s="258">
        <f t="shared" ca="1" si="98"/>
        <v>439.27659574468089</v>
      </c>
      <c r="L304" s="265">
        <f t="shared" si="99"/>
        <v>2.5249365671641786</v>
      </c>
      <c r="M304" s="265">
        <f t="shared" si="100"/>
        <v>1.500803571428571</v>
      </c>
      <c r="N304" s="265">
        <f t="shared" si="101"/>
        <v>0.82693877551020412</v>
      </c>
      <c r="O304" s="265">
        <f t="shared" ca="1" si="102"/>
        <v>444.1292746587838</v>
      </c>
      <c r="P304" s="265">
        <f t="shared" ca="1" si="103"/>
        <v>3.7364667774085962</v>
      </c>
      <c r="Q304" s="258">
        <f t="shared" ca="1" si="104"/>
        <v>268.05319148936172</v>
      </c>
      <c r="R304" s="265">
        <f t="shared" si="105"/>
        <v>2.5249365671641786</v>
      </c>
      <c r="S304" s="265">
        <f t="shared" si="106"/>
        <v>1.500803571428571</v>
      </c>
      <c r="T304" s="265">
        <f t="shared" si="107"/>
        <v>0.82693877551020412</v>
      </c>
      <c r="U304" s="265">
        <f t="shared" ca="1" si="108"/>
        <v>272.90587040346463</v>
      </c>
      <c r="V304" s="265">
        <f t="shared" ca="1" si="109"/>
        <v>2.295961505590328</v>
      </c>
      <c r="W304" s="258">
        <f t="shared" ca="1" si="110"/>
        <v>65.891489361702128</v>
      </c>
      <c r="X304" s="265">
        <f t="shared" si="111"/>
        <v>2.5249365671641786</v>
      </c>
      <c r="Y304" s="265">
        <f t="shared" si="112"/>
        <v>1.500803571428571</v>
      </c>
      <c r="Z304" s="265">
        <f t="shared" si="113"/>
        <v>0.82693877551020412</v>
      </c>
      <c r="AA304" s="265">
        <f t="shared" ca="1" si="114"/>
        <v>70.74416827580508</v>
      </c>
      <c r="AB304" s="265">
        <f t="shared" ca="1" si="115"/>
        <v>0.59517183293317277</v>
      </c>
      <c r="AC304" s="258"/>
      <c r="AD304" s="258"/>
      <c r="AE304" s="258"/>
      <c r="AF304" s="258"/>
      <c r="AG304" s="258"/>
      <c r="AH304" s="258"/>
      <c r="AI304" s="258"/>
      <c r="AJ304" s="258"/>
      <c r="AK304" s="258"/>
      <c r="AL304" s="258"/>
      <c r="AM304" s="258"/>
    </row>
    <row r="305" spans="3:39" x14ac:dyDescent="0.25">
      <c r="C305" s="255" t="s">
        <v>6238</v>
      </c>
      <c r="D305" s="255">
        <v>19.3</v>
      </c>
      <c r="E305" s="255">
        <v>0.17599999999999999</v>
      </c>
      <c r="F305" s="266">
        <v>9.1191709844559572</v>
      </c>
      <c r="G305" s="266">
        <f t="shared" si="94"/>
        <v>109.65909090909092</v>
      </c>
      <c r="H305" s="265">
        <f t="shared" si="95"/>
        <v>0.35758706467661688</v>
      </c>
      <c r="I305" s="265">
        <f t="shared" si="96"/>
        <v>0.2790178571428571</v>
      </c>
      <c r="J305" s="265">
        <f t="shared" si="97"/>
        <v>0.14172335600907029</v>
      </c>
      <c r="K305" s="258">
        <f t="shared" ca="1" si="98"/>
        <v>407.93181818181824</v>
      </c>
      <c r="L305" s="265">
        <f t="shared" si="99"/>
        <v>2.5249365671641786</v>
      </c>
      <c r="M305" s="265">
        <f t="shared" si="100"/>
        <v>1.500803571428571</v>
      </c>
      <c r="N305" s="265">
        <f t="shared" si="101"/>
        <v>0.82693877551020412</v>
      </c>
      <c r="O305" s="265">
        <f t="shared" ca="1" si="102"/>
        <v>412.78449709592115</v>
      </c>
      <c r="P305" s="265">
        <f t="shared" ca="1" si="103"/>
        <v>3.7377231389051921</v>
      </c>
      <c r="Q305" s="258">
        <f t="shared" ca="1" si="104"/>
        <v>248.9261363636364</v>
      </c>
      <c r="R305" s="265">
        <f t="shared" si="105"/>
        <v>2.5249365671641786</v>
      </c>
      <c r="S305" s="265">
        <f t="shared" si="106"/>
        <v>1.500803571428571</v>
      </c>
      <c r="T305" s="265">
        <f t="shared" si="107"/>
        <v>0.82693877551020412</v>
      </c>
      <c r="U305" s="265">
        <f t="shared" ca="1" si="108"/>
        <v>253.77881527773937</v>
      </c>
      <c r="V305" s="265">
        <f t="shared" ca="1" si="109"/>
        <v>2.2979422839301344</v>
      </c>
      <c r="W305" s="258">
        <f t="shared" ca="1" si="110"/>
        <v>61.189772727272739</v>
      </c>
      <c r="X305" s="265">
        <f t="shared" si="111"/>
        <v>2.5249365671641786</v>
      </c>
      <c r="Y305" s="265">
        <f t="shared" si="112"/>
        <v>1.500803571428571</v>
      </c>
      <c r="Z305" s="265">
        <f t="shared" si="113"/>
        <v>0.82693877551020412</v>
      </c>
      <c r="AA305" s="265">
        <f t="shared" ca="1" si="114"/>
        <v>66.042451641375692</v>
      </c>
      <c r="AB305" s="265">
        <f t="shared" ca="1" si="115"/>
        <v>0.59800792274578929</v>
      </c>
      <c r="AC305" s="258"/>
      <c r="AD305" s="258"/>
      <c r="AE305" s="258"/>
      <c r="AF305" s="258"/>
      <c r="AG305" s="258"/>
      <c r="AH305" s="258"/>
      <c r="AI305" s="258"/>
      <c r="AJ305" s="258"/>
      <c r="AK305" s="258"/>
      <c r="AL305" s="258"/>
      <c r="AM305" s="258"/>
    </row>
    <row r="306" spans="3:39" x14ac:dyDescent="0.25">
      <c r="C306" s="255" t="s">
        <v>6239</v>
      </c>
      <c r="D306" s="255">
        <v>15.4</v>
      </c>
      <c r="E306" s="255">
        <v>0.157</v>
      </c>
      <c r="F306" s="266">
        <v>10.194805194805195</v>
      </c>
      <c r="G306" s="266">
        <f t="shared" si="94"/>
        <v>98.089171974522301</v>
      </c>
      <c r="H306" s="265">
        <f t="shared" si="95"/>
        <v>0.35758706467661688</v>
      </c>
      <c r="I306" s="265">
        <f t="shared" si="96"/>
        <v>0.2790178571428571</v>
      </c>
      <c r="J306" s="265">
        <f t="shared" si="97"/>
        <v>0.14172335600907029</v>
      </c>
      <c r="K306" s="258">
        <f t="shared" ca="1" si="98"/>
        <v>364.89171974522299</v>
      </c>
      <c r="L306" s="265">
        <f t="shared" si="99"/>
        <v>2.5249365671641786</v>
      </c>
      <c r="M306" s="265">
        <f t="shared" si="100"/>
        <v>1.500803571428571</v>
      </c>
      <c r="N306" s="265">
        <f t="shared" si="101"/>
        <v>0.82693877551020412</v>
      </c>
      <c r="O306" s="265">
        <f t="shared" ca="1" si="102"/>
        <v>369.7443986593259</v>
      </c>
      <c r="P306" s="265">
        <f t="shared" ca="1" si="103"/>
        <v>3.7397971802218617</v>
      </c>
      <c r="Q306" s="258">
        <f t="shared" ca="1" si="104"/>
        <v>222.66242038216564</v>
      </c>
      <c r="R306" s="265">
        <f t="shared" si="105"/>
        <v>2.5249365671641786</v>
      </c>
      <c r="S306" s="265">
        <f t="shared" si="106"/>
        <v>1.500803571428571</v>
      </c>
      <c r="T306" s="265">
        <f t="shared" si="107"/>
        <v>0.82693877551020412</v>
      </c>
      <c r="U306" s="265">
        <f t="shared" ca="1" si="108"/>
        <v>227.5150992962686</v>
      </c>
      <c r="V306" s="265">
        <f t="shared" ca="1" si="109"/>
        <v>2.3012122154960504</v>
      </c>
      <c r="W306" s="258">
        <f t="shared" ca="1" si="110"/>
        <v>54.733757961783446</v>
      </c>
      <c r="X306" s="265">
        <f t="shared" si="111"/>
        <v>2.5249365671641786</v>
      </c>
      <c r="Y306" s="265">
        <f t="shared" si="112"/>
        <v>1.500803571428571</v>
      </c>
      <c r="Z306" s="265">
        <f t="shared" si="113"/>
        <v>0.82693877551020412</v>
      </c>
      <c r="AA306" s="265">
        <f t="shared" ca="1" si="114"/>
        <v>59.586436875886399</v>
      </c>
      <c r="AB306" s="265">
        <f t="shared" ca="1" si="115"/>
        <v>0.60268982955771222</v>
      </c>
      <c r="AC306" s="258"/>
      <c r="AD306" s="258"/>
      <c r="AE306" s="258"/>
      <c r="AF306" s="258"/>
      <c r="AG306" s="258"/>
      <c r="AH306" s="258"/>
      <c r="AI306" s="258"/>
      <c r="AJ306" s="258"/>
      <c r="AK306" s="258"/>
      <c r="AL306" s="258"/>
      <c r="AM306" s="258"/>
    </row>
    <row r="307" spans="3:39" x14ac:dyDescent="0.25">
      <c r="C307" s="255" t="s">
        <v>6240</v>
      </c>
      <c r="D307" s="255">
        <v>14.2</v>
      </c>
      <c r="E307" s="255">
        <v>0.151</v>
      </c>
      <c r="F307" s="266">
        <v>10.633802816901408</v>
      </c>
      <c r="G307" s="266">
        <f t="shared" si="94"/>
        <v>94.039735099337747</v>
      </c>
      <c r="H307" s="265">
        <f t="shared" si="95"/>
        <v>0.35758706467661688</v>
      </c>
      <c r="I307" s="265">
        <f t="shared" si="96"/>
        <v>0.2790178571428571</v>
      </c>
      <c r="J307" s="265">
        <f t="shared" si="97"/>
        <v>0.14172335600907029</v>
      </c>
      <c r="K307" s="258">
        <f t="shared" ca="1" si="98"/>
        <v>349.82781456953643</v>
      </c>
      <c r="L307" s="265">
        <f t="shared" si="99"/>
        <v>2.5249365671641786</v>
      </c>
      <c r="M307" s="265">
        <f t="shared" si="100"/>
        <v>1.500803571428571</v>
      </c>
      <c r="N307" s="265">
        <f t="shared" si="101"/>
        <v>0.82693877551020412</v>
      </c>
      <c r="O307" s="265">
        <f t="shared" ca="1" si="102"/>
        <v>354.68049348363934</v>
      </c>
      <c r="P307" s="265">
        <f t="shared" ca="1" si="103"/>
        <v>3.740642667133951</v>
      </c>
      <c r="Q307" s="258">
        <f t="shared" ca="1" si="104"/>
        <v>213.47019867549668</v>
      </c>
      <c r="R307" s="265">
        <f t="shared" si="105"/>
        <v>2.5249365671641786</v>
      </c>
      <c r="S307" s="265">
        <f t="shared" si="106"/>
        <v>1.500803571428571</v>
      </c>
      <c r="T307" s="265">
        <f t="shared" si="107"/>
        <v>0.82693877551020412</v>
      </c>
      <c r="U307" s="265">
        <f t="shared" ca="1" si="108"/>
        <v>218.32287758959964</v>
      </c>
      <c r="V307" s="265">
        <f t="shared" ca="1" si="109"/>
        <v>2.302545209356968</v>
      </c>
      <c r="W307" s="258">
        <f t="shared" ca="1" si="110"/>
        <v>52.474172185430469</v>
      </c>
      <c r="X307" s="265">
        <f t="shared" si="111"/>
        <v>2.5249365671641786</v>
      </c>
      <c r="Y307" s="265">
        <f t="shared" si="112"/>
        <v>1.500803571428571</v>
      </c>
      <c r="Z307" s="265">
        <f t="shared" si="113"/>
        <v>0.82693877551020412</v>
      </c>
      <c r="AA307" s="265">
        <f t="shared" ca="1" si="114"/>
        <v>57.326851099533421</v>
      </c>
      <c r="AB307" s="265">
        <f t="shared" ca="1" si="115"/>
        <v>0.60459841782993684</v>
      </c>
      <c r="AC307" s="258"/>
      <c r="AD307" s="258"/>
      <c r="AE307" s="258"/>
      <c r="AF307" s="258"/>
      <c r="AG307" s="258"/>
      <c r="AH307" s="258"/>
      <c r="AI307" s="258"/>
      <c r="AJ307" s="258"/>
      <c r="AK307" s="258"/>
      <c r="AL307" s="258"/>
      <c r="AM307" s="258"/>
    </row>
    <row r="308" spans="3:39" x14ac:dyDescent="0.25">
      <c r="C308" s="255" t="s">
        <v>6241</v>
      </c>
      <c r="D308" s="255">
        <v>12.5</v>
      </c>
      <c r="E308" s="255">
        <v>0.14099999999999999</v>
      </c>
      <c r="F308" s="266">
        <v>11.279999999999998</v>
      </c>
      <c r="G308" s="266">
        <f t="shared" si="94"/>
        <v>88.652482269503551</v>
      </c>
      <c r="H308" s="265">
        <f t="shared" si="95"/>
        <v>0.35758706467661688</v>
      </c>
      <c r="I308" s="265">
        <f t="shared" si="96"/>
        <v>0.2790178571428571</v>
      </c>
      <c r="J308" s="265">
        <f t="shared" si="97"/>
        <v>0.14172335600907029</v>
      </c>
      <c r="K308" s="258">
        <f t="shared" ca="1" si="98"/>
        <v>329.78723404255322</v>
      </c>
      <c r="L308" s="265">
        <f t="shared" si="99"/>
        <v>2.5249365671641786</v>
      </c>
      <c r="M308" s="265">
        <f t="shared" si="100"/>
        <v>1.500803571428571</v>
      </c>
      <c r="N308" s="265">
        <f t="shared" si="101"/>
        <v>0.82693877551020412</v>
      </c>
      <c r="O308" s="265">
        <f t="shared" ca="1" si="102"/>
        <v>334.63991295665613</v>
      </c>
      <c r="P308" s="265">
        <f t="shared" ca="1" si="103"/>
        <v>3.7418861677379609</v>
      </c>
      <c r="Q308" s="258">
        <f t="shared" ca="1" si="104"/>
        <v>201.24113475177307</v>
      </c>
      <c r="R308" s="265">
        <f t="shared" si="105"/>
        <v>2.5249365671641786</v>
      </c>
      <c r="S308" s="265">
        <f t="shared" si="106"/>
        <v>1.500803571428571</v>
      </c>
      <c r="T308" s="265">
        <f t="shared" si="107"/>
        <v>0.82693877551020412</v>
      </c>
      <c r="U308" s="265">
        <f t="shared" ca="1" si="108"/>
        <v>206.09381366587604</v>
      </c>
      <c r="V308" s="265">
        <f t="shared" ca="1" si="109"/>
        <v>2.304505711225763</v>
      </c>
      <c r="W308" s="258">
        <f t="shared" ca="1" si="110"/>
        <v>49.468085106382986</v>
      </c>
      <c r="X308" s="265">
        <f t="shared" si="111"/>
        <v>2.5249365671641786</v>
      </c>
      <c r="Y308" s="265">
        <f t="shared" si="112"/>
        <v>1.500803571428571</v>
      </c>
      <c r="Z308" s="265">
        <f t="shared" si="113"/>
        <v>0.82693877551020412</v>
      </c>
      <c r="AA308" s="265">
        <f t="shared" ca="1" si="114"/>
        <v>54.320764020485939</v>
      </c>
      <c r="AB308" s="265">
        <f t="shared" ca="1" si="115"/>
        <v>0.60740547567480851</v>
      </c>
      <c r="AC308" s="258"/>
      <c r="AD308" s="258"/>
      <c r="AE308" s="258"/>
      <c r="AF308" s="258"/>
      <c r="AG308" s="258"/>
      <c r="AH308" s="258"/>
      <c r="AI308" s="258"/>
      <c r="AJ308" s="258"/>
      <c r="AK308" s="258"/>
      <c r="AL308" s="258"/>
      <c r="AM308" s="258"/>
    </row>
    <row r="309" spans="3:39" x14ac:dyDescent="0.25">
      <c r="C309" s="255" t="s">
        <v>6242</v>
      </c>
      <c r="D309" s="255">
        <v>10.9</v>
      </c>
      <c r="E309" s="255">
        <v>0.13200000000000001</v>
      </c>
      <c r="F309" s="266">
        <v>12.110091743119266</v>
      </c>
      <c r="G309" s="266">
        <f t="shared" si="94"/>
        <v>82.575757575757578</v>
      </c>
      <c r="H309" s="265">
        <f t="shared" si="95"/>
        <v>0.35758706467661688</v>
      </c>
      <c r="I309" s="265">
        <f t="shared" si="96"/>
        <v>0.2790178571428571</v>
      </c>
      <c r="J309" s="265">
        <f t="shared" si="97"/>
        <v>0.14172335600907029</v>
      </c>
      <c r="K309" s="258">
        <f t="shared" ca="1" si="98"/>
        <v>307.18181818181819</v>
      </c>
      <c r="L309" s="265">
        <f t="shared" si="99"/>
        <v>2.5249365671641786</v>
      </c>
      <c r="M309" s="265">
        <f t="shared" si="100"/>
        <v>1.500803571428571</v>
      </c>
      <c r="N309" s="265">
        <f t="shared" si="101"/>
        <v>0.82693877551020412</v>
      </c>
      <c r="O309" s="265">
        <f t="shared" ca="1" si="102"/>
        <v>312.0344970959211</v>
      </c>
      <c r="P309" s="265">
        <f t="shared" ca="1" si="103"/>
        <v>3.743481724987288</v>
      </c>
      <c r="Q309" s="258">
        <f t="shared" ca="1" si="104"/>
        <v>187.44696969696972</v>
      </c>
      <c r="R309" s="265">
        <f t="shared" si="105"/>
        <v>2.5249365671641786</v>
      </c>
      <c r="S309" s="265">
        <f t="shared" si="106"/>
        <v>1.500803571428571</v>
      </c>
      <c r="T309" s="265">
        <f t="shared" si="107"/>
        <v>0.82693877551020412</v>
      </c>
      <c r="U309" s="265">
        <f t="shared" ca="1" si="108"/>
        <v>192.29964861107268</v>
      </c>
      <c r="V309" s="265">
        <f t="shared" ca="1" si="109"/>
        <v>2.3070212652664992</v>
      </c>
      <c r="W309" s="258">
        <f t="shared" ca="1" si="110"/>
        <v>46.077272727272735</v>
      </c>
      <c r="X309" s="265">
        <f t="shared" si="111"/>
        <v>2.5249365671641786</v>
      </c>
      <c r="Y309" s="265">
        <f t="shared" si="112"/>
        <v>1.500803571428571</v>
      </c>
      <c r="Z309" s="265">
        <f t="shared" si="113"/>
        <v>0.82693877551020412</v>
      </c>
      <c r="AA309" s="265">
        <f t="shared" ca="1" si="114"/>
        <v>50.929951641375688</v>
      </c>
      <c r="AB309" s="265">
        <f t="shared" ca="1" si="115"/>
        <v>0.61100726040995312</v>
      </c>
      <c r="AC309" s="258"/>
      <c r="AD309" s="258"/>
      <c r="AE309" s="258"/>
      <c r="AF309" s="258"/>
      <c r="AG309" s="258"/>
      <c r="AH309" s="258"/>
      <c r="AI309" s="258"/>
      <c r="AJ309" s="258"/>
      <c r="AK309" s="258"/>
      <c r="AL309" s="258"/>
      <c r="AM309" s="258"/>
    </row>
    <row r="310" spans="3:39" x14ac:dyDescent="0.25">
      <c r="C310" s="255" t="s">
        <v>6243</v>
      </c>
      <c r="D310" s="255">
        <v>9.3800000000000008</v>
      </c>
      <c r="E310" s="255">
        <v>0.123</v>
      </c>
      <c r="F310" s="266">
        <v>13.113006396588485</v>
      </c>
      <c r="G310" s="266">
        <f t="shared" si="94"/>
        <v>76.260162601626021</v>
      </c>
      <c r="H310" s="265">
        <f t="shared" si="95"/>
        <v>0.35758706467661688</v>
      </c>
      <c r="I310" s="265">
        <f t="shared" si="96"/>
        <v>0.2790178571428571</v>
      </c>
      <c r="J310" s="265">
        <f t="shared" si="97"/>
        <v>0.14172335600907029</v>
      </c>
      <c r="K310" s="258">
        <f t="shared" ca="1" si="98"/>
        <v>283.68780487804884</v>
      </c>
      <c r="L310" s="265">
        <f t="shared" si="99"/>
        <v>2.5249365671641786</v>
      </c>
      <c r="M310" s="265">
        <f t="shared" si="100"/>
        <v>1.500803571428571</v>
      </c>
      <c r="N310" s="265">
        <f t="shared" si="101"/>
        <v>0.82693877551020412</v>
      </c>
      <c r="O310" s="265">
        <f t="shared" ca="1" si="102"/>
        <v>288.54048379215175</v>
      </c>
      <c r="P310" s="265">
        <f t="shared" ca="1" si="103"/>
        <v>3.7454067505507527</v>
      </c>
      <c r="Q310" s="258">
        <f t="shared" ca="1" si="104"/>
        <v>173.11056910569107</v>
      </c>
      <c r="R310" s="265">
        <f t="shared" si="105"/>
        <v>2.5249365671641786</v>
      </c>
      <c r="S310" s="265">
        <f t="shared" si="106"/>
        <v>1.500803571428571</v>
      </c>
      <c r="T310" s="265">
        <f t="shared" si="107"/>
        <v>0.82693877551020412</v>
      </c>
      <c r="U310" s="265">
        <f t="shared" ca="1" si="108"/>
        <v>177.96324801979404</v>
      </c>
      <c r="V310" s="265">
        <f t="shared" ca="1" si="109"/>
        <v>2.310056258737736</v>
      </c>
      <c r="W310" s="258">
        <f t="shared" ca="1" si="110"/>
        <v>42.553170731707326</v>
      </c>
      <c r="X310" s="265">
        <f t="shared" si="111"/>
        <v>2.5249365671641786</v>
      </c>
      <c r="Y310" s="265">
        <f t="shared" si="112"/>
        <v>1.500803571428571</v>
      </c>
      <c r="Z310" s="265">
        <f t="shared" si="113"/>
        <v>0.82693877551020412</v>
      </c>
      <c r="AA310" s="265">
        <f t="shared" ca="1" si="114"/>
        <v>47.405849645810278</v>
      </c>
      <c r="AB310" s="265">
        <f t="shared" ca="1" si="115"/>
        <v>0.61535278150747064</v>
      </c>
      <c r="AC310" s="258"/>
      <c r="AD310" s="258"/>
      <c r="AE310" s="258"/>
      <c r="AF310" s="258"/>
      <c r="AG310" s="258"/>
      <c r="AH310" s="258"/>
      <c r="AI310" s="258"/>
      <c r="AJ310" s="258"/>
      <c r="AK310" s="258"/>
      <c r="AL310" s="258"/>
      <c r="AM310" s="258"/>
    </row>
    <row r="311" spans="3:39" x14ac:dyDescent="0.25">
      <c r="C311" s="255" t="s">
        <v>6244</v>
      </c>
      <c r="D311" s="255">
        <v>7.99</v>
      </c>
      <c r="E311" s="255">
        <v>0.113</v>
      </c>
      <c r="F311" s="266">
        <v>14.14267834793492</v>
      </c>
      <c r="G311" s="266">
        <f t="shared" si="94"/>
        <v>70.707964601769916</v>
      </c>
      <c r="H311" s="265">
        <f t="shared" si="95"/>
        <v>0.35758706467661688</v>
      </c>
      <c r="I311" s="265">
        <f t="shared" si="96"/>
        <v>0.2790178571428571</v>
      </c>
      <c r="J311" s="265">
        <f t="shared" si="97"/>
        <v>0.14172335600907029</v>
      </c>
      <c r="K311" s="258">
        <f t="shared" ca="1" si="98"/>
        <v>263.03362831858408</v>
      </c>
      <c r="L311" s="265">
        <f t="shared" si="99"/>
        <v>2.5249365671641786</v>
      </c>
      <c r="M311" s="265">
        <f t="shared" si="100"/>
        <v>1.500803571428571</v>
      </c>
      <c r="N311" s="265">
        <f t="shared" si="101"/>
        <v>0.82693877551020412</v>
      </c>
      <c r="O311" s="265">
        <f t="shared" ca="1" si="102"/>
        <v>267.88630723268699</v>
      </c>
      <c r="P311" s="265">
        <f t="shared" ca="1" si="103"/>
        <v>3.7473800422673658</v>
      </c>
      <c r="Q311" s="258">
        <f t="shared" ca="1" si="104"/>
        <v>160.5070796460177</v>
      </c>
      <c r="R311" s="265">
        <f t="shared" si="105"/>
        <v>2.5249365671641786</v>
      </c>
      <c r="S311" s="265">
        <f t="shared" si="106"/>
        <v>1.500803571428571</v>
      </c>
      <c r="T311" s="265">
        <f t="shared" si="107"/>
        <v>0.82693877551020412</v>
      </c>
      <c r="U311" s="265">
        <f t="shared" ca="1" si="108"/>
        <v>165.35975856012067</v>
      </c>
      <c r="V311" s="265">
        <f t="shared" ca="1" si="109"/>
        <v>2.3131673485800914</v>
      </c>
      <c r="W311" s="258">
        <f t="shared" ca="1" si="110"/>
        <v>39.455044247787619</v>
      </c>
      <c r="X311" s="265">
        <f t="shared" si="111"/>
        <v>2.5249365671641786</v>
      </c>
      <c r="Y311" s="265">
        <f t="shared" si="112"/>
        <v>1.500803571428571</v>
      </c>
      <c r="Z311" s="265">
        <f t="shared" si="113"/>
        <v>0.82693877551020412</v>
      </c>
      <c r="AA311" s="265">
        <f t="shared" ca="1" si="114"/>
        <v>44.307723161890571</v>
      </c>
      <c r="AB311" s="265">
        <f t="shared" ca="1" si="115"/>
        <v>0.61980725782656432</v>
      </c>
      <c r="AC311" s="258"/>
      <c r="AD311" s="258"/>
      <c r="AE311" s="258"/>
      <c r="AF311" s="258"/>
      <c r="AG311" s="258"/>
      <c r="AH311" s="258"/>
      <c r="AI311" s="258"/>
      <c r="AJ311" s="258"/>
      <c r="AK311" s="258"/>
      <c r="AL311" s="258"/>
      <c r="AM311" s="258"/>
    </row>
    <row r="312" spans="3:39" x14ac:dyDescent="0.25">
      <c r="C312" s="255" t="s">
        <v>6245</v>
      </c>
      <c r="D312" s="255">
        <v>6.71</v>
      </c>
      <c r="E312" s="255">
        <v>0.104</v>
      </c>
      <c r="F312" s="266">
        <v>15.499254843517139</v>
      </c>
      <c r="G312" s="266">
        <f t="shared" si="94"/>
        <v>64.519230769230774</v>
      </c>
      <c r="H312" s="265">
        <f t="shared" si="95"/>
        <v>0.35758706467661688</v>
      </c>
      <c r="I312" s="265">
        <f t="shared" si="96"/>
        <v>0.2790178571428571</v>
      </c>
      <c r="J312" s="265">
        <f t="shared" si="97"/>
        <v>0.14172335600907029</v>
      </c>
      <c r="K312" s="258">
        <f t="shared" ca="1" si="98"/>
        <v>240.01153846153849</v>
      </c>
      <c r="L312" s="265">
        <f t="shared" si="99"/>
        <v>2.5249365671641786</v>
      </c>
      <c r="M312" s="265">
        <f t="shared" si="100"/>
        <v>1.500803571428571</v>
      </c>
      <c r="N312" s="265">
        <f t="shared" si="101"/>
        <v>0.82693877551020412</v>
      </c>
      <c r="O312" s="265">
        <f t="shared" ca="1" si="102"/>
        <v>244.86421737564146</v>
      </c>
      <c r="P312" s="265">
        <f t="shared" ca="1" si="103"/>
        <v>3.7499750518877768</v>
      </c>
      <c r="Q312" s="258">
        <f t="shared" ca="1" si="104"/>
        <v>146.45865384615385</v>
      </c>
      <c r="R312" s="265">
        <f t="shared" si="105"/>
        <v>2.5249365671641786</v>
      </c>
      <c r="S312" s="265">
        <f t="shared" si="106"/>
        <v>1.500803571428571</v>
      </c>
      <c r="T312" s="265">
        <f t="shared" si="107"/>
        <v>0.82693877551020412</v>
      </c>
      <c r="U312" s="265">
        <f t="shared" ca="1" si="108"/>
        <v>151.31133276025682</v>
      </c>
      <c r="V312" s="265">
        <f t="shared" ca="1" si="109"/>
        <v>2.3172586382778597</v>
      </c>
      <c r="W312" s="258">
        <f t="shared" ca="1" si="110"/>
        <v>36.001730769230775</v>
      </c>
      <c r="X312" s="265">
        <f t="shared" si="111"/>
        <v>2.5249365671641786</v>
      </c>
      <c r="Y312" s="265">
        <f t="shared" si="112"/>
        <v>1.500803571428571</v>
      </c>
      <c r="Z312" s="265">
        <f t="shared" si="113"/>
        <v>0.82693877551020412</v>
      </c>
      <c r="AA312" s="265">
        <f t="shared" ca="1" si="114"/>
        <v>40.854409683333728</v>
      </c>
      <c r="AB312" s="265">
        <f t="shared" ca="1" si="115"/>
        <v>0.6256651899329092</v>
      </c>
      <c r="AC312" s="258"/>
      <c r="AD312" s="258"/>
      <c r="AE312" s="258"/>
      <c r="AF312" s="258"/>
      <c r="AG312" s="258"/>
      <c r="AH312" s="258"/>
      <c r="AI312" s="258"/>
      <c r="AJ312" s="258"/>
      <c r="AK312" s="258"/>
      <c r="AL312" s="258"/>
      <c r="AM312" s="258"/>
    </row>
    <row r="313" spans="3:39" x14ac:dyDescent="0.25">
      <c r="C313" s="255" t="s">
        <v>6246</v>
      </c>
      <c r="D313" s="255">
        <v>6.31</v>
      </c>
      <c r="E313" s="255">
        <v>0.10100000000000001</v>
      </c>
      <c r="F313" s="266">
        <v>16.006339144215534</v>
      </c>
      <c r="G313" s="266">
        <f t="shared" si="94"/>
        <v>62.475247524752469</v>
      </c>
      <c r="H313" s="265">
        <f t="shared" si="95"/>
        <v>0.35758706467661688</v>
      </c>
      <c r="I313" s="265">
        <f t="shared" si="96"/>
        <v>0.2790178571428571</v>
      </c>
      <c r="J313" s="265">
        <f t="shared" si="97"/>
        <v>0.14172335600907029</v>
      </c>
      <c r="K313" s="258">
        <f t="shared" ca="1" si="98"/>
        <v>232.40792079207918</v>
      </c>
      <c r="L313" s="265">
        <f t="shared" si="99"/>
        <v>2.5249365671641786</v>
      </c>
      <c r="M313" s="265">
        <f t="shared" si="100"/>
        <v>1.500803571428571</v>
      </c>
      <c r="N313" s="265">
        <f t="shared" si="101"/>
        <v>0.82693877551020412</v>
      </c>
      <c r="O313" s="265">
        <f t="shared" ca="1" si="102"/>
        <v>237.26059970618215</v>
      </c>
      <c r="P313" s="265">
        <f t="shared" ca="1" si="103"/>
        <v>3.7509436691245672</v>
      </c>
      <c r="Q313" s="258">
        <f t="shared" ca="1" si="104"/>
        <v>141.81881188118811</v>
      </c>
      <c r="R313" s="265">
        <f t="shared" si="105"/>
        <v>2.5249365671641786</v>
      </c>
      <c r="S313" s="265">
        <f t="shared" si="106"/>
        <v>1.500803571428571</v>
      </c>
      <c r="T313" s="265">
        <f t="shared" si="107"/>
        <v>0.82693877551020412</v>
      </c>
      <c r="U313" s="265">
        <f t="shared" ca="1" si="108"/>
        <v>146.67149079529108</v>
      </c>
      <c r="V313" s="265">
        <f t="shared" ca="1" si="109"/>
        <v>2.3187857592915129</v>
      </c>
      <c r="W313" s="258">
        <f t="shared" ca="1" si="110"/>
        <v>34.861188118811882</v>
      </c>
      <c r="X313" s="265">
        <f t="shared" si="111"/>
        <v>2.5249365671641786</v>
      </c>
      <c r="Y313" s="265">
        <f t="shared" si="112"/>
        <v>1.500803571428571</v>
      </c>
      <c r="Z313" s="265">
        <f t="shared" si="113"/>
        <v>0.82693877551020412</v>
      </c>
      <c r="AA313" s="265">
        <f t="shared" ca="1" si="114"/>
        <v>39.713867032914834</v>
      </c>
      <c r="AB313" s="265">
        <f t="shared" ca="1" si="115"/>
        <v>0.62785173057827892</v>
      </c>
      <c r="AC313" s="258"/>
      <c r="AD313" s="258"/>
      <c r="AE313" s="258"/>
      <c r="AF313" s="258"/>
      <c r="AG313" s="258"/>
      <c r="AH313" s="258"/>
      <c r="AI313" s="258"/>
      <c r="AJ313" s="258"/>
      <c r="AK313" s="258"/>
      <c r="AL313" s="258"/>
      <c r="AM313" s="258"/>
    </row>
    <row r="314" spans="3:39" x14ac:dyDescent="0.25">
      <c r="C314" s="255" t="s">
        <v>6247</v>
      </c>
      <c r="D314" s="255">
        <v>5.55</v>
      </c>
      <c r="E314" s="255">
        <v>9.4E-2</v>
      </c>
      <c r="F314" s="266">
        <v>16.936936936936938</v>
      </c>
      <c r="G314" s="266">
        <f t="shared" si="94"/>
        <v>59.042553191489361</v>
      </c>
      <c r="H314" s="265">
        <f t="shared" si="95"/>
        <v>0.35758706467661688</v>
      </c>
      <c r="I314" s="265">
        <f t="shared" si="96"/>
        <v>0.2790178571428571</v>
      </c>
      <c r="J314" s="265">
        <f t="shared" si="97"/>
        <v>0.14172335600907029</v>
      </c>
      <c r="K314" s="258">
        <f t="shared" ca="1" si="98"/>
        <v>219.63829787234044</v>
      </c>
      <c r="L314" s="265">
        <f t="shared" si="99"/>
        <v>2.5249365671641786</v>
      </c>
      <c r="M314" s="265">
        <f t="shared" si="100"/>
        <v>1.500803571428571</v>
      </c>
      <c r="N314" s="265">
        <f t="shared" si="101"/>
        <v>0.82693877551020412</v>
      </c>
      <c r="O314" s="265">
        <f t="shared" ca="1" si="102"/>
        <v>224.49097678644341</v>
      </c>
      <c r="P314" s="265">
        <f t="shared" ca="1" si="103"/>
        <v>3.7527193059096713</v>
      </c>
      <c r="Q314" s="258">
        <f t="shared" ca="1" si="104"/>
        <v>134.02659574468086</v>
      </c>
      <c r="R314" s="265">
        <f t="shared" si="105"/>
        <v>2.5249365671641786</v>
      </c>
      <c r="S314" s="265">
        <f t="shared" si="106"/>
        <v>1.500803571428571</v>
      </c>
      <c r="T314" s="265">
        <f t="shared" si="107"/>
        <v>0.82693877551020412</v>
      </c>
      <c r="U314" s="265">
        <f t="shared" ca="1" si="108"/>
        <v>138.87927465878383</v>
      </c>
      <c r="V314" s="265">
        <f t="shared" ca="1" si="109"/>
        <v>2.3215852265569663</v>
      </c>
      <c r="W314" s="258">
        <f t="shared" ca="1" si="110"/>
        <v>32.945744680851064</v>
      </c>
      <c r="X314" s="265">
        <f t="shared" si="111"/>
        <v>2.5249365671641786</v>
      </c>
      <c r="Y314" s="265">
        <f t="shared" si="112"/>
        <v>1.500803571428571</v>
      </c>
      <c r="Z314" s="265">
        <f t="shared" si="113"/>
        <v>0.82693877551020412</v>
      </c>
      <c r="AA314" s="265">
        <f t="shared" ca="1" si="114"/>
        <v>37.798423594954016</v>
      </c>
      <c r="AB314" s="265">
        <f t="shared" ca="1" si="115"/>
        <v>0.63186002390053053</v>
      </c>
      <c r="AC314" s="258"/>
      <c r="AD314" s="258"/>
      <c r="AE314" s="258"/>
      <c r="AF314" s="258"/>
      <c r="AG314" s="258"/>
      <c r="AH314" s="258"/>
      <c r="AI314" s="258"/>
      <c r="AJ314" s="258"/>
      <c r="AK314" s="258"/>
      <c r="AL314" s="258"/>
      <c r="AM314" s="258"/>
    </row>
    <row r="315" spans="3:39" x14ac:dyDescent="0.25">
      <c r="C315" s="255" t="s">
        <v>6248</v>
      </c>
      <c r="D315" s="270">
        <v>4.5</v>
      </c>
      <c r="E315" s="255">
        <v>8.5000000000000006E-2</v>
      </c>
      <c r="F315" s="266">
        <v>18.888888888888889</v>
      </c>
      <c r="G315" s="266">
        <f t="shared" si="94"/>
        <v>52.941176470588232</v>
      </c>
      <c r="H315" s="265">
        <f t="shared" si="95"/>
        <v>0.35758706467661688</v>
      </c>
      <c r="I315" s="265">
        <f t="shared" si="96"/>
        <v>0.2790178571428571</v>
      </c>
      <c r="J315" s="265">
        <f t="shared" si="97"/>
        <v>0.14172335600907029</v>
      </c>
      <c r="K315" s="258">
        <f t="shared" ca="1" si="98"/>
        <v>196.94117647058823</v>
      </c>
      <c r="L315" s="265">
        <f t="shared" si="99"/>
        <v>2.5249365671641786</v>
      </c>
      <c r="M315" s="265">
        <f t="shared" si="100"/>
        <v>1.500803571428571</v>
      </c>
      <c r="N315" s="265">
        <f t="shared" si="101"/>
        <v>0.82693877551020412</v>
      </c>
      <c r="O315" s="265">
        <f t="shared" ca="1" si="102"/>
        <v>201.7938553846912</v>
      </c>
      <c r="P315" s="265">
        <f t="shared" ca="1" si="103"/>
        <v>3.7564355131296789</v>
      </c>
      <c r="Q315" s="258">
        <f t="shared" ca="1" si="104"/>
        <v>120.17647058823529</v>
      </c>
      <c r="R315" s="265">
        <f t="shared" si="105"/>
        <v>2.5249365671641786</v>
      </c>
      <c r="S315" s="265">
        <f t="shared" si="106"/>
        <v>1.500803571428571</v>
      </c>
      <c r="T315" s="265">
        <f t="shared" si="107"/>
        <v>0.82693877551020412</v>
      </c>
      <c r="U315" s="265">
        <f t="shared" ca="1" si="108"/>
        <v>125.02914950233824</v>
      </c>
      <c r="V315" s="265">
        <f t="shared" ca="1" si="109"/>
        <v>2.327444195323173</v>
      </c>
      <c r="W315" s="258">
        <f t="shared" ca="1" si="110"/>
        <v>29.541176470588237</v>
      </c>
      <c r="X315" s="265">
        <f t="shared" si="111"/>
        <v>2.5249365671641786</v>
      </c>
      <c r="Y315" s="265">
        <f t="shared" si="112"/>
        <v>1.500803571428571</v>
      </c>
      <c r="Z315" s="265">
        <f t="shared" si="113"/>
        <v>0.82693877551020412</v>
      </c>
      <c r="AA315" s="265">
        <f t="shared" ca="1" si="114"/>
        <v>34.393855384691193</v>
      </c>
      <c r="AB315" s="265">
        <f t="shared" ca="1" si="115"/>
        <v>0.64024892905783637</v>
      </c>
      <c r="AC315" s="258"/>
      <c r="AD315" s="258"/>
      <c r="AE315" s="258"/>
      <c r="AF315" s="258"/>
      <c r="AG315" s="258"/>
      <c r="AH315" s="258"/>
      <c r="AI315" s="258"/>
      <c r="AJ315" s="258"/>
      <c r="AK315" s="258"/>
      <c r="AL315" s="258"/>
      <c r="AM315" s="258"/>
    </row>
    <row r="316" spans="3:39" x14ac:dyDescent="0.25">
      <c r="C316" s="255" t="s">
        <v>6249</v>
      </c>
      <c r="D316" s="255">
        <v>4.17</v>
      </c>
      <c r="E316" s="255">
        <v>8.2000000000000003E-2</v>
      </c>
      <c r="F316" s="266">
        <v>19.664268585131897</v>
      </c>
      <c r="G316" s="266">
        <f t="shared" si="94"/>
        <v>50.853658536585364</v>
      </c>
      <c r="H316" s="265">
        <f t="shared" si="95"/>
        <v>0.35758706467661688</v>
      </c>
      <c r="I316" s="265">
        <f t="shared" si="96"/>
        <v>0.2790178571428571</v>
      </c>
      <c r="J316" s="265">
        <f t="shared" si="97"/>
        <v>0.14172335600907029</v>
      </c>
      <c r="K316" s="258">
        <f t="shared" ca="1" si="98"/>
        <v>189.17560975609757</v>
      </c>
      <c r="L316" s="265">
        <f t="shared" si="99"/>
        <v>2.5249365671641786</v>
      </c>
      <c r="M316" s="265">
        <f t="shared" si="100"/>
        <v>1.500803571428571</v>
      </c>
      <c r="N316" s="265">
        <f t="shared" si="101"/>
        <v>0.82693877551020412</v>
      </c>
      <c r="O316" s="265">
        <f t="shared" ca="1" si="102"/>
        <v>194.02828867020054</v>
      </c>
      <c r="P316" s="265">
        <f t="shared" ca="1" si="103"/>
        <v>3.7579086268288711</v>
      </c>
      <c r="Q316" s="258">
        <f t="shared" ca="1" si="104"/>
        <v>115.43780487804878</v>
      </c>
      <c r="R316" s="265">
        <f t="shared" si="105"/>
        <v>2.5249365671641786</v>
      </c>
      <c r="S316" s="265">
        <f t="shared" si="106"/>
        <v>1.500803571428571</v>
      </c>
      <c r="T316" s="265">
        <f t="shared" si="107"/>
        <v>0.82693877551020412</v>
      </c>
      <c r="U316" s="265">
        <f t="shared" ca="1" si="108"/>
        <v>120.29048379215173</v>
      </c>
      <c r="V316" s="265">
        <f t="shared" ca="1" si="109"/>
        <v>2.3297667049792996</v>
      </c>
      <c r="W316" s="258">
        <f t="shared" ca="1" si="110"/>
        <v>28.376341463414636</v>
      </c>
      <c r="X316" s="265">
        <f t="shared" si="111"/>
        <v>2.5249365671641786</v>
      </c>
      <c r="Y316" s="265">
        <f t="shared" si="112"/>
        <v>1.500803571428571</v>
      </c>
      <c r="Z316" s="265">
        <f t="shared" si="113"/>
        <v>0.82693877551020412</v>
      </c>
      <c r="AA316" s="265">
        <f t="shared" ca="1" si="114"/>
        <v>33.229020377517593</v>
      </c>
      <c r="AB316" s="265">
        <f t="shared" ca="1" si="115"/>
        <v>0.64357431173346158</v>
      </c>
      <c r="AC316" s="258"/>
      <c r="AD316" s="258"/>
      <c r="AE316" s="258"/>
      <c r="AF316" s="258"/>
      <c r="AG316" s="258"/>
      <c r="AH316" s="258"/>
      <c r="AI316" s="258"/>
      <c r="AJ316" s="258"/>
      <c r="AK316" s="258"/>
      <c r="AL316" s="258"/>
      <c r="AM316" s="258"/>
    </row>
    <row r="317" spans="3:39" x14ac:dyDescent="0.25">
      <c r="C317" s="255" t="s">
        <v>6250</v>
      </c>
      <c r="D317" s="255">
        <v>3.55</v>
      </c>
      <c r="E317" s="255">
        <v>7.4999999999999997E-2</v>
      </c>
      <c r="F317" s="266">
        <v>21.12676056338028</v>
      </c>
      <c r="G317" s="266">
        <f t="shared" si="94"/>
        <v>47.333333333333336</v>
      </c>
      <c r="H317" s="265">
        <f t="shared" si="95"/>
        <v>0.35758706467661688</v>
      </c>
      <c r="I317" s="265">
        <f t="shared" si="96"/>
        <v>0.2790178571428571</v>
      </c>
      <c r="J317" s="265">
        <f t="shared" si="97"/>
        <v>0.14172335600907029</v>
      </c>
      <c r="K317" s="258">
        <f t="shared" ca="1" si="98"/>
        <v>176.08</v>
      </c>
      <c r="L317" s="265">
        <f t="shared" si="99"/>
        <v>2.5249365671641786</v>
      </c>
      <c r="M317" s="265">
        <f t="shared" si="100"/>
        <v>1.500803571428571</v>
      </c>
      <c r="N317" s="265">
        <f t="shared" si="101"/>
        <v>0.82693877551020412</v>
      </c>
      <c r="O317" s="265">
        <f t="shared" ca="1" si="102"/>
        <v>180.93267891410298</v>
      </c>
      <c r="P317" s="265">
        <f t="shared" ca="1" si="103"/>
        <v>3.7606823970537469</v>
      </c>
      <c r="Q317" s="258">
        <f t="shared" ca="1" si="104"/>
        <v>107.44666666666667</v>
      </c>
      <c r="R317" s="265">
        <f t="shared" si="105"/>
        <v>2.5249365671641786</v>
      </c>
      <c r="S317" s="265">
        <f t="shared" si="106"/>
        <v>1.500803571428571</v>
      </c>
      <c r="T317" s="265">
        <f t="shared" si="107"/>
        <v>0.82693877551020412</v>
      </c>
      <c r="U317" s="265">
        <f t="shared" ca="1" si="108"/>
        <v>112.29934558076963</v>
      </c>
      <c r="V317" s="265">
        <f t="shared" ca="1" si="109"/>
        <v>2.3341398284759354</v>
      </c>
      <c r="W317" s="258">
        <f t="shared" ca="1" si="110"/>
        <v>26.412000000000003</v>
      </c>
      <c r="X317" s="265">
        <f t="shared" si="111"/>
        <v>2.5249365671641786</v>
      </c>
      <c r="Y317" s="265">
        <f t="shared" si="112"/>
        <v>1.500803571428571</v>
      </c>
      <c r="Z317" s="265">
        <f t="shared" si="113"/>
        <v>0.82693877551020412</v>
      </c>
      <c r="AA317" s="265">
        <f t="shared" ca="1" si="114"/>
        <v>31.264678914102955</v>
      </c>
      <c r="AB317" s="265">
        <f t="shared" ca="1" si="115"/>
        <v>0.64983577509303003</v>
      </c>
      <c r="AC317" s="258"/>
      <c r="AD317" s="258"/>
      <c r="AE317" s="258"/>
      <c r="AF317" s="258"/>
      <c r="AG317" s="258"/>
      <c r="AH317" s="258"/>
      <c r="AI317" s="258"/>
      <c r="AJ317" s="258"/>
      <c r="AK317" s="258"/>
      <c r="AL317" s="258"/>
      <c r="AM317" s="258"/>
    </row>
    <row r="318" spans="3:39" x14ac:dyDescent="0.25">
      <c r="C318" s="255" t="s">
        <v>6251</v>
      </c>
      <c r="D318" s="255">
        <v>2.98</v>
      </c>
      <c r="E318" s="255">
        <v>6.9000000000000006E-2</v>
      </c>
      <c r="F318" s="266">
        <v>23.154362416107386</v>
      </c>
      <c r="G318" s="266">
        <f t="shared" si="94"/>
        <v>43.188405797101446</v>
      </c>
      <c r="H318" s="265">
        <f t="shared" si="95"/>
        <v>0.35758706467661688</v>
      </c>
      <c r="I318" s="265">
        <f t="shared" si="96"/>
        <v>0.2790178571428571</v>
      </c>
      <c r="J318" s="265">
        <f t="shared" si="97"/>
        <v>0.14172335600907029</v>
      </c>
      <c r="K318" s="258">
        <f t="shared" ca="1" si="98"/>
        <v>160.66086956521738</v>
      </c>
      <c r="L318" s="265">
        <f t="shared" si="99"/>
        <v>2.5249365671641786</v>
      </c>
      <c r="M318" s="265">
        <f t="shared" si="100"/>
        <v>1.500803571428571</v>
      </c>
      <c r="N318" s="265">
        <f t="shared" si="101"/>
        <v>0.82693877551020412</v>
      </c>
      <c r="O318" s="265">
        <f t="shared" ca="1" si="102"/>
        <v>165.51354847932035</v>
      </c>
      <c r="P318" s="265">
        <f t="shared" ca="1" si="103"/>
        <v>3.7645176964303304</v>
      </c>
      <c r="Q318" s="258">
        <f t="shared" ca="1" si="104"/>
        <v>98.037681159420288</v>
      </c>
      <c r="R318" s="265">
        <f t="shared" si="105"/>
        <v>2.5249365671641786</v>
      </c>
      <c r="S318" s="265">
        <f t="shared" si="106"/>
        <v>1.500803571428571</v>
      </c>
      <c r="T318" s="265">
        <f t="shared" si="107"/>
        <v>0.82693877551020412</v>
      </c>
      <c r="U318" s="265">
        <f t="shared" ca="1" si="108"/>
        <v>102.89036007352324</v>
      </c>
      <c r="V318" s="265">
        <f t="shared" ca="1" si="109"/>
        <v>2.3401865578228551</v>
      </c>
      <c r="W318" s="258">
        <f t="shared" ca="1" si="110"/>
        <v>24.099130434782609</v>
      </c>
      <c r="X318" s="265">
        <f t="shared" si="111"/>
        <v>2.5249365671641786</v>
      </c>
      <c r="Y318" s="265">
        <f t="shared" si="112"/>
        <v>1.500803571428571</v>
      </c>
      <c r="Z318" s="265">
        <f t="shared" si="113"/>
        <v>0.82693877551020412</v>
      </c>
      <c r="AA318" s="265">
        <f t="shared" ca="1" si="114"/>
        <v>28.951809348885561</v>
      </c>
      <c r="AB318" s="265">
        <f t="shared" ca="1" si="115"/>
        <v>0.65849351692906388</v>
      </c>
      <c r="AC318" s="258"/>
      <c r="AD318" s="258"/>
      <c r="AE318" s="258"/>
      <c r="AF318" s="258"/>
      <c r="AG318" s="258"/>
      <c r="AH318" s="258"/>
      <c r="AI318" s="258"/>
      <c r="AJ318" s="258"/>
      <c r="AK318" s="258"/>
      <c r="AL318" s="258"/>
      <c r="AM318" s="258"/>
    </row>
    <row r="319" spans="3:39" x14ac:dyDescent="0.25">
      <c r="C319" s="255" t="s">
        <v>6252</v>
      </c>
      <c r="D319" s="255">
        <v>2.72</v>
      </c>
      <c r="E319" s="255">
        <v>6.6000000000000003E-2</v>
      </c>
      <c r="F319" s="266">
        <v>24.264705882352942</v>
      </c>
      <c r="G319" s="266">
        <f t="shared" si="94"/>
        <v>41.212121212121211</v>
      </c>
      <c r="H319" s="265">
        <f t="shared" si="95"/>
        <v>0.35758706467661688</v>
      </c>
      <c r="I319" s="265">
        <f t="shared" si="96"/>
        <v>0.2790178571428571</v>
      </c>
      <c r="J319" s="265">
        <f t="shared" si="97"/>
        <v>0.14172335600907029</v>
      </c>
      <c r="K319" s="258">
        <f t="shared" ca="1" si="98"/>
        <v>153.30909090909091</v>
      </c>
      <c r="L319" s="265">
        <f t="shared" si="99"/>
        <v>2.5249365671641786</v>
      </c>
      <c r="M319" s="265">
        <f t="shared" si="100"/>
        <v>1.500803571428571</v>
      </c>
      <c r="N319" s="265">
        <f t="shared" si="101"/>
        <v>0.82693877551020412</v>
      </c>
      <c r="O319" s="265">
        <f t="shared" ca="1" si="102"/>
        <v>158.16176982319388</v>
      </c>
      <c r="P319" s="265">
        <f t="shared" ca="1" si="103"/>
        <v>3.7666129261381034</v>
      </c>
      <c r="Q319" s="258">
        <f t="shared" ca="1" si="104"/>
        <v>93.551515151515147</v>
      </c>
      <c r="R319" s="265">
        <f t="shared" si="105"/>
        <v>2.5249365671641786</v>
      </c>
      <c r="S319" s="265">
        <f t="shared" si="106"/>
        <v>1.500803571428571</v>
      </c>
      <c r="T319" s="265">
        <f t="shared" si="107"/>
        <v>0.82693877551020412</v>
      </c>
      <c r="U319" s="265">
        <f t="shared" ca="1" si="108"/>
        <v>98.4041940656181</v>
      </c>
      <c r="V319" s="265">
        <f t="shared" ca="1" si="109"/>
        <v>2.3434898949860195</v>
      </c>
      <c r="W319" s="258">
        <f t="shared" ca="1" si="110"/>
        <v>22.996363636363636</v>
      </c>
      <c r="X319" s="265">
        <f t="shared" si="111"/>
        <v>2.5249365671641786</v>
      </c>
      <c r="Y319" s="265">
        <f t="shared" si="112"/>
        <v>1.500803571428571</v>
      </c>
      <c r="Z319" s="265">
        <f t="shared" si="113"/>
        <v>0.82693877551020412</v>
      </c>
      <c r="AA319" s="265">
        <f t="shared" ca="1" si="114"/>
        <v>27.849042550466589</v>
      </c>
      <c r="AB319" s="265">
        <f t="shared" ca="1" si="115"/>
        <v>0.66322325406714555</v>
      </c>
      <c r="AC319" s="258"/>
      <c r="AD319" s="258"/>
      <c r="AE319" s="258"/>
      <c r="AF319" s="258"/>
      <c r="AG319" s="258"/>
      <c r="AH319" s="258"/>
      <c r="AI319" s="258"/>
      <c r="AJ319" s="258"/>
      <c r="AK319" s="258"/>
      <c r="AL319" s="258"/>
      <c r="AM319" s="258"/>
    </row>
    <row r="320" spans="3:39" x14ac:dyDescent="0.25">
      <c r="C320" s="255" t="s">
        <v>6253</v>
      </c>
      <c r="D320" s="255">
        <v>2.4700000000000002</v>
      </c>
      <c r="E320" s="255">
        <v>6.3E-2</v>
      </c>
      <c r="F320" s="266">
        <v>25.506072874493928</v>
      </c>
      <c r="G320" s="266">
        <f t="shared" si="94"/>
        <v>39.206349206349209</v>
      </c>
      <c r="H320" s="265">
        <f t="shared" si="95"/>
        <v>0.35758706467661688</v>
      </c>
      <c r="I320" s="265">
        <f t="shared" si="96"/>
        <v>0.2790178571428571</v>
      </c>
      <c r="J320" s="265">
        <f t="shared" si="97"/>
        <v>0.14172335600907029</v>
      </c>
      <c r="K320" s="258">
        <f t="shared" ca="1" si="98"/>
        <v>145.84761904761908</v>
      </c>
      <c r="L320" s="265">
        <f t="shared" si="99"/>
        <v>2.5249365671641786</v>
      </c>
      <c r="M320" s="265">
        <f t="shared" si="100"/>
        <v>1.500803571428571</v>
      </c>
      <c r="N320" s="265">
        <f t="shared" si="101"/>
        <v>0.82693877551020412</v>
      </c>
      <c r="O320" s="265">
        <f t="shared" ca="1" si="102"/>
        <v>150.70029796172204</v>
      </c>
      <c r="P320" s="265">
        <f t="shared" ca="1" si="103"/>
        <v>3.7689511944007883</v>
      </c>
      <c r="Q320" s="258">
        <f t="shared" ca="1" si="104"/>
        <v>88.998412698412707</v>
      </c>
      <c r="R320" s="265">
        <f t="shared" si="105"/>
        <v>2.5249365671641786</v>
      </c>
      <c r="S320" s="265">
        <f t="shared" si="106"/>
        <v>1.500803571428571</v>
      </c>
      <c r="T320" s="265">
        <f t="shared" si="107"/>
        <v>0.82693877551020412</v>
      </c>
      <c r="U320" s="265">
        <f t="shared" ca="1" si="108"/>
        <v>93.85109161251566</v>
      </c>
      <c r="V320" s="265">
        <f t="shared" ca="1" si="109"/>
        <v>2.3471764065035479</v>
      </c>
      <c r="W320" s="258">
        <f t="shared" ca="1" si="110"/>
        <v>21.877142857142861</v>
      </c>
      <c r="X320" s="265">
        <f t="shared" si="111"/>
        <v>2.5249365671641786</v>
      </c>
      <c r="Y320" s="265">
        <f t="shared" si="112"/>
        <v>1.500803571428571</v>
      </c>
      <c r="Z320" s="265">
        <f t="shared" si="113"/>
        <v>0.82693877551020412</v>
      </c>
      <c r="AA320" s="265">
        <f t="shared" ca="1" si="114"/>
        <v>26.729821771245813</v>
      </c>
      <c r="AB320" s="265">
        <f t="shared" ca="1" si="115"/>
        <v>0.66850162244832445</v>
      </c>
      <c r="AC320" s="258"/>
      <c r="AD320" s="258"/>
      <c r="AE320" s="258"/>
      <c r="AF320" s="258"/>
      <c r="AG320" s="258"/>
      <c r="AH320" s="258"/>
      <c r="AI320" s="258"/>
      <c r="AJ320" s="258"/>
      <c r="AK320" s="258"/>
      <c r="AL320" s="258"/>
      <c r="AM320" s="258"/>
    </row>
    <row r="321" spans="3:39" x14ac:dyDescent="0.25">
      <c r="C321" s="255" t="s">
        <v>6254</v>
      </c>
      <c r="D321" s="255">
        <v>2.23</v>
      </c>
      <c r="E321" s="268">
        <v>0.06</v>
      </c>
      <c r="F321" s="266">
        <v>26.905829596412556</v>
      </c>
      <c r="G321" s="266">
        <f t="shared" si="94"/>
        <v>37.166666666666664</v>
      </c>
      <c r="H321" s="265">
        <f t="shared" si="95"/>
        <v>0.35758706467661688</v>
      </c>
      <c r="I321" s="265">
        <f t="shared" si="96"/>
        <v>0.2790178571428571</v>
      </c>
      <c r="J321" s="265">
        <f t="shared" si="97"/>
        <v>0.14172335600907029</v>
      </c>
      <c r="K321" s="258">
        <f t="shared" ca="1" si="98"/>
        <v>138.26</v>
      </c>
      <c r="L321" s="265">
        <f t="shared" si="99"/>
        <v>2.5249365671641786</v>
      </c>
      <c r="M321" s="265">
        <f t="shared" si="100"/>
        <v>1.500803571428571</v>
      </c>
      <c r="N321" s="265">
        <f t="shared" si="101"/>
        <v>0.82693877551020412</v>
      </c>
      <c r="O321" s="265">
        <f t="shared" ca="1" si="102"/>
        <v>143.11267891410296</v>
      </c>
      <c r="P321" s="265">
        <f t="shared" ca="1" si="103"/>
        <v>3.7715825004969394</v>
      </c>
      <c r="Q321" s="258">
        <f t="shared" ca="1" si="104"/>
        <v>84.368333333333325</v>
      </c>
      <c r="R321" s="265">
        <f t="shared" si="105"/>
        <v>2.5249365671641786</v>
      </c>
      <c r="S321" s="265">
        <f t="shared" si="106"/>
        <v>1.500803571428571</v>
      </c>
      <c r="T321" s="265">
        <f t="shared" si="107"/>
        <v>0.82693877551020412</v>
      </c>
      <c r="U321" s="265">
        <f t="shared" ca="1" si="108"/>
        <v>89.221012247436278</v>
      </c>
      <c r="V321" s="265">
        <f t="shared" ca="1" si="109"/>
        <v>2.3513249211904252</v>
      </c>
      <c r="W321" s="258">
        <f t="shared" ca="1" si="110"/>
        <v>20.739000000000001</v>
      </c>
      <c r="X321" s="265">
        <f t="shared" si="111"/>
        <v>2.5249365671641786</v>
      </c>
      <c r="Y321" s="265">
        <f t="shared" si="112"/>
        <v>1.500803571428571</v>
      </c>
      <c r="Z321" s="265">
        <f t="shared" si="113"/>
        <v>0.82693877551020412</v>
      </c>
      <c r="AA321" s="265">
        <f t="shared" ca="1" si="114"/>
        <v>25.591678914102953</v>
      </c>
      <c r="AB321" s="265">
        <f t="shared" ca="1" si="115"/>
        <v>0.67444148962301054</v>
      </c>
      <c r="AC321" s="258"/>
      <c r="AD321" s="258"/>
      <c r="AE321" s="258"/>
      <c r="AF321" s="258"/>
      <c r="AG321" s="258"/>
      <c r="AH321" s="258"/>
      <c r="AI321" s="258"/>
      <c r="AJ321" s="258"/>
      <c r="AK321" s="258"/>
      <c r="AL321" s="258"/>
      <c r="AM321" s="258"/>
    </row>
    <row r="322" spans="3:39" x14ac:dyDescent="0.25">
      <c r="C322" s="255" t="s">
        <v>6255</v>
      </c>
      <c r="D322" s="270">
        <v>2</v>
      </c>
      <c r="E322" s="255">
        <v>5.7000000000000002E-2</v>
      </c>
      <c r="F322" s="266">
        <v>28.5</v>
      </c>
      <c r="G322" s="266">
        <f t="shared" si="94"/>
        <v>35.087719298245609</v>
      </c>
      <c r="H322" s="265">
        <f t="shared" si="95"/>
        <v>0.35758706467661688</v>
      </c>
      <c r="I322" s="265">
        <f t="shared" si="96"/>
        <v>0.2790178571428571</v>
      </c>
      <c r="J322" s="265">
        <f t="shared" si="97"/>
        <v>0.14172335600907029</v>
      </c>
      <c r="K322" s="258">
        <f t="shared" ca="1" si="98"/>
        <v>130.52631578947367</v>
      </c>
      <c r="L322" s="265">
        <f t="shared" si="99"/>
        <v>2.5249365671641786</v>
      </c>
      <c r="M322" s="265">
        <f t="shared" si="100"/>
        <v>1.500803571428571</v>
      </c>
      <c r="N322" s="265">
        <f t="shared" si="101"/>
        <v>0.82693877551020412</v>
      </c>
      <c r="O322" s="265">
        <f t="shared" ca="1" si="102"/>
        <v>135.37899470357664</v>
      </c>
      <c r="P322" s="265">
        <f t="shared" ca="1" si="103"/>
        <v>3.7745724397545963</v>
      </c>
      <c r="Q322" s="258">
        <f t="shared" ca="1" si="104"/>
        <v>79.649122807017534</v>
      </c>
      <c r="R322" s="265">
        <f t="shared" si="105"/>
        <v>2.5249365671641786</v>
      </c>
      <c r="S322" s="265">
        <f t="shared" si="106"/>
        <v>1.500803571428571</v>
      </c>
      <c r="T322" s="265">
        <f t="shared" si="107"/>
        <v>0.82693877551020412</v>
      </c>
      <c r="U322" s="265">
        <f t="shared" ca="1" si="108"/>
        <v>84.501801721120486</v>
      </c>
      <c r="V322" s="265">
        <f t="shared" ca="1" si="109"/>
        <v>2.3560388565784067</v>
      </c>
      <c r="W322" s="258">
        <f t="shared" ca="1" si="110"/>
        <v>19.578947368421051</v>
      </c>
      <c r="X322" s="265">
        <f t="shared" si="111"/>
        <v>2.5249365671641786</v>
      </c>
      <c r="Y322" s="265">
        <f t="shared" si="112"/>
        <v>1.500803571428571</v>
      </c>
      <c r="Z322" s="265">
        <f t="shared" si="113"/>
        <v>0.82693877551020412</v>
      </c>
      <c r="AA322" s="265">
        <f t="shared" ca="1" si="114"/>
        <v>24.431626282524004</v>
      </c>
      <c r="AB322" s="265">
        <f t="shared" ca="1" si="115"/>
        <v>0.68119092940762382</v>
      </c>
      <c r="AC322" s="258"/>
      <c r="AD322" s="258"/>
      <c r="AE322" s="258"/>
      <c r="AF322" s="258"/>
      <c r="AG322" s="258"/>
      <c r="AH322" s="258"/>
      <c r="AI322" s="258"/>
      <c r="AJ322" s="258"/>
      <c r="AK322" s="258"/>
      <c r="AL322" s="258"/>
      <c r="AM322" s="258"/>
    </row>
    <row r="323" spans="3:39" x14ac:dyDescent="0.25">
      <c r="C323" s="255" t="s">
        <v>6256</v>
      </c>
      <c r="D323" s="255">
        <v>1.78</v>
      </c>
      <c r="E323" s="255">
        <v>5.2999999999999999E-2</v>
      </c>
      <c r="F323" s="266">
        <v>29.775280898876403</v>
      </c>
      <c r="G323" s="266">
        <f t="shared" si="94"/>
        <v>33.584905660377359</v>
      </c>
      <c r="H323" s="265">
        <f t="shared" si="95"/>
        <v>0.35758706467661688</v>
      </c>
      <c r="I323" s="265">
        <f t="shared" si="96"/>
        <v>0.2790178571428571</v>
      </c>
      <c r="J323" s="265">
        <f t="shared" si="97"/>
        <v>0.14172335600907029</v>
      </c>
      <c r="K323" s="258">
        <f t="shared" ca="1" si="98"/>
        <v>124.93584905660379</v>
      </c>
      <c r="L323" s="265">
        <f t="shared" si="99"/>
        <v>2.5249365671641786</v>
      </c>
      <c r="M323" s="265">
        <f t="shared" si="100"/>
        <v>1.500803571428571</v>
      </c>
      <c r="N323" s="265">
        <f t="shared" si="101"/>
        <v>0.82693877551020412</v>
      </c>
      <c r="O323" s="265">
        <f t="shared" ca="1" si="102"/>
        <v>129.78852797070672</v>
      </c>
      <c r="P323" s="265">
        <f t="shared" ca="1" si="103"/>
        <v>3.7769590663119921</v>
      </c>
      <c r="Q323" s="258">
        <f t="shared" ca="1" si="104"/>
        <v>76.237735849056605</v>
      </c>
      <c r="R323" s="265">
        <f t="shared" si="105"/>
        <v>2.5249365671641786</v>
      </c>
      <c r="S323" s="265">
        <f t="shared" si="106"/>
        <v>1.500803571428571</v>
      </c>
      <c r="T323" s="265">
        <f t="shared" si="107"/>
        <v>0.82693877551020412</v>
      </c>
      <c r="U323" s="265">
        <f t="shared" ca="1" si="108"/>
        <v>81.090414763159558</v>
      </c>
      <c r="V323" s="265">
        <f t="shared" ca="1" si="109"/>
        <v>2.359801609737354</v>
      </c>
      <c r="W323" s="258">
        <f t="shared" ca="1" si="110"/>
        <v>18.740377358490569</v>
      </c>
      <c r="X323" s="265">
        <f t="shared" si="111"/>
        <v>2.5249365671641786</v>
      </c>
      <c r="Y323" s="265">
        <f t="shared" si="112"/>
        <v>1.500803571428571</v>
      </c>
      <c r="Z323" s="265">
        <f t="shared" si="113"/>
        <v>0.82693877551020412</v>
      </c>
      <c r="AA323" s="265">
        <f t="shared" ca="1" si="114"/>
        <v>23.593056272593522</v>
      </c>
      <c r="AB323" s="265">
        <f t="shared" ca="1" si="115"/>
        <v>0.68657846100922915</v>
      </c>
      <c r="AC323" s="258"/>
      <c r="AD323" s="258"/>
      <c r="AE323" s="258"/>
      <c r="AF323" s="258"/>
      <c r="AG323" s="258"/>
      <c r="AH323" s="258"/>
      <c r="AI323" s="258"/>
      <c r="AJ323" s="258"/>
      <c r="AK323" s="258"/>
      <c r="AL323" s="258"/>
      <c r="AM323" s="258"/>
    </row>
    <row r="324" spans="3:39" x14ac:dyDescent="0.25">
      <c r="C324" s="255" t="s">
        <v>6257</v>
      </c>
      <c r="D324" s="255">
        <v>1.58</v>
      </c>
      <c r="E324" s="268">
        <v>0.05</v>
      </c>
      <c r="F324" s="266">
        <v>31.645569620253166</v>
      </c>
      <c r="G324" s="266">
        <f t="shared" si="94"/>
        <v>31.6</v>
      </c>
      <c r="H324" s="265">
        <f t="shared" si="95"/>
        <v>0.35758706467661688</v>
      </c>
      <c r="I324" s="265">
        <f t="shared" si="96"/>
        <v>0.2790178571428571</v>
      </c>
      <c r="J324" s="265">
        <f t="shared" si="97"/>
        <v>0.14172335600907029</v>
      </c>
      <c r="K324" s="258">
        <f t="shared" ca="1" si="98"/>
        <v>117.55200000000001</v>
      </c>
      <c r="L324" s="265">
        <f t="shared" si="99"/>
        <v>2.5249365671641786</v>
      </c>
      <c r="M324" s="265">
        <f t="shared" si="100"/>
        <v>1.500803571428571</v>
      </c>
      <c r="N324" s="265">
        <f t="shared" si="101"/>
        <v>0.82693877551020412</v>
      </c>
      <c r="O324" s="265">
        <f t="shared" ca="1" si="102"/>
        <v>122.40467891410296</v>
      </c>
      <c r="P324" s="265">
        <f t="shared" ca="1" si="103"/>
        <v>3.7804508578634999</v>
      </c>
      <c r="Q324" s="258">
        <f t="shared" ca="1" si="104"/>
        <v>71.731999999999999</v>
      </c>
      <c r="R324" s="265">
        <f t="shared" si="105"/>
        <v>2.5249365671641786</v>
      </c>
      <c r="S324" s="265">
        <f t="shared" si="106"/>
        <v>1.500803571428571</v>
      </c>
      <c r="T324" s="265">
        <f t="shared" si="107"/>
        <v>0.82693877551020412</v>
      </c>
      <c r="U324" s="265">
        <f t="shared" ca="1" si="108"/>
        <v>76.584678914102952</v>
      </c>
      <c r="V324" s="265">
        <f t="shared" ca="1" si="109"/>
        <v>2.3653067649741888</v>
      </c>
      <c r="W324" s="258">
        <f t="shared" ca="1" si="110"/>
        <v>17.632800000000003</v>
      </c>
      <c r="X324" s="265">
        <f t="shared" si="111"/>
        <v>2.5249365671641786</v>
      </c>
      <c r="Y324" s="265">
        <f t="shared" si="112"/>
        <v>1.500803571428571</v>
      </c>
      <c r="Z324" s="265">
        <f t="shared" si="113"/>
        <v>0.82693877551020412</v>
      </c>
      <c r="AA324" s="265">
        <f t="shared" ca="1" si="114"/>
        <v>22.485478914102956</v>
      </c>
      <c r="AB324" s="265">
        <f t="shared" ca="1" si="115"/>
        <v>0.69446077392143057</v>
      </c>
      <c r="AC324" s="258"/>
      <c r="AD324" s="258"/>
      <c r="AE324" s="258"/>
      <c r="AF324" s="258"/>
      <c r="AG324" s="258"/>
      <c r="AH324" s="258"/>
      <c r="AI324" s="258"/>
      <c r="AJ324" s="258"/>
      <c r="AK324" s="258"/>
      <c r="AL324" s="258"/>
      <c r="AM324" s="258"/>
    </row>
    <row r="325" spans="3:39" x14ac:dyDescent="0.25">
      <c r="C325" s="255" t="s">
        <v>6258</v>
      </c>
      <c r="D325" s="255">
        <v>1.39</v>
      </c>
      <c r="E325" s="255">
        <v>4.7E-2</v>
      </c>
      <c r="F325" s="266">
        <v>33.812949640287769</v>
      </c>
      <c r="G325" s="266">
        <f t="shared" si="94"/>
        <v>29.574468085106382</v>
      </c>
      <c r="H325" s="265">
        <f t="shared" si="95"/>
        <v>0.35758706467661688</v>
      </c>
      <c r="I325" s="265">
        <f t="shared" si="96"/>
        <v>0.2790178571428571</v>
      </c>
      <c r="J325" s="265">
        <f t="shared" si="97"/>
        <v>0.14172335600907029</v>
      </c>
      <c r="K325" s="258">
        <f t="shared" ca="1" si="98"/>
        <v>110.01702127659574</v>
      </c>
      <c r="L325" s="265">
        <f t="shared" si="99"/>
        <v>2.5249365671641786</v>
      </c>
      <c r="M325" s="265">
        <f t="shared" si="100"/>
        <v>1.500803571428571</v>
      </c>
      <c r="N325" s="265">
        <f t="shared" si="101"/>
        <v>0.82693877551020412</v>
      </c>
      <c r="O325" s="265">
        <f t="shared" ca="1" si="102"/>
        <v>114.86970019069869</v>
      </c>
      <c r="P325" s="265">
        <f t="shared" ca="1" si="103"/>
        <v>3.7844849224821639</v>
      </c>
      <c r="Q325" s="258">
        <f t="shared" ca="1" si="104"/>
        <v>67.134042553191492</v>
      </c>
      <c r="R325" s="265">
        <f t="shared" si="105"/>
        <v>2.5249365671641786</v>
      </c>
      <c r="S325" s="265">
        <f t="shared" si="106"/>
        <v>1.500803571428571</v>
      </c>
      <c r="T325" s="265">
        <f t="shared" si="107"/>
        <v>0.82693877551020412</v>
      </c>
      <c r="U325" s="265">
        <f t="shared" ca="1" si="108"/>
        <v>71.986721467294444</v>
      </c>
      <c r="V325" s="265">
        <f t="shared" ca="1" si="109"/>
        <v>2.3716668674126002</v>
      </c>
      <c r="W325" s="258">
        <f t="shared" ca="1" si="110"/>
        <v>16.502553191489362</v>
      </c>
      <c r="X325" s="265">
        <f t="shared" si="111"/>
        <v>2.5249365671641786</v>
      </c>
      <c r="Y325" s="265">
        <f t="shared" si="112"/>
        <v>1.500803571428571</v>
      </c>
      <c r="Z325" s="265">
        <f t="shared" si="113"/>
        <v>0.82693877551020412</v>
      </c>
      <c r="AA325" s="265">
        <f t="shared" ca="1" si="114"/>
        <v>21.355232105592314</v>
      </c>
      <c r="AB325" s="265">
        <f t="shared" ca="1" si="115"/>
        <v>0.70356720515115645</v>
      </c>
      <c r="AC325" s="258"/>
      <c r="AD325" s="258"/>
      <c r="AE325" s="258"/>
      <c r="AF325" s="258"/>
      <c r="AG325" s="258"/>
      <c r="AH325" s="258"/>
      <c r="AI325" s="258"/>
      <c r="AJ325" s="258"/>
      <c r="AK325" s="258"/>
      <c r="AL325" s="258"/>
      <c r="AM325" s="258"/>
    </row>
    <row r="326" spans="3:39" x14ac:dyDescent="0.25">
      <c r="C326" s="255" t="s">
        <v>6259</v>
      </c>
      <c r="D326" s="255">
        <v>1.21</v>
      </c>
      <c r="E326" s="255">
        <v>4.3999999999999997E-2</v>
      </c>
      <c r="F326" s="266">
        <v>36.36363636363636</v>
      </c>
      <c r="G326" s="266">
        <f t="shared" si="94"/>
        <v>27.5</v>
      </c>
      <c r="H326" s="265">
        <f t="shared" si="95"/>
        <v>0.35758706467661688</v>
      </c>
      <c r="I326" s="265">
        <f t="shared" si="96"/>
        <v>0.2790178571428571</v>
      </c>
      <c r="J326" s="265">
        <f t="shared" si="97"/>
        <v>0.14172335600907029</v>
      </c>
      <c r="K326" s="258">
        <f t="shared" ca="1" si="98"/>
        <v>102.30000000000001</v>
      </c>
      <c r="L326" s="265">
        <f t="shared" si="99"/>
        <v>2.5249365671641786</v>
      </c>
      <c r="M326" s="265">
        <f t="shared" si="100"/>
        <v>1.500803571428571</v>
      </c>
      <c r="N326" s="265">
        <f t="shared" si="101"/>
        <v>0.82693877551020412</v>
      </c>
      <c r="O326" s="265">
        <f t="shared" ca="1" si="102"/>
        <v>107.15267891410296</v>
      </c>
      <c r="P326" s="265">
        <f t="shared" ca="1" si="103"/>
        <v>3.7892154678080945</v>
      </c>
      <c r="Q326" s="258">
        <f t="shared" ca="1" si="104"/>
        <v>62.424999999999997</v>
      </c>
      <c r="R326" s="265">
        <f t="shared" si="105"/>
        <v>2.5249365671641786</v>
      </c>
      <c r="S326" s="265">
        <f t="shared" si="106"/>
        <v>1.500803571428571</v>
      </c>
      <c r="T326" s="265">
        <f t="shared" si="107"/>
        <v>0.82693877551020412</v>
      </c>
      <c r="U326" s="265">
        <f t="shared" ca="1" si="108"/>
        <v>67.27767891410295</v>
      </c>
      <c r="V326" s="265">
        <f t="shared" ca="1" si="109"/>
        <v>2.3791250406712199</v>
      </c>
      <c r="W326" s="258">
        <f t="shared" ca="1" si="110"/>
        <v>15.345000000000001</v>
      </c>
      <c r="X326" s="265">
        <f t="shared" si="111"/>
        <v>2.5249365671641786</v>
      </c>
      <c r="Y326" s="265">
        <f t="shared" si="112"/>
        <v>1.500803571428571</v>
      </c>
      <c r="Z326" s="265">
        <f t="shared" si="113"/>
        <v>0.82693877551020412</v>
      </c>
      <c r="AA326" s="265">
        <f t="shared" ca="1" si="114"/>
        <v>20.197678914102951</v>
      </c>
      <c r="AB326" s="265">
        <f t="shared" ca="1" si="115"/>
        <v>0.71424586049306249</v>
      </c>
      <c r="AC326" s="258"/>
      <c r="AD326" s="258"/>
      <c r="AE326" s="258"/>
      <c r="AF326" s="258"/>
      <c r="AG326" s="258"/>
      <c r="AH326" s="258"/>
      <c r="AI326" s="258"/>
      <c r="AJ326" s="258"/>
      <c r="AK326" s="258"/>
      <c r="AL326" s="258"/>
      <c r="AM326" s="258"/>
    </row>
    <row r="327" spans="3:39" x14ac:dyDescent="0.25">
      <c r="C327" s="255" t="s">
        <v>6260</v>
      </c>
      <c r="D327" s="255">
        <v>1.04</v>
      </c>
      <c r="E327" s="255">
        <v>4.1000000000000002E-2</v>
      </c>
      <c r="F327" s="266">
        <v>39.42307692307692</v>
      </c>
      <c r="G327" s="266">
        <f t="shared" si="94"/>
        <v>25.365853658536587</v>
      </c>
      <c r="H327" s="265">
        <f t="shared" si="95"/>
        <v>0.35758706467661688</v>
      </c>
      <c r="I327" s="265">
        <f t="shared" si="96"/>
        <v>0.2790178571428571</v>
      </c>
      <c r="J327" s="265">
        <f t="shared" si="97"/>
        <v>0.14172335600907029</v>
      </c>
      <c r="K327" s="258">
        <f t="shared" ca="1" si="98"/>
        <v>94.36097560975611</v>
      </c>
      <c r="L327" s="265">
        <f t="shared" si="99"/>
        <v>2.5249365671641786</v>
      </c>
      <c r="M327" s="265">
        <f t="shared" si="100"/>
        <v>1.500803571428571</v>
      </c>
      <c r="N327" s="265">
        <f t="shared" si="101"/>
        <v>0.82693877551020412</v>
      </c>
      <c r="O327" s="265">
        <f t="shared" ca="1" si="102"/>
        <v>99.213654523859063</v>
      </c>
      <c r="P327" s="265">
        <f t="shared" ca="1" si="103"/>
        <v>3.7948655178939936</v>
      </c>
      <c r="Q327" s="258">
        <f t="shared" ca="1" si="104"/>
        <v>57.580487804878054</v>
      </c>
      <c r="R327" s="265">
        <f t="shared" si="105"/>
        <v>2.5249365671641786</v>
      </c>
      <c r="S327" s="265">
        <f t="shared" si="106"/>
        <v>1.500803571428571</v>
      </c>
      <c r="T327" s="265">
        <f t="shared" si="107"/>
        <v>0.82693877551020412</v>
      </c>
      <c r="U327" s="265">
        <f t="shared" ca="1" si="108"/>
        <v>62.433166718981006</v>
      </c>
      <c r="V327" s="265">
        <f t="shared" ca="1" si="109"/>
        <v>2.3880329042592789</v>
      </c>
      <c r="W327" s="258">
        <f t="shared" ca="1" si="110"/>
        <v>14.154146341463417</v>
      </c>
      <c r="X327" s="265">
        <f t="shared" si="111"/>
        <v>2.5249365671641786</v>
      </c>
      <c r="Y327" s="265">
        <f t="shared" si="112"/>
        <v>1.500803571428571</v>
      </c>
      <c r="Z327" s="265">
        <f t="shared" si="113"/>
        <v>0.82693877551020412</v>
      </c>
      <c r="AA327" s="265">
        <f t="shared" ca="1" si="114"/>
        <v>19.006825255566369</v>
      </c>
      <c r="AB327" s="265">
        <f t="shared" ca="1" si="115"/>
        <v>0.72700019078160216</v>
      </c>
      <c r="AC327" s="258"/>
      <c r="AD327" s="258"/>
      <c r="AE327" s="258"/>
      <c r="AF327" s="258"/>
      <c r="AG327" s="258"/>
      <c r="AH327" s="258"/>
      <c r="AI327" s="258"/>
      <c r="AJ327" s="258"/>
      <c r="AK327" s="258"/>
      <c r="AL327" s="258"/>
      <c r="AM327" s="258"/>
    </row>
    <row r="328" spans="3:39" x14ac:dyDescent="0.25">
      <c r="C328" s="255" t="s">
        <v>6261</v>
      </c>
      <c r="D328" s="255">
        <v>12.6</v>
      </c>
      <c r="E328" s="255">
        <v>0.16</v>
      </c>
      <c r="F328" s="266">
        <v>12.698412698412698</v>
      </c>
      <c r="G328" s="266">
        <f t="shared" si="94"/>
        <v>78.75</v>
      </c>
      <c r="H328" s="265">
        <f t="shared" si="95"/>
        <v>0.35758706467661688</v>
      </c>
      <c r="I328" s="265">
        <f t="shared" si="96"/>
        <v>0.2790178571428571</v>
      </c>
      <c r="J328" s="265">
        <f t="shared" si="97"/>
        <v>0.14172335600907029</v>
      </c>
      <c r="K328" s="258">
        <f t="shared" ca="1" si="98"/>
        <v>292.95</v>
      </c>
      <c r="L328" s="265">
        <f t="shared" si="99"/>
        <v>2.5249365671641786</v>
      </c>
      <c r="M328" s="265">
        <f t="shared" si="100"/>
        <v>1.500803571428571</v>
      </c>
      <c r="N328" s="265">
        <f t="shared" si="101"/>
        <v>0.82693877551020412</v>
      </c>
      <c r="O328" s="265">
        <f t="shared" ca="1" si="102"/>
        <v>297.8026789141029</v>
      </c>
      <c r="P328" s="265">
        <f t="shared" ca="1" si="103"/>
        <v>3.7446113273466906</v>
      </c>
      <c r="Q328" s="258">
        <f t="shared" ca="1" si="104"/>
        <v>178.76249999999999</v>
      </c>
      <c r="R328" s="265">
        <f t="shared" si="105"/>
        <v>2.5249365671641786</v>
      </c>
      <c r="S328" s="265">
        <f t="shared" si="106"/>
        <v>1.500803571428571</v>
      </c>
      <c r="T328" s="265">
        <f t="shared" si="107"/>
        <v>0.82693877551020412</v>
      </c>
      <c r="U328" s="265">
        <f t="shared" ca="1" si="108"/>
        <v>183.61517891410296</v>
      </c>
      <c r="V328" s="265">
        <f t="shared" ca="1" si="109"/>
        <v>2.3088021952712472</v>
      </c>
      <c r="W328" s="258">
        <f t="shared" ca="1" si="110"/>
        <v>43.942500000000003</v>
      </c>
      <c r="X328" s="265">
        <f t="shared" si="111"/>
        <v>2.5249365671641786</v>
      </c>
      <c r="Y328" s="265">
        <f t="shared" si="112"/>
        <v>1.500803571428571</v>
      </c>
      <c r="Z328" s="265">
        <f t="shared" si="113"/>
        <v>0.82693877551020412</v>
      </c>
      <c r="AA328" s="265">
        <f t="shared" ca="1" si="114"/>
        <v>48.795178914102955</v>
      </c>
      <c r="AB328" s="265">
        <f t="shared" ca="1" si="115"/>
        <v>0.61355720622768839</v>
      </c>
      <c r="AC328" s="258"/>
      <c r="AD328" s="258"/>
      <c r="AE328" s="258"/>
      <c r="AF328" s="258"/>
      <c r="AG328" s="258"/>
      <c r="AH328" s="258"/>
      <c r="AI328" s="258"/>
      <c r="AJ328" s="258"/>
      <c r="AK328" s="258"/>
      <c r="AL328" s="258"/>
      <c r="AM328" s="258"/>
    </row>
    <row r="329" spans="3:39" x14ac:dyDescent="0.25">
      <c r="C329" s="255" t="s">
        <v>6262</v>
      </c>
      <c r="D329" s="255">
        <v>4.91</v>
      </c>
      <c r="E329" s="270">
        <v>0.1</v>
      </c>
      <c r="F329" s="266">
        <v>20.366598778004075</v>
      </c>
      <c r="G329" s="266">
        <f t="shared" si="94"/>
        <v>49.1</v>
      </c>
      <c r="H329" s="265">
        <f t="shared" si="95"/>
        <v>0.35758706467661688</v>
      </c>
      <c r="I329" s="265">
        <f t="shared" si="96"/>
        <v>0.2790178571428571</v>
      </c>
      <c r="J329" s="265">
        <f t="shared" si="97"/>
        <v>0.14172335600907029</v>
      </c>
      <c r="K329" s="258">
        <f t="shared" ca="1" si="98"/>
        <v>182.65200000000002</v>
      </c>
      <c r="L329" s="265">
        <f t="shared" si="99"/>
        <v>2.5249365671641786</v>
      </c>
      <c r="M329" s="265">
        <f t="shared" si="100"/>
        <v>1.500803571428571</v>
      </c>
      <c r="N329" s="265">
        <f t="shared" si="101"/>
        <v>0.82693877551020412</v>
      </c>
      <c r="O329" s="265">
        <f t="shared" ca="1" si="102"/>
        <v>187.50467891410298</v>
      </c>
      <c r="P329" s="265">
        <f t="shared" ca="1" si="103"/>
        <v>3.7592414458976733</v>
      </c>
      <c r="Q329" s="258">
        <f t="shared" ca="1" si="104"/>
        <v>111.45700000000001</v>
      </c>
      <c r="R329" s="265">
        <f t="shared" si="105"/>
        <v>2.5249365671641786</v>
      </c>
      <c r="S329" s="265">
        <f t="shared" si="106"/>
        <v>1.500803571428571</v>
      </c>
      <c r="T329" s="265">
        <f t="shared" si="107"/>
        <v>0.82693877551020412</v>
      </c>
      <c r="U329" s="265">
        <f t="shared" ca="1" si="108"/>
        <v>116.30967891410296</v>
      </c>
      <c r="V329" s="265">
        <f t="shared" ca="1" si="109"/>
        <v>2.3318680262546785</v>
      </c>
      <c r="W329" s="258">
        <f t="shared" ca="1" si="110"/>
        <v>27.397800000000004</v>
      </c>
      <c r="X329" s="265">
        <f t="shared" si="111"/>
        <v>2.5249365671641786</v>
      </c>
      <c r="Y329" s="265">
        <f t="shared" si="112"/>
        <v>1.500803571428571</v>
      </c>
      <c r="Z329" s="265">
        <f t="shared" si="113"/>
        <v>0.82693877551020412</v>
      </c>
      <c r="AA329" s="265">
        <f t="shared" ca="1" si="114"/>
        <v>32.250478914102956</v>
      </c>
      <c r="AB329" s="265">
        <f t="shared" ca="1" si="115"/>
        <v>0.64658299561412214</v>
      </c>
      <c r="AC329" s="258"/>
      <c r="AD329" s="258"/>
      <c r="AE329" s="258"/>
      <c r="AF329" s="258"/>
      <c r="AG329" s="258"/>
      <c r="AH329" s="258"/>
      <c r="AI329" s="258"/>
      <c r="AJ329" s="258"/>
      <c r="AK329" s="258"/>
      <c r="AL329" s="258"/>
      <c r="AM329" s="258"/>
    </row>
    <row r="330" spans="3:39" x14ac:dyDescent="0.25">
      <c r="C330" s="255" t="s">
        <v>6263</v>
      </c>
      <c r="D330" s="255">
        <v>3.14</v>
      </c>
      <c r="E330" s="255">
        <v>0.08</v>
      </c>
      <c r="F330" s="266">
        <v>25.477707006369425</v>
      </c>
      <c r="G330" s="266">
        <f t="shared" si="94"/>
        <v>39.25</v>
      </c>
      <c r="H330" s="265">
        <f t="shared" si="95"/>
        <v>0.35758706467661688</v>
      </c>
      <c r="I330" s="265">
        <f t="shared" si="96"/>
        <v>0.2790178571428571</v>
      </c>
      <c r="J330" s="265">
        <f t="shared" si="97"/>
        <v>0.14172335600907029</v>
      </c>
      <c r="K330" s="258">
        <f t="shared" ca="1" si="98"/>
        <v>146.01000000000002</v>
      </c>
      <c r="L330" s="265">
        <f t="shared" si="99"/>
        <v>2.5249365671641786</v>
      </c>
      <c r="M330" s="265">
        <f t="shared" si="100"/>
        <v>1.500803571428571</v>
      </c>
      <c r="N330" s="265">
        <f t="shared" si="101"/>
        <v>0.82693877551020412</v>
      </c>
      <c r="O330" s="265">
        <f t="shared" ca="1" si="102"/>
        <v>150.86267891410299</v>
      </c>
      <c r="P330" s="265">
        <f t="shared" ca="1" si="103"/>
        <v>3.7688978132435511</v>
      </c>
      <c r="Q330" s="258">
        <f t="shared" ca="1" si="104"/>
        <v>89.097499999999997</v>
      </c>
      <c r="R330" s="265">
        <f t="shared" si="105"/>
        <v>2.5249365671641786</v>
      </c>
      <c r="S330" s="265">
        <f t="shared" si="106"/>
        <v>1.500803571428571</v>
      </c>
      <c r="T330" s="265">
        <f t="shared" si="107"/>
        <v>0.82693877551020412</v>
      </c>
      <c r="U330" s="265">
        <f t="shared" ca="1" si="108"/>
        <v>93.950178914102949</v>
      </c>
      <c r="V330" s="265">
        <f t="shared" ca="1" si="109"/>
        <v>2.3470922458218522</v>
      </c>
      <c r="W330" s="258">
        <f t="shared" ca="1" si="110"/>
        <v>21.901500000000002</v>
      </c>
      <c r="X330" s="265">
        <f t="shared" si="111"/>
        <v>2.5249365671641786</v>
      </c>
      <c r="Y330" s="265">
        <f t="shared" si="112"/>
        <v>1.500803571428571</v>
      </c>
      <c r="Z330" s="265">
        <f t="shared" si="113"/>
        <v>0.82693877551020412</v>
      </c>
      <c r="AA330" s="265">
        <f t="shared" ca="1" si="114"/>
        <v>26.754178914102955</v>
      </c>
      <c r="AB330" s="265">
        <f t="shared" ca="1" si="115"/>
        <v>0.66838112070050992</v>
      </c>
      <c r="AC330" s="258"/>
      <c r="AD330" s="258"/>
      <c r="AE330" s="258"/>
      <c r="AF330" s="258"/>
      <c r="AG330" s="258"/>
      <c r="AH330" s="258"/>
      <c r="AI330" s="258"/>
      <c r="AJ330" s="258"/>
      <c r="AK330" s="258"/>
      <c r="AL330" s="258"/>
      <c r="AM330" s="258"/>
    </row>
    <row r="331" spans="3:39" x14ac:dyDescent="0.25">
      <c r="C331" s="255" t="s">
        <v>6264</v>
      </c>
      <c r="D331" s="255">
        <v>2.0099999999999998</v>
      </c>
      <c r="E331" s="255">
        <v>6.4000000000000001E-2</v>
      </c>
      <c r="F331" s="266">
        <v>31.840796019900502</v>
      </c>
      <c r="G331" s="266">
        <f t="shared" si="94"/>
        <v>31.406249999999996</v>
      </c>
      <c r="H331" s="265">
        <f t="shared" si="95"/>
        <v>0.35758706467661688</v>
      </c>
      <c r="I331" s="265">
        <f t="shared" si="96"/>
        <v>0.2790178571428571</v>
      </c>
      <c r="J331" s="265">
        <f t="shared" si="97"/>
        <v>0.14172335600907029</v>
      </c>
      <c r="K331" s="258">
        <f t="shared" ca="1" si="98"/>
        <v>116.83125</v>
      </c>
      <c r="L331" s="265">
        <f t="shared" si="99"/>
        <v>2.5249365671641786</v>
      </c>
      <c r="M331" s="265">
        <f t="shared" si="100"/>
        <v>1.500803571428571</v>
      </c>
      <c r="N331" s="265">
        <f t="shared" si="101"/>
        <v>0.82693877551020412</v>
      </c>
      <c r="O331" s="265">
        <f t="shared" ca="1" si="102"/>
        <v>121.68392891410295</v>
      </c>
      <c r="P331" s="265">
        <f t="shared" ca="1" si="103"/>
        <v>3.7808147698467476</v>
      </c>
      <c r="Q331" s="258">
        <f t="shared" ca="1" si="104"/>
        <v>71.292187499999997</v>
      </c>
      <c r="R331" s="265">
        <f t="shared" si="105"/>
        <v>2.5249365671641786</v>
      </c>
      <c r="S331" s="265">
        <f t="shared" si="106"/>
        <v>1.500803571428571</v>
      </c>
      <c r="T331" s="265">
        <f t="shared" si="107"/>
        <v>0.82693877551020412</v>
      </c>
      <c r="U331" s="265">
        <f t="shared" ca="1" si="108"/>
        <v>76.14486641410295</v>
      </c>
      <c r="V331" s="265">
        <f t="shared" ca="1" si="109"/>
        <v>2.3658805082606276</v>
      </c>
      <c r="W331" s="258">
        <f t="shared" ca="1" si="110"/>
        <v>17.524687499999999</v>
      </c>
      <c r="X331" s="265">
        <f t="shared" si="111"/>
        <v>2.5249365671641786</v>
      </c>
      <c r="Y331" s="265">
        <f t="shared" si="112"/>
        <v>1.500803571428571</v>
      </c>
      <c r="Z331" s="265">
        <f t="shared" si="113"/>
        <v>0.82693877551020412</v>
      </c>
      <c r="AA331" s="265">
        <f t="shared" ca="1" si="114"/>
        <v>22.377366414102951</v>
      </c>
      <c r="AB331" s="265">
        <f t="shared" ca="1" si="115"/>
        <v>0.695282262856878</v>
      </c>
      <c r="AC331" s="258"/>
      <c r="AD331" s="258"/>
      <c r="AE331" s="258"/>
      <c r="AF331" s="258"/>
      <c r="AG331" s="258"/>
      <c r="AH331" s="258"/>
      <c r="AI331" s="258"/>
      <c r="AJ331" s="258"/>
      <c r="AK331" s="258"/>
      <c r="AL331" s="258"/>
      <c r="AM331" s="258"/>
    </row>
    <row r="332" spans="3:39" x14ac:dyDescent="0.25">
      <c r="C332" s="255" t="s">
        <v>6265</v>
      </c>
      <c r="D332" s="255">
        <v>1.1299999999999999</v>
      </c>
      <c r="E332" s="255">
        <v>4.8000000000000001E-2</v>
      </c>
      <c r="F332" s="266">
        <v>42.477876106194699</v>
      </c>
      <c r="G332" s="266">
        <f t="shared" si="94"/>
        <v>23.541666666666664</v>
      </c>
      <c r="H332" s="265">
        <f t="shared" si="95"/>
        <v>0.35758706467661688</v>
      </c>
      <c r="I332" s="265">
        <f t="shared" si="96"/>
        <v>0.2790178571428571</v>
      </c>
      <c r="J332" s="265">
        <f t="shared" si="97"/>
        <v>0.14172335600907029</v>
      </c>
      <c r="K332" s="258">
        <f t="shared" ca="1" si="98"/>
        <v>87.575000000000003</v>
      </c>
      <c r="L332" s="265">
        <f t="shared" si="99"/>
        <v>2.5249365671641786</v>
      </c>
      <c r="M332" s="265">
        <f t="shared" si="100"/>
        <v>1.500803571428571</v>
      </c>
      <c r="N332" s="265">
        <f t="shared" si="101"/>
        <v>0.82693877551020412</v>
      </c>
      <c r="O332" s="265">
        <f t="shared" ca="1" si="102"/>
        <v>92.427678914102955</v>
      </c>
      <c r="P332" s="265">
        <f t="shared" ca="1" si="103"/>
        <v>3.8004810085301357</v>
      </c>
      <c r="Q332" s="258">
        <f t="shared" ca="1" si="104"/>
        <v>53.439583333333331</v>
      </c>
      <c r="R332" s="265">
        <f t="shared" si="105"/>
        <v>2.5249365671641786</v>
      </c>
      <c r="S332" s="265">
        <f t="shared" si="106"/>
        <v>1.500803571428571</v>
      </c>
      <c r="T332" s="265">
        <f t="shared" si="107"/>
        <v>0.82693877551020412</v>
      </c>
      <c r="U332" s="265">
        <f t="shared" ca="1" si="108"/>
        <v>58.292262247436284</v>
      </c>
      <c r="V332" s="265">
        <f t="shared" ca="1" si="109"/>
        <v>2.3968862814517418</v>
      </c>
      <c r="W332" s="258">
        <f t="shared" ca="1" si="110"/>
        <v>13.13625</v>
      </c>
      <c r="X332" s="265">
        <f t="shared" si="111"/>
        <v>2.5249365671641786</v>
      </c>
      <c r="Y332" s="265">
        <f t="shared" si="112"/>
        <v>1.500803571428571</v>
      </c>
      <c r="Z332" s="265">
        <f t="shared" si="113"/>
        <v>0.82693877551020412</v>
      </c>
      <c r="AA332" s="265">
        <f t="shared" ca="1" si="114"/>
        <v>17.988928914102953</v>
      </c>
      <c r="AB332" s="265">
        <f t="shared" ca="1" si="115"/>
        <v>0.73967650713573507</v>
      </c>
      <c r="AC332" s="258"/>
      <c r="AD332" s="258"/>
      <c r="AE332" s="258"/>
      <c r="AF332" s="258"/>
      <c r="AG332" s="258"/>
      <c r="AH332" s="258"/>
      <c r="AI332" s="258"/>
      <c r="AJ332" s="258"/>
      <c r="AK332" s="258"/>
      <c r="AL332" s="258"/>
      <c r="AM332" s="258"/>
    </row>
    <row r="333" spans="3:39" x14ac:dyDescent="0.25">
      <c r="C333" s="255" t="s">
        <v>6266</v>
      </c>
      <c r="D333" s="258">
        <v>138.94499999999999</v>
      </c>
      <c r="E333" s="258">
        <v>2.7916192319798903</v>
      </c>
      <c r="F333" s="258">
        <v>20.091541487494261</v>
      </c>
      <c r="G333" s="266">
        <f t="shared" si="94"/>
        <v>49.772188989204132</v>
      </c>
      <c r="H333" s="265">
        <f t="shared" si="95"/>
        <v>0.35758706467661688</v>
      </c>
      <c r="I333" s="265">
        <f t="shared" si="96"/>
        <v>0.2790178571428571</v>
      </c>
      <c r="J333" s="265">
        <f t="shared" si="97"/>
        <v>0.14172335600907029</v>
      </c>
      <c r="K333" s="258">
        <f t="shared" ca="1" si="98"/>
        <v>185.15254303983937</v>
      </c>
      <c r="L333" s="265">
        <f t="shared" si="99"/>
        <v>2.5249365671641786</v>
      </c>
      <c r="M333" s="265">
        <f t="shared" si="100"/>
        <v>1.500803571428571</v>
      </c>
      <c r="N333" s="265">
        <f t="shared" si="101"/>
        <v>0.82693877551020412</v>
      </c>
      <c r="O333" s="265">
        <f t="shared" ca="1" si="102"/>
        <v>190.00522195394234</v>
      </c>
      <c r="P333" s="265">
        <f t="shared" ca="1" si="103"/>
        <v>3.7587196378276682</v>
      </c>
      <c r="Q333" s="258">
        <f t="shared" ca="1" si="104"/>
        <v>112.98286900549338</v>
      </c>
      <c r="R333" s="265">
        <f t="shared" si="105"/>
        <v>2.5249365671641786</v>
      </c>
      <c r="S333" s="265">
        <f t="shared" si="106"/>
        <v>1.500803571428571</v>
      </c>
      <c r="T333" s="265">
        <f t="shared" si="107"/>
        <v>0.82693877551020412</v>
      </c>
      <c r="U333" s="265">
        <f t="shared" ca="1" si="108"/>
        <v>117.83554791959634</v>
      </c>
      <c r="V333" s="265">
        <f t="shared" ca="1" si="109"/>
        <v>2.3310453441481331</v>
      </c>
      <c r="W333" s="258">
        <f t="shared" ca="1" si="110"/>
        <v>27.772881455975909</v>
      </c>
      <c r="X333" s="265">
        <f t="shared" si="111"/>
        <v>2.5249365671641786</v>
      </c>
      <c r="Y333" s="265">
        <f t="shared" si="112"/>
        <v>1.500803571428571</v>
      </c>
      <c r="Z333" s="265">
        <f t="shared" si="113"/>
        <v>0.82693877551020412</v>
      </c>
      <c r="AA333" s="265">
        <f t="shared" ca="1" si="114"/>
        <v>32.625560370078865</v>
      </c>
      <c r="AB333" s="265">
        <f t="shared" ca="1" si="115"/>
        <v>0.6454050746451242</v>
      </c>
      <c r="AC333" s="258"/>
      <c r="AD333" s="258"/>
      <c r="AE333" s="258"/>
      <c r="AF333" s="258"/>
      <c r="AG333" s="258"/>
      <c r="AH333" s="258"/>
      <c r="AI333" s="258"/>
      <c r="AJ333" s="258"/>
      <c r="AK333" s="258"/>
      <c r="AL333" s="258"/>
      <c r="AM333" s="258"/>
    </row>
    <row r="334" spans="3:39" x14ac:dyDescent="0.25">
      <c r="C334" s="255" t="s">
        <v>6267</v>
      </c>
      <c r="D334" s="258">
        <v>104.405</v>
      </c>
      <c r="E334" s="258">
        <v>2.8117254249628649</v>
      </c>
      <c r="F334" s="258">
        <v>26.930946075023847</v>
      </c>
      <c r="G334" s="266">
        <f t="shared" si="94"/>
        <v>37.132004097227558</v>
      </c>
      <c r="H334" s="265">
        <f t="shared" si="95"/>
        <v>0.35758706467661688</v>
      </c>
      <c r="I334" s="265">
        <f t="shared" si="96"/>
        <v>0.2790178571428571</v>
      </c>
      <c r="J334" s="265">
        <f t="shared" si="97"/>
        <v>0.14172335600907029</v>
      </c>
      <c r="K334" s="258">
        <f t="shared" ca="1" si="98"/>
        <v>138.13105524168651</v>
      </c>
      <c r="L334" s="265">
        <f t="shared" si="99"/>
        <v>2.5249365671641786</v>
      </c>
      <c r="M334" s="265">
        <f t="shared" si="100"/>
        <v>1.500803571428571</v>
      </c>
      <c r="N334" s="265">
        <f t="shared" si="101"/>
        <v>0.82693877551020412</v>
      </c>
      <c r="O334" s="265">
        <f t="shared" ca="1" si="102"/>
        <v>142.98373415578948</v>
      </c>
      <c r="P334" s="265">
        <f t="shared" ca="1" si="103"/>
        <v>3.7716296639453533</v>
      </c>
      <c r="Q334" s="258">
        <f t="shared" ca="1" si="104"/>
        <v>84.289649300706557</v>
      </c>
      <c r="R334" s="265">
        <f t="shared" si="105"/>
        <v>2.5249365671641786</v>
      </c>
      <c r="S334" s="265">
        <f t="shared" si="106"/>
        <v>1.500803571428571</v>
      </c>
      <c r="T334" s="265">
        <f t="shared" si="107"/>
        <v>0.82693877551020412</v>
      </c>
      <c r="U334" s="265">
        <f t="shared" ca="1" si="108"/>
        <v>89.14232821480951</v>
      </c>
      <c r="V334" s="265">
        <f t="shared" ca="1" si="109"/>
        <v>2.3513992790383074</v>
      </c>
      <c r="W334" s="258">
        <f t="shared" ca="1" si="110"/>
        <v>20.719658286252979</v>
      </c>
      <c r="X334" s="265">
        <f t="shared" si="111"/>
        <v>2.5249365671641786</v>
      </c>
      <c r="Y334" s="265">
        <f t="shared" si="112"/>
        <v>1.500803571428571</v>
      </c>
      <c r="Z334" s="265">
        <f t="shared" si="113"/>
        <v>0.82693877551020412</v>
      </c>
      <c r="AA334" s="265">
        <f t="shared" ca="1" si="114"/>
        <v>25.572337200355932</v>
      </c>
      <c r="AB334" s="265">
        <f t="shared" ca="1" si="115"/>
        <v>0.67454795561702297</v>
      </c>
      <c r="AC334" s="258"/>
      <c r="AD334" s="258"/>
      <c r="AE334" s="258"/>
      <c r="AF334" s="258"/>
      <c r="AG334" s="258"/>
      <c r="AH334" s="258"/>
      <c r="AI334" s="258"/>
      <c r="AJ334" s="258"/>
      <c r="AK334" s="258"/>
      <c r="AL334" s="258"/>
      <c r="AM334" s="258"/>
    </row>
    <row r="335" spans="3:39" x14ac:dyDescent="0.25">
      <c r="C335" s="255" t="s">
        <v>6268</v>
      </c>
      <c r="D335" s="258">
        <v>70.650000000000006</v>
      </c>
      <c r="E335" s="258">
        <v>2.8312032994151215</v>
      </c>
      <c r="F335" s="258">
        <v>40.073648965536037</v>
      </c>
      <c r="G335" s="266">
        <f t="shared" si="94"/>
        <v>24.954053993436322</v>
      </c>
      <c r="H335" s="265">
        <f t="shared" si="95"/>
        <v>0.35758706467661688</v>
      </c>
      <c r="I335" s="265">
        <f t="shared" si="96"/>
        <v>0.2790178571428571</v>
      </c>
      <c r="J335" s="265">
        <f t="shared" si="97"/>
        <v>0.14172335600907029</v>
      </c>
      <c r="K335" s="258">
        <f t="shared" ca="1" si="98"/>
        <v>92.829080855583115</v>
      </c>
      <c r="L335" s="265">
        <f t="shared" si="99"/>
        <v>2.5249365671641786</v>
      </c>
      <c r="M335" s="265">
        <f t="shared" si="100"/>
        <v>1.500803571428571</v>
      </c>
      <c r="N335" s="265">
        <f t="shared" si="101"/>
        <v>0.82693877551020412</v>
      </c>
      <c r="O335" s="265">
        <f t="shared" ca="1" si="102"/>
        <v>97.681759769686067</v>
      </c>
      <c r="P335" s="265">
        <f t="shared" ca="1" si="103"/>
        <v>3.7960636034373878</v>
      </c>
      <c r="Q335" s="258">
        <f t="shared" ca="1" si="104"/>
        <v>56.64570256510045</v>
      </c>
      <c r="R335" s="265">
        <f t="shared" si="105"/>
        <v>2.5249365671641786</v>
      </c>
      <c r="S335" s="265">
        <f t="shared" si="106"/>
        <v>1.500803571428571</v>
      </c>
      <c r="T335" s="265">
        <f t="shared" si="107"/>
        <v>0.82693877551020412</v>
      </c>
      <c r="U335" s="265">
        <f t="shared" ca="1" si="108"/>
        <v>61.498381479203402</v>
      </c>
      <c r="V335" s="265">
        <f t="shared" ca="1" si="109"/>
        <v>2.3899218047867308</v>
      </c>
      <c r="W335" s="258">
        <f t="shared" ca="1" si="110"/>
        <v>13.924362128337469</v>
      </c>
      <c r="X335" s="265">
        <f t="shared" si="111"/>
        <v>2.5249365671641786</v>
      </c>
      <c r="Y335" s="265">
        <f t="shared" si="112"/>
        <v>1.500803571428571</v>
      </c>
      <c r="Z335" s="265">
        <f t="shared" si="113"/>
        <v>0.82693877551020412</v>
      </c>
      <c r="AA335" s="265">
        <f t="shared" ca="1" si="114"/>
        <v>18.77704104244042</v>
      </c>
      <c r="AB335" s="265">
        <f t="shared" ca="1" si="115"/>
        <v>0.72970472941436837</v>
      </c>
      <c r="AC335" s="258"/>
      <c r="AD335" s="258"/>
      <c r="AE335" s="258"/>
      <c r="AF335" s="258"/>
      <c r="AG335" s="258"/>
      <c r="AH335" s="258"/>
      <c r="AI335" s="258"/>
      <c r="AJ335" s="258"/>
      <c r="AK335" s="258"/>
      <c r="AL335" s="258"/>
      <c r="AM335" s="258"/>
    </row>
    <row r="336" spans="3:39" x14ac:dyDescent="0.25">
      <c r="C336" s="255" t="s">
        <v>6269</v>
      </c>
      <c r="D336" s="258">
        <v>123.245</v>
      </c>
      <c r="E336" s="258">
        <v>2.4736900554366033</v>
      </c>
      <c r="F336" s="258">
        <v>20.071321801587107</v>
      </c>
      <c r="G336" s="266">
        <f t="shared" si="94"/>
        <v>49.822329086514202</v>
      </c>
      <c r="H336" s="265">
        <f t="shared" si="95"/>
        <v>0.35758706467661688</v>
      </c>
      <c r="I336" s="265">
        <f t="shared" si="96"/>
        <v>0.2790178571428571</v>
      </c>
      <c r="J336" s="265">
        <f t="shared" si="97"/>
        <v>0.14172335600907029</v>
      </c>
      <c r="K336" s="258">
        <f t="shared" ca="1" si="98"/>
        <v>185.33906420183285</v>
      </c>
      <c r="L336" s="265">
        <f t="shared" si="99"/>
        <v>2.5249365671641786</v>
      </c>
      <c r="M336" s="265">
        <f t="shared" si="100"/>
        <v>1.500803571428571</v>
      </c>
      <c r="N336" s="265">
        <f t="shared" si="101"/>
        <v>0.82693877551020412</v>
      </c>
      <c r="O336" s="265">
        <f t="shared" ca="1" si="102"/>
        <v>190.19174311593582</v>
      </c>
      <c r="P336" s="265">
        <f t="shared" ca="1" si="103"/>
        <v>3.7586812706105293</v>
      </c>
      <c r="Q336" s="258">
        <f t="shared" ca="1" si="104"/>
        <v>113.09668702638724</v>
      </c>
      <c r="R336" s="265">
        <f t="shared" si="105"/>
        <v>2.5249365671641786</v>
      </c>
      <c r="S336" s="265">
        <f t="shared" si="106"/>
        <v>1.500803571428571</v>
      </c>
      <c r="T336" s="265">
        <f t="shared" si="107"/>
        <v>0.82693877551020412</v>
      </c>
      <c r="U336" s="265">
        <f t="shared" ca="1" si="108"/>
        <v>117.9493659404902</v>
      </c>
      <c r="V336" s="265">
        <f t="shared" ca="1" si="109"/>
        <v>2.3309848544301071</v>
      </c>
      <c r="W336" s="258">
        <f t="shared" ca="1" si="110"/>
        <v>27.800859630274928</v>
      </c>
      <c r="X336" s="265">
        <f t="shared" si="111"/>
        <v>2.5249365671641786</v>
      </c>
      <c r="Y336" s="265">
        <f t="shared" si="112"/>
        <v>1.500803571428571</v>
      </c>
      <c r="Z336" s="265">
        <f t="shared" si="113"/>
        <v>0.82693877551020412</v>
      </c>
      <c r="AA336" s="265">
        <f t="shared" ca="1" si="114"/>
        <v>32.653538544377881</v>
      </c>
      <c r="AB336" s="265">
        <f t="shared" ca="1" si="115"/>
        <v>0.64531846511915414</v>
      </c>
      <c r="AC336" s="258"/>
      <c r="AD336" s="258"/>
      <c r="AE336" s="258"/>
      <c r="AF336" s="258"/>
      <c r="AG336" s="258"/>
      <c r="AH336" s="258"/>
      <c r="AI336" s="258"/>
      <c r="AJ336" s="258"/>
      <c r="AK336" s="258"/>
      <c r="AL336" s="258"/>
      <c r="AM336" s="258"/>
    </row>
    <row r="337" spans="3:39" x14ac:dyDescent="0.25">
      <c r="C337" s="255" t="s">
        <v>6270</v>
      </c>
      <c r="D337" s="258">
        <v>92.63</v>
      </c>
      <c r="E337" s="258">
        <v>2.4937962484195779</v>
      </c>
      <c r="F337" s="258">
        <v>26.922122945261556</v>
      </c>
      <c r="G337" s="266">
        <f t="shared" si="94"/>
        <v>37.144173289499278</v>
      </c>
      <c r="H337" s="265">
        <f t="shared" si="95"/>
        <v>0.35758706467661688</v>
      </c>
      <c r="I337" s="265">
        <f t="shared" si="96"/>
        <v>0.2790178571428571</v>
      </c>
      <c r="J337" s="265">
        <f t="shared" si="97"/>
        <v>0.14172335600907029</v>
      </c>
      <c r="K337" s="258">
        <f t="shared" ca="1" si="98"/>
        <v>138.17632463693732</v>
      </c>
      <c r="L337" s="265">
        <f t="shared" si="99"/>
        <v>2.5249365671641786</v>
      </c>
      <c r="M337" s="265">
        <f t="shared" si="100"/>
        <v>1.500803571428571</v>
      </c>
      <c r="N337" s="265">
        <f t="shared" si="101"/>
        <v>0.82693877551020412</v>
      </c>
      <c r="O337" s="265">
        <f t="shared" ca="1" si="102"/>
        <v>143.02900355104029</v>
      </c>
      <c r="P337" s="265">
        <f t="shared" ca="1" si="103"/>
        <v>3.771613096174729</v>
      </c>
      <c r="Q337" s="258">
        <f t="shared" ca="1" si="104"/>
        <v>84.317273367163367</v>
      </c>
      <c r="R337" s="265">
        <f t="shared" si="105"/>
        <v>2.5249365671641786</v>
      </c>
      <c r="S337" s="265">
        <f t="shared" si="106"/>
        <v>1.500803571428571</v>
      </c>
      <c r="T337" s="265">
        <f t="shared" si="107"/>
        <v>0.82693877551020412</v>
      </c>
      <c r="U337" s="265">
        <f t="shared" ca="1" si="108"/>
        <v>89.169952281266319</v>
      </c>
      <c r="V337" s="265">
        <f t="shared" ca="1" si="109"/>
        <v>2.3513731583069091</v>
      </c>
      <c r="W337" s="258">
        <f t="shared" ca="1" si="110"/>
        <v>20.726448695540601</v>
      </c>
      <c r="X337" s="265">
        <f t="shared" si="111"/>
        <v>2.5249365671641786</v>
      </c>
      <c r="Y337" s="265">
        <f t="shared" si="112"/>
        <v>1.500803571428571</v>
      </c>
      <c r="Z337" s="265">
        <f t="shared" si="113"/>
        <v>0.82693877551020412</v>
      </c>
      <c r="AA337" s="265">
        <f t="shared" ca="1" si="114"/>
        <v>25.579127609643553</v>
      </c>
      <c r="AB337" s="265">
        <f t="shared" ca="1" si="115"/>
        <v>0.67451055580366259</v>
      </c>
      <c r="AC337" s="258"/>
      <c r="AD337" s="258"/>
      <c r="AE337" s="258"/>
      <c r="AF337" s="258"/>
      <c r="AG337" s="258"/>
      <c r="AH337" s="258"/>
      <c r="AI337" s="258"/>
      <c r="AJ337" s="258"/>
      <c r="AK337" s="258"/>
      <c r="AL337" s="258"/>
      <c r="AM337" s="258"/>
    </row>
    <row r="338" spans="3:39" x14ac:dyDescent="0.25">
      <c r="C338" s="255" t="s">
        <v>6271</v>
      </c>
      <c r="D338" s="258">
        <v>62.8</v>
      </c>
      <c r="E338" s="258">
        <v>2.5132741228718345</v>
      </c>
      <c r="F338" s="258">
        <v>40.020288580761694</v>
      </c>
      <c r="G338" s="266">
        <f t="shared" si="94"/>
        <v>24.987326065427567</v>
      </c>
      <c r="H338" s="265">
        <f t="shared" si="95"/>
        <v>0.35758706467661688</v>
      </c>
      <c r="I338" s="265">
        <f t="shared" si="96"/>
        <v>0.2790178571428571</v>
      </c>
      <c r="J338" s="265">
        <f t="shared" si="97"/>
        <v>0.14172335600907029</v>
      </c>
      <c r="K338" s="258">
        <f t="shared" ca="1" si="98"/>
        <v>92.952852963390555</v>
      </c>
      <c r="L338" s="265">
        <f t="shared" si="99"/>
        <v>2.5249365671641786</v>
      </c>
      <c r="M338" s="265">
        <f t="shared" si="100"/>
        <v>1.500803571428571</v>
      </c>
      <c r="N338" s="265">
        <f t="shared" si="101"/>
        <v>0.82693877551020412</v>
      </c>
      <c r="O338" s="265">
        <f t="shared" ca="1" si="102"/>
        <v>97.805531877493507</v>
      </c>
      <c r="P338" s="265">
        <f t="shared" ca="1" si="103"/>
        <v>3.7959653799009017</v>
      </c>
      <c r="Q338" s="258">
        <f t="shared" ca="1" si="104"/>
        <v>56.721230168520577</v>
      </c>
      <c r="R338" s="265">
        <f t="shared" si="105"/>
        <v>2.5249365671641786</v>
      </c>
      <c r="S338" s="265">
        <f t="shared" si="106"/>
        <v>1.500803571428571</v>
      </c>
      <c r="T338" s="265">
        <f t="shared" si="107"/>
        <v>0.82693877551020412</v>
      </c>
      <c r="U338" s="265">
        <f t="shared" ca="1" si="108"/>
        <v>61.57390908262353</v>
      </c>
      <c r="V338" s="265">
        <f t="shared" ca="1" si="109"/>
        <v>2.3897669456525894</v>
      </c>
      <c r="W338" s="258">
        <f t="shared" ca="1" si="110"/>
        <v>13.942927944508584</v>
      </c>
      <c r="X338" s="265">
        <f t="shared" si="111"/>
        <v>2.5249365671641786</v>
      </c>
      <c r="Y338" s="265">
        <f t="shared" si="112"/>
        <v>1.500803571428571</v>
      </c>
      <c r="Z338" s="265">
        <f t="shared" si="113"/>
        <v>0.82693877551020412</v>
      </c>
      <c r="AA338" s="265">
        <f t="shared" ca="1" si="114"/>
        <v>18.795606858611535</v>
      </c>
      <c r="AB338" s="265">
        <f t="shared" ca="1" si="115"/>
        <v>0.72948300121596121</v>
      </c>
      <c r="AC338" s="258"/>
      <c r="AD338" s="258"/>
      <c r="AE338" s="258"/>
      <c r="AF338" s="258"/>
      <c r="AG338" s="258"/>
      <c r="AH338" s="258"/>
      <c r="AI338" s="258"/>
      <c r="AJ338" s="258"/>
      <c r="AK338" s="258"/>
      <c r="AL338" s="258"/>
      <c r="AM338" s="258"/>
    </row>
    <row r="339" spans="3:39" x14ac:dyDescent="0.25">
      <c r="C339" s="255" t="s">
        <v>6272</v>
      </c>
      <c r="D339" s="258">
        <v>106.76</v>
      </c>
      <c r="E339" s="258">
        <v>2.1545042418318801</v>
      </c>
      <c r="F339" s="258">
        <v>20.180819050504688</v>
      </c>
      <c r="G339" s="266">
        <f t="shared" si="94"/>
        <v>49.552002696094334</v>
      </c>
      <c r="H339" s="265">
        <f t="shared" si="95"/>
        <v>0.35758706467661688</v>
      </c>
      <c r="I339" s="265">
        <f t="shared" si="96"/>
        <v>0.2790178571428571</v>
      </c>
      <c r="J339" s="265">
        <f t="shared" si="97"/>
        <v>0.14172335600907029</v>
      </c>
      <c r="K339" s="258">
        <f t="shared" ca="1" si="98"/>
        <v>184.33345002947092</v>
      </c>
      <c r="L339" s="265">
        <f t="shared" si="99"/>
        <v>2.5249365671641786</v>
      </c>
      <c r="M339" s="265">
        <f t="shared" si="100"/>
        <v>1.500803571428571</v>
      </c>
      <c r="N339" s="265">
        <f t="shared" si="101"/>
        <v>0.82693877551020412</v>
      </c>
      <c r="O339" s="265">
        <f t="shared" ca="1" si="102"/>
        <v>189.18612894357389</v>
      </c>
      <c r="P339" s="265">
        <f t="shared" ca="1" si="103"/>
        <v>3.7588890293925328</v>
      </c>
      <c r="Q339" s="258">
        <f t="shared" ca="1" si="104"/>
        <v>112.48304612013413</v>
      </c>
      <c r="R339" s="265">
        <f t="shared" si="105"/>
        <v>2.5249365671641786</v>
      </c>
      <c r="S339" s="265">
        <f t="shared" si="106"/>
        <v>1.500803571428571</v>
      </c>
      <c r="T339" s="265">
        <f t="shared" si="107"/>
        <v>0.82693877551020412</v>
      </c>
      <c r="U339" s="265">
        <f t="shared" ca="1" si="108"/>
        <v>117.33572503423709</v>
      </c>
      <c r="V339" s="265">
        <f t="shared" ca="1" si="109"/>
        <v>2.3313124067280824</v>
      </c>
      <c r="W339" s="258">
        <f t="shared" ca="1" si="110"/>
        <v>27.650017504420642</v>
      </c>
      <c r="X339" s="265">
        <f t="shared" si="111"/>
        <v>2.5249365671641786</v>
      </c>
      <c r="Y339" s="265">
        <f t="shared" si="112"/>
        <v>1.500803571428571</v>
      </c>
      <c r="Z339" s="265">
        <f t="shared" si="113"/>
        <v>0.82693877551020412</v>
      </c>
      <c r="AA339" s="265">
        <f t="shared" ca="1" si="114"/>
        <v>32.502696418523598</v>
      </c>
      <c r="AB339" s="265">
        <f t="shared" ca="1" si="115"/>
        <v>0.64578745638219381</v>
      </c>
      <c r="AC339" s="258"/>
      <c r="AD339" s="258"/>
      <c r="AE339" s="258"/>
      <c r="AF339" s="258"/>
      <c r="AG339" s="258"/>
      <c r="AH339" s="258"/>
      <c r="AI339" s="258"/>
      <c r="AJ339" s="258"/>
      <c r="AK339" s="258"/>
      <c r="AL339" s="258"/>
      <c r="AM339" s="258"/>
    </row>
    <row r="340" spans="3:39" x14ac:dyDescent="0.25">
      <c r="C340" s="255" t="s">
        <v>6273</v>
      </c>
      <c r="D340" s="258">
        <v>80.855000000000004</v>
      </c>
      <c r="E340" s="258">
        <v>2.1746104348148547</v>
      </c>
      <c r="F340" s="258">
        <v>26.895188112236163</v>
      </c>
      <c r="G340" s="266">
        <f t="shared" si="94"/>
        <v>37.181372215241836</v>
      </c>
      <c r="H340" s="265">
        <f t="shared" si="95"/>
        <v>0.35758706467661688</v>
      </c>
      <c r="I340" s="265">
        <f t="shared" si="96"/>
        <v>0.2790178571428571</v>
      </c>
      <c r="J340" s="265">
        <f t="shared" si="97"/>
        <v>0.14172335600907029</v>
      </c>
      <c r="K340" s="258">
        <f t="shared" ca="1" si="98"/>
        <v>138.31470464069963</v>
      </c>
      <c r="L340" s="265">
        <f t="shared" si="99"/>
        <v>2.5249365671641786</v>
      </c>
      <c r="M340" s="265">
        <f t="shared" si="100"/>
        <v>1.500803571428571</v>
      </c>
      <c r="N340" s="265">
        <f t="shared" si="101"/>
        <v>0.82693877551020412</v>
      </c>
      <c r="O340" s="265">
        <f t="shared" ca="1" si="102"/>
        <v>143.1673835548026</v>
      </c>
      <c r="P340" s="265">
        <f t="shared" ca="1" si="103"/>
        <v>3.7715625174897811</v>
      </c>
      <c r="Q340" s="258">
        <f t="shared" ca="1" si="104"/>
        <v>84.401714928598963</v>
      </c>
      <c r="R340" s="265">
        <f t="shared" si="105"/>
        <v>2.5249365671641786</v>
      </c>
      <c r="S340" s="265">
        <f t="shared" si="106"/>
        <v>1.500803571428571</v>
      </c>
      <c r="T340" s="265">
        <f t="shared" si="107"/>
        <v>0.82693877551020412</v>
      </c>
      <c r="U340" s="265">
        <f t="shared" ca="1" si="108"/>
        <v>89.254393842701916</v>
      </c>
      <c r="V340" s="265">
        <f t="shared" ca="1" si="109"/>
        <v>2.3512934160003578</v>
      </c>
      <c r="W340" s="258">
        <f t="shared" ca="1" si="110"/>
        <v>20.747205696104945</v>
      </c>
      <c r="X340" s="265">
        <f t="shared" si="111"/>
        <v>2.5249365671641786</v>
      </c>
      <c r="Y340" s="265">
        <f t="shared" si="112"/>
        <v>1.500803571428571</v>
      </c>
      <c r="Z340" s="265">
        <f t="shared" si="113"/>
        <v>0.82693877551020412</v>
      </c>
      <c r="AA340" s="265">
        <f t="shared" ca="1" si="114"/>
        <v>25.599884610207898</v>
      </c>
      <c r="AB340" s="265">
        <f t="shared" ca="1" si="115"/>
        <v>0.67439638031077742</v>
      </c>
      <c r="AC340" s="258"/>
      <c r="AD340" s="258"/>
      <c r="AE340" s="258"/>
      <c r="AF340" s="258"/>
      <c r="AG340" s="258"/>
      <c r="AH340" s="258"/>
      <c r="AI340" s="258"/>
      <c r="AJ340" s="258"/>
      <c r="AK340" s="258"/>
      <c r="AL340" s="258"/>
      <c r="AM340" s="258"/>
    </row>
    <row r="341" spans="3:39" x14ac:dyDescent="0.25">
      <c r="C341" s="255" t="s">
        <v>6274</v>
      </c>
      <c r="D341" s="258">
        <v>54.95</v>
      </c>
      <c r="E341" s="258">
        <v>2.1940883092671117</v>
      </c>
      <c r="F341" s="258">
        <v>39.928813635434238</v>
      </c>
      <c r="G341" s="266">
        <f t="shared" si="94"/>
        <v>25.044570798681697</v>
      </c>
      <c r="H341" s="265">
        <f t="shared" si="95"/>
        <v>0.35758706467661688</v>
      </c>
      <c r="I341" s="265">
        <f t="shared" si="96"/>
        <v>0.2790178571428571</v>
      </c>
      <c r="J341" s="265">
        <f t="shared" si="97"/>
        <v>0.14172335600907029</v>
      </c>
      <c r="K341" s="258">
        <f t="shared" ca="1" si="98"/>
        <v>93.165803371095919</v>
      </c>
      <c r="L341" s="265">
        <f t="shared" si="99"/>
        <v>2.5249365671641786</v>
      </c>
      <c r="M341" s="265">
        <f t="shared" si="100"/>
        <v>1.500803571428571</v>
      </c>
      <c r="N341" s="265">
        <f t="shared" si="101"/>
        <v>0.82693877551020412</v>
      </c>
      <c r="O341" s="265">
        <f t="shared" ca="1" si="102"/>
        <v>98.018482285198871</v>
      </c>
      <c r="P341" s="265">
        <f t="shared" ca="1" si="103"/>
        <v>3.7957969782858818</v>
      </c>
      <c r="Q341" s="258">
        <f t="shared" ca="1" si="104"/>
        <v>56.85117571300745</v>
      </c>
      <c r="R341" s="265">
        <f t="shared" si="105"/>
        <v>2.5249365671641786</v>
      </c>
      <c r="S341" s="265">
        <f t="shared" si="106"/>
        <v>1.500803571428571</v>
      </c>
      <c r="T341" s="265">
        <f t="shared" si="107"/>
        <v>0.82693877551020412</v>
      </c>
      <c r="U341" s="265">
        <f t="shared" ca="1" si="108"/>
        <v>61.703854627110402</v>
      </c>
      <c r="V341" s="265">
        <f t="shared" ca="1" si="109"/>
        <v>2.3895014438266231</v>
      </c>
      <c r="W341" s="258">
        <f t="shared" ca="1" si="110"/>
        <v>13.974870505664388</v>
      </c>
      <c r="X341" s="265">
        <f t="shared" si="111"/>
        <v>2.5249365671641786</v>
      </c>
      <c r="Y341" s="265">
        <f t="shared" si="112"/>
        <v>1.500803571428571</v>
      </c>
      <c r="Z341" s="265">
        <f t="shared" si="113"/>
        <v>0.82693877551020412</v>
      </c>
      <c r="AA341" s="265">
        <f t="shared" ca="1" si="114"/>
        <v>18.82754941976734</v>
      </c>
      <c r="AB341" s="265">
        <f t="shared" ca="1" si="115"/>
        <v>0.72910285417541632</v>
      </c>
      <c r="AC341" s="258"/>
      <c r="AD341" s="258"/>
      <c r="AE341" s="258"/>
      <c r="AF341" s="258"/>
      <c r="AG341" s="258"/>
      <c r="AH341" s="258"/>
      <c r="AI341" s="258"/>
      <c r="AJ341" s="258"/>
      <c r="AK341" s="258"/>
      <c r="AL341" s="258"/>
      <c r="AM341" s="258"/>
    </row>
    <row r="342" spans="3:39" x14ac:dyDescent="0.25">
      <c r="C342" s="255" t="s">
        <v>6275</v>
      </c>
      <c r="D342" s="258">
        <v>97.34</v>
      </c>
      <c r="E342" s="258">
        <v>1.9553272675942872</v>
      </c>
      <c r="F342" s="258">
        <v>20.087602913440385</v>
      </c>
      <c r="G342" s="266">
        <f t="shared" si="94"/>
        <v>49.781947816725875</v>
      </c>
      <c r="H342" s="265">
        <f t="shared" si="95"/>
        <v>0.35758706467661688</v>
      </c>
      <c r="I342" s="265">
        <f t="shared" si="96"/>
        <v>0.2790178571428571</v>
      </c>
      <c r="J342" s="265">
        <f t="shared" si="97"/>
        <v>0.14172335600907029</v>
      </c>
      <c r="K342" s="258">
        <f t="shared" ca="1" si="98"/>
        <v>185.18884587822026</v>
      </c>
      <c r="L342" s="265">
        <f t="shared" si="99"/>
        <v>2.5249365671641786</v>
      </c>
      <c r="M342" s="265">
        <f t="shared" si="100"/>
        <v>1.500803571428571</v>
      </c>
      <c r="N342" s="265">
        <f t="shared" si="101"/>
        <v>0.82693877551020412</v>
      </c>
      <c r="O342" s="265">
        <f t="shared" ca="1" si="102"/>
        <v>190.04152479232323</v>
      </c>
      <c r="P342" s="265">
        <f t="shared" ca="1" si="103"/>
        <v>3.7587121644059143</v>
      </c>
      <c r="Q342" s="258">
        <f t="shared" ca="1" si="104"/>
        <v>113.00502154396774</v>
      </c>
      <c r="R342" s="265">
        <f t="shared" si="105"/>
        <v>2.5249365671641786</v>
      </c>
      <c r="S342" s="265">
        <f t="shared" si="106"/>
        <v>1.500803571428571</v>
      </c>
      <c r="T342" s="265">
        <f t="shared" si="107"/>
        <v>0.82693877551020412</v>
      </c>
      <c r="U342" s="265">
        <f t="shared" ca="1" si="108"/>
        <v>117.8577004580707</v>
      </c>
      <c r="V342" s="265">
        <f t="shared" ca="1" si="109"/>
        <v>2.3310335615585083</v>
      </c>
      <c r="W342" s="258">
        <f t="shared" ca="1" si="110"/>
        <v>27.77832688173304</v>
      </c>
      <c r="X342" s="265">
        <f t="shared" si="111"/>
        <v>2.5249365671641786</v>
      </c>
      <c r="Y342" s="265">
        <f t="shared" si="112"/>
        <v>1.500803571428571</v>
      </c>
      <c r="Z342" s="265">
        <f t="shared" si="113"/>
        <v>0.82693877551020412</v>
      </c>
      <c r="AA342" s="265">
        <f t="shared" ca="1" si="114"/>
        <v>32.631005795835996</v>
      </c>
      <c r="AB342" s="265">
        <f t="shared" ca="1" si="115"/>
        <v>0.64538820426557186</v>
      </c>
      <c r="AC342" s="258"/>
      <c r="AD342" s="258"/>
      <c r="AE342" s="258"/>
      <c r="AF342" s="258"/>
      <c r="AG342" s="258"/>
      <c r="AH342" s="258"/>
      <c r="AI342" s="258"/>
      <c r="AJ342" s="258"/>
      <c r="AK342" s="258"/>
      <c r="AL342" s="258"/>
      <c r="AM342" s="258"/>
    </row>
    <row r="343" spans="3:39" x14ac:dyDescent="0.25">
      <c r="C343" s="255" t="s">
        <v>6276</v>
      </c>
      <c r="D343" s="258">
        <v>73.004999999999995</v>
      </c>
      <c r="E343" s="258">
        <v>1.9754334605772619</v>
      </c>
      <c r="F343" s="258">
        <v>27.058878988798874</v>
      </c>
      <c r="G343" s="266">
        <f t="shared" si="94"/>
        <v>36.956445993714439</v>
      </c>
      <c r="H343" s="265">
        <f t="shared" si="95"/>
        <v>0.35758706467661688</v>
      </c>
      <c r="I343" s="265">
        <f t="shared" si="96"/>
        <v>0.2790178571428571</v>
      </c>
      <c r="J343" s="265">
        <f t="shared" si="97"/>
        <v>0.14172335600907029</v>
      </c>
      <c r="K343" s="258">
        <f t="shared" ca="1" si="98"/>
        <v>137.47797909661773</v>
      </c>
      <c r="L343" s="265">
        <f t="shared" si="99"/>
        <v>2.5249365671641786</v>
      </c>
      <c r="M343" s="265">
        <f t="shared" si="100"/>
        <v>1.500803571428571</v>
      </c>
      <c r="N343" s="265">
        <f t="shared" si="101"/>
        <v>0.82693877551020412</v>
      </c>
      <c r="O343" s="265">
        <f t="shared" ca="1" si="102"/>
        <v>142.3306580107207</v>
      </c>
      <c r="P343" s="265">
        <f t="shared" ca="1" si="103"/>
        <v>3.7718698669427808</v>
      </c>
      <c r="Q343" s="258">
        <f t="shared" ca="1" si="104"/>
        <v>83.891132405731781</v>
      </c>
      <c r="R343" s="265">
        <f t="shared" si="105"/>
        <v>2.5249365671641786</v>
      </c>
      <c r="S343" s="265">
        <f t="shared" si="106"/>
        <v>1.500803571428571</v>
      </c>
      <c r="T343" s="265">
        <f t="shared" si="107"/>
        <v>0.82693877551020412</v>
      </c>
      <c r="U343" s="265">
        <f t="shared" ca="1" si="108"/>
        <v>88.743811319834734</v>
      </c>
      <c r="V343" s="265">
        <f t="shared" ca="1" si="109"/>
        <v>2.3517779828554408</v>
      </c>
      <c r="W343" s="258">
        <f t="shared" ca="1" si="110"/>
        <v>20.621696864492659</v>
      </c>
      <c r="X343" s="265">
        <f t="shared" si="111"/>
        <v>2.5249365671641786</v>
      </c>
      <c r="Y343" s="265">
        <f t="shared" si="112"/>
        <v>1.500803571428571</v>
      </c>
      <c r="Z343" s="265">
        <f t="shared" si="113"/>
        <v>0.82693877551020412</v>
      </c>
      <c r="AA343" s="265">
        <f t="shared" ca="1" si="114"/>
        <v>25.474375778595611</v>
      </c>
      <c r="AB343" s="265">
        <f t="shared" ca="1" si="115"/>
        <v>0.67509018591921632</v>
      </c>
      <c r="AC343" s="258"/>
      <c r="AD343" s="258"/>
      <c r="AE343" s="258"/>
      <c r="AF343" s="258"/>
      <c r="AG343" s="258"/>
      <c r="AH343" s="258"/>
      <c r="AI343" s="258"/>
      <c r="AJ343" s="258"/>
      <c r="AK343" s="258"/>
      <c r="AL343" s="258"/>
      <c r="AM343" s="258"/>
    </row>
    <row r="344" spans="3:39" x14ac:dyDescent="0.25">
      <c r="C344" s="255" t="s">
        <v>6277</v>
      </c>
      <c r="D344" s="258">
        <v>49.454999999999998</v>
      </c>
      <c r="E344" s="258">
        <v>1.9949113350295185</v>
      </c>
      <c r="F344" s="258">
        <v>40.337909918704241</v>
      </c>
      <c r="G344" s="266">
        <f t="shared" si="94"/>
        <v>24.790575466487194</v>
      </c>
      <c r="H344" s="265">
        <f t="shared" si="95"/>
        <v>0.35758706467661688</v>
      </c>
      <c r="I344" s="265">
        <f t="shared" si="96"/>
        <v>0.2790178571428571</v>
      </c>
      <c r="J344" s="265">
        <f t="shared" si="97"/>
        <v>0.14172335600907029</v>
      </c>
      <c r="K344" s="258">
        <f t="shared" ca="1" si="98"/>
        <v>92.220940735332363</v>
      </c>
      <c r="L344" s="265">
        <f t="shared" si="99"/>
        <v>2.5249365671641786</v>
      </c>
      <c r="M344" s="265">
        <f t="shared" si="100"/>
        <v>1.500803571428571</v>
      </c>
      <c r="N344" s="265">
        <f t="shared" si="101"/>
        <v>0.82693877551020412</v>
      </c>
      <c r="O344" s="265">
        <f t="shared" ca="1" si="102"/>
        <v>97.073619649435315</v>
      </c>
      <c r="P344" s="265">
        <f t="shared" ca="1" si="103"/>
        <v>3.7965499272144543</v>
      </c>
      <c r="Q344" s="258">
        <f t="shared" ca="1" si="104"/>
        <v>56.274606308925932</v>
      </c>
      <c r="R344" s="265">
        <f t="shared" si="105"/>
        <v>2.5249365671641786</v>
      </c>
      <c r="S344" s="265">
        <f t="shared" si="106"/>
        <v>1.500803571428571</v>
      </c>
      <c r="T344" s="265">
        <f t="shared" si="107"/>
        <v>0.82693877551020412</v>
      </c>
      <c r="U344" s="265">
        <f t="shared" ca="1" si="108"/>
        <v>61.127285223028885</v>
      </c>
      <c r="V344" s="265">
        <f t="shared" ca="1" si="109"/>
        <v>2.3906885423908006</v>
      </c>
      <c r="W344" s="258">
        <f t="shared" ca="1" si="110"/>
        <v>13.833141110299856</v>
      </c>
      <c r="X344" s="265">
        <f t="shared" si="111"/>
        <v>2.5249365671641786</v>
      </c>
      <c r="Y344" s="265">
        <f t="shared" si="112"/>
        <v>1.500803571428571</v>
      </c>
      <c r="Z344" s="265">
        <f t="shared" si="113"/>
        <v>0.82693877551020412</v>
      </c>
      <c r="AA344" s="265">
        <f t="shared" ca="1" si="114"/>
        <v>18.685820024402808</v>
      </c>
      <c r="AB344" s="265">
        <f t="shared" ca="1" si="115"/>
        <v>0.73080254872314887</v>
      </c>
      <c r="AC344" s="258"/>
      <c r="AD344" s="258"/>
      <c r="AE344" s="258"/>
      <c r="AF344" s="258"/>
      <c r="AG344" s="258"/>
      <c r="AH344" s="258"/>
      <c r="AI344" s="258"/>
      <c r="AJ344" s="258"/>
      <c r="AK344" s="258"/>
      <c r="AL344" s="258"/>
      <c r="AM344" s="258"/>
    </row>
    <row r="345" spans="3:39" x14ac:dyDescent="0.25">
      <c r="C345" s="255" t="s">
        <v>6278</v>
      </c>
      <c r="D345" s="258">
        <v>80.855000000000004</v>
      </c>
      <c r="E345" s="258">
        <v>1.6361414539895642</v>
      </c>
      <c r="F345" s="258">
        <v>20.235501255204554</v>
      </c>
      <c r="G345" s="266">
        <f t="shared" si="94"/>
        <v>49.41809878531182</v>
      </c>
      <c r="H345" s="265">
        <f t="shared" si="95"/>
        <v>0.35758706467661688</v>
      </c>
      <c r="I345" s="265">
        <f t="shared" si="96"/>
        <v>0.2790178571428571</v>
      </c>
      <c r="J345" s="265">
        <f t="shared" si="97"/>
        <v>0.14172335600907029</v>
      </c>
      <c r="K345" s="258">
        <f t="shared" ca="1" si="98"/>
        <v>183.83532748135997</v>
      </c>
      <c r="L345" s="265">
        <f t="shared" si="99"/>
        <v>2.5249365671641786</v>
      </c>
      <c r="M345" s="265">
        <f t="shared" si="100"/>
        <v>1.500803571428571</v>
      </c>
      <c r="N345" s="265">
        <f t="shared" si="101"/>
        <v>0.82693877551020412</v>
      </c>
      <c r="O345" s="265">
        <f t="shared" ca="1" si="102"/>
        <v>188.68800639546293</v>
      </c>
      <c r="P345" s="265">
        <f t="shared" ca="1" si="103"/>
        <v>3.7589927697068712</v>
      </c>
      <c r="Q345" s="258">
        <f t="shared" ca="1" si="104"/>
        <v>112.17908424265784</v>
      </c>
      <c r="R345" s="265">
        <f t="shared" si="105"/>
        <v>2.5249365671641786</v>
      </c>
      <c r="S345" s="265">
        <f t="shared" si="106"/>
        <v>1.500803571428571</v>
      </c>
      <c r="T345" s="265">
        <f t="shared" si="107"/>
        <v>0.82693877551020412</v>
      </c>
      <c r="U345" s="265">
        <f t="shared" ca="1" si="108"/>
        <v>117.03176315676079</v>
      </c>
      <c r="V345" s="265">
        <f t="shared" ca="1" si="109"/>
        <v>2.3314759636089346</v>
      </c>
      <c r="W345" s="258">
        <f t="shared" ca="1" si="110"/>
        <v>27.575299122203997</v>
      </c>
      <c r="X345" s="265">
        <f t="shared" si="111"/>
        <v>2.5249365671641786</v>
      </c>
      <c r="Y345" s="265">
        <f t="shared" si="112"/>
        <v>1.500803571428571</v>
      </c>
      <c r="Z345" s="265">
        <f t="shared" si="113"/>
        <v>0.82693877551020412</v>
      </c>
      <c r="AA345" s="265">
        <f t="shared" ca="1" si="114"/>
        <v>32.427978036306953</v>
      </c>
      <c r="AB345" s="265">
        <f t="shared" ca="1" si="115"/>
        <v>0.64602163806433699</v>
      </c>
      <c r="AC345" s="258"/>
      <c r="AD345" s="258"/>
      <c r="AE345" s="258"/>
      <c r="AF345" s="258"/>
      <c r="AG345" s="258"/>
      <c r="AH345" s="258"/>
      <c r="AI345" s="258"/>
      <c r="AJ345" s="258"/>
      <c r="AK345" s="258"/>
      <c r="AL345" s="258"/>
      <c r="AM345" s="258"/>
    </row>
    <row r="346" spans="3:39" x14ac:dyDescent="0.25">
      <c r="C346" s="255" t="s">
        <v>6279</v>
      </c>
      <c r="D346" s="258">
        <v>60.445</v>
      </c>
      <c r="E346" s="258">
        <v>1.6575042840339749</v>
      </c>
      <c r="F346" s="258">
        <v>27.4216938379349</v>
      </c>
      <c r="G346" s="266">
        <f t="shared" si="94"/>
        <v>36.467477388891638</v>
      </c>
      <c r="H346" s="265">
        <f t="shared" si="95"/>
        <v>0.35758706467661688</v>
      </c>
      <c r="I346" s="265">
        <f t="shared" si="96"/>
        <v>0.2790178571428571</v>
      </c>
      <c r="J346" s="265">
        <f t="shared" si="97"/>
        <v>0.14172335600907029</v>
      </c>
      <c r="K346" s="258">
        <f t="shared" ca="1" si="98"/>
        <v>135.65901588667691</v>
      </c>
      <c r="L346" s="265">
        <f t="shared" si="99"/>
        <v>2.5249365671641786</v>
      </c>
      <c r="M346" s="265">
        <f t="shared" si="100"/>
        <v>1.500803571428571</v>
      </c>
      <c r="N346" s="265">
        <f t="shared" si="101"/>
        <v>0.82693877551020412</v>
      </c>
      <c r="O346" s="265">
        <f t="shared" ca="1" si="102"/>
        <v>140.51169480077988</v>
      </c>
      <c r="P346" s="265">
        <f t="shared" ca="1" si="103"/>
        <v>3.772550822449511</v>
      </c>
      <c r="Q346" s="258">
        <f t="shared" ca="1" si="104"/>
        <v>82.781173672784021</v>
      </c>
      <c r="R346" s="265">
        <f t="shared" si="105"/>
        <v>2.5249365671641786</v>
      </c>
      <c r="S346" s="265">
        <f t="shared" si="106"/>
        <v>1.500803571428571</v>
      </c>
      <c r="T346" s="265">
        <f t="shared" si="107"/>
        <v>0.82693877551020412</v>
      </c>
      <c r="U346" s="265">
        <f t="shared" ca="1" si="108"/>
        <v>87.633852586886974</v>
      </c>
      <c r="V346" s="265">
        <f t="shared" ca="1" si="109"/>
        <v>2.3528515766592597</v>
      </c>
      <c r="W346" s="258">
        <f t="shared" ca="1" si="110"/>
        <v>20.348852383001535</v>
      </c>
      <c r="X346" s="265">
        <f t="shared" si="111"/>
        <v>2.5249365671641786</v>
      </c>
      <c r="Y346" s="265">
        <f t="shared" si="112"/>
        <v>1.500803571428571</v>
      </c>
      <c r="Z346" s="265">
        <f t="shared" si="113"/>
        <v>0.82693877551020412</v>
      </c>
      <c r="AA346" s="265">
        <f t="shared" ca="1" si="114"/>
        <v>25.201531297104488</v>
      </c>
      <c r="AB346" s="265">
        <f t="shared" ca="1" si="115"/>
        <v>0.67662736369863319</v>
      </c>
      <c r="AC346" s="258"/>
      <c r="AD346" s="258"/>
      <c r="AE346" s="258"/>
      <c r="AF346" s="258"/>
      <c r="AG346" s="258"/>
      <c r="AH346" s="258"/>
      <c r="AI346" s="258"/>
      <c r="AJ346" s="258"/>
      <c r="AK346" s="258"/>
      <c r="AL346" s="258"/>
      <c r="AM346" s="258"/>
    </row>
    <row r="347" spans="3:39" x14ac:dyDescent="0.25">
      <c r="C347" s="255" t="s">
        <v>6280</v>
      </c>
      <c r="D347" s="258">
        <v>41.604999999999997</v>
      </c>
      <c r="E347" s="258">
        <v>1.6757255214247957</v>
      </c>
      <c r="F347" s="258">
        <v>40.27702250750621</v>
      </c>
      <c r="G347" s="266">
        <f t="shared" si="94"/>
        <v>24.828051771047264</v>
      </c>
      <c r="H347" s="265">
        <f t="shared" si="95"/>
        <v>0.35758706467661688</v>
      </c>
      <c r="I347" s="265">
        <f t="shared" si="96"/>
        <v>0.2790178571428571</v>
      </c>
      <c r="J347" s="265">
        <f t="shared" si="97"/>
        <v>0.14172335600907029</v>
      </c>
      <c r="K347" s="258">
        <f t="shared" ca="1" si="98"/>
        <v>92.360352588295825</v>
      </c>
      <c r="L347" s="265">
        <f t="shared" si="99"/>
        <v>2.5249365671641786</v>
      </c>
      <c r="M347" s="265">
        <f t="shared" si="100"/>
        <v>1.500803571428571</v>
      </c>
      <c r="N347" s="265">
        <f t="shared" si="101"/>
        <v>0.82693877551020412</v>
      </c>
      <c r="O347" s="265">
        <f t="shared" ca="1" si="102"/>
        <v>97.213031502398778</v>
      </c>
      <c r="P347" s="265">
        <f t="shared" ca="1" si="103"/>
        <v>3.7964378923082762</v>
      </c>
      <c r="Q347" s="258">
        <f t="shared" ca="1" si="104"/>
        <v>56.359677520277287</v>
      </c>
      <c r="R347" s="265">
        <f t="shared" si="105"/>
        <v>2.5249365671641786</v>
      </c>
      <c r="S347" s="265">
        <f t="shared" si="106"/>
        <v>1.500803571428571</v>
      </c>
      <c r="T347" s="265">
        <f t="shared" si="107"/>
        <v>0.82693877551020412</v>
      </c>
      <c r="U347" s="265">
        <f t="shared" ca="1" si="108"/>
        <v>61.21235643438024</v>
      </c>
      <c r="V347" s="265">
        <f t="shared" ca="1" si="109"/>
        <v>2.3905119082643478</v>
      </c>
      <c r="W347" s="258">
        <f t="shared" ca="1" si="110"/>
        <v>13.854052888244375</v>
      </c>
      <c r="X347" s="265">
        <f t="shared" si="111"/>
        <v>2.5249365671641786</v>
      </c>
      <c r="Y347" s="265">
        <f t="shared" si="112"/>
        <v>1.500803571428571</v>
      </c>
      <c r="Z347" s="265">
        <f t="shared" si="113"/>
        <v>0.82693877551020412</v>
      </c>
      <c r="AA347" s="265">
        <f t="shared" ca="1" si="114"/>
        <v>18.706731802347328</v>
      </c>
      <c r="AB347" s="265">
        <f t="shared" ca="1" si="115"/>
        <v>0.730549642965586</v>
      </c>
      <c r="AC347" s="258"/>
      <c r="AD347" s="258"/>
      <c r="AE347" s="258"/>
      <c r="AF347" s="258"/>
      <c r="AG347" s="258"/>
      <c r="AH347" s="258"/>
      <c r="AI347" s="258"/>
      <c r="AJ347" s="258"/>
      <c r="AK347" s="258"/>
      <c r="AL347" s="258"/>
      <c r="AM347" s="258"/>
    </row>
    <row r="348" spans="3:39" x14ac:dyDescent="0.25">
      <c r="C348" s="255" t="s">
        <v>6281</v>
      </c>
      <c r="D348" s="258">
        <v>31.4</v>
      </c>
      <c r="E348" s="258">
        <v>1.685778617916283</v>
      </c>
      <c r="F348" s="258">
        <v>53.68721713109182</v>
      </c>
      <c r="G348" s="266">
        <f t="shared" si="94"/>
        <v>18.626407801287787</v>
      </c>
      <c r="H348" s="265">
        <f t="shared" si="95"/>
        <v>0.35758706467661688</v>
      </c>
      <c r="I348" s="265">
        <f t="shared" si="96"/>
        <v>0.2790178571428571</v>
      </c>
      <c r="J348" s="265">
        <f t="shared" si="97"/>
        <v>0.14172335600907029</v>
      </c>
      <c r="K348" s="258">
        <f t="shared" ca="1" si="98"/>
        <v>69.29023702079057</v>
      </c>
      <c r="L348" s="265">
        <f t="shared" si="99"/>
        <v>2.5249365671641786</v>
      </c>
      <c r="M348" s="265">
        <f t="shared" si="100"/>
        <v>1.500803571428571</v>
      </c>
      <c r="N348" s="265">
        <f t="shared" si="101"/>
        <v>0.82693877551020412</v>
      </c>
      <c r="O348" s="265">
        <f t="shared" ca="1" si="102"/>
        <v>74.142915934893523</v>
      </c>
      <c r="P348" s="265">
        <f t="shared" ca="1" si="103"/>
        <v>3.8208670106411411</v>
      </c>
      <c r="Q348" s="258">
        <f t="shared" ca="1" si="104"/>
        <v>42.281945708923274</v>
      </c>
      <c r="R348" s="265">
        <f t="shared" si="105"/>
        <v>2.5249365671641786</v>
      </c>
      <c r="S348" s="265">
        <f t="shared" si="106"/>
        <v>1.500803571428571</v>
      </c>
      <c r="T348" s="265">
        <f t="shared" si="107"/>
        <v>0.82693877551020412</v>
      </c>
      <c r="U348" s="265">
        <f t="shared" ca="1" si="108"/>
        <v>47.134624623026227</v>
      </c>
      <c r="V348" s="265">
        <f t="shared" ca="1" si="109"/>
        <v>2.429026832977812</v>
      </c>
      <c r="W348" s="258">
        <f t="shared" ca="1" si="110"/>
        <v>10.393535553118586</v>
      </c>
      <c r="X348" s="265">
        <f t="shared" si="111"/>
        <v>2.5249365671641786</v>
      </c>
      <c r="Y348" s="265">
        <f t="shared" si="112"/>
        <v>1.500803571428571</v>
      </c>
      <c r="Z348" s="265">
        <f t="shared" si="113"/>
        <v>0.82693877551020412</v>
      </c>
      <c r="AA348" s="265">
        <f t="shared" ca="1" si="114"/>
        <v>15.24621446722154</v>
      </c>
      <c r="AB348" s="265">
        <f t="shared" ca="1" si="115"/>
        <v>0.78569553355738464</v>
      </c>
      <c r="AC348" s="258"/>
      <c r="AD348" s="258"/>
      <c r="AE348" s="258"/>
      <c r="AF348" s="258"/>
      <c r="AG348" s="258"/>
      <c r="AH348" s="258"/>
      <c r="AI348" s="258"/>
      <c r="AJ348" s="258"/>
      <c r="AK348" s="258"/>
      <c r="AL348" s="258"/>
      <c r="AM348" s="258"/>
    </row>
    <row r="349" spans="3:39" x14ac:dyDescent="0.25">
      <c r="C349" s="255" t="s">
        <v>6282</v>
      </c>
      <c r="D349" s="258">
        <v>42.39</v>
      </c>
      <c r="E349" s="258">
        <v>1.3251237812841745</v>
      </c>
      <c r="F349" s="258">
        <v>31.260292080306073</v>
      </c>
      <c r="G349" s="266">
        <f t="shared" si="94"/>
        <v>31.989464379637006</v>
      </c>
      <c r="H349" s="265">
        <f t="shared" si="95"/>
        <v>0.35758706467661688</v>
      </c>
      <c r="I349" s="265">
        <f t="shared" si="96"/>
        <v>0.2790178571428571</v>
      </c>
      <c r="J349" s="265">
        <f t="shared" si="97"/>
        <v>0.14172335600907029</v>
      </c>
      <c r="K349" s="258">
        <f t="shared" ca="1" si="98"/>
        <v>119.00080749224966</v>
      </c>
      <c r="L349" s="265">
        <f t="shared" si="99"/>
        <v>2.5249365671641786</v>
      </c>
      <c r="M349" s="265">
        <f t="shared" si="100"/>
        <v>1.500803571428571</v>
      </c>
      <c r="N349" s="265">
        <f t="shared" si="101"/>
        <v>0.82693877551020412</v>
      </c>
      <c r="O349" s="265">
        <f t="shared" ca="1" si="102"/>
        <v>123.85348640635262</v>
      </c>
      <c r="P349" s="265">
        <f t="shared" ca="1" si="103"/>
        <v>3.779732364063737</v>
      </c>
      <c r="Q349" s="258">
        <f t="shared" ca="1" si="104"/>
        <v>72.616084141776</v>
      </c>
      <c r="R349" s="265">
        <f t="shared" si="105"/>
        <v>2.5249365671641786</v>
      </c>
      <c r="S349" s="265">
        <f t="shared" si="106"/>
        <v>1.500803571428571</v>
      </c>
      <c r="T349" s="265">
        <f t="shared" si="107"/>
        <v>0.82693877551020412</v>
      </c>
      <c r="U349" s="265">
        <f t="shared" ca="1" si="108"/>
        <v>77.468763055878952</v>
      </c>
      <c r="V349" s="265">
        <f t="shared" ca="1" si="109"/>
        <v>2.3641739883333002</v>
      </c>
      <c r="W349" s="258">
        <f t="shared" ca="1" si="110"/>
        <v>17.85012112383745</v>
      </c>
      <c r="X349" s="265">
        <f t="shared" si="111"/>
        <v>2.5249365671641786</v>
      </c>
      <c r="Y349" s="265">
        <f t="shared" si="112"/>
        <v>1.500803571428571</v>
      </c>
      <c r="Z349" s="265">
        <f t="shared" si="113"/>
        <v>0.82693877551020412</v>
      </c>
      <c r="AA349" s="265">
        <f t="shared" ca="1" si="114"/>
        <v>22.702800037940403</v>
      </c>
      <c r="AB349" s="265">
        <f t="shared" ca="1" si="115"/>
        <v>0.69283885781570886</v>
      </c>
      <c r="AC349" s="258"/>
      <c r="AD349" s="258"/>
      <c r="AE349" s="258"/>
      <c r="AF349" s="258"/>
      <c r="AG349" s="258"/>
      <c r="AH349" s="258"/>
      <c r="AI349" s="258"/>
      <c r="AJ349" s="258"/>
      <c r="AK349" s="258"/>
      <c r="AL349" s="258"/>
      <c r="AM349" s="258"/>
    </row>
    <row r="350" spans="3:39" x14ac:dyDescent="0.25">
      <c r="C350" s="255" t="s">
        <v>6283</v>
      </c>
      <c r="D350" s="258">
        <v>32.97</v>
      </c>
      <c r="E350" s="258">
        <v>1.3364335148370978</v>
      </c>
      <c r="F350" s="258">
        <v>40.534835148228623</v>
      </c>
      <c r="G350" s="266">
        <f t="shared" si="94"/>
        <v>24.670138569533567</v>
      </c>
      <c r="H350" s="265">
        <f t="shared" si="95"/>
        <v>0.35758706467661688</v>
      </c>
      <c r="I350" s="265">
        <f t="shared" si="96"/>
        <v>0.2790178571428571</v>
      </c>
      <c r="J350" s="265">
        <f t="shared" si="97"/>
        <v>0.14172335600907029</v>
      </c>
      <c r="K350" s="258">
        <f t="shared" ca="1" si="98"/>
        <v>91.772915478664871</v>
      </c>
      <c r="L350" s="265">
        <f t="shared" si="99"/>
        <v>2.5249365671641786</v>
      </c>
      <c r="M350" s="265">
        <f t="shared" si="100"/>
        <v>1.500803571428571</v>
      </c>
      <c r="N350" s="265">
        <f t="shared" si="101"/>
        <v>0.82693877551020412</v>
      </c>
      <c r="O350" s="265">
        <f t="shared" ca="1" si="102"/>
        <v>96.625594392767823</v>
      </c>
      <c r="P350" s="265">
        <f t="shared" ca="1" si="103"/>
        <v>3.7969122058440878</v>
      </c>
      <c r="Q350" s="258">
        <f t="shared" ca="1" si="104"/>
        <v>56.001214552841198</v>
      </c>
      <c r="R350" s="265">
        <f t="shared" si="105"/>
        <v>2.5249365671641786</v>
      </c>
      <c r="S350" s="265">
        <f t="shared" si="106"/>
        <v>1.500803571428571</v>
      </c>
      <c r="T350" s="265">
        <f t="shared" si="107"/>
        <v>0.82693877551020412</v>
      </c>
      <c r="U350" s="265">
        <f t="shared" ca="1" si="108"/>
        <v>60.85389346694415</v>
      </c>
      <c r="V350" s="265">
        <f t="shared" ca="1" si="109"/>
        <v>2.3912597105334865</v>
      </c>
      <c r="W350" s="258">
        <f t="shared" ca="1" si="110"/>
        <v>13.765937321799731</v>
      </c>
      <c r="X350" s="265">
        <f t="shared" si="111"/>
        <v>2.5249365671641786</v>
      </c>
      <c r="Y350" s="265">
        <f t="shared" si="112"/>
        <v>1.500803571428571</v>
      </c>
      <c r="Z350" s="265">
        <f t="shared" si="113"/>
        <v>0.82693877551020412</v>
      </c>
      <c r="AA350" s="265">
        <f t="shared" ca="1" si="114"/>
        <v>18.618616235902682</v>
      </c>
      <c r="AB350" s="265">
        <f t="shared" ca="1" si="115"/>
        <v>0.73162035055296915</v>
      </c>
      <c r="AC350" s="258"/>
      <c r="AD350" s="258"/>
      <c r="AE350" s="258"/>
      <c r="AF350" s="258"/>
      <c r="AG350" s="258"/>
      <c r="AH350" s="258"/>
      <c r="AI350" s="258"/>
      <c r="AJ350" s="258"/>
      <c r="AK350" s="258"/>
      <c r="AL350" s="258"/>
      <c r="AM350" s="258"/>
    </row>
    <row r="351" spans="3:39" x14ac:dyDescent="0.25">
      <c r="C351" s="255" t="s">
        <v>6284</v>
      </c>
      <c r="D351" s="258">
        <v>25.12</v>
      </c>
      <c r="E351" s="258">
        <v>1.3464866113285852</v>
      </c>
      <c r="F351" s="258">
        <v>53.602174017857692</v>
      </c>
      <c r="G351" s="266">
        <f t="shared" si="94"/>
        <v>18.655959731537152</v>
      </c>
      <c r="H351" s="265">
        <f t="shared" si="95"/>
        <v>0.35758706467661688</v>
      </c>
      <c r="I351" s="265">
        <f t="shared" si="96"/>
        <v>0.2790178571428571</v>
      </c>
      <c r="J351" s="265">
        <f t="shared" si="97"/>
        <v>0.14172335600907029</v>
      </c>
      <c r="K351" s="258">
        <f t="shared" ca="1" si="98"/>
        <v>69.400170201318204</v>
      </c>
      <c r="L351" s="265">
        <f t="shared" si="99"/>
        <v>2.5249365671641786</v>
      </c>
      <c r="M351" s="265">
        <f t="shared" si="100"/>
        <v>1.500803571428571</v>
      </c>
      <c r="N351" s="265">
        <f t="shared" si="101"/>
        <v>0.82693877551020412</v>
      </c>
      <c r="O351" s="265">
        <f t="shared" ca="1" si="102"/>
        <v>74.252849115421157</v>
      </c>
      <c r="P351" s="265">
        <f t="shared" ca="1" si="103"/>
        <v>3.8207136314763632</v>
      </c>
      <c r="Q351" s="258">
        <f t="shared" ca="1" si="104"/>
        <v>42.349028590589334</v>
      </c>
      <c r="R351" s="265">
        <f t="shared" si="105"/>
        <v>2.5249365671641786</v>
      </c>
      <c r="S351" s="265">
        <f t="shared" si="106"/>
        <v>1.500803571428571</v>
      </c>
      <c r="T351" s="265">
        <f t="shared" si="107"/>
        <v>0.82693877551020412</v>
      </c>
      <c r="U351" s="265">
        <f t="shared" ca="1" si="108"/>
        <v>47.201707504692287</v>
      </c>
      <c r="V351" s="265">
        <f t="shared" ca="1" si="109"/>
        <v>2.4287850155326001</v>
      </c>
      <c r="W351" s="258">
        <f t="shared" ca="1" si="110"/>
        <v>10.410025530197732</v>
      </c>
      <c r="X351" s="265">
        <f t="shared" si="111"/>
        <v>2.5249365671641786</v>
      </c>
      <c r="Y351" s="265">
        <f t="shared" si="112"/>
        <v>1.500803571428571</v>
      </c>
      <c r="Z351" s="265">
        <f t="shared" si="113"/>
        <v>0.82693877551020412</v>
      </c>
      <c r="AA351" s="265">
        <f t="shared" ca="1" si="114"/>
        <v>15.262704444300686</v>
      </c>
      <c r="AB351" s="265">
        <f t="shared" ca="1" si="115"/>
        <v>0.78534929794934305</v>
      </c>
      <c r="AC351" s="258"/>
      <c r="AD351" s="258"/>
      <c r="AE351" s="258"/>
      <c r="AF351" s="258"/>
      <c r="AG351" s="258"/>
      <c r="AH351" s="258"/>
      <c r="AI351" s="258"/>
      <c r="AJ351" s="258"/>
      <c r="AK351" s="258"/>
      <c r="AL351" s="258"/>
      <c r="AM351" s="258"/>
    </row>
    <row r="352" spans="3:39" x14ac:dyDescent="0.25">
      <c r="C352" s="255" t="s">
        <v>6285</v>
      </c>
      <c r="D352" s="258">
        <v>27.475000000000001</v>
      </c>
      <c r="E352" s="258">
        <v>1.0128494715173493</v>
      </c>
      <c r="F352" s="258">
        <v>36.864402966964491</v>
      </c>
      <c r="G352" s="266">
        <f t="shared" si="94"/>
        <v>27.126439587157723</v>
      </c>
      <c r="H352" s="265">
        <f t="shared" si="95"/>
        <v>0.35758706467661688</v>
      </c>
      <c r="I352" s="265">
        <f t="shared" si="96"/>
        <v>0.2790178571428571</v>
      </c>
      <c r="J352" s="265">
        <f t="shared" si="97"/>
        <v>0.14172335600907029</v>
      </c>
      <c r="K352" s="258">
        <f t="shared" ca="1" si="98"/>
        <v>100.91035526422674</v>
      </c>
      <c r="L352" s="265">
        <f t="shared" si="99"/>
        <v>2.5249365671641786</v>
      </c>
      <c r="M352" s="265">
        <f t="shared" si="100"/>
        <v>1.500803571428571</v>
      </c>
      <c r="N352" s="265">
        <f t="shared" si="101"/>
        <v>0.82693877551020412</v>
      </c>
      <c r="O352" s="265">
        <f t="shared" ca="1" si="102"/>
        <v>105.76303417832969</v>
      </c>
      <c r="P352" s="265">
        <f t="shared" ca="1" si="103"/>
        <v>3.7901420535032191</v>
      </c>
      <c r="Q352" s="258">
        <f t="shared" ca="1" si="104"/>
        <v>61.577017862848031</v>
      </c>
      <c r="R352" s="265">
        <f t="shared" si="105"/>
        <v>2.5249365671641786</v>
      </c>
      <c r="S352" s="265">
        <f t="shared" si="106"/>
        <v>1.500803571428571</v>
      </c>
      <c r="T352" s="265">
        <f t="shared" si="107"/>
        <v>0.82693877551020412</v>
      </c>
      <c r="U352" s="265">
        <f t="shared" ca="1" si="108"/>
        <v>66.429696776950991</v>
      </c>
      <c r="V352" s="265">
        <f t="shared" ca="1" si="109"/>
        <v>2.3805858947962864</v>
      </c>
      <c r="W352" s="258">
        <f t="shared" ca="1" si="110"/>
        <v>15.13655328963401</v>
      </c>
      <c r="X352" s="265">
        <f t="shared" si="111"/>
        <v>2.5249365671641786</v>
      </c>
      <c r="Y352" s="265">
        <f t="shared" si="112"/>
        <v>1.500803571428571</v>
      </c>
      <c r="Z352" s="265">
        <f t="shared" si="113"/>
        <v>0.82693877551020412</v>
      </c>
      <c r="AA352" s="265">
        <f t="shared" ca="1" si="114"/>
        <v>19.989232203736961</v>
      </c>
      <c r="AB352" s="265">
        <f t="shared" ca="1" si="115"/>
        <v>0.71633751982644556</v>
      </c>
      <c r="AC352" s="258"/>
      <c r="AD352" s="258"/>
      <c r="AE352" s="258"/>
      <c r="AF352" s="258"/>
      <c r="AG352" s="258"/>
      <c r="AH352" s="258"/>
      <c r="AI352" s="258"/>
      <c r="AJ352" s="258"/>
      <c r="AK352" s="258"/>
      <c r="AL352" s="258"/>
      <c r="AM352" s="258"/>
    </row>
    <row r="353" spans="3:39" x14ac:dyDescent="0.25">
      <c r="C353" s="255" t="s">
        <v>6286</v>
      </c>
      <c r="D353" s="258">
        <v>25.12</v>
      </c>
      <c r="E353" s="258">
        <v>1.0172477012323751</v>
      </c>
      <c r="F353" s="258">
        <v>40.495529507658233</v>
      </c>
      <c r="G353" s="266">
        <f t="shared" si="94"/>
        <v>24.694083820064304</v>
      </c>
      <c r="H353" s="265">
        <f t="shared" si="95"/>
        <v>0.35758706467661688</v>
      </c>
      <c r="I353" s="265">
        <f t="shared" si="96"/>
        <v>0.2790178571428571</v>
      </c>
      <c r="J353" s="265">
        <f t="shared" si="97"/>
        <v>0.14172335600907029</v>
      </c>
      <c r="K353" s="258">
        <f t="shared" ca="1" si="98"/>
        <v>91.861991810639211</v>
      </c>
      <c r="L353" s="265">
        <f t="shared" si="99"/>
        <v>2.5249365671641786</v>
      </c>
      <c r="M353" s="265">
        <f t="shared" si="100"/>
        <v>1.500803571428571</v>
      </c>
      <c r="N353" s="265">
        <f t="shared" si="101"/>
        <v>0.82693877551020412</v>
      </c>
      <c r="O353" s="265">
        <f t="shared" ca="1" si="102"/>
        <v>96.714670724742163</v>
      </c>
      <c r="P353" s="265">
        <f t="shared" ca="1" si="103"/>
        <v>3.7968399047981278</v>
      </c>
      <c r="Q353" s="258">
        <f t="shared" ca="1" si="104"/>
        <v>56.055570271545967</v>
      </c>
      <c r="R353" s="265">
        <f t="shared" si="105"/>
        <v>2.5249365671641786</v>
      </c>
      <c r="S353" s="265">
        <f t="shared" si="106"/>
        <v>1.500803571428571</v>
      </c>
      <c r="T353" s="265">
        <f t="shared" si="107"/>
        <v>0.82693877551020412</v>
      </c>
      <c r="U353" s="265">
        <f t="shared" ca="1" si="108"/>
        <v>60.90824918564892</v>
      </c>
      <c r="V353" s="265">
        <f t="shared" ca="1" si="109"/>
        <v>2.3911457207732369</v>
      </c>
      <c r="W353" s="258">
        <f t="shared" ca="1" si="110"/>
        <v>13.779298771595883</v>
      </c>
      <c r="X353" s="265">
        <f t="shared" si="111"/>
        <v>2.5249365671641786</v>
      </c>
      <c r="Y353" s="265">
        <f t="shared" si="112"/>
        <v>1.500803571428571</v>
      </c>
      <c r="Z353" s="265">
        <f t="shared" si="113"/>
        <v>0.82693877551020412</v>
      </c>
      <c r="AA353" s="265">
        <f t="shared" ca="1" si="114"/>
        <v>18.631977685698836</v>
      </c>
      <c r="AB353" s="265">
        <f t="shared" ca="1" si="115"/>
        <v>0.73145713935902146</v>
      </c>
      <c r="AC353" s="258"/>
      <c r="AD353" s="258"/>
      <c r="AE353" s="258"/>
      <c r="AF353" s="258"/>
      <c r="AG353" s="258"/>
      <c r="AH353" s="258"/>
      <c r="AI353" s="258"/>
      <c r="AJ353" s="258"/>
      <c r="AK353" s="258"/>
      <c r="AL353" s="258"/>
      <c r="AM353" s="258"/>
    </row>
    <row r="354" spans="3:39" x14ac:dyDescent="0.25">
      <c r="C354" s="255" t="s">
        <v>6287</v>
      </c>
      <c r="D354" s="258">
        <v>18.84</v>
      </c>
      <c r="E354" s="258">
        <v>1.0273007977238624</v>
      </c>
      <c r="F354" s="258">
        <v>54.527643191287808</v>
      </c>
      <c r="G354" s="266">
        <f t="shared" ref="G354:G417" si="116">D354/E354</f>
        <v>18.339321882882619</v>
      </c>
      <c r="H354" s="265">
        <f t="shared" ref="H354:H417" si="117">$AJ$40</f>
        <v>0.35758706467661688</v>
      </c>
      <c r="I354" s="265">
        <f t="shared" ref="I354:I417" si="118">$AK$40</f>
        <v>0.2790178571428571</v>
      </c>
      <c r="J354" s="265">
        <f t="shared" ref="J354:J417" si="119">$AL$40</f>
        <v>0.14172335600907029</v>
      </c>
      <c r="K354" s="258">
        <f t="shared" ref="K354:K417" ca="1" si="120">K$30*$G354</f>
        <v>68.22227740432335</v>
      </c>
      <c r="L354" s="265">
        <f t="shared" ref="L354:L417" si="121">L$30*$H354</f>
        <v>2.5249365671641786</v>
      </c>
      <c r="M354" s="265">
        <f t="shared" ref="M354:M417" si="122">M$30*$I354</f>
        <v>1.500803571428571</v>
      </c>
      <c r="N354" s="265">
        <f t="shared" ref="N354:N417" si="123">N$30*$J354</f>
        <v>0.82693877551020412</v>
      </c>
      <c r="O354" s="265">
        <f t="shared" ref="O354:O417" ca="1" si="124">SUM(K354:N354)</f>
        <v>73.074956318426302</v>
      </c>
      <c r="P354" s="265">
        <f t="shared" ref="P354:P417" ca="1" si="125">O354/SUM($G354:$J354)</f>
        <v>3.8223817103109892</v>
      </c>
      <c r="Q354" s="258">
        <f t="shared" ref="Q354:Q417" ca="1" si="126">Q$30*$G354</f>
        <v>41.630260674143543</v>
      </c>
      <c r="R354" s="265">
        <f t="shared" ref="R354:R417" si="127">R$30*$H354</f>
        <v>2.5249365671641786</v>
      </c>
      <c r="S354" s="265">
        <f t="shared" ref="S354:S417" si="128">S$30*$I354</f>
        <v>1.500803571428571</v>
      </c>
      <c r="T354" s="265">
        <f t="shared" ref="T354:T417" si="129">T$30*$J354</f>
        <v>0.82693877551020412</v>
      </c>
      <c r="U354" s="265">
        <f t="shared" ref="U354:U417" ca="1" si="130">SUM(Q354:T354)</f>
        <v>46.482939588246495</v>
      </c>
      <c r="V354" s="265">
        <f t="shared" ref="V354:V417" ca="1" si="131">U354/SUM($G354:$J354)</f>
        <v>2.4314149070356961</v>
      </c>
      <c r="W354" s="258">
        <f t="shared" ref="W354:W417" ca="1" si="132">W$30*$G354</f>
        <v>10.233341610648502</v>
      </c>
      <c r="X354" s="265">
        <f t="shared" ref="X354:X417" si="133">X$30*$H354</f>
        <v>2.5249365671641786</v>
      </c>
      <c r="Y354" s="265">
        <f t="shared" ref="Y354:Y417" si="134">Y$30*$I354</f>
        <v>1.500803571428571</v>
      </c>
      <c r="Z354" s="265">
        <f t="shared" ref="Z354:Z417" si="135">Z$30*$J354</f>
        <v>0.82693877551020412</v>
      </c>
      <c r="AA354" s="265">
        <f t="shared" ref="AA354:AA417" ca="1" si="136">SUM(W354:Z354)</f>
        <v>15.086020524751456</v>
      </c>
      <c r="AB354" s="265">
        <f t="shared" ref="AB354:AB417" ca="1" si="137">AA354/SUM($G354:$J354)</f>
        <v>0.78911479172031596</v>
      </c>
      <c r="AC354" s="258"/>
      <c r="AD354" s="258"/>
      <c r="AE354" s="258"/>
      <c r="AF354" s="258"/>
      <c r="AG354" s="258"/>
      <c r="AH354" s="258"/>
      <c r="AI354" s="258"/>
      <c r="AJ354" s="258"/>
      <c r="AK354" s="258"/>
      <c r="AL354" s="258"/>
      <c r="AM354" s="258"/>
    </row>
    <row r="355" spans="3:39" x14ac:dyDescent="0.25">
      <c r="C355" s="255" t="s">
        <v>6288</v>
      </c>
      <c r="D355" s="258">
        <v>21.195</v>
      </c>
      <c r="E355" s="258">
        <v>1.0034246935565798</v>
      </c>
      <c r="F355" s="258">
        <v>47.342519158130685</v>
      </c>
      <c r="G355" s="266">
        <f t="shared" si="116"/>
        <v>21.122661357750296</v>
      </c>
      <c r="H355" s="265">
        <f t="shared" si="117"/>
        <v>0.35758706467661688</v>
      </c>
      <c r="I355" s="265">
        <f t="shared" si="118"/>
        <v>0.2790178571428571</v>
      </c>
      <c r="J355" s="265">
        <f t="shared" si="119"/>
        <v>0.14172335600907029</v>
      </c>
      <c r="K355" s="258">
        <f t="shared" ca="1" si="120"/>
        <v>78.57630025083111</v>
      </c>
      <c r="L355" s="265">
        <f t="shared" si="121"/>
        <v>2.5249365671641786</v>
      </c>
      <c r="M355" s="265">
        <f t="shared" si="122"/>
        <v>1.500803571428571</v>
      </c>
      <c r="N355" s="265">
        <f t="shared" si="123"/>
        <v>0.82693877551020412</v>
      </c>
      <c r="O355" s="265">
        <f t="shared" ca="1" si="124"/>
        <v>83.428979164934063</v>
      </c>
      <c r="P355" s="265">
        <f t="shared" ca="1" si="125"/>
        <v>3.8093702866011623</v>
      </c>
      <c r="Q355" s="258">
        <f t="shared" ca="1" si="126"/>
        <v>47.948441282093171</v>
      </c>
      <c r="R355" s="265">
        <f t="shared" si="127"/>
        <v>2.5249365671641786</v>
      </c>
      <c r="S355" s="265">
        <f t="shared" si="128"/>
        <v>1.500803571428571</v>
      </c>
      <c r="T355" s="265">
        <f t="shared" si="129"/>
        <v>0.82693877551020412</v>
      </c>
      <c r="U355" s="265">
        <f t="shared" ca="1" si="130"/>
        <v>52.801120196196123</v>
      </c>
      <c r="V355" s="265">
        <f t="shared" ca="1" si="131"/>
        <v>2.4109011087982553</v>
      </c>
      <c r="W355" s="258">
        <f t="shared" ca="1" si="132"/>
        <v>11.786445037624667</v>
      </c>
      <c r="X355" s="265">
        <f t="shared" si="133"/>
        <v>2.5249365671641786</v>
      </c>
      <c r="Y355" s="265">
        <f t="shared" si="134"/>
        <v>1.500803571428571</v>
      </c>
      <c r="Z355" s="265">
        <f t="shared" si="135"/>
        <v>0.82693877551020412</v>
      </c>
      <c r="AA355" s="265">
        <f t="shared" ca="1" si="136"/>
        <v>16.639123951727623</v>
      </c>
      <c r="AB355" s="265">
        <f t="shared" ca="1" si="137"/>
        <v>0.75974301748889217</v>
      </c>
      <c r="AC355" s="258"/>
      <c r="AD355" s="258"/>
      <c r="AE355" s="258"/>
      <c r="AF355" s="258"/>
      <c r="AG355" s="258"/>
      <c r="AH355" s="258"/>
      <c r="AI355" s="258"/>
      <c r="AJ355" s="258"/>
      <c r="AK355" s="258"/>
      <c r="AL355" s="258"/>
      <c r="AM355" s="258"/>
    </row>
    <row r="356" spans="3:39" x14ac:dyDescent="0.25">
      <c r="C356" s="255" t="s">
        <v>6289</v>
      </c>
      <c r="D356" s="258">
        <v>19.625</v>
      </c>
      <c r="E356" s="258">
        <v>1.0059379676794515</v>
      </c>
      <c r="F356" s="258">
        <v>51.257985614239573</v>
      </c>
      <c r="G356" s="266">
        <f t="shared" si="116"/>
        <v>19.509155266573682</v>
      </c>
      <c r="H356" s="265">
        <f t="shared" si="117"/>
        <v>0.35758706467661688</v>
      </c>
      <c r="I356" s="265">
        <f t="shared" si="118"/>
        <v>0.2790178571428571</v>
      </c>
      <c r="J356" s="265">
        <f t="shared" si="119"/>
        <v>0.14172335600907029</v>
      </c>
      <c r="K356" s="258">
        <f t="shared" ca="1" si="120"/>
        <v>72.574057591654096</v>
      </c>
      <c r="L356" s="265">
        <f t="shared" si="121"/>
        <v>2.5249365671641786</v>
      </c>
      <c r="M356" s="265">
        <f t="shared" si="122"/>
        <v>1.500803571428571</v>
      </c>
      <c r="N356" s="265">
        <f t="shared" si="123"/>
        <v>0.82693877551020412</v>
      </c>
      <c r="O356" s="265">
        <f t="shared" ca="1" si="124"/>
        <v>77.426736505757049</v>
      </c>
      <c r="P356" s="265">
        <f t="shared" ca="1" si="125"/>
        <v>3.8164780928249145</v>
      </c>
      <c r="Q356" s="258">
        <f t="shared" ca="1" si="126"/>
        <v>44.285782455122259</v>
      </c>
      <c r="R356" s="265">
        <f t="shared" si="127"/>
        <v>2.5249365671641786</v>
      </c>
      <c r="S356" s="265">
        <f t="shared" si="128"/>
        <v>1.500803571428571</v>
      </c>
      <c r="T356" s="265">
        <f t="shared" si="129"/>
        <v>0.82693877551020412</v>
      </c>
      <c r="U356" s="265">
        <f t="shared" ca="1" si="130"/>
        <v>49.138461369225212</v>
      </c>
      <c r="V356" s="265">
        <f t="shared" ca="1" si="131"/>
        <v>2.4221072693258505</v>
      </c>
      <c r="W356" s="258">
        <f t="shared" ca="1" si="132"/>
        <v>10.886108638748116</v>
      </c>
      <c r="X356" s="265">
        <f t="shared" si="133"/>
        <v>2.5249365671641786</v>
      </c>
      <c r="Y356" s="265">
        <f t="shared" si="134"/>
        <v>1.500803571428571</v>
      </c>
      <c r="Z356" s="265">
        <f t="shared" si="135"/>
        <v>0.82693877551020412</v>
      </c>
      <c r="AA356" s="265">
        <f t="shared" ca="1" si="136"/>
        <v>15.73878755285107</v>
      </c>
      <c r="AB356" s="265">
        <f t="shared" ca="1" si="137"/>
        <v>0.77578806254626664</v>
      </c>
      <c r="AC356" s="258"/>
      <c r="AD356" s="258"/>
      <c r="AE356" s="258"/>
      <c r="AF356" s="258"/>
      <c r="AG356" s="258"/>
      <c r="AH356" s="258"/>
      <c r="AI356" s="258"/>
      <c r="AJ356" s="258"/>
      <c r="AK356" s="258"/>
      <c r="AL356" s="258"/>
      <c r="AM356" s="258"/>
    </row>
    <row r="357" spans="3:39" x14ac:dyDescent="0.25">
      <c r="C357" s="255" t="s">
        <v>6290</v>
      </c>
      <c r="D357" s="258">
        <v>13.345000000000001</v>
      </c>
      <c r="E357" s="258">
        <v>1.015362745640221</v>
      </c>
      <c r="F357" s="258">
        <v>76.085630995895173</v>
      </c>
      <c r="G357" s="266">
        <f t="shared" si="116"/>
        <v>13.143086111146928</v>
      </c>
      <c r="H357" s="265">
        <f t="shared" si="117"/>
        <v>0.35758706467661688</v>
      </c>
      <c r="I357" s="265">
        <f t="shared" si="118"/>
        <v>0.2790178571428571</v>
      </c>
      <c r="J357" s="265">
        <f t="shared" si="119"/>
        <v>0.14172335600907029</v>
      </c>
      <c r="K357" s="258">
        <f t="shared" ca="1" si="120"/>
        <v>48.892280333466573</v>
      </c>
      <c r="L357" s="265">
        <f t="shared" si="121"/>
        <v>2.5249365671641786</v>
      </c>
      <c r="M357" s="265">
        <f t="shared" si="122"/>
        <v>1.500803571428571</v>
      </c>
      <c r="N357" s="265">
        <f t="shared" si="123"/>
        <v>0.82693877551020412</v>
      </c>
      <c r="O357" s="265">
        <f t="shared" ca="1" si="124"/>
        <v>53.744959247569525</v>
      </c>
      <c r="P357" s="265">
        <f t="shared" ca="1" si="125"/>
        <v>3.8605961826788788</v>
      </c>
      <c r="Q357" s="258">
        <f t="shared" ca="1" si="126"/>
        <v>29.834805472303529</v>
      </c>
      <c r="R357" s="265">
        <f t="shared" si="127"/>
        <v>2.5249365671641786</v>
      </c>
      <c r="S357" s="265">
        <f t="shared" si="128"/>
        <v>1.500803571428571</v>
      </c>
      <c r="T357" s="265">
        <f t="shared" si="129"/>
        <v>0.82693877551020412</v>
      </c>
      <c r="U357" s="265">
        <f t="shared" ca="1" si="130"/>
        <v>34.687484386406481</v>
      </c>
      <c r="V357" s="265">
        <f t="shared" ca="1" si="131"/>
        <v>2.4916638078007289</v>
      </c>
      <c r="W357" s="258">
        <f t="shared" ca="1" si="132"/>
        <v>7.333842050019987</v>
      </c>
      <c r="X357" s="265">
        <f t="shared" si="133"/>
        <v>2.5249365671641786</v>
      </c>
      <c r="Y357" s="265">
        <f t="shared" si="134"/>
        <v>1.500803571428571</v>
      </c>
      <c r="Z357" s="265">
        <f t="shared" si="135"/>
        <v>0.82693877551020412</v>
      </c>
      <c r="AA357" s="265">
        <f t="shared" ca="1" si="136"/>
        <v>12.186520964122941</v>
      </c>
      <c r="AB357" s="265">
        <f t="shared" ca="1" si="137"/>
        <v>0.87537951415149218</v>
      </c>
      <c r="AC357" s="258"/>
      <c r="AD357" s="258"/>
      <c r="AE357" s="258"/>
      <c r="AF357" s="258"/>
      <c r="AG357" s="258"/>
      <c r="AH357" s="258"/>
      <c r="AI357" s="258"/>
      <c r="AJ357" s="258"/>
      <c r="AK357" s="258"/>
      <c r="AL357" s="258"/>
      <c r="AM357" s="258"/>
    </row>
    <row r="358" spans="3:39" x14ac:dyDescent="0.25">
      <c r="C358" s="255" t="s">
        <v>6291</v>
      </c>
      <c r="D358" s="258">
        <v>17.27</v>
      </c>
      <c r="E358" s="258">
        <v>0.84383178675421833</v>
      </c>
      <c r="F358" s="258">
        <v>48.861134149057229</v>
      </c>
      <c r="G358" s="266">
        <f t="shared" si="116"/>
        <v>20.466164312710596</v>
      </c>
      <c r="H358" s="265">
        <f t="shared" si="117"/>
        <v>0.35758706467661688</v>
      </c>
      <c r="I358" s="265">
        <f t="shared" si="118"/>
        <v>0.2790178571428571</v>
      </c>
      <c r="J358" s="265">
        <f t="shared" si="119"/>
        <v>0.14172335600907029</v>
      </c>
      <c r="K358" s="258">
        <f t="shared" ca="1" si="120"/>
        <v>76.13413124328342</v>
      </c>
      <c r="L358" s="265">
        <f t="shared" si="121"/>
        <v>2.5249365671641786</v>
      </c>
      <c r="M358" s="265">
        <f t="shared" si="122"/>
        <v>1.500803571428571</v>
      </c>
      <c r="N358" s="265">
        <f t="shared" si="123"/>
        <v>0.82693877551020412</v>
      </c>
      <c r="O358" s="265">
        <f t="shared" ca="1" si="124"/>
        <v>80.986810157386373</v>
      </c>
      <c r="P358" s="265">
        <f t="shared" ca="1" si="125"/>
        <v>3.8121320060829511</v>
      </c>
      <c r="Q358" s="258">
        <f t="shared" ca="1" si="126"/>
        <v>46.458192989853053</v>
      </c>
      <c r="R358" s="265">
        <f t="shared" si="127"/>
        <v>2.5249365671641786</v>
      </c>
      <c r="S358" s="265">
        <f t="shared" si="128"/>
        <v>1.500803571428571</v>
      </c>
      <c r="T358" s="265">
        <f t="shared" si="129"/>
        <v>0.82693877551020412</v>
      </c>
      <c r="U358" s="265">
        <f t="shared" ca="1" si="130"/>
        <v>51.310871903956006</v>
      </c>
      <c r="V358" s="265">
        <f t="shared" ca="1" si="131"/>
        <v>2.4152552331048089</v>
      </c>
      <c r="W358" s="258">
        <f t="shared" ca="1" si="132"/>
        <v>11.420119686492514</v>
      </c>
      <c r="X358" s="265">
        <f t="shared" si="133"/>
        <v>2.5249365671641786</v>
      </c>
      <c r="Y358" s="265">
        <f t="shared" si="134"/>
        <v>1.500803571428571</v>
      </c>
      <c r="Z358" s="265">
        <f t="shared" si="135"/>
        <v>0.82693877551020412</v>
      </c>
      <c r="AA358" s="265">
        <f t="shared" ca="1" si="136"/>
        <v>16.272798600595468</v>
      </c>
      <c r="AB358" s="265">
        <f t="shared" ca="1" si="137"/>
        <v>0.76597727769889268</v>
      </c>
      <c r="AC358" s="258"/>
      <c r="AD358" s="258"/>
      <c r="AE358" s="258"/>
      <c r="AF358" s="258"/>
      <c r="AG358" s="258"/>
      <c r="AH358" s="258"/>
      <c r="AI358" s="258"/>
      <c r="AJ358" s="258"/>
      <c r="AK358" s="258"/>
      <c r="AL358" s="258"/>
      <c r="AM358" s="258"/>
    </row>
    <row r="359" spans="3:39" x14ac:dyDescent="0.25">
      <c r="C359" s="255" t="s">
        <v>6292</v>
      </c>
      <c r="D359" s="258">
        <v>16.484999999999999</v>
      </c>
      <c r="E359" s="258">
        <v>0.84634506087709016</v>
      </c>
      <c r="F359" s="258">
        <v>51.340313065034294</v>
      </c>
      <c r="G359" s="266">
        <f t="shared" si="116"/>
        <v>19.477871097772049</v>
      </c>
      <c r="H359" s="265">
        <f t="shared" si="117"/>
        <v>0.35758706467661688</v>
      </c>
      <c r="I359" s="265">
        <f t="shared" si="118"/>
        <v>0.2790178571428571</v>
      </c>
      <c r="J359" s="265">
        <f t="shared" si="119"/>
        <v>0.14172335600907029</v>
      </c>
      <c r="K359" s="258">
        <f t="shared" ca="1" si="120"/>
        <v>72.457680483712025</v>
      </c>
      <c r="L359" s="265">
        <f t="shared" si="121"/>
        <v>2.5249365671641786</v>
      </c>
      <c r="M359" s="265">
        <f t="shared" si="122"/>
        <v>1.500803571428571</v>
      </c>
      <c r="N359" s="265">
        <f t="shared" si="123"/>
        <v>0.82693877551020412</v>
      </c>
      <c r="O359" s="265">
        <f t="shared" ca="1" si="124"/>
        <v>77.310359397814977</v>
      </c>
      <c r="P359" s="265">
        <f t="shared" ca="1" si="125"/>
        <v>3.8166270959466568</v>
      </c>
      <c r="Q359" s="258">
        <f t="shared" ca="1" si="126"/>
        <v>44.214767391942551</v>
      </c>
      <c r="R359" s="265">
        <f t="shared" si="127"/>
        <v>2.5249365671641786</v>
      </c>
      <c r="S359" s="265">
        <f t="shared" si="128"/>
        <v>1.500803571428571</v>
      </c>
      <c r="T359" s="265">
        <f t="shared" si="129"/>
        <v>0.82693877551020412</v>
      </c>
      <c r="U359" s="265">
        <f t="shared" ca="1" si="130"/>
        <v>49.067446306045504</v>
      </c>
      <c r="V359" s="265">
        <f t="shared" ca="1" si="131"/>
        <v>2.4223421875057771</v>
      </c>
      <c r="W359" s="258">
        <f t="shared" ca="1" si="132"/>
        <v>10.868652072556804</v>
      </c>
      <c r="X359" s="265">
        <f t="shared" si="133"/>
        <v>2.5249365671641786</v>
      </c>
      <c r="Y359" s="265">
        <f t="shared" si="134"/>
        <v>1.500803571428571</v>
      </c>
      <c r="Z359" s="265">
        <f t="shared" si="135"/>
        <v>0.82693877551020412</v>
      </c>
      <c r="AA359" s="265">
        <f t="shared" ca="1" si="136"/>
        <v>15.721330986659758</v>
      </c>
      <c r="AB359" s="265">
        <f t="shared" ca="1" si="137"/>
        <v>0.77612441974661506</v>
      </c>
      <c r="AC359" s="258"/>
      <c r="AD359" s="258"/>
      <c r="AE359" s="258"/>
      <c r="AF359" s="258"/>
      <c r="AG359" s="258"/>
      <c r="AH359" s="258"/>
      <c r="AI359" s="258"/>
      <c r="AJ359" s="258"/>
      <c r="AK359" s="258"/>
      <c r="AL359" s="258"/>
      <c r="AM359" s="258"/>
    </row>
    <row r="360" spans="3:39" x14ac:dyDescent="0.25">
      <c r="C360" s="255" t="s">
        <v>6293</v>
      </c>
      <c r="D360" s="258">
        <v>10.99</v>
      </c>
      <c r="E360" s="258">
        <v>0.85576983883785962</v>
      </c>
      <c r="F360" s="258">
        <v>77.86804720999632</v>
      </c>
      <c r="G360" s="266">
        <f t="shared" si="116"/>
        <v>12.842238065931937</v>
      </c>
      <c r="H360" s="265">
        <f t="shared" si="117"/>
        <v>0.35758706467661688</v>
      </c>
      <c r="I360" s="265">
        <f t="shared" si="118"/>
        <v>0.2790178571428571</v>
      </c>
      <c r="J360" s="265">
        <f t="shared" si="119"/>
        <v>0.14172335600907029</v>
      </c>
      <c r="K360" s="258">
        <f t="shared" ca="1" si="120"/>
        <v>47.773125605266806</v>
      </c>
      <c r="L360" s="265">
        <f t="shared" si="121"/>
        <v>2.5249365671641786</v>
      </c>
      <c r="M360" s="265">
        <f t="shared" si="122"/>
        <v>1.500803571428571</v>
      </c>
      <c r="N360" s="265">
        <f t="shared" si="123"/>
        <v>0.82693877551020412</v>
      </c>
      <c r="O360" s="265">
        <f t="shared" ca="1" si="124"/>
        <v>52.625804519369758</v>
      </c>
      <c r="P360" s="265">
        <f t="shared" ca="1" si="125"/>
        <v>3.8637016399451993</v>
      </c>
      <c r="Q360" s="258">
        <f t="shared" ca="1" si="126"/>
        <v>29.151880409665498</v>
      </c>
      <c r="R360" s="265">
        <f t="shared" si="127"/>
        <v>2.5249365671641786</v>
      </c>
      <c r="S360" s="265">
        <f t="shared" si="128"/>
        <v>1.500803571428571</v>
      </c>
      <c r="T360" s="265">
        <f t="shared" si="129"/>
        <v>0.82693877551020412</v>
      </c>
      <c r="U360" s="265">
        <f t="shared" ca="1" si="130"/>
        <v>34.004559323768454</v>
      </c>
      <c r="V360" s="265">
        <f t="shared" ca="1" si="131"/>
        <v>2.4965598687712265</v>
      </c>
      <c r="W360" s="258">
        <f t="shared" ca="1" si="132"/>
        <v>7.1659688407900219</v>
      </c>
      <c r="X360" s="265">
        <f t="shared" si="133"/>
        <v>2.5249365671641786</v>
      </c>
      <c r="Y360" s="265">
        <f t="shared" si="134"/>
        <v>1.500803571428571</v>
      </c>
      <c r="Z360" s="265">
        <f t="shared" si="135"/>
        <v>0.82693877551020412</v>
      </c>
      <c r="AA360" s="265">
        <f t="shared" ca="1" si="136"/>
        <v>12.018647754892976</v>
      </c>
      <c r="AB360" s="265">
        <f t="shared" ca="1" si="137"/>
        <v>0.8823897223920254</v>
      </c>
      <c r="AC360" s="258"/>
      <c r="AD360" s="258"/>
      <c r="AE360" s="258"/>
      <c r="AF360" s="258"/>
      <c r="AG360" s="258"/>
      <c r="AH360" s="258"/>
      <c r="AI360" s="258"/>
      <c r="AJ360" s="258"/>
      <c r="AK360" s="258"/>
      <c r="AL360" s="258"/>
      <c r="AM360" s="258"/>
    </row>
    <row r="361" spans="3:39" x14ac:dyDescent="0.25">
      <c r="C361" s="255" t="s">
        <v>6294</v>
      </c>
      <c r="D361" s="258">
        <v>9.42</v>
      </c>
      <c r="E361" s="258">
        <v>0.85891143149144944</v>
      </c>
      <c r="F361" s="258">
        <v>91.179557483168736</v>
      </c>
      <c r="G361" s="266">
        <f t="shared" si="116"/>
        <v>10.9673706212557</v>
      </c>
      <c r="H361" s="265">
        <f t="shared" si="117"/>
        <v>0.35758706467661688</v>
      </c>
      <c r="I361" s="265">
        <f t="shared" si="118"/>
        <v>0.2790178571428571</v>
      </c>
      <c r="J361" s="265">
        <f t="shared" si="119"/>
        <v>0.14172335600907029</v>
      </c>
      <c r="K361" s="258">
        <f t="shared" ca="1" si="120"/>
        <v>40.798618711071207</v>
      </c>
      <c r="L361" s="265">
        <f t="shared" si="121"/>
        <v>2.5249365671641786</v>
      </c>
      <c r="M361" s="265">
        <f t="shared" si="122"/>
        <v>1.500803571428571</v>
      </c>
      <c r="N361" s="265">
        <f t="shared" si="123"/>
        <v>0.82693877551020412</v>
      </c>
      <c r="O361" s="265">
        <f t="shared" ca="1" si="124"/>
        <v>45.651297625174159</v>
      </c>
      <c r="P361" s="265">
        <f t="shared" ca="1" si="125"/>
        <v>3.8866395280006176</v>
      </c>
      <c r="Q361" s="258">
        <f t="shared" ca="1" si="126"/>
        <v>24.89593131025044</v>
      </c>
      <c r="R361" s="265">
        <f t="shared" si="127"/>
        <v>2.5249365671641786</v>
      </c>
      <c r="S361" s="265">
        <f t="shared" si="128"/>
        <v>1.500803571428571</v>
      </c>
      <c r="T361" s="265">
        <f t="shared" si="129"/>
        <v>0.82693877551020412</v>
      </c>
      <c r="U361" s="265">
        <f t="shared" ca="1" si="130"/>
        <v>29.748610224353392</v>
      </c>
      <c r="V361" s="265">
        <f t="shared" ca="1" si="131"/>
        <v>2.5327237212485287</v>
      </c>
      <c r="W361" s="258">
        <f t="shared" ca="1" si="132"/>
        <v>6.1197928066606808</v>
      </c>
      <c r="X361" s="265">
        <f t="shared" si="133"/>
        <v>2.5249365671641786</v>
      </c>
      <c r="Y361" s="265">
        <f t="shared" si="134"/>
        <v>1.500803571428571</v>
      </c>
      <c r="Z361" s="265">
        <f t="shared" si="135"/>
        <v>0.82693877551020412</v>
      </c>
      <c r="AA361" s="265">
        <f t="shared" ca="1" si="136"/>
        <v>10.972471720763634</v>
      </c>
      <c r="AB361" s="265">
        <f t="shared" ca="1" si="137"/>
        <v>0.9341693342419245</v>
      </c>
      <c r="AC361" s="258"/>
      <c r="AD361" s="258"/>
      <c r="AE361" s="258"/>
      <c r="AF361" s="258"/>
      <c r="AG361" s="258"/>
      <c r="AH361" s="258"/>
      <c r="AI361" s="258"/>
      <c r="AJ361" s="258"/>
      <c r="AK361" s="258"/>
      <c r="AL361" s="258"/>
      <c r="AM361" s="258"/>
    </row>
    <row r="362" spans="3:39" x14ac:dyDescent="0.25">
      <c r="C362" s="255" t="s">
        <v>6295</v>
      </c>
      <c r="D362" s="258">
        <v>14.13</v>
      </c>
      <c r="E362" s="258">
        <v>0.68423887995185695</v>
      </c>
      <c r="F362" s="258">
        <v>48.424549182721648</v>
      </c>
      <c r="G362" s="266">
        <f t="shared" si="116"/>
        <v>20.650682698700471</v>
      </c>
      <c r="H362" s="265">
        <f t="shared" si="117"/>
        <v>0.35758706467661688</v>
      </c>
      <c r="I362" s="265">
        <f t="shared" si="118"/>
        <v>0.2790178571428571</v>
      </c>
      <c r="J362" s="265">
        <f t="shared" si="119"/>
        <v>0.14172335600907029</v>
      </c>
      <c r="K362" s="258">
        <f t="shared" ca="1" si="120"/>
        <v>76.820539639165759</v>
      </c>
      <c r="L362" s="265">
        <f t="shared" si="121"/>
        <v>2.5249365671641786</v>
      </c>
      <c r="M362" s="265">
        <f t="shared" si="122"/>
        <v>1.500803571428571</v>
      </c>
      <c r="N362" s="265">
        <f t="shared" si="123"/>
        <v>0.82693877551020412</v>
      </c>
      <c r="O362" s="265">
        <f t="shared" ca="1" si="124"/>
        <v>81.673218553268711</v>
      </c>
      <c r="P362" s="265">
        <f t="shared" ca="1" si="125"/>
        <v>3.8113386867328862</v>
      </c>
      <c r="Q362" s="258">
        <f t="shared" ca="1" si="126"/>
        <v>46.877049726050068</v>
      </c>
      <c r="R362" s="265">
        <f t="shared" si="127"/>
        <v>2.5249365671641786</v>
      </c>
      <c r="S362" s="265">
        <f t="shared" si="128"/>
        <v>1.500803571428571</v>
      </c>
      <c r="T362" s="265">
        <f t="shared" si="129"/>
        <v>0.82693877551020412</v>
      </c>
      <c r="U362" s="265">
        <f t="shared" ca="1" si="130"/>
        <v>51.72972864015302</v>
      </c>
      <c r="V362" s="265">
        <f t="shared" ca="1" si="131"/>
        <v>2.4140044865725292</v>
      </c>
      <c r="W362" s="258">
        <f t="shared" ca="1" si="132"/>
        <v>11.523080945874865</v>
      </c>
      <c r="X362" s="265">
        <f t="shared" si="133"/>
        <v>2.5249365671641786</v>
      </c>
      <c r="Y362" s="265">
        <f t="shared" si="134"/>
        <v>1.500803571428571</v>
      </c>
      <c r="Z362" s="265">
        <f t="shared" si="135"/>
        <v>0.82693877551020412</v>
      </c>
      <c r="AA362" s="265">
        <f t="shared" ca="1" si="136"/>
        <v>16.375759859977819</v>
      </c>
      <c r="AB362" s="265">
        <f t="shared" ca="1" si="137"/>
        <v>0.76418645162457688</v>
      </c>
      <c r="AC362" s="258"/>
      <c r="AD362" s="258"/>
      <c r="AE362" s="258"/>
      <c r="AF362" s="258"/>
      <c r="AG362" s="258"/>
      <c r="AH362" s="258"/>
      <c r="AI362" s="258"/>
      <c r="AJ362" s="258"/>
      <c r="AK362" s="258"/>
      <c r="AL362" s="258"/>
      <c r="AM362" s="258"/>
    </row>
    <row r="363" spans="3:39" x14ac:dyDescent="0.25">
      <c r="C363" s="255" t="s">
        <v>6296</v>
      </c>
      <c r="D363" s="258">
        <v>11.775</v>
      </c>
      <c r="E363" s="258">
        <v>0.6898937467283186</v>
      </c>
      <c r="F363" s="258">
        <v>58.589702482235126</v>
      </c>
      <c r="G363" s="266">
        <f t="shared" si="116"/>
        <v>17.067845673106262</v>
      </c>
      <c r="H363" s="265">
        <f t="shared" si="117"/>
        <v>0.35758706467661688</v>
      </c>
      <c r="I363" s="265">
        <f t="shared" si="118"/>
        <v>0.2790178571428571</v>
      </c>
      <c r="J363" s="265">
        <f t="shared" si="119"/>
        <v>0.14172335600907029</v>
      </c>
      <c r="K363" s="258">
        <f t="shared" ca="1" si="120"/>
        <v>63.492385903955302</v>
      </c>
      <c r="L363" s="265">
        <f t="shared" si="121"/>
        <v>2.5249365671641786</v>
      </c>
      <c r="M363" s="265">
        <f t="shared" si="122"/>
        <v>1.500803571428571</v>
      </c>
      <c r="N363" s="265">
        <f t="shared" si="123"/>
        <v>0.82693877551020412</v>
      </c>
      <c r="O363" s="265">
        <f t="shared" ca="1" si="124"/>
        <v>68.345064818058262</v>
      </c>
      <c r="P363" s="265">
        <f t="shared" ca="1" si="125"/>
        <v>3.8296760418206195</v>
      </c>
      <c r="Q363" s="258">
        <f t="shared" ca="1" si="126"/>
        <v>38.744009677951219</v>
      </c>
      <c r="R363" s="265">
        <f t="shared" si="127"/>
        <v>2.5249365671641786</v>
      </c>
      <c r="S363" s="265">
        <f t="shared" si="128"/>
        <v>1.500803571428571</v>
      </c>
      <c r="T363" s="265">
        <f t="shared" si="129"/>
        <v>0.82693877551020412</v>
      </c>
      <c r="U363" s="265">
        <f t="shared" ca="1" si="130"/>
        <v>43.596688592054171</v>
      </c>
      <c r="V363" s="265">
        <f t="shared" ca="1" si="131"/>
        <v>2.4429151431514828</v>
      </c>
      <c r="W363" s="258">
        <f t="shared" ca="1" si="132"/>
        <v>9.523857885593296</v>
      </c>
      <c r="X363" s="265">
        <f t="shared" si="133"/>
        <v>2.5249365671641786</v>
      </c>
      <c r="Y363" s="265">
        <f t="shared" si="134"/>
        <v>1.500803571428571</v>
      </c>
      <c r="Z363" s="265">
        <f t="shared" si="135"/>
        <v>0.82693877551020412</v>
      </c>
      <c r="AA363" s="265">
        <f t="shared" ca="1" si="136"/>
        <v>14.37653679969625</v>
      </c>
      <c r="AB363" s="265">
        <f t="shared" ca="1" si="137"/>
        <v>0.80558089589523396</v>
      </c>
      <c r="AC363" s="258"/>
      <c r="AD363" s="258"/>
      <c r="AE363" s="258"/>
      <c r="AF363" s="258"/>
      <c r="AG363" s="258"/>
      <c r="AH363" s="258"/>
      <c r="AI363" s="258"/>
      <c r="AJ363" s="258"/>
      <c r="AK363" s="258"/>
      <c r="AL363" s="258"/>
      <c r="AM363" s="258"/>
    </row>
    <row r="364" spans="3:39" x14ac:dyDescent="0.25">
      <c r="C364" s="255" t="s">
        <v>6297</v>
      </c>
      <c r="D364" s="258">
        <v>9.42</v>
      </c>
      <c r="E364" s="258">
        <v>0.69554861350478014</v>
      </c>
      <c r="F364" s="258">
        <v>73.837432431505334</v>
      </c>
      <c r="G364" s="266">
        <f t="shared" si="116"/>
        <v>13.543266160123345</v>
      </c>
      <c r="H364" s="265">
        <f t="shared" si="117"/>
        <v>0.35758706467661688</v>
      </c>
      <c r="I364" s="265">
        <f t="shared" si="118"/>
        <v>0.2790178571428571</v>
      </c>
      <c r="J364" s="265">
        <f t="shared" si="119"/>
        <v>0.14172335600907029</v>
      </c>
      <c r="K364" s="258">
        <f t="shared" ca="1" si="120"/>
        <v>50.380950115658848</v>
      </c>
      <c r="L364" s="265">
        <f t="shared" si="121"/>
        <v>2.5249365671641786</v>
      </c>
      <c r="M364" s="265">
        <f t="shared" si="122"/>
        <v>1.500803571428571</v>
      </c>
      <c r="N364" s="265">
        <f t="shared" si="123"/>
        <v>0.82693877551020412</v>
      </c>
      <c r="O364" s="265">
        <f t="shared" ca="1" si="124"/>
        <v>55.233629029761801</v>
      </c>
      <c r="P364" s="265">
        <f t="shared" ca="1" si="125"/>
        <v>3.8566675846785592</v>
      </c>
      <c r="Q364" s="258">
        <f t="shared" ca="1" si="126"/>
        <v>30.743214183479992</v>
      </c>
      <c r="R364" s="265">
        <f t="shared" si="127"/>
        <v>2.5249365671641786</v>
      </c>
      <c r="S364" s="265">
        <f t="shared" si="128"/>
        <v>1.500803571428571</v>
      </c>
      <c r="T364" s="265">
        <f t="shared" si="129"/>
        <v>0.82693877551020412</v>
      </c>
      <c r="U364" s="265">
        <f t="shared" ca="1" si="130"/>
        <v>35.595893097582945</v>
      </c>
      <c r="V364" s="265">
        <f t="shared" ca="1" si="131"/>
        <v>2.4854699839324219</v>
      </c>
      <c r="W364" s="258">
        <f t="shared" ca="1" si="132"/>
        <v>7.5571425173488267</v>
      </c>
      <c r="X364" s="265">
        <f t="shared" si="133"/>
        <v>2.5249365671641786</v>
      </c>
      <c r="Y364" s="265">
        <f t="shared" si="134"/>
        <v>1.500803571428571</v>
      </c>
      <c r="Z364" s="265">
        <f t="shared" si="135"/>
        <v>0.82693877551020412</v>
      </c>
      <c r="AA364" s="265">
        <f t="shared" ca="1" si="136"/>
        <v>12.40982143145178</v>
      </c>
      <c r="AB364" s="265">
        <f t="shared" ca="1" si="137"/>
        <v>0.86651116153422447</v>
      </c>
      <c r="AC364" s="258"/>
      <c r="AD364" s="258"/>
      <c r="AE364" s="258"/>
      <c r="AF364" s="258"/>
      <c r="AG364" s="258"/>
      <c r="AH364" s="258"/>
      <c r="AI364" s="258"/>
      <c r="AJ364" s="258"/>
      <c r="AK364" s="258"/>
      <c r="AL364" s="258"/>
      <c r="AM364" s="258"/>
    </row>
    <row r="365" spans="3:39" x14ac:dyDescent="0.25">
      <c r="C365" s="255" t="s">
        <v>6298</v>
      </c>
      <c r="D365" s="258">
        <v>8.6349999999999998</v>
      </c>
      <c r="E365" s="258">
        <v>0.69806188762765209</v>
      </c>
      <c r="F365" s="258">
        <v>80.840982933138633</v>
      </c>
      <c r="G365" s="266">
        <f t="shared" si="116"/>
        <v>12.369963398726517</v>
      </c>
      <c r="H365" s="265">
        <f t="shared" si="117"/>
        <v>0.35758706467661688</v>
      </c>
      <c r="I365" s="265">
        <f t="shared" si="118"/>
        <v>0.2790178571428571</v>
      </c>
      <c r="J365" s="265">
        <f t="shared" si="119"/>
        <v>0.14172335600907029</v>
      </c>
      <c r="K365" s="258">
        <f t="shared" ca="1" si="120"/>
        <v>46.016263843262642</v>
      </c>
      <c r="L365" s="265">
        <f t="shared" si="121"/>
        <v>2.5249365671641786</v>
      </c>
      <c r="M365" s="265">
        <f t="shared" si="122"/>
        <v>1.500803571428571</v>
      </c>
      <c r="N365" s="265">
        <f t="shared" si="123"/>
        <v>0.82693877551020412</v>
      </c>
      <c r="O365" s="265">
        <f t="shared" ca="1" si="124"/>
        <v>50.868942757365595</v>
      </c>
      <c r="P365" s="265">
        <f t="shared" ca="1" si="125"/>
        <v>3.8688632720303016</v>
      </c>
      <c r="Q365" s="258">
        <f t="shared" ca="1" si="126"/>
        <v>28.079816915109195</v>
      </c>
      <c r="R365" s="265">
        <f t="shared" si="127"/>
        <v>2.5249365671641786</v>
      </c>
      <c r="S365" s="265">
        <f t="shared" si="128"/>
        <v>1.500803571428571</v>
      </c>
      <c r="T365" s="265">
        <f t="shared" si="129"/>
        <v>0.82693877551020412</v>
      </c>
      <c r="U365" s="265">
        <f t="shared" ca="1" si="130"/>
        <v>32.932495829212151</v>
      </c>
      <c r="V365" s="265">
        <f t="shared" ca="1" si="131"/>
        <v>2.5046976930040756</v>
      </c>
      <c r="W365" s="258">
        <f t="shared" ca="1" si="132"/>
        <v>6.9024395764893969</v>
      </c>
      <c r="X365" s="265">
        <f t="shared" si="133"/>
        <v>2.5249365671641786</v>
      </c>
      <c r="Y365" s="265">
        <f t="shared" si="134"/>
        <v>1.500803571428571</v>
      </c>
      <c r="Z365" s="265">
        <f t="shared" si="135"/>
        <v>0.82693877551020412</v>
      </c>
      <c r="AA365" s="265">
        <f t="shared" ca="1" si="136"/>
        <v>11.75511849059235</v>
      </c>
      <c r="AB365" s="265">
        <f t="shared" ca="1" si="137"/>
        <v>0.89404150590552378</v>
      </c>
      <c r="AC365" s="258"/>
      <c r="AD365" s="258"/>
      <c r="AE365" s="258"/>
      <c r="AF365" s="258"/>
      <c r="AG365" s="258"/>
      <c r="AH365" s="258"/>
      <c r="AI365" s="258"/>
      <c r="AJ365" s="258"/>
      <c r="AK365" s="258"/>
      <c r="AL365" s="258"/>
      <c r="AM365" s="258"/>
    </row>
    <row r="366" spans="3:39" x14ac:dyDescent="0.25">
      <c r="C366" s="255" t="s">
        <v>6299</v>
      </c>
      <c r="D366" s="258">
        <v>11.775</v>
      </c>
      <c r="E366" s="258">
        <v>0.60695570067354798</v>
      </c>
      <c r="F366" s="258">
        <v>51.546131692021063</v>
      </c>
      <c r="G366" s="266">
        <f t="shared" si="116"/>
        <v>19.400097876884761</v>
      </c>
      <c r="H366" s="265">
        <f t="shared" si="117"/>
        <v>0.35758706467661688</v>
      </c>
      <c r="I366" s="265">
        <f t="shared" si="118"/>
        <v>0.2790178571428571</v>
      </c>
      <c r="J366" s="265">
        <f t="shared" si="119"/>
        <v>0.14172335600907029</v>
      </c>
      <c r="K366" s="258">
        <f t="shared" ca="1" si="120"/>
        <v>72.16836410201131</v>
      </c>
      <c r="L366" s="265">
        <f t="shared" si="121"/>
        <v>2.5249365671641786</v>
      </c>
      <c r="M366" s="265">
        <f t="shared" si="122"/>
        <v>1.500803571428571</v>
      </c>
      <c r="N366" s="265">
        <f t="shared" si="123"/>
        <v>0.82693877551020412</v>
      </c>
      <c r="O366" s="265">
        <f t="shared" ca="1" si="124"/>
        <v>77.021043016114263</v>
      </c>
      <c r="P366" s="265">
        <f t="shared" ca="1" si="125"/>
        <v>3.8169995234303036</v>
      </c>
      <c r="Q366" s="258">
        <f t="shared" ca="1" si="126"/>
        <v>44.038222180528408</v>
      </c>
      <c r="R366" s="265">
        <f t="shared" si="127"/>
        <v>2.5249365671641786</v>
      </c>
      <c r="S366" s="265">
        <f t="shared" si="128"/>
        <v>1.500803571428571</v>
      </c>
      <c r="T366" s="265">
        <f t="shared" si="129"/>
        <v>0.82693877551020412</v>
      </c>
      <c r="U366" s="265">
        <f t="shared" ca="1" si="130"/>
        <v>48.89090109463136</v>
      </c>
      <c r="V366" s="265">
        <f t="shared" ca="1" si="131"/>
        <v>2.4229293563220415</v>
      </c>
      <c r="W366" s="258">
        <f t="shared" ca="1" si="132"/>
        <v>10.825254615301697</v>
      </c>
      <c r="X366" s="265">
        <f t="shared" si="133"/>
        <v>2.5249365671641786</v>
      </c>
      <c r="Y366" s="265">
        <f t="shared" si="134"/>
        <v>1.500803571428571</v>
      </c>
      <c r="Z366" s="265">
        <f t="shared" si="135"/>
        <v>0.82693877551020412</v>
      </c>
      <c r="AA366" s="265">
        <f t="shared" ca="1" si="136"/>
        <v>15.677933529404651</v>
      </c>
      <c r="AB366" s="265">
        <f t="shared" ca="1" si="137"/>
        <v>0.77696513143283852</v>
      </c>
      <c r="AC366" s="258"/>
      <c r="AD366" s="258"/>
      <c r="AE366" s="258"/>
      <c r="AF366" s="258"/>
      <c r="AG366" s="258"/>
      <c r="AH366" s="258"/>
      <c r="AI366" s="258"/>
      <c r="AJ366" s="258"/>
      <c r="AK366" s="258"/>
      <c r="AL366" s="258"/>
      <c r="AM366" s="258"/>
    </row>
    <row r="367" spans="3:39" x14ac:dyDescent="0.25">
      <c r="C367" s="255" t="s">
        <v>6300</v>
      </c>
      <c r="D367" s="258">
        <v>9.42</v>
      </c>
      <c r="E367" s="258">
        <v>0.61323888598072762</v>
      </c>
      <c r="F367" s="258">
        <v>65.099669424705695</v>
      </c>
      <c r="G367" s="266">
        <f t="shared" si="116"/>
        <v>15.361061105795637</v>
      </c>
      <c r="H367" s="265">
        <f t="shared" si="117"/>
        <v>0.35758706467661688</v>
      </c>
      <c r="I367" s="265">
        <f t="shared" si="118"/>
        <v>0.2790178571428571</v>
      </c>
      <c r="J367" s="265">
        <f t="shared" si="119"/>
        <v>0.14172335600907029</v>
      </c>
      <c r="K367" s="258">
        <f t="shared" ca="1" si="120"/>
        <v>57.143147313559773</v>
      </c>
      <c r="L367" s="265">
        <f t="shared" si="121"/>
        <v>2.5249365671641786</v>
      </c>
      <c r="M367" s="265">
        <f t="shared" si="122"/>
        <v>1.500803571428571</v>
      </c>
      <c r="N367" s="265">
        <f t="shared" si="123"/>
        <v>0.82693877551020412</v>
      </c>
      <c r="O367" s="265">
        <f t="shared" ca="1" si="124"/>
        <v>61.995826227662725</v>
      </c>
      <c r="P367" s="265">
        <f t="shared" ca="1" si="125"/>
        <v>3.8412745831987141</v>
      </c>
      <c r="Q367" s="258">
        <f t="shared" ca="1" si="126"/>
        <v>34.869608710156093</v>
      </c>
      <c r="R367" s="265">
        <f t="shared" si="127"/>
        <v>2.5249365671641786</v>
      </c>
      <c r="S367" s="265">
        <f t="shared" si="128"/>
        <v>1.500803571428571</v>
      </c>
      <c r="T367" s="265">
        <f t="shared" si="129"/>
        <v>0.82693877551020412</v>
      </c>
      <c r="U367" s="265">
        <f t="shared" ca="1" si="130"/>
        <v>39.722287624259046</v>
      </c>
      <c r="V367" s="265">
        <f t="shared" ca="1" si="131"/>
        <v>2.4612013924494094</v>
      </c>
      <c r="W367" s="258">
        <f t="shared" ca="1" si="132"/>
        <v>8.5714720970339666</v>
      </c>
      <c r="X367" s="265">
        <f t="shared" si="133"/>
        <v>2.5249365671641786</v>
      </c>
      <c r="Y367" s="265">
        <f t="shared" si="134"/>
        <v>1.500803571428571</v>
      </c>
      <c r="Z367" s="265">
        <f t="shared" si="135"/>
        <v>0.82693877551020412</v>
      </c>
      <c r="AA367" s="265">
        <f t="shared" ca="1" si="136"/>
        <v>13.424151011136921</v>
      </c>
      <c r="AB367" s="265">
        <f t="shared" ca="1" si="137"/>
        <v>0.83176325275092045</v>
      </c>
      <c r="AC367" s="258"/>
      <c r="AD367" s="258"/>
      <c r="AE367" s="258"/>
      <c r="AF367" s="258"/>
      <c r="AG367" s="258"/>
      <c r="AH367" s="258"/>
      <c r="AI367" s="258"/>
      <c r="AJ367" s="258"/>
      <c r="AK367" s="258"/>
      <c r="AL367" s="258"/>
      <c r="AM367" s="258"/>
    </row>
    <row r="368" spans="3:39" x14ac:dyDescent="0.25">
      <c r="C368" s="255" t="s">
        <v>6301</v>
      </c>
      <c r="D368" s="258">
        <v>7.0650000000000004</v>
      </c>
      <c r="E368" s="258">
        <v>0.61826543422647129</v>
      </c>
      <c r="F368" s="258">
        <v>87.511031029932241</v>
      </c>
      <c r="G368" s="266">
        <f t="shared" si="116"/>
        <v>11.427130822604072</v>
      </c>
      <c r="H368" s="265">
        <f t="shared" si="117"/>
        <v>0.35758706467661688</v>
      </c>
      <c r="I368" s="265">
        <f t="shared" si="118"/>
        <v>0.2790178571428571</v>
      </c>
      <c r="J368" s="265">
        <f t="shared" si="119"/>
        <v>0.14172335600907029</v>
      </c>
      <c r="K368" s="258">
        <f t="shared" ca="1" si="120"/>
        <v>42.508926660087148</v>
      </c>
      <c r="L368" s="265">
        <f t="shared" si="121"/>
        <v>2.5249365671641786</v>
      </c>
      <c r="M368" s="265">
        <f t="shared" si="122"/>
        <v>1.500803571428571</v>
      </c>
      <c r="N368" s="265">
        <f t="shared" si="123"/>
        <v>0.82693877551020412</v>
      </c>
      <c r="O368" s="265">
        <f t="shared" ca="1" si="124"/>
        <v>47.361605574190101</v>
      </c>
      <c r="P368" s="265">
        <f t="shared" ca="1" si="125"/>
        <v>3.8803624824330774</v>
      </c>
      <c r="Q368" s="258">
        <f t="shared" ca="1" si="126"/>
        <v>25.939586967311243</v>
      </c>
      <c r="R368" s="265">
        <f t="shared" si="127"/>
        <v>2.5249365671641786</v>
      </c>
      <c r="S368" s="265">
        <f t="shared" si="128"/>
        <v>1.500803571428571</v>
      </c>
      <c r="T368" s="265">
        <f t="shared" si="129"/>
        <v>0.82693877551020412</v>
      </c>
      <c r="U368" s="265">
        <f t="shared" ca="1" si="130"/>
        <v>30.792265881414195</v>
      </c>
      <c r="V368" s="265">
        <f t="shared" ca="1" si="131"/>
        <v>2.5228273371808503</v>
      </c>
      <c r="W368" s="258">
        <f t="shared" ca="1" si="132"/>
        <v>6.3763389990130728</v>
      </c>
      <c r="X368" s="265">
        <f t="shared" si="133"/>
        <v>2.5249365671641786</v>
      </c>
      <c r="Y368" s="265">
        <f t="shared" si="134"/>
        <v>1.500803571428571</v>
      </c>
      <c r="Z368" s="265">
        <f t="shared" si="135"/>
        <v>0.82693877551020412</v>
      </c>
      <c r="AA368" s="265">
        <f t="shared" ca="1" si="136"/>
        <v>11.229017913116026</v>
      </c>
      <c r="AB368" s="265">
        <f t="shared" ca="1" si="137"/>
        <v>0.91999963464856638</v>
      </c>
      <c r="AC368" s="258"/>
      <c r="AD368" s="258"/>
      <c r="AE368" s="258"/>
      <c r="AF368" s="258"/>
      <c r="AG368" s="258"/>
      <c r="AH368" s="258"/>
      <c r="AI368" s="258"/>
      <c r="AJ368" s="258"/>
      <c r="AK368" s="258"/>
      <c r="AL368" s="258"/>
      <c r="AM368" s="258"/>
    </row>
    <row r="369" spans="3:39" x14ac:dyDescent="0.25">
      <c r="C369" s="255" t="s">
        <v>6302</v>
      </c>
      <c r="D369" s="258">
        <v>6.28</v>
      </c>
      <c r="E369" s="258">
        <v>0.62203534541077898</v>
      </c>
      <c r="F369" s="258">
        <v>99.050214237385177</v>
      </c>
      <c r="G369" s="266">
        <f t="shared" si="116"/>
        <v>10.095889319364675</v>
      </c>
      <c r="H369" s="265">
        <f t="shared" si="117"/>
        <v>0.35758706467661688</v>
      </c>
      <c r="I369" s="265">
        <f t="shared" si="118"/>
        <v>0.2790178571428571</v>
      </c>
      <c r="J369" s="265">
        <f t="shared" si="119"/>
        <v>0.14172335600907029</v>
      </c>
      <c r="K369" s="258">
        <f t="shared" ca="1" si="120"/>
        <v>37.556708268036594</v>
      </c>
      <c r="L369" s="265">
        <f t="shared" si="121"/>
        <v>2.5249365671641786</v>
      </c>
      <c r="M369" s="265">
        <f t="shared" si="122"/>
        <v>1.500803571428571</v>
      </c>
      <c r="N369" s="265">
        <f t="shared" si="123"/>
        <v>0.82693877551020412</v>
      </c>
      <c r="O369" s="265">
        <f t="shared" ca="1" si="124"/>
        <v>42.409387182139547</v>
      </c>
      <c r="P369" s="265">
        <f t="shared" ca="1" si="125"/>
        <v>3.8999943493025166</v>
      </c>
      <c r="Q369" s="258">
        <f t="shared" ca="1" si="126"/>
        <v>22.917668754957813</v>
      </c>
      <c r="R369" s="265">
        <f t="shared" si="127"/>
        <v>2.5249365671641786</v>
      </c>
      <c r="S369" s="265">
        <f t="shared" si="128"/>
        <v>1.500803571428571</v>
      </c>
      <c r="T369" s="265">
        <f t="shared" si="129"/>
        <v>0.82693877551020412</v>
      </c>
      <c r="U369" s="265">
        <f t="shared" ca="1" si="130"/>
        <v>27.770347669060765</v>
      </c>
      <c r="V369" s="265">
        <f t="shared" ca="1" si="131"/>
        <v>2.5537789198028062</v>
      </c>
      <c r="W369" s="258">
        <f t="shared" ca="1" si="132"/>
        <v>5.633506240205489</v>
      </c>
      <c r="X369" s="265">
        <f t="shared" si="133"/>
        <v>2.5249365671641786</v>
      </c>
      <c r="Y369" s="265">
        <f t="shared" si="134"/>
        <v>1.500803571428571</v>
      </c>
      <c r="Z369" s="265">
        <f t="shared" si="135"/>
        <v>0.82693877551020412</v>
      </c>
      <c r="AA369" s="265">
        <f t="shared" ca="1" si="136"/>
        <v>10.486185154308442</v>
      </c>
      <c r="AB369" s="265">
        <f t="shared" ca="1" si="137"/>
        <v>0.96431628855901019</v>
      </c>
      <c r="AC369" s="258"/>
      <c r="AD369" s="258"/>
      <c r="AE369" s="258"/>
      <c r="AF369" s="258"/>
      <c r="AG369" s="258"/>
      <c r="AH369" s="258"/>
      <c r="AI369" s="258"/>
      <c r="AJ369" s="258"/>
      <c r="AK369" s="258"/>
      <c r="AL369" s="258"/>
      <c r="AM369" s="258"/>
    </row>
    <row r="370" spans="3:39" x14ac:dyDescent="0.25">
      <c r="C370" s="255" t="s">
        <v>6303</v>
      </c>
      <c r="D370" s="258">
        <v>11.775</v>
      </c>
      <c r="E370" s="258">
        <v>0.52150438049590564</v>
      </c>
      <c r="F370" s="258">
        <v>44.289119362709613</v>
      </c>
      <c r="G370" s="266">
        <f t="shared" si="116"/>
        <v>22.578909095265878</v>
      </c>
      <c r="H370" s="265">
        <f t="shared" si="117"/>
        <v>0.35758706467661688</v>
      </c>
      <c r="I370" s="265">
        <f t="shared" si="118"/>
        <v>0.2790178571428571</v>
      </c>
      <c r="J370" s="265">
        <f t="shared" si="119"/>
        <v>0.14172335600907029</v>
      </c>
      <c r="K370" s="258">
        <f t="shared" ca="1" si="120"/>
        <v>83.993541834389077</v>
      </c>
      <c r="L370" s="265">
        <f t="shared" si="121"/>
        <v>2.5249365671641786</v>
      </c>
      <c r="M370" s="265">
        <f t="shared" si="122"/>
        <v>1.500803571428571</v>
      </c>
      <c r="N370" s="265">
        <f t="shared" si="123"/>
        <v>0.82693877551020412</v>
      </c>
      <c r="O370" s="265">
        <f t="shared" ca="1" si="124"/>
        <v>88.84622074849203</v>
      </c>
      <c r="P370" s="265">
        <f t="shared" ca="1" si="125"/>
        <v>3.8037983400740454</v>
      </c>
      <c r="Q370" s="258">
        <f t="shared" ca="1" si="126"/>
        <v>51.254123646253547</v>
      </c>
      <c r="R370" s="265">
        <f t="shared" si="127"/>
        <v>2.5249365671641786</v>
      </c>
      <c r="S370" s="265">
        <f t="shared" si="128"/>
        <v>1.500803571428571</v>
      </c>
      <c r="T370" s="265">
        <f t="shared" si="129"/>
        <v>0.82693877551020412</v>
      </c>
      <c r="U370" s="265">
        <f t="shared" ca="1" si="130"/>
        <v>56.106802560356499</v>
      </c>
      <c r="V370" s="265">
        <f t="shared" ca="1" si="131"/>
        <v>2.4021163832066383</v>
      </c>
      <c r="W370" s="258">
        <f t="shared" ca="1" si="132"/>
        <v>12.599031275158362</v>
      </c>
      <c r="X370" s="265">
        <f t="shared" si="133"/>
        <v>2.5249365671641786</v>
      </c>
      <c r="Y370" s="265">
        <f t="shared" si="134"/>
        <v>1.500803571428571</v>
      </c>
      <c r="Z370" s="265">
        <f t="shared" si="135"/>
        <v>0.82693877551020412</v>
      </c>
      <c r="AA370" s="265">
        <f t="shared" ca="1" si="136"/>
        <v>17.451710189261316</v>
      </c>
      <c r="AB370" s="265">
        <f t="shared" ca="1" si="137"/>
        <v>0.74716499689146543</v>
      </c>
      <c r="AC370" s="258"/>
      <c r="AD370" s="258"/>
      <c r="AE370" s="258"/>
      <c r="AF370" s="258"/>
      <c r="AG370" s="258"/>
      <c r="AH370" s="258"/>
      <c r="AI370" s="258"/>
      <c r="AJ370" s="258"/>
      <c r="AK370" s="258"/>
      <c r="AL370" s="258"/>
      <c r="AM370" s="258"/>
    </row>
    <row r="371" spans="3:39" x14ac:dyDescent="0.25">
      <c r="C371" s="255" t="s">
        <v>6304</v>
      </c>
      <c r="D371" s="258">
        <v>10.205</v>
      </c>
      <c r="E371" s="258">
        <v>0.52715924727236729</v>
      </c>
      <c r="F371" s="258">
        <v>51.656957106552412</v>
      </c>
      <c r="G371" s="266">
        <f t="shared" si="116"/>
        <v>19.358476689544599</v>
      </c>
      <c r="H371" s="265">
        <f t="shared" si="117"/>
        <v>0.35758706467661688</v>
      </c>
      <c r="I371" s="265">
        <f t="shared" si="118"/>
        <v>0.2790178571428571</v>
      </c>
      <c r="J371" s="265">
        <f t="shared" si="119"/>
        <v>0.14172335600907029</v>
      </c>
      <c r="K371" s="258">
        <f t="shared" ca="1" si="120"/>
        <v>72.013533285105908</v>
      </c>
      <c r="L371" s="265">
        <f t="shared" si="121"/>
        <v>2.5249365671641786</v>
      </c>
      <c r="M371" s="265">
        <f t="shared" si="122"/>
        <v>1.500803571428571</v>
      </c>
      <c r="N371" s="265">
        <f t="shared" si="123"/>
        <v>0.82693877551020412</v>
      </c>
      <c r="O371" s="265">
        <f t="shared" ca="1" si="124"/>
        <v>76.86621219920886</v>
      </c>
      <c r="P371" s="265">
        <f t="shared" ca="1" si="125"/>
        <v>3.8172000137932551</v>
      </c>
      <c r="Q371" s="258">
        <f t="shared" ca="1" si="126"/>
        <v>43.943742085266237</v>
      </c>
      <c r="R371" s="265">
        <f t="shared" si="127"/>
        <v>2.5249365671641786</v>
      </c>
      <c r="S371" s="265">
        <f t="shared" si="128"/>
        <v>1.500803571428571</v>
      </c>
      <c r="T371" s="265">
        <f t="shared" si="129"/>
        <v>0.82693877551020412</v>
      </c>
      <c r="U371" s="265">
        <f t="shared" ca="1" si="130"/>
        <v>48.79642099936919</v>
      </c>
      <c r="V371" s="265">
        <f t="shared" ca="1" si="131"/>
        <v>2.4232454492374567</v>
      </c>
      <c r="W371" s="258">
        <f t="shared" ca="1" si="132"/>
        <v>10.802029992765886</v>
      </c>
      <c r="X371" s="265">
        <f t="shared" si="133"/>
        <v>2.5249365671641786</v>
      </c>
      <c r="Y371" s="265">
        <f t="shared" si="134"/>
        <v>1.500803571428571</v>
      </c>
      <c r="Z371" s="265">
        <f t="shared" si="135"/>
        <v>0.82693877551020412</v>
      </c>
      <c r="AA371" s="265">
        <f t="shared" ca="1" si="136"/>
        <v>15.654708906868841</v>
      </c>
      <c r="AB371" s="265">
        <f t="shared" ca="1" si="137"/>
        <v>0.77741771508605939</v>
      </c>
      <c r="AC371" s="258"/>
      <c r="AD371" s="258"/>
      <c r="AE371" s="258"/>
      <c r="AF371" s="258"/>
      <c r="AG371" s="258"/>
      <c r="AH371" s="258"/>
      <c r="AI371" s="258"/>
      <c r="AJ371" s="258"/>
      <c r="AK371" s="258"/>
      <c r="AL371" s="258"/>
      <c r="AM371" s="258"/>
    </row>
    <row r="372" spans="3:39" x14ac:dyDescent="0.25">
      <c r="C372" s="255" t="s">
        <v>6305</v>
      </c>
      <c r="D372" s="258">
        <v>7.85</v>
      </c>
      <c r="E372" s="258">
        <v>0.53344243257954693</v>
      </c>
      <c r="F372" s="258">
        <v>67.954450010133371</v>
      </c>
      <c r="G372" s="266">
        <f t="shared" si="116"/>
        <v>14.715739732289496</v>
      </c>
      <c r="H372" s="265">
        <f t="shared" si="117"/>
        <v>0.35758706467661688</v>
      </c>
      <c r="I372" s="265">
        <f t="shared" si="118"/>
        <v>0.2790178571428571</v>
      </c>
      <c r="J372" s="265">
        <f t="shared" si="119"/>
        <v>0.14172335600907029</v>
      </c>
      <c r="K372" s="258">
        <f t="shared" ca="1" si="120"/>
        <v>54.742551804116928</v>
      </c>
      <c r="L372" s="265">
        <f t="shared" si="121"/>
        <v>2.5249365671641786</v>
      </c>
      <c r="M372" s="265">
        <f t="shared" si="122"/>
        <v>1.500803571428571</v>
      </c>
      <c r="N372" s="265">
        <f t="shared" si="123"/>
        <v>0.82693877551020412</v>
      </c>
      <c r="O372" s="265">
        <f t="shared" ca="1" si="124"/>
        <v>59.595230718219881</v>
      </c>
      <c r="P372" s="265">
        <f t="shared" ca="1" si="125"/>
        <v>3.8463256182496814</v>
      </c>
      <c r="Q372" s="258">
        <f t="shared" ca="1" si="126"/>
        <v>33.404729192297154</v>
      </c>
      <c r="R372" s="265">
        <f t="shared" si="127"/>
        <v>2.5249365671641786</v>
      </c>
      <c r="S372" s="265">
        <f t="shared" si="128"/>
        <v>1.500803571428571</v>
      </c>
      <c r="T372" s="265">
        <f t="shared" si="129"/>
        <v>0.82693877551020412</v>
      </c>
      <c r="U372" s="265">
        <f t="shared" ca="1" si="130"/>
        <v>38.257408106400106</v>
      </c>
      <c r="V372" s="265">
        <f t="shared" ca="1" si="131"/>
        <v>2.4691648495035001</v>
      </c>
      <c r="W372" s="258">
        <f t="shared" ca="1" si="132"/>
        <v>8.21138277061754</v>
      </c>
      <c r="X372" s="265">
        <f t="shared" si="133"/>
        <v>2.5249365671641786</v>
      </c>
      <c r="Y372" s="265">
        <f t="shared" si="134"/>
        <v>1.500803571428571</v>
      </c>
      <c r="Z372" s="265">
        <f t="shared" si="135"/>
        <v>0.82693877551020412</v>
      </c>
      <c r="AA372" s="265">
        <f t="shared" ca="1" si="136"/>
        <v>13.064061684720494</v>
      </c>
      <c r="AB372" s="265">
        <f t="shared" ca="1" si="137"/>
        <v>0.84316537633559585</v>
      </c>
      <c r="AC372" s="258"/>
      <c r="AD372" s="258"/>
      <c r="AE372" s="258"/>
      <c r="AF372" s="258"/>
      <c r="AG372" s="258"/>
      <c r="AH372" s="258"/>
      <c r="AI372" s="258"/>
      <c r="AJ372" s="258"/>
      <c r="AK372" s="258"/>
      <c r="AL372" s="258"/>
      <c r="AM372" s="258"/>
    </row>
    <row r="373" spans="3:39" x14ac:dyDescent="0.25">
      <c r="C373" s="255" t="s">
        <v>6306</v>
      </c>
      <c r="D373" s="258">
        <v>6.28</v>
      </c>
      <c r="E373" s="258">
        <v>0.53846898082529049</v>
      </c>
      <c r="F373" s="258">
        <v>85.743468284281931</v>
      </c>
      <c r="G373" s="266">
        <f t="shared" si="116"/>
        <v>11.662695946523954</v>
      </c>
      <c r="H373" s="265">
        <f t="shared" si="117"/>
        <v>0.35758706467661688</v>
      </c>
      <c r="I373" s="265">
        <f t="shared" si="118"/>
        <v>0.2790178571428571</v>
      </c>
      <c r="J373" s="265">
        <f t="shared" si="119"/>
        <v>0.14172335600907029</v>
      </c>
      <c r="K373" s="258">
        <f t="shared" ca="1" si="120"/>
        <v>43.385228921069107</v>
      </c>
      <c r="L373" s="265">
        <f t="shared" si="121"/>
        <v>2.5249365671641786</v>
      </c>
      <c r="M373" s="265">
        <f t="shared" si="122"/>
        <v>1.500803571428571</v>
      </c>
      <c r="N373" s="265">
        <f t="shared" si="123"/>
        <v>0.82693877551020412</v>
      </c>
      <c r="O373" s="265">
        <f t="shared" ca="1" si="124"/>
        <v>48.237907835172059</v>
      </c>
      <c r="P373" s="265">
        <f t="shared" ca="1" si="125"/>
        <v>3.877326091910462</v>
      </c>
      <c r="Q373" s="258">
        <f t="shared" ca="1" si="126"/>
        <v>26.474319798609375</v>
      </c>
      <c r="R373" s="265">
        <f t="shared" si="127"/>
        <v>2.5249365671641786</v>
      </c>
      <c r="S373" s="265">
        <f t="shared" si="128"/>
        <v>1.500803571428571</v>
      </c>
      <c r="T373" s="265">
        <f t="shared" si="129"/>
        <v>0.82693877551020412</v>
      </c>
      <c r="U373" s="265">
        <f t="shared" ca="1" si="130"/>
        <v>31.326998712712328</v>
      </c>
      <c r="V373" s="265">
        <f t="shared" ca="1" si="131"/>
        <v>2.5180401667727454</v>
      </c>
      <c r="W373" s="258">
        <f t="shared" ca="1" si="132"/>
        <v>6.5077843381603664</v>
      </c>
      <c r="X373" s="265">
        <f t="shared" si="133"/>
        <v>2.5249365671641786</v>
      </c>
      <c r="Y373" s="265">
        <f t="shared" si="134"/>
        <v>1.500803571428571</v>
      </c>
      <c r="Z373" s="265">
        <f t="shared" si="135"/>
        <v>0.82693877551020412</v>
      </c>
      <c r="AA373" s="265">
        <f t="shared" ca="1" si="136"/>
        <v>11.360463252263321</v>
      </c>
      <c r="AB373" s="265">
        <f t="shared" ca="1" si="137"/>
        <v>0.91314533654117891</v>
      </c>
      <c r="AC373" s="258"/>
      <c r="AD373" s="258"/>
      <c r="AE373" s="258"/>
      <c r="AF373" s="258"/>
      <c r="AG373" s="258"/>
      <c r="AH373" s="258"/>
      <c r="AI373" s="258"/>
      <c r="AJ373" s="258"/>
      <c r="AK373" s="258"/>
      <c r="AL373" s="258"/>
      <c r="AM373" s="258"/>
    </row>
    <row r="374" spans="3:39" x14ac:dyDescent="0.25">
      <c r="C374" s="255" t="s">
        <v>6307</v>
      </c>
      <c r="D374" s="258">
        <v>5.4950000000000001</v>
      </c>
      <c r="E374" s="258">
        <v>0.54223889200959829</v>
      </c>
      <c r="F374" s="258">
        <v>98.678597271992402</v>
      </c>
      <c r="G374" s="266">
        <f t="shared" si="116"/>
        <v>10.133909760022769</v>
      </c>
      <c r="H374" s="265">
        <f t="shared" si="117"/>
        <v>0.35758706467661688</v>
      </c>
      <c r="I374" s="265">
        <f t="shared" si="118"/>
        <v>0.2790178571428571</v>
      </c>
      <c r="J374" s="265">
        <f t="shared" si="119"/>
        <v>0.14172335600907029</v>
      </c>
      <c r="K374" s="258">
        <f t="shared" ca="1" si="120"/>
        <v>37.6981443072847</v>
      </c>
      <c r="L374" s="265">
        <f t="shared" si="121"/>
        <v>2.5249365671641786</v>
      </c>
      <c r="M374" s="265">
        <f t="shared" si="122"/>
        <v>1.500803571428571</v>
      </c>
      <c r="N374" s="265">
        <f t="shared" si="123"/>
        <v>0.82693877551020412</v>
      </c>
      <c r="O374" s="265">
        <f t="shared" ca="1" si="124"/>
        <v>42.550823221387652</v>
      </c>
      <c r="P374" s="265">
        <f t="shared" ca="1" si="125"/>
        <v>3.8993672126461578</v>
      </c>
      <c r="Q374" s="258">
        <f t="shared" ca="1" si="126"/>
        <v>23.003975155251688</v>
      </c>
      <c r="R374" s="265">
        <f t="shared" si="127"/>
        <v>2.5249365671641786</v>
      </c>
      <c r="S374" s="265">
        <f t="shared" si="128"/>
        <v>1.500803571428571</v>
      </c>
      <c r="T374" s="265">
        <f t="shared" si="129"/>
        <v>0.82693877551020412</v>
      </c>
      <c r="U374" s="265">
        <f t="shared" ca="1" si="130"/>
        <v>27.85665406935464</v>
      </c>
      <c r="V374" s="265">
        <f t="shared" ca="1" si="131"/>
        <v>2.5527901767472612</v>
      </c>
      <c r="W374" s="258">
        <f t="shared" ca="1" si="132"/>
        <v>5.6547216460927059</v>
      </c>
      <c r="X374" s="265">
        <f t="shared" si="133"/>
        <v>2.5249365671641786</v>
      </c>
      <c r="Y374" s="265">
        <f t="shared" si="134"/>
        <v>1.500803571428571</v>
      </c>
      <c r="Z374" s="265">
        <f t="shared" si="135"/>
        <v>0.82693877551020412</v>
      </c>
      <c r="AA374" s="265">
        <f t="shared" ca="1" si="136"/>
        <v>10.507400560195659</v>
      </c>
      <c r="AB374" s="265">
        <f t="shared" ca="1" si="137"/>
        <v>0.96290060056870153</v>
      </c>
      <c r="AC374" s="258"/>
      <c r="AD374" s="258"/>
      <c r="AE374" s="258"/>
      <c r="AF374" s="258"/>
      <c r="AG374" s="258"/>
      <c r="AH374" s="258"/>
      <c r="AI374" s="258"/>
      <c r="AJ374" s="258"/>
      <c r="AK374" s="258"/>
      <c r="AL374" s="258"/>
      <c r="AM374" s="258"/>
    </row>
    <row r="375" spans="3:39" x14ac:dyDescent="0.25">
      <c r="C375" s="255" t="s">
        <v>6308</v>
      </c>
      <c r="D375" s="258">
        <v>10.205</v>
      </c>
      <c r="E375" s="258">
        <v>0.44107960856400696</v>
      </c>
      <c r="F375" s="258">
        <v>43.221911667222628</v>
      </c>
      <c r="G375" s="266">
        <f t="shared" si="116"/>
        <v>23.136413023544044</v>
      </c>
      <c r="H375" s="265">
        <f t="shared" si="117"/>
        <v>0.35758706467661688</v>
      </c>
      <c r="I375" s="265">
        <f t="shared" si="118"/>
        <v>0.2790178571428571</v>
      </c>
      <c r="J375" s="265">
        <f t="shared" si="119"/>
        <v>0.14172335600907029</v>
      </c>
      <c r="K375" s="258">
        <f t="shared" ca="1" si="120"/>
        <v>86.067456447583851</v>
      </c>
      <c r="L375" s="265">
        <f t="shared" si="121"/>
        <v>2.5249365671641786</v>
      </c>
      <c r="M375" s="265">
        <f t="shared" si="122"/>
        <v>1.500803571428571</v>
      </c>
      <c r="N375" s="265">
        <f t="shared" si="123"/>
        <v>0.82693877551020412</v>
      </c>
      <c r="O375" s="265">
        <f t="shared" ca="1" si="124"/>
        <v>90.920135361686803</v>
      </c>
      <c r="P375" s="265">
        <f t="shared" ca="1" si="125"/>
        <v>3.8018448209794529</v>
      </c>
      <c r="Q375" s="258">
        <f t="shared" ca="1" si="126"/>
        <v>52.51965756344498</v>
      </c>
      <c r="R375" s="265">
        <f t="shared" si="127"/>
        <v>2.5249365671641786</v>
      </c>
      <c r="S375" s="265">
        <f t="shared" si="128"/>
        <v>1.500803571428571</v>
      </c>
      <c r="T375" s="265">
        <f t="shared" si="129"/>
        <v>0.82693877551020412</v>
      </c>
      <c r="U375" s="265">
        <f t="shared" ca="1" si="130"/>
        <v>57.372336477547933</v>
      </c>
      <c r="V375" s="265">
        <f t="shared" ca="1" si="131"/>
        <v>2.3990364668613431</v>
      </c>
      <c r="W375" s="258">
        <f t="shared" ca="1" si="132"/>
        <v>12.910118467137577</v>
      </c>
      <c r="X375" s="265">
        <f t="shared" si="133"/>
        <v>2.5249365671641786</v>
      </c>
      <c r="Y375" s="265">
        <f t="shared" si="134"/>
        <v>1.500803571428571</v>
      </c>
      <c r="Z375" s="265">
        <f t="shared" si="135"/>
        <v>0.82693877551020412</v>
      </c>
      <c r="AA375" s="265">
        <f t="shared" ca="1" si="136"/>
        <v>17.762797381240532</v>
      </c>
      <c r="AB375" s="265">
        <f t="shared" ca="1" si="137"/>
        <v>0.74275515496465072</v>
      </c>
      <c r="AC375" s="258"/>
      <c r="AD375" s="258"/>
      <c r="AE375" s="258"/>
      <c r="AF375" s="258"/>
      <c r="AG375" s="258"/>
      <c r="AH375" s="258"/>
      <c r="AI375" s="258"/>
      <c r="AJ375" s="258"/>
      <c r="AK375" s="258"/>
      <c r="AL375" s="258"/>
      <c r="AM375" s="258"/>
    </row>
    <row r="376" spans="3:39" x14ac:dyDescent="0.25">
      <c r="C376" s="255" t="s">
        <v>6309</v>
      </c>
      <c r="D376" s="258">
        <v>7.85</v>
      </c>
      <c r="E376" s="258">
        <v>0.44987606799405833</v>
      </c>
      <c r="F376" s="258">
        <v>57.309053247650752</v>
      </c>
      <c r="G376" s="266">
        <f t="shared" si="116"/>
        <v>17.449250045689645</v>
      </c>
      <c r="H376" s="265">
        <f t="shared" si="117"/>
        <v>0.35758706467661688</v>
      </c>
      <c r="I376" s="265">
        <f t="shared" si="118"/>
        <v>0.2790178571428571</v>
      </c>
      <c r="J376" s="265">
        <f t="shared" si="119"/>
        <v>0.14172335600907029</v>
      </c>
      <c r="K376" s="258">
        <f t="shared" ca="1" si="120"/>
        <v>64.911210169965486</v>
      </c>
      <c r="L376" s="265">
        <f t="shared" si="121"/>
        <v>2.5249365671641786</v>
      </c>
      <c r="M376" s="265">
        <f t="shared" si="122"/>
        <v>1.500803571428571</v>
      </c>
      <c r="N376" s="265">
        <f t="shared" si="123"/>
        <v>0.82693877551020412</v>
      </c>
      <c r="O376" s="265">
        <f t="shared" ca="1" si="124"/>
        <v>69.763889084068438</v>
      </c>
      <c r="P376" s="265">
        <f t="shared" ca="1" si="125"/>
        <v>3.8273811169998022</v>
      </c>
      <c r="Q376" s="258">
        <f t="shared" ca="1" si="126"/>
        <v>39.609797603715492</v>
      </c>
      <c r="R376" s="265">
        <f t="shared" si="127"/>
        <v>2.5249365671641786</v>
      </c>
      <c r="S376" s="265">
        <f t="shared" si="128"/>
        <v>1.500803571428571</v>
      </c>
      <c r="T376" s="265">
        <f t="shared" si="129"/>
        <v>0.82693877551020412</v>
      </c>
      <c r="U376" s="265">
        <f t="shared" ca="1" si="130"/>
        <v>44.462476517818445</v>
      </c>
      <c r="V376" s="265">
        <f t="shared" ca="1" si="131"/>
        <v>2.439296966863151</v>
      </c>
      <c r="W376" s="258">
        <f t="shared" ca="1" si="132"/>
        <v>9.7366815254948236</v>
      </c>
      <c r="X376" s="265">
        <f t="shared" si="133"/>
        <v>2.5249365671641786</v>
      </c>
      <c r="Y376" s="265">
        <f t="shared" si="134"/>
        <v>1.500803571428571</v>
      </c>
      <c r="Z376" s="265">
        <f t="shared" si="135"/>
        <v>0.82693877551020412</v>
      </c>
      <c r="AA376" s="265">
        <f t="shared" ca="1" si="136"/>
        <v>14.589360439597778</v>
      </c>
      <c r="AB376" s="265">
        <f t="shared" ca="1" si="137"/>
        <v>0.80040037028801625</v>
      </c>
      <c r="AC376" s="258"/>
      <c r="AD376" s="258"/>
      <c r="AE376" s="258"/>
      <c r="AF376" s="258"/>
      <c r="AG376" s="258"/>
      <c r="AH376" s="258"/>
      <c r="AI376" s="258"/>
      <c r="AJ376" s="258"/>
      <c r="AK376" s="258"/>
      <c r="AL376" s="258"/>
      <c r="AM376" s="258"/>
    </row>
    <row r="377" spans="3:39" x14ac:dyDescent="0.25">
      <c r="C377" s="255" t="s">
        <v>6310</v>
      </c>
      <c r="D377" s="258">
        <v>6.28</v>
      </c>
      <c r="E377" s="258">
        <v>0.45553093477051998</v>
      </c>
      <c r="F377" s="258">
        <v>72.536773052630565</v>
      </c>
      <c r="G377" s="266">
        <f t="shared" si="116"/>
        <v>13.786110932649695</v>
      </c>
      <c r="H377" s="265">
        <f t="shared" si="117"/>
        <v>0.35758706467661688</v>
      </c>
      <c r="I377" s="265">
        <f t="shared" si="118"/>
        <v>0.2790178571428571</v>
      </c>
      <c r="J377" s="265">
        <f t="shared" si="119"/>
        <v>0.14172335600907029</v>
      </c>
      <c r="K377" s="258">
        <f t="shared" ca="1" si="120"/>
        <v>51.284332669456866</v>
      </c>
      <c r="L377" s="265">
        <f t="shared" si="121"/>
        <v>2.5249365671641786</v>
      </c>
      <c r="M377" s="265">
        <f t="shared" si="122"/>
        <v>1.500803571428571</v>
      </c>
      <c r="N377" s="265">
        <f t="shared" si="123"/>
        <v>0.82693877551020412</v>
      </c>
      <c r="O377" s="265">
        <f t="shared" ca="1" si="124"/>
        <v>56.137011583559818</v>
      </c>
      <c r="P377" s="265">
        <f t="shared" ca="1" si="125"/>
        <v>3.8543888145842655</v>
      </c>
      <c r="Q377" s="258">
        <f t="shared" ca="1" si="126"/>
        <v>31.294471817114808</v>
      </c>
      <c r="R377" s="265">
        <f t="shared" si="127"/>
        <v>2.5249365671641786</v>
      </c>
      <c r="S377" s="265">
        <f t="shared" si="128"/>
        <v>1.500803571428571</v>
      </c>
      <c r="T377" s="265">
        <f t="shared" si="129"/>
        <v>0.82693877551020412</v>
      </c>
      <c r="U377" s="265">
        <f t="shared" ca="1" si="130"/>
        <v>36.147150731217764</v>
      </c>
      <c r="V377" s="265">
        <f t="shared" ca="1" si="131"/>
        <v>2.4818772771705526</v>
      </c>
      <c r="W377" s="258">
        <f t="shared" ca="1" si="132"/>
        <v>7.6926499004185303</v>
      </c>
      <c r="X377" s="265">
        <f t="shared" si="133"/>
        <v>2.5249365671641786</v>
      </c>
      <c r="Y377" s="265">
        <f t="shared" si="134"/>
        <v>1.500803571428571</v>
      </c>
      <c r="Z377" s="265">
        <f t="shared" si="135"/>
        <v>0.82693877551020412</v>
      </c>
      <c r="AA377" s="265">
        <f t="shared" ca="1" si="136"/>
        <v>12.545328814521485</v>
      </c>
      <c r="AB377" s="265">
        <f t="shared" ca="1" si="137"/>
        <v>0.86136710334139566</v>
      </c>
      <c r="AC377" s="258"/>
      <c r="AD377" s="258"/>
      <c r="AE377" s="258"/>
      <c r="AF377" s="258"/>
      <c r="AG377" s="258"/>
      <c r="AH377" s="258"/>
      <c r="AI377" s="258"/>
      <c r="AJ377" s="258"/>
      <c r="AK377" s="258"/>
      <c r="AL377" s="258"/>
      <c r="AM377" s="258"/>
    </row>
    <row r="378" spans="3:39" x14ac:dyDescent="0.25">
      <c r="C378" s="255" t="s">
        <v>6311</v>
      </c>
      <c r="D378" s="258">
        <v>5.4950000000000001</v>
      </c>
      <c r="E378" s="258">
        <v>0.45804420889339181</v>
      </c>
      <c r="F378" s="258">
        <v>83.356543929643635</v>
      </c>
      <c r="G378" s="266">
        <f t="shared" si="116"/>
        <v>11.996658604800617</v>
      </c>
      <c r="H378" s="265">
        <f t="shared" si="117"/>
        <v>0.35758706467661688</v>
      </c>
      <c r="I378" s="265">
        <f t="shared" si="118"/>
        <v>0.2790178571428571</v>
      </c>
      <c r="J378" s="265">
        <f t="shared" si="119"/>
        <v>0.14172335600907029</v>
      </c>
      <c r="K378" s="258">
        <f t="shared" ca="1" si="120"/>
        <v>44.627570009858296</v>
      </c>
      <c r="L378" s="265">
        <f t="shared" si="121"/>
        <v>2.5249365671641786</v>
      </c>
      <c r="M378" s="265">
        <f t="shared" si="122"/>
        <v>1.500803571428571</v>
      </c>
      <c r="N378" s="265">
        <f t="shared" si="123"/>
        <v>0.82693877551020412</v>
      </c>
      <c r="O378" s="265">
        <f t="shared" ca="1" si="124"/>
        <v>49.480248923961248</v>
      </c>
      <c r="P378" s="265">
        <f t="shared" ca="1" si="125"/>
        <v>3.873213286131997</v>
      </c>
      <c r="Q378" s="258">
        <f t="shared" ca="1" si="126"/>
        <v>27.2324150328974</v>
      </c>
      <c r="R378" s="265">
        <f t="shared" si="127"/>
        <v>2.5249365671641786</v>
      </c>
      <c r="S378" s="265">
        <f t="shared" si="128"/>
        <v>1.500803571428571</v>
      </c>
      <c r="T378" s="265">
        <f t="shared" si="129"/>
        <v>0.82693877551020412</v>
      </c>
      <c r="U378" s="265">
        <f t="shared" ca="1" si="130"/>
        <v>32.085093947000352</v>
      </c>
      <c r="V378" s="265">
        <f t="shared" ca="1" si="131"/>
        <v>2.5115559210967322</v>
      </c>
      <c r="W378" s="258">
        <f t="shared" ca="1" si="132"/>
        <v>6.6941355014787449</v>
      </c>
      <c r="X378" s="265">
        <f t="shared" si="133"/>
        <v>2.5249365671641786</v>
      </c>
      <c r="Y378" s="265">
        <f t="shared" si="134"/>
        <v>1.500803571428571</v>
      </c>
      <c r="Z378" s="265">
        <f t="shared" si="135"/>
        <v>0.82693877551020412</v>
      </c>
      <c r="AA378" s="265">
        <f t="shared" ca="1" si="136"/>
        <v>11.546814415581698</v>
      </c>
      <c r="AB378" s="265">
        <f t="shared" ca="1" si="137"/>
        <v>0.90386115631026787</v>
      </c>
      <c r="AC378" s="258"/>
      <c r="AD378" s="258"/>
      <c r="AE378" s="258"/>
      <c r="AF378" s="258"/>
      <c r="AG378" s="258"/>
      <c r="AH378" s="258"/>
      <c r="AI378" s="258"/>
      <c r="AJ378" s="258"/>
      <c r="AK378" s="258"/>
      <c r="AL378" s="258"/>
      <c r="AM378" s="258"/>
    </row>
    <row r="379" spans="3:39" x14ac:dyDescent="0.25">
      <c r="C379" s="255" t="s">
        <v>6312</v>
      </c>
      <c r="D379" s="258">
        <v>3.9249999999999998</v>
      </c>
      <c r="E379" s="258">
        <v>0.46369907566985347</v>
      </c>
      <c r="F379" s="258">
        <v>118.13989189040853</v>
      </c>
      <c r="G379" s="266">
        <f t="shared" si="116"/>
        <v>8.4645413500770896</v>
      </c>
      <c r="H379" s="265">
        <f t="shared" si="117"/>
        <v>0.35758706467661688</v>
      </c>
      <c r="I379" s="265">
        <f t="shared" si="118"/>
        <v>0.2790178571428571</v>
      </c>
      <c r="J379" s="265">
        <f t="shared" si="119"/>
        <v>0.14172335600907029</v>
      </c>
      <c r="K379" s="258">
        <f t="shared" ca="1" si="120"/>
        <v>31.488093822286775</v>
      </c>
      <c r="L379" s="265">
        <f t="shared" si="121"/>
        <v>2.5249365671641786</v>
      </c>
      <c r="M379" s="265">
        <f t="shared" si="122"/>
        <v>1.500803571428571</v>
      </c>
      <c r="N379" s="265">
        <f t="shared" si="123"/>
        <v>0.82693877551020412</v>
      </c>
      <c r="O379" s="265">
        <f t="shared" ca="1" si="124"/>
        <v>36.340772736389731</v>
      </c>
      <c r="P379" s="265">
        <f t="shared" ca="1" si="125"/>
        <v>3.9317629912977883</v>
      </c>
      <c r="Q379" s="258">
        <f t="shared" ca="1" si="126"/>
        <v>19.214508864674993</v>
      </c>
      <c r="R379" s="265">
        <f t="shared" si="127"/>
        <v>2.5249365671641786</v>
      </c>
      <c r="S379" s="265">
        <f t="shared" si="128"/>
        <v>1.500803571428571</v>
      </c>
      <c r="T379" s="265">
        <f t="shared" si="129"/>
        <v>0.82693877551020412</v>
      </c>
      <c r="U379" s="265">
        <f t="shared" ca="1" si="130"/>
        <v>24.067187778777946</v>
      </c>
      <c r="V379" s="265">
        <f t="shared" ca="1" si="131"/>
        <v>2.6038653305371131</v>
      </c>
      <c r="W379" s="258">
        <f t="shared" ca="1" si="132"/>
        <v>4.7232140733430166</v>
      </c>
      <c r="X379" s="265">
        <f t="shared" si="133"/>
        <v>2.5249365671641786</v>
      </c>
      <c r="Y379" s="265">
        <f t="shared" si="134"/>
        <v>1.500803571428571</v>
      </c>
      <c r="Z379" s="265">
        <f t="shared" si="135"/>
        <v>0.82693877551020412</v>
      </c>
      <c r="AA379" s="265">
        <f t="shared" ca="1" si="136"/>
        <v>9.57589298744597</v>
      </c>
      <c r="AB379" s="265">
        <f t="shared" ca="1" si="137"/>
        <v>1.0360302993493371</v>
      </c>
      <c r="AC379" s="258"/>
      <c r="AD379" s="258"/>
      <c r="AE379" s="258"/>
      <c r="AF379" s="258"/>
      <c r="AG379" s="258"/>
      <c r="AH379" s="258"/>
      <c r="AI379" s="258"/>
      <c r="AJ379" s="258"/>
      <c r="AK379" s="258"/>
      <c r="AL379" s="258"/>
      <c r="AM379" s="258"/>
    </row>
    <row r="380" spans="3:39" x14ac:dyDescent="0.25">
      <c r="C380" s="255" t="s">
        <v>6313</v>
      </c>
      <c r="D380" s="258">
        <v>7.0650000000000004</v>
      </c>
      <c r="E380" s="258">
        <v>0.3449468733641593</v>
      </c>
      <c r="F380" s="258">
        <v>48.824752068529264</v>
      </c>
      <c r="G380" s="266">
        <f t="shared" si="116"/>
        <v>20.481414807727514</v>
      </c>
      <c r="H380" s="265">
        <f t="shared" si="117"/>
        <v>0.35758706467661688</v>
      </c>
      <c r="I380" s="265">
        <f t="shared" si="118"/>
        <v>0.2790178571428571</v>
      </c>
      <c r="J380" s="265">
        <f t="shared" si="119"/>
        <v>0.14172335600907029</v>
      </c>
      <c r="K380" s="258">
        <f t="shared" ca="1" si="120"/>
        <v>76.190863084746354</v>
      </c>
      <c r="L380" s="265">
        <f t="shared" si="121"/>
        <v>2.5249365671641786</v>
      </c>
      <c r="M380" s="265">
        <f t="shared" si="122"/>
        <v>1.500803571428571</v>
      </c>
      <c r="N380" s="265">
        <f t="shared" si="123"/>
        <v>0.82693877551020412</v>
      </c>
      <c r="O380" s="265">
        <f t="shared" ca="1" si="124"/>
        <v>81.043541998849307</v>
      </c>
      <c r="P380" s="265">
        <f t="shared" ca="1" si="125"/>
        <v>3.8120659159757464</v>
      </c>
      <c r="Q380" s="258">
        <f t="shared" ca="1" si="126"/>
        <v>46.492811613541456</v>
      </c>
      <c r="R380" s="265">
        <f t="shared" si="127"/>
        <v>2.5249365671641786</v>
      </c>
      <c r="S380" s="265">
        <f t="shared" si="128"/>
        <v>1.500803571428571</v>
      </c>
      <c r="T380" s="265">
        <f t="shared" si="129"/>
        <v>0.82693877551020412</v>
      </c>
      <c r="U380" s="265">
        <f t="shared" ca="1" si="130"/>
        <v>51.345490527644408</v>
      </c>
      <c r="V380" s="265">
        <f t="shared" ca="1" si="131"/>
        <v>2.4151510355046906</v>
      </c>
      <c r="W380" s="258">
        <f t="shared" ca="1" si="132"/>
        <v>11.428629462711953</v>
      </c>
      <c r="X380" s="265">
        <f t="shared" si="133"/>
        <v>2.5249365671641786</v>
      </c>
      <c r="Y380" s="265">
        <f t="shared" si="134"/>
        <v>1.500803571428571</v>
      </c>
      <c r="Z380" s="265">
        <f t="shared" si="135"/>
        <v>0.82693877551020412</v>
      </c>
      <c r="AA380" s="265">
        <f t="shared" ca="1" si="136"/>
        <v>16.281308376814909</v>
      </c>
      <c r="AB380" s="265">
        <f t="shared" ca="1" si="137"/>
        <v>0.76582808697610671</v>
      </c>
      <c r="AC380" s="258"/>
      <c r="AD380" s="258"/>
      <c r="AE380" s="258"/>
      <c r="AF380" s="258"/>
      <c r="AG380" s="258"/>
      <c r="AH380" s="258"/>
      <c r="AI380" s="258"/>
      <c r="AJ380" s="258"/>
      <c r="AK380" s="258"/>
      <c r="AL380" s="258"/>
      <c r="AM380" s="258"/>
    </row>
    <row r="381" spans="3:39" x14ac:dyDescent="0.25">
      <c r="C381" s="255" t="s">
        <v>6314</v>
      </c>
      <c r="D381" s="258">
        <v>5.4950000000000001</v>
      </c>
      <c r="E381" s="258">
        <v>0.35060174014062084</v>
      </c>
      <c r="F381" s="258">
        <v>63.803774365900068</v>
      </c>
      <c r="G381" s="266">
        <f t="shared" si="116"/>
        <v>15.673053983691132</v>
      </c>
      <c r="H381" s="265">
        <f t="shared" si="117"/>
        <v>0.35758706467661688</v>
      </c>
      <c r="I381" s="265">
        <f t="shared" si="118"/>
        <v>0.2790178571428571</v>
      </c>
      <c r="J381" s="265">
        <f t="shared" si="119"/>
        <v>0.14172335600907029</v>
      </c>
      <c r="K381" s="258">
        <f t="shared" ca="1" si="120"/>
        <v>58.303760819331011</v>
      </c>
      <c r="L381" s="265">
        <f t="shared" si="121"/>
        <v>2.5249365671641786</v>
      </c>
      <c r="M381" s="265">
        <f t="shared" si="122"/>
        <v>1.500803571428571</v>
      </c>
      <c r="N381" s="265">
        <f t="shared" si="123"/>
        <v>0.82693877551020412</v>
      </c>
      <c r="O381" s="265">
        <f t="shared" ca="1" si="124"/>
        <v>63.156439733433963</v>
      </c>
      <c r="P381" s="265">
        <f t="shared" ca="1" si="125"/>
        <v>3.838974666655151</v>
      </c>
      <c r="Q381" s="258">
        <f t="shared" ca="1" si="126"/>
        <v>35.577832542978868</v>
      </c>
      <c r="R381" s="265">
        <f t="shared" si="127"/>
        <v>2.5249365671641786</v>
      </c>
      <c r="S381" s="265">
        <f t="shared" si="128"/>
        <v>1.500803571428571</v>
      </c>
      <c r="T381" s="265">
        <f t="shared" si="129"/>
        <v>0.82693877551020412</v>
      </c>
      <c r="U381" s="265">
        <f t="shared" ca="1" si="130"/>
        <v>40.43051145708182</v>
      </c>
      <c r="V381" s="265">
        <f t="shared" ca="1" si="131"/>
        <v>2.4575753462157475</v>
      </c>
      <c r="W381" s="258">
        <f t="shared" ca="1" si="132"/>
        <v>8.745564122899653</v>
      </c>
      <c r="X381" s="265">
        <f t="shared" si="133"/>
        <v>2.5249365671641786</v>
      </c>
      <c r="Y381" s="265">
        <f t="shared" si="134"/>
        <v>1.500803571428571</v>
      </c>
      <c r="Z381" s="265">
        <f t="shared" si="135"/>
        <v>0.82693877551020412</v>
      </c>
      <c r="AA381" s="265">
        <f t="shared" ca="1" si="136"/>
        <v>13.598243037002607</v>
      </c>
      <c r="AB381" s="265">
        <f t="shared" ca="1" si="137"/>
        <v>0.82657145891074124</v>
      </c>
      <c r="AC381" s="258"/>
      <c r="AD381" s="258"/>
      <c r="AE381" s="258"/>
      <c r="AF381" s="258"/>
      <c r="AG381" s="258"/>
      <c r="AH381" s="258"/>
      <c r="AI381" s="258"/>
      <c r="AJ381" s="258"/>
      <c r="AK381" s="258"/>
      <c r="AL381" s="258"/>
      <c r="AM381" s="258"/>
    </row>
    <row r="382" spans="3:39" x14ac:dyDescent="0.25">
      <c r="C382" s="255" t="s">
        <v>6315</v>
      </c>
      <c r="D382" s="258">
        <v>4.71</v>
      </c>
      <c r="E382" s="258">
        <v>0.3562566069170825</v>
      </c>
      <c r="F382" s="258">
        <v>75.638345417639599</v>
      </c>
      <c r="G382" s="266">
        <f t="shared" si="116"/>
        <v>13.220807442025171</v>
      </c>
      <c r="H382" s="265">
        <f t="shared" si="117"/>
        <v>0.35758706467661688</v>
      </c>
      <c r="I382" s="265">
        <f t="shared" si="118"/>
        <v>0.2790178571428571</v>
      </c>
      <c r="J382" s="265">
        <f t="shared" si="119"/>
        <v>0.14172335600907029</v>
      </c>
      <c r="K382" s="258">
        <f t="shared" ca="1" si="120"/>
        <v>49.181403684333638</v>
      </c>
      <c r="L382" s="265">
        <f t="shared" si="121"/>
        <v>2.5249365671641786</v>
      </c>
      <c r="M382" s="265">
        <f t="shared" si="122"/>
        <v>1.500803571428571</v>
      </c>
      <c r="N382" s="265">
        <f t="shared" si="123"/>
        <v>0.82693877551020412</v>
      </c>
      <c r="O382" s="265">
        <f t="shared" ca="1" si="124"/>
        <v>54.034082598436591</v>
      </c>
      <c r="P382" s="265">
        <f t="shared" ca="1" si="125"/>
        <v>3.8598156114598496</v>
      </c>
      <c r="Q382" s="258">
        <f t="shared" ca="1" si="126"/>
        <v>30.011232893397139</v>
      </c>
      <c r="R382" s="265">
        <f t="shared" si="127"/>
        <v>2.5249365671641786</v>
      </c>
      <c r="S382" s="265">
        <f t="shared" si="128"/>
        <v>1.500803571428571</v>
      </c>
      <c r="T382" s="265">
        <f t="shared" si="129"/>
        <v>0.82693877551020412</v>
      </c>
      <c r="U382" s="265">
        <f t="shared" ca="1" si="130"/>
        <v>34.863911807500095</v>
      </c>
      <c r="V382" s="265">
        <f t="shared" ca="1" si="131"/>
        <v>2.4904331599597072</v>
      </c>
      <c r="W382" s="258">
        <f t="shared" ca="1" si="132"/>
        <v>7.3772105526500464</v>
      </c>
      <c r="X382" s="265">
        <f t="shared" si="133"/>
        <v>2.5249365671641786</v>
      </c>
      <c r="Y382" s="265">
        <f t="shared" si="134"/>
        <v>1.500803571428571</v>
      </c>
      <c r="Z382" s="265">
        <f t="shared" si="135"/>
        <v>0.82693877551020412</v>
      </c>
      <c r="AA382" s="265">
        <f t="shared" ca="1" si="136"/>
        <v>12.229889466753001</v>
      </c>
      <c r="AB382" s="265">
        <f t="shared" ca="1" si="137"/>
        <v>0.87361746549884856</v>
      </c>
      <c r="AC382" s="258"/>
      <c r="AD382" s="258"/>
      <c r="AE382" s="258"/>
      <c r="AF382" s="258"/>
      <c r="AG382" s="258"/>
      <c r="AH382" s="258"/>
      <c r="AI382" s="258"/>
      <c r="AJ382" s="258"/>
      <c r="AK382" s="258"/>
      <c r="AL382" s="258"/>
      <c r="AM382" s="258"/>
    </row>
    <row r="383" spans="3:39" x14ac:dyDescent="0.25">
      <c r="C383" s="255" t="s">
        <v>6316</v>
      </c>
      <c r="D383" s="258">
        <v>3.9249999999999998</v>
      </c>
      <c r="E383" s="258">
        <v>0.36065483663210818</v>
      </c>
      <c r="F383" s="258">
        <v>91.886582581428854</v>
      </c>
      <c r="G383" s="266">
        <f t="shared" si="116"/>
        <v>10.882981735813402</v>
      </c>
      <c r="H383" s="265">
        <f t="shared" si="117"/>
        <v>0.35758706467661688</v>
      </c>
      <c r="I383" s="265">
        <f t="shared" si="118"/>
        <v>0.2790178571428571</v>
      </c>
      <c r="J383" s="265">
        <f t="shared" si="119"/>
        <v>0.14172335600907029</v>
      </c>
      <c r="K383" s="258">
        <f t="shared" ca="1" si="120"/>
        <v>40.484692057225857</v>
      </c>
      <c r="L383" s="265">
        <f t="shared" si="121"/>
        <v>2.5249365671641786</v>
      </c>
      <c r="M383" s="265">
        <f t="shared" si="122"/>
        <v>1.500803571428571</v>
      </c>
      <c r="N383" s="265">
        <f t="shared" si="123"/>
        <v>0.82693877551020412</v>
      </c>
      <c r="O383" s="265">
        <f t="shared" ca="1" si="124"/>
        <v>45.337370971328809</v>
      </c>
      <c r="P383" s="265">
        <f t="shared" ca="1" si="125"/>
        <v>3.887845440888805</v>
      </c>
      <c r="Q383" s="258">
        <f t="shared" ca="1" si="126"/>
        <v>24.704368540296421</v>
      </c>
      <c r="R383" s="265">
        <f t="shared" si="127"/>
        <v>2.5249365671641786</v>
      </c>
      <c r="S383" s="265">
        <f t="shared" si="128"/>
        <v>1.500803571428571</v>
      </c>
      <c r="T383" s="265">
        <f t="shared" si="129"/>
        <v>0.82693877551020412</v>
      </c>
      <c r="U383" s="265">
        <f t="shared" ca="1" si="130"/>
        <v>29.557047454399374</v>
      </c>
      <c r="V383" s="265">
        <f t="shared" ca="1" si="131"/>
        <v>2.5346249623603314</v>
      </c>
      <c r="W383" s="258">
        <f t="shared" ca="1" si="132"/>
        <v>6.0727038085838787</v>
      </c>
      <c r="X383" s="265">
        <f t="shared" si="133"/>
        <v>2.5249365671641786</v>
      </c>
      <c r="Y383" s="265">
        <f t="shared" si="134"/>
        <v>1.500803571428571</v>
      </c>
      <c r="Z383" s="265">
        <f t="shared" si="135"/>
        <v>0.82693877551020412</v>
      </c>
      <c r="AA383" s="265">
        <f t="shared" ca="1" si="136"/>
        <v>10.925382722686832</v>
      </c>
      <c r="AB383" s="265">
        <f t="shared" ca="1" si="137"/>
        <v>0.9368915421942996</v>
      </c>
      <c r="AC383" s="258"/>
      <c r="AD383" s="258"/>
      <c r="AE383" s="258"/>
      <c r="AF383" s="258"/>
      <c r="AG383" s="258"/>
      <c r="AH383" s="258"/>
      <c r="AI383" s="258"/>
      <c r="AJ383" s="258"/>
      <c r="AK383" s="258"/>
      <c r="AL383" s="258"/>
      <c r="AM383" s="258"/>
    </row>
    <row r="384" spans="3:39" x14ac:dyDescent="0.25">
      <c r="C384" s="255" t="s">
        <v>6317</v>
      </c>
      <c r="D384" s="258">
        <v>3.14</v>
      </c>
      <c r="E384" s="258">
        <v>0.36442474781641598</v>
      </c>
      <c r="F384" s="258">
        <v>116.0588368842089</v>
      </c>
      <c r="G384" s="266">
        <f t="shared" si="116"/>
        <v>8.616319332906059</v>
      </c>
      <c r="H384" s="265">
        <f t="shared" si="117"/>
        <v>0.35758706467661688</v>
      </c>
      <c r="I384" s="265">
        <f t="shared" si="118"/>
        <v>0.2790178571428571</v>
      </c>
      <c r="J384" s="265">
        <f t="shared" si="119"/>
        <v>0.14172335600907029</v>
      </c>
      <c r="K384" s="258">
        <f t="shared" ca="1" si="120"/>
        <v>32.05270791841054</v>
      </c>
      <c r="L384" s="265">
        <f t="shared" si="121"/>
        <v>2.5249365671641786</v>
      </c>
      <c r="M384" s="265">
        <f t="shared" si="122"/>
        <v>1.500803571428571</v>
      </c>
      <c r="N384" s="265">
        <f t="shared" si="123"/>
        <v>0.82693877551020412</v>
      </c>
      <c r="O384" s="265">
        <f t="shared" ca="1" si="124"/>
        <v>36.905386832513493</v>
      </c>
      <c r="P384" s="265">
        <f t="shared" ca="1" si="125"/>
        <v>3.9283417922290456</v>
      </c>
      <c r="Q384" s="258">
        <f t="shared" ca="1" si="126"/>
        <v>19.559044885696753</v>
      </c>
      <c r="R384" s="265">
        <f t="shared" si="127"/>
        <v>2.5249365671641786</v>
      </c>
      <c r="S384" s="265">
        <f t="shared" si="128"/>
        <v>1.500803571428571</v>
      </c>
      <c r="T384" s="265">
        <f t="shared" si="129"/>
        <v>0.82693877551020412</v>
      </c>
      <c r="U384" s="265">
        <f t="shared" ca="1" si="130"/>
        <v>24.411723799799706</v>
      </c>
      <c r="V384" s="265">
        <f t="shared" ca="1" si="131"/>
        <v>2.5984714713414205</v>
      </c>
      <c r="W384" s="258">
        <f t="shared" ca="1" si="132"/>
        <v>4.8079061877615814</v>
      </c>
      <c r="X384" s="265">
        <f t="shared" si="133"/>
        <v>2.5249365671641786</v>
      </c>
      <c r="Y384" s="265">
        <f t="shared" si="134"/>
        <v>1.500803571428571</v>
      </c>
      <c r="Z384" s="265">
        <f t="shared" si="135"/>
        <v>0.82693877551020412</v>
      </c>
      <c r="AA384" s="265">
        <f t="shared" ca="1" si="136"/>
        <v>9.6605851018645357</v>
      </c>
      <c r="AB384" s="265">
        <f t="shared" ca="1" si="137"/>
        <v>1.0283073407485837</v>
      </c>
      <c r="AC384" s="258"/>
      <c r="AD384" s="258"/>
      <c r="AE384" s="258"/>
      <c r="AF384" s="258"/>
      <c r="AG384" s="258"/>
      <c r="AH384" s="258"/>
      <c r="AI384" s="258"/>
      <c r="AJ384" s="258"/>
      <c r="AK384" s="258"/>
      <c r="AL384" s="258"/>
      <c r="AM384" s="258"/>
    </row>
    <row r="385" spans="3:39" x14ac:dyDescent="0.25">
      <c r="C385" s="255" t="s">
        <v>6318</v>
      </c>
      <c r="D385" s="258">
        <v>5.4950000000000001</v>
      </c>
      <c r="E385" s="258">
        <v>0.26954864967800424</v>
      </c>
      <c r="F385" s="258">
        <v>49.053439431847906</v>
      </c>
      <c r="G385" s="266">
        <f t="shared" si="116"/>
        <v>20.385930356409439</v>
      </c>
      <c r="H385" s="265">
        <f t="shared" si="117"/>
        <v>0.35758706467661688</v>
      </c>
      <c r="I385" s="265">
        <f t="shared" si="118"/>
        <v>0.2790178571428571</v>
      </c>
      <c r="J385" s="265">
        <f t="shared" si="119"/>
        <v>0.14172335600907029</v>
      </c>
      <c r="K385" s="258">
        <f t="shared" ca="1" si="120"/>
        <v>75.835660925843115</v>
      </c>
      <c r="L385" s="265">
        <f t="shared" si="121"/>
        <v>2.5249365671641786</v>
      </c>
      <c r="M385" s="265">
        <f t="shared" si="122"/>
        <v>1.500803571428571</v>
      </c>
      <c r="N385" s="265">
        <f t="shared" si="123"/>
        <v>0.82693877551020412</v>
      </c>
      <c r="O385" s="265">
        <f t="shared" ca="1" si="124"/>
        <v>80.688339839946067</v>
      </c>
      <c r="P385" s="265">
        <f t="shared" ca="1" si="125"/>
        <v>3.812481279614226</v>
      </c>
      <c r="Q385" s="258">
        <f t="shared" ca="1" si="126"/>
        <v>46.276061909049425</v>
      </c>
      <c r="R385" s="265">
        <f t="shared" si="127"/>
        <v>2.5249365671641786</v>
      </c>
      <c r="S385" s="265">
        <f t="shared" si="128"/>
        <v>1.500803571428571</v>
      </c>
      <c r="T385" s="265">
        <f t="shared" si="129"/>
        <v>0.82693877551020412</v>
      </c>
      <c r="U385" s="265">
        <f t="shared" ca="1" si="130"/>
        <v>51.128740823152377</v>
      </c>
      <c r="V385" s="265">
        <f t="shared" ca="1" si="131"/>
        <v>2.4158058974218002</v>
      </c>
      <c r="W385" s="258">
        <f t="shared" ca="1" si="132"/>
        <v>11.375349138876468</v>
      </c>
      <c r="X385" s="265">
        <f t="shared" si="133"/>
        <v>2.5249365671641786</v>
      </c>
      <c r="Y385" s="265">
        <f t="shared" si="134"/>
        <v>1.500803571428571</v>
      </c>
      <c r="Z385" s="265">
        <f t="shared" si="135"/>
        <v>0.82693877551020412</v>
      </c>
      <c r="AA385" s="265">
        <f t="shared" ca="1" si="136"/>
        <v>16.228028052979422</v>
      </c>
      <c r="AB385" s="265">
        <f t="shared" ca="1" si="137"/>
        <v>0.76676572203322579</v>
      </c>
      <c r="AC385" s="258"/>
      <c r="AD385" s="258"/>
      <c r="AE385" s="258"/>
      <c r="AF385" s="258"/>
      <c r="AG385" s="258"/>
      <c r="AH385" s="258"/>
      <c r="AI385" s="258"/>
      <c r="AJ385" s="258"/>
      <c r="AK385" s="258"/>
      <c r="AL385" s="258"/>
      <c r="AM385" s="258"/>
    </row>
    <row r="386" spans="3:39" x14ac:dyDescent="0.25">
      <c r="C386" s="255" t="s">
        <v>6319</v>
      </c>
      <c r="D386" s="258">
        <v>3.9249999999999998</v>
      </c>
      <c r="E386" s="258">
        <v>0.27834510910805565</v>
      </c>
      <c r="F386" s="258">
        <v>70.91595136510972</v>
      </c>
      <c r="G386" s="266">
        <f t="shared" si="116"/>
        <v>14.101199811189373</v>
      </c>
      <c r="H386" s="265">
        <f t="shared" si="117"/>
        <v>0.35758706467661688</v>
      </c>
      <c r="I386" s="265">
        <f t="shared" si="118"/>
        <v>0.2790178571428571</v>
      </c>
      <c r="J386" s="265">
        <f t="shared" si="119"/>
        <v>0.14172335600907029</v>
      </c>
      <c r="K386" s="258">
        <f t="shared" ca="1" si="120"/>
        <v>52.456463297624467</v>
      </c>
      <c r="L386" s="265">
        <f t="shared" si="121"/>
        <v>2.5249365671641786</v>
      </c>
      <c r="M386" s="265">
        <f t="shared" si="122"/>
        <v>1.500803571428571</v>
      </c>
      <c r="N386" s="265">
        <f t="shared" si="123"/>
        <v>0.82693877551020412</v>
      </c>
      <c r="O386" s="265">
        <f t="shared" ca="1" si="124"/>
        <v>57.309142211727419</v>
      </c>
      <c r="P386" s="265">
        <f t="shared" ca="1" si="125"/>
        <v>3.8515429971213524</v>
      </c>
      <c r="Q386" s="258">
        <f t="shared" ca="1" si="126"/>
        <v>32.009723571399874</v>
      </c>
      <c r="R386" s="265">
        <f t="shared" si="127"/>
        <v>2.5249365671641786</v>
      </c>
      <c r="S386" s="265">
        <f t="shared" si="128"/>
        <v>1.500803571428571</v>
      </c>
      <c r="T386" s="265">
        <f t="shared" si="129"/>
        <v>0.82693877551020412</v>
      </c>
      <c r="U386" s="265">
        <f t="shared" ca="1" si="130"/>
        <v>36.862402485502827</v>
      </c>
      <c r="V386" s="265">
        <f t="shared" ca="1" si="131"/>
        <v>2.4773905640669973</v>
      </c>
      <c r="W386" s="258">
        <f t="shared" ca="1" si="132"/>
        <v>7.8684694946436711</v>
      </c>
      <c r="X386" s="265">
        <f t="shared" si="133"/>
        <v>2.5249365671641786</v>
      </c>
      <c r="Y386" s="265">
        <f t="shared" si="134"/>
        <v>1.500803571428571</v>
      </c>
      <c r="Z386" s="265">
        <f t="shared" si="135"/>
        <v>0.82693877551020412</v>
      </c>
      <c r="AA386" s="265">
        <f t="shared" ca="1" si="136"/>
        <v>12.721148408746625</v>
      </c>
      <c r="AB386" s="265">
        <f t="shared" ca="1" si="137"/>
        <v>0.85494300172971749</v>
      </c>
      <c r="AC386" s="258"/>
      <c r="AD386" s="258"/>
      <c r="AE386" s="258"/>
      <c r="AF386" s="258"/>
      <c r="AG386" s="258"/>
      <c r="AH386" s="258"/>
      <c r="AI386" s="258"/>
      <c r="AJ386" s="258"/>
      <c r="AK386" s="258"/>
      <c r="AL386" s="258"/>
      <c r="AM386" s="258"/>
    </row>
    <row r="387" spans="3:39" x14ac:dyDescent="0.25">
      <c r="C387" s="255" t="s">
        <v>6320</v>
      </c>
      <c r="D387" s="258">
        <v>3.14</v>
      </c>
      <c r="E387" s="258">
        <v>0.28337165735379932</v>
      </c>
      <c r="F387" s="258">
        <v>90.245750749617628</v>
      </c>
      <c r="G387" s="266">
        <f t="shared" si="116"/>
        <v>11.080854131010009</v>
      </c>
      <c r="H387" s="265">
        <f t="shared" si="117"/>
        <v>0.35758706467661688</v>
      </c>
      <c r="I387" s="265">
        <f t="shared" si="118"/>
        <v>0.2790178571428571</v>
      </c>
      <c r="J387" s="265">
        <f t="shared" si="119"/>
        <v>0.14172335600907029</v>
      </c>
      <c r="K387" s="258">
        <f t="shared" ca="1" si="120"/>
        <v>41.220777367357236</v>
      </c>
      <c r="L387" s="265">
        <f t="shared" si="121"/>
        <v>2.5249365671641786</v>
      </c>
      <c r="M387" s="265">
        <f t="shared" si="122"/>
        <v>1.500803571428571</v>
      </c>
      <c r="N387" s="265">
        <f t="shared" si="123"/>
        <v>0.82693877551020412</v>
      </c>
      <c r="O387" s="265">
        <f t="shared" ca="1" si="124"/>
        <v>46.073456281460189</v>
      </c>
      <c r="P387" s="265">
        <f t="shared" ca="1" si="125"/>
        <v>3.8850449122969906</v>
      </c>
      <c r="Q387" s="258">
        <f t="shared" ca="1" si="126"/>
        <v>25.15353887739272</v>
      </c>
      <c r="R387" s="265">
        <f t="shared" si="127"/>
        <v>2.5249365671641786</v>
      </c>
      <c r="S387" s="265">
        <f t="shared" si="128"/>
        <v>1.500803571428571</v>
      </c>
      <c r="T387" s="265">
        <f t="shared" si="129"/>
        <v>0.82693877551020412</v>
      </c>
      <c r="U387" s="265">
        <f t="shared" ca="1" si="130"/>
        <v>30.006217791495672</v>
      </c>
      <c r="V387" s="265">
        <f t="shared" ca="1" si="131"/>
        <v>2.5302096516478474</v>
      </c>
      <c r="W387" s="258">
        <f t="shared" ca="1" si="132"/>
        <v>6.1831166051035851</v>
      </c>
      <c r="X387" s="265">
        <f t="shared" si="133"/>
        <v>2.5249365671641786</v>
      </c>
      <c r="Y387" s="265">
        <f t="shared" si="134"/>
        <v>1.500803571428571</v>
      </c>
      <c r="Z387" s="265">
        <f t="shared" si="135"/>
        <v>0.82693877551020412</v>
      </c>
      <c r="AA387" s="265">
        <f t="shared" ca="1" si="136"/>
        <v>11.035795519206539</v>
      </c>
      <c r="AB387" s="265">
        <f t="shared" ca="1" si="137"/>
        <v>0.93056967493658327</v>
      </c>
      <c r="AC387" s="258"/>
      <c r="AD387" s="258"/>
      <c r="AE387" s="258"/>
      <c r="AF387" s="258"/>
      <c r="AG387" s="258"/>
      <c r="AH387" s="258"/>
      <c r="AI387" s="258"/>
      <c r="AJ387" s="258"/>
      <c r="AK387" s="258"/>
      <c r="AL387" s="258"/>
      <c r="AM387" s="258"/>
    </row>
    <row r="388" spans="3:39" x14ac:dyDescent="0.25">
      <c r="C388" s="255" t="s">
        <v>6321</v>
      </c>
      <c r="D388" s="258">
        <v>3.14</v>
      </c>
      <c r="E388" s="258">
        <v>0.28525661294595317</v>
      </c>
      <c r="F388" s="258">
        <v>90.846055078329044</v>
      </c>
      <c r="G388" s="266">
        <f t="shared" si="116"/>
        <v>11.007632627941662</v>
      </c>
      <c r="H388" s="265">
        <f t="shared" si="117"/>
        <v>0.35758706467661688</v>
      </c>
      <c r="I388" s="265">
        <f t="shared" si="118"/>
        <v>0.2790178571428571</v>
      </c>
      <c r="J388" s="265">
        <f t="shared" si="119"/>
        <v>0.14172335600907029</v>
      </c>
      <c r="K388" s="258">
        <f t="shared" ca="1" si="120"/>
        <v>40.948393375942985</v>
      </c>
      <c r="L388" s="265">
        <f t="shared" si="121"/>
        <v>2.5249365671641786</v>
      </c>
      <c r="M388" s="265">
        <f t="shared" si="122"/>
        <v>1.500803571428571</v>
      </c>
      <c r="N388" s="265">
        <f t="shared" si="123"/>
        <v>0.82693877551020412</v>
      </c>
      <c r="O388" s="265">
        <f t="shared" ca="1" si="124"/>
        <v>45.801072290045937</v>
      </c>
      <c r="P388" s="265">
        <f t="shared" ca="1" si="125"/>
        <v>3.8860702709121075</v>
      </c>
      <c r="Q388" s="258">
        <f t="shared" ca="1" si="126"/>
        <v>24.987326065427574</v>
      </c>
      <c r="R388" s="265">
        <f t="shared" si="127"/>
        <v>2.5249365671641786</v>
      </c>
      <c r="S388" s="265">
        <f t="shared" si="128"/>
        <v>1.500803571428571</v>
      </c>
      <c r="T388" s="265">
        <f t="shared" si="129"/>
        <v>0.82693877551020412</v>
      </c>
      <c r="U388" s="265">
        <f t="shared" ca="1" si="130"/>
        <v>29.840004979530526</v>
      </c>
      <c r="V388" s="265">
        <f t="shared" ca="1" si="131"/>
        <v>2.5318262310645681</v>
      </c>
      <c r="W388" s="258">
        <f t="shared" ca="1" si="132"/>
        <v>6.1422590063914484</v>
      </c>
      <c r="X388" s="265">
        <f t="shared" si="133"/>
        <v>2.5249365671641786</v>
      </c>
      <c r="Y388" s="265">
        <f t="shared" si="134"/>
        <v>1.500803571428571</v>
      </c>
      <c r="Z388" s="265">
        <f t="shared" si="135"/>
        <v>0.82693877551020412</v>
      </c>
      <c r="AA388" s="265">
        <f t="shared" ca="1" si="136"/>
        <v>10.994937920494403</v>
      </c>
      <c r="AB388" s="265">
        <f t="shared" ca="1" si="137"/>
        <v>0.93288430263768041</v>
      </c>
      <c r="AC388" s="258"/>
      <c r="AD388" s="258"/>
      <c r="AE388" s="258"/>
      <c r="AF388" s="258"/>
      <c r="AG388" s="258"/>
      <c r="AH388" s="258"/>
      <c r="AI388" s="258"/>
      <c r="AJ388" s="258"/>
      <c r="AK388" s="258"/>
      <c r="AL388" s="258"/>
      <c r="AM388" s="258"/>
    </row>
    <row r="389" spans="3:39" x14ac:dyDescent="0.25">
      <c r="C389" s="255" t="s">
        <v>6322</v>
      </c>
      <c r="D389" s="258">
        <v>2.355</v>
      </c>
      <c r="E389" s="258">
        <v>0.28902652413026098</v>
      </c>
      <c r="F389" s="258">
        <v>122.72888498100252</v>
      </c>
      <c r="G389" s="266">
        <f t="shared" si="116"/>
        <v>8.1480411082915989</v>
      </c>
      <c r="H389" s="265">
        <f t="shared" si="117"/>
        <v>0.35758706467661688</v>
      </c>
      <c r="I389" s="265">
        <f t="shared" si="118"/>
        <v>0.2790178571428571</v>
      </c>
      <c r="J389" s="265">
        <f t="shared" si="119"/>
        <v>0.14172335600907029</v>
      </c>
      <c r="K389" s="258">
        <f t="shared" ca="1" si="120"/>
        <v>30.31071292284475</v>
      </c>
      <c r="L389" s="265">
        <f t="shared" si="121"/>
        <v>2.5249365671641786</v>
      </c>
      <c r="M389" s="265">
        <f t="shared" si="122"/>
        <v>1.500803571428571</v>
      </c>
      <c r="N389" s="265">
        <f t="shared" si="123"/>
        <v>0.82693877551020412</v>
      </c>
      <c r="O389" s="265">
        <f t="shared" ca="1" si="124"/>
        <v>35.163391836947703</v>
      </c>
      <c r="P389" s="265">
        <f t="shared" ca="1" si="125"/>
        <v>3.9392714233430923</v>
      </c>
      <c r="Q389" s="258">
        <f t="shared" ca="1" si="126"/>
        <v>18.496053315821928</v>
      </c>
      <c r="R389" s="265">
        <f t="shared" si="127"/>
        <v>2.5249365671641786</v>
      </c>
      <c r="S389" s="265">
        <f t="shared" si="128"/>
        <v>1.500803571428571</v>
      </c>
      <c r="T389" s="265">
        <f t="shared" si="129"/>
        <v>0.82693877551020412</v>
      </c>
      <c r="U389" s="265">
        <f t="shared" ca="1" si="130"/>
        <v>23.348732229924881</v>
      </c>
      <c r="V389" s="265">
        <f t="shared" ca="1" si="131"/>
        <v>2.6157031173536764</v>
      </c>
      <c r="W389" s="258">
        <f t="shared" ca="1" si="132"/>
        <v>4.5466069384267129</v>
      </c>
      <c r="X389" s="265">
        <f t="shared" si="133"/>
        <v>2.5249365671641786</v>
      </c>
      <c r="Y389" s="265">
        <f t="shared" si="134"/>
        <v>1.500803571428571</v>
      </c>
      <c r="Z389" s="265">
        <f t="shared" si="135"/>
        <v>0.82693877551020412</v>
      </c>
      <c r="AA389" s="265">
        <f t="shared" ca="1" si="136"/>
        <v>9.3992858525296672</v>
      </c>
      <c r="AB389" s="265">
        <f t="shared" ca="1" si="137"/>
        <v>1.0529797105578977</v>
      </c>
      <c r="AC389" s="258"/>
      <c r="AD389" s="258"/>
      <c r="AE389" s="258"/>
      <c r="AF389" s="258"/>
      <c r="AG389" s="258"/>
      <c r="AH389" s="258"/>
      <c r="AI389" s="258"/>
      <c r="AJ389" s="258"/>
      <c r="AK389" s="258"/>
      <c r="AL389" s="258"/>
      <c r="AM389" s="258"/>
    </row>
    <row r="390" spans="3:39" x14ac:dyDescent="0.25">
      <c r="C390" s="255" t="s">
        <v>6323</v>
      </c>
      <c r="D390" s="258">
        <v>3.14</v>
      </c>
      <c r="E390" s="258">
        <v>0.24127431579569608</v>
      </c>
      <c r="F390" s="258">
        <v>76.838954075062446</v>
      </c>
      <c r="G390" s="266">
        <f t="shared" si="116"/>
        <v>13.014232325743528</v>
      </c>
      <c r="H390" s="265">
        <f t="shared" si="117"/>
        <v>0.35758706467661688</v>
      </c>
      <c r="I390" s="265">
        <f t="shared" si="118"/>
        <v>0.2790178571428571</v>
      </c>
      <c r="J390" s="265">
        <f t="shared" si="119"/>
        <v>0.14172335600907029</v>
      </c>
      <c r="K390" s="258">
        <f t="shared" ca="1" si="120"/>
        <v>48.412944251765929</v>
      </c>
      <c r="L390" s="265">
        <f t="shared" si="121"/>
        <v>2.5249365671641786</v>
      </c>
      <c r="M390" s="265">
        <f t="shared" si="122"/>
        <v>1.500803571428571</v>
      </c>
      <c r="N390" s="265">
        <f t="shared" si="123"/>
        <v>0.82693877551020412</v>
      </c>
      <c r="O390" s="265">
        <f t="shared" ca="1" si="124"/>
        <v>53.265623165868881</v>
      </c>
      <c r="P390" s="265">
        <f t="shared" ca="1" si="125"/>
        <v>3.8619096697732735</v>
      </c>
      <c r="Q390" s="258">
        <f t="shared" ca="1" si="126"/>
        <v>29.542307379437808</v>
      </c>
      <c r="R390" s="265">
        <f t="shared" si="127"/>
        <v>2.5249365671641786</v>
      </c>
      <c r="S390" s="265">
        <f t="shared" si="128"/>
        <v>1.500803571428571</v>
      </c>
      <c r="T390" s="265">
        <f t="shared" si="129"/>
        <v>0.82693877551020412</v>
      </c>
      <c r="U390" s="265">
        <f t="shared" ca="1" si="130"/>
        <v>34.394986293540761</v>
      </c>
      <c r="V390" s="265">
        <f t="shared" ca="1" si="131"/>
        <v>2.4937346503036544</v>
      </c>
      <c r="W390" s="258">
        <f t="shared" ca="1" si="132"/>
        <v>7.2619416377648891</v>
      </c>
      <c r="X390" s="265">
        <f t="shared" si="133"/>
        <v>2.5249365671641786</v>
      </c>
      <c r="Y390" s="265">
        <f t="shared" si="134"/>
        <v>1.500803571428571</v>
      </c>
      <c r="Z390" s="265">
        <f t="shared" si="135"/>
        <v>0.82693877551020412</v>
      </c>
      <c r="AA390" s="265">
        <f t="shared" ca="1" si="136"/>
        <v>12.114620551867842</v>
      </c>
      <c r="AB390" s="265">
        <f t="shared" ca="1" si="137"/>
        <v>0.8783445583505598</v>
      </c>
      <c r="AC390" s="258"/>
      <c r="AD390" s="258"/>
      <c r="AE390" s="258"/>
      <c r="AF390" s="258"/>
      <c r="AG390" s="258"/>
      <c r="AH390" s="258"/>
      <c r="AI390" s="258"/>
      <c r="AJ390" s="258"/>
      <c r="AK390" s="258"/>
      <c r="AL390" s="258"/>
      <c r="AM390" s="258"/>
    </row>
    <row r="391" spans="3:39" x14ac:dyDescent="0.25">
      <c r="C391" s="255" t="s">
        <v>6324</v>
      </c>
      <c r="D391" s="258">
        <v>2.355</v>
      </c>
      <c r="E391" s="258">
        <v>0.24630086404143975</v>
      </c>
      <c r="F391" s="258">
        <v>104.58635415772389</v>
      </c>
      <c r="G391" s="266">
        <f t="shared" si="116"/>
        <v>9.5614768107503458</v>
      </c>
      <c r="H391" s="265">
        <f t="shared" si="117"/>
        <v>0.35758706467661688</v>
      </c>
      <c r="I391" s="265">
        <f t="shared" si="118"/>
        <v>0.2790178571428571</v>
      </c>
      <c r="J391" s="265">
        <f t="shared" si="119"/>
        <v>0.14172335600907029</v>
      </c>
      <c r="K391" s="258">
        <f t="shared" ca="1" si="120"/>
        <v>35.568693735991289</v>
      </c>
      <c r="L391" s="265">
        <f t="shared" si="121"/>
        <v>2.5249365671641786</v>
      </c>
      <c r="M391" s="265">
        <f t="shared" si="122"/>
        <v>1.500803571428571</v>
      </c>
      <c r="N391" s="265">
        <f t="shared" si="123"/>
        <v>0.82693877551020412</v>
      </c>
      <c r="O391" s="265">
        <f t="shared" ca="1" si="124"/>
        <v>40.421372650094241</v>
      </c>
      <c r="P391" s="265">
        <f t="shared" ca="1" si="125"/>
        <v>3.909297351721142</v>
      </c>
      <c r="Q391" s="258">
        <f t="shared" ca="1" si="126"/>
        <v>21.704552360403284</v>
      </c>
      <c r="R391" s="265">
        <f t="shared" si="127"/>
        <v>2.5249365671641786</v>
      </c>
      <c r="S391" s="265">
        <f t="shared" si="128"/>
        <v>1.500803571428571</v>
      </c>
      <c r="T391" s="265">
        <f t="shared" si="129"/>
        <v>0.82693877551020412</v>
      </c>
      <c r="U391" s="265">
        <f t="shared" ca="1" si="130"/>
        <v>26.557231274506236</v>
      </c>
      <c r="V391" s="265">
        <f t="shared" ca="1" si="131"/>
        <v>2.5684460245619851</v>
      </c>
      <c r="W391" s="258">
        <f t="shared" ca="1" si="132"/>
        <v>5.3353040603986939</v>
      </c>
      <c r="X391" s="265">
        <f t="shared" si="133"/>
        <v>2.5249365671641786</v>
      </c>
      <c r="Y391" s="265">
        <f t="shared" si="134"/>
        <v>1.500803571428571</v>
      </c>
      <c r="Z391" s="265">
        <f t="shared" si="135"/>
        <v>0.82693877551020412</v>
      </c>
      <c r="AA391" s="265">
        <f t="shared" ca="1" si="136"/>
        <v>10.187982974501647</v>
      </c>
      <c r="AB391" s="265">
        <f t="shared" ca="1" si="137"/>
        <v>0.98531673346096804</v>
      </c>
      <c r="AC391" s="258"/>
      <c r="AD391" s="258"/>
      <c r="AE391" s="258"/>
      <c r="AF391" s="258"/>
      <c r="AG391" s="258"/>
      <c r="AH391" s="258"/>
      <c r="AI391" s="258"/>
      <c r="AJ391" s="258"/>
      <c r="AK391" s="258"/>
      <c r="AL391" s="258"/>
      <c r="AM391" s="258"/>
    </row>
    <row r="392" spans="3:39" x14ac:dyDescent="0.25">
      <c r="C392" s="255" t="s">
        <v>6325</v>
      </c>
      <c r="D392" s="258">
        <v>2.355</v>
      </c>
      <c r="E392" s="258">
        <v>0.2500707752257475</v>
      </c>
      <c r="F392" s="258">
        <v>106.18716570095435</v>
      </c>
      <c r="G392" s="266">
        <f t="shared" si="116"/>
        <v>9.4173339442566224</v>
      </c>
      <c r="H392" s="265">
        <f t="shared" si="117"/>
        <v>0.35758706467661688</v>
      </c>
      <c r="I392" s="265">
        <f t="shared" si="118"/>
        <v>0.2790178571428571</v>
      </c>
      <c r="J392" s="265">
        <f t="shared" si="119"/>
        <v>0.14172335600907029</v>
      </c>
      <c r="K392" s="258">
        <f t="shared" ca="1" si="120"/>
        <v>35.032482272634638</v>
      </c>
      <c r="L392" s="265">
        <f t="shared" si="121"/>
        <v>2.5249365671641786</v>
      </c>
      <c r="M392" s="265">
        <f t="shared" si="122"/>
        <v>1.500803571428571</v>
      </c>
      <c r="N392" s="265">
        <f t="shared" si="123"/>
        <v>0.82693877551020412</v>
      </c>
      <c r="O392" s="265">
        <f t="shared" ca="1" si="124"/>
        <v>39.885161186737591</v>
      </c>
      <c r="P392" s="265">
        <f t="shared" ca="1" si="125"/>
        <v>3.9119735744423743</v>
      </c>
      <c r="Q392" s="258">
        <f t="shared" ca="1" si="126"/>
        <v>21.377348053462534</v>
      </c>
      <c r="R392" s="265">
        <f t="shared" si="127"/>
        <v>2.5249365671641786</v>
      </c>
      <c r="S392" s="265">
        <f t="shared" si="128"/>
        <v>1.500803571428571</v>
      </c>
      <c r="T392" s="265">
        <f t="shared" si="129"/>
        <v>0.82693877551020412</v>
      </c>
      <c r="U392" s="265">
        <f t="shared" ca="1" si="130"/>
        <v>26.230026967565486</v>
      </c>
      <c r="V392" s="265">
        <f t="shared" ca="1" si="131"/>
        <v>2.5726653547572167</v>
      </c>
      <c r="W392" s="258">
        <f t="shared" ca="1" si="132"/>
        <v>5.2548723408951954</v>
      </c>
      <c r="X392" s="265">
        <f t="shared" si="133"/>
        <v>2.5249365671641786</v>
      </c>
      <c r="Y392" s="265">
        <f t="shared" si="134"/>
        <v>1.500803571428571</v>
      </c>
      <c r="Z392" s="265">
        <f t="shared" si="135"/>
        <v>0.82693877551020412</v>
      </c>
      <c r="AA392" s="265">
        <f t="shared" ca="1" si="136"/>
        <v>10.10755125499815</v>
      </c>
      <c r="AB392" s="265">
        <f t="shared" ca="1" si="137"/>
        <v>0.99135799468756847</v>
      </c>
      <c r="AC392" s="258"/>
      <c r="AD392" s="258"/>
      <c r="AE392" s="258"/>
      <c r="AF392" s="258"/>
      <c r="AG392" s="258"/>
      <c r="AH392" s="258"/>
      <c r="AI392" s="258"/>
      <c r="AJ392" s="258"/>
      <c r="AK392" s="258"/>
      <c r="AL392" s="258"/>
      <c r="AM392" s="258"/>
    </row>
    <row r="393" spans="3:39" x14ac:dyDescent="0.25">
      <c r="C393" s="255" t="s">
        <v>6326</v>
      </c>
      <c r="D393" s="258">
        <v>1.57</v>
      </c>
      <c r="E393" s="258">
        <v>0.25384068641005525</v>
      </c>
      <c r="F393" s="258">
        <v>161.68196586627724</v>
      </c>
      <c r="G393" s="266">
        <f t="shared" si="116"/>
        <v>6.1849816993632603</v>
      </c>
      <c r="H393" s="265">
        <f t="shared" si="117"/>
        <v>0.35758706467661688</v>
      </c>
      <c r="I393" s="265">
        <f t="shared" si="118"/>
        <v>0.2790178571428571</v>
      </c>
      <c r="J393" s="265">
        <f t="shared" si="119"/>
        <v>0.14172335600907029</v>
      </c>
      <c r="K393" s="258">
        <f t="shared" ca="1" si="120"/>
        <v>23.008131921631328</v>
      </c>
      <c r="L393" s="265">
        <f t="shared" si="121"/>
        <v>2.5249365671641786</v>
      </c>
      <c r="M393" s="265">
        <f t="shared" si="122"/>
        <v>1.500803571428571</v>
      </c>
      <c r="N393" s="265">
        <f t="shared" si="123"/>
        <v>0.82693877551020412</v>
      </c>
      <c r="O393" s="265">
        <f t="shared" ca="1" si="124"/>
        <v>27.860810835734281</v>
      </c>
      <c r="P393" s="265">
        <f t="shared" ca="1" si="125"/>
        <v>4.0010872597933833</v>
      </c>
      <c r="Q393" s="258">
        <f t="shared" ca="1" si="126"/>
        <v>14.039908457554601</v>
      </c>
      <c r="R393" s="265">
        <f t="shared" si="127"/>
        <v>2.5249365671641786</v>
      </c>
      <c r="S393" s="265">
        <f t="shared" si="128"/>
        <v>1.500803571428571</v>
      </c>
      <c r="T393" s="265">
        <f t="shared" si="129"/>
        <v>0.82693877551020412</v>
      </c>
      <c r="U393" s="265">
        <f t="shared" ca="1" si="130"/>
        <v>18.892587371657552</v>
      </c>
      <c r="V393" s="265">
        <f t="shared" ca="1" si="131"/>
        <v>2.7131619062686969</v>
      </c>
      <c r="W393" s="258">
        <f t="shared" ca="1" si="132"/>
        <v>3.4512197882446993</v>
      </c>
      <c r="X393" s="265">
        <f t="shared" si="133"/>
        <v>2.5249365671641786</v>
      </c>
      <c r="Y393" s="265">
        <f t="shared" si="134"/>
        <v>1.500803571428571</v>
      </c>
      <c r="Z393" s="265">
        <f t="shared" si="135"/>
        <v>0.82693877551020412</v>
      </c>
      <c r="AA393" s="265">
        <f t="shared" ca="1" si="136"/>
        <v>8.3038987023476523</v>
      </c>
      <c r="AB393" s="265">
        <f t="shared" ca="1" si="137"/>
        <v>1.1925217647278268</v>
      </c>
      <c r="AC393" s="258"/>
      <c r="AD393" s="258"/>
      <c r="AE393" s="258"/>
      <c r="AF393" s="258"/>
      <c r="AG393" s="258"/>
      <c r="AH393" s="258"/>
      <c r="AI393" s="258"/>
      <c r="AJ393" s="258"/>
      <c r="AK393" s="258"/>
      <c r="AL393" s="258"/>
      <c r="AM393" s="258"/>
    </row>
    <row r="394" spans="3:39" x14ac:dyDescent="0.25">
      <c r="C394" s="255" t="s">
        <v>6327</v>
      </c>
      <c r="D394" s="258">
        <v>2.355</v>
      </c>
      <c r="E394" s="258">
        <v>0.18661060362323373</v>
      </c>
      <c r="F394" s="258">
        <v>79.24017138990817</v>
      </c>
      <c r="G394" s="266">
        <f t="shared" si="116"/>
        <v>12.619861649205841</v>
      </c>
      <c r="H394" s="265">
        <f t="shared" si="117"/>
        <v>0.35758706467661688</v>
      </c>
      <c r="I394" s="265">
        <f t="shared" si="118"/>
        <v>0.2790178571428571</v>
      </c>
      <c r="J394" s="265">
        <f t="shared" si="119"/>
        <v>0.14172335600907029</v>
      </c>
      <c r="K394" s="258">
        <f t="shared" ca="1" si="120"/>
        <v>46.94588533504573</v>
      </c>
      <c r="L394" s="265">
        <f t="shared" si="121"/>
        <v>2.5249365671641786</v>
      </c>
      <c r="M394" s="265">
        <f t="shared" si="122"/>
        <v>1.500803571428571</v>
      </c>
      <c r="N394" s="265">
        <f t="shared" si="123"/>
        <v>0.82693877551020412</v>
      </c>
      <c r="O394" s="265">
        <f t="shared" ca="1" si="124"/>
        <v>51.798564249148683</v>
      </c>
      <c r="P394" s="265">
        <f t="shared" ca="1" si="125"/>
        <v>3.8660867274788666</v>
      </c>
      <c r="Q394" s="258">
        <f t="shared" ca="1" si="126"/>
        <v>28.64708594369726</v>
      </c>
      <c r="R394" s="265">
        <f t="shared" si="127"/>
        <v>2.5249365671641786</v>
      </c>
      <c r="S394" s="265">
        <f t="shared" si="128"/>
        <v>1.500803571428571</v>
      </c>
      <c r="T394" s="265">
        <f t="shared" si="129"/>
        <v>0.82693877551020412</v>
      </c>
      <c r="U394" s="265">
        <f t="shared" ca="1" si="130"/>
        <v>33.499764857800216</v>
      </c>
      <c r="V394" s="265">
        <f t="shared" ca="1" si="131"/>
        <v>2.500320195506827</v>
      </c>
      <c r="W394" s="258">
        <f t="shared" ca="1" si="132"/>
        <v>7.0418828002568601</v>
      </c>
      <c r="X394" s="265">
        <f t="shared" si="133"/>
        <v>2.5249365671641786</v>
      </c>
      <c r="Y394" s="265">
        <f t="shared" si="134"/>
        <v>1.500803571428571</v>
      </c>
      <c r="Z394" s="265">
        <f t="shared" si="135"/>
        <v>0.82693877551020412</v>
      </c>
      <c r="AA394" s="265">
        <f t="shared" ca="1" si="136"/>
        <v>11.894561714359813</v>
      </c>
      <c r="AB394" s="265">
        <f t="shared" ca="1" si="137"/>
        <v>0.88777377982673578</v>
      </c>
      <c r="AC394" s="258"/>
      <c r="AD394" s="258"/>
      <c r="AE394" s="258"/>
      <c r="AF394" s="258"/>
      <c r="AG394" s="258"/>
      <c r="AH394" s="258"/>
      <c r="AI394" s="258"/>
      <c r="AJ394" s="258"/>
      <c r="AK394" s="258"/>
      <c r="AL394" s="258"/>
      <c r="AM394" s="258"/>
    </row>
    <row r="395" spans="3:39" x14ac:dyDescent="0.25">
      <c r="C395" s="255" t="s">
        <v>6328</v>
      </c>
      <c r="D395" s="258">
        <v>2.355</v>
      </c>
      <c r="E395" s="258">
        <v>0.1916371518689774</v>
      </c>
      <c r="F395" s="258">
        <v>81.374586780882126</v>
      </c>
      <c r="G395" s="266">
        <f t="shared" si="116"/>
        <v>12.288848884636508</v>
      </c>
      <c r="H395" s="265">
        <f t="shared" si="117"/>
        <v>0.35758706467661688</v>
      </c>
      <c r="I395" s="265">
        <f t="shared" si="118"/>
        <v>0.2790178571428571</v>
      </c>
      <c r="J395" s="265">
        <f t="shared" si="119"/>
        <v>0.14172335600907029</v>
      </c>
      <c r="K395" s="258">
        <f t="shared" ca="1" si="120"/>
        <v>45.714517850847812</v>
      </c>
      <c r="L395" s="265">
        <f t="shared" si="121"/>
        <v>2.5249365671641786</v>
      </c>
      <c r="M395" s="265">
        <f t="shared" si="122"/>
        <v>1.500803571428571</v>
      </c>
      <c r="N395" s="265">
        <f t="shared" si="123"/>
        <v>0.82693877551020412</v>
      </c>
      <c r="O395" s="265">
        <f t="shared" ca="1" si="124"/>
        <v>50.567196764950765</v>
      </c>
      <c r="P395" s="265">
        <f t="shared" ca="1" si="125"/>
        <v>3.8697873409264729</v>
      </c>
      <c r="Q395" s="258">
        <f t="shared" ca="1" si="126"/>
        <v>27.895686968124874</v>
      </c>
      <c r="R395" s="265">
        <f t="shared" si="127"/>
        <v>2.5249365671641786</v>
      </c>
      <c r="S395" s="265">
        <f t="shared" si="128"/>
        <v>1.500803571428571</v>
      </c>
      <c r="T395" s="265">
        <f t="shared" si="129"/>
        <v>0.82693877551020412</v>
      </c>
      <c r="U395" s="265">
        <f t="shared" ca="1" si="130"/>
        <v>32.74836588222783</v>
      </c>
      <c r="V395" s="265">
        <f t="shared" ca="1" si="131"/>
        <v>2.5061545791463065</v>
      </c>
      <c r="W395" s="258">
        <f t="shared" ca="1" si="132"/>
        <v>6.8571776776271722</v>
      </c>
      <c r="X395" s="265">
        <f t="shared" si="133"/>
        <v>2.5249365671641786</v>
      </c>
      <c r="Y395" s="265">
        <f t="shared" si="134"/>
        <v>1.500803571428571</v>
      </c>
      <c r="Z395" s="265">
        <f t="shared" si="135"/>
        <v>0.82693877551020412</v>
      </c>
      <c r="AA395" s="265">
        <f t="shared" ca="1" si="136"/>
        <v>11.709856591730126</v>
      </c>
      <c r="AB395" s="265">
        <f t="shared" ca="1" si="137"/>
        <v>0.89612748385827545</v>
      </c>
      <c r="AC395" s="258"/>
      <c r="AD395" s="258"/>
      <c r="AE395" s="258"/>
      <c r="AF395" s="258"/>
      <c r="AG395" s="258"/>
      <c r="AH395" s="258"/>
      <c r="AI395" s="258"/>
      <c r="AJ395" s="258"/>
      <c r="AK395" s="258"/>
      <c r="AL395" s="258"/>
      <c r="AM395" s="258"/>
    </row>
    <row r="396" spans="3:39" x14ac:dyDescent="0.25">
      <c r="C396" s="255" t="s">
        <v>6329</v>
      </c>
      <c r="D396" s="258">
        <v>1.57</v>
      </c>
      <c r="E396" s="258">
        <v>0.19540706305328515</v>
      </c>
      <c r="F396" s="258">
        <v>124.46309748616889</v>
      </c>
      <c r="G396" s="266">
        <f t="shared" si="116"/>
        <v>8.0345099888834621</v>
      </c>
      <c r="H396" s="265">
        <f t="shared" si="117"/>
        <v>0.35758706467661688</v>
      </c>
      <c r="I396" s="265">
        <f t="shared" si="118"/>
        <v>0.2790178571428571</v>
      </c>
      <c r="J396" s="265">
        <f t="shared" si="119"/>
        <v>0.14172335600907029</v>
      </c>
      <c r="K396" s="258">
        <f t="shared" ca="1" si="120"/>
        <v>29.888377158646481</v>
      </c>
      <c r="L396" s="265">
        <f t="shared" si="121"/>
        <v>2.5249365671641786</v>
      </c>
      <c r="M396" s="265">
        <f t="shared" si="122"/>
        <v>1.500803571428571</v>
      </c>
      <c r="N396" s="265">
        <f t="shared" si="123"/>
        <v>0.82693877551020412</v>
      </c>
      <c r="O396" s="265">
        <f t="shared" ca="1" si="124"/>
        <v>34.741056072749437</v>
      </c>
      <c r="P396" s="265">
        <f t="shared" ca="1" si="125"/>
        <v>3.9420961807473431</v>
      </c>
      <c r="Q396" s="258">
        <f t="shared" ca="1" si="126"/>
        <v>18.238337674765461</v>
      </c>
      <c r="R396" s="265">
        <f t="shared" si="127"/>
        <v>2.5249365671641786</v>
      </c>
      <c r="S396" s="265">
        <f t="shared" si="128"/>
        <v>1.500803571428571</v>
      </c>
      <c r="T396" s="265">
        <f t="shared" si="129"/>
        <v>0.82693877551020412</v>
      </c>
      <c r="U396" s="265">
        <f t="shared" ca="1" si="130"/>
        <v>23.091016588868413</v>
      </c>
      <c r="V396" s="265">
        <f t="shared" ca="1" si="131"/>
        <v>2.6201566271887877</v>
      </c>
      <c r="W396" s="258">
        <f t="shared" ca="1" si="132"/>
        <v>4.4832565737969725</v>
      </c>
      <c r="X396" s="265">
        <f t="shared" si="133"/>
        <v>2.5249365671641786</v>
      </c>
      <c r="Y396" s="265">
        <f t="shared" si="134"/>
        <v>1.500803571428571</v>
      </c>
      <c r="Z396" s="265">
        <f t="shared" si="135"/>
        <v>0.82693877551020412</v>
      </c>
      <c r="AA396" s="265">
        <f t="shared" ca="1" si="136"/>
        <v>9.3359354878999259</v>
      </c>
      <c r="AB396" s="265">
        <f t="shared" ca="1" si="137"/>
        <v>1.0593562715389628</v>
      </c>
      <c r="AC396" s="258"/>
      <c r="AD396" s="258"/>
      <c r="AE396" s="258"/>
      <c r="AF396" s="258"/>
      <c r="AG396" s="258"/>
      <c r="AH396" s="258"/>
      <c r="AI396" s="258"/>
      <c r="AJ396" s="258"/>
      <c r="AK396" s="258"/>
      <c r="AL396" s="258"/>
      <c r="AM396" s="258"/>
    </row>
    <row r="397" spans="3:39" x14ac:dyDescent="0.25">
      <c r="C397" s="255" t="s">
        <v>6330</v>
      </c>
      <c r="D397" s="258">
        <v>0.78500000000000003</v>
      </c>
      <c r="E397" s="258">
        <v>0.19917697423759292</v>
      </c>
      <c r="F397" s="258">
        <v>253.7286296020292</v>
      </c>
      <c r="G397" s="266">
        <f t="shared" si="116"/>
        <v>3.9412186223071868</v>
      </c>
      <c r="H397" s="265">
        <f t="shared" si="117"/>
        <v>0.35758706467661688</v>
      </c>
      <c r="I397" s="265">
        <f t="shared" si="118"/>
        <v>0.2790178571428571</v>
      </c>
      <c r="J397" s="265">
        <f t="shared" si="119"/>
        <v>0.14172335600907029</v>
      </c>
      <c r="K397" s="258">
        <f t="shared" ca="1" si="120"/>
        <v>14.661333274982736</v>
      </c>
      <c r="L397" s="265">
        <f t="shared" si="121"/>
        <v>2.5249365671641786</v>
      </c>
      <c r="M397" s="265">
        <f t="shared" si="122"/>
        <v>1.500803571428571</v>
      </c>
      <c r="N397" s="265">
        <f t="shared" si="123"/>
        <v>0.82693877551020412</v>
      </c>
      <c r="O397" s="265">
        <f t="shared" ca="1" si="124"/>
        <v>19.514012189085687</v>
      </c>
      <c r="P397" s="265">
        <f t="shared" ca="1" si="125"/>
        <v>4.1347215319598751</v>
      </c>
      <c r="Q397" s="258">
        <f t="shared" ca="1" si="126"/>
        <v>8.9465662726373143</v>
      </c>
      <c r="R397" s="265">
        <f t="shared" si="127"/>
        <v>2.5249365671641786</v>
      </c>
      <c r="S397" s="265">
        <f t="shared" si="128"/>
        <v>1.500803571428571</v>
      </c>
      <c r="T397" s="265">
        <f t="shared" si="129"/>
        <v>0.82693877551020412</v>
      </c>
      <c r="U397" s="265">
        <f t="shared" ca="1" si="130"/>
        <v>13.799245186740269</v>
      </c>
      <c r="V397" s="265">
        <f t="shared" ca="1" si="131"/>
        <v>2.9238495725815148</v>
      </c>
      <c r="W397" s="258">
        <f t="shared" ca="1" si="132"/>
        <v>2.1991999912474105</v>
      </c>
      <c r="X397" s="265">
        <f t="shared" si="133"/>
        <v>2.5249365671641786</v>
      </c>
      <c r="Y397" s="265">
        <f t="shared" si="134"/>
        <v>1.500803571428571</v>
      </c>
      <c r="Z397" s="265">
        <f t="shared" si="135"/>
        <v>0.82693877551020412</v>
      </c>
      <c r="AA397" s="265">
        <f t="shared" ca="1" si="136"/>
        <v>7.0518789053503639</v>
      </c>
      <c r="AB397" s="265">
        <f t="shared" ca="1" si="137"/>
        <v>1.4941855764051326</v>
      </c>
      <c r="AC397" s="258"/>
      <c r="AD397" s="258"/>
      <c r="AE397" s="258"/>
      <c r="AF397" s="258"/>
      <c r="AG397" s="258"/>
      <c r="AH397" s="258"/>
      <c r="AI397" s="258"/>
      <c r="AJ397" s="258"/>
      <c r="AK397" s="258"/>
      <c r="AL397" s="258"/>
      <c r="AM397" s="258"/>
    </row>
    <row r="398" spans="3:39" x14ac:dyDescent="0.25">
      <c r="C398" s="255" t="s">
        <v>6331</v>
      </c>
      <c r="D398" s="258">
        <v>1.57</v>
      </c>
      <c r="E398" s="258">
        <v>0.14891149178015617</v>
      </c>
      <c r="F398" s="258">
        <v>94.848083936405203</v>
      </c>
      <c r="G398" s="266">
        <f t="shared" si="116"/>
        <v>10.543175555032732</v>
      </c>
      <c r="H398" s="265">
        <f t="shared" si="117"/>
        <v>0.35758706467661688</v>
      </c>
      <c r="I398" s="265">
        <f t="shared" si="118"/>
        <v>0.2790178571428571</v>
      </c>
      <c r="J398" s="265">
        <f t="shared" si="119"/>
        <v>0.14172335600907029</v>
      </c>
      <c r="K398" s="258">
        <f t="shared" ca="1" si="120"/>
        <v>39.220613064721768</v>
      </c>
      <c r="L398" s="265">
        <f t="shared" si="121"/>
        <v>2.5249365671641786</v>
      </c>
      <c r="M398" s="265">
        <f t="shared" si="122"/>
        <v>1.500803571428571</v>
      </c>
      <c r="N398" s="265">
        <f t="shared" si="123"/>
        <v>0.82693877551020412</v>
      </c>
      <c r="O398" s="265">
        <f t="shared" ca="1" si="124"/>
        <v>44.07329197882472</v>
      </c>
      <c r="P398" s="265">
        <f t="shared" ca="1" si="125"/>
        <v>3.8928831919748688</v>
      </c>
      <c r="Q398" s="258">
        <f t="shared" ca="1" si="126"/>
        <v>23.933008509924303</v>
      </c>
      <c r="R398" s="265">
        <f t="shared" si="127"/>
        <v>2.5249365671641786</v>
      </c>
      <c r="S398" s="265">
        <f t="shared" si="128"/>
        <v>1.500803571428571</v>
      </c>
      <c r="T398" s="265">
        <f t="shared" si="129"/>
        <v>0.82693877551020412</v>
      </c>
      <c r="U398" s="265">
        <f t="shared" ca="1" si="130"/>
        <v>28.785687424027255</v>
      </c>
      <c r="V398" s="265">
        <f t="shared" ca="1" si="131"/>
        <v>2.5425674759279984</v>
      </c>
      <c r="W398" s="258">
        <f t="shared" ca="1" si="132"/>
        <v>5.8830919597082652</v>
      </c>
      <c r="X398" s="265">
        <f t="shared" si="133"/>
        <v>2.5249365671641786</v>
      </c>
      <c r="Y398" s="265">
        <f t="shared" si="134"/>
        <v>1.500803571428571</v>
      </c>
      <c r="Z398" s="265">
        <f t="shared" si="135"/>
        <v>0.82693877551020412</v>
      </c>
      <c r="AA398" s="265">
        <f t="shared" ca="1" si="136"/>
        <v>10.735770873811219</v>
      </c>
      <c r="AB398" s="265">
        <f t="shared" ca="1" si="137"/>
        <v>0.94826367877472817</v>
      </c>
      <c r="AC398" s="258"/>
      <c r="AD398" s="258"/>
      <c r="AE398" s="258"/>
      <c r="AF398" s="258"/>
      <c r="AG398" s="258"/>
      <c r="AH398" s="258"/>
      <c r="AI398" s="258"/>
      <c r="AJ398" s="258"/>
      <c r="AK398" s="258"/>
      <c r="AL398" s="258"/>
      <c r="AM398" s="258"/>
    </row>
    <row r="399" spans="3:39" x14ac:dyDescent="0.25">
      <c r="C399" s="255" t="s">
        <v>6332</v>
      </c>
      <c r="D399" s="258">
        <v>0.78500000000000003</v>
      </c>
      <c r="E399" s="258">
        <v>0.15268140296446395</v>
      </c>
      <c r="F399" s="258">
        <v>194.49860250250183</v>
      </c>
      <c r="G399" s="266">
        <f t="shared" si="116"/>
        <v>5.1414251163431217</v>
      </c>
      <c r="H399" s="265">
        <f t="shared" si="117"/>
        <v>0.35758706467661688</v>
      </c>
      <c r="I399" s="265">
        <f t="shared" si="118"/>
        <v>0.2790178571428571</v>
      </c>
      <c r="J399" s="265">
        <f t="shared" si="119"/>
        <v>0.14172335600907029</v>
      </c>
      <c r="K399" s="258">
        <f t="shared" ca="1" si="120"/>
        <v>19.126101432796414</v>
      </c>
      <c r="L399" s="265">
        <f t="shared" si="121"/>
        <v>2.5249365671641786</v>
      </c>
      <c r="M399" s="265">
        <f t="shared" si="122"/>
        <v>1.500803571428571</v>
      </c>
      <c r="N399" s="265">
        <f t="shared" si="123"/>
        <v>0.82693877551020412</v>
      </c>
      <c r="O399" s="265">
        <f t="shared" ca="1" si="124"/>
        <v>23.978780346899367</v>
      </c>
      <c r="P399" s="265">
        <f t="shared" ca="1" si="125"/>
        <v>4.0506383881645887</v>
      </c>
      <c r="Q399" s="258">
        <f t="shared" ca="1" si="126"/>
        <v>11.671035014098887</v>
      </c>
      <c r="R399" s="265">
        <f t="shared" si="127"/>
        <v>2.5249365671641786</v>
      </c>
      <c r="S399" s="265">
        <f t="shared" si="128"/>
        <v>1.500803571428571</v>
      </c>
      <c r="T399" s="265">
        <f t="shared" si="129"/>
        <v>0.82693877551020412</v>
      </c>
      <c r="U399" s="265">
        <f t="shared" ca="1" si="130"/>
        <v>16.523713928201843</v>
      </c>
      <c r="V399" s="265">
        <f t="shared" ca="1" si="131"/>
        <v>2.7912841680990264</v>
      </c>
      <c r="W399" s="258">
        <f t="shared" ca="1" si="132"/>
        <v>2.8689152149194621</v>
      </c>
      <c r="X399" s="265">
        <f t="shared" si="133"/>
        <v>2.5249365671641786</v>
      </c>
      <c r="Y399" s="265">
        <f t="shared" si="134"/>
        <v>1.500803571428571</v>
      </c>
      <c r="Z399" s="265">
        <f t="shared" si="135"/>
        <v>0.82693877551020412</v>
      </c>
      <c r="AA399" s="265">
        <f t="shared" ca="1" si="136"/>
        <v>7.7215941290224155</v>
      </c>
      <c r="AB399" s="265">
        <f t="shared" ca="1" si="137"/>
        <v>1.304377668269892</v>
      </c>
      <c r="AC399" s="258"/>
      <c r="AD399" s="258"/>
      <c r="AE399" s="258"/>
      <c r="AF399" s="258"/>
      <c r="AG399" s="258"/>
      <c r="AH399" s="258"/>
      <c r="AI399" s="258"/>
      <c r="AJ399" s="258"/>
      <c r="AK399" s="258"/>
      <c r="AL399" s="258"/>
      <c r="AM399" s="258"/>
    </row>
    <row r="400" spans="3:39" x14ac:dyDescent="0.25">
      <c r="C400" s="255" t="s">
        <v>6333</v>
      </c>
      <c r="D400" s="258">
        <v>0.78500000000000003</v>
      </c>
      <c r="E400" s="258">
        <v>0.15456635855661782</v>
      </c>
      <c r="F400" s="258">
        <v>196.89981981734752</v>
      </c>
      <c r="G400" s="266">
        <f t="shared" si="116"/>
        <v>5.0787248100462543</v>
      </c>
      <c r="H400" s="265">
        <f t="shared" si="117"/>
        <v>0.35758706467661688</v>
      </c>
      <c r="I400" s="265">
        <f t="shared" si="118"/>
        <v>0.2790178571428571</v>
      </c>
      <c r="J400" s="265">
        <f t="shared" si="119"/>
        <v>0.14172335600907029</v>
      </c>
      <c r="K400" s="258">
        <f t="shared" ca="1" si="120"/>
        <v>18.892856293372066</v>
      </c>
      <c r="L400" s="265">
        <f t="shared" si="121"/>
        <v>2.5249365671641786</v>
      </c>
      <c r="M400" s="265">
        <f t="shared" si="122"/>
        <v>1.500803571428571</v>
      </c>
      <c r="N400" s="265">
        <f t="shared" si="123"/>
        <v>0.82693877551020412</v>
      </c>
      <c r="O400" s="265">
        <f t="shared" ca="1" si="124"/>
        <v>23.745535207475019</v>
      </c>
      <c r="P400" s="265">
        <f t="shared" ca="1" si="125"/>
        <v>4.0541779033269725</v>
      </c>
      <c r="Q400" s="258">
        <f t="shared" ca="1" si="126"/>
        <v>11.528705318804997</v>
      </c>
      <c r="R400" s="265">
        <f t="shared" si="127"/>
        <v>2.5249365671641786</v>
      </c>
      <c r="S400" s="265">
        <f t="shared" si="128"/>
        <v>1.500803571428571</v>
      </c>
      <c r="T400" s="265">
        <f t="shared" si="129"/>
        <v>0.82693877551020412</v>
      </c>
      <c r="U400" s="265">
        <f t="shared" ca="1" si="130"/>
        <v>16.381384232907951</v>
      </c>
      <c r="V400" s="265">
        <f t="shared" ca="1" si="131"/>
        <v>2.796864564335348</v>
      </c>
      <c r="W400" s="258">
        <f t="shared" ca="1" si="132"/>
        <v>2.8339284440058101</v>
      </c>
      <c r="X400" s="265">
        <f t="shared" si="133"/>
        <v>2.5249365671641786</v>
      </c>
      <c r="Y400" s="265">
        <f t="shared" si="134"/>
        <v>1.500803571428571</v>
      </c>
      <c r="Z400" s="265">
        <f t="shared" si="135"/>
        <v>0.82693877551020412</v>
      </c>
      <c r="AA400" s="265">
        <f t="shared" ca="1" si="136"/>
        <v>7.6866073581087644</v>
      </c>
      <c r="AB400" s="265">
        <f t="shared" ca="1" si="137"/>
        <v>1.3123677116776504</v>
      </c>
      <c r="AC400" s="258"/>
      <c r="AD400" s="258"/>
      <c r="AE400" s="258"/>
      <c r="AF400" s="258"/>
      <c r="AG400" s="258"/>
      <c r="AH400" s="258"/>
      <c r="AI400" s="258"/>
      <c r="AJ400" s="258"/>
      <c r="AK400" s="258"/>
      <c r="AL400" s="258"/>
      <c r="AM400" s="258"/>
    </row>
    <row r="401" spans="3:39" x14ac:dyDescent="0.25">
      <c r="C401" s="255" t="s">
        <v>6334</v>
      </c>
      <c r="D401" s="258">
        <v>0.78500000000000003</v>
      </c>
      <c r="E401" s="258">
        <v>0.15645131414877167</v>
      </c>
      <c r="F401" s="258">
        <v>199.30103713219322</v>
      </c>
      <c r="G401" s="266">
        <f t="shared" si="116"/>
        <v>5.0175353545035293</v>
      </c>
      <c r="H401" s="265">
        <f t="shared" si="117"/>
        <v>0.35758706467661688</v>
      </c>
      <c r="I401" s="265">
        <f t="shared" si="118"/>
        <v>0.2790178571428571</v>
      </c>
      <c r="J401" s="265">
        <f t="shared" si="119"/>
        <v>0.14172335600907029</v>
      </c>
      <c r="K401" s="258">
        <f t="shared" ca="1" si="120"/>
        <v>18.665231518753131</v>
      </c>
      <c r="L401" s="265">
        <f t="shared" si="121"/>
        <v>2.5249365671641786</v>
      </c>
      <c r="M401" s="265">
        <f t="shared" si="122"/>
        <v>1.500803571428571</v>
      </c>
      <c r="N401" s="265">
        <f t="shared" si="123"/>
        <v>0.82693877551020412</v>
      </c>
      <c r="O401" s="265">
        <f t="shared" ca="1" si="124"/>
        <v>23.517910432856084</v>
      </c>
      <c r="P401" s="265">
        <f t="shared" ca="1" si="125"/>
        <v>4.057705964933688</v>
      </c>
      <c r="Q401" s="258">
        <f t="shared" ca="1" si="126"/>
        <v>11.389805254723012</v>
      </c>
      <c r="R401" s="265">
        <f t="shared" si="127"/>
        <v>2.5249365671641786</v>
      </c>
      <c r="S401" s="265">
        <f t="shared" si="128"/>
        <v>1.500803571428571</v>
      </c>
      <c r="T401" s="265">
        <f t="shared" si="129"/>
        <v>0.82693877551020412</v>
      </c>
      <c r="U401" s="265">
        <f t="shared" ca="1" si="130"/>
        <v>16.242484168825968</v>
      </c>
      <c r="V401" s="265">
        <f t="shared" ca="1" si="131"/>
        <v>2.8024269029067037</v>
      </c>
      <c r="W401" s="258">
        <f t="shared" ca="1" si="132"/>
        <v>2.7997847278129697</v>
      </c>
      <c r="X401" s="265">
        <f t="shared" si="133"/>
        <v>2.5249365671641786</v>
      </c>
      <c r="Y401" s="265">
        <f t="shared" si="134"/>
        <v>1.500803571428571</v>
      </c>
      <c r="Z401" s="265">
        <f t="shared" si="135"/>
        <v>0.82693877551020412</v>
      </c>
      <c r="AA401" s="265">
        <f t="shared" ca="1" si="136"/>
        <v>7.652463641915924</v>
      </c>
      <c r="AB401" s="265">
        <f t="shared" ca="1" si="137"/>
        <v>1.3203319000169116</v>
      </c>
      <c r="AC401" s="258"/>
      <c r="AD401" s="258"/>
      <c r="AE401" s="258"/>
      <c r="AF401" s="258"/>
      <c r="AG401" s="258"/>
      <c r="AH401" s="258"/>
      <c r="AI401" s="258"/>
      <c r="AJ401" s="258"/>
      <c r="AK401" s="258"/>
      <c r="AL401" s="258"/>
      <c r="AM401" s="258"/>
    </row>
    <row r="402" spans="3:39" x14ac:dyDescent="0.25">
      <c r="C402" s="255" t="s">
        <v>6335</v>
      </c>
      <c r="D402" s="258">
        <v>0.78500000000000003</v>
      </c>
      <c r="E402" s="258">
        <v>0.11372565405995053</v>
      </c>
      <c r="F402" s="258">
        <v>144.87344466235734</v>
      </c>
      <c r="G402" s="266">
        <f t="shared" si="116"/>
        <v>6.9025762611678356</v>
      </c>
      <c r="H402" s="265">
        <f t="shared" si="117"/>
        <v>0.35758706467661688</v>
      </c>
      <c r="I402" s="265">
        <f t="shared" si="118"/>
        <v>0.2790178571428571</v>
      </c>
      <c r="J402" s="265">
        <f t="shared" si="119"/>
        <v>0.14172335600907029</v>
      </c>
      <c r="K402" s="258">
        <f t="shared" ca="1" si="120"/>
        <v>25.677583691544349</v>
      </c>
      <c r="L402" s="265">
        <f t="shared" si="121"/>
        <v>2.5249365671641786</v>
      </c>
      <c r="M402" s="265">
        <f t="shared" si="122"/>
        <v>1.500803571428571</v>
      </c>
      <c r="N402" s="265">
        <f t="shared" si="123"/>
        <v>0.82693877551020412</v>
      </c>
      <c r="O402" s="265">
        <f t="shared" ca="1" si="124"/>
        <v>30.530262605647302</v>
      </c>
      <c r="P402" s="265">
        <f t="shared" ca="1" si="125"/>
        <v>3.9748264609517618</v>
      </c>
      <c r="Q402" s="258">
        <f t="shared" ca="1" si="126"/>
        <v>15.668848112850988</v>
      </c>
      <c r="R402" s="265">
        <f t="shared" si="127"/>
        <v>2.5249365671641786</v>
      </c>
      <c r="S402" s="265">
        <f t="shared" si="128"/>
        <v>1.500803571428571</v>
      </c>
      <c r="T402" s="265">
        <f t="shared" si="129"/>
        <v>0.82693877551020412</v>
      </c>
      <c r="U402" s="265">
        <f t="shared" ca="1" si="130"/>
        <v>20.52152702695394</v>
      </c>
      <c r="V402" s="265">
        <f t="shared" ca="1" si="131"/>
        <v>2.6717591558084086</v>
      </c>
      <c r="W402" s="258">
        <f t="shared" ca="1" si="132"/>
        <v>3.8516375537316527</v>
      </c>
      <c r="X402" s="265">
        <f t="shared" si="133"/>
        <v>2.5249365671641786</v>
      </c>
      <c r="Y402" s="265">
        <f t="shared" si="134"/>
        <v>1.500803571428571</v>
      </c>
      <c r="Z402" s="265">
        <f t="shared" si="135"/>
        <v>0.82693877551020412</v>
      </c>
      <c r="AA402" s="265">
        <f t="shared" ca="1" si="136"/>
        <v>8.704316467834607</v>
      </c>
      <c r="AB402" s="265">
        <f t="shared" ca="1" si="137"/>
        <v>1.1332410686322567</v>
      </c>
      <c r="AC402" s="258"/>
      <c r="AD402" s="258"/>
      <c r="AE402" s="258"/>
      <c r="AF402" s="258"/>
      <c r="AG402" s="258"/>
      <c r="AH402" s="258"/>
      <c r="AI402" s="258"/>
      <c r="AJ402" s="258"/>
      <c r="AK402" s="258"/>
      <c r="AL402" s="258"/>
      <c r="AM402" s="258"/>
    </row>
    <row r="403" spans="3:39" x14ac:dyDescent="0.25">
      <c r="C403" s="255" t="s">
        <v>6336</v>
      </c>
      <c r="D403" s="258">
        <v>0.78500000000000003</v>
      </c>
      <c r="E403" s="258">
        <v>0.11749556524425828</v>
      </c>
      <c r="F403" s="258">
        <v>149.67587929204876</v>
      </c>
      <c r="G403" s="266">
        <f t="shared" si="116"/>
        <v>6.6811032260501513</v>
      </c>
      <c r="H403" s="265">
        <f t="shared" si="117"/>
        <v>0.35758706467661688</v>
      </c>
      <c r="I403" s="265">
        <f t="shared" si="118"/>
        <v>0.2790178571428571</v>
      </c>
      <c r="J403" s="265">
        <f t="shared" si="119"/>
        <v>0.14172335600907029</v>
      </c>
      <c r="K403" s="258">
        <f t="shared" ca="1" si="120"/>
        <v>24.853704000906564</v>
      </c>
      <c r="L403" s="265">
        <f t="shared" si="121"/>
        <v>2.5249365671641786</v>
      </c>
      <c r="M403" s="265">
        <f t="shared" si="122"/>
        <v>1.500803571428571</v>
      </c>
      <c r="N403" s="265">
        <f t="shared" si="123"/>
        <v>0.82693877551020412</v>
      </c>
      <c r="O403" s="265">
        <f t="shared" ca="1" si="124"/>
        <v>29.706382915009517</v>
      </c>
      <c r="P403" s="265">
        <f t="shared" ca="1" si="125"/>
        <v>3.9823923444518572</v>
      </c>
      <c r="Q403" s="258">
        <f t="shared" ca="1" si="126"/>
        <v>15.166104323133844</v>
      </c>
      <c r="R403" s="265">
        <f t="shared" si="127"/>
        <v>2.5249365671641786</v>
      </c>
      <c r="S403" s="265">
        <f t="shared" si="128"/>
        <v>1.500803571428571</v>
      </c>
      <c r="T403" s="265">
        <f t="shared" si="129"/>
        <v>0.82693877551020412</v>
      </c>
      <c r="U403" s="265">
        <f t="shared" ca="1" si="130"/>
        <v>20.018783237236796</v>
      </c>
      <c r="V403" s="265">
        <f t="shared" ca="1" si="131"/>
        <v>2.6836875205339163</v>
      </c>
      <c r="W403" s="258">
        <f t="shared" ca="1" si="132"/>
        <v>3.7280556001359848</v>
      </c>
      <c r="X403" s="265">
        <f t="shared" si="133"/>
        <v>2.5249365671641786</v>
      </c>
      <c r="Y403" s="265">
        <f t="shared" si="134"/>
        <v>1.500803571428571</v>
      </c>
      <c r="Z403" s="265">
        <f t="shared" si="135"/>
        <v>0.82693877551020412</v>
      </c>
      <c r="AA403" s="265">
        <f t="shared" ca="1" si="136"/>
        <v>8.5807345142389391</v>
      </c>
      <c r="AB403" s="265">
        <f t="shared" ca="1" si="137"/>
        <v>1.1503201698114929</v>
      </c>
      <c r="AC403" s="258"/>
      <c r="AD403" s="258"/>
      <c r="AE403" s="258"/>
      <c r="AF403" s="258"/>
      <c r="AG403" s="258"/>
      <c r="AH403" s="258"/>
      <c r="AI403" s="258"/>
      <c r="AJ403" s="258"/>
      <c r="AK403" s="258"/>
      <c r="AL403" s="258"/>
      <c r="AM403" s="258"/>
    </row>
    <row r="404" spans="3:39" x14ac:dyDescent="0.25">
      <c r="C404" s="255" t="s">
        <v>6337</v>
      </c>
      <c r="D404" s="258">
        <v>0.78500000000000003</v>
      </c>
      <c r="E404" s="258">
        <v>0.12126547642856603</v>
      </c>
      <c r="F404" s="258">
        <v>154.47831392174015</v>
      </c>
      <c r="G404" s="266">
        <f t="shared" si="116"/>
        <v>6.4734005350848616</v>
      </c>
      <c r="H404" s="265">
        <f t="shared" si="117"/>
        <v>0.35758706467661688</v>
      </c>
      <c r="I404" s="265">
        <f t="shared" si="118"/>
        <v>0.2790178571428571</v>
      </c>
      <c r="J404" s="265">
        <f t="shared" si="119"/>
        <v>0.14172335600907029</v>
      </c>
      <c r="K404" s="258">
        <f t="shared" ca="1" si="120"/>
        <v>24.081049990515687</v>
      </c>
      <c r="L404" s="265">
        <f t="shared" si="121"/>
        <v>2.5249365671641786</v>
      </c>
      <c r="M404" s="265">
        <f t="shared" si="122"/>
        <v>1.500803571428571</v>
      </c>
      <c r="N404" s="265">
        <f t="shared" si="123"/>
        <v>0.82693877551020412</v>
      </c>
      <c r="O404" s="265">
        <f t="shared" ca="1" si="124"/>
        <v>28.93372890461864</v>
      </c>
      <c r="P404" s="265">
        <f t="shared" ca="1" si="125"/>
        <v>3.9899077380134989</v>
      </c>
      <c r="Q404" s="258">
        <f t="shared" ca="1" si="126"/>
        <v>14.694619214642636</v>
      </c>
      <c r="R404" s="265">
        <f t="shared" si="127"/>
        <v>2.5249365671641786</v>
      </c>
      <c r="S404" s="265">
        <f t="shared" si="128"/>
        <v>1.500803571428571</v>
      </c>
      <c r="T404" s="265">
        <f t="shared" si="129"/>
        <v>0.82693877551020412</v>
      </c>
      <c r="U404" s="265">
        <f t="shared" ca="1" si="130"/>
        <v>19.547298128745588</v>
      </c>
      <c r="V404" s="265">
        <f t="shared" ca="1" si="131"/>
        <v>2.6955362828705116</v>
      </c>
      <c r="W404" s="258">
        <f t="shared" ca="1" si="132"/>
        <v>3.612157498577353</v>
      </c>
      <c r="X404" s="265">
        <f t="shared" si="133"/>
        <v>2.5249365671641786</v>
      </c>
      <c r="Y404" s="265">
        <f t="shared" si="134"/>
        <v>1.500803571428571</v>
      </c>
      <c r="Z404" s="265">
        <f t="shared" si="135"/>
        <v>0.82693877551020412</v>
      </c>
      <c r="AA404" s="265">
        <f t="shared" ca="1" si="136"/>
        <v>8.464836412680306</v>
      </c>
      <c r="AB404" s="265">
        <f t="shared" ca="1" si="137"/>
        <v>1.1672852958327231</v>
      </c>
      <c r="AC404" s="258"/>
      <c r="AD404" s="258"/>
      <c r="AE404" s="258"/>
      <c r="AF404" s="258"/>
      <c r="AG404" s="258"/>
      <c r="AH404" s="258"/>
      <c r="AI404" s="258"/>
      <c r="AJ404" s="258"/>
      <c r="AK404" s="258"/>
      <c r="AL404" s="258"/>
      <c r="AM404" s="258"/>
    </row>
    <row r="405" spans="3:39" x14ac:dyDescent="0.25">
      <c r="C405" s="255" t="s">
        <v>6338</v>
      </c>
      <c r="D405" s="258">
        <v>51.81</v>
      </c>
      <c r="E405" s="258">
        <v>1.466194671058465</v>
      </c>
      <c r="F405" s="258">
        <v>28.299453214793765</v>
      </c>
      <c r="G405" s="266">
        <f t="shared" si="116"/>
        <v>35.336371781107133</v>
      </c>
      <c r="H405" s="265">
        <f t="shared" si="117"/>
        <v>0.35758706467661688</v>
      </c>
      <c r="I405" s="265">
        <f t="shared" si="118"/>
        <v>0.2790178571428571</v>
      </c>
      <c r="J405" s="265">
        <f t="shared" si="119"/>
        <v>0.14172335600907029</v>
      </c>
      <c r="K405" s="258">
        <f t="shared" ca="1" si="120"/>
        <v>131.45130302571854</v>
      </c>
      <c r="L405" s="265">
        <f t="shared" si="121"/>
        <v>2.5249365671641786</v>
      </c>
      <c r="M405" s="265">
        <f t="shared" si="122"/>
        <v>1.500803571428571</v>
      </c>
      <c r="N405" s="265">
        <f t="shared" si="123"/>
        <v>0.82693877551020412</v>
      </c>
      <c r="O405" s="265">
        <f t="shared" ca="1" si="124"/>
        <v>136.30398193982151</v>
      </c>
      <c r="P405" s="265">
        <f t="shared" ca="1" si="125"/>
        <v>3.7741967043167097</v>
      </c>
      <c r="Q405" s="258">
        <f t="shared" ca="1" si="126"/>
        <v>80.213563943113186</v>
      </c>
      <c r="R405" s="265">
        <f t="shared" si="127"/>
        <v>2.5249365671641786</v>
      </c>
      <c r="S405" s="265">
        <f t="shared" si="128"/>
        <v>1.500803571428571</v>
      </c>
      <c r="T405" s="265">
        <f t="shared" si="129"/>
        <v>0.82693877551020412</v>
      </c>
      <c r="U405" s="265">
        <f t="shared" ca="1" si="130"/>
        <v>85.066242857216139</v>
      </c>
      <c r="V405" s="265">
        <f t="shared" ca="1" si="131"/>
        <v>2.3554464724446365</v>
      </c>
      <c r="W405" s="258">
        <f t="shared" ca="1" si="132"/>
        <v>19.717695453857782</v>
      </c>
      <c r="X405" s="265">
        <f t="shared" si="133"/>
        <v>2.5249365671641786</v>
      </c>
      <c r="Y405" s="265">
        <f t="shared" si="134"/>
        <v>1.500803571428571</v>
      </c>
      <c r="Z405" s="265">
        <f t="shared" si="135"/>
        <v>0.82693877551020412</v>
      </c>
      <c r="AA405" s="265">
        <f t="shared" ca="1" si="136"/>
        <v>24.570374367960735</v>
      </c>
      <c r="AB405" s="265">
        <f t="shared" ca="1" si="137"/>
        <v>0.68034275039981718</v>
      </c>
      <c r="AC405" s="258"/>
      <c r="AD405" s="258"/>
      <c r="AE405" s="258"/>
      <c r="AF405" s="258"/>
      <c r="AG405" s="258"/>
      <c r="AH405" s="258"/>
      <c r="AI405" s="258"/>
      <c r="AJ405" s="258"/>
      <c r="AK405" s="258"/>
      <c r="AL405" s="258"/>
      <c r="AM405" s="258"/>
    </row>
    <row r="406" spans="3:39" x14ac:dyDescent="0.25">
      <c r="C406" s="255" t="s">
        <v>6339</v>
      </c>
      <c r="D406" s="258">
        <v>35.639000000000003</v>
      </c>
      <c r="E406" s="258">
        <v>1.5107964473723103</v>
      </c>
      <c r="F406" s="258">
        <v>42.391662150237387</v>
      </c>
      <c r="G406" s="266">
        <f t="shared" si="116"/>
        <v>23.589544482968574</v>
      </c>
      <c r="H406" s="265">
        <f t="shared" si="117"/>
        <v>0.35758706467661688</v>
      </c>
      <c r="I406" s="265">
        <f t="shared" si="118"/>
        <v>0.2790178571428571</v>
      </c>
      <c r="J406" s="265">
        <f t="shared" si="119"/>
        <v>0.14172335600907029</v>
      </c>
      <c r="K406" s="258">
        <f t="shared" ca="1" si="120"/>
        <v>87.7531054766431</v>
      </c>
      <c r="L406" s="265">
        <f t="shared" si="121"/>
        <v>2.5249365671641786</v>
      </c>
      <c r="M406" s="265">
        <f t="shared" si="122"/>
        <v>1.500803571428571</v>
      </c>
      <c r="N406" s="265">
        <f t="shared" si="123"/>
        <v>0.82693877551020412</v>
      </c>
      <c r="O406" s="265">
        <f t="shared" ca="1" si="124"/>
        <v>92.605784390746052</v>
      </c>
      <c r="P406" s="265">
        <f t="shared" ca="1" si="125"/>
        <v>3.8003228800393956</v>
      </c>
      <c r="Q406" s="258">
        <f t="shared" ca="1" si="126"/>
        <v>53.548265976338662</v>
      </c>
      <c r="R406" s="265">
        <f t="shared" si="127"/>
        <v>2.5249365671641786</v>
      </c>
      <c r="S406" s="265">
        <f t="shared" si="128"/>
        <v>1.500803571428571</v>
      </c>
      <c r="T406" s="265">
        <f t="shared" si="129"/>
        <v>0.82693877551020412</v>
      </c>
      <c r="U406" s="265">
        <f t="shared" ca="1" si="130"/>
        <v>58.400944890441615</v>
      </c>
      <c r="V406" s="265">
        <f t="shared" ca="1" si="131"/>
        <v>2.3966369762237387</v>
      </c>
      <c r="W406" s="258">
        <f t="shared" ca="1" si="132"/>
        <v>13.162965821496465</v>
      </c>
      <c r="X406" s="265">
        <f t="shared" si="133"/>
        <v>2.5249365671641786</v>
      </c>
      <c r="Y406" s="265">
        <f t="shared" si="134"/>
        <v>1.500803571428571</v>
      </c>
      <c r="Z406" s="265">
        <f t="shared" si="135"/>
        <v>0.82693877551020412</v>
      </c>
      <c r="AA406" s="265">
        <f t="shared" ca="1" si="136"/>
        <v>18.01564473559942</v>
      </c>
      <c r="AB406" s="265">
        <f t="shared" ca="1" si="137"/>
        <v>0.73931955047725284</v>
      </c>
      <c r="AC406" s="258"/>
      <c r="AD406" s="258"/>
      <c r="AE406" s="258"/>
      <c r="AF406" s="258"/>
      <c r="AG406" s="258"/>
      <c r="AH406" s="258"/>
      <c r="AI406" s="258"/>
      <c r="AJ406" s="258"/>
      <c r="AK406" s="258"/>
      <c r="AL406" s="258"/>
      <c r="AM406" s="258"/>
    </row>
    <row r="407" spans="3:39" x14ac:dyDescent="0.25">
      <c r="C407" s="255" t="s">
        <v>6340</v>
      </c>
      <c r="D407" s="258">
        <v>29.986999999999998</v>
      </c>
      <c r="E407" s="258">
        <v>1.5256637061435916</v>
      </c>
      <c r="F407" s="258">
        <v>50.87750378976196</v>
      </c>
      <c r="G407" s="266">
        <f t="shared" si="116"/>
        <v>19.655052341644744</v>
      </c>
      <c r="H407" s="265">
        <f t="shared" si="117"/>
        <v>0.35758706467661688</v>
      </c>
      <c r="I407" s="265">
        <f t="shared" si="118"/>
        <v>0.2790178571428571</v>
      </c>
      <c r="J407" s="265">
        <f t="shared" si="119"/>
        <v>0.14172335600907029</v>
      </c>
      <c r="K407" s="258">
        <f t="shared" ca="1" si="120"/>
        <v>73.116794710918455</v>
      </c>
      <c r="L407" s="265">
        <f t="shared" si="121"/>
        <v>2.5249365671641786</v>
      </c>
      <c r="M407" s="265">
        <f t="shared" si="122"/>
        <v>1.500803571428571</v>
      </c>
      <c r="N407" s="265">
        <f t="shared" si="123"/>
        <v>0.82693877551020412</v>
      </c>
      <c r="O407" s="265">
        <f t="shared" ca="1" si="124"/>
        <v>77.969473625021408</v>
      </c>
      <c r="P407" s="265">
        <f t="shared" ca="1" si="125"/>
        <v>3.8157892263170314</v>
      </c>
      <c r="Q407" s="258">
        <f t="shared" ca="1" si="126"/>
        <v>44.616968815533568</v>
      </c>
      <c r="R407" s="265">
        <f t="shared" si="127"/>
        <v>2.5249365671641786</v>
      </c>
      <c r="S407" s="265">
        <f t="shared" si="128"/>
        <v>1.500803571428571</v>
      </c>
      <c r="T407" s="265">
        <f t="shared" si="129"/>
        <v>0.82693877551020412</v>
      </c>
      <c r="U407" s="265">
        <f t="shared" ca="1" si="130"/>
        <v>49.46964772963652</v>
      </c>
      <c r="V407" s="265">
        <f t="shared" ca="1" si="131"/>
        <v>2.4210212030451421</v>
      </c>
      <c r="W407" s="258">
        <f t="shared" ca="1" si="132"/>
        <v>10.967519206637768</v>
      </c>
      <c r="X407" s="265">
        <f t="shared" si="133"/>
        <v>2.5249365671641786</v>
      </c>
      <c r="Y407" s="265">
        <f t="shared" si="134"/>
        <v>1.500803571428571</v>
      </c>
      <c r="Z407" s="265">
        <f t="shared" si="135"/>
        <v>0.82693877551020412</v>
      </c>
      <c r="AA407" s="265">
        <f t="shared" ca="1" si="136"/>
        <v>15.820198120740722</v>
      </c>
      <c r="AB407" s="265">
        <f t="shared" ca="1" si="137"/>
        <v>0.77423302660274718</v>
      </c>
      <c r="AC407" s="258"/>
      <c r="AD407" s="258"/>
      <c r="AE407" s="258"/>
      <c r="AF407" s="258"/>
      <c r="AG407" s="258"/>
      <c r="AH407" s="258"/>
      <c r="AI407" s="258"/>
      <c r="AJ407" s="258"/>
      <c r="AK407" s="258"/>
      <c r="AL407" s="258"/>
      <c r="AM407" s="258"/>
    </row>
    <row r="408" spans="3:39" x14ac:dyDescent="0.25">
      <c r="C408" s="255" t="s">
        <v>6341</v>
      </c>
      <c r="D408" s="258">
        <v>37.68</v>
      </c>
      <c r="E408" s="258">
        <v>1.0661946710584651</v>
      </c>
      <c r="F408" s="258">
        <v>28.296036917687502</v>
      </c>
      <c r="G408" s="266">
        <f t="shared" si="116"/>
        <v>35.340638086845033</v>
      </c>
      <c r="H408" s="265">
        <f t="shared" si="117"/>
        <v>0.35758706467661688</v>
      </c>
      <c r="I408" s="265">
        <f t="shared" si="118"/>
        <v>0.2790178571428571</v>
      </c>
      <c r="J408" s="265">
        <f t="shared" si="119"/>
        <v>0.14172335600907029</v>
      </c>
      <c r="K408" s="258">
        <f t="shared" ca="1" si="120"/>
        <v>131.46717368306352</v>
      </c>
      <c r="L408" s="265">
        <f t="shared" si="121"/>
        <v>2.5249365671641786</v>
      </c>
      <c r="M408" s="265">
        <f t="shared" si="122"/>
        <v>1.500803571428571</v>
      </c>
      <c r="N408" s="265">
        <f t="shared" si="123"/>
        <v>0.82693877551020412</v>
      </c>
      <c r="O408" s="265">
        <f t="shared" ca="1" si="124"/>
        <v>136.31985259716649</v>
      </c>
      <c r="P408" s="265">
        <f t="shared" ca="1" si="125"/>
        <v>3.774190302701883</v>
      </c>
      <c r="Q408" s="258">
        <f t="shared" ca="1" si="126"/>
        <v>80.223248457138226</v>
      </c>
      <c r="R408" s="265">
        <f t="shared" si="127"/>
        <v>2.5249365671641786</v>
      </c>
      <c r="S408" s="265">
        <f t="shared" si="128"/>
        <v>1.500803571428571</v>
      </c>
      <c r="T408" s="265">
        <f t="shared" si="129"/>
        <v>0.82693877551020412</v>
      </c>
      <c r="U408" s="265">
        <f t="shared" ca="1" si="130"/>
        <v>85.075927371241178</v>
      </c>
      <c r="V408" s="265">
        <f t="shared" ca="1" si="131"/>
        <v>2.3554363796647935</v>
      </c>
      <c r="W408" s="258">
        <f t="shared" ca="1" si="132"/>
        <v>19.720076052459529</v>
      </c>
      <c r="X408" s="265">
        <f t="shared" si="133"/>
        <v>2.5249365671641786</v>
      </c>
      <c r="Y408" s="265">
        <f t="shared" si="134"/>
        <v>1.500803571428571</v>
      </c>
      <c r="Z408" s="265">
        <f t="shared" si="135"/>
        <v>0.82693877551020412</v>
      </c>
      <c r="AA408" s="265">
        <f t="shared" ca="1" si="136"/>
        <v>24.572754966562481</v>
      </c>
      <c r="AB408" s="265">
        <f t="shared" ca="1" si="137"/>
        <v>0.68032829949962381</v>
      </c>
      <c r="AC408" s="258"/>
      <c r="AD408" s="258"/>
      <c r="AE408" s="258"/>
      <c r="AF408" s="258"/>
      <c r="AG408" s="258"/>
      <c r="AH408" s="258"/>
      <c r="AI408" s="258"/>
      <c r="AJ408" s="258"/>
      <c r="AK408" s="258"/>
      <c r="AL408" s="258"/>
      <c r="AM408" s="258"/>
    </row>
    <row r="409" spans="3:39" x14ac:dyDescent="0.25">
      <c r="C409" s="255" t="s">
        <v>6342</v>
      </c>
      <c r="D409" s="258">
        <v>26.219000000000001</v>
      </c>
      <c r="E409" s="258">
        <v>1.11079644737231</v>
      </c>
      <c r="F409" s="258">
        <v>42.366087469861938</v>
      </c>
      <c r="G409" s="266">
        <f t="shared" si="116"/>
        <v>23.603784529580942</v>
      </c>
      <c r="H409" s="265">
        <f t="shared" si="117"/>
        <v>0.35758706467661688</v>
      </c>
      <c r="I409" s="265">
        <f t="shared" si="118"/>
        <v>0.2790178571428571</v>
      </c>
      <c r="J409" s="265">
        <f t="shared" si="119"/>
        <v>0.14172335600907029</v>
      </c>
      <c r="K409" s="258">
        <f t="shared" ca="1" si="120"/>
        <v>87.806078450041113</v>
      </c>
      <c r="L409" s="265">
        <f t="shared" si="121"/>
        <v>2.5249365671641786</v>
      </c>
      <c r="M409" s="265">
        <f t="shared" si="122"/>
        <v>1.500803571428571</v>
      </c>
      <c r="N409" s="265">
        <f t="shared" si="123"/>
        <v>0.82693877551020412</v>
      </c>
      <c r="O409" s="265">
        <f t="shared" ca="1" si="124"/>
        <v>92.658757364144066</v>
      </c>
      <c r="P409" s="265">
        <f t="shared" ca="1" si="125"/>
        <v>3.8002759685364906</v>
      </c>
      <c r="Q409" s="258">
        <f t="shared" ca="1" si="126"/>
        <v>53.580590882148741</v>
      </c>
      <c r="R409" s="265">
        <f t="shared" si="127"/>
        <v>2.5249365671641786</v>
      </c>
      <c r="S409" s="265">
        <f t="shared" si="128"/>
        <v>1.500803571428571</v>
      </c>
      <c r="T409" s="265">
        <f t="shared" si="129"/>
        <v>0.82693877551020412</v>
      </c>
      <c r="U409" s="265">
        <f t="shared" ca="1" si="130"/>
        <v>58.433269796251693</v>
      </c>
      <c r="V409" s="265">
        <f t="shared" ca="1" si="131"/>
        <v>2.3965630155929056</v>
      </c>
      <c r="W409" s="258">
        <f t="shared" ca="1" si="132"/>
        <v>13.170911767506167</v>
      </c>
      <c r="X409" s="265">
        <f t="shared" si="133"/>
        <v>2.5249365671641786</v>
      </c>
      <c r="Y409" s="265">
        <f t="shared" si="134"/>
        <v>1.500803571428571</v>
      </c>
      <c r="Z409" s="265">
        <f t="shared" si="135"/>
        <v>0.82693877551020412</v>
      </c>
      <c r="AA409" s="265">
        <f t="shared" ca="1" si="136"/>
        <v>18.023590681609122</v>
      </c>
      <c r="AB409" s="265">
        <f t="shared" ca="1" si="137"/>
        <v>0.73921365322089427</v>
      </c>
      <c r="AC409" s="258"/>
      <c r="AD409" s="258"/>
      <c r="AE409" s="258"/>
      <c r="AF409" s="258"/>
      <c r="AG409" s="258"/>
      <c r="AH409" s="258"/>
      <c r="AI409" s="258"/>
      <c r="AJ409" s="258"/>
      <c r="AK409" s="258"/>
      <c r="AL409" s="258"/>
      <c r="AM409" s="258"/>
    </row>
    <row r="410" spans="3:39" x14ac:dyDescent="0.25">
      <c r="C410" s="255" t="s">
        <v>6343</v>
      </c>
      <c r="D410" s="258">
        <v>22.137</v>
      </c>
      <c r="E410" s="258">
        <v>1.1256637061435917</v>
      </c>
      <c r="F410" s="258">
        <v>50.849876051117661</v>
      </c>
      <c r="G410" s="266">
        <f t="shared" si="116"/>
        <v>19.66573131849395</v>
      </c>
      <c r="H410" s="265">
        <f t="shared" si="117"/>
        <v>0.35758706467661688</v>
      </c>
      <c r="I410" s="265">
        <f t="shared" si="118"/>
        <v>0.2790178571428571</v>
      </c>
      <c r="J410" s="265">
        <f t="shared" si="119"/>
        <v>0.14172335600907029</v>
      </c>
      <c r="K410" s="258">
        <f t="shared" ca="1" si="120"/>
        <v>73.156520504797498</v>
      </c>
      <c r="L410" s="265">
        <f t="shared" si="121"/>
        <v>2.5249365671641786</v>
      </c>
      <c r="M410" s="265">
        <f t="shared" si="122"/>
        <v>1.500803571428571</v>
      </c>
      <c r="N410" s="265">
        <f t="shared" si="123"/>
        <v>0.82693877551020412</v>
      </c>
      <c r="O410" s="265">
        <f t="shared" ca="1" si="124"/>
        <v>78.009199418900451</v>
      </c>
      <c r="P410" s="265">
        <f t="shared" ca="1" si="125"/>
        <v>3.8157391907100902</v>
      </c>
      <c r="Q410" s="258">
        <f t="shared" ca="1" si="126"/>
        <v>44.641210092981268</v>
      </c>
      <c r="R410" s="265">
        <f t="shared" si="127"/>
        <v>2.5249365671641786</v>
      </c>
      <c r="S410" s="265">
        <f t="shared" si="128"/>
        <v>1.500803571428571</v>
      </c>
      <c r="T410" s="265">
        <f t="shared" si="129"/>
        <v>0.82693877551020412</v>
      </c>
      <c r="U410" s="265">
        <f t="shared" ca="1" si="130"/>
        <v>49.493889007084221</v>
      </c>
      <c r="V410" s="265">
        <f t="shared" ca="1" si="131"/>
        <v>2.4209423169548598</v>
      </c>
      <c r="W410" s="258">
        <f t="shared" ca="1" si="132"/>
        <v>10.973478075719626</v>
      </c>
      <c r="X410" s="265">
        <f t="shared" si="133"/>
        <v>2.5249365671641786</v>
      </c>
      <c r="Y410" s="265">
        <f t="shared" si="134"/>
        <v>1.500803571428571</v>
      </c>
      <c r="Z410" s="265">
        <f t="shared" si="135"/>
        <v>0.82693877551020412</v>
      </c>
      <c r="AA410" s="265">
        <f t="shared" ca="1" si="136"/>
        <v>15.82615698982258</v>
      </c>
      <c r="AB410" s="265">
        <f t="shared" ca="1" si="137"/>
        <v>0.77412007704523667</v>
      </c>
      <c r="AC410" s="258"/>
      <c r="AD410" s="258"/>
      <c r="AE410" s="258"/>
      <c r="AF410" s="258"/>
      <c r="AG410" s="258"/>
      <c r="AH410" s="258"/>
      <c r="AI410" s="258"/>
      <c r="AJ410" s="258"/>
      <c r="AK410" s="258"/>
      <c r="AL410" s="258"/>
      <c r="AM410" s="258"/>
    </row>
    <row r="411" spans="3:39" x14ac:dyDescent="0.25">
      <c r="C411" s="255" t="s">
        <v>6344</v>
      </c>
      <c r="D411" s="258">
        <v>17.976500000000001</v>
      </c>
      <c r="E411" s="258">
        <v>1.1405309649148734</v>
      </c>
      <c r="F411" s="258">
        <v>63.445663222255348</v>
      </c>
      <c r="G411" s="266">
        <f t="shared" si="116"/>
        <v>15.761518584759973</v>
      </c>
      <c r="H411" s="265">
        <f t="shared" si="117"/>
        <v>0.35758706467661688</v>
      </c>
      <c r="I411" s="265">
        <f t="shared" si="118"/>
        <v>0.2790178571428571</v>
      </c>
      <c r="J411" s="265">
        <f t="shared" si="119"/>
        <v>0.14172335600907029</v>
      </c>
      <c r="K411" s="258">
        <f t="shared" ca="1" si="120"/>
        <v>58.632849135307104</v>
      </c>
      <c r="L411" s="265">
        <f t="shared" si="121"/>
        <v>2.5249365671641786</v>
      </c>
      <c r="M411" s="265">
        <f t="shared" si="122"/>
        <v>1.500803571428571</v>
      </c>
      <c r="N411" s="265">
        <f t="shared" si="123"/>
        <v>0.82693877551020412</v>
      </c>
      <c r="O411" s="265">
        <f t="shared" ca="1" si="124"/>
        <v>63.485528049410057</v>
      </c>
      <c r="P411" s="265">
        <f t="shared" ca="1" si="125"/>
        <v>3.8383383218019982</v>
      </c>
      <c r="Q411" s="258">
        <f t="shared" ca="1" si="126"/>
        <v>35.778647187405141</v>
      </c>
      <c r="R411" s="265">
        <f t="shared" si="127"/>
        <v>2.5249365671641786</v>
      </c>
      <c r="S411" s="265">
        <f t="shared" si="128"/>
        <v>1.500803571428571</v>
      </c>
      <c r="T411" s="265">
        <f t="shared" si="129"/>
        <v>0.82693877551020412</v>
      </c>
      <c r="U411" s="265">
        <f t="shared" ca="1" si="130"/>
        <v>40.631326101508094</v>
      </c>
      <c r="V411" s="265">
        <f t="shared" ca="1" si="131"/>
        <v>2.4565720855259001</v>
      </c>
      <c r="W411" s="258">
        <f t="shared" ca="1" si="132"/>
        <v>8.7949273702960653</v>
      </c>
      <c r="X411" s="265">
        <f t="shared" si="133"/>
        <v>2.5249365671641786</v>
      </c>
      <c r="Y411" s="265">
        <f t="shared" si="134"/>
        <v>1.500803571428571</v>
      </c>
      <c r="Z411" s="265">
        <f t="shared" si="135"/>
        <v>0.82693877551020412</v>
      </c>
      <c r="AA411" s="265">
        <f t="shared" ca="1" si="136"/>
        <v>13.64760628439902</v>
      </c>
      <c r="AB411" s="265">
        <f t="shared" ca="1" si="137"/>
        <v>0.82513498448819023</v>
      </c>
      <c r="AC411" s="258"/>
      <c r="AD411" s="258"/>
      <c r="AE411" s="258"/>
      <c r="AF411" s="258"/>
      <c r="AG411" s="258"/>
      <c r="AH411" s="258"/>
      <c r="AI411" s="258"/>
      <c r="AJ411" s="258"/>
      <c r="AK411" s="258"/>
      <c r="AL411" s="258"/>
      <c r="AM411" s="258"/>
    </row>
    <row r="412" spans="3:39" x14ac:dyDescent="0.25">
      <c r="C412" s="255" t="s">
        <v>6345</v>
      </c>
      <c r="D412" s="258">
        <v>30.614999999999998</v>
      </c>
      <c r="E412" s="258">
        <v>0.86619467105846515</v>
      </c>
      <c r="F412" s="258">
        <v>28.293146204751434</v>
      </c>
      <c r="G412" s="266">
        <f t="shared" si="116"/>
        <v>35.34424884257178</v>
      </c>
      <c r="H412" s="265">
        <f t="shared" si="117"/>
        <v>0.35758706467661688</v>
      </c>
      <c r="I412" s="265">
        <f t="shared" si="118"/>
        <v>0.2790178571428571</v>
      </c>
      <c r="J412" s="265">
        <f t="shared" si="119"/>
        <v>0.14172335600907029</v>
      </c>
      <c r="K412" s="258">
        <f t="shared" ca="1" si="120"/>
        <v>131.48060569436703</v>
      </c>
      <c r="L412" s="265">
        <f t="shared" si="121"/>
        <v>2.5249365671641786</v>
      </c>
      <c r="M412" s="265">
        <f t="shared" si="122"/>
        <v>1.500803571428571</v>
      </c>
      <c r="N412" s="265">
        <f t="shared" si="123"/>
        <v>0.82693877551020412</v>
      </c>
      <c r="O412" s="265">
        <f t="shared" ca="1" si="124"/>
        <v>136.33328460847</v>
      </c>
      <c r="P412" s="265">
        <f t="shared" ca="1" si="125"/>
        <v>3.7741848859248583</v>
      </c>
      <c r="Q412" s="258">
        <f t="shared" ca="1" si="126"/>
        <v>80.231444872637937</v>
      </c>
      <c r="R412" s="265">
        <f t="shared" si="127"/>
        <v>2.5249365671641786</v>
      </c>
      <c r="S412" s="265">
        <f t="shared" si="128"/>
        <v>1.500803571428571</v>
      </c>
      <c r="T412" s="265">
        <f t="shared" si="129"/>
        <v>0.82693877551020412</v>
      </c>
      <c r="U412" s="265">
        <f t="shared" ca="1" si="130"/>
        <v>85.084123786740889</v>
      </c>
      <c r="V412" s="265">
        <f t="shared" ca="1" si="131"/>
        <v>2.355427839579292</v>
      </c>
      <c r="W412" s="258">
        <f t="shared" ca="1" si="132"/>
        <v>19.722090854155056</v>
      </c>
      <c r="X412" s="265">
        <f t="shared" si="133"/>
        <v>2.5249365671641786</v>
      </c>
      <c r="Y412" s="265">
        <f t="shared" si="134"/>
        <v>1.500803571428571</v>
      </c>
      <c r="Z412" s="265">
        <f t="shared" si="135"/>
        <v>0.82693877551020412</v>
      </c>
      <c r="AA412" s="265">
        <f t="shared" ca="1" si="136"/>
        <v>24.574769768258008</v>
      </c>
      <c r="AB412" s="265">
        <f t="shared" ca="1" si="137"/>
        <v>0.68031607175611342</v>
      </c>
      <c r="AC412" s="258"/>
      <c r="AD412" s="258"/>
      <c r="AE412" s="258"/>
      <c r="AF412" s="258"/>
      <c r="AG412" s="258"/>
      <c r="AH412" s="258"/>
      <c r="AI412" s="258"/>
      <c r="AJ412" s="258"/>
      <c r="AK412" s="258"/>
      <c r="AL412" s="258"/>
      <c r="AM412" s="258"/>
    </row>
    <row r="413" spans="3:39" x14ac:dyDescent="0.25">
      <c r="C413" s="255" t="s">
        <v>6346</v>
      </c>
      <c r="D413" s="258">
        <v>21.509</v>
      </c>
      <c r="E413" s="258">
        <v>0.91079644737231003</v>
      </c>
      <c r="F413" s="258">
        <v>42.344899687215118</v>
      </c>
      <c r="G413" s="266">
        <f t="shared" si="116"/>
        <v>23.615594968617259</v>
      </c>
      <c r="H413" s="265">
        <f t="shared" si="117"/>
        <v>0.35758706467661688</v>
      </c>
      <c r="I413" s="265">
        <f t="shared" si="118"/>
        <v>0.2790178571428571</v>
      </c>
      <c r="J413" s="265">
        <f t="shared" si="119"/>
        <v>0.14172335600907029</v>
      </c>
      <c r="K413" s="258">
        <f t="shared" ca="1" si="120"/>
        <v>87.850013283256203</v>
      </c>
      <c r="L413" s="265">
        <f t="shared" si="121"/>
        <v>2.5249365671641786</v>
      </c>
      <c r="M413" s="265">
        <f t="shared" si="122"/>
        <v>1.500803571428571</v>
      </c>
      <c r="N413" s="265">
        <f t="shared" si="123"/>
        <v>0.82693877551020412</v>
      </c>
      <c r="O413" s="265">
        <f t="shared" ca="1" si="124"/>
        <v>92.702692197359156</v>
      </c>
      <c r="P413" s="265">
        <f t="shared" ca="1" si="125"/>
        <v>3.8002371025278165</v>
      </c>
      <c r="Q413" s="258">
        <f t="shared" ca="1" si="126"/>
        <v>53.60740057876118</v>
      </c>
      <c r="R413" s="265">
        <f t="shared" si="127"/>
        <v>2.5249365671641786</v>
      </c>
      <c r="S413" s="265">
        <f t="shared" si="128"/>
        <v>1.500803571428571</v>
      </c>
      <c r="T413" s="265">
        <f t="shared" si="129"/>
        <v>0.82693877551020412</v>
      </c>
      <c r="U413" s="265">
        <f t="shared" ca="1" si="130"/>
        <v>58.460079492864132</v>
      </c>
      <c r="V413" s="265">
        <f t="shared" ca="1" si="131"/>
        <v>2.396501739480621</v>
      </c>
      <c r="W413" s="258">
        <f t="shared" ca="1" si="132"/>
        <v>13.177501992488432</v>
      </c>
      <c r="X413" s="265">
        <f t="shared" si="133"/>
        <v>2.5249365671641786</v>
      </c>
      <c r="Y413" s="265">
        <f t="shared" si="134"/>
        <v>1.500803571428571</v>
      </c>
      <c r="Z413" s="265">
        <f t="shared" si="135"/>
        <v>0.82693877551020412</v>
      </c>
      <c r="AA413" s="265">
        <f t="shared" ca="1" si="136"/>
        <v>18.030180906591387</v>
      </c>
      <c r="AB413" s="265">
        <f t="shared" ca="1" si="137"/>
        <v>0.73912591773110481</v>
      </c>
      <c r="AC413" s="258"/>
      <c r="AD413" s="258"/>
      <c r="AE413" s="258"/>
      <c r="AF413" s="258"/>
      <c r="AG413" s="258"/>
      <c r="AH413" s="258"/>
      <c r="AI413" s="258"/>
      <c r="AJ413" s="258"/>
      <c r="AK413" s="258"/>
      <c r="AL413" s="258"/>
      <c r="AM413" s="258"/>
    </row>
    <row r="414" spans="3:39" x14ac:dyDescent="0.25">
      <c r="C414" s="255" t="s">
        <v>6347</v>
      </c>
      <c r="D414" s="258">
        <v>18.212</v>
      </c>
      <c r="E414" s="258">
        <v>0.92566370614359172</v>
      </c>
      <c r="F414" s="258">
        <v>50.827130800768273</v>
      </c>
      <c r="G414" s="266">
        <f t="shared" si="116"/>
        <v>19.67453177555489</v>
      </c>
      <c r="H414" s="265">
        <f t="shared" si="117"/>
        <v>0.35758706467661688</v>
      </c>
      <c r="I414" s="265">
        <f t="shared" si="118"/>
        <v>0.2790178571428571</v>
      </c>
      <c r="J414" s="265">
        <f t="shared" si="119"/>
        <v>0.14172335600907029</v>
      </c>
      <c r="K414" s="258">
        <f t="shared" ca="1" si="120"/>
        <v>73.189258205064192</v>
      </c>
      <c r="L414" s="265">
        <f t="shared" si="121"/>
        <v>2.5249365671641786</v>
      </c>
      <c r="M414" s="265">
        <f t="shared" si="122"/>
        <v>1.500803571428571</v>
      </c>
      <c r="N414" s="265">
        <f t="shared" si="123"/>
        <v>0.82693877551020412</v>
      </c>
      <c r="O414" s="265">
        <f t="shared" ca="1" si="124"/>
        <v>78.041937119167144</v>
      </c>
      <c r="P414" s="265">
        <f t="shared" ca="1" si="125"/>
        <v>3.8156979960490647</v>
      </c>
      <c r="Q414" s="258">
        <f t="shared" ca="1" si="126"/>
        <v>44.661187130509603</v>
      </c>
      <c r="R414" s="265">
        <f t="shared" si="127"/>
        <v>2.5249365671641786</v>
      </c>
      <c r="S414" s="265">
        <f t="shared" si="128"/>
        <v>1.500803571428571</v>
      </c>
      <c r="T414" s="265">
        <f t="shared" si="129"/>
        <v>0.82693877551020412</v>
      </c>
      <c r="U414" s="265">
        <f t="shared" ca="1" si="130"/>
        <v>49.513866044612556</v>
      </c>
      <c r="V414" s="265">
        <f t="shared" ca="1" si="131"/>
        <v>2.4208773694914942</v>
      </c>
      <c r="W414" s="258">
        <f t="shared" ca="1" si="132"/>
        <v>10.97838873075963</v>
      </c>
      <c r="X414" s="265">
        <f t="shared" si="133"/>
        <v>2.5249365671641786</v>
      </c>
      <c r="Y414" s="265">
        <f t="shared" si="134"/>
        <v>1.500803571428571</v>
      </c>
      <c r="Z414" s="265">
        <f t="shared" si="135"/>
        <v>0.82693877551020412</v>
      </c>
      <c r="AA414" s="265">
        <f t="shared" ca="1" si="136"/>
        <v>15.831067644862584</v>
      </c>
      <c r="AB414" s="265">
        <f t="shared" ca="1" si="137"/>
        <v>0.77402708489386607</v>
      </c>
      <c r="AC414" s="258"/>
      <c r="AD414" s="258"/>
      <c r="AE414" s="258"/>
      <c r="AF414" s="258"/>
      <c r="AG414" s="258"/>
      <c r="AH414" s="258"/>
      <c r="AI414" s="258"/>
      <c r="AJ414" s="258"/>
      <c r="AK414" s="258"/>
      <c r="AL414" s="258"/>
      <c r="AM414" s="258"/>
    </row>
    <row r="415" spans="3:39" x14ac:dyDescent="0.25">
      <c r="C415" s="255" t="s">
        <v>6348</v>
      </c>
      <c r="D415" s="258">
        <v>14.836499999999999</v>
      </c>
      <c r="E415" s="258">
        <v>0.94053096491487342</v>
      </c>
      <c r="F415" s="258">
        <v>63.393048556928747</v>
      </c>
      <c r="G415" s="266">
        <f t="shared" si="116"/>
        <v>15.774600256082836</v>
      </c>
      <c r="H415" s="265">
        <f t="shared" si="117"/>
        <v>0.35758706467661688</v>
      </c>
      <c r="I415" s="265">
        <f t="shared" si="118"/>
        <v>0.2790178571428571</v>
      </c>
      <c r="J415" s="265">
        <f t="shared" si="119"/>
        <v>0.14172335600907029</v>
      </c>
      <c r="K415" s="258">
        <f t="shared" ca="1" si="120"/>
        <v>58.681512952628154</v>
      </c>
      <c r="L415" s="265">
        <f t="shared" si="121"/>
        <v>2.5249365671641786</v>
      </c>
      <c r="M415" s="265">
        <f t="shared" si="122"/>
        <v>1.500803571428571</v>
      </c>
      <c r="N415" s="265">
        <f t="shared" si="123"/>
        <v>0.82693877551020412</v>
      </c>
      <c r="O415" s="265">
        <f t="shared" ca="1" si="124"/>
        <v>63.534191866731106</v>
      </c>
      <c r="P415" s="265">
        <f t="shared" ca="1" si="125"/>
        <v>3.8382447997990763</v>
      </c>
      <c r="Q415" s="258">
        <f t="shared" ca="1" si="126"/>
        <v>35.80834258130804</v>
      </c>
      <c r="R415" s="265">
        <f t="shared" si="127"/>
        <v>2.5249365671641786</v>
      </c>
      <c r="S415" s="265">
        <f t="shared" si="128"/>
        <v>1.500803571428571</v>
      </c>
      <c r="T415" s="265">
        <f t="shared" si="129"/>
        <v>0.82693877551020412</v>
      </c>
      <c r="U415" s="265">
        <f t="shared" ca="1" si="130"/>
        <v>40.661021495410992</v>
      </c>
      <c r="V415" s="265">
        <f t="shared" ca="1" si="131"/>
        <v>2.4564246388251023</v>
      </c>
      <c r="W415" s="258">
        <f t="shared" ca="1" si="132"/>
        <v>8.8022269428942241</v>
      </c>
      <c r="X415" s="265">
        <f t="shared" si="133"/>
        <v>2.5249365671641786</v>
      </c>
      <c r="Y415" s="265">
        <f t="shared" si="134"/>
        <v>1.500803571428571</v>
      </c>
      <c r="Z415" s="265">
        <f t="shared" si="135"/>
        <v>0.82693877551020412</v>
      </c>
      <c r="AA415" s="265">
        <f t="shared" ca="1" si="136"/>
        <v>13.654905856997178</v>
      </c>
      <c r="AB415" s="265">
        <f t="shared" ca="1" si="137"/>
        <v>0.82492386945445162</v>
      </c>
      <c r="AC415" s="258"/>
      <c r="AD415" s="258"/>
      <c r="AE415" s="258"/>
      <c r="AF415" s="258"/>
      <c r="AG415" s="258"/>
      <c r="AH415" s="258"/>
      <c r="AI415" s="258"/>
      <c r="AJ415" s="258"/>
      <c r="AK415" s="258"/>
      <c r="AL415" s="258"/>
      <c r="AM415" s="258"/>
    </row>
    <row r="416" spans="3:39" x14ac:dyDescent="0.25">
      <c r="C416" s="255" t="s">
        <v>6349</v>
      </c>
      <c r="D416" s="258">
        <v>16.798999999999999</v>
      </c>
      <c r="E416" s="258">
        <v>0.71079644737231007</v>
      </c>
      <c r="F416" s="258">
        <v>42.311830904953275</v>
      </c>
      <c r="G416" s="266">
        <f t="shared" si="116"/>
        <v>23.634051720577613</v>
      </c>
      <c r="H416" s="265">
        <f t="shared" si="117"/>
        <v>0.35758706467661688</v>
      </c>
      <c r="I416" s="265">
        <f t="shared" si="118"/>
        <v>0.2790178571428571</v>
      </c>
      <c r="J416" s="265">
        <f t="shared" si="119"/>
        <v>0.14172335600907029</v>
      </c>
      <c r="K416" s="258">
        <f t="shared" ca="1" si="120"/>
        <v>87.918672400548729</v>
      </c>
      <c r="L416" s="265">
        <f t="shared" si="121"/>
        <v>2.5249365671641786</v>
      </c>
      <c r="M416" s="265">
        <f t="shared" si="122"/>
        <v>1.500803571428571</v>
      </c>
      <c r="N416" s="265">
        <f t="shared" si="123"/>
        <v>0.82693877551020412</v>
      </c>
      <c r="O416" s="265">
        <f t="shared" ca="1" si="124"/>
        <v>92.771351314651682</v>
      </c>
      <c r="P416" s="265">
        <f t="shared" ca="1" si="125"/>
        <v>3.8001764400156217</v>
      </c>
      <c r="Q416" s="258">
        <f t="shared" ca="1" si="126"/>
        <v>53.649297405711181</v>
      </c>
      <c r="R416" s="265">
        <f t="shared" si="127"/>
        <v>2.5249365671641786</v>
      </c>
      <c r="S416" s="265">
        <f t="shared" si="128"/>
        <v>1.500803571428571</v>
      </c>
      <c r="T416" s="265">
        <f t="shared" si="129"/>
        <v>0.82693877551020412</v>
      </c>
      <c r="U416" s="265">
        <f t="shared" ca="1" si="130"/>
        <v>58.501976319814133</v>
      </c>
      <c r="V416" s="265">
        <f t="shared" ca="1" si="131"/>
        <v>2.3964060990216285</v>
      </c>
      <c r="W416" s="258">
        <f t="shared" ca="1" si="132"/>
        <v>13.187800860082309</v>
      </c>
      <c r="X416" s="265">
        <f t="shared" si="133"/>
        <v>2.5249365671641786</v>
      </c>
      <c r="Y416" s="265">
        <f t="shared" si="134"/>
        <v>1.500803571428571</v>
      </c>
      <c r="Z416" s="265">
        <f t="shared" si="135"/>
        <v>0.82693877551020412</v>
      </c>
      <c r="AA416" s="265">
        <f t="shared" ca="1" si="136"/>
        <v>18.040479774185261</v>
      </c>
      <c r="AB416" s="265">
        <f t="shared" ca="1" si="137"/>
        <v>0.73898897917216966</v>
      </c>
      <c r="AC416" s="258"/>
      <c r="AD416" s="258"/>
      <c r="AE416" s="258"/>
      <c r="AF416" s="258"/>
      <c r="AG416" s="258"/>
      <c r="AH416" s="258"/>
      <c r="AI416" s="258"/>
      <c r="AJ416" s="258"/>
      <c r="AK416" s="258"/>
      <c r="AL416" s="258"/>
      <c r="AM416" s="258"/>
    </row>
    <row r="417" spans="3:39" x14ac:dyDescent="0.25">
      <c r="C417" s="255" t="s">
        <v>6350</v>
      </c>
      <c r="D417" s="258">
        <v>14.287000000000001</v>
      </c>
      <c r="E417" s="258">
        <v>0.72566370614359177</v>
      </c>
      <c r="F417" s="258">
        <v>50.791888160117011</v>
      </c>
      <c r="G417" s="266">
        <f t="shared" si="116"/>
        <v>19.688183216335393</v>
      </c>
      <c r="H417" s="265">
        <f t="shared" si="117"/>
        <v>0.35758706467661688</v>
      </c>
      <c r="I417" s="265">
        <f t="shared" si="118"/>
        <v>0.2790178571428571</v>
      </c>
      <c r="J417" s="265">
        <f t="shared" si="119"/>
        <v>0.14172335600907029</v>
      </c>
      <c r="K417" s="258">
        <f t="shared" ca="1" si="120"/>
        <v>73.240041564767665</v>
      </c>
      <c r="L417" s="265">
        <f t="shared" si="121"/>
        <v>2.5249365671641786</v>
      </c>
      <c r="M417" s="265">
        <f t="shared" si="122"/>
        <v>1.500803571428571</v>
      </c>
      <c r="N417" s="265">
        <f t="shared" si="123"/>
        <v>0.82693877551020412</v>
      </c>
      <c r="O417" s="265">
        <f t="shared" ca="1" si="124"/>
        <v>78.092720478870618</v>
      </c>
      <c r="P417" s="265">
        <f t="shared" ca="1" si="125"/>
        <v>3.8156341641876237</v>
      </c>
      <c r="Q417" s="258">
        <f t="shared" ca="1" si="126"/>
        <v>44.692175901081342</v>
      </c>
      <c r="R417" s="265">
        <f t="shared" si="127"/>
        <v>2.5249365671641786</v>
      </c>
      <c r="S417" s="265">
        <f t="shared" si="128"/>
        <v>1.500803571428571</v>
      </c>
      <c r="T417" s="265">
        <f t="shared" si="129"/>
        <v>0.82693877551020412</v>
      </c>
      <c r="U417" s="265">
        <f t="shared" ca="1" si="130"/>
        <v>49.544854815184294</v>
      </c>
      <c r="V417" s="265">
        <f t="shared" ca="1" si="131"/>
        <v>2.4207767322394975</v>
      </c>
      <c r="W417" s="258">
        <f t="shared" ca="1" si="132"/>
        <v>10.98600623471515</v>
      </c>
      <c r="X417" s="265">
        <f t="shared" si="133"/>
        <v>2.5249365671641786</v>
      </c>
      <c r="Y417" s="265">
        <f t="shared" si="134"/>
        <v>1.500803571428571</v>
      </c>
      <c r="Z417" s="265">
        <f t="shared" si="135"/>
        <v>0.82693877551020412</v>
      </c>
      <c r="AA417" s="265">
        <f t="shared" ca="1" si="136"/>
        <v>15.838685148818104</v>
      </c>
      <c r="AB417" s="265">
        <f t="shared" ca="1" si="137"/>
        <v>0.77388299189798582</v>
      </c>
      <c r="AC417" s="258"/>
      <c r="AD417" s="258"/>
      <c r="AE417" s="258"/>
      <c r="AF417" s="258"/>
      <c r="AG417" s="258"/>
      <c r="AH417" s="258"/>
      <c r="AI417" s="258"/>
      <c r="AJ417" s="258"/>
      <c r="AK417" s="258"/>
      <c r="AL417" s="258"/>
      <c r="AM417" s="258"/>
    </row>
    <row r="418" spans="3:39" x14ac:dyDescent="0.25">
      <c r="C418" s="255" t="s">
        <v>6351</v>
      </c>
      <c r="D418" s="258">
        <v>11.6965</v>
      </c>
      <c r="E418" s="258">
        <v>0.74053096491487347</v>
      </c>
      <c r="F418" s="258">
        <v>63.312184406863025</v>
      </c>
      <c r="G418" s="266">
        <f t="shared" ref="G418:G481" si="138">D418/E418</f>
        <v>15.794748031021975</v>
      </c>
      <c r="H418" s="265">
        <f t="shared" ref="H418:H481" si="139">$AJ$40</f>
        <v>0.35758706467661688</v>
      </c>
      <c r="I418" s="265">
        <f t="shared" ref="I418:I481" si="140">$AK$40</f>
        <v>0.2790178571428571</v>
      </c>
      <c r="J418" s="265">
        <f t="shared" ref="J418:J481" si="141">$AL$40</f>
        <v>0.14172335600907029</v>
      </c>
      <c r="K418" s="258">
        <f t="shared" ref="K418:K481" ca="1" si="142">K$30*$G418</f>
        <v>58.75646267540175</v>
      </c>
      <c r="L418" s="265">
        <f t="shared" ref="L418:L481" si="143">L$30*$H418</f>
        <v>2.5249365671641786</v>
      </c>
      <c r="M418" s="265">
        <f t="shared" ref="M418:M481" si="144">M$30*$I418</f>
        <v>1.500803571428571</v>
      </c>
      <c r="N418" s="265">
        <f t="shared" ref="N418:N481" si="145">N$30*$J418</f>
        <v>0.82693877551020412</v>
      </c>
      <c r="O418" s="265">
        <f t="shared" ref="O418:O481" ca="1" si="146">SUM(K418:N418)</f>
        <v>63.609141589504702</v>
      </c>
      <c r="P418" s="265">
        <f t="shared" ref="P418:P481" ca="1" si="147">O418/SUM($G418:$J418)</f>
        <v>3.8381010504088193</v>
      </c>
      <c r="Q418" s="258">
        <f t="shared" ref="Q418:Q481" ca="1" si="148">Q$30*$G418</f>
        <v>35.854078030419885</v>
      </c>
      <c r="R418" s="265">
        <f t="shared" ref="R418:R481" si="149">R$30*$H418</f>
        <v>2.5249365671641786</v>
      </c>
      <c r="S418" s="265">
        <f t="shared" ref="S418:S481" si="150">S$30*$I418</f>
        <v>1.500803571428571</v>
      </c>
      <c r="T418" s="265">
        <f t="shared" ref="T418:T481" si="151">T$30*$J418</f>
        <v>0.82693877551020412</v>
      </c>
      <c r="U418" s="265">
        <f t="shared" ref="U418:U481" ca="1" si="152">SUM(Q418:T418)</f>
        <v>40.706756944522837</v>
      </c>
      <c r="V418" s="265">
        <f t="shared" ref="V418:V481" ca="1" si="153">U418/SUM($G418:$J418)</f>
        <v>2.4561980036732352</v>
      </c>
      <c r="W418" s="258">
        <f t="shared" ref="W418:W481" ca="1" si="154">W$30*$G418</f>
        <v>8.8134694013102628</v>
      </c>
      <c r="X418" s="265">
        <f t="shared" ref="X418:X481" si="155">X$30*$H418</f>
        <v>2.5249365671641786</v>
      </c>
      <c r="Y418" s="265">
        <f t="shared" ref="Y418:Y481" si="156">Y$30*$I418</f>
        <v>1.500803571428571</v>
      </c>
      <c r="Z418" s="265">
        <f t="shared" ref="Z418:Z481" si="157">Z$30*$J418</f>
        <v>0.82693877551020412</v>
      </c>
      <c r="AA418" s="265">
        <f t="shared" ref="AA418:AA481" ca="1" si="158">SUM(W418:Z418)</f>
        <v>13.666148315413217</v>
      </c>
      <c r="AB418" s="265">
        <f t="shared" ref="AB418:AB481" ca="1" si="159">AA418/SUM($G418:$J418)</f>
        <v>0.82459937194129029</v>
      </c>
      <c r="AC418" s="258"/>
      <c r="AD418" s="258"/>
      <c r="AE418" s="258"/>
      <c r="AF418" s="258"/>
      <c r="AG418" s="258"/>
      <c r="AH418" s="258"/>
      <c r="AI418" s="258"/>
      <c r="AJ418" s="258"/>
      <c r="AK418" s="258"/>
      <c r="AL418" s="258"/>
      <c r="AM418" s="258"/>
    </row>
    <row r="419" spans="3:39" x14ac:dyDescent="0.25">
      <c r="C419" s="255" t="s">
        <v>6352</v>
      </c>
      <c r="D419" s="258">
        <v>9.0274999999999999</v>
      </c>
      <c r="E419" s="258">
        <v>0.76054866776461627</v>
      </c>
      <c r="F419" s="258">
        <v>84.247983136484763</v>
      </c>
      <c r="G419" s="266">
        <f t="shared" si="138"/>
        <v>11.869720351405492</v>
      </c>
      <c r="H419" s="265">
        <f t="shared" si="139"/>
        <v>0.35758706467661688</v>
      </c>
      <c r="I419" s="265">
        <f t="shared" si="140"/>
        <v>0.2790178571428571</v>
      </c>
      <c r="J419" s="265">
        <f t="shared" si="141"/>
        <v>0.14172335600907029</v>
      </c>
      <c r="K419" s="258">
        <f t="shared" ca="1" si="142"/>
        <v>44.155359707228435</v>
      </c>
      <c r="L419" s="265">
        <f t="shared" si="143"/>
        <v>2.5249365671641786</v>
      </c>
      <c r="M419" s="265">
        <f t="shared" si="144"/>
        <v>1.500803571428571</v>
      </c>
      <c r="N419" s="265">
        <f t="shared" si="145"/>
        <v>0.82693877551020412</v>
      </c>
      <c r="O419" s="265">
        <f t="shared" ca="1" si="146"/>
        <v>49.008038621331387</v>
      </c>
      <c r="P419" s="265">
        <f t="shared" ca="1" si="147"/>
        <v>3.8747509641967044</v>
      </c>
      <c r="Q419" s="258">
        <f t="shared" ca="1" si="148"/>
        <v>26.944265197690466</v>
      </c>
      <c r="R419" s="265">
        <f t="shared" si="149"/>
        <v>2.5249365671641786</v>
      </c>
      <c r="S419" s="265">
        <f t="shared" si="150"/>
        <v>1.500803571428571</v>
      </c>
      <c r="T419" s="265">
        <f t="shared" si="151"/>
        <v>0.82693877551020412</v>
      </c>
      <c r="U419" s="265">
        <f t="shared" ca="1" si="152"/>
        <v>31.796944111793419</v>
      </c>
      <c r="V419" s="265">
        <f t="shared" ca="1" si="153"/>
        <v>2.513980222870082</v>
      </c>
      <c r="W419" s="258">
        <f t="shared" ca="1" si="154"/>
        <v>6.623303956084265</v>
      </c>
      <c r="X419" s="265">
        <f t="shared" si="155"/>
        <v>2.5249365671641786</v>
      </c>
      <c r="Y419" s="265">
        <f t="shared" si="156"/>
        <v>1.500803571428571</v>
      </c>
      <c r="Z419" s="265">
        <f t="shared" si="157"/>
        <v>0.82693877551020412</v>
      </c>
      <c r="AA419" s="265">
        <f t="shared" ca="1" si="158"/>
        <v>11.475982870187218</v>
      </c>
      <c r="AB419" s="265">
        <f t="shared" ca="1" si="159"/>
        <v>0.90733228552444312</v>
      </c>
      <c r="AC419" s="258"/>
      <c r="AD419" s="258"/>
      <c r="AE419" s="258"/>
      <c r="AF419" s="258"/>
      <c r="AG419" s="258"/>
      <c r="AH419" s="258"/>
      <c r="AI419" s="258"/>
      <c r="AJ419" s="258"/>
      <c r="AK419" s="258"/>
      <c r="AL419" s="258"/>
      <c r="AM419" s="258"/>
    </row>
    <row r="420" spans="3:39" x14ac:dyDescent="0.25">
      <c r="C420" s="255" t="s">
        <v>6353</v>
      </c>
      <c r="D420" s="258">
        <v>7.5359999999999996</v>
      </c>
      <c r="E420" s="258">
        <v>0.76712388980384694</v>
      </c>
      <c r="F420" s="258">
        <v>101.79457136462938</v>
      </c>
      <c r="G420" s="266">
        <f t="shared" si="138"/>
        <v>9.8237065748623085</v>
      </c>
      <c r="H420" s="265">
        <f t="shared" si="139"/>
        <v>0.35758706467661688</v>
      </c>
      <c r="I420" s="265">
        <f t="shared" si="140"/>
        <v>0.2790178571428571</v>
      </c>
      <c r="J420" s="265">
        <f t="shared" si="141"/>
        <v>0.14172335600907029</v>
      </c>
      <c r="K420" s="258">
        <f t="shared" ca="1" si="142"/>
        <v>36.544188458487788</v>
      </c>
      <c r="L420" s="265">
        <f t="shared" si="143"/>
        <v>2.5249365671641786</v>
      </c>
      <c r="M420" s="265">
        <f t="shared" si="144"/>
        <v>1.500803571428571</v>
      </c>
      <c r="N420" s="265">
        <f t="shared" si="145"/>
        <v>0.82693877551020412</v>
      </c>
      <c r="O420" s="265">
        <f t="shared" ca="1" si="146"/>
        <v>41.396867372590741</v>
      </c>
      <c r="P420" s="265">
        <f t="shared" ca="1" si="147"/>
        <v>3.904615288270251</v>
      </c>
      <c r="Q420" s="258">
        <f t="shared" ca="1" si="148"/>
        <v>22.299813924937439</v>
      </c>
      <c r="R420" s="265">
        <f t="shared" si="149"/>
        <v>2.5249365671641786</v>
      </c>
      <c r="S420" s="265">
        <f t="shared" si="150"/>
        <v>1.500803571428571</v>
      </c>
      <c r="T420" s="265">
        <f t="shared" si="151"/>
        <v>0.82693877551020412</v>
      </c>
      <c r="U420" s="265">
        <f t="shared" ca="1" si="152"/>
        <v>27.152492839040391</v>
      </c>
      <c r="V420" s="265">
        <f t="shared" ca="1" si="153"/>
        <v>2.5610642877814107</v>
      </c>
      <c r="W420" s="258">
        <f t="shared" ca="1" si="154"/>
        <v>5.4816282687731688</v>
      </c>
      <c r="X420" s="265">
        <f t="shared" si="155"/>
        <v>2.5249365671641786</v>
      </c>
      <c r="Y420" s="265">
        <f t="shared" si="156"/>
        <v>1.500803571428571</v>
      </c>
      <c r="Z420" s="265">
        <f t="shared" si="157"/>
        <v>0.82693877551020412</v>
      </c>
      <c r="AA420" s="265">
        <f t="shared" ca="1" si="158"/>
        <v>10.334307182876122</v>
      </c>
      <c r="AB420" s="265">
        <f t="shared" ca="1" si="159"/>
        <v>0.97474752030769074</v>
      </c>
      <c r="AC420" s="258"/>
      <c r="AD420" s="258"/>
      <c r="AE420" s="258"/>
      <c r="AF420" s="258"/>
      <c r="AG420" s="258"/>
      <c r="AH420" s="258"/>
      <c r="AI420" s="258"/>
      <c r="AJ420" s="258"/>
      <c r="AK420" s="258"/>
      <c r="AL420" s="258"/>
      <c r="AM420" s="258"/>
    </row>
    <row r="421" spans="3:39" x14ac:dyDescent="0.25">
      <c r="C421" s="255" t="s">
        <v>6354</v>
      </c>
      <c r="D421" s="258">
        <v>6.1230000000000002</v>
      </c>
      <c r="E421" s="258">
        <v>0.7736991118430776</v>
      </c>
      <c r="F421" s="258">
        <v>126.35948258093705</v>
      </c>
      <c r="G421" s="266">
        <f t="shared" si="138"/>
        <v>7.9139292087514672</v>
      </c>
      <c r="H421" s="265">
        <f t="shared" si="139"/>
        <v>0.35758706467661688</v>
      </c>
      <c r="I421" s="265">
        <f t="shared" si="140"/>
        <v>0.2790178571428571</v>
      </c>
      <c r="J421" s="265">
        <f t="shared" si="141"/>
        <v>0.14172335600907029</v>
      </c>
      <c r="K421" s="258">
        <f t="shared" ca="1" si="142"/>
        <v>29.439816656555461</v>
      </c>
      <c r="L421" s="265">
        <f t="shared" si="143"/>
        <v>2.5249365671641786</v>
      </c>
      <c r="M421" s="265">
        <f t="shared" si="144"/>
        <v>1.500803571428571</v>
      </c>
      <c r="N421" s="265">
        <f t="shared" si="145"/>
        <v>0.82693877551020412</v>
      </c>
      <c r="O421" s="265">
        <f t="shared" ca="1" si="146"/>
        <v>34.292495570658417</v>
      </c>
      <c r="P421" s="265">
        <f t="shared" ca="1" si="147"/>
        <v>3.9451771445568253</v>
      </c>
      <c r="Q421" s="258">
        <f t="shared" ca="1" si="148"/>
        <v>17.964619303865831</v>
      </c>
      <c r="R421" s="265">
        <f t="shared" si="149"/>
        <v>2.5249365671641786</v>
      </c>
      <c r="S421" s="265">
        <f t="shared" si="150"/>
        <v>1.500803571428571</v>
      </c>
      <c r="T421" s="265">
        <f t="shared" si="151"/>
        <v>0.82693877551020412</v>
      </c>
      <c r="U421" s="265">
        <f t="shared" ca="1" si="152"/>
        <v>22.817298217968784</v>
      </c>
      <c r="V421" s="265">
        <f t="shared" ca="1" si="153"/>
        <v>2.6250140717985451</v>
      </c>
      <c r="W421" s="258">
        <f t="shared" ca="1" si="154"/>
        <v>4.4159724984833195</v>
      </c>
      <c r="X421" s="265">
        <f t="shared" si="155"/>
        <v>2.5249365671641786</v>
      </c>
      <c r="Y421" s="265">
        <f t="shared" si="156"/>
        <v>1.500803571428571</v>
      </c>
      <c r="Z421" s="265">
        <f t="shared" si="157"/>
        <v>0.82693877551020412</v>
      </c>
      <c r="AA421" s="265">
        <f t="shared" ca="1" si="158"/>
        <v>9.2686514125862729</v>
      </c>
      <c r="AB421" s="265">
        <f t="shared" ca="1" si="159"/>
        <v>1.0663111886522181</v>
      </c>
      <c r="AC421" s="258"/>
      <c r="AD421" s="258"/>
      <c r="AE421" s="258"/>
      <c r="AF421" s="258"/>
      <c r="AG421" s="258"/>
      <c r="AH421" s="258"/>
      <c r="AI421" s="258"/>
      <c r="AJ421" s="258"/>
      <c r="AK421" s="258"/>
      <c r="AL421" s="258"/>
      <c r="AM421" s="258"/>
    </row>
    <row r="422" spans="3:39" x14ac:dyDescent="0.25">
      <c r="C422" s="255" t="s">
        <v>6355</v>
      </c>
      <c r="D422" s="258">
        <v>16.798999999999999</v>
      </c>
      <c r="E422" s="258">
        <v>0.71079644737231007</v>
      </c>
      <c r="F422" s="258">
        <v>42.311830904953275</v>
      </c>
      <c r="G422" s="266">
        <f t="shared" si="138"/>
        <v>23.634051720577613</v>
      </c>
      <c r="H422" s="265">
        <f t="shared" si="139"/>
        <v>0.35758706467661688</v>
      </c>
      <c r="I422" s="265">
        <f t="shared" si="140"/>
        <v>0.2790178571428571</v>
      </c>
      <c r="J422" s="265">
        <f t="shared" si="141"/>
        <v>0.14172335600907029</v>
      </c>
      <c r="K422" s="258">
        <f t="shared" ca="1" si="142"/>
        <v>87.918672400548729</v>
      </c>
      <c r="L422" s="265">
        <f t="shared" si="143"/>
        <v>2.5249365671641786</v>
      </c>
      <c r="M422" s="265">
        <f t="shared" si="144"/>
        <v>1.500803571428571</v>
      </c>
      <c r="N422" s="265">
        <f t="shared" si="145"/>
        <v>0.82693877551020412</v>
      </c>
      <c r="O422" s="265">
        <f t="shared" ca="1" si="146"/>
        <v>92.771351314651682</v>
      </c>
      <c r="P422" s="265">
        <f t="shared" ca="1" si="147"/>
        <v>3.8001764400156217</v>
      </c>
      <c r="Q422" s="258">
        <f t="shared" ca="1" si="148"/>
        <v>53.649297405711181</v>
      </c>
      <c r="R422" s="265">
        <f t="shared" si="149"/>
        <v>2.5249365671641786</v>
      </c>
      <c r="S422" s="265">
        <f t="shared" si="150"/>
        <v>1.500803571428571</v>
      </c>
      <c r="T422" s="265">
        <f t="shared" si="151"/>
        <v>0.82693877551020412</v>
      </c>
      <c r="U422" s="265">
        <f t="shared" ca="1" si="152"/>
        <v>58.501976319814133</v>
      </c>
      <c r="V422" s="265">
        <f t="shared" ca="1" si="153"/>
        <v>2.3964060990216285</v>
      </c>
      <c r="W422" s="258">
        <f t="shared" ca="1" si="154"/>
        <v>13.187800860082309</v>
      </c>
      <c r="X422" s="265">
        <f t="shared" si="155"/>
        <v>2.5249365671641786</v>
      </c>
      <c r="Y422" s="265">
        <f t="shared" si="156"/>
        <v>1.500803571428571</v>
      </c>
      <c r="Z422" s="265">
        <f t="shared" si="157"/>
        <v>0.82693877551020412</v>
      </c>
      <c r="AA422" s="265">
        <f t="shared" ca="1" si="158"/>
        <v>18.040479774185261</v>
      </c>
      <c r="AB422" s="265">
        <f t="shared" ca="1" si="159"/>
        <v>0.73898897917216966</v>
      </c>
      <c r="AC422" s="258"/>
      <c r="AD422" s="258"/>
      <c r="AE422" s="258"/>
      <c r="AF422" s="258"/>
      <c r="AG422" s="258"/>
      <c r="AH422" s="258"/>
      <c r="AI422" s="258"/>
      <c r="AJ422" s="258"/>
      <c r="AK422" s="258"/>
      <c r="AL422" s="258"/>
      <c r="AM422" s="258"/>
    </row>
    <row r="423" spans="3:39" x14ac:dyDescent="0.25">
      <c r="C423" s="255" t="s">
        <v>6356</v>
      </c>
      <c r="D423" s="258">
        <v>14.287000000000001</v>
      </c>
      <c r="E423" s="258">
        <v>0.72566370614359177</v>
      </c>
      <c r="F423" s="258">
        <v>50.791888160117011</v>
      </c>
      <c r="G423" s="266">
        <f t="shared" si="138"/>
        <v>19.688183216335393</v>
      </c>
      <c r="H423" s="265">
        <f t="shared" si="139"/>
        <v>0.35758706467661688</v>
      </c>
      <c r="I423" s="265">
        <f t="shared" si="140"/>
        <v>0.2790178571428571</v>
      </c>
      <c r="J423" s="265">
        <f t="shared" si="141"/>
        <v>0.14172335600907029</v>
      </c>
      <c r="K423" s="258">
        <f t="shared" ca="1" si="142"/>
        <v>73.240041564767665</v>
      </c>
      <c r="L423" s="265">
        <f t="shared" si="143"/>
        <v>2.5249365671641786</v>
      </c>
      <c r="M423" s="265">
        <f t="shared" si="144"/>
        <v>1.500803571428571</v>
      </c>
      <c r="N423" s="265">
        <f t="shared" si="145"/>
        <v>0.82693877551020412</v>
      </c>
      <c r="O423" s="265">
        <f t="shared" ca="1" si="146"/>
        <v>78.092720478870618</v>
      </c>
      <c r="P423" s="265">
        <f t="shared" ca="1" si="147"/>
        <v>3.8156341641876237</v>
      </c>
      <c r="Q423" s="258">
        <f t="shared" ca="1" si="148"/>
        <v>44.692175901081342</v>
      </c>
      <c r="R423" s="265">
        <f t="shared" si="149"/>
        <v>2.5249365671641786</v>
      </c>
      <c r="S423" s="265">
        <f t="shared" si="150"/>
        <v>1.500803571428571</v>
      </c>
      <c r="T423" s="265">
        <f t="shared" si="151"/>
        <v>0.82693877551020412</v>
      </c>
      <c r="U423" s="265">
        <f t="shared" ca="1" si="152"/>
        <v>49.544854815184294</v>
      </c>
      <c r="V423" s="265">
        <f t="shared" ca="1" si="153"/>
        <v>2.4207767322394975</v>
      </c>
      <c r="W423" s="258">
        <f t="shared" ca="1" si="154"/>
        <v>10.98600623471515</v>
      </c>
      <c r="X423" s="265">
        <f t="shared" si="155"/>
        <v>2.5249365671641786</v>
      </c>
      <c r="Y423" s="265">
        <f t="shared" si="156"/>
        <v>1.500803571428571</v>
      </c>
      <c r="Z423" s="265">
        <f t="shared" si="157"/>
        <v>0.82693877551020412</v>
      </c>
      <c r="AA423" s="265">
        <f t="shared" ca="1" si="158"/>
        <v>15.838685148818104</v>
      </c>
      <c r="AB423" s="265">
        <f t="shared" ca="1" si="159"/>
        <v>0.77388299189798582</v>
      </c>
      <c r="AC423" s="258"/>
      <c r="AD423" s="258"/>
      <c r="AE423" s="258"/>
      <c r="AF423" s="258"/>
      <c r="AG423" s="258"/>
      <c r="AH423" s="258"/>
      <c r="AI423" s="258"/>
      <c r="AJ423" s="258"/>
      <c r="AK423" s="258"/>
      <c r="AL423" s="258"/>
      <c r="AM423" s="258"/>
    </row>
    <row r="424" spans="3:39" x14ac:dyDescent="0.25">
      <c r="C424" s="255" t="s">
        <v>6357</v>
      </c>
      <c r="D424" s="258">
        <v>11.6965</v>
      </c>
      <c r="E424" s="258">
        <v>0.74053096491487347</v>
      </c>
      <c r="F424" s="258">
        <v>63.312184406863025</v>
      </c>
      <c r="G424" s="266">
        <f t="shared" si="138"/>
        <v>15.794748031021975</v>
      </c>
      <c r="H424" s="265">
        <f t="shared" si="139"/>
        <v>0.35758706467661688</v>
      </c>
      <c r="I424" s="265">
        <f t="shared" si="140"/>
        <v>0.2790178571428571</v>
      </c>
      <c r="J424" s="265">
        <f t="shared" si="141"/>
        <v>0.14172335600907029</v>
      </c>
      <c r="K424" s="258">
        <f t="shared" ca="1" si="142"/>
        <v>58.75646267540175</v>
      </c>
      <c r="L424" s="265">
        <f t="shared" si="143"/>
        <v>2.5249365671641786</v>
      </c>
      <c r="M424" s="265">
        <f t="shared" si="144"/>
        <v>1.500803571428571</v>
      </c>
      <c r="N424" s="265">
        <f t="shared" si="145"/>
        <v>0.82693877551020412</v>
      </c>
      <c r="O424" s="265">
        <f t="shared" ca="1" si="146"/>
        <v>63.609141589504702</v>
      </c>
      <c r="P424" s="265">
        <f t="shared" ca="1" si="147"/>
        <v>3.8381010504088193</v>
      </c>
      <c r="Q424" s="258">
        <f t="shared" ca="1" si="148"/>
        <v>35.854078030419885</v>
      </c>
      <c r="R424" s="265">
        <f t="shared" si="149"/>
        <v>2.5249365671641786</v>
      </c>
      <c r="S424" s="265">
        <f t="shared" si="150"/>
        <v>1.500803571428571</v>
      </c>
      <c r="T424" s="265">
        <f t="shared" si="151"/>
        <v>0.82693877551020412</v>
      </c>
      <c r="U424" s="265">
        <f t="shared" ca="1" si="152"/>
        <v>40.706756944522837</v>
      </c>
      <c r="V424" s="265">
        <f t="shared" ca="1" si="153"/>
        <v>2.4561980036732352</v>
      </c>
      <c r="W424" s="258">
        <f t="shared" ca="1" si="154"/>
        <v>8.8134694013102628</v>
      </c>
      <c r="X424" s="265">
        <f t="shared" si="155"/>
        <v>2.5249365671641786</v>
      </c>
      <c r="Y424" s="265">
        <f t="shared" si="156"/>
        <v>1.500803571428571</v>
      </c>
      <c r="Z424" s="265">
        <f t="shared" si="157"/>
        <v>0.82693877551020412</v>
      </c>
      <c r="AA424" s="265">
        <f t="shared" ca="1" si="158"/>
        <v>13.666148315413217</v>
      </c>
      <c r="AB424" s="265">
        <f t="shared" ca="1" si="159"/>
        <v>0.82459937194129029</v>
      </c>
      <c r="AC424" s="258"/>
      <c r="AD424" s="258"/>
      <c r="AE424" s="258"/>
      <c r="AF424" s="258"/>
      <c r="AG424" s="258"/>
      <c r="AH424" s="258"/>
      <c r="AI424" s="258"/>
      <c r="AJ424" s="258"/>
      <c r="AK424" s="258"/>
      <c r="AL424" s="258"/>
      <c r="AM424" s="258"/>
    </row>
    <row r="425" spans="3:39" x14ac:dyDescent="0.25">
      <c r="C425" s="255" t="s">
        <v>6358</v>
      </c>
      <c r="D425" s="258">
        <v>9.0274999999999999</v>
      </c>
      <c r="E425" s="258">
        <v>0.76054866776461627</v>
      </c>
      <c r="F425" s="258">
        <v>84.247983136484763</v>
      </c>
      <c r="G425" s="266">
        <f t="shared" si="138"/>
        <v>11.869720351405492</v>
      </c>
      <c r="H425" s="265">
        <f t="shared" si="139"/>
        <v>0.35758706467661688</v>
      </c>
      <c r="I425" s="265">
        <f t="shared" si="140"/>
        <v>0.2790178571428571</v>
      </c>
      <c r="J425" s="265">
        <f t="shared" si="141"/>
        <v>0.14172335600907029</v>
      </c>
      <c r="K425" s="258">
        <f t="shared" ca="1" si="142"/>
        <v>44.155359707228435</v>
      </c>
      <c r="L425" s="265">
        <f t="shared" si="143"/>
        <v>2.5249365671641786</v>
      </c>
      <c r="M425" s="265">
        <f t="shared" si="144"/>
        <v>1.500803571428571</v>
      </c>
      <c r="N425" s="265">
        <f t="shared" si="145"/>
        <v>0.82693877551020412</v>
      </c>
      <c r="O425" s="265">
        <f t="shared" ca="1" si="146"/>
        <v>49.008038621331387</v>
      </c>
      <c r="P425" s="265">
        <f t="shared" ca="1" si="147"/>
        <v>3.8747509641967044</v>
      </c>
      <c r="Q425" s="258">
        <f t="shared" ca="1" si="148"/>
        <v>26.944265197690466</v>
      </c>
      <c r="R425" s="265">
        <f t="shared" si="149"/>
        <v>2.5249365671641786</v>
      </c>
      <c r="S425" s="265">
        <f t="shared" si="150"/>
        <v>1.500803571428571</v>
      </c>
      <c r="T425" s="265">
        <f t="shared" si="151"/>
        <v>0.82693877551020412</v>
      </c>
      <c r="U425" s="265">
        <f t="shared" ca="1" si="152"/>
        <v>31.796944111793419</v>
      </c>
      <c r="V425" s="265">
        <f t="shared" ca="1" si="153"/>
        <v>2.513980222870082</v>
      </c>
      <c r="W425" s="258">
        <f t="shared" ca="1" si="154"/>
        <v>6.623303956084265</v>
      </c>
      <c r="X425" s="265">
        <f t="shared" si="155"/>
        <v>2.5249365671641786</v>
      </c>
      <c r="Y425" s="265">
        <f t="shared" si="156"/>
        <v>1.500803571428571</v>
      </c>
      <c r="Z425" s="265">
        <f t="shared" si="157"/>
        <v>0.82693877551020412</v>
      </c>
      <c r="AA425" s="265">
        <f t="shared" ca="1" si="158"/>
        <v>11.475982870187218</v>
      </c>
      <c r="AB425" s="265">
        <f t="shared" ca="1" si="159"/>
        <v>0.90733228552444312</v>
      </c>
      <c r="AC425" s="258"/>
      <c r="AD425" s="258"/>
      <c r="AE425" s="258"/>
      <c r="AF425" s="258"/>
      <c r="AG425" s="258"/>
      <c r="AH425" s="258"/>
      <c r="AI425" s="258"/>
      <c r="AJ425" s="258"/>
      <c r="AK425" s="258"/>
      <c r="AL425" s="258"/>
      <c r="AM425" s="258"/>
    </row>
    <row r="426" spans="3:39" x14ac:dyDescent="0.25">
      <c r="C426" s="255" t="s">
        <v>6359</v>
      </c>
      <c r="D426" s="258">
        <v>7.5359999999999996</v>
      </c>
      <c r="E426" s="258">
        <v>0.76712388980384694</v>
      </c>
      <c r="F426" s="258">
        <v>101.79457136462938</v>
      </c>
      <c r="G426" s="266">
        <f t="shared" si="138"/>
        <v>9.8237065748623085</v>
      </c>
      <c r="H426" s="265">
        <f t="shared" si="139"/>
        <v>0.35758706467661688</v>
      </c>
      <c r="I426" s="265">
        <f t="shared" si="140"/>
        <v>0.2790178571428571</v>
      </c>
      <c r="J426" s="265">
        <f t="shared" si="141"/>
        <v>0.14172335600907029</v>
      </c>
      <c r="K426" s="258">
        <f t="shared" ca="1" si="142"/>
        <v>36.544188458487788</v>
      </c>
      <c r="L426" s="265">
        <f t="shared" si="143"/>
        <v>2.5249365671641786</v>
      </c>
      <c r="M426" s="265">
        <f t="shared" si="144"/>
        <v>1.500803571428571</v>
      </c>
      <c r="N426" s="265">
        <f t="shared" si="145"/>
        <v>0.82693877551020412</v>
      </c>
      <c r="O426" s="265">
        <f t="shared" ca="1" si="146"/>
        <v>41.396867372590741</v>
      </c>
      <c r="P426" s="265">
        <f t="shared" ca="1" si="147"/>
        <v>3.904615288270251</v>
      </c>
      <c r="Q426" s="258">
        <f t="shared" ca="1" si="148"/>
        <v>22.299813924937439</v>
      </c>
      <c r="R426" s="265">
        <f t="shared" si="149"/>
        <v>2.5249365671641786</v>
      </c>
      <c r="S426" s="265">
        <f t="shared" si="150"/>
        <v>1.500803571428571</v>
      </c>
      <c r="T426" s="265">
        <f t="shared" si="151"/>
        <v>0.82693877551020412</v>
      </c>
      <c r="U426" s="265">
        <f t="shared" ca="1" si="152"/>
        <v>27.152492839040391</v>
      </c>
      <c r="V426" s="265">
        <f t="shared" ca="1" si="153"/>
        <v>2.5610642877814107</v>
      </c>
      <c r="W426" s="258">
        <f t="shared" ca="1" si="154"/>
        <v>5.4816282687731688</v>
      </c>
      <c r="X426" s="265">
        <f t="shared" si="155"/>
        <v>2.5249365671641786</v>
      </c>
      <c r="Y426" s="265">
        <f t="shared" si="156"/>
        <v>1.500803571428571</v>
      </c>
      <c r="Z426" s="265">
        <f t="shared" si="157"/>
        <v>0.82693877551020412</v>
      </c>
      <c r="AA426" s="265">
        <f t="shared" ca="1" si="158"/>
        <v>10.334307182876122</v>
      </c>
      <c r="AB426" s="265">
        <f t="shared" ca="1" si="159"/>
        <v>0.97474752030769074</v>
      </c>
      <c r="AC426" s="258"/>
      <c r="AD426" s="258"/>
      <c r="AE426" s="258"/>
      <c r="AF426" s="258"/>
      <c r="AG426" s="258"/>
      <c r="AH426" s="258"/>
      <c r="AI426" s="258"/>
      <c r="AJ426" s="258"/>
      <c r="AK426" s="258"/>
      <c r="AL426" s="258"/>
      <c r="AM426" s="258"/>
    </row>
    <row r="427" spans="3:39" x14ac:dyDescent="0.25">
      <c r="C427" s="255" t="s">
        <v>6360</v>
      </c>
      <c r="D427" s="258">
        <v>6.1230000000000002</v>
      </c>
      <c r="E427" s="258">
        <v>0.7736991118430776</v>
      </c>
      <c r="F427" s="258">
        <v>126.35948258093705</v>
      </c>
      <c r="G427" s="266">
        <f t="shared" si="138"/>
        <v>7.9139292087514672</v>
      </c>
      <c r="H427" s="265">
        <f t="shared" si="139"/>
        <v>0.35758706467661688</v>
      </c>
      <c r="I427" s="265">
        <f t="shared" si="140"/>
        <v>0.2790178571428571</v>
      </c>
      <c r="J427" s="265">
        <f t="shared" si="141"/>
        <v>0.14172335600907029</v>
      </c>
      <c r="K427" s="258">
        <f t="shared" ca="1" si="142"/>
        <v>29.439816656555461</v>
      </c>
      <c r="L427" s="265">
        <f t="shared" si="143"/>
        <v>2.5249365671641786</v>
      </c>
      <c r="M427" s="265">
        <f t="shared" si="144"/>
        <v>1.500803571428571</v>
      </c>
      <c r="N427" s="265">
        <f t="shared" si="145"/>
        <v>0.82693877551020412</v>
      </c>
      <c r="O427" s="265">
        <f t="shared" ca="1" si="146"/>
        <v>34.292495570658417</v>
      </c>
      <c r="P427" s="265">
        <f t="shared" ca="1" si="147"/>
        <v>3.9451771445568253</v>
      </c>
      <c r="Q427" s="258">
        <f t="shared" ca="1" si="148"/>
        <v>17.964619303865831</v>
      </c>
      <c r="R427" s="265">
        <f t="shared" si="149"/>
        <v>2.5249365671641786</v>
      </c>
      <c r="S427" s="265">
        <f t="shared" si="150"/>
        <v>1.500803571428571</v>
      </c>
      <c r="T427" s="265">
        <f t="shared" si="151"/>
        <v>0.82693877551020412</v>
      </c>
      <c r="U427" s="265">
        <f t="shared" ca="1" si="152"/>
        <v>22.817298217968784</v>
      </c>
      <c r="V427" s="265">
        <f t="shared" ca="1" si="153"/>
        <v>2.6250140717985451</v>
      </c>
      <c r="W427" s="258">
        <f t="shared" ca="1" si="154"/>
        <v>4.4159724984833195</v>
      </c>
      <c r="X427" s="265">
        <f t="shared" si="155"/>
        <v>2.5249365671641786</v>
      </c>
      <c r="Y427" s="265">
        <f t="shared" si="156"/>
        <v>1.500803571428571</v>
      </c>
      <c r="Z427" s="265">
        <f t="shared" si="157"/>
        <v>0.82693877551020412</v>
      </c>
      <c r="AA427" s="265">
        <f t="shared" ca="1" si="158"/>
        <v>9.2686514125862729</v>
      </c>
      <c r="AB427" s="265">
        <f t="shared" ca="1" si="159"/>
        <v>1.0663111886522181</v>
      </c>
      <c r="AC427" s="258"/>
      <c r="AD427" s="258"/>
      <c r="AE427" s="258"/>
      <c r="AF427" s="258"/>
      <c r="AG427" s="258"/>
      <c r="AH427" s="258"/>
      <c r="AI427" s="258"/>
      <c r="AJ427" s="258"/>
      <c r="AK427" s="258"/>
      <c r="AL427" s="258"/>
      <c r="AM427" s="258"/>
    </row>
    <row r="428" spans="3:39" x14ac:dyDescent="0.25">
      <c r="C428" s="255" t="s">
        <v>6361</v>
      </c>
      <c r="D428" s="258">
        <v>12.089</v>
      </c>
      <c r="E428" s="258">
        <v>0.51079644737231011</v>
      </c>
      <c r="F428" s="258">
        <v>42.252994240409464</v>
      </c>
      <c r="G428" s="266">
        <f t="shared" si="138"/>
        <v>23.66696178524623</v>
      </c>
      <c r="H428" s="265">
        <f t="shared" si="139"/>
        <v>0.35758706467661688</v>
      </c>
      <c r="I428" s="265">
        <f t="shared" si="140"/>
        <v>0.2790178571428571</v>
      </c>
      <c r="J428" s="265">
        <f t="shared" si="141"/>
        <v>0.14172335600907029</v>
      </c>
      <c r="K428" s="258">
        <f t="shared" ca="1" si="142"/>
        <v>88.041097841115985</v>
      </c>
      <c r="L428" s="265">
        <f t="shared" si="143"/>
        <v>2.5249365671641786</v>
      </c>
      <c r="M428" s="265">
        <f t="shared" si="144"/>
        <v>1.500803571428571</v>
      </c>
      <c r="N428" s="265">
        <f t="shared" si="145"/>
        <v>0.82693877551020412</v>
      </c>
      <c r="O428" s="265">
        <f t="shared" ca="1" si="146"/>
        <v>92.893776755218937</v>
      </c>
      <c r="P428" s="265">
        <f t="shared" ca="1" si="147"/>
        <v>3.8000685005385688</v>
      </c>
      <c r="Q428" s="258">
        <f t="shared" ca="1" si="148"/>
        <v>53.724003252508943</v>
      </c>
      <c r="R428" s="265">
        <f t="shared" si="149"/>
        <v>2.5249365671641786</v>
      </c>
      <c r="S428" s="265">
        <f t="shared" si="150"/>
        <v>1.500803571428571</v>
      </c>
      <c r="T428" s="265">
        <f t="shared" si="151"/>
        <v>0.82693877551020412</v>
      </c>
      <c r="U428" s="265">
        <f t="shared" ca="1" si="152"/>
        <v>58.576682166611896</v>
      </c>
      <c r="V428" s="265">
        <f t="shared" ca="1" si="153"/>
        <v>2.3962359217448372</v>
      </c>
      <c r="W428" s="258">
        <f t="shared" ca="1" si="154"/>
        <v>13.206164676167397</v>
      </c>
      <c r="X428" s="265">
        <f t="shared" si="155"/>
        <v>2.5249365671641786</v>
      </c>
      <c r="Y428" s="265">
        <f t="shared" si="156"/>
        <v>1.500803571428571</v>
      </c>
      <c r="Z428" s="265">
        <f t="shared" si="157"/>
        <v>0.82693877551020412</v>
      </c>
      <c r="AA428" s="265">
        <f t="shared" ca="1" si="158"/>
        <v>18.058843590270349</v>
      </c>
      <c r="AB428" s="265">
        <f t="shared" ca="1" si="159"/>
        <v>0.73874531836906632</v>
      </c>
      <c r="AC428" s="258"/>
      <c r="AD428" s="258"/>
      <c r="AE428" s="258"/>
      <c r="AF428" s="258"/>
      <c r="AG428" s="258"/>
      <c r="AH428" s="258"/>
      <c r="AI428" s="258"/>
      <c r="AJ428" s="258"/>
      <c r="AK428" s="258"/>
      <c r="AL428" s="258"/>
      <c r="AM428" s="258"/>
    </row>
    <row r="429" spans="3:39" x14ac:dyDescent="0.25">
      <c r="C429" s="255" t="s">
        <v>6362</v>
      </c>
      <c r="D429" s="258">
        <v>10.362</v>
      </c>
      <c r="E429" s="258">
        <v>0.52566370614359181</v>
      </c>
      <c r="F429" s="258">
        <v>50.729946549275404</v>
      </c>
      <c r="G429" s="266">
        <f t="shared" si="138"/>
        <v>19.712222622365118</v>
      </c>
      <c r="H429" s="265">
        <f t="shared" si="139"/>
        <v>0.35758706467661688</v>
      </c>
      <c r="I429" s="265">
        <f t="shared" si="140"/>
        <v>0.2790178571428571</v>
      </c>
      <c r="J429" s="265">
        <f t="shared" si="141"/>
        <v>0.14172335600907029</v>
      </c>
      <c r="K429" s="258">
        <f t="shared" ca="1" si="142"/>
        <v>73.329468155198242</v>
      </c>
      <c r="L429" s="265">
        <f t="shared" si="143"/>
        <v>2.5249365671641786</v>
      </c>
      <c r="M429" s="265">
        <f t="shared" si="144"/>
        <v>1.500803571428571</v>
      </c>
      <c r="N429" s="265">
        <f t="shared" si="145"/>
        <v>0.82693877551020412</v>
      </c>
      <c r="O429" s="265">
        <f t="shared" ca="1" si="146"/>
        <v>78.182147069301195</v>
      </c>
      <c r="P429" s="265">
        <f t="shared" ca="1" si="147"/>
        <v>3.8155219666915965</v>
      </c>
      <c r="Q429" s="258">
        <f t="shared" ca="1" si="148"/>
        <v>44.746745352768819</v>
      </c>
      <c r="R429" s="265">
        <f t="shared" si="149"/>
        <v>2.5249365671641786</v>
      </c>
      <c r="S429" s="265">
        <f t="shared" si="150"/>
        <v>1.500803571428571</v>
      </c>
      <c r="T429" s="265">
        <f t="shared" si="151"/>
        <v>0.82693877551020412</v>
      </c>
      <c r="U429" s="265">
        <f t="shared" ca="1" si="152"/>
        <v>49.599424266871772</v>
      </c>
      <c r="V429" s="265">
        <f t="shared" ca="1" si="153"/>
        <v>2.4205998417740435</v>
      </c>
      <c r="W429" s="258">
        <f t="shared" ca="1" si="154"/>
        <v>10.999420223279737</v>
      </c>
      <c r="X429" s="265">
        <f t="shared" si="155"/>
        <v>2.5249365671641786</v>
      </c>
      <c r="Y429" s="265">
        <f t="shared" si="156"/>
        <v>1.500803571428571</v>
      </c>
      <c r="Z429" s="265">
        <f t="shared" si="157"/>
        <v>0.82693877551020412</v>
      </c>
      <c r="AA429" s="265">
        <f t="shared" ca="1" si="158"/>
        <v>15.852099137382691</v>
      </c>
      <c r="AB429" s="265">
        <f t="shared" ca="1" si="159"/>
        <v>0.77362971911276757</v>
      </c>
      <c r="AC429" s="258"/>
      <c r="AD429" s="258"/>
      <c r="AE429" s="258"/>
      <c r="AF429" s="258"/>
      <c r="AG429" s="258"/>
      <c r="AH429" s="258"/>
      <c r="AI429" s="258"/>
      <c r="AJ429" s="258"/>
      <c r="AK429" s="258"/>
      <c r="AL429" s="258"/>
      <c r="AM429" s="258"/>
    </row>
    <row r="430" spans="3:39" x14ac:dyDescent="0.25">
      <c r="C430" s="255" t="s">
        <v>6363</v>
      </c>
      <c r="D430" s="258">
        <v>8.5564999999999998</v>
      </c>
      <c r="E430" s="258">
        <v>0.54053096491487329</v>
      </c>
      <c r="F430" s="258">
        <v>63.17197042188667</v>
      </c>
      <c r="G430" s="266">
        <f t="shared" si="138"/>
        <v>15.829805423538573</v>
      </c>
      <c r="H430" s="265">
        <f t="shared" si="139"/>
        <v>0.35758706467661688</v>
      </c>
      <c r="I430" s="265">
        <f t="shared" si="140"/>
        <v>0.2790178571428571</v>
      </c>
      <c r="J430" s="265">
        <f t="shared" si="141"/>
        <v>0.14172335600907029</v>
      </c>
      <c r="K430" s="258">
        <f t="shared" ca="1" si="142"/>
        <v>58.886876175563494</v>
      </c>
      <c r="L430" s="265">
        <f t="shared" si="143"/>
        <v>2.5249365671641786</v>
      </c>
      <c r="M430" s="265">
        <f t="shared" si="144"/>
        <v>1.500803571428571</v>
      </c>
      <c r="N430" s="265">
        <f t="shared" si="145"/>
        <v>0.82693877551020412</v>
      </c>
      <c r="O430" s="265">
        <f t="shared" ca="1" si="146"/>
        <v>63.739555089666446</v>
      </c>
      <c r="P430" s="265">
        <f t="shared" ca="1" si="147"/>
        <v>3.8378517559995102</v>
      </c>
      <c r="Q430" s="258">
        <f t="shared" ca="1" si="148"/>
        <v>35.933658311432559</v>
      </c>
      <c r="R430" s="265">
        <f t="shared" si="149"/>
        <v>2.5249365671641786</v>
      </c>
      <c r="S430" s="265">
        <f t="shared" si="150"/>
        <v>1.500803571428571</v>
      </c>
      <c r="T430" s="265">
        <f t="shared" si="151"/>
        <v>0.82693877551020412</v>
      </c>
      <c r="U430" s="265">
        <f t="shared" ca="1" si="152"/>
        <v>40.786337225535512</v>
      </c>
      <c r="V430" s="265">
        <f t="shared" ca="1" si="153"/>
        <v>2.4558049663447816</v>
      </c>
      <c r="W430" s="258">
        <f t="shared" ca="1" si="154"/>
        <v>8.8330314263345251</v>
      </c>
      <c r="X430" s="265">
        <f t="shared" si="155"/>
        <v>2.5249365671641786</v>
      </c>
      <c r="Y430" s="265">
        <f t="shared" si="156"/>
        <v>1.500803571428571</v>
      </c>
      <c r="Z430" s="265">
        <f t="shared" si="157"/>
        <v>0.82693877551020412</v>
      </c>
      <c r="AA430" s="265">
        <f t="shared" ca="1" si="158"/>
        <v>13.685710340437479</v>
      </c>
      <c r="AB430" s="265">
        <f t="shared" ca="1" si="159"/>
        <v>0.82403661883519896</v>
      </c>
      <c r="AC430" s="258"/>
      <c r="AD430" s="258"/>
      <c r="AE430" s="258"/>
      <c r="AF430" s="258"/>
      <c r="AG430" s="258"/>
      <c r="AH430" s="258"/>
      <c r="AI430" s="258"/>
      <c r="AJ430" s="258"/>
      <c r="AK430" s="258"/>
      <c r="AL430" s="258"/>
      <c r="AM430" s="258"/>
    </row>
    <row r="431" spans="3:39" x14ac:dyDescent="0.25">
      <c r="C431" s="255" t="s">
        <v>6364</v>
      </c>
      <c r="D431" s="258">
        <v>7.5359999999999996</v>
      </c>
      <c r="E431" s="258">
        <v>0.54796459430051425</v>
      </c>
      <c r="F431" s="258">
        <v>72.712923872148906</v>
      </c>
      <c r="G431" s="266">
        <f t="shared" si="138"/>
        <v>13.752713365760112</v>
      </c>
      <c r="H431" s="265">
        <f t="shared" si="139"/>
        <v>0.35758706467661688</v>
      </c>
      <c r="I431" s="265">
        <f t="shared" si="140"/>
        <v>0.2790178571428571</v>
      </c>
      <c r="J431" s="265">
        <f t="shared" si="141"/>
        <v>0.14172335600907029</v>
      </c>
      <c r="K431" s="258">
        <f t="shared" ca="1" si="142"/>
        <v>51.160093720627621</v>
      </c>
      <c r="L431" s="265">
        <f t="shared" si="143"/>
        <v>2.5249365671641786</v>
      </c>
      <c r="M431" s="265">
        <f t="shared" si="144"/>
        <v>1.500803571428571</v>
      </c>
      <c r="N431" s="265">
        <f t="shared" si="145"/>
        <v>0.82693877551020412</v>
      </c>
      <c r="O431" s="265">
        <f t="shared" ca="1" si="146"/>
        <v>56.012772634730574</v>
      </c>
      <c r="P431" s="265">
        <f t="shared" ca="1" si="147"/>
        <v>3.8546976884788138</v>
      </c>
      <c r="Q431" s="258">
        <f t="shared" ca="1" si="148"/>
        <v>31.218659340275455</v>
      </c>
      <c r="R431" s="265">
        <f t="shared" si="149"/>
        <v>2.5249365671641786</v>
      </c>
      <c r="S431" s="265">
        <f t="shared" si="150"/>
        <v>1.500803571428571</v>
      </c>
      <c r="T431" s="265">
        <f t="shared" si="151"/>
        <v>0.82693877551020412</v>
      </c>
      <c r="U431" s="265">
        <f t="shared" ca="1" si="152"/>
        <v>36.071338254378411</v>
      </c>
      <c r="V431" s="265">
        <f t="shared" ca="1" si="153"/>
        <v>2.4823642474587291</v>
      </c>
      <c r="W431" s="258">
        <f t="shared" ca="1" si="154"/>
        <v>7.6740140580941434</v>
      </c>
      <c r="X431" s="265">
        <f t="shared" si="155"/>
        <v>2.5249365671641786</v>
      </c>
      <c r="Y431" s="265">
        <f t="shared" si="156"/>
        <v>1.500803571428571</v>
      </c>
      <c r="Z431" s="265">
        <f t="shared" si="157"/>
        <v>0.82693877551020412</v>
      </c>
      <c r="AA431" s="265">
        <f t="shared" ca="1" si="158"/>
        <v>12.526692972197097</v>
      </c>
      <c r="AB431" s="265">
        <f t="shared" ca="1" si="159"/>
        <v>0.86206435019915362</v>
      </c>
      <c r="AC431" s="258"/>
      <c r="AD431" s="258"/>
      <c r="AE431" s="258"/>
      <c r="AF431" s="258"/>
      <c r="AG431" s="258"/>
      <c r="AH431" s="258"/>
      <c r="AI431" s="258"/>
      <c r="AJ431" s="258"/>
      <c r="AK431" s="258"/>
      <c r="AL431" s="258"/>
      <c r="AM431" s="258"/>
    </row>
    <row r="432" spans="3:39" x14ac:dyDescent="0.25">
      <c r="C432" s="255" t="s">
        <v>6365</v>
      </c>
      <c r="D432" s="258">
        <v>6.6725000000000003</v>
      </c>
      <c r="E432" s="258">
        <v>0.56054866776461632</v>
      </c>
      <c r="F432" s="258">
        <v>84.00879247128006</v>
      </c>
      <c r="G432" s="266">
        <f t="shared" si="138"/>
        <v>11.903515936642799</v>
      </c>
      <c r="H432" s="265">
        <f t="shared" si="139"/>
        <v>0.35758706467661688</v>
      </c>
      <c r="I432" s="265">
        <f t="shared" si="140"/>
        <v>0.2790178571428571</v>
      </c>
      <c r="J432" s="265">
        <f t="shared" si="141"/>
        <v>0.14172335600907029</v>
      </c>
      <c r="K432" s="258">
        <f t="shared" ca="1" si="142"/>
        <v>44.281079284311218</v>
      </c>
      <c r="L432" s="265">
        <f t="shared" si="143"/>
        <v>2.5249365671641786</v>
      </c>
      <c r="M432" s="265">
        <f t="shared" si="144"/>
        <v>1.500803571428571</v>
      </c>
      <c r="N432" s="265">
        <f t="shared" si="145"/>
        <v>0.82693877551020412</v>
      </c>
      <c r="O432" s="265">
        <f t="shared" ca="1" si="146"/>
        <v>49.133758198414171</v>
      </c>
      <c r="P432" s="265">
        <f t="shared" ca="1" si="147"/>
        <v>3.8743385715420859</v>
      </c>
      <c r="Q432" s="258">
        <f t="shared" ca="1" si="148"/>
        <v>27.020981176179156</v>
      </c>
      <c r="R432" s="265">
        <f t="shared" si="149"/>
        <v>2.5249365671641786</v>
      </c>
      <c r="S432" s="265">
        <f t="shared" si="150"/>
        <v>1.500803571428571</v>
      </c>
      <c r="T432" s="265">
        <f t="shared" si="151"/>
        <v>0.82693877551020412</v>
      </c>
      <c r="U432" s="265">
        <f t="shared" ca="1" si="152"/>
        <v>31.873660090282108</v>
      </c>
      <c r="V432" s="265">
        <f t="shared" ca="1" si="153"/>
        <v>2.5133300450033005</v>
      </c>
      <c r="W432" s="258">
        <f t="shared" ca="1" si="154"/>
        <v>6.6421618926466826</v>
      </c>
      <c r="X432" s="265">
        <f t="shared" si="155"/>
        <v>2.5249365671641786</v>
      </c>
      <c r="Y432" s="265">
        <f t="shared" si="156"/>
        <v>1.500803571428571</v>
      </c>
      <c r="Z432" s="265">
        <f t="shared" si="157"/>
        <v>0.82693877551020412</v>
      </c>
      <c r="AA432" s="265">
        <f t="shared" ca="1" si="158"/>
        <v>11.494840806749636</v>
      </c>
      <c r="AB432" s="265">
        <f t="shared" ca="1" si="159"/>
        <v>0.90640135711750747</v>
      </c>
      <c r="AC432" s="258"/>
      <c r="AD432" s="258"/>
      <c r="AE432" s="258"/>
      <c r="AF432" s="258"/>
      <c r="AG432" s="258"/>
      <c r="AH432" s="258"/>
      <c r="AI432" s="258"/>
      <c r="AJ432" s="258"/>
      <c r="AK432" s="258"/>
      <c r="AL432" s="258"/>
      <c r="AM432" s="258"/>
    </row>
    <row r="433" spans="3:39" x14ac:dyDescent="0.25">
      <c r="C433" s="255" t="s">
        <v>6366</v>
      </c>
      <c r="D433" s="258">
        <v>5.5735000000000001</v>
      </c>
      <c r="E433" s="258">
        <v>0.56712388980384687</v>
      </c>
      <c r="F433" s="258">
        <v>101.75363592066869</v>
      </c>
      <c r="G433" s="266">
        <f t="shared" si="138"/>
        <v>9.8276586477916243</v>
      </c>
      <c r="H433" s="265">
        <f t="shared" si="139"/>
        <v>0.35758706467661688</v>
      </c>
      <c r="I433" s="265">
        <f t="shared" si="140"/>
        <v>0.2790178571428571</v>
      </c>
      <c r="J433" s="265">
        <f t="shared" si="141"/>
        <v>0.14172335600907029</v>
      </c>
      <c r="K433" s="258">
        <f t="shared" ca="1" si="142"/>
        <v>36.558890169784846</v>
      </c>
      <c r="L433" s="265">
        <f t="shared" si="143"/>
        <v>2.5249365671641786</v>
      </c>
      <c r="M433" s="265">
        <f t="shared" si="144"/>
        <v>1.500803571428571</v>
      </c>
      <c r="N433" s="265">
        <f t="shared" si="145"/>
        <v>0.82693877551020412</v>
      </c>
      <c r="O433" s="265">
        <f t="shared" ca="1" si="146"/>
        <v>41.411569083887798</v>
      </c>
      <c r="P433" s="265">
        <f t="shared" ca="1" si="147"/>
        <v>3.9045464957016551</v>
      </c>
      <c r="Q433" s="258">
        <f t="shared" ca="1" si="148"/>
        <v>22.308785130486989</v>
      </c>
      <c r="R433" s="265">
        <f t="shared" si="149"/>
        <v>2.5249365671641786</v>
      </c>
      <c r="S433" s="265">
        <f t="shared" si="150"/>
        <v>1.500803571428571</v>
      </c>
      <c r="T433" s="265">
        <f t="shared" si="151"/>
        <v>0.82693877551020412</v>
      </c>
      <c r="U433" s="265">
        <f t="shared" ca="1" si="152"/>
        <v>27.161464044589941</v>
      </c>
      <c r="V433" s="265">
        <f t="shared" ca="1" si="153"/>
        <v>2.5609558294832349</v>
      </c>
      <c r="W433" s="258">
        <f t="shared" ca="1" si="154"/>
        <v>5.4838335254677268</v>
      </c>
      <c r="X433" s="265">
        <f t="shared" si="155"/>
        <v>2.5249365671641786</v>
      </c>
      <c r="Y433" s="265">
        <f t="shared" si="156"/>
        <v>1.500803571428571</v>
      </c>
      <c r="Z433" s="265">
        <f t="shared" si="157"/>
        <v>0.82693877551020412</v>
      </c>
      <c r="AA433" s="265">
        <f t="shared" ca="1" si="158"/>
        <v>10.336512439570681</v>
      </c>
      <c r="AB433" s="265">
        <f t="shared" ca="1" si="159"/>
        <v>0.97459222909293464</v>
      </c>
      <c r="AC433" s="258"/>
      <c r="AD433" s="258"/>
      <c r="AE433" s="258"/>
      <c r="AF433" s="258"/>
      <c r="AG433" s="258"/>
      <c r="AH433" s="258"/>
      <c r="AI433" s="258"/>
      <c r="AJ433" s="258"/>
      <c r="AK433" s="258"/>
      <c r="AL433" s="258"/>
      <c r="AM433" s="258"/>
    </row>
    <row r="434" spans="3:39" x14ac:dyDescent="0.25">
      <c r="C434" s="255" t="s">
        <v>6367</v>
      </c>
      <c r="D434" s="258">
        <v>4.5529999999999999</v>
      </c>
      <c r="E434" s="258">
        <v>0.57369911184307754</v>
      </c>
      <c r="F434" s="258">
        <v>126.00463690820942</v>
      </c>
      <c r="G434" s="266">
        <f t="shared" si="138"/>
        <v>7.9362158769480029</v>
      </c>
      <c r="H434" s="265">
        <f t="shared" si="139"/>
        <v>0.35758706467661688</v>
      </c>
      <c r="I434" s="265">
        <f t="shared" si="140"/>
        <v>0.2790178571428571</v>
      </c>
      <c r="J434" s="265">
        <f t="shared" si="141"/>
        <v>0.14172335600907029</v>
      </c>
      <c r="K434" s="258">
        <f t="shared" ca="1" si="142"/>
        <v>29.522723062246573</v>
      </c>
      <c r="L434" s="265">
        <f t="shared" si="143"/>
        <v>2.5249365671641786</v>
      </c>
      <c r="M434" s="265">
        <f t="shared" si="144"/>
        <v>1.500803571428571</v>
      </c>
      <c r="N434" s="265">
        <f t="shared" si="145"/>
        <v>0.82693877551020412</v>
      </c>
      <c r="O434" s="265">
        <f t="shared" ca="1" si="146"/>
        <v>34.375401976349529</v>
      </c>
      <c r="P434" s="265">
        <f t="shared" ca="1" si="147"/>
        <v>3.9446012741249299</v>
      </c>
      <c r="Q434" s="258">
        <f t="shared" ca="1" si="148"/>
        <v>18.015210040671967</v>
      </c>
      <c r="R434" s="265">
        <f t="shared" si="149"/>
        <v>2.5249365671641786</v>
      </c>
      <c r="S434" s="265">
        <f t="shared" si="150"/>
        <v>1.500803571428571</v>
      </c>
      <c r="T434" s="265">
        <f t="shared" si="151"/>
        <v>0.82693877551020412</v>
      </c>
      <c r="U434" s="265">
        <f t="shared" ca="1" si="152"/>
        <v>22.867888954774919</v>
      </c>
      <c r="V434" s="265">
        <f t="shared" ca="1" si="153"/>
        <v>2.6241061550236973</v>
      </c>
      <c r="W434" s="258">
        <f t="shared" ca="1" si="154"/>
        <v>4.4284084593369863</v>
      </c>
      <c r="X434" s="265">
        <f t="shared" si="155"/>
        <v>2.5249365671641786</v>
      </c>
      <c r="Y434" s="265">
        <f t="shared" si="156"/>
        <v>1.500803571428571</v>
      </c>
      <c r="Z434" s="265">
        <f t="shared" si="157"/>
        <v>0.82693877551020412</v>
      </c>
      <c r="AA434" s="265">
        <f t="shared" ca="1" si="158"/>
        <v>9.2810873734399397</v>
      </c>
      <c r="AB434" s="265">
        <f t="shared" ca="1" si="159"/>
        <v>1.0650112281952078</v>
      </c>
      <c r="AC434" s="258"/>
      <c r="AD434" s="258"/>
      <c r="AE434" s="258"/>
      <c r="AF434" s="258"/>
      <c r="AG434" s="258"/>
      <c r="AH434" s="258"/>
      <c r="AI434" s="258"/>
      <c r="AJ434" s="258"/>
      <c r="AK434" s="258"/>
      <c r="AL434" s="258"/>
      <c r="AM434" s="258"/>
    </row>
    <row r="435" spans="3:39" x14ac:dyDescent="0.25">
      <c r="C435" s="255" t="s">
        <v>6368</v>
      </c>
      <c r="D435" s="258">
        <v>3.6894999999999998</v>
      </c>
      <c r="E435" s="258">
        <v>0.57895928947446196</v>
      </c>
      <c r="F435" s="258">
        <v>156.92079942389537</v>
      </c>
      <c r="G435" s="266">
        <f t="shared" si="138"/>
        <v>6.3726415087821895</v>
      </c>
      <c r="H435" s="265">
        <f t="shared" si="139"/>
        <v>0.35758706467661688</v>
      </c>
      <c r="I435" s="265">
        <f t="shared" si="140"/>
        <v>0.2790178571428571</v>
      </c>
      <c r="J435" s="265">
        <f t="shared" si="141"/>
        <v>0.14172335600907029</v>
      </c>
      <c r="K435" s="258">
        <f t="shared" ca="1" si="142"/>
        <v>23.706226412669746</v>
      </c>
      <c r="L435" s="265">
        <f t="shared" si="143"/>
        <v>2.5249365671641786</v>
      </c>
      <c r="M435" s="265">
        <f t="shared" si="144"/>
        <v>1.500803571428571</v>
      </c>
      <c r="N435" s="265">
        <f t="shared" si="145"/>
        <v>0.82693877551020412</v>
      </c>
      <c r="O435" s="265">
        <f t="shared" ca="1" si="146"/>
        <v>28.558905326772699</v>
      </c>
      <c r="P435" s="265">
        <f t="shared" ca="1" si="147"/>
        <v>3.9937108083221888</v>
      </c>
      <c r="Q435" s="258">
        <f t="shared" ca="1" si="148"/>
        <v>14.46589622493557</v>
      </c>
      <c r="R435" s="265">
        <f t="shared" si="149"/>
        <v>2.5249365671641786</v>
      </c>
      <c r="S435" s="265">
        <f t="shared" si="150"/>
        <v>1.500803571428571</v>
      </c>
      <c r="T435" s="265">
        <f t="shared" si="151"/>
        <v>0.82693877551020412</v>
      </c>
      <c r="U435" s="265">
        <f t="shared" ca="1" si="152"/>
        <v>19.318575139038522</v>
      </c>
      <c r="V435" s="265">
        <f t="shared" ca="1" si="153"/>
        <v>2.7015321998996638</v>
      </c>
      <c r="W435" s="258">
        <f t="shared" ca="1" si="154"/>
        <v>3.555933961900462</v>
      </c>
      <c r="X435" s="265">
        <f t="shared" si="155"/>
        <v>2.5249365671641786</v>
      </c>
      <c r="Y435" s="265">
        <f t="shared" si="156"/>
        <v>1.500803571428571</v>
      </c>
      <c r="Z435" s="265">
        <f t="shared" si="157"/>
        <v>0.82693877551020412</v>
      </c>
      <c r="AA435" s="265">
        <f t="shared" ca="1" si="158"/>
        <v>8.4086128760034153</v>
      </c>
      <c r="AB435" s="265">
        <f t="shared" ca="1" si="159"/>
        <v>1.1758702843001039</v>
      </c>
      <c r="AC435" s="258"/>
      <c r="AD435" s="258"/>
      <c r="AE435" s="258"/>
      <c r="AF435" s="258"/>
      <c r="AG435" s="258"/>
      <c r="AH435" s="258"/>
      <c r="AI435" s="258"/>
      <c r="AJ435" s="258"/>
      <c r="AK435" s="258"/>
      <c r="AL435" s="258"/>
      <c r="AM435" s="258"/>
    </row>
    <row r="436" spans="3:39" x14ac:dyDescent="0.25">
      <c r="C436" s="255" t="s">
        <v>6369</v>
      </c>
      <c r="D436" s="258">
        <v>9.734</v>
      </c>
      <c r="E436" s="258">
        <v>0.41079644737231008</v>
      </c>
      <c r="F436" s="258">
        <v>42.202223892778932</v>
      </c>
      <c r="G436" s="266">
        <f t="shared" si="138"/>
        <v>23.695433741611573</v>
      </c>
      <c r="H436" s="265">
        <f t="shared" si="139"/>
        <v>0.35758706467661688</v>
      </c>
      <c r="I436" s="265">
        <f t="shared" si="140"/>
        <v>0.2790178571428571</v>
      </c>
      <c r="J436" s="265">
        <f t="shared" si="141"/>
        <v>0.14172335600907029</v>
      </c>
      <c r="K436" s="258">
        <f t="shared" ca="1" si="142"/>
        <v>88.147013518795063</v>
      </c>
      <c r="L436" s="265">
        <f t="shared" si="143"/>
        <v>2.5249365671641786</v>
      </c>
      <c r="M436" s="265">
        <f t="shared" si="144"/>
        <v>1.500803571428571</v>
      </c>
      <c r="N436" s="265">
        <f t="shared" si="145"/>
        <v>0.82693877551020412</v>
      </c>
      <c r="O436" s="265">
        <f t="shared" ca="1" si="146"/>
        <v>92.999692432898016</v>
      </c>
      <c r="P436" s="265">
        <f t="shared" ca="1" si="147"/>
        <v>3.7999753515224199</v>
      </c>
      <c r="Q436" s="258">
        <f t="shared" ca="1" si="148"/>
        <v>53.788634593458269</v>
      </c>
      <c r="R436" s="265">
        <f t="shared" si="149"/>
        <v>2.5249365671641786</v>
      </c>
      <c r="S436" s="265">
        <f t="shared" si="150"/>
        <v>1.500803571428571</v>
      </c>
      <c r="T436" s="265">
        <f t="shared" si="151"/>
        <v>0.82693877551020412</v>
      </c>
      <c r="U436" s="265">
        <f t="shared" ca="1" si="152"/>
        <v>58.641313507561222</v>
      </c>
      <c r="V436" s="265">
        <f t="shared" ca="1" si="153"/>
        <v>2.3960890630946303</v>
      </c>
      <c r="W436" s="258">
        <f t="shared" ca="1" si="154"/>
        <v>13.222052027819259</v>
      </c>
      <c r="X436" s="265">
        <f t="shared" si="155"/>
        <v>2.5249365671641786</v>
      </c>
      <c r="Y436" s="265">
        <f t="shared" si="156"/>
        <v>1.500803571428571</v>
      </c>
      <c r="Z436" s="265">
        <f t="shared" si="157"/>
        <v>0.82693877551020412</v>
      </c>
      <c r="AA436" s="265">
        <f t="shared" ca="1" si="158"/>
        <v>18.074730941922212</v>
      </c>
      <c r="AB436" s="265">
        <f t="shared" ca="1" si="159"/>
        <v>0.73853504530954428</v>
      </c>
      <c r="AC436" s="258"/>
      <c r="AD436" s="258"/>
      <c r="AE436" s="258"/>
      <c r="AF436" s="258"/>
      <c r="AG436" s="258"/>
      <c r="AH436" s="258"/>
      <c r="AI436" s="258"/>
      <c r="AJ436" s="258"/>
      <c r="AK436" s="258"/>
      <c r="AL436" s="258"/>
      <c r="AM436" s="258"/>
    </row>
    <row r="437" spans="3:39" x14ac:dyDescent="0.25">
      <c r="C437" s="255" t="s">
        <v>6370</v>
      </c>
      <c r="D437" s="258">
        <v>8.3994999999999997</v>
      </c>
      <c r="E437" s="258">
        <v>0.42566370614359172</v>
      </c>
      <c r="F437" s="258">
        <v>50.677267235382075</v>
      </c>
      <c r="G437" s="266">
        <f t="shared" si="138"/>
        <v>19.732713592374129</v>
      </c>
      <c r="H437" s="265">
        <f t="shared" si="139"/>
        <v>0.35758706467661688</v>
      </c>
      <c r="I437" s="265">
        <f t="shared" si="140"/>
        <v>0.2790178571428571</v>
      </c>
      <c r="J437" s="265">
        <f t="shared" si="141"/>
        <v>0.14172335600907029</v>
      </c>
      <c r="K437" s="258">
        <f t="shared" ca="1" si="142"/>
        <v>73.405694563631769</v>
      </c>
      <c r="L437" s="265">
        <f t="shared" si="143"/>
        <v>2.5249365671641786</v>
      </c>
      <c r="M437" s="265">
        <f t="shared" si="144"/>
        <v>1.500803571428571</v>
      </c>
      <c r="N437" s="265">
        <f t="shared" si="145"/>
        <v>0.82693877551020412</v>
      </c>
      <c r="O437" s="265">
        <f t="shared" ca="1" si="146"/>
        <v>78.258373477734722</v>
      </c>
      <c r="P437" s="265">
        <f t="shared" ca="1" si="147"/>
        <v>3.8154265382015637</v>
      </c>
      <c r="Q437" s="258">
        <f t="shared" ca="1" si="148"/>
        <v>44.793259854689275</v>
      </c>
      <c r="R437" s="265">
        <f t="shared" si="149"/>
        <v>2.5249365671641786</v>
      </c>
      <c r="S437" s="265">
        <f t="shared" si="150"/>
        <v>1.500803571428571</v>
      </c>
      <c r="T437" s="265">
        <f t="shared" si="151"/>
        <v>0.82693877551020412</v>
      </c>
      <c r="U437" s="265">
        <f t="shared" ca="1" si="152"/>
        <v>49.645938768792227</v>
      </c>
      <c r="V437" s="265">
        <f t="shared" ca="1" si="153"/>
        <v>2.4204493893074805</v>
      </c>
      <c r="W437" s="258">
        <f t="shared" ca="1" si="154"/>
        <v>11.010854184544765</v>
      </c>
      <c r="X437" s="265">
        <f t="shared" si="155"/>
        <v>2.5249365671641786</v>
      </c>
      <c r="Y437" s="265">
        <f t="shared" si="156"/>
        <v>1.500803571428571</v>
      </c>
      <c r="Z437" s="265">
        <f t="shared" si="157"/>
        <v>0.82693877551020412</v>
      </c>
      <c r="AA437" s="265">
        <f t="shared" ca="1" si="158"/>
        <v>15.86353309864772</v>
      </c>
      <c r="AB437" s="265">
        <f t="shared" ca="1" si="159"/>
        <v>0.77341430040632875</v>
      </c>
      <c r="AC437" s="258"/>
      <c r="AD437" s="258"/>
      <c r="AE437" s="258"/>
      <c r="AF437" s="258"/>
      <c r="AG437" s="258"/>
      <c r="AH437" s="258"/>
      <c r="AI437" s="258"/>
      <c r="AJ437" s="258"/>
      <c r="AK437" s="258"/>
      <c r="AL437" s="258"/>
      <c r="AM437" s="258"/>
    </row>
    <row r="438" spans="3:39" x14ac:dyDescent="0.25">
      <c r="C438" s="255" t="s">
        <v>6371</v>
      </c>
      <c r="D438" s="258">
        <v>6.9865000000000004</v>
      </c>
      <c r="E438" s="258">
        <v>0.44053096491487342</v>
      </c>
      <c r="F438" s="258">
        <v>63.054600288395243</v>
      </c>
      <c r="G438" s="266">
        <f t="shared" si="138"/>
        <v>15.859271098797892</v>
      </c>
      <c r="H438" s="265">
        <f t="shared" si="139"/>
        <v>0.35758706467661688</v>
      </c>
      <c r="I438" s="265">
        <f t="shared" si="140"/>
        <v>0.2790178571428571</v>
      </c>
      <c r="J438" s="265">
        <f t="shared" si="141"/>
        <v>0.14172335600907029</v>
      </c>
      <c r="K438" s="258">
        <f t="shared" ca="1" si="142"/>
        <v>58.996488487528161</v>
      </c>
      <c r="L438" s="265">
        <f t="shared" si="143"/>
        <v>2.5249365671641786</v>
      </c>
      <c r="M438" s="265">
        <f t="shared" si="144"/>
        <v>1.500803571428571</v>
      </c>
      <c r="N438" s="265">
        <f t="shared" si="145"/>
        <v>0.82693877551020412</v>
      </c>
      <c r="O438" s="265">
        <f t="shared" ca="1" si="146"/>
        <v>63.849167401631114</v>
      </c>
      <c r="P438" s="265">
        <f t="shared" ca="1" si="147"/>
        <v>3.8376430370916674</v>
      </c>
      <c r="Q438" s="258">
        <f t="shared" ca="1" si="148"/>
        <v>36.000545394271214</v>
      </c>
      <c r="R438" s="265">
        <f t="shared" si="149"/>
        <v>2.5249365671641786</v>
      </c>
      <c r="S438" s="265">
        <f t="shared" si="150"/>
        <v>1.500803571428571</v>
      </c>
      <c r="T438" s="265">
        <f t="shared" si="151"/>
        <v>0.82693877551020412</v>
      </c>
      <c r="U438" s="265">
        <f t="shared" ca="1" si="152"/>
        <v>40.853224308374166</v>
      </c>
      <c r="V438" s="265">
        <f t="shared" ca="1" si="153"/>
        <v>2.455475900313322</v>
      </c>
      <c r="W438" s="258">
        <f t="shared" ca="1" si="154"/>
        <v>8.8494732731292238</v>
      </c>
      <c r="X438" s="265">
        <f t="shared" si="155"/>
        <v>2.5249365671641786</v>
      </c>
      <c r="Y438" s="265">
        <f t="shared" si="156"/>
        <v>1.500803571428571</v>
      </c>
      <c r="Z438" s="265">
        <f t="shared" si="157"/>
        <v>0.82693877551020412</v>
      </c>
      <c r="AA438" s="265">
        <f t="shared" ca="1" si="158"/>
        <v>13.702152187232178</v>
      </c>
      <c r="AB438" s="265">
        <f t="shared" ca="1" si="159"/>
        <v>0.82356546019985533</v>
      </c>
      <c r="AC438" s="258"/>
      <c r="AD438" s="258"/>
      <c r="AE438" s="258"/>
      <c r="AF438" s="258"/>
      <c r="AG438" s="258"/>
      <c r="AH438" s="258"/>
      <c r="AI438" s="258"/>
      <c r="AJ438" s="258"/>
      <c r="AK438" s="258"/>
      <c r="AL438" s="258"/>
      <c r="AM438" s="258"/>
    </row>
    <row r="439" spans="3:39" x14ac:dyDescent="0.25">
      <c r="C439" s="255" t="s">
        <v>6372</v>
      </c>
      <c r="D439" s="258">
        <v>5.4950000000000001</v>
      </c>
      <c r="E439" s="258">
        <v>0.46054866776461628</v>
      </c>
      <c r="F439" s="258">
        <v>83.812314424861938</v>
      </c>
      <c r="G439" s="266">
        <f t="shared" si="138"/>
        <v>11.931420899926394</v>
      </c>
      <c r="H439" s="265">
        <f t="shared" si="139"/>
        <v>0.35758706467661688</v>
      </c>
      <c r="I439" s="265">
        <f t="shared" si="140"/>
        <v>0.2790178571428571</v>
      </c>
      <c r="J439" s="265">
        <f t="shared" si="141"/>
        <v>0.14172335600907029</v>
      </c>
      <c r="K439" s="258">
        <f t="shared" ca="1" si="142"/>
        <v>44.384885747726187</v>
      </c>
      <c r="L439" s="265">
        <f t="shared" si="143"/>
        <v>2.5249365671641786</v>
      </c>
      <c r="M439" s="265">
        <f t="shared" si="144"/>
        <v>1.500803571428571</v>
      </c>
      <c r="N439" s="265">
        <f t="shared" si="145"/>
        <v>0.82693877551020412</v>
      </c>
      <c r="O439" s="265">
        <f t="shared" ca="1" si="146"/>
        <v>49.23756466182914</v>
      </c>
      <c r="P439" s="265">
        <f t="shared" ca="1" si="147"/>
        <v>3.873999712599089</v>
      </c>
      <c r="Q439" s="258">
        <f t="shared" ca="1" si="148"/>
        <v>27.084325442832913</v>
      </c>
      <c r="R439" s="265">
        <f t="shared" si="149"/>
        <v>2.5249365671641786</v>
      </c>
      <c r="S439" s="265">
        <f t="shared" si="150"/>
        <v>1.500803571428571</v>
      </c>
      <c r="T439" s="265">
        <f t="shared" si="151"/>
        <v>0.82693877551020412</v>
      </c>
      <c r="U439" s="265">
        <f t="shared" ca="1" si="152"/>
        <v>31.937004356935866</v>
      </c>
      <c r="V439" s="265">
        <f t="shared" ca="1" si="153"/>
        <v>2.5127958003162774</v>
      </c>
      <c r="W439" s="258">
        <f t="shared" ca="1" si="154"/>
        <v>6.6577328621589285</v>
      </c>
      <c r="X439" s="265">
        <f t="shared" si="155"/>
        <v>2.5249365671641786</v>
      </c>
      <c r="Y439" s="265">
        <f t="shared" si="156"/>
        <v>1.500803571428571</v>
      </c>
      <c r="Z439" s="265">
        <f t="shared" si="157"/>
        <v>0.82693877551020412</v>
      </c>
      <c r="AA439" s="265">
        <f t="shared" ca="1" si="158"/>
        <v>11.510411776261883</v>
      </c>
      <c r="AB439" s="265">
        <f t="shared" ca="1" si="159"/>
        <v>0.90563642250374388</v>
      </c>
      <c r="AC439" s="258"/>
      <c r="AD439" s="258"/>
      <c r="AE439" s="258"/>
      <c r="AF439" s="258"/>
      <c r="AG439" s="258"/>
      <c r="AH439" s="258"/>
      <c r="AI439" s="258"/>
      <c r="AJ439" s="258"/>
      <c r="AK439" s="258"/>
      <c r="AL439" s="258"/>
      <c r="AM439" s="258"/>
    </row>
    <row r="440" spans="3:39" x14ac:dyDescent="0.25">
      <c r="C440" s="255" t="s">
        <v>6373</v>
      </c>
      <c r="D440" s="258">
        <v>4.6315</v>
      </c>
      <c r="E440" s="258">
        <v>0.46712388980384689</v>
      </c>
      <c r="F440" s="258">
        <v>100.85801356015264</v>
      </c>
      <c r="G440" s="266">
        <f t="shared" si="138"/>
        <v>9.9149285684036492</v>
      </c>
      <c r="H440" s="265">
        <f t="shared" si="139"/>
        <v>0.35758706467661688</v>
      </c>
      <c r="I440" s="265">
        <f t="shared" si="140"/>
        <v>0.2790178571428571</v>
      </c>
      <c r="J440" s="265">
        <f t="shared" si="141"/>
        <v>0.14172335600907029</v>
      </c>
      <c r="K440" s="258">
        <f t="shared" ca="1" si="142"/>
        <v>36.883534274461574</v>
      </c>
      <c r="L440" s="265">
        <f t="shared" si="143"/>
        <v>2.5249365671641786</v>
      </c>
      <c r="M440" s="265">
        <f t="shared" si="144"/>
        <v>1.500803571428571</v>
      </c>
      <c r="N440" s="265">
        <f t="shared" si="145"/>
        <v>0.82693877551020412</v>
      </c>
      <c r="O440" s="265">
        <f t="shared" ca="1" si="146"/>
        <v>41.736213188564527</v>
      </c>
      <c r="P440" s="265">
        <f t="shared" ca="1" si="147"/>
        <v>3.9030403728935426</v>
      </c>
      <c r="Q440" s="258">
        <f t="shared" ca="1" si="148"/>
        <v>22.506887850276282</v>
      </c>
      <c r="R440" s="265">
        <f t="shared" si="149"/>
        <v>2.5249365671641786</v>
      </c>
      <c r="S440" s="265">
        <f t="shared" si="150"/>
        <v>1.500803571428571</v>
      </c>
      <c r="T440" s="265">
        <f t="shared" si="151"/>
        <v>0.82693877551020412</v>
      </c>
      <c r="U440" s="265">
        <f t="shared" ca="1" si="152"/>
        <v>27.359566764379235</v>
      </c>
      <c r="V440" s="265">
        <f t="shared" ca="1" si="153"/>
        <v>2.5585812776974</v>
      </c>
      <c r="W440" s="258">
        <f t="shared" ca="1" si="154"/>
        <v>5.5325301411692367</v>
      </c>
      <c r="X440" s="265">
        <f t="shared" si="155"/>
        <v>2.5249365671641786</v>
      </c>
      <c r="Y440" s="265">
        <f t="shared" si="156"/>
        <v>1.500803571428571</v>
      </c>
      <c r="Z440" s="265">
        <f t="shared" si="157"/>
        <v>0.82693877551020412</v>
      </c>
      <c r="AA440" s="265">
        <f t="shared" ca="1" si="158"/>
        <v>10.38520905527219</v>
      </c>
      <c r="AB440" s="265">
        <f t="shared" ca="1" si="159"/>
        <v>0.97119233219685119</v>
      </c>
      <c r="AC440" s="258"/>
      <c r="AD440" s="258"/>
      <c r="AE440" s="258"/>
      <c r="AF440" s="258"/>
      <c r="AG440" s="258"/>
      <c r="AH440" s="258"/>
      <c r="AI440" s="258"/>
      <c r="AJ440" s="258"/>
      <c r="AK440" s="258"/>
      <c r="AL440" s="258"/>
      <c r="AM440" s="258"/>
    </row>
    <row r="441" spans="3:39" x14ac:dyDescent="0.25">
      <c r="C441" s="255" t="s">
        <v>6374</v>
      </c>
      <c r="D441" s="258">
        <v>3.7679999999999998</v>
      </c>
      <c r="E441" s="258">
        <v>0.47369911184307756</v>
      </c>
      <c r="F441" s="258">
        <v>125.71632479911824</v>
      </c>
      <c r="G441" s="266">
        <f t="shared" si="138"/>
        <v>7.9544164339666867</v>
      </c>
      <c r="H441" s="265">
        <f t="shared" si="139"/>
        <v>0.35758706467661688</v>
      </c>
      <c r="I441" s="265">
        <f t="shared" si="140"/>
        <v>0.2790178571428571</v>
      </c>
      <c r="J441" s="265">
        <f t="shared" si="141"/>
        <v>0.14172335600907029</v>
      </c>
      <c r="K441" s="258">
        <f t="shared" ca="1" si="142"/>
        <v>29.590429134356075</v>
      </c>
      <c r="L441" s="265">
        <f t="shared" si="143"/>
        <v>2.5249365671641786</v>
      </c>
      <c r="M441" s="265">
        <f t="shared" si="144"/>
        <v>1.500803571428571</v>
      </c>
      <c r="N441" s="265">
        <f t="shared" si="145"/>
        <v>0.82693877551020412</v>
      </c>
      <c r="O441" s="265">
        <f t="shared" ca="1" si="146"/>
        <v>34.443108048459031</v>
      </c>
      <c r="P441" s="265">
        <f t="shared" ca="1" si="147"/>
        <v>3.9441331660522572</v>
      </c>
      <c r="Q441" s="258">
        <f t="shared" ca="1" si="148"/>
        <v>18.05652530510438</v>
      </c>
      <c r="R441" s="265">
        <f t="shared" si="149"/>
        <v>2.5249365671641786</v>
      </c>
      <c r="S441" s="265">
        <f t="shared" si="150"/>
        <v>1.500803571428571</v>
      </c>
      <c r="T441" s="265">
        <f t="shared" si="151"/>
        <v>0.82693877551020412</v>
      </c>
      <c r="U441" s="265">
        <f t="shared" ca="1" si="152"/>
        <v>22.909204219207332</v>
      </c>
      <c r="V441" s="265">
        <f t="shared" ca="1" si="153"/>
        <v>2.623368136281838</v>
      </c>
      <c r="W441" s="258">
        <f t="shared" ca="1" si="154"/>
        <v>4.4385643701534114</v>
      </c>
      <c r="X441" s="265">
        <f t="shared" si="155"/>
        <v>2.5249365671641786</v>
      </c>
      <c r="Y441" s="265">
        <f t="shared" si="156"/>
        <v>1.500803571428571</v>
      </c>
      <c r="Z441" s="265">
        <f t="shared" si="157"/>
        <v>0.82693877551020412</v>
      </c>
      <c r="AA441" s="265">
        <f t="shared" ca="1" si="158"/>
        <v>9.2912432842563657</v>
      </c>
      <c r="AB441" s="265">
        <f t="shared" ca="1" si="159"/>
        <v>1.0639545287184196</v>
      </c>
      <c r="AC441" s="258"/>
      <c r="AD441" s="258"/>
      <c r="AE441" s="258"/>
      <c r="AF441" s="258"/>
      <c r="AG441" s="258"/>
      <c r="AH441" s="258"/>
      <c r="AI441" s="258"/>
      <c r="AJ441" s="258"/>
      <c r="AK441" s="258"/>
      <c r="AL441" s="258"/>
      <c r="AM441" s="258"/>
    </row>
    <row r="442" spans="3:39" x14ac:dyDescent="0.25">
      <c r="C442" s="255" t="s">
        <v>6375</v>
      </c>
      <c r="D442" s="258">
        <v>3.0615000000000001</v>
      </c>
      <c r="E442" s="258">
        <v>0.47895928947446198</v>
      </c>
      <c r="F442" s="258">
        <v>156.44595442575925</v>
      </c>
      <c r="G442" s="266">
        <f t="shared" si="138"/>
        <v>6.3919837599542761</v>
      </c>
      <c r="H442" s="265">
        <f t="shared" si="139"/>
        <v>0.35758706467661688</v>
      </c>
      <c r="I442" s="265">
        <f t="shared" si="140"/>
        <v>0.2790178571428571</v>
      </c>
      <c r="J442" s="265">
        <f t="shared" si="141"/>
        <v>0.14172335600907029</v>
      </c>
      <c r="K442" s="258">
        <f t="shared" ca="1" si="142"/>
        <v>23.778179587029907</v>
      </c>
      <c r="L442" s="265">
        <f t="shared" si="143"/>
        <v>2.5249365671641786</v>
      </c>
      <c r="M442" s="265">
        <f t="shared" si="144"/>
        <v>1.500803571428571</v>
      </c>
      <c r="N442" s="265">
        <f t="shared" si="145"/>
        <v>0.82693877551020412</v>
      </c>
      <c r="O442" s="265">
        <f t="shared" ca="1" si="146"/>
        <v>28.63085850113286</v>
      </c>
      <c r="P442" s="265">
        <f t="shared" ca="1" si="147"/>
        <v>3.9929724606498436</v>
      </c>
      <c r="Q442" s="258">
        <f t="shared" ca="1" si="148"/>
        <v>14.509803135096208</v>
      </c>
      <c r="R442" s="265">
        <f t="shared" si="149"/>
        <v>2.5249365671641786</v>
      </c>
      <c r="S442" s="265">
        <f t="shared" si="150"/>
        <v>1.500803571428571</v>
      </c>
      <c r="T442" s="265">
        <f t="shared" si="151"/>
        <v>0.82693877551020412</v>
      </c>
      <c r="U442" s="265">
        <f t="shared" ca="1" si="152"/>
        <v>19.362482049199158</v>
      </c>
      <c r="V442" s="265">
        <f t="shared" ca="1" si="153"/>
        <v>2.7003681216621587</v>
      </c>
      <c r="W442" s="258">
        <f t="shared" ca="1" si="154"/>
        <v>3.5667269380544866</v>
      </c>
      <c r="X442" s="265">
        <f t="shared" si="155"/>
        <v>2.5249365671641786</v>
      </c>
      <c r="Y442" s="265">
        <f t="shared" si="156"/>
        <v>1.500803571428571</v>
      </c>
      <c r="Z442" s="265">
        <f t="shared" si="157"/>
        <v>0.82693877551020412</v>
      </c>
      <c r="AA442" s="265">
        <f t="shared" ca="1" si="158"/>
        <v>8.4194058521574409</v>
      </c>
      <c r="AB442" s="265">
        <f t="shared" ca="1" si="159"/>
        <v>1.1742035503884238</v>
      </c>
      <c r="AC442" s="258"/>
      <c r="AD442" s="258"/>
      <c r="AE442" s="258"/>
      <c r="AF442" s="258"/>
      <c r="AG442" s="258"/>
      <c r="AH442" s="258"/>
      <c r="AI442" s="258"/>
      <c r="AJ442" s="258"/>
      <c r="AK442" s="258"/>
      <c r="AL442" s="258"/>
      <c r="AM442" s="258"/>
    </row>
    <row r="443" spans="3:39" x14ac:dyDescent="0.25">
      <c r="C443" s="255" t="s">
        <v>6376</v>
      </c>
      <c r="D443" s="258">
        <v>3.6110000000000002</v>
      </c>
      <c r="E443" s="258">
        <v>0.36712388980384691</v>
      </c>
      <c r="F443" s="258">
        <v>101.66820542892465</v>
      </c>
      <c r="G443" s="266">
        <f t="shared" si="138"/>
        <v>9.8359167035665962</v>
      </c>
      <c r="H443" s="265">
        <f t="shared" si="139"/>
        <v>0.35758706467661688</v>
      </c>
      <c r="I443" s="265">
        <f t="shared" si="140"/>
        <v>0.2790178571428571</v>
      </c>
      <c r="J443" s="265">
        <f t="shared" si="141"/>
        <v>0.14172335600907029</v>
      </c>
      <c r="K443" s="258">
        <f t="shared" ca="1" si="142"/>
        <v>36.589610137267741</v>
      </c>
      <c r="L443" s="265">
        <f t="shared" si="143"/>
        <v>2.5249365671641786</v>
      </c>
      <c r="M443" s="265">
        <f t="shared" si="144"/>
        <v>1.500803571428571</v>
      </c>
      <c r="N443" s="265">
        <f t="shared" si="145"/>
        <v>0.82693877551020412</v>
      </c>
      <c r="O443" s="265">
        <f t="shared" ca="1" si="146"/>
        <v>41.442289051370693</v>
      </c>
      <c r="P443" s="265">
        <f t="shared" ca="1" si="147"/>
        <v>3.9044029155169833</v>
      </c>
      <c r="Q443" s="258">
        <f t="shared" ca="1" si="148"/>
        <v>22.327530917096173</v>
      </c>
      <c r="R443" s="265">
        <f t="shared" si="149"/>
        <v>2.5249365671641786</v>
      </c>
      <c r="S443" s="265">
        <f t="shared" si="150"/>
        <v>1.500803571428571</v>
      </c>
      <c r="T443" s="265">
        <f t="shared" si="151"/>
        <v>0.82693877551020412</v>
      </c>
      <c r="U443" s="265">
        <f t="shared" ca="1" si="152"/>
        <v>27.180209831199125</v>
      </c>
      <c r="V443" s="265">
        <f t="shared" ca="1" si="153"/>
        <v>2.5607294611007316</v>
      </c>
      <c r="W443" s="258">
        <f t="shared" ca="1" si="154"/>
        <v>5.4884415205901611</v>
      </c>
      <c r="X443" s="265">
        <f t="shared" si="155"/>
        <v>2.5249365671641786</v>
      </c>
      <c r="Y443" s="265">
        <f t="shared" si="156"/>
        <v>1.500803571428571</v>
      </c>
      <c r="Z443" s="265">
        <f t="shared" si="157"/>
        <v>0.82693877551020412</v>
      </c>
      <c r="AA443" s="265">
        <f t="shared" ca="1" si="158"/>
        <v>10.341120434693115</v>
      </c>
      <c r="AB443" s="265">
        <f t="shared" ca="1" si="159"/>
        <v>0.97426811354168263</v>
      </c>
      <c r="AC443" s="258"/>
      <c r="AD443" s="258"/>
      <c r="AE443" s="258"/>
      <c r="AF443" s="258"/>
      <c r="AG443" s="258"/>
      <c r="AH443" s="258"/>
      <c r="AI443" s="258"/>
      <c r="AJ443" s="258"/>
      <c r="AK443" s="258"/>
      <c r="AL443" s="258"/>
      <c r="AM443" s="258"/>
    </row>
    <row r="444" spans="3:39" x14ac:dyDescent="0.25">
      <c r="C444" s="255" t="s">
        <v>6377</v>
      </c>
      <c r="D444" s="258">
        <v>2.9830000000000001</v>
      </c>
      <c r="E444" s="258">
        <v>0.37369911184307752</v>
      </c>
      <c r="F444" s="258">
        <v>125.2762694747159</v>
      </c>
      <c r="G444" s="266">
        <f t="shared" si="138"/>
        <v>7.9823577457487014</v>
      </c>
      <c r="H444" s="265">
        <f t="shared" si="139"/>
        <v>0.35758706467661688</v>
      </c>
      <c r="I444" s="265">
        <f t="shared" si="140"/>
        <v>0.2790178571428571</v>
      </c>
      <c r="J444" s="265">
        <f t="shared" si="141"/>
        <v>0.14172335600907029</v>
      </c>
      <c r="K444" s="258">
        <f t="shared" ca="1" si="142"/>
        <v>29.69437081418517</v>
      </c>
      <c r="L444" s="265">
        <f t="shared" si="143"/>
        <v>2.5249365671641786</v>
      </c>
      <c r="M444" s="265">
        <f t="shared" si="144"/>
        <v>1.500803571428571</v>
      </c>
      <c r="N444" s="265">
        <f t="shared" si="145"/>
        <v>0.82693877551020412</v>
      </c>
      <c r="O444" s="265">
        <f t="shared" ca="1" si="146"/>
        <v>34.547049728288123</v>
      </c>
      <c r="P444" s="265">
        <f t="shared" ca="1" si="147"/>
        <v>3.9434183162497978</v>
      </c>
      <c r="Q444" s="258">
        <f t="shared" ca="1" si="148"/>
        <v>18.119952082849551</v>
      </c>
      <c r="R444" s="265">
        <f t="shared" si="149"/>
        <v>2.5249365671641786</v>
      </c>
      <c r="S444" s="265">
        <f t="shared" si="150"/>
        <v>1.500803571428571</v>
      </c>
      <c r="T444" s="265">
        <f t="shared" si="151"/>
        <v>0.82693877551020412</v>
      </c>
      <c r="U444" s="265">
        <f t="shared" ca="1" si="152"/>
        <v>22.972630996952503</v>
      </c>
      <c r="V444" s="265">
        <f t="shared" ca="1" si="153"/>
        <v>2.6222411047636314</v>
      </c>
      <c r="W444" s="258">
        <f t="shared" ca="1" si="154"/>
        <v>4.454155622127776</v>
      </c>
      <c r="X444" s="265">
        <f t="shared" si="155"/>
        <v>2.5249365671641786</v>
      </c>
      <c r="Y444" s="265">
        <f t="shared" si="156"/>
        <v>1.500803571428571</v>
      </c>
      <c r="Z444" s="265">
        <f t="shared" si="157"/>
        <v>0.82693877551020412</v>
      </c>
      <c r="AA444" s="265">
        <f t="shared" ca="1" si="158"/>
        <v>9.3068345362307294</v>
      </c>
      <c r="AB444" s="265">
        <f t="shared" ca="1" si="159"/>
        <v>1.0623408385123787</v>
      </c>
      <c r="AC444" s="258"/>
      <c r="AD444" s="258"/>
      <c r="AE444" s="258"/>
      <c r="AF444" s="258"/>
      <c r="AG444" s="258"/>
      <c r="AH444" s="258"/>
      <c r="AI444" s="258"/>
      <c r="AJ444" s="258"/>
      <c r="AK444" s="258"/>
      <c r="AL444" s="258"/>
      <c r="AM444" s="258"/>
    </row>
    <row r="445" spans="3:39" x14ac:dyDescent="0.25">
      <c r="C445" s="255" t="s">
        <v>6378</v>
      </c>
      <c r="D445" s="258">
        <v>2.4335</v>
      </c>
      <c r="E445" s="258">
        <v>0.37895928947446195</v>
      </c>
      <c r="F445" s="258">
        <v>155.72602813826256</v>
      </c>
      <c r="G445" s="266">
        <f t="shared" si="138"/>
        <v>6.4215341003376922</v>
      </c>
      <c r="H445" s="265">
        <f t="shared" si="139"/>
        <v>0.35758706467661688</v>
      </c>
      <c r="I445" s="265">
        <f t="shared" si="140"/>
        <v>0.2790178571428571</v>
      </c>
      <c r="J445" s="265">
        <f t="shared" si="141"/>
        <v>0.14172335600907029</v>
      </c>
      <c r="K445" s="258">
        <f t="shared" ca="1" si="142"/>
        <v>23.888106853256215</v>
      </c>
      <c r="L445" s="265">
        <f t="shared" si="143"/>
        <v>2.5249365671641786</v>
      </c>
      <c r="M445" s="265">
        <f t="shared" si="144"/>
        <v>1.500803571428571</v>
      </c>
      <c r="N445" s="265">
        <f t="shared" si="145"/>
        <v>0.82693877551020412</v>
      </c>
      <c r="O445" s="265">
        <f t="shared" ca="1" si="146"/>
        <v>28.740785767359167</v>
      </c>
      <c r="P445" s="265">
        <f t="shared" ca="1" si="147"/>
        <v>3.9918521018563249</v>
      </c>
      <c r="Q445" s="258">
        <f t="shared" ca="1" si="148"/>
        <v>14.576882407766561</v>
      </c>
      <c r="R445" s="265">
        <f t="shared" si="149"/>
        <v>2.5249365671641786</v>
      </c>
      <c r="S445" s="265">
        <f t="shared" si="150"/>
        <v>1.500803571428571</v>
      </c>
      <c r="T445" s="265">
        <f t="shared" si="151"/>
        <v>0.82693877551020412</v>
      </c>
      <c r="U445" s="265">
        <f t="shared" ca="1" si="152"/>
        <v>19.429561321869514</v>
      </c>
      <c r="V445" s="265">
        <f t="shared" ca="1" si="153"/>
        <v>2.6986017650545864</v>
      </c>
      <c r="W445" s="258">
        <f t="shared" ca="1" si="154"/>
        <v>3.5832160279884326</v>
      </c>
      <c r="X445" s="265">
        <f t="shared" si="155"/>
        <v>2.5249365671641786</v>
      </c>
      <c r="Y445" s="265">
        <f t="shared" si="156"/>
        <v>1.500803571428571</v>
      </c>
      <c r="Z445" s="265">
        <f t="shared" si="157"/>
        <v>0.82693877551020412</v>
      </c>
      <c r="AA445" s="265">
        <f t="shared" ca="1" si="158"/>
        <v>8.4358949420913856</v>
      </c>
      <c r="AB445" s="265">
        <f t="shared" ca="1" si="159"/>
        <v>1.171674470844533</v>
      </c>
      <c r="AC445" s="258"/>
      <c r="AD445" s="258"/>
      <c r="AE445" s="258"/>
      <c r="AF445" s="258"/>
      <c r="AG445" s="258"/>
      <c r="AH445" s="258"/>
      <c r="AI445" s="258"/>
      <c r="AJ445" s="258"/>
      <c r="AK445" s="258"/>
      <c r="AL445" s="258"/>
      <c r="AM445" s="258"/>
    </row>
    <row r="446" spans="3:39" x14ac:dyDescent="0.25">
      <c r="C446" s="255" t="s">
        <v>6379</v>
      </c>
      <c r="D446" s="258">
        <v>5.4165000000000001</v>
      </c>
      <c r="E446" s="258">
        <v>0.34053096491487334</v>
      </c>
      <c r="F446" s="258">
        <v>62.869189497807326</v>
      </c>
      <c r="G446" s="266">
        <f t="shared" si="138"/>
        <v>15.906042498525878</v>
      </c>
      <c r="H446" s="265">
        <f t="shared" si="139"/>
        <v>0.35758706467661688</v>
      </c>
      <c r="I446" s="265">
        <f t="shared" si="140"/>
        <v>0.2790178571428571</v>
      </c>
      <c r="J446" s="265">
        <f t="shared" si="141"/>
        <v>0.14172335600907029</v>
      </c>
      <c r="K446" s="258">
        <f t="shared" ca="1" si="142"/>
        <v>59.17047809451627</v>
      </c>
      <c r="L446" s="265">
        <f t="shared" si="143"/>
        <v>2.5249365671641786</v>
      </c>
      <c r="M446" s="265">
        <f t="shared" si="144"/>
        <v>1.500803571428571</v>
      </c>
      <c r="N446" s="265">
        <f t="shared" si="145"/>
        <v>0.82693877551020412</v>
      </c>
      <c r="O446" s="265">
        <f t="shared" ca="1" si="146"/>
        <v>64.023157008619222</v>
      </c>
      <c r="P446" s="265">
        <f t="shared" ca="1" si="147"/>
        <v>3.8373132476386047</v>
      </c>
      <c r="Q446" s="258">
        <f t="shared" ca="1" si="148"/>
        <v>36.106716471653741</v>
      </c>
      <c r="R446" s="265">
        <f t="shared" si="149"/>
        <v>2.5249365671641786</v>
      </c>
      <c r="S446" s="265">
        <f t="shared" si="150"/>
        <v>1.500803571428571</v>
      </c>
      <c r="T446" s="265">
        <f t="shared" si="151"/>
        <v>0.82693877551020412</v>
      </c>
      <c r="U446" s="265">
        <f t="shared" ca="1" si="152"/>
        <v>40.959395385756693</v>
      </c>
      <c r="V446" s="265">
        <f t="shared" ca="1" si="153"/>
        <v>2.4549559545754964</v>
      </c>
      <c r="W446" s="258">
        <f t="shared" ca="1" si="154"/>
        <v>8.8755717141774397</v>
      </c>
      <c r="X446" s="265">
        <f t="shared" si="155"/>
        <v>2.5249365671641786</v>
      </c>
      <c r="Y446" s="265">
        <f t="shared" si="156"/>
        <v>1.500803571428571</v>
      </c>
      <c r="Z446" s="265">
        <f t="shared" si="157"/>
        <v>0.82693877551020412</v>
      </c>
      <c r="AA446" s="265">
        <f t="shared" ca="1" si="158"/>
        <v>13.728250628280394</v>
      </c>
      <c r="AB446" s="265">
        <f t="shared" ca="1" si="159"/>
        <v>0.82282099890374472</v>
      </c>
      <c r="AC446" s="258"/>
      <c r="AD446" s="258"/>
      <c r="AE446" s="258"/>
      <c r="AF446" s="258"/>
      <c r="AG446" s="258"/>
      <c r="AH446" s="258"/>
      <c r="AI446" s="258"/>
      <c r="AJ446" s="258"/>
      <c r="AK446" s="258"/>
      <c r="AL446" s="258"/>
      <c r="AM446" s="258"/>
    </row>
    <row r="447" spans="3:39" x14ac:dyDescent="0.25">
      <c r="C447" s="255" t="s">
        <v>6380</v>
      </c>
      <c r="D447" s="258">
        <v>4.3174999999999999</v>
      </c>
      <c r="E447" s="258">
        <v>0.36054866776461625</v>
      </c>
      <c r="F447" s="258">
        <v>83.508666534942961</v>
      </c>
      <c r="G447" s="266">
        <f t="shared" si="138"/>
        <v>11.974805029147062</v>
      </c>
      <c r="H447" s="265">
        <f t="shared" si="139"/>
        <v>0.35758706467661688</v>
      </c>
      <c r="I447" s="265">
        <f t="shared" si="140"/>
        <v>0.2790178571428571</v>
      </c>
      <c r="J447" s="265">
        <f t="shared" si="141"/>
        <v>0.14172335600907029</v>
      </c>
      <c r="K447" s="258">
        <f t="shared" ca="1" si="142"/>
        <v>44.54627470842707</v>
      </c>
      <c r="L447" s="265">
        <f t="shared" si="143"/>
        <v>2.5249365671641786</v>
      </c>
      <c r="M447" s="265">
        <f t="shared" si="144"/>
        <v>1.500803571428571</v>
      </c>
      <c r="N447" s="265">
        <f t="shared" si="145"/>
        <v>0.82693877551020412</v>
      </c>
      <c r="O447" s="265">
        <f t="shared" ca="1" si="146"/>
        <v>49.398953622530023</v>
      </c>
      <c r="P447" s="265">
        <f t="shared" ca="1" si="147"/>
        <v>3.8734758300934704</v>
      </c>
      <c r="Q447" s="258">
        <f t="shared" ca="1" si="148"/>
        <v>27.182807416163829</v>
      </c>
      <c r="R447" s="265">
        <f t="shared" si="149"/>
        <v>2.5249365671641786</v>
      </c>
      <c r="S447" s="265">
        <f t="shared" si="150"/>
        <v>1.500803571428571</v>
      </c>
      <c r="T447" s="265">
        <f t="shared" si="151"/>
        <v>0.82693877551020412</v>
      </c>
      <c r="U447" s="265">
        <f t="shared" ca="1" si="152"/>
        <v>32.035486330266785</v>
      </c>
      <c r="V447" s="265">
        <f t="shared" ca="1" si="153"/>
        <v>2.5119698476565184</v>
      </c>
      <c r="W447" s="258">
        <f t="shared" ca="1" si="154"/>
        <v>6.6819412062640611</v>
      </c>
      <c r="X447" s="265">
        <f t="shared" si="155"/>
        <v>2.5249365671641786</v>
      </c>
      <c r="Y447" s="265">
        <f t="shared" si="156"/>
        <v>1.500803571428571</v>
      </c>
      <c r="Z447" s="265">
        <f t="shared" si="157"/>
        <v>0.82693877551020412</v>
      </c>
      <c r="AA447" s="265">
        <f t="shared" ca="1" si="158"/>
        <v>11.534620120367014</v>
      </c>
      <c r="AB447" s="265">
        <f t="shared" ca="1" si="159"/>
        <v>0.90445381873785491</v>
      </c>
      <c r="AC447" s="258"/>
      <c r="AD447" s="258"/>
      <c r="AE447" s="258"/>
      <c r="AF447" s="258"/>
      <c r="AG447" s="258"/>
      <c r="AH447" s="258"/>
      <c r="AI447" s="258"/>
      <c r="AJ447" s="258"/>
      <c r="AK447" s="258"/>
      <c r="AL447" s="258"/>
      <c r="AM447" s="258"/>
    </row>
    <row r="448" spans="3:39" x14ac:dyDescent="0.25">
      <c r="C448" s="255" t="s">
        <v>6381</v>
      </c>
      <c r="D448" s="258">
        <v>3.6110000000000002</v>
      </c>
      <c r="E448" s="258">
        <v>0.36712388980384691</v>
      </c>
      <c r="F448" s="258">
        <v>101.66820542892465</v>
      </c>
      <c r="G448" s="266">
        <f t="shared" si="138"/>
        <v>9.8359167035665962</v>
      </c>
      <c r="H448" s="265">
        <f t="shared" si="139"/>
        <v>0.35758706467661688</v>
      </c>
      <c r="I448" s="265">
        <f t="shared" si="140"/>
        <v>0.2790178571428571</v>
      </c>
      <c r="J448" s="265">
        <f t="shared" si="141"/>
        <v>0.14172335600907029</v>
      </c>
      <c r="K448" s="258">
        <f t="shared" ca="1" si="142"/>
        <v>36.589610137267741</v>
      </c>
      <c r="L448" s="265">
        <f t="shared" si="143"/>
        <v>2.5249365671641786</v>
      </c>
      <c r="M448" s="265">
        <f t="shared" si="144"/>
        <v>1.500803571428571</v>
      </c>
      <c r="N448" s="265">
        <f t="shared" si="145"/>
        <v>0.82693877551020412</v>
      </c>
      <c r="O448" s="265">
        <f t="shared" ca="1" si="146"/>
        <v>41.442289051370693</v>
      </c>
      <c r="P448" s="265">
        <f t="shared" ca="1" si="147"/>
        <v>3.9044029155169833</v>
      </c>
      <c r="Q448" s="258">
        <f t="shared" ca="1" si="148"/>
        <v>22.327530917096173</v>
      </c>
      <c r="R448" s="265">
        <f t="shared" si="149"/>
        <v>2.5249365671641786</v>
      </c>
      <c r="S448" s="265">
        <f t="shared" si="150"/>
        <v>1.500803571428571</v>
      </c>
      <c r="T448" s="265">
        <f t="shared" si="151"/>
        <v>0.82693877551020412</v>
      </c>
      <c r="U448" s="265">
        <f t="shared" ca="1" si="152"/>
        <v>27.180209831199125</v>
      </c>
      <c r="V448" s="265">
        <f t="shared" ca="1" si="153"/>
        <v>2.5607294611007316</v>
      </c>
      <c r="W448" s="258">
        <f t="shared" ca="1" si="154"/>
        <v>5.4884415205901611</v>
      </c>
      <c r="X448" s="265">
        <f t="shared" si="155"/>
        <v>2.5249365671641786</v>
      </c>
      <c r="Y448" s="265">
        <f t="shared" si="156"/>
        <v>1.500803571428571</v>
      </c>
      <c r="Z448" s="265">
        <f t="shared" si="157"/>
        <v>0.82693877551020412</v>
      </c>
      <c r="AA448" s="265">
        <f t="shared" ca="1" si="158"/>
        <v>10.341120434693115</v>
      </c>
      <c r="AB448" s="265">
        <f t="shared" ca="1" si="159"/>
        <v>0.97426811354168263</v>
      </c>
      <c r="AC448" s="258"/>
      <c r="AD448" s="258"/>
      <c r="AE448" s="258"/>
      <c r="AF448" s="258"/>
      <c r="AG448" s="258"/>
      <c r="AH448" s="258"/>
      <c r="AI448" s="258"/>
      <c r="AJ448" s="258"/>
      <c r="AK448" s="258"/>
      <c r="AL448" s="258"/>
      <c r="AM448" s="258"/>
    </row>
    <row r="449" spans="3:39" x14ac:dyDescent="0.25">
      <c r="C449" s="255" t="s">
        <v>6382</v>
      </c>
      <c r="D449" s="258">
        <v>2.9830000000000001</v>
      </c>
      <c r="E449" s="258">
        <v>0.37369911184307752</v>
      </c>
      <c r="F449" s="258">
        <v>125.2762694747159</v>
      </c>
      <c r="G449" s="266">
        <f t="shared" si="138"/>
        <v>7.9823577457487014</v>
      </c>
      <c r="H449" s="265">
        <f t="shared" si="139"/>
        <v>0.35758706467661688</v>
      </c>
      <c r="I449" s="265">
        <f t="shared" si="140"/>
        <v>0.2790178571428571</v>
      </c>
      <c r="J449" s="265">
        <f t="shared" si="141"/>
        <v>0.14172335600907029</v>
      </c>
      <c r="K449" s="258">
        <f t="shared" ca="1" si="142"/>
        <v>29.69437081418517</v>
      </c>
      <c r="L449" s="265">
        <f t="shared" si="143"/>
        <v>2.5249365671641786</v>
      </c>
      <c r="M449" s="265">
        <f t="shared" si="144"/>
        <v>1.500803571428571</v>
      </c>
      <c r="N449" s="265">
        <f t="shared" si="145"/>
        <v>0.82693877551020412</v>
      </c>
      <c r="O449" s="265">
        <f t="shared" ca="1" si="146"/>
        <v>34.547049728288123</v>
      </c>
      <c r="P449" s="265">
        <f t="shared" ca="1" si="147"/>
        <v>3.9434183162497978</v>
      </c>
      <c r="Q449" s="258">
        <f t="shared" ca="1" si="148"/>
        <v>18.119952082849551</v>
      </c>
      <c r="R449" s="265">
        <f t="shared" si="149"/>
        <v>2.5249365671641786</v>
      </c>
      <c r="S449" s="265">
        <f t="shared" si="150"/>
        <v>1.500803571428571</v>
      </c>
      <c r="T449" s="265">
        <f t="shared" si="151"/>
        <v>0.82693877551020412</v>
      </c>
      <c r="U449" s="265">
        <f t="shared" ca="1" si="152"/>
        <v>22.972630996952503</v>
      </c>
      <c r="V449" s="265">
        <f t="shared" ca="1" si="153"/>
        <v>2.6222411047636314</v>
      </c>
      <c r="W449" s="258">
        <f t="shared" ca="1" si="154"/>
        <v>4.454155622127776</v>
      </c>
      <c r="X449" s="265">
        <f t="shared" si="155"/>
        <v>2.5249365671641786</v>
      </c>
      <c r="Y449" s="265">
        <f t="shared" si="156"/>
        <v>1.500803571428571</v>
      </c>
      <c r="Z449" s="265">
        <f t="shared" si="157"/>
        <v>0.82693877551020412</v>
      </c>
      <c r="AA449" s="265">
        <f t="shared" ca="1" si="158"/>
        <v>9.3068345362307294</v>
      </c>
      <c r="AB449" s="265">
        <f t="shared" ca="1" si="159"/>
        <v>1.0623408385123787</v>
      </c>
      <c r="AC449" s="258"/>
      <c r="AD449" s="258"/>
      <c r="AE449" s="258"/>
      <c r="AF449" s="258"/>
      <c r="AG449" s="258"/>
      <c r="AH449" s="258"/>
      <c r="AI449" s="258"/>
      <c r="AJ449" s="258"/>
      <c r="AK449" s="258"/>
      <c r="AL449" s="258"/>
      <c r="AM449" s="258"/>
    </row>
    <row r="450" spans="3:39" x14ac:dyDescent="0.25">
      <c r="C450" s="255" t="s">
        <v>6383</v>
      </c>
      <c r="D450" s="258">
        <v>3.14</v>
      </c>
      <c r="E450" s="258">
        <v>0.26054866776461627</v>
      </c>
      <c r="F450" s="258">
        <v>82.977282727584793</v>
      </c>
      <c r="G450" s="266">
        <f t="shared" si="138"/>
        <v>12.051491289284677</v>
      </c>
      <c r="H450" s="265">
        <f t="shared" si="139"/>
        <v>0.35758706467661688</v>
      </c>
      <c r="I450" s="265">
        <f t="shared" si="140"/>
        <v>0.2790178571428571</v>
      </c>
      <c r="J450" s="265">
        <f t="shared" si="141"/>
        <v>0.14172335600907029</v>
      </c>
      <c r="K450" s="258">
        <f t="shared" ca="1" si="142"/>
        <v>44.831547596138996</v>
      </c>
      <c r="L450" s="265">
        <f t="shared" si="143"/>
        <v>2.5249365671641786</v>
      </c>
      <c r="M450" s="265">
        <f t="shared" si="144"/>
        <v>1.500803571428571</v>
      </c>
      <c r="N450" s="265">
        <f t="shared" si="145"/>
        <v>0.82693877551020412</v>
      </c>
      <c r="O450" s="265">
        <f t="shared" ca="1" si="146"/>
        <v>49.684226510241949</v>
      </c>
      <c r="P450" s="265">
        <f t="shared" ca="1" si="147"/>
        <v>3.8725584760052216</v>
      </c>
      <c r="Q450" s="258">
        <f t="shared" ca="1" si="148"/>
        <v>27.356885226676216</v>
      </c>
      <c r="R450" s="265">
        <f t="shared" si="149"/>
        <v>2.5249365671641786</v>
      </c>
      <c r="S450" s="265">
        <f t="shared" si="150"/>
        <v>1.500803571428571</v>
      </c>
      <c r="T450" s="265">
        <f t="shared" si="151"/>
        <v>0.82693877551020412</v>
      </c>
      <c r="U450" s="265">
        <f t="shared" ca="1" si="152"/>
        <v>32.209564140779172</v>
      </c>
      <c r="V450" s="265">
        <f t="shared" ca="1" si="153"/>
        <v>2.5105235480740666</v>
      </c>
      <c r="W450" s="258">
        <f t="shared" ca="1" si="154"/>
        <v>6.7247321394208504</v>
      </c>
      <c r="X450" s="265">
        <f t="shared" si="155"/>
        <v>2.5249365671641786</v>
      </c>
      <c r="Y450" s="265">
        <f t="shared" si="156"/>
        <v>1.500803571428571</v>
      </c>
      <c r="Z450" s="265">
        <f t="shared" si="157"/>
        <v>0.82693877551020412</v>
      </c>
      <c r="AA450" s="265">
        <f t="shared" ca="1" si="158"/>
        <v>11.577411053523804</v>
      </c>
      <c r="AB450" s="265">
        <f t="shared" ca="1" si="159"/>
        <v>0.90238299868224758</v>
      </c>
      <c r="AC450" s="258"/>
      <c r="AD450" s="258"/>
      <c r="AE450" s="258"/>
      <c r="AF450" s="258"/>
      <c r="AG450" s="258"/>
      <c r="AH450" s="258"/>
      <c r="AI450" s="258"/>
      <c r="AJ450" s="258"/>
      <c r="AK450" s="258"/>
      <c r="AL450" s="258"/>
      <c r="AM450" s="258"/>
    </row>
    <row r="451" spans="3:39" x14ac:dyDescent="0.25">
      <c r="C451" s="255" t="s">
        <v>6384</v>
      </c>
      <c r="D451" s="258">
        <v>2.669</v>
      </c>
      <c r="E451" s="258">
        <v>0.26712388980384694</v>
      </c>
      <c r="F451" s="258">
        <v>100.08388527682536</v>
      </c>
      <c r="G451" s="266">
        <f t="shared" si="138"/>
        <v>9.9916185031592892</v>
      </c>
      <c r="H451" s="265">
        <f t="shared" si="139"/>
        <v>0.35758706467661688</v>
      </c>
      <c r="I451" s="265">
        <f t="shared" si="140"/>
        <v>0.2790178571428571</v>
      </c>
      <c r="J451" s="265">
        <f t="shared" si="141"/>
        <v>0.14172335600907029</v>
      </c>
      <c r="K451" s="258">
        <f t="shared" ca="1" si="142"/>
        <v>37.168820831752555</v>
      </c>
      <c r="L451" s="265">
        <f t="shared" si="143"/>
        <v>2.5249365671641786</v>
      </c>
      <c r="M451" s="265">
        <f t="shared" si="144"/>
        <v>1.500803571428571</v>
      </c>
      <c r="N451" s="265">
        <f t="shared" si="145"/>
        <v>0.82693877551020412</v>
      </c>
      <c r="O451" s="265">
        <f t="shared" ca="1" si="146"/>
        <v>42.021499745855508</v>
      </c>
      <c r="P451" s="265">
        <f t="shared" ca="1" si="147"/>
        <v>3.901736990941866</v>
      </c>
      <c r="Q451" s="258">
        <f t="shared" ca="1" si="148"/>
        <v>22.680974002171588</v>
      </c>
      <c r="R451" s="265">
        <f t="shared" si="149"/>
        <v>2.5249365671641786</v>
      </c>
      <c r="S451" s="265">
        <f t="shared" si="150"/>
        <v>1.500803571428571</v>
      </c>
      <c r="T451" s="265">
        <f t="shared" si="151"/>
        <v>0.82693877551020412</v>
      </c>
      <c r="U451" s="265">
        <f t="shared" ca="1" si="152"/>
        <v>27.533652916274541</v>
      </c>
      <c r="V451" s="265">
        <f t="shared" ca="1" si="153"/>
        <v>2.5565263669528662</v>
      </c>
      <c r="W451" s="258">
        <f t="shared" ca="1" si="154"/>
        <v>5.5753231247628836</v>
      </c>
      <c r="X451" s="265">
        <f t="shared" si="155"/>
        <v>2.5249365671641786</v>
      </c>
      <c r="Y451" s="265">
        <f t="shared" si="156"/>
        <v>1.500803571428571</v>
      </c>
      <c r="Z451" s="265">
        <f t="shared" si="157"/>
        <v>0.82693877551020412</v>
      </c>
      <c r="AA451" s="265">
        <f t="shared" ca="1" si="158"/>
        <v>10.428002038865838</v>
      </c>
      <c r="AB451" s="265">
        <f t="shared" ca="1" si="159"/>
        <v>0.96825009918102567</v>
      </c>
      <c r="AC451" s="258"/>
      <c r="AD451" s="258"/>
      <c r="AE451" s="258"/>
      <c r="AF451" s="258"/>
      <c r="AG451" s="258"/>
      <c r="AH451" s="258"/>
      <c r="AI451" s="258"/>
      <c r="AJ451" s="258"/>
      <c r="AK451" s="258"/>
      <c r="AL451" s="258"/>
      <c r="AM451" s="258"/>
    </row>
    <row r="452" spans="3:39" x14ac:dyDescent="0.25">
      <c r="C452" s="255" t="s">
        <v>6385</v>
      </c>
      <c r="D452" s="258">
        <v>2.198</v>
      </c>
      <c r="E452" s="258">
        <v>0.27369911184307755</v>
      </c>
      <c r="F452" s="258">
        <v>124.5218889185976</v>
      </c>
      <c r="G452" s="266">
        <f t="shared" si="138"/>
        <v>8.0307165967721499</v>
      </c>
      <c r="H452" s="265">
        <f t="shared" si="139"/>
        <v>0.35758706467661688</v>
      </c>
      <c r="I452" s="265">
        <f t="shared" si="140"/>
        <v>0.2790178571428571</v>
      </c>
      <c r="J452" s="265">
        <f t="shared" si="141"/>
        <v>0.14172335600907029</v>
      </c>
      <c r="K452" s="258">
        <f t="shared" ca="1" si="142"/>
        <v>29.874265739992399</v>
      </c>
      <c r="L452" s="265">
        <f t="shared" si="143"/>
        <v>2.5249365671641786</v>
      </c>
      <c r="M452" s="265">
        <f t="shared" si="144"/>
        <v>1.500803571428571</v>
      </c>
      <c r="N452" s="265">
        <f t="shared" si="145"/>
        <v>0.82693877551020412</v>
      </c>
      <c r="O452" s="265">
        <f t="shared" ca="1" si="146"/>
        <v>34.726944654095355</v>
      </c>
      <c r="P452" s="265">
        <f t="shared" ca="1" si="147"/>
        <v>3.9421918208436297</v>
      </c>
      <c r="Q452" s="258">
        <f t="shared" ca="1" si="148"/>
        <v>18.229726674672779</v>
      </c>
      <c r="R452" s="265">
        <f t="shared" si="149"/>
        <v>2.5249365671641786</v>
      </c>
      <c r="S452" s="265">
        <f t="shared" si="150"/>
        <v>1.500803571428571</v>
      </c>
      <c r="T452" s="265">
        <f t="shared" si="151"/>
        <v>0.82693877551020412</v>
      </c>
      <c r="U452" s="265">
        <f t="shared" ca="1" si="152"/>
        <v>23.082405588775732</v>
      </c>
      <c r="V452" s="265">
        <f t="shared" ca="1" si="153"/>
        <v>2.6203074132735686</v>
      </c>
      <c r="W452" s="258">
        <f t="shared" ca="1" si="154"/>
        <v>4.4811398609988604</v>
      </c>
      <c r="X452" s="265">
        <f t="shared" si="155"/>
        <v>2.5249365671641786</v>
      </c>
      <c r="Y452" s="265">
        <f t="shared" si="156"/>
        <v>1.500803571428571</v>
      </c>
      <c r="Z452" s="265">
        <f t="shared" si="157"/>
        <v>0.82693877551020412</v>
      </c>
      <c r="AA452" s="265">
        <f t="shared" ca="1" si="158"/>
        <v>9.3338187751018147</v>
      </c>
      <c r="AB452" s="265">
        <f t="shared" ca="1" si="159"/>
        <v>1.0595721679218837</v>
      </c>
      <c r="AC452" s="258"/>
      <c r="AD452" s="258"/>
      <c r="AE452" s="258"/>
      <c r="AF452" s="258"/>
      <c r="AG452" s="258"/>
      <c r="AH452" s="258"/>
      <c r="AI452" s="258"/>
      <c r="AJ452" s="258"/>
      <c r="AK452" s="258"/>
      <c r="AL452" s="258"/>
      <c r="AM452" s="258"/>
    </row>
    <row r="453" spans="3:39" x14ac:dyDescent="0.25">
      <c r="C453" s="255" t="s">
        <v>6386</v>
      </c>
      <c r="D453" s="258">
        <v>1.8055000000000001</v>
      </c>
      <c r="E453" s="258">
        <v>0.27895928947446202</v>
      </c>
      <c r="F453" s="258">
        <v>154.5052835638117</v>
      </c>
      <c r="G453" s="266">
        <f t="shared" si="138"/>
        <v>6.4722705718150637</v>
      </c>
      <c r="H453" s="265">
        <f t="shared" si="139"/>
        <v>0.35758706467661688</v>
      </c>
      <c r="I453" s="265">
        <f t="shared" si="140"/>
        <v>0.2790178571428571</v>
      </c>
      <c r="J453" s="265">
        <f t="shared" si="141"/>
        <v>0.14172335600907029</v>
      </c>
      <c r="K453" s="258">
        <f t="shared" ca="1" si="142"/>
        <v>24.076846527152039</v>
      </c>
      <c r="L453" s="265">
        <f t="shared" si="143"/>
        <v>2.5249365671641786</v>
      </c>
      <c r="M453" s="265">
        <f t="shared" si="144"/>
        <v>1.500803571428571</v>
      </c>
      <c r="N453" s="265">
        <f t="shared" si="145"/>
        <v>0.82693877551020412</v>
      </c>
      <c r="O453" s="265">
        <f t="shared" ca="1" si="146"/>
        <v>28.929525441254992</v>
      </c>
      <c r="P453" s="265">
        <f t="shared" ca="1" si="147"/>
        <v>3.9899498015501136</v>
      </c>
      <c r="Q453" s="258">
        <f t="shared" ca="1" si="148"/>
        <v>14.692054198020195</v>
      </c>
      <c r="R453" s="265">
        <f t="shared" si="149"/>
        <v>2.5249365671641786</v>
      </c>
      <c r="S453" s="265">
        <f t="shared" si="150"/>
        <v>1.500803571428571</v>
      </c>
      <c r="T453" s="265">
        <f t="shared" si="151"/>
        <v>0.82693877551020412</v>
      </c>
      <c r="U453" s="265">
        <f t="shared" ca="1" si="152"/>
        <v>19.544733112123147</v>
      </c>
      <c r="V453" s="265">
        <f t="shared" ca="1" si="153"/>
        <v>2.6956026002023048</v>
      </c>
      <c r="W453" s="258">
        <f t="shared" ca="1" si="154"/>
        <v>3.611526979072806</v>
      </c>
      <c r="X453" s="265">
        <f t="shared" si="155"/>
        <v>2.5249365671641786</v>
      </c>
      <c r="Y453" s="265">
        <f t="shared" si="156"/>
        <v>1.500803571428571</v>
      </c>
      <c r="Z453" s="265">
        <f t="shared" si="157"/>
        <v>0.82693877551020412</v>
      </c>
      <c r="AA453" s="265">
        <f t="shared" ca="1" si="158"/>
        <v>8.4642058931757589</v>
      </c>
      <c r="AB453" s="265">
        <f t="shared" ca="1" si="159"/>
        <v>1.167380249369582</v>
      </c>
      <c r="AC453" s="258"/>
      <c r="AD453" s="258"/>
      <c r="AE453" s="258"/>
      <c r="AF453" s="258"/>
      <c r="AG453" s="258"/>
      <c r="AH453" s="258"/>
      <c r="AI453" s="258"/>
      <c r="AJ453" s="258"/>
      <c r="AK453" s="258"/>
      <c r="AL453" s="258"/>
      <c r="AM453" s="258"/>
    </row>
    <row r="454" spans="3:39" x14ac:dyDescent="0.25">
      <c r="C454" s="255" t="s">
        <v>6387</v>
      </c>
      <c r="D454" s="258">
        <v>2.9045000000000001</v>
      </c>
      <c r="E454" s="258">
        <v>0.24054866776461625</v>
      </c>
      <c r="F454" s="258">
        <v>82.819303757829658</v>
      </c>
      <c r="G454" s="266">
        <f t="shared" si="138"/>
        <v>12.074479675947059</v>
      </c>
      <c r="H454" s="265">
        <f t="shared" si="139"/>
        <v>0.35758706467661688</v>
      </c>
      <c r="I454" s="265">
        <f t="shared" si="140"/>
        <v>0.2790178571428571</v>
      </c>
      <c r="J454" s="265">
        <f t="shared" si="141"/>
        <v>0.14172335600907029</v>
      </c>
      <c r="K454" s="258">
        <f t="shared" ca="1" si="142"/>
        <v>44.917064394523059</v>
      </c>
      <c r="L454" s="265">
        <f t="shared" si="143"/>
        <v>2.5249365671641786</v>
      </c>
      <c r="M454" s="265">
        <f t="shared" si="144"/>
        <v>1.500803571428571</v>
      </c>
      <c r="N454" s="265">
        <f t="shared" si="145"/>
        <v>0.82693877551020412</v>
      </c>
      <c r="O454" s="265">
        <f t="shared" ca="1" si="146"/>
        <v>49.769743308626012</v>
      </c>
      <c r="P454" s="265">
        <f t="shared" ca="1" si="147"/>
        <v>3.8722856116437807</v>
      </c>
      <c r="Q454" s="258">
        <f t="shared" ca="1" si="148"/>
        <v>27.409068864399824</v>
      </c>
      <c r="R454" s="265">
        <f t="shared" si="149"/>
        <v>2.5249365671641786</v>
      </c>
      <c r="S454" s="265">
        <f t="shared" si="150"/>
        <v>1.500803571428571</v>
      </c>
      <c r="T454" s="265">
        <f t="shared" si="151"/>
        <v>0.82693877551020412</v>
      </c>
      <c r="U454" s="265">
        <f t="shared" ca="1" si="152"/>
        <v>32.26174777850278</v>
      </c>
      <c r="V454" s="265">
        <f t="shared" ca="1" si="153"/>
        <v>2.5100933503815144</v>
      </c>
      <c r="W454" s="258">
        <f t="shared" ca="1" si="154"/>
        <v>6.7375596591784594</v>
      </c>
      <c r="X454" s="265">
        <f t="shared" si="155"/>
        <v>2.5249365671641786</v>
      </c>
      <c r="Y454" s="265">
        <f t="shared" si="156"/>
        <v>1.500803571428571</v>
      </c>
      <c r="Z454" s="265">
        <f t="shared" si="157"/>
        <v>0.82693877551020412</v>
      </c>
      <c r="AA454" s="265">
        <f t="shared" ca="1" si="158"/>
        <v>11.590238573281413</v>
      </c>
      <c r="AB454" s="265">
        <f t="shared" ca="1" si="159"/>
        <v>0.90176703915323797</v>
      </c>
      <c r="AC454" s="258"/>
      <c r="AD454" s="258"/>
      <c r="AE454" s="258"/>
      <c r="AF454" s="258"/>
      <c r="AG454" s="258"/>
      <c r="AH454" s="258"/>
      <c r="AI454" s="258"/>
      <c r="AJ454" s="258"/>
      <c r="AK454" s="258"/>
      <c r="AL454" s="258"/>
      <c r="AM454" s="258"/>
    </row>
    <row r="455" spans="3:39" x14ac:dyDescent="0.25">
      <c r="C455" s="255" t="s">
        <v>6388</v>
      </c>
      <c r="D455" s="258">
        <v>2.4335</v>
      </c>
      <c r="E455" s="258">
        <v>0.24712388980384689</v>
      </c>
      <c r="F455" s="258">
        <v>101.55080739833446</v>
      </c>
      <c r="G455" s="266">
        <f t="shared" si="138"/>
        <v>9.8472875363510024</v>
      </c>
      <c r="H455" s="265">
        <f t="shared" si="139"/>
        <v>0.35758706467661688</v>
      </c>
      <c r="I455" s="265">
        <f t="shared" si="140"/>
        <v>0.2790178571428571</v>
      </c>
      <c r="J455" s="265">
        <f t="shared" si="141"/>
        <v>0.14172335600907029</v>
      </c>
      <c r="K455" s="258">
        <f t="shared" ca="1" si="142"/>
        <v>36.631909635225732</v>
      </c>
      <c r="L455" s="265">
        <f t="shared" si="143"/>
        <v>2.5249365671641786</v>
      </c>
      <c r="M455" s="265">
        <f t="shared" si="144"/>
        <v>1.500803571428571</v>
      </c>
      <c r="N455" s="265">
        <f t="shared" si="145"/>
        <v>0.82693877551020412</v>
      </c>
      <c r="O455" s="265">
        <f t="shared" ca="1" si="146"/>
        <v>41.484588549328684</v>
      </c>
      <c r="P455" s="265">
        <f t="shared" ca="1" si="147"/>
        <v>3.9042055796868564</v>
      </c>
      <c r="Q455" s="258">
        <f t="shared" ca="1" si="148"/>
        <v>22.353342707516777</v>
      </c>
      <c r="R455" s="265">
        <f t="shared" si="149"/>
        <v>2.5249365671641786</v>
      </c>
      <c r="S455" s="265">
        <f t="shared" si="150"/>
        <v>1.500803571428571</v>
      </c>
      <c r="T455" s="265">
        <f t="shared" si="151"/>
        <v>0.82693877551020412</v>
      </c>
      <c r="U455" s="265">
        <f t="shared" ca="1" si="152"/>
        <v>27.20602162161973</v>
      </c>
      <c r="V455" s="265">
        <f t="shared" ca="1" si="153"/>
        <v>2.560418341618766</v>
      </c>
      <c r="W455" s="258">
        <f t="shared" ca="1" si="154"/>
        <v>5.49478644528386</v>
      </c>
      <c r="X455" s="265">
        <f t="shared" si="155"/>
        <v>2.5249365671641786</v>
      </c>
      <c r="Y455" s="265">
        <f t="shared" si="156"/>
        <v>1.500803571428571</v>
      </c>
      <c r="Z455" s="265">
        <f t="shared" si="157"/>
        <v>0.82693877551020412</v>
      </c>
      <c r="AA455" s="265">
        <f t="shared" ca="1" si="158"/>
        <v>10.347465359386813</v>
      </c>
      <c r="AB455" s="265">
        <f t="shared" ca="1" si="159"/>
        <v>0.97382265087906239</v>
      </c>
      <c r="AC455" s="258"/>
      <c r="AD455" s="258"/>
      <c r="AE455" s="258"/>
      <c r="AF455" s="258"/>
      <c r="AG455" s="258"/>
      <c r="AH455" s="258"/>
      <c r="AI455" s="258"/>
      <c r="AJ455" s="258"/>
      <c r="AK455" s="258"/>
      <c r="AL455" s="258"/>
      <c r="AM455" s="258"/>
    </row>
    <row r="456" spans="3:39" x14ac:dyDescent="0.25">
      <c r="C456" s="255" t="s">
        <v>6389</v>
      </c>
      <c r="D456" s="258">
        <v>2.0409999999999999</v>
      </c>
      <c r="E456" s="258">
        <v>0.25369911184307753</v>
      </c>
      <c r="F456" s="258">
        <v>124.30137767911687</v>
      </c>
      <c r="G456" s="266">
        <f t="shared" si="138"/>
        <v>8.0449631264867634</v>
      </c>
      <c r="H456" s="265">
        <f t="shared" si="139"/>
        <v>0.35758706467661688</v>
      </c>
      <c r="I456" s="265">
        <f t="shared" si="140"/>
        <v>0.2790178571428571</v>
      </c>
      <c r="J456" s="265">
        <f t="shared" si="141"/>
        <v>0.14172335600907029</v>
      </c>
      <c r="K456" s="258">
        <f t="shared" ca="1" si="142"/>
        <v>29.927262830530761</v>
      </c>
      <c r="L456" s="265">
        <f t="shared" si="143"/>
        <v>2.5249365671641786</v>
      </c>
      <c r="M456" s="265">
        <f t="shared" si="144"/>
        <v>1.500803571428571</v>
      </c>
      <c r="N456" s="265">
        <f t="shared" si="145"/>
        <v>0.82693877551020412</v>
      </c>
      <c r="O456" s="265">
        <f t="shared" ca="1" si="146"/>
        <v>34.779941744633717</v>
      </c>
      <c r="P456" s="265">
        <f t="shared" ca="1" si="147"/>
        <v>3.9418330587634784</v>
      </c>
      <c r="Q456" s="258">
        <f t="shared" ca="1" si="148"/>
        <v>18.262066297124953</v>
      </c>
      <c r="R456" s="265">
        <f t="shared" si="149"/>
        <v>2.5249365671641786</v>
      </c>
      <c r="S456" s="265">
        <f t="shared" si="150"/>
        <v>1.500803571428571</v>
      </c>
      <c r="T456" s="265">
        <f t="shared" si="151"/>
        <v>0.82693877551020412</v>
      </c>
      <c r="U456" s="265">
        <f t="shared" ca="1" si="152"/>
        <v>23.114745211227905</v>
      </c>
      <c r="V456" s="265">
        <f t="shared" ca="1" si="153"/>
        <v>2.6197417893194497</v>
      </c>
      <c r="W456" s="258">
        <f t="shared" ca="1" si="154"/>
        <v>4.489089424579614</v>
      </c>
      <c r="X456" s="265">
        <f t="shared" si="155"/>
        <v>2.5249365671641786</v>
      </c>
      <c r="Y456" s="265">
        <f t="shared" si="156"/>
        <v>1.500803571428571</v>
      </c>
      <c r="Z456" s="265">
        <f t="shared" si="157"/>
        <v>0.82693877551020412</v>
      </c>
      <c r="AA456" s="265">
        <f t="shared" ca="1" si="158"/>
        <v>9.3417683386825683</v>
      </c>
      <c r="AB456" s="265">
        <f t="shared" ca="1" si="159"/>
        <v>1.0587623042931216</v>
      </c>
      <c r="AC456" s="258"/>
      <c r="AD456" s="258"/>
      <c r="AE456" s="258"/>
      <c r="AF456" s="258"/>
      <c r="AG456" s="258"/>
      <c r="AH456" s="258"/>
      <c r="AI456" s="258"/>
      <c r="AJ456" s="258"/>
      <c r="AK456" s="258"/>
      <c r="AL456" s="258"/>
      <c r="AM456" s="258"/>
    </row>
    <row r="457" spans="3:39" x14ac:dyDescent="0.25">
      <c r="C457" s="255" t="s">
        <v>6390</v>
      </c>
      <c r="D457" s="258">
        <v>1.6485000000000001</v>
      </c>
      <c r="E457" s="258">
        <v>0.25895928947446201</v>
      </c>
      <c r="F457" s="258">
        <v>157.08783104304641</v>
      </c>
      <c r="G457" s="266">
        <f t="shared" si="138"/>
        <v>6.36586547385693</v>
      </c>
      <c r="H457" s="265">
        <f t="shared" si="139"/>
        <v>0.35758706467661688</v>
      </c>
      <c r="I457" s="265">
        <f t="shared" si="140"/>
        <v>0.2790178571428571</v>
      </c>
      <c r="J457" s="265">
        <f t="shared" si="141"/>
        <v>0.14172335600907029</v>
      </c>
      <c r="K457" s="258">
        <f t="shared" ca="1" si="142"/>
        <v>23.681019562747782</v>
      </c>
      <c r="L457" s="265">
        <f t="shared" si="143"/>
        <v>2.5249365671641786</v>
      </c>
      <c r="M457" s="265">
        <f t="shared" si="144"/>
        <v>1.500803571428571</v>
      </c>
      <c r="N457" s="265">
        <f t="shared" si="145"/>
        <v>0.82693877551020412</v>
      </c>
      <c r="O457" s="265">
        <f t="shared" ca="1" si="146"/>
        <v>28.533698476850734</v>
      </c>
      <c r="P457" s="265">
        <f t="shared" ca="1" si="147"/>
        <v>3.9939704141029213</v>
      </c>
      <c r="Q457" s="258">
        <f t="shared" ca="1" si="148"/>
        <v>14.450514625655231</v>
      </c>
      <c r="R457" s="265">
        <f t="shared" si="149"/>
        <v>2.5249365671641786</v>
      </c>
      <c r="S457" s="265">
        <f t="shared" si="150"/>
        <v>1.500803571428571</v>
      </c>
      <c r="T457" s="265">
        <f t="shared" si="151"/>
        <v>0.82693877551020412</v>
      </c>
      <c r="U457" s="265">
        <f t="shared" ca="1" si="152"/>
        <v>19.303193539758183</v>
      </c>
      <c r="V457" s="265">
        <f t="shared" ca="1" si="153"/>
        <v>2.7019414941264901</v>
      </c>
      <c r="W457" s="258">
        <f t="shared" ca="1" si="154"/>
        <v>3.5521529344121672</v>
      </c>
      <c r="X457" s="265">
        <f t="shared" si="155"/>
        <v>2.5249365671641786</v>
      </c>
      <c r="Y457" s="265">
        <f t="shared" si="156"/>
        <v>1.500803571428571</v>
      </c>
      <c r="Z457" s="265">
        <f t="shared" si="157"/>
        <v>0.82693877551020412</v>
      </c>
      <c r="AA457" s="265">
        <f t="shared" ca="1" si="158"/>
        <v>8.404831848515121</v>
      </c>
      <c r="AB457" s="265">
        <f t="shared" ca="1" si="159"/>
        <v>1.1764563141267319</v>
      </c>
      <c r="AC457" s="258"/>
      <c r="AD457" s="258"/>
      <c r="AE457" s="258"/>
      <c r="AF457" s="258"/>
      <c r="AG457" s="258"/>
      <c r="AH457" s="258"/>
      <c r="AI457" s="258"/>
      <c r="AJ457" s="258"/>
      <c r="AK457" s="258"/>
      <c r="AL457" s="258"/>
      <c r="AM457" s="258"/>
    </row>
    <row r="458" spans="3:39" x14ac:dyDescent="0.25">
      <c r="C458" s="255" t="s">
        <v>6391</v>
      </c>
      <c r="D458" s="258">
        <v>65.94</v>
      </c>
      <c r="E458" s="258">
        <v>1.8661946710584649</v>
      </c>
      <c r="F458" s="258">
        <v>28.301405384568774</v>
      </c>
      <c r="G458" s="266">
        <f t="shared" si="138"/>
        <v>35.333934354554913</v>
      </c>
      <c r="H458" s="265">
        <f t="shared" si="139"/>
        <v>0.35758706467661688</v>
      </c>
      <c r="I458" s="265">
        <f t="shared" si="140"/>
        <v>0.2790178571428571</v>
      </c>
      <c r="J458" s="265">
        <f t="shared" si="141"/>
        <v>0.14172335600907029</v>
      </c>
      <c r="K458" s="258">
        <f t="shared" ca="1" si="142"/>
        <v>131.4422357989443</v>
      </c>
      <c r="L458" s="265">
        <f t="shared" si="143"/>
        <v>2.5249365671641786</v>
      </c>
      <c r="M458" s="265">
        <f t="shared" si="144"/>
        <v>1.500803571428571</v>
      </c>
      <c r="N458" s="265">
        <f t="shared" si="145"/>
        <v>0.82693877551020412</v>
      </c>
      <c r="O458" s="265">
        <f t="shared" ca="1" si="146"/>
        <v>136.29491471304726</v>
      </c>
      <c r="P458" s="265">
        <f t="shared" ca="1" si="147"/>
        <v>3.7742003623673699</v>
      </c>
      <c r="Q458" s="258">
        <f t="shared" ca="1" si="148"/>
        <v>80.208030984839652</v>
      </c>
      <c r="R458" s="265">
        <f t="shared" si="149"/>
        <v>2.5249365671641786</v>
      </c>
      <c r="S458" s="265">
        <f t="shared" si="150"/>
        <v>1.500803571428571</v>
      </c>
      <c r="T458" s="265">
        <f t="shared" si="151"/>
        <v>0.82693877551020412</v>
      </c>
      <c r="U458" s="265">
        <f t="shared" ca="1" si="152"/>
        <v>85.060709898942605</v>
      </c>
      <c r="V458" s="265">
        <f t="shared" ca="1" si="153"/>
        <v>2.3554522397238249</v>
      </c>
      <c r="W458" s="258">
        <f t="shared" ca="1" si="154"/>
        <v>19.716335369841644</v>
      </c>
      <c r="X458" s="265">
        <f t="shared" si="155"/>
        <v>2.5249365671641786</v>
      </c>
      <c r="Y458" s="265">
        <f t="shared" si="156"/>
        <v>1.500803571428571</v>
      </c>
      <c r="Z458" s="265">
        <f t="shared" si="157"/>
        <v>0.82693877551020412</v>
      </c>
      <c r="AA458" s="265">
        <f t="shared" ca="1" si="158"/>
        <v>24.569014283944597</v>
      </c>
      <c r="AB458" s="265">
        <f t="shared" ca="1" si="159"/>
        <v>0.68035100802331006</v>
      </c>
      <c r="AC458" s="258"/>
      <c r="AD458" s="258"/>
      <c r="AE458" s="258"/>
      <c r="AF458" s="258"/>
      <c r="AG458" s="258"/>
      <c r="AH458" s="258"/>
      <c r="AI458" s="258"/>
      <c r="AJ458" s="258"/>
      <c r="AK458" s="258"/>
      <c r="AL458" s="258"/>
      <c r="AM458" s="258"/>
    </row>
    <row r="459" spans="3:39" x14ac:dyDescent="0.25">
      <c r="C459" s="255" t="s">
        <v>6392</v>
      </c>
      <c r="D459" s="258">
        <v>45.058999999999997</v>
      </c>
      <c r="E459" s="258">
        <v>1.9107964473723102</v>
      </c>
      <c r="F459" s="258">
        <v>42.406543584462824</v>
      </c>
      <c r="G459" s="266">
        <f t="shared" si="138"/>
        <v>23.581266367730716</v>
      </c>
      <c r="H459" s="265">
        <f t="shared" si="139"/>
        <v>0.35758706467661688</v>
      </c>
      <c r="I459" s="265">
        <f t="shared" si="140"/>
        <v>0.2790178571428571</v>
      </c>
      <c r="J459" s="265">
        <f t="shared" si="141"/>
        <v>0.14172335600907029</v>
      </c>
      <c r="K459" s="258">
        <f t="shared" ca="1" si="142"/>
        <v>87.722310887958272</v>
      </c>
      <c r="L459" s="265">
        <f t="shared" si="143"/>
        <v>2.5249365671641786</v>
      </c>
      <c r="M459" s="265">
        <f t="shared" si="144"/>
        <v>1.500803571428571</v>
      </c>
      <c r="N459" s="265">
        <f t="shared" si="145"/>
        <v>0.82693877551020412</v>
      </c>
      <c r="O459" s="265">
        <f t="shared" ca="1" si="146"/>
        <v>92.574989802061225</v>
      </c>
      <c r="P459" s="265">
        <f t="shared" ca="1" si="147"/>
        <v>3.8003501761445602</v>
      </c>
      <c r="Q459" s="258">
        <f t="shared" ca="1" si="148"/>
        <v>53.529474654748725</v>
      </c>
      <c r="R459" s="265">
        <f t="shared" si="149"/>
        <v>2.5249365671641786</v>
      </c>
      <c r="S459" s="265">
        <f t="shared" si="150"/>
        <v>1.500803571428571</v>
      </c>
      <c r="T459" s="265">
        <f t="shared" si="151"/>
        <v>0.82693877551020412</v>
      </c>
      <c r="U459" s="265">
        <f t="shared" ca="1" si="152"/>
        <v>58.382153568851678</v>
      </c>
      <c r="V459" s="265">
        <f t="shared" ca="1" si="153"/>
        <v>2.3966800112371618</v>
      </c>
      <c r="W459" s="258">
        <f t="shared" ca="1" si="154"/>
        <v>13.158346633193741</v>
      </c>
      <c r="X459" s="265">
        <f t="shared" si="155"/>
        <v>2.5249365671641786</v>
      </c>
      <c r="Y459" s="265">
        <f t="shared" si="156"/>
        <v>1.500803571428571</v>
      </c>
      <c r="Z459" s="265">
        <f t="shared" si="157"/>
        <v>0.82693877551020412</v>
      </c>
      <c r="AA459" s="265">
        <f t="shared" ca="1" si="158"/>
        <v>18.011025547296693</v>
      </c>
      <c r="AB459" s="265">
        <f t="shared" ca="1" si="159"/>
        <v>0.73938116825684086</v>
      </c>
      <c r="AC459" s="258"/>
      <c r="AD459" s="258"/>
      <c r="AE459" s="258"/>
      <c r="AF459" s="258"/>
      <c r="AG459" s="258"/>
      <c r="AH459" s="258"/>
      <c r="AI459" s="258"/>
      <c r="AJ459" s="258"/>
      <c r="AK459" s="258"/>
      <c r="AL459" s="258"/>
      <c r="AM459" s="258"/>
    </row>
    <row r="460" spans="3:39" x14ac:dyDescent="0.25">
      <c r="C460" s="255" t="s">
        <v>6393</v>
      </c>
      <c r="D460" s="258">
        <v>51.81</v>
      </c>
      <c r="E460" s="258">
        <v>1.466194671058465</v>
      </c>
      <c r="F460" s="258">
        <v>28.299453214793765</v>
      </c>
      <c r="G460" s="266">
        <f t="shared" si="138"/>
        <v>35.336371781107133</v>
      </c>
      <c r="H460" s="265">
        <f t="shared" si="139"/>
        <v>0.35758706467661688</v>
      </c>
      <c r="I460" s="265">
        <f t="shared" si="140"/>
        <v>0.2790178571428571</v>
      </c>
      <c r="J460" s="265">
        <f t="shared" si="141"/>
        <v>0.14172335600907029</v>
      </c>
      <c r="K460" s="258">
        <f t="shared" ca="1" si="142"/>
        <v>131.45130302571854</v>
      </c>
      <c r="L460" s="265">
        <f t="shared" si="143"/>
        <v>2.5249365671641786</v>
      </c>
      <c r="M460" s="265">
        <f t="shared" si="144"/>
        <v>1.500803571428571</v>
      </c>
      <c r="N460" s="265">
        <f t="shared" si="145"/>
        <v>0.82693877551020412</v>
      </c>
      <c r="O460" s="265">
        <f t="shared" ca="1" si="146"/>
        <v>136.30398193982151</v>
      </c>
      <c r="P460" s="265">
        <f t="shared" ca="1" si="147"/>
        <v>3.7741967043167097</v>
      </c>
      <c r="Q460" s="258">
        <f t="shared" ca="1" si="148"/>
        <v>80.213563943113186</v>
      </c>
      <c r="R460" s="265">
        <f t="shared" si="149"/>
        <v>2.5249365671641786</v>
      </c>
      <c r="S460" s="265">
        <f t="shared" si="150"/>
        <v>1.500803571428571</v>
      </c>
      <c r="T460" s="265">
        <f t="shared" si="151"/>
        <v>0.82693877551020412</v>
      </c>
      <c r="U460" s="265">
        <f t="shared" ca="1" si="152"/>
        <v>85.066242857216139</v>
      </c>
      <c r="V460" s="265">
        <f t="shared" ca="1" si="153"/>
        <v>2.3554464724446365</v>
      </c>
      <c r="W460" s="258">
        <f t="shared" ca="1" si="154"/>
        <v>19.717695453857782</v>
      </c>
      <c r="X460" s="265">
        <f t="shared" si="155"/>
        <v>2.5249365671641786</v>
      </c>
      <c r="Y460" s="265">
        <f t="shared" si="156"/>
        <v>1.500803571428571</v>
      </c>
      <c r="Z460" s="265">
        <f t="shared" si="157"/>
        <v>0.82693877551020412</v>
      </c>
      <c r="AA460" s="265">
        <f t="shared" ca="1" si="158"/>
        <v>24.570374367960735</v>
      </c>
      <c r="AB460" s="265">
        <f t="shared" ca="1" si="159"/>
        <v>0.68034275039981718</v>
      </c>
      <c r="AC460" s="258"/>
      <c r="AD460" s="258"/>
      <c r="AE460" s="258"/>
      <c r="AF460" s="258"/>
      <c r="AG460" s="258"/>
      <c r="AH460" s="258"/>
      <c r="AI460" s="258"/>
      <c r="AJ460" s="258"/>
      <c r="AK460" s="258"/>
      <c r="AL460" s="258"/>
      <c r="AM460" s="258"/>
    </row>
    <row r="461" spans="3:39" x14ac:dyDescent="0.25">
      <c r="C461" s="255" t="s">
        <v>6394</v>
      </c>
      <c r="D461" s="258">
        <v>35.639000000000003</v>
      </c>
      <c r="E461" s="258">
        <v>1.5107964473723103</v>
      </c>
      <c r="F461" s="258">
        <v>42.391662150237387</v>
      </c>
      <c r="G461" s="266">
        <f t="shared" si="138"/>
        <v>23.589544482968574</v>
      </c>
      <c r="H461" s="265">
        <f t="shared" si="139"/>
        <v>0.35758706467661688</v>
      </c>
      <c r="I461" s="265">
        <f t="shared" si="140"/>
        <v>0.2790178571428571</v>
      </c>
      <c r="J461" s="265">
        <f t="shared" si="141"/>
        <v>0.14172335600907029</v>
      </c>
      <c r="K461" s="258">
        <f t="shared" ca="1" si="142"/>
        <v>87.7531054766431</v>
      </c>
      <c r="L461" s="265">
        <f t="shared" si="143"/>
        <v>2.5249365671641786</v>
      </c>
      <c r="M461" s="265">
        <f t="shared" si="144"/>
        <v>1.500803571428571</v>
      </c>
      <c r="N461" s="265">
        <f t="shared" si="145"/>
        <v>0.82693877551020412</v>
      </c>
      <c r="O461" s="265">
        <f t="shared" ca="1" si="146"/>
        <v>92.605784390746052</v>
      </c>
      <c r="P461" s="265">
        <f t="shared" ca="1" si="147"/>
        <v>3.8003228800393956</v>
      </c>
      <c r="Q461" s="258">
        <f t="shared" ca="1" si="148"/>
        <v>53.548265976338662</v>
      </c>
      <c r="R461" s="265">
        <f t="shared" si="149"/>
        <v>2.5249365671641786</v>
      </c>
      <c r="S461" s="265">
        <f t="shared" si="150"/>
        <v>1.500803571428571</v>
      </c>
      <c r="T461" s="265">
        <f t="shared" si="151"/>
        <v>0.82693877551020412</v>
      </c>
      <c r="U461" s="265">
        <f t="shared" ca="1" si="152"/>
        <v>58.400944890441615</v>
      </c>
      <c r="V461" s="265">
        <f t="shared" ca="1" si="153"/>
        <v>2.3966369762237387</v>
      </c>
      <c r="W461" s="258">
        <f t="shared" ca="1" si="154"/>
        <v>13.162965821496465</v>
      </c>
      <c r="X461" s="265">
        <f t="shared" si="155"/>
        <v>2.5249365671641786</v>
      </c>
      <c r="Y461" s="265">
        <f t="shared" si="156"/>
        <v>1.500803571428571</v>
      </c>
      <c r="Z461" s="265">
        <f t="shared" si="157"/>
        <v>0.82693877551020412</v>
      </c>
      <c r="AA461" s="265">
        <f t="shared" ca="1" si="158"/>
        <v>18.01564473559942</v>
      </c>
      <c r="AB461" s="265">
        <f t="shared" ca="1" si="159"/>
        <v>0.73931955047725284</v>
      </c>
      <c r="AC461" s="258"/>
      <c r="AD461" s="258"/>
      <c r="AE461" s="258"/>
      <c r="AF461" s="258"/>
      <c r="AG461" s="258"/>
      <c r="AH461" s="258"/>
      <c r="AI461" s="258"/>
      <c r="AJ461" s="258"/>
      <c r="AK461" s="258"/>
      <c r="AL461" s="258"/>
      <c r="AM461" s="258"/>
    </row>
    <row r="462" spans="3:39" x14ac:dyDescent="0.25">
      <c r="C462" s="255" t="s">
        <v>6395</v>
      </c>
      <c r="D462" s="258">
        <v>29.986999999999998</v>
      </c>
      <c r="E462" s="258">
        <v>1.5256637061435916</v>
      </c>
      <c r="F462" s="258">
        <v>50.87750378976196</v>
      </c>
      <c r="G462" s="266">
        <f t="shared" si="138"/>
        <v>19.655052341644744</v>
      </c>
      <c r="H462" s="265">
        <f t="shared" si="139"/>
        <v>0.35758706467661688</v>
      </c>
      <c r="I462" s="265">
        <f t="shared" si="140"/>
        <v>0.2790178571428571</v>
      </c>
      <c r="J462" s="265">
        <f t="shared" si="141"/>
        <v>0.14172335600907029</v>
      </c>
      <c r="K462" s="258">
        <f t="shared" ca="1" si="142"/>
        <v>73.116794710918455</v>
      </c>
      <c r="L462" s="265">
        <f t="shared" si="143"/>
        <v>2.5249365671641786</v>
      </c>
      <c r="M462" s="265">
        <f t="shared" si="144"/>
        <v>1.500803571428571</v>
      </c>
      <c r="N462" s="265">
        <f t="shared" si="145"/>
        <v>0.82693877551020412</v>
      </c>
      <c r="O462" s="265">
        <f t="shared" ca="1" si="146"/>
        <v>77.969473625021408</v>
      </c>
      <c r="P462" s="265">
        <f t="shared" ca="1" si="147"/>
        <v>3.8157892263170314</v>
      </c>
      <c r="Q462" s="258">
        <f t="shared" ca="1" si="148"/>
        <v>44.616968815533568</v>
      </c>
      <c r="R462" s="265">
        <f t="shared" si="149"/>
        <v>2.5249365671641786</v>
      </c>
      <c r="S462" s="265">
        <f t="shared" si="150"/>
        <v>1.500803571428571</v>
      </c>
      <c r="T462" s="265">
        <f t="shared" si="151"/>
        <v>0.82693877551020412</v>
      </c>
      <c r="U462" s="265">
        <f t="shared" ca="1" si="152"/>
        <v>49.46964772963652</v>
      </c>
      <c r="V462" s="265">
        <f t="shared" ca="1" si="153"/>
        <v>2.4210212030451421</v>
      </c>
      <c r="W462" s="258">
        <f t="shared" ca="1" si="154"/>
        <v>10.967519206637768</v>
      </c>
      <c r="X462" s="265">
        <f t="shared" si="155"/>
        <v>2.5249365671641786</v>
      </c>
      <c r="Y462" s="265">
        <f t="shared" si="156"/>
        <v>1.500803571428571</v>
      </c>
      <c r="Z462" s="265">
        <f t="shared" si="157"/>
        <v>0.82693877551020412</v>
      </c>
      <c r="AA462" s="265">
        <f t="shared" ca="1" si="158"/>
        <v>15.820198120740722</v>
      </c>
      <c r="AB462" s="265">
        <f t="shared" ca="1" si="159"/>
        <v>0.77423302660274718</v>
      </c>
      <c r="AC462" s="258"/>
      <c r="AD462" s="258"/>
      <c r="AE462" s="258"/>
      <c r="AF462" s="258"/>
      <c r="AG462" s="258"/>
      <c r="AH462" s="258"/>
      <c r="AI462" s="258"/>
      <c r="AJ462" s="258"/>
      <c r="AK462" s="258"/>
      <c r="AL462" s="258"/>
      <c r="AM462" s="258"/>
    </row>
    <row r="463" spans="3:39" x14ac:dyDescent="0.25">
      <c r="C463" s="255" t="s">
        <v>6396</v>
      </c>
      <c r="D463" s="258">
        <v>37.68</v>
      </c>
      <c r="E463" s="258">
        <v>1.0661946710584651</v>
      </c>
      <c r="F463" s="258">
        <v>28.296036917687502</v>
      </c>
      <c r="G463" s="266">
        <f t="shared" si="138"/>
        <v>35.340638086845033</v>
      </c>
      <c r="H463" s="265">
        <f t="shared" si="139"/>
        <v>0.35758706467661688</v>
      </c>
      <c r="I463" s="265">
        <f t="shared" si="140"/>
        <v>0.2790178571428571</v>
      </c>
      <c r="J463" s="265">
        <f t="shared" si="141"/>
        <v>0.14172335600907029</v>
      </c>
      <c r="K463" s="258">
        <f t="shared" ca="1" si="142"/>
        <v>131.46717368306352</v>
      </c>
      <c r="L463" s="265">
        <f t="shared" si="143"/>
        <v>2.5249365671641786</v>
      </c>
      <c r="M463" s="265">
        <f t="shared" si="144"/>
        <v>1.500803571428571</v>
      </c>
      <c r="N463" s="265">
        <f t="shared" si="145"/>
        <v>0.82693877551020412</v>
      </c>
      <c r="O463" s="265">
        <f t="shared" ca="1" si="146"/>
        <v>136.31985259716649</v>
      </c>
      <c r="P463" s="265">
        <f t="shared" ca="1" si="147"/>
        <v>3.774190302701883</v>
      </c>
      <c r="Q463" s="258">
        <f t="shared" ca="1" si="148"/>
        <v>80.223248457138226</v>
      </c>
      <c r="R463" s="265">
        <f t="shared" si="149"/>
        <v>2.5249365671641786</v>
      </c>
      <c r="S463" s="265">
        <f t="shared" si="150"/>
        <v>1.500803571428571</v>
      </c>
      <c r="T463" s="265">
        <f t="shared" si="151"/>
        <v>0.82693877551020412</v>
      </c>
      <c r="U463" s="265">
        <f t="shared" ca="1" si="152"/>
        <v>85.075927371241178</v>
      </c>
      <c r="V463" s="265">
        <f t="shared" ca="1" si="153"/>
        <v>2.3554363796647935</v>
      </c>
      <c r="W463" s="258">
        <f t="shared" ca="1" si="154"/>
        <v>19.720076052459529</v>
      </c>
      <c r="X463" s="265">
        <f t="shared" si="155"/>
        <v>2.5249365671641786</v>
      </c>
      <c r="Y463" s="265">
        <f t="shared" si="156"/>
        <v>1.500803571428571</v>
      </c>
      <c r="Z463" s="265">
        <f t="shared" si="157"/>
        <v>0.82693877551020412</v>
      </c>
      <c r="AA463" s="265">
        <f t="shared" ca="1" si="158"/>
        <v>24.572754966562481</v>
      </c>
      <c r="AB463" s="265">
        <f t="shared" ca="1" si="159"/>
        <v>0.68032829949962381</v>
      </c>
      <c r="AC463" s="258"/>
      <c r="AD463" s="258"/>
      <c r="AE463" s="258"/>
      <c r="AF463" s="258"/>
      <c r="AG463" s="258"/>
      <c r="AH463" s="258"/>
      <c r="AI463" s="258"/>
      <c r="AJ463" s="258"/>
      <c r="AK463" s="258"/>
      <c r="AL463" s="258"/>
      <c r="AM463" s="258"/>
    </row>
    <row r="464" spans="3:39" x14ac:dyDescent="0.25">
      <c r="C464" s="255" t="s">
        <v>6397</v>
      </c>
      <c r="D464" s="258">
        <v>26.219000000000001</v>
      </c>
      <c r="E464" s="258">
        <v>1.11079644737231</v>
      </c>
      <c r="F464" s="258">
        <v>42.366087469861938</v>
      </c>
      <c r="G464" s="266">
        <f t="shared" si="138"/>
        <v>23.603784529580942</v>
      </c>
      <c r="H464" s="265">
        <f t="shared" si="139"/>
        <v>0.35758706467661688</v>
      </c>
      <c r="I464" s="265">
        <f t="shared" si="140"/>
        <v>0.2790178571428571</v>
      </c>
      <c r="J464" s="265">
        <f t="shared" si="141"/>
        <v>0.14172335600907029</v>
      </c>
      <c r="K464" s="258">
        <f t="shared" ca="1" si="142"/>
        <v>87.806078450041113</v>
      </c>
      <c r="L464" s="265">
        <f t="shared" si="143"/>
        <v>2.5249365671641786</v>
      </c>
      <c r="M464" s="265">
        <f t="shared" si="144"/>
        <v>1.500803571428571</v>
      </c>
      <c r="N464" s="265">
        <f t="shared" si="145"/>
        <v>0.82693877551020412</v>
      </c>
      <c r="O464" s="265">
        <f t="shared" ca="1" si="146"/>
        <v>92.658757364144066</v>
      </c>
      <c r="P464" s="265">
        <f t="shared" ca="1" si="147"/>
        <v>3.8002759685364906</v>
      </c>
      <c r="Q464" s="258">
        <f t="shared" ca="1" si="148"/>
        <v>53.580590882148741</v>
      </c>
      <c r="R464" s="265">
        <f t="shared" si="149"/>
        <v>2.5249365671641786</v>
      </c>
      <c r="S464" s="265">
        <f t="shared" si="150"/>
        <v>1.500803571428571</v>
      </c>
      <c r="T464" s="265">
        <f t="shared" si="151"/>
        <v>0.82693877551020412</v>
      </c>
      <c r="U464" s="265">
        <f t="shared" ca="1" si="152"/>
        <v>58.433269796251693</v>
      </c>
      <c r="V464" s="265">
        <f t="shared" ca="1" si="153"/>
        <v>2.3965630155929056</v>
      </c>
      <c r="W464" s="258">
        <f t="shared" ca="1" si="154"/>
        <v>13.170911767506167</v>
      </c>
      <c r="X464" s="265">
        <f t="shared" si="155"/>
        <v>2.5249365671641786</v>
      </c>
      <c r="Y464" s="265">
        <f t="shared" si="156"/>
        <v>1.500803571428571</v>
      </c>
      <c r="Z464" s="265">
        <f t="shared" si="157"/>
        <v>0.82693877551020412</v>
      </c>
      <c r="AA464" s="265">
        <f t="shared" ca="1" si="158"/>
        <v>18.023590681609122</v>
      </c>
      <c r="AB464" s="265">
        <f t="shared" ca="1" si="159"/>
        <v>0.73921365322089427</v>
      </c>
      <c r="AC464" s="258"/>
      <c r="AD464" s="258"/>
      <c r="AE464" s="258"/>
      <c r="AF464" s="258"/>
      <c r="AG464" s="258"/>
      <c r="AH464" s="258"/>
      <c r="AI464" s="258"/>
      <c r="AJ464" s="258"/>
      <c r="AK464" s="258"/>
      <c r="AL464" s="258"/>
      <c r="AM464" s="258"/>
    </row>
    <row r="465" spans="3:39" x14ac:dyDescent="0.25">
      <c r="C465" s="255" t="s">
        <v>6398</v>
      </c>
      <c r="D465" s="258">
        <v>22.137</v>
      </c>
      <c r="E465" s="258">
        <v>1.1256637061435917</v>
      </c>
      <c r="F465" s="258">
        <v>50.849876051117661</v>
      </c>
      <c r="G465" s="266">
        <f t="shared" si="138"/>
        <v>19.66573131849395</v>
      </c>
      <c r="H465" s="265">
        <f t="shared" si="139"/>
        <v>0.35758706467661688</v>
      </c>
      <c r="I465" s="265">
        <f t="shared" si="140"/>
        <v>0.2790178571428571</v>
      </c>
      <c r="J465" s="265">
        <f t="shared" si="141"/>
        <v>0.14172335600907029</v>
      </c>
      <c r="K465" s="258">
        <f t="shared" ca="1" si="142"/>
        <v>73.156520504797498</v>
      </c>
      <c r="L465" s="265">
        <f t="shared" si="143"/>
        <v>2.5249365671641786</v>
      </c>
      <c r="M465" s="265">
        <f t="shared" si="144"/>
        <v>1.500803571428571</v>
      </c>
      <c r="N465" s="265">
        <f t="shared" si="145"/>
        <v>0.82693877551020412</v>
      </c>
      <c r="O465" s="265">
        <f t="shared" ca="1" si="146"/>
        <v>78.009199418900451</v>
      </c>
      <c r="P465" s="265">
        <f t="shared" ca="1" si="147"/>
        <v>3.8157391907100902</v>
      </c>
      <c r="Q465" s="258">
        <f t="shared" ca="1" si="148"/>
        <v>44.641210092981268</v>
      </c>
      <c r="R465" s="265">
        <f t="shared" si="149"/>
        <v>2.5249365671641786</v>
      </c>
      <c r="S465" s="265">
        <f t="shared" si="150"/>
        <v>1.500803571428571</v>
      </c>
      <c r="T465" s="265">
        <f t="shared" si="151"/>
        <v>0.82693877551020412</v>
      </c>
      <c r="U465" s="265">
        <f t="shared" ca="1" si="152"/>
        <v>49.493889007084221</v>
      </c>
      <c r="V465" s="265">
        <f t="shared" ca="1" si="153"/>
        <v>2.4209423169548598</v>
      </c>
      <c r="W465" s="258">
        <f t="shared" ca="1" si="154"/>
        <v>10.973478075719626</v>
      </c>
      <c r="X465" s="265">
        <f t="shared" si="155"/>
        <v>2.5249365671641786</v>
      </c>
      <c r="Y465" s="265">
        <f t="shared" si="156"/>
        <v>1.500803571428571</v>
      </c>
      <c r="Z465" s="265">
        <f t="shared" si="157"/>
        <v>0.82693877551020412</v>
      </c>
      <c r="AA465" s="265">
        <f t="shared" ca="1" si="158"/>
        <v>15.82615698982258</v>
      </c>
      <c r="AB465" s="265">
        <f t="shared" ca="1" si="159"/>
        <v>0.77412007704523667</v>
      </c>
      <c r="AC465" s="258"/>
      <c r="AD465" s="258"/>
      <c r="AE465" s="258"/>
      <c r="AF465" s="258"/>
      <c r="AG465" s="258"/>
      <c r="AH465" s="258"/>
      <c r="AI465" s="258"/>
      <c r="AJ465" s="258"/>
      <c r="AK465" s="258"/>
      <c r="AL465" s="258"/>
      <c r="AM465" s="258"/>
    </row>
    <row r="466" spans="3:39" x14ac:dyDescent="0.25">
      <c r="C466" s="255" t="s">
        <v>6399</v>
      </c>
      <c r="D466" s="258">
        <v>30.614999999999998</v>
      </c>
      <c r="E466" s="258">
        <v>0.86619467105846515</v>
      </c>
      <c r="F466" s="258">
        <v>28.293146204751434</v>
      </c>
      <c r="G466" s="266">
        <f t="shared" si="138"/>
        <v>35.34424884257178</v>
      </c>
      <c r="H466" s="265">
        <f t="shared" si="139"/>
        <v>0.35758706467661688</v>
      </c>
      <c r="I466" s="265">
        <f t="shared" si="140"/>
        <v>0.2790178571428571</v>
      </c>
      <c r="J466" s="265">
        <f t="shared" si="141"/>
        <v>0.14172335600907029</v>
      </c>
      <c r="K466" s="258">
        <f t="shared" ca="1" si="142"/>
        <v>131.48060569436703</v>
      </c>
      <c r="L466" s="265">
        <f t="shared" si="143"/>
        <v>2.5249365671641786</v>
      </c>
      <c r="M466" s="265">
        <f t="shared" si="144"/>
        <v>1.500803571428571</v>
      </c>
      <c r="N466" s="265">
        <f t="shared" si="145"/>
        <v>0.82693877551020412</v>
      </c>
      <c r="O466" s="265">
        <f t="shared" ca="1" si="146"/>
        <v>136.33328460847</v>
      </c>
      <c r="P466" s="265">
        <f t="shared" ca="1" si="147"/>
        <v>3.7741848859248583</v>
      </c>
      <c r="Q466" s="258">
        <f t="shared" ca="1" si="148"/>
        <v>80.231444872637937</v>
      </c>
      <c r="R466" s="265">
        <f t="shared" si="149"/>
        <v>2.5249365671641786</v>
      </c>
      <c r="S466" s="265">
        <f t="shared" si="150"/>
        <v>1.500803571428571</v>
      </c>
      <c r="T466" s="265">
        <f t="shared" si="151"/>
        <v>0.82693877551020412</v>
      </c>
      <c r="U466" s="265">
        <f t="shared" ca="1" si="152"/>
        <v>85.084123786740889</v>
      </c>
      <c r="V466" s="265">
        <f t="shared" ca="1" si="153"/>
        <v>2.355427839579292</v>
      </c>
      <c r="W466" s="258">
        <f t="shared" ca="1" si="154"/>
        <v>19.722090854155056</v>
      </c>
      <c r="X466" s="265">
        <f t="shared" si="155"/>
        <v>2.5249365671641786</v>
      </c>
      <c r="Y466" s="265">
        <f t="shared" si="156"/>
        <v>1.500803571428571</v>
      </c>
      <c r="Z466" s="265">
        <f t="shared" si="157"/>
        <v>0.82693877551020412</v>
      </c>
      <c r="AA466" s="265">
        <f t="shared" ca="1" si="158"/>
        <v>24.574769768258008</v>
      </c>
      <c r="AB466" s="265">
        <f t="shared" ca="1" si="159"/>
        <v>0.68031607175611342</v>
      </c>
      <c r="AC466" s="258"/>
      <c r="AD466" s="258"/>
      <c r="AE466" s="258"/>
      <c r="AF466" s="258"/>
      <c r="AG466" s="258"/>
      <c r="AH466" s="258"/>
      <c r="AI466" s="258"/>
      <c r="AJ466" s="258"/>
      <c r="AK466" s="258"/>
      <c r="AL466" s="258"/>
      <c r="AM466" s="258"/>
    </row>
    <row r="467" spans="3:39" x14ac:dyDescent="0.25">
      <c r="C467" s="255" t="s">
        <v>6400</v>
      </c>
      <c r="D467" s="258">
        <v>21.509</v>
      </c>
      <c r="E467" s="258">
        <v>0.91079644737231003</v>
      </c>
      <c r="F467" s="258">
        <v>42.344899687215118</v>
      </c>
      <c r="G467" s="266">
        <f t="shared" si="138"/>
        <v>23.615594968617259</v>
      </c>
      <c r="H467" s="265">
        <f t="shared" si="139"/>
        <v>0.35758706467661688</v>
      </c>
      <c r="I467" s="265">
        <f t="shared" si="140"/>
        <v>0.2790178571428571</v>
      </c>
      <c r="J467" s="265">
        <f t="shared" si="141"/>
        <v>0.14172335600907029</v>
      </c>
      <c r="K467" s="258">
        <f t="shared" ca="1" si="142"/>
        <v>87.850013283256203</v>
      </c>
      <c r="L467" s="265">
        <f t="shared" si="143"/>
        <v>2.5249365671641786</v>
      </c>
      <c r="M467" s="265">
        <f t="shared" si="144"/>
        <v>1.500803571428571</v>
      </c>
      <c r="N467" s="265">
        <f t="shared" si="145"/>
        <v>0.82693877551020412</v>
      </c>
      <c r="O467" s="265">
        <f t="shared" ca="1" si="146"/>
        <v>92.702692197359156</v>
      </c>
      <c r="P467" s="265">
        <f t="shared" ca="1" si="147"/>
        <v>3.8002371025278165</v>
      </c>
      <c r="Q467" s="258">
        <f t="shared" ca="1" si="148"/>
        <v>53.60740057876118</v>
      </c>
      <c r="R467" s="265">
        <f t="shared" si="149"/>
        <v>2.5249365671641786</v>
      </c>
      <c r="S467" s="265">
        <f t="shared" si="150"/>
        <v>1.500803571428571</v>
      </c>
      <c r="T467" s="265">
        <f t="shared" si="151"/>
        <v>0.82693877551020412</v>
      </c>
      <c r="U467" s="265">
        <f t="shared" ca="1" si="152"/>
        <v>58.460079492864132</v>
      </c>
      <c r="V467" s="265">
        <f t="shared" ca="1" si="153"/>
        <v>2.396501739480621</v>
      </c>
      <c r="W467" s="258">
        <f t="shared" ca="1" si="154"/>
        <v>13.177501992488432</v>
      </c>
      <c r="X467" s="265">
        <f t="shared" si="155"/>
        <v>2.5249365671641786</v>
      </c>
      <c r="Y467" s="265">
        <f t="shared" si="156"/>
        <v>1.500803571428571</v>
      </c>
      <c r="Z467" s="265">
        <f t="shared" si="157"/>
        <v>0.82693877551020412</v>
      </c>
      <c r="AA467" s="265">
        <f t="shared" ca="1" si="158"/>
        <v>18.030180906591387</v>
      </c>
      <c r="AB467" s="265">
        <f t="shared" ca="1" si="159"/>
        <v>0.73912591773110481</v>
      </c>
      <c r="AC467" s="258"/>
      <c r="AD467" s="258"/>
      <c r="AE467" s="258"/>
      <c r="AF467" s="258"/>
      <c r="AG467" s="258"/>
      <c r="AH467" s="258"/>
      <c r="AI467" s="258"/>
      <c r="AJ467" s="258"/>
      <c r="AK467" s="258"/>
      <c r="AL467" s="258"/>
      <c r="AM467" s="258"/>
    </row>
    <row r="468" spans="3:39" x14ac:dyDescent="0.25">
      <c r="C468" s="255" t="s">
        <v>6401</v>
      </c>
      <c r="D468" s="258">
        <v>18.212</v>
      </c>
      <c r="E468" s="258">
        <v>0.92566370614359172</v>
      </c>
      <c r="F468" s="258">
        <v>50.827130800768273</v>
      </c>
      <c r="G468" s="266">
        <f t="shared" si="138"/>
        <v>19.67453177555489</v>
      </c>
      <c r="H468" s="265">
        <f t="shared" si="139"/>
        <v>0.35758706467661688</v>
      </c>
      <c r="I468" s="265">
        <f t="shared" si="140"/>
        <v>0.2790178571428571</v>
      </c>
      <c r="J468" s="265">
        <f t="shared" si="141"/>
        <v>0.14172335600907029</v>
      </c>
      <c r="K468" s="258">
        <f t="shared" ca="1" si="142"/>
        <v>73.189258205064192</v>
      </c>
      <c r="L468" s="265">
        <f t="shared" si="143"/>
        <v>2.5249365671641786</v>
      </c>
      <c r="M468" s="265">
        <f t="shared" si="144"/>
        <v>1.500803571428571</v>
      </c>
      <c r="N468" s="265">
        <f t="shared" si="145"/>
        <v>0.82693877551020412</v>
      </c>
      <c r="O468" s="265">
        <f t="shared" ca="1" si="146"/>
        <v>78.041937119167144</v>
      </c>
      <c r="P468" s="265">
        <f t="shared" ca="1" si="147"/>
        <v>3.8156979960490647</v>
      </c>
      <c r="Q468" s="258">
        <f t="shared" ca="1" si="148"/>
        <v>44.661187130509603</v>
      </c>
      <c r="R468" s="265">
        <f t="shared" si="149"/>
        <v>2.5249365671641786</v>
      </c>
      <c r="S468" s="265">
        <f t="shared" si="150"/>
        <v>1.500803571428571</v>
      </c>
      <c r="T468" s="265">
        <f t="shared" si="151"/>
        <v>0.82693877551020412</v>
      </c>
      <c r="U468" s="265">
        <f t="shared" ca="1" si="152"/>
        <v>49.513866044612556</v>
      </c>
      <c r="V468" s="265">
        <f t="shared" ca="1" si="153"/>
        <v>2.4208773694914942</v>
      </c>
      <c r="W468" s="258">
        <f t="shared" ca="1" si="154"/>
        <v>10.97838873075963</v>
      </c>
      <c r="X468" s="265">
        <f t="shared" si="155"/>
        <v>2.5249365671641786</v>
      </c>
      <c r="Y468" s="265">
        <f t="shared" si="156"/>
        <v>1.500803571428571</v>
      </c>
      <c r="Z468" s="265">
        <f t="shared" si="157"/>
        <v>0.82693877551020412</v>
      </c>
      <c r="AA468" s="265">
        <f t="shared" ca="1" si="158"/>
        <v>15.831067644862584</v>
      </c>
      <c r="AB468" s="265">
        <f t="shared" ca="1" si="159"/>
        <v>0.77402708489386607</v>
      </c>
      <c r="AC468" s="258"/>
      <c r="AD468" s="258"/>
      <c r="AE468" s="258"/>
      <c r="AF468" s="258"/>
      <c r="AG468" s="258"/>
      <c r="AH468" s="258"/>
      <c r="AI468" s="258"/>
      <c r="AJ468" s="258"/>
      <c r="AK468" s="258"/>
      <c r="AL468" s="258"/>
      <c r="AM468" s="258"/>
    </row>
    <row r="469" spans="3:39" x14ac:dyDescent="0.25">
      <c r="C469" s="255" t="s">
        <v>6402</v>
      </c>
      <c r="D469" s="258">
        <v>14.836499999999999</v>
      </c>
      <c r="E469" s="258">
        <v>0.94053096491487342</v>
      </c>
      <c r="F469" s="258">
        <v>63.393048556928747</v>
      </c>
      <c r="G469" s="266">
        <f t="shared" si="138"/>
        <v>15.774600256082836</v>
      </c>
      <c r="H469" s="265">
        <f t="shared" si="139"/>
        <v>0.35758706467661688</v>
      </c>
      <c r="I469" s="265">
        <f t="shared" si="140"/>
        <v>0.2790178571428571</v>
      </c>
      <c r="J469" s="265">
        <f t="shared" si="141"/>
        <v>0.14172335600907029</v>
      </c>
      <c r="K469" s="258">
        <f t="shared" ca="1" si="142"/>
        <v>58.681512952628154</v>
      </c>
      <c r="L469" s="265">
        <f t="shared" si="143"/>
        <v>2.5249365671641786</v>
      </c>
      <c r="M469" s="265">
        <f t="shared" si="144"/>
        <v>1.500803571428571</v>
      </c>
      <c r="N469" s="265">
        <f t="shared" si="145"/>
        <v>0.82693877551020412</v>
      </c>
      <c r="O469" s="265">
        <f t="shared" ca="1" si="146"/>
        <v>63.534191866731106</v>
      </c>
      <c r="P469" s="265">
        <f t="shared" ca="1" si="147"/>
        <v>3.8382447997990763</v>
      </c>
      <c r="Q469" s="258">
        <f t="shared" ca="1" si="148"/>
        <v>35.80834258130804</v>
      </c>
      <c r="R469" s="265">
        <f t="shared" si="149"/>
        <v>2.5249365671641786</v>
      </c>
      <c r="S469" s="265">
        <f t="shared" si="150"/>
        <v>1.500803571428571</v>
      </c>
      <c r="T469" s="265">
        <f t="shared" si="151"/>
        <v>0.82693877551020412</v>
      </c>
      <c r="U469" s="265">
        <f t="shared" ca="1" si="152"/>
        <v>40.661021495410992</v>
      </c>
      <c r="V469" s="265">
        <f t="shared" ca="1" si="153"/>
        <v>2.4564246388251023</v>
      </c>
      <c r="W469" s="258">
        <f t="shared" ca="1" si="154"/>
        <v>8.8022269428942241</v>
      </c>
      <c r="X469" s="265">
        <f t="shared" si="155"/>
        <v>2.5249365671641786</v>
      </c>
      <c r="Y469" s="265">
        <f t="shared" si="156"/>
        <v>1.500803571428571</v>
      </c>
      <c r="Z469" s="265">
        <f t="shared" si="157"/>
        <v>0.82693877551020412</v>
      </c>
      <c r="AA469" s="265">
        <f t="shared" ca="1" si="158"/>
        <v>13.654905856997178</v>
      </c>
      <c r="AB469" s="265">
        <f t="shared" ca="1" si="159"/>
        <v>0.82492386945445162</v>
      </c>
      <c r="AC469" s="258"/>
      <c r="AD469" s="258"/>
      <c r="AE469" s="258"/>
      <c r="AF469" s="258"/>
      <c r="AG469" s="258"/>
      <c r="AH469" s="258"/>
      <c r="AI469" s="258"/>
      <c r="AJ469" s="258"/>
      <c r="AK469" s="258"/>
      <c r="AL469" s="258"/>
      <c r="AM469" s="258"/>
    </row>
    <row r="470" spans="3:39" x14ac:dyDescent="0.25">
      <c r="C470" s="255" t="s">
        <v>6403</v>
      </c>
      <c r="D470" s="258">
        <v>23.55</v>
      </c>
      <c r="E470" s="258">
        <v>0.66619467105846497</v>
      </c>
      <c r="F470" s="258">
        <v>28.288521064053718</v>
      </c>
      <c r="G470" s="266">
        <f t="shared" si="138"/>
        <v>35.350027586656068</v>
      </c>
      <c r="H470" s="265">
        <f t="shared" si="139"/>
        <v>0.35758706467661688</v>
      </c>
      <c r="I470" s="265">
        <f t="shared" si="140"/>
        <v>0.2790178571428571</v>
      </c>
      <c r="J470" s="265">
        <f t="shared" si="141"/>
        <v>0.14172335600907029</v>
      </c>
      <c r="K470" s="258">
        <f t="shared" ca="1" si="142"/>
        <v>131.50210262236058</v>
      </c>
      <c r="L470" s="265">
        <f t="shared" si="143"/>
        <v>2.5249365671641786</v>
      </c>
      <c r="M470" s="265">
        <f t="shared" si="144"/>
        <v>1.500803571428571</v>
      </c>
      <c r="N470" s="265">
        <f t="shared" si="145"/>
        <v>0.82693877551020412</v>
      </c>
      <c r="O470" s="265">
        <f t="shared" ca="1" si="146"/>
        <v>136.35478153646355</v>
      </c>
      <c r="P470" s="265">
        <f t="shared" ca="1" si="147"/>
        <v>3.7741762190320118</v>
      </c>
      <c r="Q470" s="258">
        <f t="shared" ca="1" si="148"/>
        <v>80.244562621709278</v>
      </c>
      <c r="R470" s="265">
        <f t="shared" si="149"/>
        <v>2.5249365671641786</v>
      </c>
      <c r="S470" s="265">
        <f t="shared" si="150"/>
        <v>1.500803571428571</v>
      </c>
      <c r="T470" s="265">
        <f t="shared" si="151"/>
        <v>0.82693877551020412</v>
      </c>
      <c r="U470" s="265">
        <f t="shared" ca="1" si="152"/>
        <v>85.09724153581223</v>
      </c>
      <c r="V470" s="265">
        <f t="shared" ca="1" si="153"/>
        <v>2.3554141753642788</v>
      </c>
      <c r="W470" s="258">
        <f t="shared" ca="1" si="154"/>
        <v>19.725315393354087</v>
      </c>
      <c r="X470" s="265">
        <f t="shared" si="155"/>
        <v>2.5249365671641786</v>
      </c>
      <c r="Y470" s="265">
        <f t="shared" si="156"/>
        <v>1.500803571428571</v>
      </c>
      <c r="Z470" s="265">
        <f t="shared" si="157"/>
        <v>0.82693877551020412</v>
      </c>
      <c r="AA470" s="265">
        <f t="shared" ca="1" si="158"/>
        <v>24.57799430745704</v>
      </c>
      <c r="AB470" s="265">
        <f t="shared" ca="1" si="159"/>
        <v>0.68029650725451463</v>
      </c>
      <c r="AC470" s="258"/>
      <c r="AD470" s="258"/>
      <c r="AE470" s="258"/>
      <c r="AF470" s="258"/>
      <c r="AG470" s="258"/>
      <c r="AH470" s="258"/>
      <c r="AI470" s="258"/>
      <c r="AJ470" s="258"/>
      <c r="AK470" s="258"/>
      <c r="AL470" s="258"/>
      <c r="AM470" s="258"/>
    </row>
    <row r="471" spans="3:39" x14ac:dyDescent="0.25">
      <c r="C471" s="255" t="s">
        <v>6404</v>
      </c>
      <c r="D471" s="258">
        <v>16.798999999999999</v>
      </c>
      <c r="E471" s="258">
        <v>0.71079644737231007</v>
      </c>
      <c r="F471" s="258">
        <v>42.311830904953275</v>
      </c>
      <c r="G471" s="266">
        <f t="shared" si="138"/>
        <v>23.634051720577613</v>
      </c>
      <c r="H471" s="265">
        <f t="shared" si="139"/>
        <v>0.35758706467661688</v>
      </c>
      <c r="I471" s="265">
        <f t="shared" si="140"/>
        <v>0.2790178571428571</v>
      </c>
      <c r="J471" s="265">
        <f t="shared" si="141"/>
        <v>0.14172335600907029</v>
      </c>
      <c r="K471" s="258">
        <f t="shared" ca="1" si="142"/>
        <v>87.918672400548729</v>
      </c>
      <c r="L471" s="265">
        <f t="shared" si="143"/>
        <v>2.5249365671641786</v>
      </c>
      <c r="M471" s="265">
        <f t="shared" si="144"/>
        <v>1.500803571428571</v>
      </c>
      <c r="N471" s="265">
        <f t="shared" si="145"/>
        <v>0.82693877551020412</v>
      </c>
      <c r="O471" s="265">
        <f t="shared" ca="1" si="146"/>
        <v>92.771351314651682</v>
      </c>
      <c r="P471" s="265">
        <f t="shared" ca="1" si="147"/>
        <v>3.8001764400156217</v>
      </c>
      <c r="Q471" s="258">
        <f t="shared" ca="1" si="148"/>
        <v>53.649297405711181</v>
      </c>
      <c r="R471" s="265">
        <f t="shared" si="149"/>
        <v>2.5249365671641786</v>
      </c>
      <c r="S471" s="265">
        <f t="shared" si="150"/>
        <v>1.500803571428571</v>
      </c>
      <c r="T471" s="265">
        <f t="shared" si="151"/>
        <v>0.82693877551020412</v>
      </c>
      <c r="U471" s="265">
        <f t="shared" ca="1" si="152"/>
        <v>58.501976319814133</v>
      </c>
      <c r="V471" s="265">
        <f t="shared" ca="1" si="153"/>
        <v>2.3964060990216285</v>
      </c>
      <c r="W471" s="258">
        <f t="shared" ca="1" si="154"/>
        <v>13.187800860082309</v>
      </c>
      <c r="X471" s="265">
        <f t="shared" si="155"/>
        <v>2.5249365671641786</v>
      </c>
      <c r="Y471" s="265">
        <f t="shared" si="156"/>
        <v>1.500803571428571</v>
      </c>
      <c r="Z471" s="265">
        <f t="shared" si="157"/>
        <v>0.82693877551020412</v>
      </c>
      <c r="AA471" s="265">
        <f t="shared" ca="1" si="158"/>
        <v>18.040479774185261</v>
      </c>
      <c r="AB471" s="265">
        <f t="shared" ca="1" si="159"/>
        <v>0.73898897917216966</v>
      </c>
      <c r="AC471" s="258"/>
      <c r="AD471" s="258"/>
      <c r="AE471" s="258"/>
      <c r="AF471" s="258"/>
      <c r="AG471" s="258"/>
      <c r="AH471" s="258"/>
      <c r="AI471" s="258"/>
      <c r="AJ471" s="258"/>
      <c r="AK471" s="258"/>
      <c r="AL471" s="258"/>
      <c r="AM471" s="258"/>
    </row>
    <row r="472" spans="3:39" x14ac:dyDescent="0.25">
      <c r="C472" s="255" t="s">
        <v>6405</v>
      </c>
      <c r="D472" s="258">
        <v>14.287000000000001</v>
      </c>
      <c r="E472" s="258">
        <v>0.72566370614359177</v>
      </c>
      <c r="F472" s="258">
        <v>50.791888160117011</v>
      </c>
      <c r="G472" s="266">
        <f t="shared" si="138"/>
        <v>19.688183216335393</v>
      </c>
      <c r="H472" s="265">
        <f t="shared" si="139"/>
        <v>0.35758706467661688</v>
      </c>
      <c r="I472" s="265">
        <f t="shared" si="140"/>
        <v>0.2790178571428571</v>
      </c>
      <c r="J472" s="265">
        <f t="shared" si="141"/>
        <v>0.14172335600907029</v>
      </c>
      <c r="K472" s="258">
        <f t="shared" ca="1" si="142"/>
        <v>73.240041564767665</v>
      </c>
      <c r="L472" s="265">
        <f t="shared" si="143"/>
        <v>2.5249365671641786</v>
      </c>
      <c r="M472" s="265">
        <f t="shared" si="144"/>
        <v>1.500803571428571</v>
      </c>
      <c r="N472" s="265">
        <f t="shared" si="145"/>
        <v>0.82693877551020412</v>
      </c>
      <c r="O472" s="265">
        <f t="shared" ca="1" si="146"/>
        <v>78.092720478870618</v>
      </c>
      <c r="P472" s="265">
        <f t="shared" ca="1" si="147"/>
        <v>3.8156341641876237</v>
      </c>
      <c r="Q472" s="258">
        <f t="shared" ca="1" si="148"/>
        <v>44.692175901081342</v>
      </c>
      <c r="R472" s="265">
        <f t="shared" si="149"/>
        <v>2.5249365671641786</v>
      </c>
      <c r="S472" s="265">
        <f t="shared" si="150"/>
        <v>1.500803571428571</v>
      </c>
      <c r="T472" s="265">
        <f t="shared" si="151"/>
        <v>0.82693877551020412</v>
      </c>
      <c r="U472" s="265">
        <f t="shared" ca="1" si="152"/>
        <v>49.544854815184294</v>
      </c>
      <c r="V472" s="265">
        <f t="shared" ca="1" si="153"/>
        <v>2.4207767322394975</v>
      </c>
      <c r="W472" s="258">
        <f t="shared" ca="1" si="154"/>
        <v>10.98600623471515</v>
      </c>
      <c r="X472" s="265">
        <f t="shared" si="155"/>
        <v>2.5249365671641786</v>
      </c>
      <c r="Y472" s="265">
        <f t="shared" si="156"/>
        <v>1.500803571428571</v>
      </c>
      <c r="Z472" s="265">
        <f t="shared" si="157"/>
        <v>0.82693877551020412</v>
      </c>
      <c r="AA472" s="265">
        <f t="shared" ca="1" si="158"/>
        <v>15.838685148818104</v>
      </c>
      <c r="AB472" s="265">
        <f t="shared" ca="1" si="159"/>
        <v>0.77388299189798582</v>
      </c>
      <c r="AC472" s="258"/>
      <c r="AD472" s="258"/>
      <c r="AE472" s="258"/>
      <c r="AF472" s="258"/>
      <c r="AG472" s="258"/>
      <c r="AH472" s="258"/>
      <c r="AI472" s="258"/>
      <c r="AJ472" s="258"/>
      <c r="AK472" s="258"/>
      <c r="AL472" s="258"/>
      <c r="AM472" s="258"/>
    </row>
    <row r="473" spans="3:39" x14ac:dyDescent="0.25">
      <c r="C473" s="255" t="s">
        <v>6406</v>
      </c>
      <c r="D473" s="258">
        <v>11.6965</v>
      </c>
      <c r="E473" s="258">
        <v>0.74053096491487347</v>
      </c>
      <c r="F473" s="258">
        <v>63.312184406863025</v>
      </c>
      <c r="G473" s="266">
        <f t="shared" si="138"/>
        <v>15.794748031021975</v>
      </c>
      <c r="H473" s="265">
        <f t="shared" si="139"/>
        <v>0.35758706467661688</v>
      </c>
      <c r="I473" s="265">
        <f t="shared" si="140"/>
        <v>0.2790178571428571</v>
      </c>
      <c r="J473" s="265">
        <f t="shared" si="141"/>
        <v>0.14172335600907029</v>
      </c>
      <c r="K473" s="258">
        <f t="shared" ca="1" si="142"/>
        <v>58.75646267540175</v>
      </c>
      <c r="L473" s="265">
        <f t="shared" si="143"/>
        <v>2.5249365671641786</v>
      </c>
      <c r="M473" s="265">
        <f t="shared" si="144"/>
        <v>1.500803571428571</v>
      </c>
      <c r="N473" s="265">
        <f t="shared" si="145"/>
        <v>0.82693877551020412</v>
      </c>
      <c r="O473" s="265">
        <f t="shared" ca="1" si="146"/>
        <v>63.609141589504702</v>
      </c>
      <c r="P473" s="265">
        <f t="shared" ca="1" si="147"/>
        <v>3.8381010504088193</v>
      </c>
      <c r="Q473" s="258">
        <f t="shared" ca="1" si="148"/>
        <v>35.854078030419885</v>
      </c>
      <c r="R473" s="265">
        <f t="shared" si="149"/>
        <v>2.5249365671641786</v>
      </c>
      <c r="S473" s="265">
        <f t="shared" si="150"/>
        <v>1.500803571428571</v>
      </c>
      <c r="T473" s="265">
        <f t="shared" si="151"/>
        <v>0.82693877551020412</v>
      </c>
      <c r="U473" s="265">
        <f t="shared" ca="1" si="152"/>
        <v>40.706756944522837</v>
      </c>
      <c r="V473" s="265">
        <f t="shared" ca="1" si="153"/>
        <v>2.4561980036732352</v>
      </c>
      <c r="W473" s="258">
        <f t="shared" ca="1" si="154"/>
        <v>8.8134694013102628</v>
      </c>
      <c r="X473" s="265">
        <f t="shared" si="155"/>
        <v>2.5249365671641786</v>
      </c>
      <c r="Y473" s="265">
        <f t="shared" si="156"/>
        <v>1.500803571428571</v>
      </c>
      <c r="Z473" s="265">
        <f t="shared" si="157"/>
        <v>0.82693877551020412</v>
      </c>
      <c r="AA473" s="265">
        <f t="shared" ca="1" si="158"/>
        <v>13.666148315413217</v>
      </c>
      <c r="AB473" s="265">
        <f t="shared" ca="1" si="159"/>
        <v>0.82459937194129029</v>
      </c>
      <c r="AC473" s="258"/>
      <c r="AD473" s="258"/>
      <c r="AE473" s="258"/>
      <c r="AF473" s="258"/>
      <c r="AG473" s="258"/>
      <c r="AH473" s="258"/>
      <c r="AI473" s="258"/>
      <c r="AJ473" s="258"/>
      <c r="AK473" s="258"/>
      <c r="AL473" s="258"/>
      <c r="AM473" s="258"/>
    </row>
    <row r="474" spans="3:39" x14ac:dyDescent="0.25">
      <c r="C474" s="255" t="s">
        <v>6407</v>
      </c>
      <c r="D474" s="258">
        <v>9.0274999999999999</v>
      </c>
      <c r="E474" s="258">
        <v>0.76054866776461627</v>
      </c>
      <c r="F474" s="258">
        <v>84.247983136484763</v>
      </c>
      <c r="G474" s="266">
        <f t="shared" si="138"/>
        <v>11.869720351405492</v>
      </c>
      <c r="H474" s="265">
        <f t="shared" si="139"/>
        <v>0.35758706467661688</v>
      </c>
      <c r="I474" s="265">
        <f t="shared" si="140"/>
        <v>0.2790178571428571</v>
      </c>
      <c r="J474" s="265">
        <f t="shared" si="141"/>
        <v>0.14172335600907029</v>
      </c>
      <c r="K474" s="258">
        <f t="shared" ca="1" si="142"/>
        <v>44.155359707228435</v>
      </c>
      <c r="L474" s="265">
        <f t="shared" si="143"/>
        <v>2.5249365671641786</v>
      </c>
      <c r="M474" s="265">
        <f t="shared" si="144"/>
        <v>1.500803571428571</v>
      </c>
      <c r="N474" s="265">
        <f t="shared" si="145"/>
        <v>0.82693877551020412</v>
      </c>
      <c r="O474" s="265">
        <f t="shared" ca="1" si="146"/>
        <v>49.008038621331387</v>
      </c>
      <c r="P474" s="265">
        <f t="shared" ca="1" si="147"/>
        <v>3.8747509641967044</v>
      </c>
      <c r="Q474" s="258">
        <f t="shared" ca="1" si="148"/>
        <v>26.944265197690466</v>
      </c>
      <c r="R474" s="265">
        <f t="shared" si="149"/>
        <v>2.5249365671641786</v>
      </c>
      <c r="S474" s="265">
        <f t="shared" si="150"/>
        <v>1.500803571428571</v>
      </c>
      <c r="T474" s="265">
        <f t="shared" si="151"/>
        <v>0.82693877551020412</v>
      </c>
      <c r="U474" s="265">
        <f t="shared" ca="1" si="152"/>
        <v>31.796944111793419</v>
      </c>
      <c r="V474" s="265">
        <f t="shared" ca="1" si="153"/>
        <v>2.513980222870082</v>
      </c>
      <c r="W474" s="258">
        <f t="shared" ca="1" si="154"/>
        <v>6.623303956084265</v>
      </c>
      <c r="X474" s="265">
        <f t="shared" si="155"/>
        <v>2.5249365671641786</v>
      </c>
      <c r="Y474" s="265">
        <f t="shared" si="156"/>
        <v>1.500803571428571</v>
      </c>
      <c r="Z474" s="265">
        <f t="shared" si="157"/>
        <v>0.82693877551020412</v>
      </c>
      <c r="AA474" s="265">
        <f t="shared" ca="1" si="158"/>
        <v>11.475982870187218</v>
      </c>
      <c r="AB474" s="265">
        <f t="shared" ca="1" si="159"/>
        <v>0.90733228552444312</v>
      </c>
      <c r="AC474" s="258"/>
      <c r="AD474" s="258"/>
      <c r="AE474" s="258"/>
      <c r="AF474" s="258"/>
      <c r="AG474" s="258"/>
      <c r="AH474" s="258"/>
      <c r="AI474" s="258"/>
      <c r="AJ474" s="258"/>
      <c r="AK474" s="258"/>
      <c r="AL474" s="258"/>
      <c r="AM474" s="258"/>
    </row>
    <row r="475" spans="3:39" x14ac:dyDescent="0.25">
      <c r="C475" s="255" t="s">
        <v>6408</v>
      </c>
      <c r="D475" s="258">
        <v>7.5359999999999996</v>
      </c>
      <c r="E475" s="258">
        <v>0.76712388980384694</v>
      </c>
      <c r="F475" s="258">
        <v>101.79457136462938</v>
      </c>
      <c r="G475" s="266">
        <f t="shared" si="138"/>
        <v>9.8237065748623085</v>
      </c>
      <c r="H475" s="265">
        <f t="shared" si="139"/>
        <v>0.35758706467661688</v>
      </c>
      <c r="I475" s="265">
        <f t="shared" si="140"/>
        <v>0.2790178571428571</v>
      </c>
      <c r="J475" s="265">
        <f t="shared" si="141"/>
        <v>0.14172335600907029</v>
      </c>
      <c r="K475" s="258">
        <f t="shared" ca="1" si="142"/>
        <v>36.544188458487788</v>
      </c>
      <c r="L475" s="265">
        <f t="shared" si="143"/>
        <v>2.5249365671641786</v>
      </c>
      <c r="M475" s="265">
        <f t="shared" si="144"/>
        <v>1.500803571428571</v>
      </c>
      <c r="N475" s="265">
        <f t="shared" si="145"/>
        <v>0.82693877551020412</v>
      </c>
      <c r="O475" s="265">
        <f t="shared" ca="1" si="146"/>
        <v>41.396867372590741</v>
      </c>
      <c r="P475" s="265">
        <f t="shared" ca="1" si="147"/>
        <v>3.904615288270251</v>
      </c>
      <c r="Q475" s="258">
        <f t="shared" ca="1" si="148"/>
        <v>22.299813924937439</v>
      </c>
      <c r="R475" s="265">
        <f t="shared" si="149"/>
        <v>2.5249365671641786</v>
      </c>
      <c r="S475" s="265">
        <f t="shared" si="150"/>
        <v>1.500803571428571</v>
      </c>
      <c r="T475" s="265">
        <f t="shared" si="151"/>
        <v>0.82693877551020412</v>
      </c>
      <c r="U475" s="265">
        <f t="shared" ca="1" si="152"/>
        <v>27.152492839040391</v>
      </c>
      <c r="V475" s="265">
        <f t="shared" ca="1" si="153"/>
        <v>2.5610642877814107</v>
      </c>
      <c r="W475" s="258">
        <f t="shared" ca="1" si="154"/>
        <v>5.4816282687731688</v>
      </c>
      <c r="X475" s="265">
        <f t="shared" si="155"/>
        <v>2.5249365671641786</v>
      </c>
      <c r="Y475" s="265">
        <f t="shared" si="156"/>
        <v>1.500803571428571</v>
      </c>
      <c r="Z475" s="265">
        <f t="shared" si="157"/>
        <v>0.82693877551020412</v>
      </c>
      <c r="AA475" s="265">
        <f t="shared" ca="1" si="158"/>
        <v>10.334307182876122</v>
      </c>
      <c r="AB475" s="265">
        <f t="shared" ca="1" si="159"/>
        <v>0.97474752030769074</v>
      </c>
      <c r="AC475" s="258"/>
      <c r="AD475" s="258"/>
      <c r="AE475" s="258"/>
      <c r="AF475" s="258"/>
      <c r="AG475" s="258"/>
      <c r="AH475" s="258"/>
      <c r="AI475" s="258"/>
      <c r="AJ475" s="258"/>
      <c r="AK475" s="258"/>
      <c r="AL475" s="258"/>
      <c r="AM475" s="258"/>
    </row>
    <row r="476" spans="3:39" x14ac:dyDescent="0.25">
      <c r="C476" s="255" t="s">
        <v>6409</v>
      </c>
      <c r="D476" s="258">
        <v>6.1230000000000002</v>
      </c>
      <c r="E476" s="258">
        <v>0.7736991118430776</v>
      </c>
      <c r="F476" s="258">
        <v>126.35948258093705</v>
      </c>
      <c r="G476" s="266">
        <f t="shared" si="138"/>
        <v>7.9139292087514672</v>
      </c>
      <c r="H476" s="265">
        <f t="shared" si="139"/>
        <v>0.35758706467661688</v>
      </c>
      <c r="I476" s="265">
        <f t="shared" si="140"/>
        <v>0.2790178571428571</v>
      </c>
      <c r="J476" s="265">
        <f t="shared" si="141"/>
        <v>0.14172335600907029</v>
      </c>
      <c r="K476" s="258">
        <f t="shared" ca="1" si="142"/>
        <v>29.439816656555461</v>
      </c>
      <c r="L476" s="265">
        <f t="shared" si="143"/>
        <v>2.5249365671641786</v>
      </c>
      <c r="M476" s="265">
        <f t="shared" si="144"/>
        <v>1.500803571428571</v>
      </c>
      <c r="N476" s="265">
        <f t="shared" si="145"/>
        <v>0.82693877551020412</v>
      </c>
      <c r="O476" s="265">
        <f t="shared" ca="1" si="146"/>
        <v>34.292495570658417</v>
      </c>
      <c r="P476" s="265">
        <f t="shared" ca="1" si="147"/>
        <v>3.9451771445568253</v>
      </c>
      <c r="Q476" s="258">
        <f t="shared" ca="1" si="148"/>
        <v>17.964619303865831</v>
      </c>
      <c r="R476" s="265">
        <f t="shared" si="149"/>
        <v>2.5249365671641786</v>
      </c>
      <c r="S476" s="265">
        <f t="shared" si="150"/>
        <v>1.500803571428571</v>
      </c>
      <c r="T476" s="265">
        <f t="shared" si="151"/>
        <v>0.82693877551020412</v>
      </c>
      <c r="U476" s="265">
        <f t="shared" ca="1" si="152"/>
        <v>22.817298217968784</v>
      </c>
      <c r="V476" s="265">
        <f t="shared" ca="1" si="153"/>
        <v>2.6250140717985451</v>
      </c>
      <c r="W476" s="258">
        <f t="shared" ca="1" si="154"/>
        <v>4.4159724984833195</v>
      </c>
      <c r="X476" s="265">
        <f t="shared" si="155"/>
        <v>2.5249365671641786</v>
      </c>
      <c r="Y476" s="265">
        <f t="shared" si="156"/>
        <v>1.500803571428571</v>
      </c>
      <c r="Z476" s="265">
        <f t="shared" si="157"/>
        <v>0.82693877551020412</v>
      </c>
      <c r="AA476" s="265">
        <f t="shared" ca="1" si="158"/>
        <v>9.2686514125862729</v>
      </c>
      <c r="AB476" s="265">
        <f t="shared" ca="1" si="159"/>
        <v>1.0663111886522181</v>
      </c>
      <c r="AC476" s="258"/>
      <c r="AD476" s="258"/>
      <c r="AE476" s="258"/>
      <c r="AF476" s="258"/>
      <c r="AG476" s="258"/>
      <c r="AH476" s="258"/>
      <c r="AI476" s="258"/>
      <c r="AJ476" s="258"/>
      <c r="AK476" s="258"/>
      <c r="AL476" s="258"/>
      <c r="AM476" s="258"/>
    </row>
    <row r="477" spans="3:39" x14ac:dyDescent="0.25">
      <c r="C477" s="255" t="s">
        <v>6410</v>
      </c>
      <c r="D477" s="258">
        <v>14.679500000000001</v>
      </c>
      <c r="E477" s="258">
        <v>0.62279644737230999</v>
      </c>
      <c r="F477" s="258">
        <v>42.426271151763345</v>
      </c>
      <c r="G477" s="266">
        <f t="shared" si="138"/>
        <v>23.570301439475845</v>
      </c>
      <c r="H477" s="265">
        <f t="shared" si="139"/>
        <v>0.35758706467661688</v>
      </c>
      <c r="I477" s="265">
        <f t="shared" si="140"/>
        <v>0.2790178571428571</v>
      </c>
      <c r="J477" s="265">
        <f t="shared" si="141"/>
        <v>0.14172335600907029</v>
      </c>
      <c r="K477" s="258">
        <f t="shared" ca="1" si="142"/>
        <v>87.681521354850148</v>
      </c>
      <c r="L477" s="265">
        <f t="shared" si="143"/>
        <v>2.5249365671641786</v>
      </c>
      <c r="M477" s="265">
        <f t="shared" si="144"/>
        <v>1.500803571428571</v>
      </c>
      <c r="N477" s="265">
        <f t="shared" si="145"/>
        <v>0.82693877551020412</v>
      </c>
      <c r="O477" s="265">
        <f t="shared" ca="1" si="146"/>
        <v>92.5342002689531</v>
      </c>
      <c r="P477" s="265">
        <f t="shared" ca="1" si="147"/>
        <v>3.800386360271836</v>
      </c>
      <c r="Q477" s="258">
        <f t="shared" ca="1" si="148"/>
        <v>53.50458426761017</v>
      </c>
      <c r="R477" s="265">
        <f t="shared" si="149"/>
        <v>2.5249365671641786</v>
      </c>
      <c r="S477" s="265">
        <f t="shared" si="150"/>
        <v>1.500803571428571</v>
      </c>
      <c r="T477" s="265">
        <f t="shared" si="151"/>
        <v>0.82693877551020412</v>
      </c>
      <c r="U477" s="265">
        <f t="shared" ca="1" si="152"/>
        <v>58.357263181713122</v>
      </c>
      <c r="V477" s="265">
        <f t="shared" ca="1" si="153"/>
        <v>2.3967370590977874</v>
      </c>
      <c r="W477" s="258">
        <f t="shared" ca="1" si="154"/>
        <v>13.152228203227523</v>
      </c>
      <c r="X477" s="265">
        <f t="shared" si="155"/>
        <v>2.5249365671641786</v>
      </c>
      <c r="Y477" s="265">
        <f t="shared" si="156"/>
        <v>1.500803571428571</v>
      </c>
      <c r="Z477" s="265">
        <f t="shared" si="157"/>
        <v>0.82693877551020412</v>
      </c>
      <c r="AA477" s="265">
        <f t="shared" ca="1" si="158"/>
        <v>18.004907117330475</v>
      </c>
      <c r="AB477" s="265">
        <f t="shared" ca="1" si="159"/>
        <v>0.73946284971160081</v>
      </c>
      <c r="AC477" s="258"/>
      <c r="AD477" s="258"/>
      <c r="AE477" s="258"/>
      <c r="AF477" s="258"/>
      <c r="AG477" s="258"/>
      <c r="AH477" s="258"/>
      <c r="AI477" s="258"/>
      <c r="AJ477" s="258"/>
      <c r="AK477" s="258"/>
      <c r="AL477" s="258"/>
      <c r="AM477" s="258"/>
    </row>
    <row r="478" spans="3:39" x14ac:dyDescent="0.25">
      <c r="C478" s="255" t="s">
        <v>6411</v>
      </c>
      <c r="D478" s="258">
        <v>12.56</v>
      </c>
      <c r="E478" s="258">
        <v>0.63766370614359169</v>
      </c>
      <c r="F478" s="258">
        <v>50.769403355381506</v>
      </c>
      <c r="G478" s="266">
        <f t="shared" si="138"/>
        <v>19.696902738842233</v>
      </c>
      <c r="H478" s="265">
        <f t="shared" si="139"/>
        <v>0.35758706467661688</v>
      </c>
      <c r="I478" s="265">
        <f t="shared" si="140"/>
        <v>0.2790178571428571</v>
      </c>
      <c r="J478" s="265">
        <f t="shared" si="141"/>
        <v>0.14172335600907029</v>
      </c>
      <c r="K478" s="258">
        <f t="shared" ca="1" si="142"/>
        <v>73.27247818849311</v>
      </c>
      <c r="L478" s="265">
        <f t="shared" si="143"/>
        <v>2.5249365671641786</v>
      </c>
      <c r="M478" s="265">
        <f t="shared" si="144"/>
        <v>1.500803571428571</v>
      </c>
      <c r="N478" s="265">
        <f t="shared" si="145"/>
        <v>0.82693877551020412</v>
      </c>
      <c r="O478" s="265">
        <f t="shared" ca="1" si="146"/>
        <v>78.125157102596063</v>
      </c>
      <c r="P478" s="265">
        <f t="shared" ca="1" si="147"/>
        <v>3.815593437699782</v>
      </c>
      <c r="Q478" s="258">
        <f t="shared" ca="1" si="148"/>
        <v>44.71196921717187</v>
      </c>
      <c r="R478" s="265">
        <f t="shared" si="149"/>
        <v>2.5249365671641786</v>
      </c>
      <c r="S478" s="265">
        <f t="shared" si="150"/>
        <v>1.500803571428571</v>
      </c>
      <c r="T478" s="265">
        <f t="shared" si="151"/>
        <v>0.82693877551020412</v>
      </c>
      <c r="U478" s="265">
        <f t="shared" ca="1" si="152"/>
        <v>49.564648131274822</v>
      </c>
      <c r="V478" s="265">
        <f t="shared" ca="1" si="153"/>
        <v>2.420712522897527</v>
      </c>
      <c r="W478" s="258">
        <f t="shared" ca="1" si="154"/>
        <v>10.990871728273968</v>
      </c>
      <c r="X478" s="265">
        <f t="shared" si="155"/>
        <v>2.5249365671641786</v>
      </c>
      <c r="Y478" s="265">
        <f t="shared" si="156"/>
        <v>1.500803571428571</v>
      </c>
      <c r="Z478" s="265">
        <f t="shared" si="157"/>
        <v>0.82693877551020412</v>
      </c>
      <c r="AA478" s="265">
        <f t="shared" ca="1" si="158"/>
        <v>15.843550642376922</v>
      </c>
      <c r="AB478" s="265">
        <f t="shared" ca="1" si="159"/>
        <v>0.77379105659307201</v>
      </c>
      <c r="AC478" s="258"/>
      <c r="AD478" s="258"/>
      <c r="AE478" s="258"/>
      <c r="AF478" s="258"/>
      <c r="AG478" s="258"/>
      <c r="AH478" s="258"/>
      <c r="AI478" s="258"/>
      <c r="AJ478" s="258"/>
      <c r="AK478" s="258"/>
      <c r="AL478" s="258"/>
      <c r="AM478" s="258"/>
    </row>
    <row r="479" spans="3:39" x14ac:dyDescent="0.25">
      <c r="C479" s="255" t="s">
        <v>6412</v>
      </c>
      <c r="D479" s="258">
        <v>9.1059999999999999</v>
      </c>
      <c r="E479" s="258">
        <v>0.65996459430051413</v>
      </c>
      <c r="F479" s="258">
        <v>72.475795552439507</v>
      </c>
      <c r="G479" s="266">
        <f t="shared" si="138"/>
        <v>13.797709875105198</v>
      </c>
      <c r="H479" s="265">
        <f t="shared" si="139"/>
        <v>0.35758706467661688</v>
      </c>
      <c r="I479" s="265">
        <f t="shared" si="140"/>
        <v>0.2790178571428571</v>
      </c>
      <c r="J479" s="265">
        <f t="shared" si="141"/>
        <v>0.14172335600907029</v>
      </c>
      <c r="K479" s="258">
        <f t="shared" ca="1" si="142"/>
        <v>51.32748073539134</v>
      </c>
      <c r="L479" s="265">
        <f t="shared" si="143"/>
        <v>2.5249365671641786</v>
      </c>
      <c r="M479" s="265">
        <f t="shared" si="144"/>
        <v>1.500803571428571</v>
      </c>
      <c r="N479" s="265">
        <f t="shared" si="145"/>
        <v>0.82693877551020412</v>
      </c>
      <c r="O479" s="265">
        <f t="shared" ca="1" si="146"/>
        <v>56.180159649494293</v>
      </c>
      <c r="P479" s="265">
        <f t="shared" ca="1" si="147"/>
        <v>3.854281874130991</v>
      </c>
      <c r="Q479" s="258">
        <f t="shared" ca="1" si="148"/>
        <v>31.320801416488802</v>
      </c>
      <c r="R479" s="265">
        <f t="shared" si="149"/>
        <v>2.5249365671641786</v>
      </c>
      <c r="S479" s="265">
        <f t="shared" si="150"/>
        <v>1.500803571428571</v>
      </c>
      <c r="T479" s="265">
        <f t="shared" si="151"/>
        <v>0.82693877551020412</v>
      </c>
      <c r="U479" s="265">
        <f t="shared" ca="1" si="152"/>
        <v>36.173480330591758</v>
      </c>
      <c r="V479" s="265">
        <f t="shared" ca="1" si="153"/>
        <v>2.481708674953699</v>
      </c>
      <c r="W479" s="258">
        <f t="shared" ca="1" si="154"/>
        <v>7.6991221103087017</v>
      </c>
      <c r="X479" s="265">
        <f t="shared" si="155"/>
        <v>2.5249365671641786</v>
      </c>
      <c r="Y479" s="265">
        <f t="shared" si="156"/>
        <v>1.500803571428571</v>
      </c>
      <c r="Z479" s="265">
        <f t="shared" si="157"/>
        <v>0.82693877551020412</v>
      </c>
      <c r="AA479" s="265">
        <f t="shared" ca="1" si="158"/>
        <v>12.551801024411656</v>
      </c>
      <c r="AB479" s="265">
        <f t="shared" ca="1" si="159"/>
        <v>0.86112569771816461</v>
      </c>
      <c r="AC479" s="258"/>
      <c r="AD479" s="258"/>
      <c r="AE479" s="258"/>
      <c r="AF479" s="258"/>
      <c r="AG479" s="258"/>
      <c r="AH479" s="258"/>
      <c r="AI479" s="258"/>
      <c r="AJ479" s="258"/>
      <c r="AK479" s="258"/>
      <c r="AL479" s="258"/>
      <c r="AM479" s="258"/>
    </row>
    <row r="480" spans="3:39" x14ac:dyDescent="0.25">
      <c r="C480" s="255" t="s">
        <v>6413</v>
      </c>
      <c r="D480" s="258">
        <v>12.089</v>
      </c>
      <c r="E480" s="258">
        <v>0.51079644737231011</v>
      </c>
      <c r="F480" s="258">
        <v>42.252994240409464</v>
      </c>
      <c r="G480" s="266">
        <f t="shared" si="138"/>
        <v>23.66696178524623</v>
      </c>
      <c r="H480" s="265">
        <f t="shared" si="139"/>
        <v>0.35758706467661688</v>
      </c>
      <c r="I480" s="265">
        <f t="shared" si="140"/>
        <v>0.2790178571428571</v>
      </c>
      <c r="J480" s="265">
        <f t="shared" si="141"/>
        <v>0.14172335600907029</v>
      </c>
      <c r="K480" s="258">
        <f t="shared" ca="1" si="142"/>
        <v>88.041097841115985</v>
      </c>
      <c r="L480" s="265">
        <f t="shared" si="143"/>
        <v>2.5249365671641786</v>
      </c>
      <c r="M480" s="265">
        <f t="shared" si="144"/>
        <v>1.500803571428571</v>
      </c>
      <c r="N480" s="265">
        <f t="shared" si="145"/>
        <v>0.82693877551020412</v>
      </c>
      <c r="O480" s="265">
        <f t="shared" ca="1" si="146"/>
        <v>92.893776755218937</v>
      </c>
      <c r="P480" s="265">
        <f t="shared" ca="1" si="147"/>
        <v>3.8000685005385688</v>
      </c>
      <c r="Q480" s="258">
        <f t="shared" ca="1" si="148"/>
        <v>53.724003252508943</v>
      </c>
      <c r="R480" s="265">
        <f t="shared" si="149"/>
        <v>2.5249365671641786</v>
      </c>
      <c r="S480" s="265">
        <f t="shared" si="150"/>
        <v>1.500803571428571</v>
      </c>
      <c r="T480" s="265">
        <f t="shared" si="151"/>
        <v>0.82693877551020412</v>
      </c>
      <c r="U480" s="265">
        <f t="shared" ca="1" si="152"/>
        <v>58.576682166611896</v>
      </c>
      <c r="V480" s="265">
        <f t="shared" ca="1" si="153"/>
        <v>2.3962359217448372</v>
      </c>
      <c r="W480" s="258">
        <f t="shared" ca="1" si="154"/>
        <v>13.206164676167397</v>
      </c>
      <c r="X480" s="265">
        <f t="shared" si="155"/>
        <v>2.5249365671641786</v>
      </c>
      <c r="Y480" s="265">
        <f t="shared" si="156"/>
        <v>1.500803571428571</v>
      </c>
      <c r="Z480" s="265">
        <f t="shared" si="157"/>
        <v>0.82693877551020412</v>
      </c>
      <c r="AA480" s="265">
        <f t="shared" ca="1" si="158"/>
        <v>18.058843590270349</v>
      </c>
      <c r="AB480" s="265">
        <f t="shared" ca="1" si="159"/>
        <v>0.73874531836906632</v>
      </c>
      <c r="AC480" s="258"/>
      <c r="AD480" s="258"/>
      <c r="AE480" s="258"/>
      <c r="AF480" s="258"/>
      <c r="AG480" s="258"/>
      <c r="AH480" s="258"/>
      <c r="AI480" s="258"/>
      <c r="AJ480" s="258"/>
      <c r="AK480" s="258"/>
      <c r="AL480" s="258"/>
      <c r="AM480" s="258"/>
    </row>
    <row r="481" spans="3:39" x14ac:dyDescent="0.25">
      <c r="C481" s="255" t="s">
        <v>6414</v>
      </c>
      <c r="D481" s="258">
        <v>10.362</v>
      </c>
      <c r="E481" s="258">
        <v>0.52566370614359181</v>
      </c>
      <c r="F481" s="258">
        <v>50.729946549275404</v>
      </c>
      <c r="G481" s="266">
        <f t="shared" si="138"/>
        <v>19.712222622365118</v>
      </c>
      <c r="H481" s="265">
        <f t="shared" si="139"/>
        <v>0.35758706467661688</v>
      </c>
      <c r="I481" s="265">
        <f t="shared" si="140"/>
        <v>0.2790178571428571</v>
      </c>
      <c r="J481" s="265">
        <f t="shared" si="141"/>
        <v>0.14172335600907029</v>
      </c>
      <c r="K481" s="258">
        <f t="shared" ca="1" si="142"/>
        <v>73.329468155198242</v>
      </c>
      <c r="L481" s="265">
        <f t="shared" si="143"/>
        <v>2.5249365671641786</v>
      </c>
      <c r="M481" s="265">
        <f t="shared" si="144"/>
        <v>1.500803571428571</v>
      </c>
      <c r="N481" s="265">
        <f t="shared" si="145"/>
        <v>0.82693877551020412</v>
      </c>
      <c r="O481" s="265">
        <f t="shared" ca="1" si="146"/>
        <v>78.182147069301195</v>
      </c>
      <c r="P481" s="265">
        <f t="shared" ca="1" si="147"/>
        <v>3.8155219666915965</v>
      </c>
      <c r="Q481" s="258">
        <f t="shared" ca="1" si="148"/>
        <v>44.746745352768819</v>
      </c>
      <c r="R481" s="265">
        <f t="shared" si="149"/>
        <v>2.5249365671641786</v>
      </c>
      <c r="S481" s="265">
        <f t="shared" si="150"/>
        <v>1.500803571428571</v>
      </c>
      <c r="T481" s="265">
        <f t="shared" si="151"/>
        <v>0.82693877551020412</v>
      </c>
      <c r="U481" s="265">
        <f t="shared" ca="1" si="152"/>
        <v>49.599424266871772</v>
      </c>
      <c r="V481" s="265">
        <f t="shared" ca="1" si="153"/>
        <v>2.4205998417740435</v>
      </c>
      <c r="W481" s="258">
        <f t="shared" ca="1" si="154"/>
        <v>10.999420223279737</v>
      </c>
      <c r="X481" s="265">
        <f t="shared" si="155"/>
        <v>2.5249365671641786</v>
      </c>
      <c r="Y481" s="265">
        <f t="shared" si="156"/>
        <v>1.500803571428571</v>
      </c>
      <c r="Z481" s="265">
        <f t="shared" si="157"/>
        <v>0.82693877551020412</v>
      </c>
      <c r="AA481" s="265">
        <f t="shared" ca="1" si="158"/>
        <v>15.852099137382691</v>
      </c>
      <c r="AB481" s="265">
        <f t="shared" ca="1" si="159"/>
        <v>0.77362971911276757</v>
      </c>
      <c r="AC481" s="258"/>
      <c r="AD481" s="258"/>
      <c r="AE481" s="258"/>
      <c r="AF481" s="258"/>
      <c r="AG481" s="258"/>
      <c r="AH481" s="258"/>
      <c r="AI481" s="258"/>
      <c r="AJ481" s="258"/>
      <c r="AK481" s="258"/>
      <c r="AL481" s="258"/>
      <c r="AM481" s="258"/>
    </row>
    <row r="482" spans="3:39" x14ac:dyDescent="0.25">
      <c r="C482" s="255" t="s">
        <v>6415</v>
      </c>
      <c r="D482" s="258">
        <v>8.5564999999999998</v>
      </c>
      <c r="E482" s="258">
        <v>0.54053096491487329</v>
      </c>
      <c r="F482" s="258">
        <v>63.17197042188667</v>
      </c>
      <c r="G482" s="266">
        <f t="shared" ref="G482:G515" si="160">D482/E482</f>
        <v>15.829805423538573</v>
      </c>
      <c r="H482" s="265">
        <f t="shared" ref="H482:H515" si="161">$AJ$40</f>
        <v>0.35758706467661688</v>
      </c>
      <c r="I482" s="265">
        <f t="shared" ref="I482:I515" si="162">$AK$40</f>
        <v>0.2790178571428571</v>
      </c>
      <c r="J482" s="265">
        <f t="shared" ref="J482:J515" si="163">$AL$40</f>
        <v>0.14172335600907029</v>
      </c>
      <c r="K482" s="258">
        <f t="shared" ref="K482:K515" ca="1" si="164">K$30*$G482</f>
        <v>58.886876175563494</v>
      </c>
      <c r="L482" s="265">
        <f t="shared" ref="L482:L515" si="165">L$30*$H482</f>
        <v>2.5249365671641786</v>
      </c>
      <c r="M482" s="265">
        <f t="shared" ref="M482:M515" si="166">M$30*$I482</f>
        <v>1.500803571428571</v>
      </c>
      <c r="N482" s="265">
        <f t="shared" ref="N482:N515" si="167">N$30*$J482</f>
        <v>0.82693877551020412</v>
      </c>
      <c r="O482" s="265">
        <f t="shared" ref="O482:O515" ca="1" si="168">SUM(K482:N482)</f>
        <v>63.739555089666446</v>
      </c>
      <c r="P482" s="265">
        <f t="shared" ref="P482:P515" ca="1" si="169">O482/SUM($G482:$J482)</f>
        <v>3.8378517559995102</v>
      </c>
      <c r="Q482" s="258">
        <f t="shared" ref="Q482:Q515" ca="1" si="170">Q$30*$G482</f>
        <v>35.933658311432559</v>
      </c>
      <c r="R482" s="265">
        <f t="shared" ref="R482:R515" si="171">R$30*$H482</f>
        <v>2.5249365671641786</v>
      </c>
      <c r="S482" s="265">
        <f t="shared" ref="S482:S515" si="172">S$30*$I482</f>
        <v>1.500803571428571</v>
      </c>
      <c r="T482" s="265">
        <f t="shared" ref="T482:T515" si="173">T$30*$J482</f>
        <v>0.82693877551020412</v>
      </c>
      <c r="U482" s="265">
        <f t="shared" ref="U482:U515" ca="1" si="174">SUM(Q482:T482)</f>
        <v>40.786337225535512</v>
      </c>
      <c r="V482" s="265">
        <f t="shared" ref="V482:V515" ca="1" si="175">U482/SUM($G482:$J482)</f>
        <v>2.4558049663447816</v>
      </c>
      <c r="W482" s="258">
        <f t="shared" ref="W482:W515" ca="1" si="176">W$30*$G482</f>
        <v>8.8330314263345251</v>
      </c>
      <c r="X482" s="265">
        <f t="shared" ref="X482:X515" si="177">X$30*$H482</f>
        <v>2.5249365671641786</v>
      </c>
      <c r="Y482" s="265">
        <f t="shared" ref="Y482:Y515" si="178">Y$30*$I482</f>
        <v>1.500803571428571</v>
      </c>
      <c r="Z482" s="265">
        <f t="shared" ref="Z482:Z515" si="179">Z$30*$J482</f>
        <v>0.82693877551020412</v>
      </c>
      <c r="AA482" s="265">
        <f t="shared" ref="AA482:AA515" ca="1" si="180">SUM(W482:Z482)</f>
        <v>13.685710340437479</v>
      </c>
      <c r="AB482" s="265">
        <f t="shared" ref="AB482:AB515" ca="1" si="181">AA482/SUM($G482:$J482)</f>
        <v>0.82403661883519896</v>
      </c>
      <c r="AC482" s="258"/>
      <c r="AD482" s="258"/>
      <c r="AE482" s="258"/>
      <c r="AF482" s="258"/>
      <c r="AG482" s="258"/>
      <c r="AH482" s="258"/>
      <c r="AI482" s="258"/>
      <c r="AJ482" s="258"/>
      <c r="AK482" s="258"/>
      <c r="AL482" s="258"/>
      <c r="AM482" s="258"/>
    </row>
    <row r="483" spans="3:39" x14ac:dyDescent="0.25">
      <c r="C483" s="255" t="s">
        <v>6416</v>
      </c>
      <c r="D483" s="258">
        <v>7.5359999999999996</v>
      </c>
      <c r="E483" s="258">
        <v>0.54796459430051425</v>
      </c>
      <c r="F483" s="258">
        <v>72.712923872148906</v>
      </c>
      <c r="G483" s="266">
        <f t="shared" si="160"/>
        <v>13.752713365760112</v>
      </c>
      <c r="H483" s="265">
        <f t="shared" si="161"/>
        <v>0.35758706467661688</v>
      </c>
      <c r="I483" s="265">
        <f t="shared" si="162"/>
        <v>0.2790178571428571</v>
      </c>
      <c r="J483" s="265">
        <f t="shared" si="163"/>
        <v>0.14172335600907029</v>
      </c>
      <c r="K483" s="258">
        <f t="shared" ca="1" si="164"/>
        <v>51.160093720627621</v>
      </c>
      <c r="L483" s="265">
        <f t="shared" si="165"/>
        <v>2.5249365671641786</v>
      </c>
      <c r="M483" s="265">
        <f t="shared" si="166"/>
        <v>1.500803571428571</v>
      </c>
      <c r="N483" s="265">
        <f t="shared" si="167"/>
        <v>0.82693877551020412</v>
      </c>
      <c r="O483" s="265">
        <f t="shared" ca="1" si="168"/>
        <v>56.012772634730574</v>
      </c>
      <c r="P483" s="265">
        <f t="shared" ca="1" si="169"/>
        <v>3.8546976884788138</v>
      </c>
      <c r="Q483" s="258">
        <f t="shared" ca="1" si="170"/>
        <v>31.218659340275455</v>
      </c>
      <c r="R483" s="265">
        <f t="shared" si="171"/>
        <v>2.5249365671641786</v>
      </c>
      <c r="S483" s="265">
        <f t="shared" si="172"/>
        <v>1.500803571428571</v>
      </c>
      <c r="T483" s="265">
        <f t="shared" si="173"/>
        <v>0.82693877551020412</v>
      </c>
      <c r="U483" s="265">
        <f t="shared" ca="1" si="174"/>
        <v>36.071338254378411</v>
      </c>
      <c r="V483" s="265">
        <f t="shared" ca="1" si="175"/>
        <v>2.4823642474587291</v>
      </c>
      <c r="W483" s="258">
        <f t="shared" ca="1" si="176"/>
        <v>7.6740140580941434</v>
      </c>
      <c r="X483" s="265">
        <f t="shared" si="177"/>
        <v>2.5249365671641786</v>
      </c>
      <c r="Y483" s="265">
        <f t="shared" si="178"/>
        <v>1.500803571428571</v>
      </c>
      <c r="Z483" s="265">
        <f t="shared" si="179"/>
        <v>0.82693877551020412</v>
      </c>
      <c r="AA483" s="265">
        <f t="shared" ca="1" si="180"/>
        <v>12.526692972197097</v>
      </c>
      <c r="AB483" s="265">
        <f t="shared" ca="1" si="181"/>
        <v>0.86206435019915362</v>
      </c>
      <c r="AC483" s="258"/>
      <c r="AD483" s="258"/>
      <c r="AE483" s="258"/>
      <c r="AF483" s="258"/>
      <c r="AG483" s="258"/>
      <c r="AH483" s="258"/>
      <c r="AI483" s="258"/>
      <c r="AJ483" s="258"/>
      <c r="AK483" s="258"/>
      <c r="AL483" s="258"/>
      <c r="AM483" s="258"/>
    </row>
    <row r="484" spans="3:39" x14ac:dyDescent="0.25">
      <c r="C484" s="255" t="s">
        <v>6417</v>
      </c>
      <c r="D484" s="258">
        <v>6.6725000000000003</v>
      </c>
      <c r="E484" s="258">
        <v>0.56054866776461632</v>
      </c>
      <c r="F484" s="258">
        <v>84.00879247128006</v>
      </c>
      <c r="G484" s="266">
        <f t="shared" si="160"/>
        <v>11.903515936642799</v>
      </c>
      <c r="H484" s="265">
        <f t="shared" si="161"/>
        <v>0.35758706467661688</v>
      </c>
      <c r="I484" s="265">
        <f t="shared" si="162"/>
        <v>0.2790178571428571</v>
      </c>
      <c r="J484" s="265">
        <f t="shared" si="163"/>
        <v>0.14172335600907029</v>
      </c>
      <c r="K484" s="258">
        <f t="shared" ca="1" si="164"/>
        <v>44.281079284311218</v>
      </c>
      <c r="L484" s="265">
        <f t="shared" si="165"/>
        <v>2.5249365671641786</v>
      </c>
      <c r="M484" s="265">
        <f t="shared" si="166"/>
        <v>1.500803571428571</v>
      </c>
      <c r="N484" s="265">
        <f t="shared" si="167"/>
        <v>0.82693877551020412</v>
      </c>
      <c r="O484" s="265">
        <f t="shared" ca="1" si="168"/>
        <v>49.133758198414171</v>
      </c>
      <c r="P484" s="265">
        <f t="shared" ca="1" si="169"/>
        <v>3.8743385715420859</v>
      </c>
      <c r="Q484" s="258">
        <f t="shared" ca="1" si="170"/>
        <v>27.020981176179156</v>
      </c>
      <c r="R484" s="265">
        <f t="shared" si="171"/>
        <v>2.5249365671641786</v>
      </c>
      <c r="S484" s="265">
        <f t="shared" si="172"/>
        <v>1.500803571428571</v>
      </c>
      <c r="T484" s="265">
        <f t="shared" si="173"/>
        <v>0.82693877551020412</v>
      </c>
      <c r="U484" s="265">
        <f t="shared" ca="1" si="174"/>
        <v>31.873660090282108</v>
      </c>
      <c r="V484" s="265">
        <f t="shared" ca="1" si="175"/>
        <v>2.5133300450033005</v>
      </c>
      <c r="W484" s="258">
        <f t="shared" ca="1" si="176"/>
        <v>6.6421618926466826</v>
      </c>
      <c r="X484" s="265">
        <f t="shared" si="177"/>
        <v>2.5249365671641786</v>
      </c>
      <c r="Y484" s="265">
        <f t="shared" si="178"/>
        <v>1.500803571428571</v>
      </c>
      <c r="Z484" s="265">
        <f t="shared" si="179"/>
        <v>0.82693877551020412</v>
      </c>
      <c r="AA484" s="265">
        <f t="shared" ca="1" si="180"/>
        <v>11.494840806749636</v>
      </c>
      <c r="AB484" s="265">
        <f t="shared" ca="1" si="181"/>
        <v>0.90640135711750747</v>
      </c>
      <c r="AC484" s="258"/>
      <c r="AD484" s="258"/>
      <c r="AE484" s="258"/>
      <c r="AF484" s="258"/>
      <c r="AG484" s="258"/>
      <c r="AH484" s="258"/>
      <c r="AI484" s="258"/>
      <c r="AJ484" s="258"/>
      <c r="AK484" s="258"/>
      <c r="AL484" s="258"/>
      <c r="AM484" s="258"/>
    </row>
    <row r="485" spans="3:39" x14ac:dyDescent="0.25">
      <c r="C485" s="255" t="s">
        <v>6418</v>
      </c>
      <c r="D485" s="258">
        <v>5.5735000000000001</v>
      </c>
      <c r="E485" s="258">
        <v>0.56712388980384687</v>
      </c>
      <c r="F485" s="258">
        <v>101.75363592066869</v>
      </c>
      <c r="G485" s="266">
        <f t="shared" si="160"/>
        <v>9.8276586477916243</v>
      </c>
      <c r="H485" s="265">
        <f t="shared" si="161"/>
        <v>0.35758706467661688</v>
      </c>
      <c r="I485" s="265">
        <f t="shared" si="162"/>
        <v>0.2790178571428571</v>
      </c>
      <c r="J485" s="265">
        <f t="shared" si="163"/>
        <v>0.14172335600907029</v>
      </c>
      <c r="K485" s="258">
        <f t="shared" ca="1" si="164"/>
        <v>36.558890169784846</v>
      </c>
      <c r="L485" s="265">
        <f t="shared" si="165"/>
        <v>2.5249365671641786</v>
      </c>
      <c r="M485" s="265">
        <f t="shared" si="166"/>
        <v>1.500803571428571</v>
      </c>
      <c r="N485" s="265">
        <f t="shared" si="167"/>
        <v>0.82693877551020412</v>
      </c>
      <c r="O485" s="265">
        <f t="shared" ca="1" si="168"/>
        <v>41.411569083887798</v>
      </c>
      <c r="P485" s="265">
        <f t="shared" ca="1" si="169"/>
        <v>3.9045464957016551</v>
      </c>
      <c r="Q485" s="258">
        <f t="shared" ca="1" si="170"/>
        <v>22.308785130486989</v>
      </c>
      <c r="R485" s="265">
        <f t="shared" si="171"/>
        <v>2.5249365671641786</v>
      </c>
      <c r="S485" s="265">
        <f t="shared" si="172"/>
        <v>1.500803571428571</v>
      </c>
      <c r="T485" s="265">
        <f t="shared" si="173"/>
        <v>0.82693877551020412</v>
      </c>
      <c r="U485" s="265">
        <f t="shared" ca="1" si="174"/>
        <v>27.161464044589941</v>
      </c>
      <c r="V485" s="265">
        <f t="shared" ca="1" si="175"/>
        <v>2.5609558294832349</v>
      </c>
      <c r="W485" s="258">
        <f t="shared" ca="1" si="176"/>
        <v>5.4838335254677268</v>
      </c>
      <c r="X485" s="265">
        <f t="shared" si="177"/>
        <v>2.5249365671641786</v>
      </c>
      <c r="Y485" s="265">
        <f t="shared" si="178"/>
        <v>1.500803571428571</v>
      </c>
      <c r="Z485" s="265">
        <f t="shared" si="179"/>
        <v>0.82693877551020412</v>
      </c>
      <c r="AA485" s="265">
        <f t="shared" ca="1" si="180"/>
        <v>10.336512439570681</v>
      </c>
      <c r="AB485" s="265">
        <f t="shared" ca="1" si="181"/>
        <v>0.97459222909293464</v>
      </c>
      <c r="AC485" s="258"/>
      <c r="AD485" s="258"/>
      <c r="AE485" s="258"/>
      <c r="AF485" s="258"/>
      <c r="AG485" s="258"/>
      <c r="AH485" s="258"/>
      <c r="AI485" s="258"/>
      <c r="AJ485" s="258"/>
      <c r="AK485" s="258"/>
      <c r="AL485" s="258"/>
      <c r="AM485" s="258"/>
    </row>
    <row r="486" spans="3:39" x14ac:dyDescent="0.25">
      <c r="C486" s="255" t="s">
        <v>6419</v>
      </c>
      <c r="D486" s="258">
        <v>4.5529999999999999</v>
      </c>
      <c r="E486" s="258">
        <v>0.57369911184307754</v>
      </c>
      <c r="F486" s="258">
        <v>126.00463690820942</v>
      </c>
      <c r="G486" s="266">
        <f t="shared" si="160"/>
        <v>7.9362158769480029</v>
      </c>
      <c r="H486" s="265">
        <f t="shared" si="161"/>
        <v>0.35758706467661688</v>
      </c>
      <c r="I486" s="265">
        <f t="shared" si="162"/>
        <v>0.2790178571428571</v>
      </c>
      <c r="J486" s="265">
        <f t="shared" si="163"/>
        <v>0.14172335600907029</v>
      </c>
      <c r="K486" s="258">
        <f t="shared" ca="1" si="164"/>
        <v>29.522723062246573</v>
      </c>
      <c r="L486" s="265">
        <f t="shared" si="165"/>
        <v>2.5249365671641786</v>
      </c>
      <c r="M486" s="265">
        <f t="shared" si="166"/>
        <v>1.500803571428571</v>
      </c>
      <c r="N486" s="265">
        <f t="shared" si="167"/>
        <v>0.82693877551020412</v>
      </c>
      <c r="O486" s="265">
        <f t="shared" ca="1" si="168"/>
        <v>34.375401976349529</v>
      </c>
      <c r="P486" s="265">
        <f t="shared" ca="1" si="169"/>
        <v>3.9446012741249299</v>
      </c>
      <c r="Q486" s="258">
        <f t="shared" ca="1" si="170"/>
        <v>18.015210040671967</v>
      </c>
      <c r="R486" s="265">
        <f t="shared" si="171"/>
        <v>2.5249365671641786</v>
      </c>
      <c r="S486" s="265">
        <f t="shared" si="172"/>
        <v>1.500803571428571</v>
      </c>
      <c r="T486" s="265">
        <f t="shared" si="173"/>
        <v>0.82693877551020412</v>
      </c>
      <c r="U486" s="265">
        <f t="shared" ca="1" si="174"/>
        <v>22.867888954774919</v>
      </c>
      <c r="V486" s="265">
        <f t="shared" ca="1" si="175"/>
        <v>2.6241061550236973</v>
      </c>
      <c r="W486" s="258">
        <f t="shared" ca="1" si="176"/>
        <v>4.4284084593369863</v>
      </c>
      <c r="X486" s="265">
        <f t="shared" si="177"/>
        <v>2.5249365671641786</v>
      </c>
      <c r="Y486" s="265">
        <f t="shared" si="178"/>
        <v>1.500803571428571</v>
      </c>
      <c r="Z486" s="265">
        <f t="shared" si="179"/>
        <v>0.82693877551020412</v>
      </c>
      <c r="AA486" s="265">
        <f t="shared" ca="1" si="180"/>
        <v>9.2810873734399397</v>
      </c>
      <c r="AB486" s="265">
        <f t="shared" ca="1" si="181"/>
        <v>1.0650112281952078</v>
      </c>
      <c r="AC486" s="258"/>
      <c r="AD486" s="258"/>
      <c r="AE486" s="258"/>
      <c r="AF486" s="258"/>
      <c r="AG486" s="258"/>
      <c r="AH486" s="258"/>
      <c r="AI486" s="258"/>
      <c r="AJ486" s="258"/>
      <c r="AK486" s="258"/>
      <c r="AL486" s="258"/>
      <c r="AM486" s="258"/>
    </row>
    <row r="487" spans="3:39" x14ac:dyDescent="0.25">
      <c r="C487" s="255" t="s">
        <v>6420</v>
      </c>
      <c r="D487" s="258">
        <v>10.205</v>
      </c>
      <c r="E487" s="258">
        <v>0.43079644737231004</v>
      </c>
      <c r="F487" s="258">
        <v>42.214252559756005</v>
      </c>
      <c r="G487" s="266">
        <f t="shared" si="160"/>
        <v>23.688681887342646</v>
      </c>
      <c r="H487" s="265">
        <f t="shared" si="161"/>
        <v>0.35758706467661688</v>
      </c>
      <c r="I487" s="265">
        <f t="shared" si="162"/>
        <v>0.2790178571428571</v>
      </c>
      <c r="J487" s="265">
        <f t="shared" si="163"/>
        <v>0.14172335600907029</v>
      </c>
      <c r="K487" s="258">
        <f t="shared" ca="1" si="164"/>
        <v>88.121896620914654</v>
      </c>
      <c r="L487" s="265">
        <f t="shared" si="165"/>
        <v>2.5249365671641786</v>
      </c>
      <c r="M487" s="265">
        <f t="shared" si="166"/>
        <v>1.500803571428571</v>
      </c>
      <c r="N487" s="265">
        <f t="shared" si="167"/>
        <v>0.82693877551020412</v>
      </c>
      <c r="O487" s="265">
        <f t="shared" ca="1" si="168"/>
        <v>92.974575535017607</v>
      </c>
      <c r="P487" s="265">
        <f t="shared" ca="1" si="169"/>
        <v>3.7999974213182361</v>
      </c>
      <c r="Q487" s="258">
        <f t="shared" ca="1" si="170"/>
        <v>53.773307884267808</v>
      </c>
      <c r="R487" s="265">
        <f t="shared" si="171"/>
        <v>2.5249365671641786</v>
      </c>
      <c r="S487" s="265">
        <f t="shared" si="172"/>
        <v>1.500803571428571</v>
      </c>
      <c r="T487" s="265">
        <f t="shared" si="173"/>
        <v>0.82693877551020412</v>
      </c>
      <c r="U487" s="265">
        <f t="shared" ca="1" si="174"/>
        <v>58.625986798370761</v>
      </c>
      <c r="V487" s="265">
        <f t="shared" ca="1" si="175"/>
        <v>2.3961238583137101</v>
      </c>
      <c r="W487" s="258">
        <f t="shared" ca="1" si="176"/>
        <v>13.218284493137197</v>
      </c>
      <c r="X487" s="265">
        <f t="shared" si="177"/>
        <v>2.5249365671641786</v>
      </c>
      <c r="Y487" s="265">
        <f t="shared" si="178"/>
        <v>1.500803571428571</v>
      </c>
      <c r="Z487" s="265">
        <f t="shared" si="179"/>
        <v>0.82693877551020412</v>
      </c>
      <c r="AA487" s="265">
        <f t="shared" ca="1" si="180"/>
        <v>18.07096340724015</v>
      </c>
      <c r="AB487" s="265">
        <f t="shared" ca="1" si="181"/>
        <v>0.73858486530422829</v>
      </c>
      <c r="AC487" s="258"/>
      <c r="AD487" s="258"/>
      <c r="AE487" s="258"/>
      <c r="AF487" s="258"/>
      <c r="AG487" s="258"/>
      <c r="AH487" s="258"/>
      <c r="AI487" s="258"/>
      <c r="AJ487" s="258"/>
      <c r="AK487" s="258"/>
      <c r="AL487" s="258"/>
      <c r="AM487" s="258"/>
    </row>
    <row r="488" spans="3:39" x14ac:dyDescent="0.25">
      <c r="C488" s="255" t="s">
        <v>6421</v>
      </c>
      <c r="D488" s="258">
        <v>8.7919999999999998</v>
      </c>
      <c r="E488" s="258">
        <v>0.44566370614359174</v>
      </c>
      <c r="F488" s="258">
        <v>50.689684502228367</v>
      </c>
      <c r="G488" s="266">
        <f t="shared" si="160"/>
        <v>19.727879741607765</v>
      </c>
      <c r="H488" s="265">
        <f t="shared" si="161"/>
        <v>0.35758706467661688</v>
      </c>
      <c r="I488" s="265">
        <f t="shared" si="162"/>
        <v>0.2790178571428571</v>
      </c>
      <c r="J488" s="265">
        <f t="shared" si="163"/>
        <v>0.14172335600907029</v>
      </c>
      <c r="K488" s="258">
        <f t="shared" ca="1" si="164"/>
        <v>73.387712638780897</v>
      </c>
      <c r="L488" s="265">
        <f t="shared" si="165"/>
        <v>2.5249365671641786</v>
      </c>
      <c r="M488" s="265">
        <f t="shared" si="166"/>
        <v>1.500803571428571</v>
      </c>
      <c r="N488" s="265">
        <f t="shared" si="167"/>
        <v>0.82693877551020412</v>
      </c>
      <c r="O488" s="265">
        <f t="shared" ca="1" si="168"/>
        <v>78.24039155288385</v>
      </c>
      <c r="P488" s="265">
        <f t="shared" ca="1" si="169"/>
        <v>3.8154490327380661</v>
      </c>
      <c r="Q488" s="258">
        <f t="shared" ca="1" si="170"/>
        <v>44.782287013449626</v>
      </c>
      <c r="R488" s="265">
        <f t="shared" si="171"/>
        <v>2.5249365671641786</v>
      </c>
      <c r="S488" s="265">
        <f t="shared" si="172"/>
        <v>1.500803571428571</v>
      </c>
      <c r="T488" s="265">
        <f t="shared" si="173"/>
        <v>0.82693877551020412</v>
      </c>
      <c r="U488" s="265">
        <f t="shared" ca="1" si="174"/>
        <v>49.634965927552578</v>
      </c>
      <c r="V488" s="265">
        <f t="shared" ca="1" si="175"/>
        <v>2.420484854172321</v>
      </c>
      <c r="W488" s="258">
        <f t="shared" ca="1" si="176"/>
        <v>11.008156895817134</v>
      </c>
      <c r="X488" s="265">
        <f t="shared" si="177"/>
        <v>2.5249365671641786</v>
      </c>
      <c r="Y488" s="265">
        <f t="shared" si="178"/>
        <v>1.500803571428571</v>
      </c>
      <c r="Z488" s="265">
        <f t="shared" si="179"/>
        <v>0.82693877551020412</v>
      </c>
      <c r="AA488" s="265">
        <f t="shared" ca="1" si="180"/>
        <v>15.860835809920088</v>
      </c>
      <c r="AB488" s="265">
        <f t="shared" ca="1" si="181"/>
        <v>0.77346507920366259</v>
      </c>
      <c r="AC488" s="258"/>
      <c r="AD488" s="258"/>
      <c r="AE488" s="258"/>
      <c r="AF488" s="258"/>
      <c r="AG488" s="258"/>
      <c r="AH488" s="258"/>
      <c r="AI488" s="258"/>
      <c r="AJ488" s="258"/>
      <c r="AK488" s="258"/>
      <c r="AL488" s="258"/>
      <c r="AM488" s="258"/>
    </row>
    <row r="489" spans="3:39" x14ac:dyDescent="0.25">
      <c r="C489" s="255" t="s">
        <v>6422</v>
      </c>
      <c r="D489" s="258">
        <v>7.3005000000000004</v>
      </c>
      <c r="E489" s="258">
        <v>0.46053096491487339</v>
      </c>
      <c r="F489" s="258">
        <v>63.082112857321192</v>
      </c>
      <c r="G489" s="266">
        <f t="shared" si="160"/>
        <v>15.852354252334493</v>
      </c>
      <c r="H489" s="265">
        <f t="shared" si="161"/>
        <v>0.35758706467661688</v>
      </c>
      <c r="I489" s="265">
        <f t="shared" si="162"/>
        <v>0.2790178571428571</v>
      </c>
      <c r="J489" s="265">
        <f t="shared" si="163"/>
        <v>0.14172335600907029</v>
      </c>
      <c r="K489" s="258">
        <f t="shared" ca="1" si="164"/>
        <v>58.970757818684319</v>
      </c>
      <c r="L489" s="265">
        <f t="shared" si="165"/>
        <v>2.5249365671641786</v>
      </c>
      <c r="M489" s="265">
        <f t="shared" si="166"/>
        <v>1.500803571428571</v>
      </c>
      <c r="N489" s="265">
        <f t="shared" si="167"/>
        <v>0.82693877551020412</v>
      </c>
      <c r="O489" s="265">
        <f t="shared" ca="1" si="168"/>
        <v>63.823436732787272</v>
      </c>
      <c r="P489" s="265">
        <f t="shared" ca="1" si="169"/>
        <v>3.8376919658607407</v>
      </c>
      <c r="Q489" s="258">
        <f t="shared" ca="1" si="170"/>
        <v>35.984844152799297</v>
      </c>
      <c r="R489" s="265">
        <f t="shared" si="171"/>
        <v>2.5249365671641786</v>
      </c>
      <c r="S489" s="265">
        <f t="shared" si="172"/>
        <v>1.500803571428571</v>
      </c>
      <c r="T489" s="265">
        <f t="shared" si="173"/>
        <v>0.82693877551020412</v>
      </c>
      <c r="U489" s="265">
        <f t="shared" ca="1" si="174"/>
        <v>40.83752306690225</v>
      </c>
      <c r="V489" s="265">
        <f t="shared" ca="1" si="175"/>
        <v>2.4555530413640754</v>
      </c>
      <c r="W489" s="258">
        <f t="shared" ca="1" si="176"/>
        <v>8.8456136728026475</v>
      </c>
      <c r="X489" s="265">
        <f t="shared" si="177"/>
        <v>2.5249365671641786</v>
      </c>
      <c r="Y489" s="265">
        <f t="shared" si="178"/>
        <v>1.500803571428571</v>
      </c>
      <c r="Z489" s="265">
        <f t="shared" si="179"/>
        <v>0.82693877551020412</v>
      </c>
      <c r="AA489" s="265">
        <f t="shared" ca="1" si="180"/>
        <v>13.698292586905602</v>
      </c>
      <c r="AB489" s="265">
        <f t="shared" ca="1" si="181"/>
        <v>0.82367591119973782</v>
      </c>
      <c r="AC489" s="258"/>
      <c r="AD489" s="258"/>
      <c r="AE489" s="258"/>
      <c r="AF489" s="258"/>
      <c r="AG489" s="258"/>
      <c r="AH489" s="258"/>
      <c r="AI489" s="258"/>
      <c r="AJ489" s="258"/>
      <c r="AK489" s="258"/>
      <c r="AL489" s="258"/>
      <c r="AM489" s="258"/>
    </row>
    <row r="490" spans="3:39" x14ac:dyDescent="0.25">
      <c r="C490" s="255" t="s">
        <v>6423</v>
      </c>
      <c r="D490" s="258">
        <v>5.7305000000000001</v>
      </c>
      <c r="E490" s="258">
        <v>0.48054866776461624</v>
      </c>
      <c r="F490" s="258">
        <v>83.85806958635655</v>
      </c>
      <c r="G490" s="266">
        <f t="shared" si="160"/>
        <v>11.924910803845846</v>
      </c>
      <c r="H490" s="265">
        <f t="shared" si="161"/>
        <v>0.35758706467661688</v>
      </c>
      <c r="I490" s="265">
        <f t="shared" si="162"/>
        <v>0.2790178571428571</v>
      </c>
      <c r="J490" s="265">
        <f t="shared" si="163"/>
        <v>0.14172335600907029</v>
      </c>
      <c r="K490" s="258">
        <f t="shared" ca="1" si="164"/>
        <v>44.360668190306548</v>
      </c>
      <c r="L490" s="265">
        <f t="shared" si="165"/>
        <v>2.5249365671641786</v>
      </c>
      <c r="M490" s="265">
        <f t="shared" si="166"/>
        <v>1.500803571428571</v>
      </c>
      <c r="N490" s="265">
        <f t="shared" si="167"/>
        <v>0.82693877551020412</v>
      </c>
      <c r="O490" s="265">
        <f t="shared" ca="1" si="168"/>
        <v>49.2133471044095</v>
      </c>
      <c r="P490" s="265">
        <f t="shared" ca="1" si="169"/>
        <v>3.8740786336458357</v>
      </c>
      <c r="Q490" s="258">
        <f t="shared" ca="1" si="170"/>
        <v>27.069547524730069</v>
      </c>
      <c r="R490" s="265">
        <f t="shared" si="171"/>
        <v>2.5249365671641786</v>
      </c>
      <c r="S490" s="265">
        <f t="shared" si="172"/>
        <v>1.500803571428571</v>
      </c>
      <c r="T490" s="265">
        <f t="shared" si="173"/>
        <v>0.82693877551020412</v>
      </c>
      <c r="U490" s="265">
        <f t="shared" ca="1" si="174"/>
        <v>31.922226438833022</v>
      </c>
      <c r="V490" s="265">
        <f t="shared" ca="1" si="175"/>
        <v>2.5129202271634656</v>
      </c>
      <c r="W490" s="258">
        <f t="shared" ca="1" si="176"/>
        <v>6.6541002285459827</v>
      </c>
      <c r="X490" s="265">
        <f t="shared" si="177"/>
        <v>2.5249365671641786</v>
      </c>
      <c r="Y490" s="265">
        <f t="shared" si="178"/>
        <v>1.500803571428571</v>
      </c>
      <c r="Z490" s="265">
        <f t="shared" si="179"/>
        <v>0.82693877551020412</v>
      </c>
      <c r="AA490" s="265">
        <f t="shared" ca="1" si="180"/>
        <v>11.506779142648936</v>
      </c>
      <c r="AB490" s="265">
        <f t="shared" ca="1" si="181"/>
        <v>0.90581457757876427</v>
      </c>
      <c r="AC490" s="258"/>
      <c r="AD490" s="258"/>
      <c r="AE490" s="258"/>
      <c r="AF490" s="258"/>
      <c r="AG490" s="258"/>
      <c r="AH490" s="258"/>
      <c r="AI490" s="258"/>
      <c r="AJ490" s="258"/>
      <c r="AK490" s="258"/>
      <c r="AL490" s="258"/>
      <c r="AM490" s="258"/>
    </row>
    <row r="491" spans="3:39" x14ac:dyDescent="0.25">
      <c r="C491" s="255" t="s">
        <v>6424</v>
      </c>
      <c r="D491" s="258">
        <v>4.7885</v>
      </c>
      <c r="E491" s="258">
        <v>0.48712388980384691</v>
      </c>
      <c r="F491" s="258">
        <v>101.727866723159</v>
      </c>
      <c r="G491" s="266">
        <f t="shared" si="160"/>
        <v>9.8301481414270491</v>
      </c>
      <c r="H491" s="265">
        <f t="shared" si="161"/>
        <v>0.35758706467661688</v>
      </c>
      <c r="I491" s="265">
        <f t="shared" si="162"/>
        <v>0.2790178571428571</v>
      </c>
      <c r="J491" s="265">
        <f t="shared" si="163"/>
        <v>0.14172335600907029</v>
      </c>
      <c r="K491" s="258">
        <f t="shared" ca="1" si="164"/>
        <v>36.568151086108621</v>
      </c>
      <c r="L491" s="265">
        <f t="shared" si="165"/>
        <v>2.5249365671641786</v>
      </c>
      <c r="M491" s="265">
        <f t="shared" si="166"/>
        <v>1.500803571428571</v>
      </c>
      <c r="N491" s="265">
        <f t="shared" si="167"/>
        <v>0.82693877551020412</v>
      </c>
      <c r="O491" s="265">
        <f t="shared" ca="1" si="168"/>
        <v>41.420830000211573</v>
      </c>
      <c r="P491" s="265">
        <f t="shared" ca="1" si="169"/>
        <v>3.9045031881324679</v>
      </c>
      <c r="Q491" s="258">
        <f t="shared" ca="1" si="170"/>
        <v>22.314436281039402</v>
      </c>
      <c r="R491" s="265">
        <f t="shared" si="171"/>
        <v>2.5249365671641786</v>
      </c>
      <c r="S491" s="265">
        <f t="shared" si="172"/>
        <v>1.500803571428571</v>
      </c>
      <c r="T491" s="265">
        <f t="shared" si="173"/>
        <v>0.82693877551020412</v>
      </c>
      <c r="U491" s="265">
        <f t="shared" ca="1" si="174"/>
        <v>27.167115195142355</v>
      </c>
      <c r="V491" s="265">
        <f t="shared" ca="1" si="175"/>
        <v>2.560887550810873</v>
      </c>
      <c r="W491" s="258">
        <f t="shared" ca="1" si="176"/>
        <v>5.4852226629162937</v>
      </c>
      <c r="X491" s="265">
        <f t="shared" si="177"/>
        <v>2.5249365671641786</v>
      </c>
      <c r="Y491" s="265">
        <f t="shared" si="178"/>
        <v>1.500803571428571</v>
      </c>
      <c r="Z491" s="265">
        <f t="shared" si="179"/>
        <v>0.82693877551020412</v>
      </c>
      <c r="AA491" s="265">
        <f t="shared" ca="1" si="180"/>
        <v>10.337901577019247</v>
      </c>
      <c r="AB491" s="265">
        <f t="shared" ca="1" si="181"/>
        <v>0.97449446729737532</v>
      </c>
      <c r="AC491" s="258"/>
      <c r="AD491" s="258"/>
      <c r="AE491" s="258"/>
      <c r="AF491" s="258"/>
      <c r="AG491" s="258"/>
      <c r="AH491" s="258"/>
      <c r="AI491" s="258"/>
      <c r="AJ491" s="258"/>
      <c r="AK491" s="258"/>
      <c r="AL491" s="258"/>
      <c r="AM491" s="258"/>
    </row>
    <row r="492" spans="3:39" x14ac:dyDescent="0.25">
      <c r="C492" s="255" t="s">
        <v>6425</v>
      </c>
      <c r="D492" s="258">
        <v>3.9249999999999998</v>
      </c>
      <c r="E492" s="258">
        <v>0.49369911184307758</v>
      </c>
      <c r="F492" s="258">
        <v>125.78321320842741</v>
      </c>
      <c r="G492" s="266">
        <f t="shared" si="160"/>
        <v>7.9501864715680561</v>
      </c>
      <c r="H492" s="265">
        <f t="shared" si="161"/>
        <v>0.35758706467661688</v>
      </c>
      <c r="I492" s="265">
        <f t="shared" si="162"/>
        <v>0.2790178571428571</v>
      </c>
      <c r="J492" s="265">
        <f t="shared" si="163"/>
        <v>0.14172335600907029</v>
      </c>
      <c r="K492" s="258">
        <f t="shared" ca="1" si="164"/>
        <v>29.574693674233171</v>
      </c>
      <c r="L492" s="265">
        <f t="shared" si="165"/>
        <v>2.5249365671641786</v>
      </c>
      <c r="M492" s="265">
        <f t="shared" si="166"/>
        <v>1.500803571428571</v>
      </c>
      <c r="N492" s="265">
        <f t="shared" si="167"/>
        <v>0.82693877551020412</v>
      </c>
      <c r="O492" s="265">
        <f t="shared" ca="1" si="168"/>
        <v>34.427372588336127</v>
      </c>
      <c r="P492" s="265">
        <f t="shared" ca="1" si="169"/>
        <v>3.9442417841725113</v>
      </c>
      <c r="Q492" s="258">
        <f t="shared" ca="1" si="170"/>
        <v>18.046923290459489</v>
      </c>
      <c r="R492" s="265">
        <f t="shared" si="171"/>
        <v>2.5249365671641786</v>
      </c>
      <c r="S492" s="265">
        <f t="shared" si="172"/>
        <v>1.500803571428571</v>
      </c>
      <c r="T492" s="265">
        <f t="shared" si="173"/>
        <v>0.82693877551020412</v>
      </c>
      <c r="U492" s="265">
        <f t="shared" ca="1" si="174"/>
        <v>22.899602204562441</v>
      </c>
      <c r="V492" s="265">
        <f t="shared" ca="1" si="175"/>
        <v>2.6235393835068543</v>
      </c>
      <c r="W492" s="258">
        <f t="shared" ca="1" si="176"/>
        <v>4.4362040511349754</v>
      </c>
      <c r="X492" s="265">
        <f t="shared" si="177"/>
        <v>2.5249365671641786</v>
      </c>
      <c r="Y492" s="265">
        <f t="shared" si="178"/>
        <v>1.500803571428571</v>
      </c>
      <c r="Z492" s="265">
        <f t="shared" si="179"/>
        <v>0.82693877551020412</v>
      </c>
      <c r="AA492" s="265">
        <f t="shared" ca="1" si="180"/>
        <v>9.2888829652379297</v>
      </c>
      <c r="AB492" s="265">
        <f t="shared" ca="1" si="181"/>
        <v>1.0641997214795411</v>
      </c>
      <c r="AC492" s="258"/>
      <c r="AD492" s="258"/>
      <c r="AE492" s="258"/>
      <c r="AF492" s="258"/>
      <c r="AG492" s="258"/>
      <c r="AH492" s="258"/>
      <c r="AI492" s="258"/>
      <c r="AJ492" s="258"/>
      <c r="AK492" s="258"/>
      <c r="AL492" s="258"/>
      <c r="AM492" s="258"/>
    </row>
    <row r="493" spans="3:39" x14ac:dyDescent="0.25">
      <c r="C493" s="255" t="s">
        <v>6426</v>
      </c>
      <c r="D493" s="258">
        <v>3.14</v>
      </c>
      <c r="E493" s="258">
        <v>0.498959289474462</v>
      </c>
      <c r="F493" s="258">
        <v>158.90423231670763</v>
      </c>
      <c r="G493" s="266">
        <f t="shared" si="160"/>
        <v>6.2930985878773047</v>
      </c>
      <c r="H493" s="265">
        <f t="shared" si="161"/>
        <v>0.35758706467661688</v>
      </c>
      <c r="I493" s="265">
        <f t="shared" si="162"/>
        <v>0.2790178571428571</v>
      </c>
      <c r="J493" s="265">
        <f t="shared" si="163"/>
        <v>0.14172335600907029</v>
      </c>
      <c r="K493" s="258">
        <f t="shared" ca="1" si="164"/>
        <v>23.410326746903575</v>
      </c>
      <c r="L493" s="265">
        <f t="shared" si="165"/>
        <v>2.5249365671641786</v>
      </c>
      <c r="M493" s="265">
        <f t="shared" si="166"/>
        <v>1.500803571428571</v>
      </c>
      <c r="N493" s="265">
        <f t="shared" si="167"/>
        <v>0.82693877551020412</v>
      </c>
      <c r="O493" s="265">
        <f t="shared" ca="1" si="168"/>
        <v>28.263005661006527</v>
      </c>
      <c r="P493" s="265">
        <f t="shared" ca="1" si="169"/>
        <v>3.9967896434131331</v>
      </c>
      <c r="Q493" s="258">
        <f t="shared" ca="1" si="170"/>
        <v>14.285333794481481</v>
      </c>
      <c r="R493" s="265">
        <f t="shared" si="171"/>
        <v>2.5249365671641786</v>
      </c>
      <c r="S493" s="265">
        <f t="shared" si="172"/>
        <v>1.500803571428571</v>
      </c>
      <c r="T493" s="265">
        <f t="shared" si="173"/>
        <v>0.82693877551020412</v>
      </c>
      <c r="U493" s="265">
        <f t="shared" ca="1" si="174"/>
        <v>19.138012708584434</v>
      </c>
      <c r="V493" s="265">
        <f t="shared" ca="1" si="175"/>
        <v>2.7063862883738015</v>
      </c>
      <c r="W493" s="258">
        <f t="shared" ca="1" si="176"/>
        <v>3.5115490120355362</v>
      </c>
      <c r="X493" s="265">
        <f t="shared" si="177"/>
        <v>2.5249365671641786</v>
      </c>
      <c r="Y493" s="265">
        <f t="shared" si="178"/>
        <v>1.500803571428571</v>
      </c>
      <c r="Z493" s="265">
        <f t="shared" si="179"/>
        <v>0.82693877551020412</v>
      </c>
      <c r="AA493" s="265">
        <f t="shared" ca="1" si="180"/>
        <v>8.36422792613849</v>
      </c>
      <c r="AB493" s="265">
        <f t="shared" ca="1" si="181"/>
        <v>1.1828203960790873</v>
      </c>
      <c r="AC493" s="258"/>
      <c r="AD493" s="258"/>
      <c r="AE493" s="258"/>
      <c r="AF493" s="258"/>
      <c r="AG493" s="258"/>
      <c r="AH493" s="258"/>
      <c r="AI493" s="258"/>
      <c r="AJ493" s="258"/>
      <c r="AK493" s="258"/>
      <c r="AL493" s="258"/>
      <c r="AM493" s="258"/>
    </row>
    <row r="494" spans="3:39" x14ac:dyDescent="0.25">
      <c r="C494" s="255" t="s">
        <v>6427</v>
      </c>
      <c r="D494" s="258">
        <v>6.4370000000000003</v>
      </c>
      <c r="E494" s="258">
        <v>0.32566370614359175</v>
      </c>
      <c r="F494" s="258">
        <v>50.59246638862696</v>
      </c>
      <c r="G494" s="266">
        <f t="shared" si="160"/>
        <v>19.765788691116217</v>
      </c>
      <c r="H494" s="265">
        <f t="shared" si="161"/>
        <v>0.35758706467661688</v>
      </c>
      <c r="I494" s="265">
        <f t="shared" si="162"/>
        <v>0.2790178571428571</v>
      </c>
      <c r="J494" s="265">
        <f t="shared" si="163"/>
        <v>0.14172335600907029</v>
      </c>
      <c r="K494" s="258">
        <f t="shared" ca="1" si="164"/>
        <v>73.528733930952328</v>
      </c>
      <c r="L494" s="265">
        <f t="shared" si="165"/>
        <v>2.5249365671641786</v>
      </c>
      <c r="M494" s="265">
        <f t="shared" si="166"/>
        <v>1.500803571428571</v>
      </c>
      <c r="N494" s="265">
        <f t="shared" si="167"/>
        <v>0.82693877551020412</v>
      </c>
      <c r="O494" s="265">
        <f t="shared" ca="1" si="168"/>
        <v>78.38141284505528</v>
      </c>
      <c r="P494" s="265">
        <f t="shared" ca="1" si="169"/>
        <v>3.815272905792908</v>
      </c>
      <c r="Q494" s="258">
        <f t="shared" ca="1" si="170"/>
        <v>44.868340328833817</v>
      </c>
      <c r="R494" s="265">
        <f t="shared" si="171"/>
        <v>2.5249365671641786</v>
      </c>
      <c r="S494" s="265">
        <f t="shared" si="172"/>
        <v>1.500803571428571</v>
      </c>
      <c r="T494" s="265">
        <f t="shared" si="173"/>
        <v>0.82693877551020412</v>
      </c>
      <c r="U494" s="265">
        <f t="shared" ca="1" si="174"/>
        <v>49.721019242936769</v>
      </c>
      <c r="V494" s="265">
        <f t="shared" ca="1" si="175"/>
        <v>2.4202071725982126</v>
      </c>
      <c r="W494" s="258">
        <f t="shared" ca="1" si="176"/>
        <v>11.02931008964285</v>
      </c>
      <c r="X494" s="265">
        <f t="shared" si="177"/>
        <v>2.5249365671641786</v>
      </c>
      <c r="Y494" s="265">
        <f t="shared" si="178"/>
        <v>1.500803571428571</v>
      </c>
      <c r="Z494" s="265">
        <f t="shared" si="179"/>
        <v>0.82693877551020412</v>
      </c>
      <c r="AA494" s="265">
        <f t="shared" ca="1" si="180"/>
        <v>15.881989003745804</v>
      </c>
      <c r="AB494" s="265">
        <f t="shared" ca="1" si="181"/>
        <v>0.77306749312971679</v>
      </c>
      <c r="AC494" s="258"/>
      <c r="AD494" s="258"/>
      <c r="AE494" s="258"/>
      <c r="AF494" s="258"/>
      <c r="AG494" s="258"/>
      <c r="AH494" s="258"/>
      <c r="AI494" s="258"/>
      <c r="AJ494" s="258"/>
      <c r="AK494" s="258"/>
      <c r="AL494" s="258"/>
      <c r="AM494" s="258"/>
    </row>
    <row r="495" spans="3:39" x14ac:dyDescent="0.25">
      <c r="C495" s="255" t="s">
        <v>6428</v>
      </c>
      <c r="D495" s="258">
        <v>5.4165000000000001</v>
      </c>
      <c r="E495" s="258">
        <v>0.34053096491487334</v>
      </c>
      <c r="F495" s="258">
        <v>62.869189497807326</v>
      </c>
      <c r="G495" s="266">
        <f t="shared" si="160"/>
        <v>15.906042498525878</v>
      </c>
      <c r="H495" s="265">
        <f t="shared" si="161"/>
        <v>0.35758706467661688</v>
      </c>
      <c r="I495" s="265">
        <f t="shared" si="162"/>
        <v>0.2790178571428571</v>
      </c>
      <c r="J495" s="265">
        <f t="shared" si="163"/>
        <v>0.14172335600907029</v>
      </c>
      <c r="K495" s="258">
        <f t="shared" ca="1" si="164"/>
        <v>59.17047809451627</v>
      </c>
      <c r="L495" s="265">
        <f t="shared" si="165"/>
        <v>2.5249365671641786</v>
      </c>
      <c r="M495" s="265">
        <f t="shared" si="166"/>
        <v>1.500803571428571</v>
      </c>
      <c r="N495" s="265">
        <f t="shared" si="167"/>
        <v>0.82693877551020412</v>
      </c>
      <c r="O495" s="265">
        <f t="shared" ca="1" si="168"/>
        <v>64.023157008619222</v>
      </c>
      <c r="P495" s="265">
        <f t="shared" ca="1" si="169"/>
        <v>3.8373132476386047</v>
      </c>
      <c r="Q495" s="258">
        <f t="shared" ca="1" si="170"/>
        <v>36.106716471653741</v>
      </c>
      <c r="R495" s="265">
        <f t="shared" si="171"/>
        <v>2.5249365671641786</v>
      </c>
      <c r="S495" s="265">
        <f t="shared" si="172"/>
        <v>1.500803571428571</v>
      </c>
      <c r="T495" s="265">
        <f t="shared" si="173"/>
        <v>0.82693877551020412</v>
      </c>
      <c r="U495" s="265">
        <f t="shared" ca="1" si="174"/>
        <v>40.959395385756693</v>
      </c>
      <c r="V495" s="265">
        <f t="shared" ca="1" si="175"/>
        <v>2.4549559545754964</v>
      </c>
      <c r="W495" s="258">
        <f t="shared" ca="1" si="176"/>
        <v>8.8755717141774397</v>
      </c>
      <c r="X495" s="265">
        <f t="shared" si="177"/>
        <v>2.5249365671641786</v>
      </c>
      <c r="Y495" s="265">
        <f t="shared" si="178"/>
        <v>1.500803571428571</v>
      </c>
      <c r="Z495" s="265">
        <f t="shared" si="179"/>
        <v>0.82693877551020412</v>
      </c>
      <c r="AA495" s="265">
        <f t="shared" ca="1" si="180"/>
        <v>13.728250628280394</v>
      </c>
      <c r="AB495" s="265">
        <f t="shared" ca="1" si="181"/>
        <v>0.82282099890374472</v>
      </c>
      <c r="AC495" s="258"/>
      <c r="AD495" s="258"/>
      <c r="AE495" s="258"/>
      <c r="AF495" s="258"/>
      <c r="AG495" s="258"/>
      <c r="AH495" s="258"/>
      <c r="AI495" s="258"/>
      <c r="AJ495" s="258"/>
      <c r="AK495" s="258"/>
      <c r="AL495" s="258"/>
      <c r="AM495" s="258"/>
    </row>
    <row r="496" spans="3:39" x14ac:dyDescent="0.25">
      <c r="C496" s="255" t="s">
        <v>6429</v>
      </c>
      <c r="D496" s="258">
        <v>4.3174999999999999</v>
      </c>
      <c r="E496" s="258">
        <v>0.36054866776461625</v>
      </c>
      <c r="F496" s="258">
        <v>83.508666534942961</v>
      </c>
      <c r="G496" s="266">
        <f t="shared" si="160"/>
        <v>11.974805029147062</v>
      </c>
      <c r="H496" s="265">
        <f t="shared" si="161"/>
        <v>0.35758706467661688</v>
      </c>
      <c r="I496" s="265">
        <f t="shared" si="162"/>
        <v>0.2790178571428571</v>
      </c>
      <c r="J496" s="265">
        <f t="shared" si="163"/>
        <v>0.14172335600907029</v>
      </c>
      <c r="K496" s="258">
        <f t="shared" ca="1" si="164"/>
        <v>44.54627470842707</v>
      </c>
      <c r="L496" s="265">
        <f t="shared" si="165"/>
        <v>2.5249365671641786</v>
      </c>
      <c r="M496" s="265">
        <f t="shared" si="166"/>
        <v>1.500803571428571</v>
      </c>
      <c r="N496" s="265">
        <f t="shared" si="167"/>
        <v>0.82693877551020412</v>
      </c>
      <c r="O496" s="265">
        <f t="shared" ca="1" si="168"/>
        <v>49.398953622530023</v>
      </c>
      <c r="P496" s="265">
        <f t="shared" ca="1" si="169"/>
        <v>3.8734758300934704</v>
      </c>
      <c r="Q496" s="258">
        <f t="shared" ca="1" si="170"/>
        <v>27.182807416163829</v>
      </c>
      <c r="R496" s="265">
        <f t="shared" si="171"/>
        <v>2.5249365671641786</v>
      </c>
      <c r="S496" s="265">
        <f t="shared" si="172"/>
        <v>1.500803571428571</v>
      </c>
      <c r="T496" s="265">
        <f t="shared" si="173"/>
        <v>0.82693877551020412</v>
      </c>
      <c r="U496" s="265">
        <f t="shared" ca="1" si="174"/>
        <v>32.035486330266785</v>
      </c>
      <c r="V496" s="265">
        <f t="shared" ca="1" si="175"/>
        <v>2.5119698476565184</v>
      </c>
      <c r="W496" s="258">
        <f t="shared" ca="1" si="176"/>
        <v>6.6819412062640611</v>
      </c>
      <c r="X496" s="265">
        <f t="shared" si="177"/>
        <v>2.5249365671641786</v>
      </c>
      <c r="Y496" s="265">
        <f t="shared" si="178"/>
        <v>1.500803571428571</v>
      </c>
      <c r="Z496" s="265">
        <f t="shared" si="179"/>
        <v>0.82693877551020412</v>
      </c>
      <c r="AA496" s="265">
        <f t="shared" ca="1" si="180"/>
        <v>11.534620120367014</v>
      </c>
      <c r="AB496" s="265">
        <f t="shared" ca="1" si="181"/>
        <v>0.90445381873785491</v>
      </c>
      <c r="AC496" s="258"/>
      <c r="AD496" s="258"/>
      <c r="AE496" s="258"/>
      <c r="AF496" s="258"/>
      <c r="AG496" s="258"/>
      <c r="AH496" s="258"/>
      <c r="AI496" s="258"/>
      <c r="AJ496" s="258"/>
      <c r="AK496" s="258"/>
      <c r="AL496" s="258"/>
      <c r="AM496" s="258"/>
    </row>
    <row r="497" spans="3:39" x14ac:dyDescent="0.25">
      <c r="C497" s="255" t="s">
        <v>6430</v>
      </c>
      <c r="D497" s="258">
        <v>3.6110000000000002</v>
      </c>
      <c r="E497" s="258">
        <v>0.36712388980384691</v>
      </c>
      <c r="F497" s="258">
        <v>101.66820542892465</v>
      </c>
      <c r="G497" s="266">
        <f t="shared" si="160"/>
        <v>9.8359167035665962</v>
      </c>
      <c r="H497" s="265">
        <f t="shared" si="161"/>
        <v>0.35758706467661688</v>
      </c>
      <c r="I497" s="265">
        <f t="shared" si="162"/>
        <v>0.2790178571428571</v>
      </c>
      <c r="J497" s="265">
        <f t="shared" si="163"/>
        <v>0.14172335600907029</v>
      </c>
      <c r="K497" s="258">
        <f t="shared" ca="1" si="164"/>
        <v>36.589610137267741</v>
      </c>
      <c r="L497" s="265">
        <f t="shared" si="165"/>
        <v>2.5249365671641786</v>
      </c>
      <c r="M497" s="265">
        <f t="shared" si="166"/>
        <v>1.500803571428571</v>
      </c>
      <c r="N497" s="265">
        <f t="shared" si="167"/>
        <v>0.82693877551020412</v>
      </c>
      <c r="O497" s="265">
        <f t="shared" ca="1" si="168"/>
        <v>41.442289051370693</v>
      </c>
      <c r="P497" s="265">
        <f t="shared" ca="1" si="169"/>
        <v>3.9044029155169833</v>
      </c>
      <c r="Q497" s="258">
        <f t="shared" ca="1" si="170"/>
        <v>22.327530917096173</v>
      </c>
      <c r="R497" s="265">
        <f t="shared" si="171"/>
        <v>2.5249365671641786</v>
      </c>
      <c r="S497" s="265">
        <f t="shared" si="172"/>
        <v>1.500803571428571</v>
      </c>
      <c r="T497" s="265">
        <f t="shared" si="173"/>
        <v>0.82693877551020412</v>
      </c>
      <c r="U497" s="265">
        <f t="shared" ca="1" si="174"/>
        <v>27.180209831199125</v>
      </c>
      <c r="V497" s="265">
        <f t="shared" ca="1" si="175"/>
        <v>2.5607294611007316</v>
      </c>
      <c r="W497" s="258">
        <f t="shared" ca="1" si="176"/>
        <v>5.4884415205901611</v>
      </c>
      <c r="X497" s="265">
        <f t="shared" si="177"/>
        <v>2.5249365671641786</v>
      </c>
      <c r="Y497" s="265">
        <f t="shared" si="178"/>
        <v>1.500803571428571</v>
      </c>
      <c r="Z497" s="265">
        <f t="shared" si="179"/>
        <v>0.82693877551020412</v>
      </c>
      <c r="AA497" s="265">
        <f t="shared" ca="1" si="180"/>
        <v>10.341120434693115</v>
      </c>
      <c r="AB497" s="265">
        <f t="shared" ca="1" si="181"/>
        <v>0.97426811354168263</v>
      </c>
      <c r="AC497" s="258"/>
      <c r="AD497" s="258"/>
      <c r="AE497" s="258"/>
      <c r="AF497" s="258"/>
      <c r="AG497" s="258"/>
      <c r="AH497" s="258"/>
      <c r="AI497" s="258"/>
      <c r="AJ497" s="258"/>
      <c r="AK497" s="258"/>
      <c r="AL497" s="258"/>
      <c r="AM497" s="258"/>
    </row>
    <row r="498" spans="3:39" x14ac:dyDescent="0.25">
      <c r="C498" s="255" t="s">
        <v>6431</v>
      </c>
      <c r="D498" s="258">
        <v>2.9830000000000001</v>
      </c>
      <c r="E498" s="258">
        <v>0.37369911184307752</v>
      </c>
      <c r="F498" s="258">
        <v>125.2762694747159</v>
      </c>
      <c r="G498" s="266">
        <f t="shared" si="160"/>
        <v>7.9823577457487014</v>
      </c>
      <c r="H498" s="265">
        <f t="shared" si="161"/>
        <v>0.35758706467661688</v>
      </c>
      <c r="I498" s="265">
        <f t="shared" si="162"/>
        <v>0.2790178571428571</v>
      </c>
      <c r="J498" s="265">
        <f t="shared" si="163"/>
        <v>0.14172335600907029</v>
      </c>
      <c r="K498" s="258">
        <f t="shared" ca="1" si="164"/>
        <v>29.69437081418517</v>
      </c>
      <c r="L498" s="265">
        <f t="shared" si="165"/>
        <v>2.5249365671641786</v>
      </c>
      <c r="M498" s="265">
        <f t="shared" si="166"/>
        <v>1.500803571428571</v>
      </c>
      <c r="N498" s="265">
        <f t="shared" si="167"/>
        <v>0.82693877551020412</v>
      </c>
      <c r="O498" s="265">
        <f t="shared" ca="1" si="168"/>
        <v>34.547049728288123</v>
      </c>
      <c r="P498" s="265">
        <f t="shared" ca="1" si="169"/>
        <v>3.9434183162497978</v>
      </c>
      <c r="Q498" s="258">
        <f t="shared" ca="1" si="170"/>
        <v>18.119952082849551</v>
      </c>
      <c r="R498" s="265">
        <f t="shared" si="171"/>
        <v>2.5249365671641786</v>
      </c>
      <c r="S498" s="265">
        <f t="shared" si="172"/>
        <v>1.500803571428571</v>
      </c>
      <c r="T498" s="265">
        <f t="shared" si="173"/>
        <v>0.82693877551020412</v>
      </c>
      <c r="U498" s="265">
        <f t="shared" ca="1" si="174"/>
        <v>22.972630996952503</v>
      </c>
      <c r="V498" s="265">
        <f t="shared" ca="1" si="175"/>
        <v>2.6222411047636314</v>
      </c>
      <c r="W498" s="258">
        <f t="shared" ca="1" si="176"/>
        <v>4.454155622127776</v>
      </c>
      <c r="X498" s="265">
        <f t="shared" si="177"/>
        <v>2.5249365671641786</v>
      </c>
      <c r="Y498" s="265">
        <f t="shared" si="178"/>
        <v>1.500803571428571</v>
      </c>
      <c r="Z498" s="265">
        <f t="shared" si="179"/>
        <v>0.82693877551020412</v>
      </c>
      <c r="AA498" s="265">
        <f t="shared" ca="1" si="180"/>
        <v>9.3068345362307294</v>
      </c>
      <c r="AB498" s="265">
        <f t="shared" ca="1" si="181"/>
        <v>1.0623408385123787</v>
      </c>
      <c r="AC498" s="258"/>
      <c r="AD498" s="258"/>
      <c r="AE498" s="258"/>
      <c r="AF498" s="258"/>
      <c r="AG498" s="258"/>
      <c r="AH498" s="258"/>
      <c r="AI498" s="258"/>
      <c r="AJ498" s="258"/>
      <c r="AK498" s="258"/>
      <c r="AL498" s="258"/>
      <c r="AM498" s="258"/>
    </row>
    <row r="499" spans="3:39" x14ac:dyDescent="0.25">
      <c r="C499" s="255" t="s">
        <v>6432</v>
      </c>
      <c r="D499" s="258">
        <v>2.4335</v>
      </c>
      <c r="E499" s="258">
        <v>0.378959289474462</v>
      </c>
      <c r="F499" s="258">
        <v>155.72602813826256</v>
      </c>
      <c r="G499" s="266">
        <f t="shared" si="160"/>
        <v>6.4215341003376913</v>
      </c>
      <c r="H499" s="265">
        <f t="shared" si="161"/>
        <v>0.35758706467661688</v>
      </c>
      <c r="I499" s="265">
        <f t="shared" si="162"/>
        <v>0.2790178571428571</v>
      </c>
      <c r="J499" s="265">
        <f t="shared" si="163"/>
        <v>0.14172335600907029</v>
      </c>
      <c r="K499" s="258">
        <f t="shared" ca="1" si="164"/>
        <v>23.888106853256215</v>
      </c>
      <c r="L499" s="265">
        <f t="shared" si="165"/>
        <v>2.5249365671641786</v>
      </c>
      <c r="M499" s="265">
        <f t="shared" si="166"/>
        <v>1.500803571428571</v>
      </c>
      <c r="N499" s="265">
        <f t="shared" si="167"/>
        <v>0.82693877551020412</v>
      </c>
      <c r="O499" s="265">
        <f t="shared" ca="1" si="168"/>
        <v>28.740785767359167</v>
      </c>
      <c r="P499" s="265">
        <f t="shared" ca="1" si="169"/>
        <v>3.9918521018563258</v>
      </c>
      <c r="Q499" s="258">
        <f t="shared" ca="1" si="170"/>
        <v>14.57688240776656</v>
      </c>
      <c r="R499" s="265">
        <f t="shared" si="171"/>
        <v>2.5249365671641786</v>
      </c>
      <c r="S499" s="265">
        <f t="shared" si="172"/>
        <v>1.500803571428571</v>
      </c>
      <c r="T499" s="265">
        <f t="shared" si="173"/>
        <v>0.82693877551020412</v>
      </c>
      <c r="U499" s="265">
        <f t="shared" ca="1" si="174"/>
        <v>19.42956132186951</v>
      </c>
      <c r="V499" s="265">
        <f t="shared" ca="1" si="175"/>
        <v>2.6986017650545859</v>
      </c>
      <c r="W499" s="258">
        <f t="shared" ca="1" si="176"/>
        <v>3.5832160279884322</v>
      </c>
      <c r="X499" s="265">
        <f t="shared" si="177"/>
        <v>2.5249365671641786</v>
      </c>
      <c r="Y499" s="265">
        <f t="shared" si="178"/>
        <v>1.500803571428571</v>
      </c>
      <c r="Z499" s="265">
        <f t="shared" si="179"/>
        <v>0.82693877551020412</v>
      </c>
      <c r="AA499" s="265">
        <f t="shared" ca="1" si="180"/>
        <v>8.4358949420913856</v>
      </c>
      <c r="AB499" s="265">
        <f t="shared" ca="1" si="181"/>
        <v>1.1716744708445332</v>
      </c>
      <c r="AC499" s="258"/>
      <c r="AD499" s="258"/>
      <c r="AE499" s="258"/>
      <c r="AF499" s="258"/>
      <c r="AG499" s="258"/>
      <c r="AH499" s="258"/>
      <c r="AI499" s="258"/>
      <c r="AJ499" s="258"/>
      <c r="AK499" s="258"/>
      <c r="AL499" s="258"/>
      <c r="AM499" s="258"/>
    </row>
    <row r="500" spans="3:39" x14ac:dyDescent="0.25">
      <c r="C500" s="255" t="s">
        <v>6433</v>
      </c>
      <c r="D500" s="258">
        <v>4.1604999999999999</v>
      </c>
      <c r="E500" s="258">
        <v>0.26053096491487338</v>
      </c>
      <c r="F500" s="258">
        <v>62.62010934139488</v>
      </c>
      <c r="G500" s="266">
        <f t="shared" si="160"/>
        <v>15.969310985200602</v>
      </c>
      <c r="H500" s="265">
        <f t="shared" si="161"/>
        <v>0.35758706467661688</v>
      </c>
      <c r="I500" s="265">
        <f t="shared" si="162"/>
        <v>0.2790178571428571</v>
      </c>
      <c r="J500" s="265">
        <f t="shared" si="163"/>
        <v>0.14172335600907029</v>
      </c>
      <c r="K500" s="258">
        <f t="shared" ca="1" si="164"/>
        <v>59.405836864946245</v>
      </c>
      <c r="L500" s="265">
        <f t="shared" si="165"/>
        <v>2.5249365671641786</v>
      </c>
      <c r="M500" s="265">
        <f t="shared" si="166"/>
        <v>1.500803571428571</v>
      </c>
      <c r="N500" s="265">
        <f t="shared" si="167"/>
        <v>0.82693877551020412</v>
      </c>
      <c r="O500" s="265">
        <f t="shared" ca="1" si="168"/>
        <v>64.258515779049191</v>
      </c>
      <c r="P500" s="265">
        <f t="shared" ca="1" si="169"/>
        <v>3.8368700668697557</v>
      </c>
      <c r="Q500" s="258">
        <f t="shared" ca="1" si="170"/>
        <v>36.250335936405364</v>
      </c>
      <c r="R500" s="265">
        <f t="shared" si="171"/>
        <v>2.5249365671641786</v>
      </c>
      <c r="S500" s="265">
        <f t="shared" si="172"/>
        <v>1.500803571428571</v>
      </c>
      <c r="T500" s="265">
        <f t="shared" si="173"/>
        <v>0.82693877551020412</v>
      </c>
      <c r="U500" s="265">
        <f t="shared" ca="1" si="174"/>
        <v>41.103014850508316</v>
      </c>
      <c r="V500" s="265">
        <f t="shared" ca="1" si="175"/>
        <v>2.454257236197122</v>
      </c>
      <c r="W500" s="258">
        <f t="shared" ca="1" si="176"/>
        <v>8.9108755297419364</v>
      </c>
      <c r="X500" s="265">
        <f t="shared" si="177"/>
        <v>2.5249365671641786</v>
      </c>
      <c r="Y500" s="265">
        <f t="shared" si="178"/>
        <v>1.500803571428571</v>
      </c>
      <c r="Z500" s="265">
        <f t="shared" si="179"/>
        <v>0.82693877551020412</v>
      </c>
      <c r="AA500" s="265">
        <f t="shared" ca="1" si="180"/>
        <v>13.763554443844891</v>
      </c>
      <c r="AB500" s="265">
        <f t="shared" ca="1" si="181"/>
        <v>0.82182056991329511</v>
      </c>
      <c r="AC500" s="258"/>
      <c r="AD500" s="258"/>
      <c r="AE500" s="258"/>
      <c r="AF500" s="258"/>
      <c r="AG500" s="258"/>
      <c r="AH500" s="258"/>
      <c r="AI500" s="258"/>
      <c r="AJ500" s="258"/>
      <c r="AK500" s="258"/>
      <c r="AL500" s="258"/>
      <c r="AM500" s="258"/>
    </row>
    <row r="501" spans="3:39" x14ac:dyDescent="0.25">
      <c r="C501" s="255" t="s">
        <v>6434</v>
      </c>
      <c r="D501" s="258">
        <v>3.3755000000000002</v>
      </c>
      <c r="E501" s="258">
        <v>0.28054866776461623</v>
      </c>
      <c r="F501" s="258">
        <v>83.113218120164774</v>
      </c>
      <c r="G501" s="266">
        <f t="shared" si="160"/>
        <v>12.03178053524776</v>
      </c>
      <c r="H501" s="265">
        <f t="shared" si="161"/>
        <v>0.35758706467661688</v>
      </c>
      <c r="I501" s="265">
        <f t="shared" si="162"/>
        <v>0.2790178571428571</v>
      </c>
      <c r="J501" s="265">
        <f t="shared" si="163"/>
        <v>0.14172335600907029</v>
      </c>
      <c r="K501" s="258">
        <f t="shared" ca="1" si="164"/>
        <v>44.75822359112167</v>
      </c>
      <c r="L501" s="265">
        <f t="shared" si="165"/>
        <v>2.5249365671641786</v>
      </c>
      <c r="M501" s="265">
        <f t="shared" si="166"/>
        <v>1.500803571428571</v>
      </c>
      <c r="N501" s="265">
        <f t="shared" si="167"/>
        <v>0.82693877551020412</v>
      </c>
      <c r="O501" s="265">
        <f t="shared" ca="1" si="168"/>
        <v>49.610902505224622</v>
      </c>
      <c r="P501" s="265">
        <f t="shared" ca="1" si="169"/>
        <v>3.8727932158220857</v>
      </c>
      <c r="Q501" s="258">
        <f t="shared" ca="1" si="170"/>
        <v>27.312141815012417</v>
      </c>
      <c r="R501" s="265">
        <f t="shared" si="171"/>
        <v>2.5249365671641786</v>
      </c>
      <c r="S501" s="265">
        <f t="shared" si="172"/>
        <v>1.500803571428571</v>
      </c>
      <c r="T501" s="265">
        <f t="shared" si="173"/>
        <v>0.82693877551020412</v>
      </c>
      <c r="U501" s="265">
        <f t="shared" ca="1" si="174"/>
        <v>32.16482072911537</v>
      </c>
      <c r="V501" s="265">
        <f t="shared" ca="1" si="175"/>
        <v>2.5108936386459231</v>
      </c>
      <c r="W501" s="258">
        <f t="shared" ca="1" si="176"/>
        <v>6.7137335386682508</v>
      </c>
      <c r="X501" s="265">
        <f t="shared" si="177"/>
        <v>2.5249365671641786</v>
      </c>
      <c r="Y501" s="265">
        <f t="shared" si="178"/>
        <v>1.500803571428571</v>
      </c>
      <c r="Z501" s="265">
        <f t="shared" si="179"/>
        <v>0.82693877551020412</v>
      </c>
      <c r="AA501" s="265">
        <f t="shared" ca="1" si="180"/>
        <v>11.566412452771205</v>
      </c>
      <c r="AB501" s="265">
        <f t="shared" ca="1" si="181"/>
        <v>0.90291289649034367</v>
      </c>
      <c r="AC501" s="258"/>
      <c r="AD501" s="258"/>
      <c r="AE501" s="258"/>
      <c r="AF501" s="258"/>
      <c r="AG501" s="258"/>
      <c r="AH501" s="258"/>
      <c r="AI501" s="258"/>
      <c r="AJ501" s="258"/>
      <c r="AK501" s="258"/>
      <c r="AL501" s="258"/>
      <c r="AM501" s="258"/>
    </row>
    <row r="502" spans="3:39" x14ac:dyDescent="0.25">
      <c r="C502" s="255" t="s">
        <v>6435</v>
      </c>
      <c r="D502" s="258">
        <v>2.8260000000000001</v>
      </c>
      <c r="E502" s="258">
        <v>0.2871238898038469</v>
      </c>
      <c r="F502" s="258">
        <v>101.60081026321546</v>
      </c>
      <c r="G502" s="266">
        <f t="shared" si="160"/>
        <v>9.8424411912593737</v>
      </c>
      <c r="H502" s="265">
        <f t="shared" si="161"/>
        <v>0.35758706467661688</v>
      </c>
      <c r="I502" s="265">
        <f t="shared" si="162"/>
        <v>0.2790178571428571</v>
      </c>
      <c r="J502" s="265">
        <f t="shared" si="163"/>
        <v>0.14172335600907029</v>
      </c>
      <c r="K502" s="258">
        <f t="shared" ca="1" si="164"/>
        <v>36.613881231484875</v>
      </c>
      <c r="L502" s="265">
        <f t="shared" si="165"/>
        <v>2.5249365671641786</v>
      </c>
      <c r="M502" s="265">
        <f t="shared" si="166"/>
        <v>1.500803571428571</v>
      </c>
      <c r="N502" s="265">
        <f t="shared" si="167"/>
        <v>0.82693877551020412</v>
      </c>
      <c r="O502" s="265">
        <f t="shared" ca="1" si="168"/>
        <v>41.466560145587827</v>
      </c>
      <c r="P502" s="265">
        <f t="shared" ca="1" si="169"/>
        <v>3.9042896342188342</v>
      </c>
      <c r="Q502" s="258">
        <f t="shared" ca="1" si="170"/>
        <v>22.342341504158778</v>
      </c>
      <c r="R502" s="265">
        <f t="shared" si="171"/>
        <v>2.5249365671641786</v>
      </c>
      <c r="S502" s="265">
        <f t="shared" si="172"/>
        <v>1.500803571428571</v>
      </c>
      <c r="T502" s="265">
        <f t="shared" si="173"/>
        <v>0.82693877551020412</v>
      </c>
      <c r="U502" s="265">
        <f t="shared" ca="1" si="174"/>
        <v>27.195020418261731</v>
      </c>
      <c r="V502" s="265">
        <f t="shared" ca="1" si="175"/>
        <v>2.5605508619138839</v>
      </c>
      <c r="W502" s="258">
        <f t="shared" ca="1" si="176"/>
        <v>5.4920821847227312</v>
      </c>
      <c r="X502" s="265">
        <f t="shared" si="177"/>
        <v>2.5249365671641786</v>
      </c>
      <c r="Y502" s="265">
        <f t="shared" si="178"/>
        <v>1.500803571428571</v>
      </c>
      <c r="Z502" s="265">
        <f t="shared" si="179"/>
        <v>0.82693877551020412</v>
      </c>
      <c r="AA502" s="265">
        <f t="shared" ca="1" si="180"/>
        <v>10.344761098825686</v>
      </c>
      <c r="AB502" s="265">
        <f t="shared" ca="1" si="181"/>
        <v>0.97401239419935026</v>
      </c>
      <c r="AC502" s="258"/>
      <c r="AD502" s="258"/>
      <c r="AE502" s="258"/>
      <c r="AF502" s="258"/>
      <c r="AG502" s="258"/>
      <c r="AH502" s="258"/>
      <c r="AI502" s="258"/>
      <c r="AJ502" s="258"/>
      <c r="AK502" s="258"/>
      <c r="AL502" s="258"/>
      <c r="AM502" s="258"/>
    </row>
    <row r="503" spans="3:39" x14ac:dyDescent="0.25">
      <c r="C503" s="255" t="s">
        <v>6436</v>
      </c>
      <c r="D503" s="258">
        <v>2.355</v>
      </c>
      <c r="E503" s="258">
        <v>0.29369911184307751</v>
      </c>
      <c r="F503" s="258">
        <v>124.71299865948092</v>
      </c>
      <c r="G503" s="266">
        <f t="shared" si="160"/>
        <v>8.0184103561684203</v>
      </c>
      <c r="H503" s="265">
        <f t="shared" si="161"/>
        <v>0.35758706467661688</v>
      </c>
      <c r="I503" s="265">
        <f t="shared" si="162"/>
        <v>0.2790178571428571</v>
      </c>
      <c r="J503" s="265">
        <f t="shared" si="163"/>
        <v>0.14172335600907029</v>
      </c>
      <c r="K503" s="258">
        <f t="shared" ca="1" si="164"/>
        <v>29.828486524946527</v>
      </c>
      <c r="L503" s="265">
        <f t="shared" si="165"/>
        <v>2.5249365671641786</v>
      </c>
      <c r="M503" s="265">
        <f t="shared" si="166"/>
        <v>1.500803571428571</v>
      </c>
      <c r="N503" s="265">
        <f t="shared" si="167"/>
        <v>0.82693877551020412</v>
      </c>
      <c r="O503" s="265">
        <f t="shared" ca="1" si="168"/>
        <v>34.681165439049479</v>
      </c>
      <c r="P503" s="265">
        <f t="shared" ca="1" si="169"/>
        <v>3.9425026571798276</v>
      </c>
      <c r="Q503" s="258">
        <f t="shared" ca="1" si="170"/>
        <v>18.201791508502314</v>
      </c>
      <c r="R503" s="265">
        <f t="shared" si="171"/>
        <v>2.5249365671641786</v>
      </c>
      <c r="S503" s="265">
        <f t="shared" si="172"/>
        <v>1.500803571428571</v>
      </c>
      <c r="T503" s="265">
        <f t="shared" si="173"/>
        <v>0.82693877551020412</v>
      </c>
      <c r="U503" s="265">
        <f t="shared" ca="1" si="174"/>
        <v>23.054470422605267</v>
      </c>
      <c r="V503" s="265">
        <f t="shared" ca="1" si="175"/>
        <v>2.6207974775453833</v>
      </c>
      <c r="W503" s="258">
        <f t="shared" ca="1" si="176"/>
        <v>4.474272978741979</v>
      </c>
      <c r="X503" s="265">
        <f t="shared" si="177"/>
        <v>2.5249365671641786</v>
      </c>
      <c r="Y503" s="265">
        <f t="shared" si="178"/>
        <v>1.500803571428571</v>
      </c>
      <c r="Z503" s="265">
        <f t="shared" si="179"/>
        <v>0.82693877551020412</v>
      </c>
      <c r="AA503" s="265">
        <f t="shared" ca="1" si="180"/>
        <v>9.3269518928449333</v>
      </c>
      <c r="AB503" s="265">
        <f t="shared" ca="1" si="181"/>
        <v>1.060273844763199</v>
      </c>
      <c r="AC503" s="258"/>
      <c r="AD503" s="258"/>
      <c r="AE503" s="258"/>
      <c r="AF503" s="258"/>
      <c r="AG503" s="258"/>
      <c r="AH503" s="258"/>
      <c r="AI503" s="258"/>
      <c r="AJ503" s="258"/>
      <c r="AK503" s="258"/>
      <c r="AL503" s="258"/>
      <c r="AM503" s="258"/>
    </row>
    <row r="504" spans="3:39" x14ac:dyDescent="0.25">
      <c r="C504" s="255" t="s">
        <v>6437</v>
      </c>
      <c r="D504" s="258">
        <v>1.8839999999999999</v>
      </c>
      <c r="E504" s="258">
        <v>0.29895928947446204</v>
      </c>
      <c r="F504" s="258">
        <v>158.68327466797348</v>
      </c>
      <c r="G504" s="266">
        <f t="shared" si="160"/>
        <v>6.3018613782226582</v>
      </c>
      <c r="H504" s="265">
        <f t="shared" si="161"/>
        <v>0.35758706467661688</v>
      </c>
      <c r="I504" s="265">
        <f t="shared" si="162"/>
        <v>0.2790178571428571</v>
      </c>
      <c r="J504" s="265">
        <f t="shared" si="163"/>
        <v>0.14172335600907029</v>
      </c>
      <c r="K504" s="258">
        <f t="shared" ca="1" si="164"/>
        <v>23.44292432698829</v>
      </c>
      <c r="L504" s="265">
        <f t="shared" si="165"/>
        <v>2.5249365671641786</v>
      </c>
      <c r="M504" s="265">
        <f t="shared" si="166"/>
        <v>1.500803571428571</v>
      </c>
      <c r="N504" s="265">
        <f t="shared" si="167"/>
        <v>0.82693877551020412</v>
      </c>
      <c r="O504" s="265">
        <f t="shared" ca="1" si="168"/>
        <v>28.295603241091243</v>
      </c>
      <c r="P504" s="265">
        <f t="shared" ca="1" si="169"/>
        <v>3.9964470749604759</v>
      </c>
      <c r="Q504" s="258">
        <f t="shared" ca="1" si="170"/>
        <v>14.305225328565434</v>
      </c>
      <c r="R504" s="265">
        <f t="shared" si="171"/>
        <v>2.5249365671641786</v>
      </c>
      <c r="S504" s="265">
        <f t="shared" si="172"/>
        <v>1.500803571428571</v>
      </c>
      <c r="T504" s="265">
        <f t="shared" si="173"/>
        <v>0.82693877551020412</v>
      </c>
      <c r="U504" s="265">
        <f t="shared" ca="1" si="174"/>
        <v>19.157904242668387</v>
      </c>
      <c r="V504" s="265">
        <f t="shared" ca="1" si="175"/>
        <v>2.7058461952773776</v>
      </c>
      <c r="W504" s="258">
        <f t="shared" ca="1" si="176"/>
        <v>3.5164386490482435</v>
      </c>
      <c r="X504" s="265">
        <f t="shared" si="177"/>
        <v>2.5249365671641786</v>
      </c>
      <c r="Y504" s="265">
        <f t="shared" si="178"/>
        <v>1.500803571428571</v>
      </c>
      <c r="Z504" s="265">
        <f t="shared" si="179"/>
        <v>0.82693877551020412</v>
      </c>
      <c r="AA504" s="265">
        <f t="shared" ca="1" si="180"/>
        <v>8.3691175631511978</v>
      </c>
      <c r="AB504" s="265">
        <f t="shared" ca="1" si="181"/>
        <v>1.1820470876791263</v>
      </c>
      <c r="AC504" s="258"/>
      <c r="AD504" s="258"/>
      <c r="AE504" s="258"/>
      <c r="AF504" s="258"/>
      <c r="AG504" s="258"/>
      <c r="AH504" s="258"/>
      <c r="AI504" s="258"/>
      <c r="AJ504" s="258"/>
      <c r="AK504" s="258"/>
      <c r="AL504" s="258"/>
      <c r="AM504" s="258"/>
    </row>
    <row r="505" spans="3:39" x14ac:dyDescent="0.25">
      <c r="C505" s="255" t="s">
        <v>6438</v>
      </c>
      <c r="D505" s="258">
        <v>2.9045000000000001</v>
      </c>
      <c r="E505" s="258">
        <v>0.24054866776461625</v>
      </c>
      <c r="F505" s="258">
        <v>82.819303757829658</v>
      </c>
      <c r="G505" s="266">
        <f t="shared" si="160"/>
        <v>12.074479675947059</v>
      </c>
      <c r="H505" s="265">
        <f t="shared" si="161"/>
        <v>0.35758706467661688</v>
      </c>
      <c r="I505" s="265">
        <f t="shared" si="162"/>
        <v>0.2790178571428571</v>
      </c>
      <c r="J505" s="265">
        <f t="shared" si="163"/>
        <v>0.14172335600907029</v>
      </c>
      <c r="K505" s="258">
        <f t="shared" ca="1" si="164"/>
        <v>44.917064394523059</v>
      </c>
      <c r="L505" s="265">
        <f t="shared" si="165"/>
        <v>2.5249365671641786</v>
      </c>
      <c r="M505" s="265">
        <f t="shared" si="166"/>
        <v>1.500803571428571</v>
      </c>
      <c r="N505" s="265">
        <f t="shared" si="167"/>
        <v>0.82693877551020412</v>
      </c>
      <c r="O505" s="265">
        <f t="shared" ca="1" si="168"/>
        <v>49.769743308626012</v>
      </c>
      <c r="P505" s="265">
        <f t="shared" ca="1" si="169"/>
        <v>3.8722856116437807</v>
      </c>
      <c r="Q505" s="258">
        <f t="shared" ca="1" si="170"/>
        <v>27.409068864399824</v>
      </c>
      <c r="R505" s="265">
        <f t="shared" si="171"/>
        <v>2.5249365671641786</v>
      </c>
      <c r="S505" s="265">
        <f t="shared" si="172"/>
        <v>1.500803571428571</v>
      </c>
      <c r="T505" s="265">
        <f t="shared" si="173"/>
        <v>0.82693877551020412</v>
      </c>
      <c r="U505" s="265">
        <f t="shared" ca="1" si="174"/>
        <v>32.26174777850278</v>
      </c>
      <c r="V505" s="265">
        <f t="shared" ca="1" si="175"/>
        <v>2.5100933503815144</v>
      </c>
      <c r="W505" s="258">
        <f t="shared" ca="1" si="176"/>
        <v>6.7375596591784594</v>
      </c>
      <c r="X505" s="265">
        <f t="shared" si="177"/>
        <v>2.5249365671641786</v>
      </c>
      <c r="Y505" s="265">
        <f t="shared" si="178"/>
        <v>1.500803571428571</v>
      </c>
      <c r="Z505" s="265">
        <f t="shared" si="179"/>
        <v>0.82693877551020412</v>
      </c>
      <c r="AA505" s="265">
        <f t="shared" ca="1" si="180"/>
        <v>11.590238573281413</v>
      </c>
      <c r="AB505" s="265">
        <f t="shared" ca="1" si="181"/>
        <v>0.90176703915323797</v>
      </c>
      <c r="AC505" s="258"/>
      <c r="AD505" s="258"/>
      <c r="AE505" s="258"/>
      <c r="AF505" s="258"/>
      <c r="AG505" s="258"/>
      <c r="AH505" s="258"/>
      <c r="AI505" s="258"/>
      <c r="AJ505" s="258"/>
      <c r="AK505" s="258"/>
      <c r="AL505" s="258"/>
      <c r="AM505" s="258"/>
    </row>
    <row r="506" spans="3:39" x14ac:dyDescent="0.25">
      <c r="C506" s="255" t="s">
        <v>6439</v>
      </c>
      <c r="D506" s="258">
        <v>2.4335</v>
      </c>
      <c r="E506" s="258">
        <v>0.24712388980384689</v>
      </c>
      <c r="F506" s="258">
        <v>101.55080739833446</v>
      </c>
      <c r="G506" s="266">
        <f t="shared" si="160"/>
        <v>9.8472875363510024</v>
      </c>
      <c r="H506" s="265">
        <f t="shared" si="161"/>
        <v>0.35758706467661688</v>
      </c>
      <c r="I506" s="265">
        <f t="shared" si="162"/>
        <v>0.2790178571428571</v>
      </c>
      <c r="J506" s="265">
        <f t="shared" si="163"/>
        <v>0.14172335600907029</v>
      </c>
      <c r="K506" s="258">
        <f t="shared" ca="1" si="164"/>
        <v>36.631909635225732</v>
      </c>
      <c r="L506" s="265">
        <f t="shared" si="165"/>
        <v>2.5249365671641786</v>
      </c>
      <c r="M506" s="265">
        <f t="shared" si="166"/>
        <v>1.500803571428571</v>
      </c>
      <c r="N506" s="265">
        <f t="shared" si="167"/>
        <v>0.82693877551020412</v>
      </c>
      <c r="O506" s="265">
        <f t="shared" ca="1" si="168"/>
        <v>41.484588549328684</v>
      </c>
      <c r="P506" s="265">
        <f t="shared" ca="1" si="169"/>
        <v>3.9042055796868564</v>
      </c>
      <c r="Q506" s="258">
        <f t="shared" ca="1" si="170"/>
        <v>22.353342707516777</v>
      </c>
      <c r="R506" s="265">
        <f t="shared" si="171"/>
        <v>2.5249365671641786</v>
      </c>
      <c r="S506" s="265">
        <f t="shared" si="172"/>
        <v>1.500803571428571</v>
      </c>
      <c r="T506" s="265">
        <f t="shared" si="173"/>
        <v>0.82693877551020412</v>
      </c>
      <c r="U506" s="265">
        <f t="shared" ca="1" si="174"/>
        <v>27.20602162161973</v>
      </c>
      <c r="V506" s="265">
        <f t="shared" ca="1" si="175"/>
        <v>2.560418341618766</v>
      </c>
      <c r="W506" s="258">
        <f t="shared" ca="1" si="176"/>
        <v>5.49478644528386</v>
      </c>
      <c r="X506" s="265">
        <f t="shared" si="177"/>
        <v>2.5249365671641786</v>
      </c>
      <c r="Y506" s="265">
        <f t="shared" si="178"/>
        <v>1.500803571428571</v>
      </c>
      <c r="Z506" s="265">
        <f t="shared" si="179"/>
        <v>0.82693877551020412</v>
      </c>
      <c r="AA506" s="265">
        <f t="shared" ca="1" si="180"/>
        <v>10.347465359386813</v>
      </c>
      <c r="AB506" s="265">
        <f t="shared" ca="1" si="181"/>
        <v>0.97382265087906239</v>
      </c>
      <c r="AC506" s="258"/>
      <c r="AD506" s="258"/>
      <c r="AE506" s="258"/>
      <c r="AF506" s="258"/>
      <c r="AG506" s="258"/>
      <c r="AH506" s="258"/>
      <c r="AI506" s="258"/>
      <c r="AJ506" s="258"/>
      <c r="AK506" s="258"/>
      <c r="AL506" s="258"/>
      <c r="AM506" s="258"/>
    </row>
    <row r="507" spans="3:39" x14ac:dyDescent="0.25">
      <c r="C507" s="255" t="s">
        <v>6440</v>
      </c>
      <c r="D507" s="258">
        <v>2.0409999999999999</v>
      </c>
      <c r="E507" s="258">
        <v>0.25369911184307753</v>
      </c>
      <c r="F507" s="258">
        <v>124.30137767911687</v>
      </c>
      <c r="G507" s="266">
        <f t="shared" si="160"/>
        <v>8.0449631264867634</v>
      </c>
      <c r="H507" s="265">
        <f t="shared" si="161"/>
        <v>0.35758706467661688</v>
      </c>
      <c r="I507" s="265">
        <f t="shared" si="162"/>
        <v>0.2790178571428571</v>
      </c>
      <c r="J507" s="265">
        <f t="shared" si="163"/>
        <v>0.14172335600907029</v>
      </c>
      <c r="K507" s="258">
        <f t="shared" ca="1" si="164"/>
        <v>29.927262830530761</v>
      </c>
      <c r="L507" s="265">
        <f t="shared" si="165"/>
        <v>2.5249365671641786</v>
      </c>
      <c r="M507" s="265">
        <f t="shared" si="166"/>
        <v>1.500803571428571</v>
      </c>
      <c r="N507" s="265">
        <f t="shared" si="167"/>
        <v>0.82693877551020412</v>
      </c>
      <c r="O507" s="265">
        <f t="shared" ca="1" si="168"/>
        <v>34.779941744633717</v>
      </c>
      <c r="P507" s="265">
        <f t="shared" ca="1" si="169"/>
        <v>3.9418330587634784</v>
      </c>
      <c r="Q507" s="258">
        <f t="shared" ca="1" si="170"/>
        <v>18.262066297124953</v>
      </c>
      <c r="R507" s="265">
        <f t="shared" si="171"/>
        <v>2.5249365671641786</v>
      </c>
      <c r="S507" s="265">
        <f t="shared" si="172"/>
        <v>1.500803571428571</v>
      </c>
      <c r="T507" s="265">
        <f t="shared" si="173"/>
        <v>0.82693877551020412</v>
      </c>
      <c r="U507" s="265">
        <f t="shared" ca="1" si="174"/>
        <v>23.114745211227905</v>
      </c>
      <c r="V507" s="265">
        <f t="shared" ca="1" si="175"/>
        <v>2.6197417893194497</v>
      </c>
      <c r="W507" s="258">
        <f t="shared" ca="1" si="176"/>
        <v>4.489089424579614</v>
      </c>
      <c r="X507" s="265">
        <f t="shared" si="177"/>
        <v>2.5249365671641786</v>
      </c>
      <c r="Y507" s="265">
        <f t="shared" si="178"/>
        <v>1.500803571428571</v>
      </c>
      <c r="Z507" s="265">
        <f t="shared" si="179"/>
        <v>0.82693877551020412</v>
      </c>
      <c r="AA507" s="265">
        <f t="shared" ca="1" si="180"/>
        <v>9.3417683386825683</v>
      </c>
      <c r="AB507" s="265">
        <f t="shared" ca="1" si="181"/>
        <v>1.0587623042931216</v>
      </c>
      <c r="AC507" s="258"/>
      <c r="AD507" s="258"/>
      <c r="AE507" s="258"/>
      <c r="AF507" s="258"/>
      <c r="AG507" s="258"/>
      <c r="AH507" s="258"/>
      <c r="AI507" s="258"/>
      <c r="AJ507" s="258"/>
      <c r="AK507" s="258"/>
      <c r="AL507" s="258"/>
      <c r="AM507" s="258"/>
    </row>
    <row r="508" spans="3:39" x14ac:dyDescent="0.25">
      <c r="C508" s="255" t="s">
        <v>6441</v>
      </c>
      <c r="D508" s="258">
        <v>1.6485000000000001</v>
      </c>
      <c r="E508" s="258">
        <v>0.25895928947446201</v>
      </c>
      <c r="F508" s="258">
        <v>157.08783104304641</v>
      </c>
      <c r="G508" s="266">
        <f t="shared" si="160"/>
        <v>6.36586547385693</v>
      </c>
      <c r="H508" s="265">
        <f t="shared" si="161"/>
        <v>0.35758706467661688</v>
      </c>
      <c r="I508" s="265">
        <f t="shared" si="162"/>
        <v>0.2790178571428571</v>
      </c>
      <c r="J508" s="265">
        <f t="shared" si="163"/>
        <v>0.14172335600907029</v>
      </c>
      <c r="K508" s="258">
        <f t="shared" ca="1" si="164"/>
        <v>23.681019562747782</v>
      </c>
      <c r="L508" s="265">
        <f t="shared" si="165"/>
        <v>2.5249365671641786</v>
      </c>
      <c r="M508" s="265">
        <f t="shared" si="166"/>
        <v>1.500803571428571</v>
      </c>
      <c r="N508" s="265">
        <f t="shared" si="167"/>
        <v>0.82693877551020412</v>
      </c>
      <c r="O508" s="265">
        <f t="shared" ca="1" si="168"/>
        <v>28.533698476850734</v>
      </c>
      <c r="P508" s="265">
        <f t="shared" ca="1" si="169"/>
        <v>3.9939704141029213</v>
      </c>
      <c r="Q508" s="258">
        <f t="shared" ca="1" si="170"/>
        <v>14.450514625655231</v>
      </c>
      <c r="R508" s="265">
        <f t="shared" si="171"/>
        <v>2.5249365671641786</v>
      </c>
      <c r="S508" s="265">
        <f t="shared" si="172"/>
        <v>1.500803571428571</v>
      </c>
      <c r="T508" s="265">
        <f t="shared" si="173"/>
        <v>0.82693877551020412</v>
      </c>
      <c r="U508" s="265">
        <f t="shared" ca="1" si="174"/>
        <v>19.303193539758183</v>
      </c>
      <c r="V508" s="265">
        <f t="shared" ca="1" si="175"/>
        <v>2.7019414941264901</v>
      </c>
      <c r="W508" s="258">
        <f t="shared" ca="1" si="176"/>
        <v>3.5521529344121672</v>
      </c>
      <c r="X508" s="265">
        <f t="shared" si="177"/>
        <v>2.5249365671641786</v>
      </c>
      <c r="Y508" s="265">
        <f t="shared" si="178"/>
        <v>1.500803571428571</v>
      </c>
      <c r="Z508" s="265">
        <f t="shared" si="179"/>
        <v>0.82693877551020412</v>
      </c>
      <c r="AA508" s="265">
        <f t="shared" ca="1" si="180"/>
        <v>8.404831848515121</v>
      </c>
      <c r="AB508" s="265">
        <f t="shared" ca="1" si="181"/>
        <v>1.1764563141267319</v>
      </c>
      <c r="AC508" s="258"/>
      <c r="AD508" s="258"/>
      <c r="AE508" s="258"/>
      <c r="AF508" s="258"/>
      <c r="AG508" s="258"/>
      <c r="AH508" s="258"/>
      <c r="AI508" s="258"/>
      <c r="AJ508" s="258"/>
      <c r="AK508" s="258"/>
      <c r="AL508" s="258"/>
      <c r="AM508" s="258"/>
    </row>
    <row r="509" spans="3:39" x14ac:dyDescent="0.25">
      <c r="C509" s="255" t="s">
        <v>6442</v>
      </c>
      <c r="D509" s="258">
        <v>1.7270000000000001</v>
      </c>
      <c r="E509" s="258">
        <v>0.21369911184307752</v>
      </c>
      <c r="F509" s="258">
        <v>123.74007634225683</v>
      </c>
      <c r="G509" s="266">
        <f t="shared" si="160"/>
        <v>8.0814561422611906</v>
      </c>
      <c r="H509" s="265">
        <f t="shared" si="161"/>
        <v>0.35758706467661688</v>
      </c>
      <c r="I509" s="265">
        <f t="shared" si="162"/>
        <v>0.2790178571428571</v>
      </c>
      <c r="J509" s="265">
        <f t="shared" si="163"/>
        <v>0.14172335600907029</v>
      </c>
      <c r="K509" s="258">
        <f t="shared" ca="1" si="164"/>
        <v>30.063016849211632</v>
      </c>
      <c r="L509" s="265">
        <f t="shared" si="165"/>
        <v>2.5249365671641786</v>
      </c>
      <c r="M509" s="265">
        <f t="shared" si="166"/>
        <v>1.500803571428571</v>
      </c>
      <c r="N509" s="265">
        <f t="shared" si="167"/>
        <v>0.82693877551020412</v>
      </c>
      <c r="O509" s="265">
        <f t="shared" ca="1" si="168"/>
        <v>34.915695763314588</v>
      </c>
      <c r="P509" s="265">
        <f t="shared" ca="1" si="169"/>
        <v>3.9409193393173951</v>
      </c>
      <c r="Q509" s="258">
        <f t="shared" ca="1" si="170"/>
        <v>18.344905442932902</v>
      </c>
      <c r="R509" s="265">
        <f t="shared" si="171"/>
        <v>2.5249365671641786</v>
      </c>
      <c r="S509" s="265">
        <f t="shared" si="172"/>
        <v>1.500803571428571</v>
      </c>
      <c r="T509" s="265">
        <f t="shared" si="173"/>
        <v>0.82693877551020412</v>
      </c>
      <c r="U509" s="265">
        <f t="shared" ca="1" si="174"/>
        <v>23.197584357035854</v>
      </c>
      <c r="V509" s="265">
        <f t="shared" ca="1" si="175"/>
        <v>2.6183012201103764</v>
      </c>
      <c r="W509" s="258">
        <f t="shared" ca="1" si="176"/>
        <v>4.509452527381745</v>
      </c>
      <c r="X509" s="265">
        <f t="shared" si="177"/>
        <v>2.5249365671641786</v>
      </c>
      <c r="Y509" s="265">
        <f t="shared" si="178"/>
        <v>1.500803571428571</v>
      </c>
      <c r="Z509" s="265">
        <f t="shared" si="179"/>
        <v>0.82693877551020412</v>
      </c>
      <c r="AA509" s="265">
        <f t="shared" ca="1" si="180"/>
        <v>9.3621314414846992</v>
      </c>
      <c r="AB509" s="265">
        <f t="shared" ca="1" si="181"/>
        <v>1.0566996890190559</v>
      </c>
      <c r="AC509" s="258"/>
      <c r="AD509" s="258"/>
      <c r="AE509" s="258"/>
      <c r="AF509" s="258"/>
      <c r="AG509" s="258"/>
      <c r="AH509" s="258"/>
      <c r="AI509" s="258"/>
      <c r="AJ509" s="258"/>
      <c r="AK509" s="258"/>
      <c r="AL509" s="258"/>
      <c r="AM509" s="258"/>
    </row>
    <row r="510" spans="3:39" x14ac:dyDescent="0.25">
      <c r="C510" s="255" t="s">
        <v>6443</v>
      </c>
      <c r="D510" s="258">
        <v>1.413</v>
      </c>
      <c r="E510" s="258">
        <v>0.21895928947446203</v>
      </c>
      <c r="F510" s="258">
        <v>154.96057287647702</v>
      </c>
      <c r="G510" s="266">
        <f t="shared" si="160"/>
        <v>6.453254408120479</v>
      </c>
      <c r="H510" s="265">
        <f t="shared" si="161"/>
        <v>0.35758706467661688</v>
      </c>
      <c r="I510" s="265">
        <f t="shared" si="162"/>
        <v>0.2790178571428571</v>
      </c>
      <c r="J510" s="265">
        <f t="shared" si="163"/>
        <v>0.14172335600907029</v>
      </c>
      <c r="K510" s="258">
        <f t="shared" ca="1" si="164"/>
        <v>24.006106398208182</v>
      </c>
      <c r="L510" s="265">
        <f t="shared" si="165"/>
        <v>2.5249365671641786</v>
      </c>
      <c r="M510" s="265">
        <f t="shared" si="166"/>
        <v>1.500803571428571</v>
      </c>
      <c r="N510" s="265">
        <f t="shared" si="167"/>
        <v>0.82693877551020412</v>
      </c>
      <c r="O510" s="265">
        <f t="shared" ca="1" si="168"/>
        <v>28.858785312311134</v>
      </c>
      <c r="P510" s="265">
        <f t="shared" ca="1" si="169"/>
        <v>3.9906596613192025</v>
      </c>
      <c r="Q510" s="258">
        <f t="shared" ca="1" si="170"/>
        <v>14.648887506433487</v>
      </c>
      <c r="R510" s="265">
        <f t="shared" si="171"/>
        <v>2.5249365671641786</v>
      </c>
      <c r="S510" s="265">
        <f t="shared" si="172"/>
        <v>1.500803571428571</v>
      </c>
      <c r="T510" s="265">
        <f t="shared" si="173"/>
        <v>0.82693877551020412</v>
      </c>
      <c r="U510" s="265">
        <f t="shared" ca="1" si="174"/>
        <v>19.501566420536438</v>
      </c>
      <c r="V510" s="265">
        <f t="shared" ca="1" si="175"/>
        <v>2.6967217644386499</v>
      </c>
      <c r="W510" s="258">
        <f t="shared" ca="1" si="176"/>
        <v>3.6009159597312275</v>
      </c>
      <c r="X510" s="265">
        <f t="shared" si="177"/>
        <v>2.5249365671641786</v>
      </c>
      <c r="Y510" s="265">
        <f t="shared" si="178"/>
        <v>1.500803571428571</v>
      </c>
      <c r="Z510" s="265">
        <f t="shared" si="179"/>
        <v>0.82693877551020412</v>
      </c>
      <c r="AA510" s="265">
        <f t="shared" ca="1" si="180"/>
        <v>8.4535948738341808</v>
      </c>
      <c r="AB510" s="265">
        <f t="shared" ca="1" si="181"/>
        <v>1.1689826751562324</v>
      </c>
      <c r="AC510" s="258"/>
      <c r="AD510" s="258"/>
      <c r="AE510" s="258"/>
      <c r="AF510" s="258"/>
      <c r="AG510" s="258"/>
      <c r="AH510" s="258"/>
      <c r="AI510" s="258"/>
      <c r="AJ510" s="258"/>
      <c r="AK510" s="258"/>
      <c r="AL510" s="258"/>
      <c r="AM510" s="258"/>
    </row>
    <row r="511" spans="3:39" x14ac:dyDescent="0.25">
      <c r="C511" s="255" t="s">
        <v>6444</v>
      </c>
      <c r="D511" s="258">
        <v>1.9624999999999999</v>
      </c>
      <c r="E511" s="258">
        <v>0.16054866776461629</v>
      </c>
      <c r="F511" s="258">
        <v>81.808238351396838</v>
      </c>
      <c r="G511" s="266">
        <f t="shared" si="160"/>
        <v>12.223707784839807</v>
      </c>
      <c r="H511" s="265">
        <f t="shared" si="161"/>
        <v>0.35758706467661688</v>
      </c>
      <c r="I511" s="265">
        <f t="shared" si="162"/>
        <v>0.2790178571428571</v>
      </c>
      <c r="J511" s="265">
        <f t="shared" si="163"/>
        <v>0.14172335600907029</v>
      </c>
      <c r="K511" s="258">
        <f t="shared" ca="1" si="164"/>
        <v>45.472192959604079</v>
      </c>
      <c r="L511" s="265">
        <f t="shared" si="165"/>
        <v>2.5249365671641786</v>
      </c>
      <c r="M511" s="265">
        <f t="shared" si="166"/>
        <v>1.500803571428571</v>
      </c>
      <c r="N511" s="265">
        <f t="shared" si="167"/>
        <v>0.82693877551020412</v>
      </c>
      <c r="O511" s="265">
        <f t="shared" ca="1" si="168"/>
        <v>50.324871873707032</v>
      </c>
      <c r="P511" s="265">
        <f t="shared" ca="1" si="169"/>
        <v>3.8705377858626764</v>
      </c>
      <c r="Q511" s="258">
        <f t="shared" ca="1" si="170"/>
        <v>27.74781667158636</v>
      </c>
      <c r="R511" s="265">
        <f t="shared" si="171"/>
        <v>2.5249365671641786</v>
      </c>
      <c r="S511" s="265">
        <f t="shared" si="172"/>
        <v>1.500803571428571</v>
      </c>
      <c r="T511" s="265">
        <f t="shared" si="173"/>
        <v>0.82693877551020412</v>
      </c>
      <c r="U511" s="265">
        <f t="shared" ca="1" si="174"/>
        <v>32.600495585689316</v>
      </c>
      <c r="V511" s="265">
        <f t="shared" ca="1" si="175"/>
        <v>2.5073377299184987</v>
      </c>
      <c r="W511" s="258">
        <f t="shared" ca="1" si="176"/>
        <v>6.8208289439406125</v>
      </c>
      <c r="X511" s="265">
        <f t="shared" si="177"/>
        <v>2.5249365671641786</v>
      </c>
      <c r="Y511" s="265">
        <f t="shared" si="178"/>
        <v>1.500803571428571</v>
      </c>
      <c r="Z511" s="265">
        <f t="shared" si="179"/>
        <v>0.82693877551020412</v>
      </c>
      <c r="AA511" s="265">
        <f t="shared" ca="1" si="180"/>
        <v>11.673507858043566</v>
      </c>
      <c r="AB511" s="265">
        <f t="shared" ca="1" si="181"/>
        <v>0.8978215259347514</v>
      </c>
      <c r="AC511" s="258"/>
      <c r="AD511" s="258"/>
      <c r="AE511" s="258"/>
      <c r="AF511" s="258"/>
      <c r="AG511" s="258"/>
      <c r="AH511" s="258"/>
      <c r="AI511" s="258"/>
      <c r="AJ511" s="258"/>
      <c r="AK511" s="258"/>
      <c r="AL511" s="258"/>
      <c r="AM511" s="258"/>
    </row>
    <row r="512" spans="3:39" x14ac:dyDescent="0.25">
      <c r="C512" s="255" t="s">
        <v>6445</v>
      </c>
      <c r="D512" s="258">
        <v>1.6485000000000001</v>
      </c>
      <c r="E512" s="258">
        <v>0.1671238898038469</v>
      </c>
      <c r="F512" s="258">
        <v>101.37936900445672</v>
      </c>
      <c r="G512" s="266">
        <f t="shared" si="160"/>
        <v>9.8639398708038826</v>
      </c>
      <c r="H512" s="265">
        <f t="shared" si="161"/>
        <v>0.35758706467661688</v>
      </c>
      <c r="I512" s="265">
        <f t="shared" si="162"/>
        <v>0.2790178571428571</v>
      </c>
      <c r="J512" s="265">
        <f t="shared" si="163"/>
        <v>0.14172335600907029</v>
      </c>
      <c r="K512" s="258">
        <f t="shared" ca="1" si="164"/>
        <v>36.693856319390449</v>
      </c>
      <c r="L512" s="265">
        <f t="shared" si="165"/>
        <v>2.5249365671641786</v>
      </c>
      <c r="M512" s="265">
        <f t="shared" si="166"/>
        <v>1.500803571428571</v>
      </c>
      <c r="N512" s="265">
        <f t="shared" si="167"/>
        <v>0.82693877551020412</v>
      </c>
      <c r="O512" s="265">
        <f t="shared" ca="1" si="168"/>
        <v>41.546535233493401</v>
      </c>
      <c r="P512" s="265">
        <f t="shared" ca="1" si="169"/>
        <v>3.9039173466825576</v>
      </c>
      <c r="Q512" s="258">
        <f t="shared" ca="1" si="170"/>
        <v>22.391143506724813</v>
      </c>
      <c r="R512" s="265">
        <f t="shared" si="171"/>
        <v>2.5249365671641786</v>
      </c>
      <c r="S512" s="265">
        <f t="shared" si="172"/>
        <v>1.500803571428571</v>
      </c>
      <c r="T512" s="265">
        <f t="shared" si="173"/>
        <v>0.82693877551020412</v>
      </c>
      <c r="U512" s="265">
        <f t="shared" ca="1" si="174"/>
        <v>27.243822420827765</v>
      </c>
      <c r="V512" s="265">
        <f t="shared" ca="1" si="175"/>
        <v>2.5599639137385108</v>
      </c>
      <c r="W512" s="258">
        <f t="shared" ca="1" si="176"/>
        <v>5.5040784479085669</v>
      </c>
      <c r="X512" s="265">
        <f t="shared" si="177"/>
        <v>2.5249365671641786</v>
      </c>
      <c r="Y512" s="265">
        <f t="shared" si="178"/>
        <v>1.500803571428571</v>
      </c>
      <c r="Z512" s="265">
        <f t="shared" si="179"/>
        <v>0.82693877551020412</v>
      </c>
      <c r="AA512" s="265">
        <f t="shared" ca="1" si="180"/>
        <v>10.356757362011521</v>
      </c>
      <c r="AB512" s="265">
        <f t="shared" ca="1" si="181"/>
        <v>0.9731719984280236</v>
      </c>
      <c r="AC512" s="258"/>
      <c r="AD512" s="258"/>
      <c r="AE512" s="258"/>
      <c r="AF512" s="258"/>
      <c r="AG512" s="258"/>
      <c r="AH512" s="258"/>
      <c r="AI512" s="258"/>
      <c r="AJ512" s="258"/>
      <c r="AK512" s="258"/>
      <c r="AL512" s="258"/>
      <c r="AM512" s="258"/>
    </row>
    <row r="513" spans="3:39" x14ac:dyDescent="0.25">
      <c r="C513" s="255" t="s">
        <v>6446</v>
      </c>
      <c r="D513" s="258">
        <v>1.413</v>
      </c>
      <c r="E513" s="258">
        <v>0.17369911184307751</v>
      </c>
      <c r="F513" s="258">
        <v>122.92930774457005</v>
      </c>
      <c r="G513" s="266">
        <f t="shared" si="160"/>
        <v>8.1347566202671562</v>
      </c>
      <c r="H513" s="265">
        <f t="shared" si="161"/>
        <v>0.35758706467661688</v>
      </c>
      <c r="I513" s="265">
        <f t="shared" si="162"/>
        <v>0.2790178571428571</v>
      </c>
      <c r="J513" s="265">
        <f t="shared" si="163"/>
        <v>0.14172335600907029</v>
      </c>
      <c r="K513" s="258">
        <f t="shared" ca="1" si="164"/>
        <v>30.261294627393823</v>
      </c>
      <c r="L513" s="265">
        <f t="shared" si="165"/>
        <v>2.5249365671641786</v>
      </c>
      <c r="M513" s="265">
        <f t="shared" si="166"/>
        <v>1.500803571428571</v>
      </c>
      <c r="N513" s="265">
        <f t="shared" si="167"/>
        <v>0.82693877551020412</v>
      </c>
      <c r="O513" s="265">
        <f t="shared" ca="1" si="168"/>
        <v>35.113973541496776</v>
      </c>
      <c r="P513" s="265">
        <f t="shared" ca="1" si="169"/>
        <v>3.9395982359596902</v>
      </c>
      <c r="Q513" s="258">
        <f t="shared" ca="1" si="170"/>
        <v>18.465897528006444</v>
      </c>
      <c r="R513" s="265">
        <f t="shared" si="171"/>
        <v>2.5249365671641786</v>
      </c>
      <c r="S513" s="265">
        <f t="shared" si="172"/>
        <v>1.500803571428571</v>
      </c>
      <c r="T513" s="265">
        <f t="shared" si="173"/>
        <v>0.82693877551020412</v>
      </c>
      <c r="U513" s="265">
        <f t="shared" ca="1" si="174"/>
        <v>23.318576442109396</v>
      </c>
      <c r="V513" s="265">
        <f t="shared" ca="1" si="175"/>
        <v>2.6162183698139643</v>
      </c>
      <c r="W513" s="258">
        <f t="shared" ca="1" si="176"/>
        <v>4.5391941941090739</v>
      </c>
      <c r="X513" s="265">
        <f t="shared" si="177"/>
        <v>2.5249365671641786</v>
      </c>
      <c r="Y513" s="265">
        <f t="shared" si="178"/>
        <v>1.500803571428571</v>
      </c>
      <c r="Z513" s="265">
        <f t="shared" si="179"/>
        <v>0.82693877551020412</v>
      </c>
      <c r="AA513" s="265">
        <f t="shared" ca="1" si="180"/>
        <v>9.3918731082120281</v>
      </c>
      <c r="AB513" s="265">
        <f t="shared" ca="1" si="181"/>
        <v>1.0537174519922525</v>
      </c>
      <c r="AC513" s="258"/>
      <c r="AD513" s="258"/>
      <c r="AE513" s="258"/>
      <c r="AF513" s="258"/>
      <c r="AG513" s="258"/>
      <c r="AH513" s="258"/>
      <c r="AI513" s="258"/>
      <c r="AJ513" s="258"/>
      <c r="AK513" s="258"/>
      <c r="AL513" s="258"/>
      <c r="AM513" s="258"/>
    </row>
    <row r="514" spans="3:39" x14ac:dyDescent="0.25">
      <c r="C514" s="255" t="s">
        <v>6447</v>
      </c>
      <c r="D514" s="258">
        <v>1.1775</v>
      </c>
      <c r="E514" s="258">
        <v>0.17895928947446202</v>
      </c>
      <c r="F514" s="258">
        <v>151.98241144327983</v>
      </c>
      <c r="G514" s="266">
        <f t="shared" si="160"/>
        <v>6.5797087340807332</v>
      </c>
      <c r="H514" s="265">
        <f t="shared" si="161"/>
        <v>0.35758706467661688</v>
      </c>
      <c r="I514" s="265">
        <f t="shared" si="162"/>
        <v>0.2790178571428571</v>
      </c>
      <c r="J514" s="265">
        <f t="shared" si="163"/>
        <v>0.14172335600907029</v>
      </c>
      <c r="K514" s="258">
        <f t="shared" ca="1" si="164"/>
        <v>24.47651649078033</v>
      </c>
      <c r="L514" s="265">
        <f t="shared" si="165"/>
        <v>2.5249365671641786</v>
      </c>
      <c r="M514" s="265">
        <f t="shared" si="166"/>
        <v>1.500803571428571</v>
      </c>
      <c r="N514" s="265">
        <f t="shared" si="167"/>
        <v>0.82693877551020412</v>
      </c>
      <c r="O514" s="265">
        <f t="shared" ca="1" si="168"/>
        <v>29.329195404883283</v>
      </c>
      <c r="P514" s="265">
        <f t="shared" ca="1" si="169"/>
        <v>3.9860081374166518</v>
      </c>
      <c r="Q514" s="258">
        <f t="shared" ca="1" si="170"/>
        <v>14.935938826363264</v>
      </c>
      <c r="R514" s="265">
        <f t="shared" si="171"/>
        <v>2.5249365671641786</v>
      </c>
      <c r="S514" s="265">
        <f t="shared" si="172"/>
        <v>1.500803571428571</v>
      </c>
      <c r="T514" s="265">
        <f t="shared" si="173"/>
        <v>0.82693877551020412</v>
      </c>
      <c r="U514" s="265">
        <f t="shared" ca="1" si="174"/>
        <v>19.788617740466215</v>
      </c>
      <c r="V514" s="265">
        <f t="shared" ca="1" si="175"/>
        <v>2.689388176280922</v>
      </c>
      <c r="W514" s="258">
        <f t="shared" ca="1" si="176"/>
        <v>3.6714774736170495</v>
      </c>
      <c r="X514" s="265">
        <f t="shared" si="177"/>
        <v>2.5249365671641786</v>
      </c>
      <c r="Y514" s="265">
        <f t="shared" si="178"/>
        <v>1.500803571428571</v>
      </c>
      <c r="Z514" s="265">
        <f t="shared" si="179"/>
        <v>0.82693877551020412</v>
      </c>
      <c r="AA514" s="265">
        <f t="shared" ca="1" si="180"/>
        <v>8.5241563877200033</v>
      </c>
      <c r="AB514" s="265">
        <f t="shared" ca="1" si="181"/>
        <v>1.1584824014779098</v>
      </c>
      <c r="AC514" s="258"/>
      <c r="AD514" s="258"/>
      <c r="AE514" s="258"/>
      <c r="AF514" s="258"/>
      <c r="AG514" s="258"/>
      <c r="AH514" s="258"/>
      <c r="AI514" s="258"/>
      <c r="AJ514" s="258"/>
      <c r="AK514" s="258"/>
      <c r="AL514" s="258"/>
      <c r="AM514" s="258"/>
    </row>
    <row r="515" spans="3:39" x14ac:dyDescent="0.25">
      <c r="C515" s="255" t="s">
        <v>6448</v>
      </c>
      <c r="D515" s="258">
        <v>0.94199999999999995</v>
      </c>
      <c r="E515" s="258">
        <v>0.13895928947446201</v>
      </c>
      <c r="F515" s="258">
        <v>147.51516929348409</v>
      </c>
      <c r="G515" s="266">
        <f t="shared" si="160"/>
        <v>6.7789638502226301</v>
      </c>
      <c r="H515" s="265">
        <f t="shared" si="161"/>
        <v>0.35758706467661688</v>
      </c>
      <c r="I515" s="265">
        <f t="shared" si="162"/>
        <v>0.2790178571428571</v>
      </c>
      <c r="J515" s="265">
        <f t="shared" si="163"/>
        <v>0.14172335600907029</v>
      </c>
      <c r="K515" s="258">
        <f t="shared" ca="1" si="164"/>
        <v>25.217745522828185</v>
      </c>
      <c r="L515" s="265">
        <f t="shared" si="165"/>
        <v>2.5249365671641786</v>
      </c>
      <c r="M515" s="265">
        <f t="shared" si="166"/>
        <v>1.500803571428571</v>
      </c>
      <c r="N515" s="265">
        <f t="shared" si="167"/>
        <v>0.82693877551020412</v>
      </c>
      <c r="O515" s="265">
        <f t="shared" ca="1" si="168"/>
        <v>30.070424436931138</v>
      </c>
      <c r="P515" s="265">
        <f t="shared" ca="1" si="169"/>
        <v>3.9789945826383595</v>
      </c>
      <c r="Q515" s="258">
        <f t="shared" ca="1" si="170"/>
        <v>15.388247940005371</v>
      </c>
      <c r="R515" s="265">
        <f t="shared" si="171"/>
        <v>2.5249365671641786</v>
      </c>
      <c r="S515" s="265">
        <f t="shared" si="172"/>
        <v>1.500803571428571</v>
      </c>
      <c r="T515" s="265">
        <f t="shared" si="173"/>
        <v>0.82693877551020412</v>
      </c>
      <c r="U515" s="265">
        <f t="shared" ca="1" si="174"/>
        <v>20.240926854108324</v>
      </c>
      <c r="V515" s="265">
        <f t="shared" ca="1" si="175"/>
        <v>2.6783306124925366</v>
      </c>
      <c r="W515" s="258">
        <f t="shared" ca="1" si="176"/>
        <v>3.7826618284242279</v>
      </c>
      <c r="X515" s="265">
        <f t="shared" si="177"/>
        <v>2.5249365671641786</v>
      </c>
      <c r="Y515" s="265">
        <f t="shared" si="178"/>
        <v>1.500803571428571</v>
      </c>
      <c r="Z515" s="265">
        <f t="shared" si="179"/>
        <v>0.82693877551020412</v>
      </c>
      <c r="AA515" s="265">
        <f t="shared" ca="1" si="180"/>
        <v>8.6353407425271822</v>
      </c>
      <c r="AB515" s="265">
        <f t="shared" ca="1" si="181"/>
        <v>1.1426501180858823</v>
      </c>
      <c r="AC515" s="258"/>
      <c r="AD515" s="258"/>
      <c r="AE515" s="258"/>
      <c r="AF515" s="258"/>
      <c r="AG515" s="258"/>
      <c r="AH515" s="258"/>
      <c r="AI515" s="258"/>
      <c r="AJ515" s="258"/>
      <c r="AK515" s="258"/>
      <c r="AL515" s="258"/>
      <c r="AM515" s="258"/>
    </row>
  </sheetData>
  <mergeCells count="3">
    <mergeCell ref="C29:C32"/>
    <mergeCell ref="E29:F31"/>
    <mergeCell ref="AD31:AE31"/>
  </mergeCells>
  <dataValidations count="1">
    <dataValidation type="list" allowBlank="1" showInputMessage="1" showErrorMessage="1" sqref="B6:B9 AE45:AE48" xr:uid="{75236093-F1C9-4D58-83A4-BB0AF7316DA3}">
      <formula1>"Tier 1,Tier 2,Tier 3,Tier 4"</formula1>
    </dataValidation>
  </dataValidations>
  <pageMargins left="0.7" right="0.7" top="0.75" bottom="0.75" header="0.3" footer="0.3"/>
  <pageSetup paperSize="9" orientation="portrait"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46736-AA99-47E8-96EE-4291EF80A5F4}">
  <sheetPr codeName="Sheet40">
    <tabColor rgb="FF00CCFF"/>
  </sheetPr>
  <dimension ref="A1:V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9" width="14.453125" style="132" customWidth="1"/>
    <col min="10" max="10" width="13.26953125" style="132" customWidth="1"/>
    <col min="11" max="11" width="16.26953125" style="132" customWidth="1"/>
    <col min="12" max="17" width="9.1796875" style="132"/>
    <col min="18" max="18" width="22.81640625" style="132" customWidth="1"/>
    <col min="19" max="19" width="43.54296875" style="132" customWidth="1"/>
    <col min="20" max="20" width="38.7265625" style="132" customWidth="1"/>
    <col min="21" max="21" width="41.453125" style="132" customWidth="1"/>
    <col min="22" max="22" width="36.7265625" style="132" customWidth="1"/>
    <col min="23" max="16384" width="9.1796875" style="132"/>
  </cols>
  <sheetData>
    <row r="1" spans="1:22" ht="13" x14ac:dyDescent="0.25">
      <c r="A1" s="202" t="str">
        <f>B16</f>
        <v>Surfaced timber</v>
      </c>
    </row>
    <row r="2" spans="1:22" ht="13" x14ac:dyDescent="0.25">
      <c r="A2" s="202"/>
      <c r="C2" s="202"/>
    </row>
    <row r="3" spans="1:22" ht="13" x14ac:dyDescent="0.3">
      <c r="A3" s="227" t="s">
        <v>5626</v>
      </c>
      <c r="B3" s="132" t="s">
        <v>6536</v>
      </c>
    </row>
    <row r="4" spans="1:22" ht="13" x14ac:dyDescent="0.25">
      <c r="A4" s="202"/>
    </row>
    <row r="5" spans="1:22" ht="92.25" customHeight="1" x14ac:dyDescent="0.3">
      <c r="A5" s="227" t="s">
        <v>5628</v>
      </c>
      <c r="B5" s="200" t="s">
        <v>6537</v>
      </c>
    </row>
    <row r="6" spans="1:22" ht="13" x14ac:dyDescent="0.3">
      <c r="A6" s="227" t="s">
        <v>5630</v>
      </c>
      <c r="B6" s="132" t="s">
        <v>72</v>
      </c>
      <c r="D6" s="271"/>
    </row>
    <row r="7" spans="1:22" ht="13" x14ac:dyDescent="0.3">
      <c r="A7" s="227" t="s">
        <v>5631</v>
      </c>
      <c r="B7" s="201" t="s">
        <v>71</v>
      </c>
      <c r="K7" s="202" t="s">
        <v>5700</v>
      </c>
    </row>
    <row r="8" spans="1:22" ht="13" x14ac:dyDescent="0.3">
      <c r="A8" s="227" t="s">
        <v>5632</v>
      </c>
      <c r="B8" s="201" t="s">
        <v>72</v>
      </c>
    </row>
    <row r="9" spans="1:22" ht="13" x14ac:dyDescent="0.3">
      <c r="A9" s="227" t="s">
        <v>5633</v>
      </c>
      <c r="B9" s="202" t="s">
        <v>72</v>
      </c>
      <c r="S9" s="132" t="s">
        <v>146</v>
      </c>
      <c r="T9" s="132" t="s">
        <v>153</v>
      </c>
      <c r="U9" s="132" t="s">
        <v>147</v>
      </c>
      <c r="V9" s="132" t="s">
        <v>154</v>
      </c>
    </row>
    <row r="10" spans="1:22" ht="13" x14ac:dyDescent="0.3">
      <c r="A10" s="227"/>
      <c r="B10" s="202"/>
      <c r="L10" s="132" t="s">
        <v>5825</v>
      </c>
      <c r="M10" s="240">
        <f>P12</f>
        <v>0.19736842105263158</v>
      </c>
      <c r="O10" s="132" t="s">
        <v>6538</v>
      </c>
      <c r="P10" s="132">
        <v>3800</v>
      </c>
      <c r="R10" s="132" t="s">
        <v>5827</v>
      </c>
      <c r="S10" s="132">
        <f>(SUMIF(_xlfn.ANCHORARRAY($B$23),"*"&amp;"New Zealand"&amp;"*",_xlfn.ANCHORARRAY(D$23))+SUMIF(_xlfn.ANCHORARRAY($B$23),"*"&amp;"Europe"&amp;"*",_xlfn.ANCHORARRAY(D$23)))/(COUNTIF(_xlfn.ANCHORARRAY($B$23),"*"&amp;"New Zealand"&amp;"*")+COUNTIF(_xlfn.ANCHORARRAY($B$23),"*"&amp;"Europe"&amp;"*"))</f>
        <v>214.25</v>
      </c>
      <c r="T10" s="132">
        <f t="shared" ref="T10:V10" si="0">(SUMIF(_xlfn.ANCHORARRAY($B$23),"*"&amp;"New Zealand"&amp;"*",_xlfn.ANCHORARRAY(E$23))+SUMIF(_xlfn.ANCHORARRAY($B$23),"*"&amp;"Europe"&amp;"*",_xlfn.ANCHORARRAY(E$23)))/(COUNTIF(_xlfn.ANCHORARRAY($B$23),"*"&amp;"New Zealand"&amp;"*")+COUNTIF(_xlfn.ANCHORARRAY($B$23),"*"&amp;"Europe"&amp;"*"))</f>
        <v>0.50754933309466854</v>
      </c>
      <c r="U10" s="132">
        <f t="shared" si="0"/>
        <v>704.05889583333328</v>
      </c>
      <c r="V10" s="132">
        <f t="shared" si="0"/>
        <v>1.6591666666666665</v>
      </c>
    </row>
    <row r="11" spans="1:22" ht="25.5" x14ac:dyDescent="0.3">
      <c r="A11" s="227" t="s">
        <v>5634</v>
      </c>
      <c r="B11" s="200" t="s">
        <v>5828</v>
      </c>
      <c r="L11" s="132" t="s">
        <v>5829</v>
      </c>
      <c r="M11" s="240">
        <f>1-M10</f>
        <v>0.80263157894736836</v>
      </c>
      <c r="O11" s="132" t="s">
        <v>5825</v>
      </c>
      <c r="P11" s="132">
        <v>750</v>
      </c>
      <c r="R11" s="132" t="s">
        <v>5689</v>
      </c>
      <c r="S11" s="132">
        <f>(SUMIF(_xlfn.ANCHORARRAY($B$23),"*"&amp;"Australia"&amp;"*",_xlfn.ANCHORARRAY(D$23))+SUMIF(_xlfn.ANCHORARRAY($B$23),"*"&amp;"FWPA"&amp;"*",_xlfn.ANCHORARRAY(D$23)))/(COUNTIF(_xlfn.ANCHORARRAY($B$23),"*"&amp;"Australia"&amp;"*")+COUNTIF(_xlfn.ANCHORARRAY($B$23),"*"&amp;"FWPA"&amp;"*"))</f>
        <v>190.13730380952387</v>
      </c>
      <c r="T11" s="132">
        <f t="shared" ref="T11:V11" si="1">(SUMIF(_xlfn.ANCHORARRAY($B$23),"*"&amp;"Australia"&amp;"*",_xlfn.ANCHORARRAY(E$23))+SUMIF(_xlfn.ANCHORARRAY($B$23),"*"&amp;"FWPA"&amp;"*",_xlfn.ANCHORARRAY(E$23)))/(COUNTIF(_xlfn.ANCHORARRAY($B$23),"*"&amp;"Australia"&amp;"*")+COUNTIF(_xlfn.ANCHORARRAY($B$23),"*"&amp;"FWPA"&amp;"*"))</f>
        <v>0.34951743928609524</v>
      </c>
      <c r="U11" s="132">
        <f t="shared" si="1"/>
        <v>883.10095238095244</v>
      </c>
      <c r="V11" s="132">
        <f t="shared" si="1"/>
        <v>1.6263265001199716</v>
      </c>
    </row>
    <row r="12" spans="1:22" x14ac:dyDescent="0.25">
      <c r="A12" s="228"/>
      <c r="P12" s="275">
        <f>P11/P10</f>
        <v>0.19736842105263158</v>
      </c>
      <c r="R12" s="132" t="s">
        <v>5830</v>
      </c>
      <c r="S12" s="132">
        <f>SUMPRODUCT(S10:S11,$M$10:$M$11)</f>
        <v>194.89638858395995</v>
      </c>
      <c r="T12" s="132">
        <f t="shared" ref="T12:V12" si="2">SUMPRODUCT(T10:T11,$M$10:$M$11)</f>
        <v>0.38070794464305047</v>
      </c>
      <c r="U12" s="132">
        <f t="shared" si="2"/>
        <v>847.76370437813284</v>
      </c>
      <c r="V12" s="132">
        <f t="shared" si="2"/>
        <v>1.6328081119383981</v>
      </c>
    </row>
    <row r="13" spans="1:22" x14ac:dyDescent="0.25">
      <c r="A13" s="228"/>
    </row>
    <row r="14" spans="1:22" ht="13" x14ac:dyDescent="0.3">
      <c r="A14" s="227" t="s">
        <v>5635</v>
      </c>
      <c r="L14" s="202" t="s">
        <v>5831</v>
      </c>
    </row>
    <row r="15" spans="1:22" ht="13" x14ac:dyDescent="0.3">
      <c r="A15" s="227"/>
      <c r="B15" s="135"/>
      <c r="C15" s="135"/>
      <c r="D15" s="299" t="s">
        <v>77</v>
      </c>
      <c r="E15" s="300"/>
      <c r="F15" s="299" t="s">
        <v>5424</v>
      </c>
      <c r="G15" s="301"/>
      <c r="H15" s="135"/>
      <c r="L15" s="243" t="s">
        <v>5835</v>
      </c>
    </row>
    <row r="16" spans="1:22" ht="39" x14ac:dyDescent="0.25">
      <c r="A16" s="133"/>
      <c r="B16" s="320" t="s">
        <v>5367</v>
      </c>
      <c r="C16" s="316" t="s">
        <v>24</v>
      </c>
      <c r="D16" s="314" t="s">
        <v>146</v>
      </c>
      <c r="E16" s="315" t="s">
        <v>153</v>
      </c>
      <c r="F16" s="314" t="s">
        <v>147</v>
      </c>
      <c r="G16" s="314" t="s">
        <v>154</v>
      </c>
      <c r="H16" s="314" t="s">
        <v>5840</v>
      </c>
      <c r="I16" s="131"/>
      <c r="L16" s="132" t="s">
        <v>5836</v>
      </c>
    </row>
    <row r="17" spans="1:10" ht="13" x14ac:dyDescent="0.3">
      <c r="A17" s="133"/>
      <c r="B17" s="211"/>
      <c r="C17" s="212" t="s">
        <v>5636</v>
      </c>
      <c r="D17" s="196" t="str" cm="1">
        <f t="array" ref="D17">IF(AND(_xlfn.ANCHORARRAY(C23)=C23),C23,"Mixed")</f>
        <v>m³</v>
      </c>
      <c r="E17" s="196" t="s">
        <v>2774</v>
      </c>
      <c r="F17" s="196" t="str" cm="1">
        <f t="array" ref="F17">IF(AND(_xlfn.ANCHORARRAY(C23)=C23),C23,"Mixed")</f>
        <v>m³</v>
      </c>
      <c r="G17" s="196" t="s">
        <v>2774</v>
      </c>
      <c r="H17" s="321"/>
      <c r="I17" s="131"/>
    </row>
    <row r="18" spans="1:10" s="200" customFormat="1" ht="13" x14ac:dyDescent="0.3">
      <c r="A18" s="221"/>
      <c r="B18" s="214"/>
      <c r="C18" s="202" t="s">
        <v>5637</v>
      </c>
      <c r="D18" s="198">
        <f>MAX(_xlfn.ANCHORARRAY(D23))</f>
        <v>332.10566666666671</v>
      </c>
      <c r="E18" s="198">
        <f t="shared" ref="E18" si="3">MAX(_xlfn.ANCHORARRAY(E23))</f>
        <v>0.69047619047619047</v>
      </c>
      <c r="F18" s="230">
        <f>VLOOKUP($D18,$D$23:$F$211,3,FALSE)</f>
        <v>888.94666666666672</v>
      </c>
      <c r="G18" s="230">
        <f>VLOOKUP($D18,$D$23:$G$211,4,FALSE)</f>
        <v>1.6133333333333335</v>
      </c>
      <c r="H18" s="322">
        <f>D18/E18</f>
        <v>480.98062068965521</v>
      </c>
      <c r="I18" s="131"/>
      <c r="J18" s="132"/>
    </row>
    <row r="19" spans="1:10" ht="13" x14ac:dyDescent="0.25">
      <c r="A19" s="133"/>
      <c r="B19" s="204"/>
      <c r="C19" s="202" t="s">
        <v>5638</v>
      </c>
      <c r="D19" s="198">
        <f>MIN(_xlfn.ANCHORARRAY(D23))</f>
        <v>31.572999999999979</v>
      </c>
      <c r="E19" s="198">
        <f t="shared" ref="E19:G19" si="4">MIN(_xlfn.ANCHORARRAY(E23))</f>
        <v>7.0162222222222237E-2</v>
      </c>
      <c r="F19" s="198">
        <f t="shared" si="4"/>
        <v>-717</v>
      </c>
      <c r="G19" s="198">
        <f t="shared" si="4"/>
        <v>-1.5933333333333333</v>
      </c>
      <c r="H19" s="322">
        <f>D19/E19</f>
        <v>449.9999999999996</v>
      </c>
      <c r="I19" s="131"/>
    </row>
    <row r="20" spans="1:10" ht="13" x14ac:dyDescent="0.25">
      <c r="A20" s="133"/>
      <c r="B20" s="204"/>
      <c r="C20" s="245" t="s">
        <v>5837</v>
      </c>
      <c r="D20" s="198">
        <f>S12</f>
        <v>194.89638858395995</v>
      </c>
      <c r="E20" s="198">
        <f t="shared" ref="E20:G20" si="5">T12</f>
        <v>0.38070794464305047</v>
      </c>
      <c r="F20" s="198">
        <f t="shared" si="5"/>
        <v>847.76370437813284</v>
      </c>
      <c r="G20" s="198">
        <f t="shared" si="5"/>
        <v>1.6328081119383981</v>
      </c>
      <c r="H20" s="322">
        <f>D20/E20</f>
        <v>511.93149847895518</v>
      </c>
      <c r="I20" s="131"/>
    </row>
    <row r="21" spans="1:10" ht="13" x14ac:dyDescent="0.25">
      <c r="A21" s="133"/>
      <c r="B21" s="204"/>
      <c r="C21" s="202" t="s">
        <v>5639</v>
      </c>
      <c r="D21" s="198">
        <f>AVERAGE(_xlfn.ANCHORARRAY(D23))</f>
        <v>190.98714370370374</v>
      </c>
      <c r="E21" s="198">
        <f t="shared" ref="E21:G21" si="6">AVERAGE(_xlfn.ANCHORARRAY(E23))</f>
        <v>0.37716767237057536</v>
      </c>
      <c r="F21" s="198">
        <f t="shared" si="6"/>
        <v>754.09456944444457</v>
      </c>
      <c r="G21" s="198">
        <f t="shared" si="6"/>
        <v>1.4554761667599776</v>
      </c>
      <c r="H21" s="322">
        <f>D21/E21</f>
        <v>506.37198703513155</v>
      </c>
      <c r="I21" s="131"/>
    </row>
    <row r="22" spans="1:10" ht="13" x14ac:dyDescent="0.25">
      <c r="A22" s="133"/>
      <c r="B22" s="197" t="s">
        <v>5640</v>
      </c>
      <c r="D22" s="132"/>
      <c r="E22" s="132"/>
      <c r="F22" s="132"/>
      <c r="G22" s="132"/>
      <c r="H22" s="216"/>
      <c r="I22" s="131"/>
    </row>
    <row r="23" spans="1:10" x14ac:dyDescent="0.25">
      <c r="A23" s="133"/>
      <c r="B23" s="204" t="str" cm="1">
        <f t="array" ref="B23:B40">_xlfn.UNIQUE(_xlfn._xlws.FILTER('EPD List'!D:D,ISNUMBER(SEARCH(B16,'EPD List'!C:C)),0))</f>
        <v>Softwood (Radiata pine), surfaced, kiln-dried, H2 LOSP treated, [majority from sustainable forest management practices] (FWPA)</v>
      </c>
      <c r="C23" s="132" t="str" cm="1">
        <f t="array" ref="C23:C40">_xlfn.IFNA(INDEX('EPD List'!$A:$AB,MATCH(_xlfn.ANCHORARRAY(B23),'EPD List'!$D:$D,0),MATCH(C$16,'EPD List'!$7:$7,0)),"")</f>
        <v>m³</v>
      </c>
      <c r="D23" s="198" cm="1">
        <f t="array" ref="D23:D40">_xlfn.IFNA(VALUE((INDEX('EPD List'!$A:$AD,MATCH(_xlfn.ANCHORARRAY($B23),'EPD List'!$D:$D,0),MATCH(D$16,'EPD List'!$7:$7,0)))),"")</f>
        <v>182.66316666666671</v>
      </c>
      <c r="E23" s="198" cm="1">
        <f t="array" ref="E23:E40">_xlfn.IFNA(VALUE((INDEX('EPD List'!$A:$AD,MATCH(_xlfn.ANCHORARRAY($B23),'EPD List'!$D:$D,0),MATCH(E$16,'EPD List'!$7:$7,0)))),"")</f>
        <v>0.33151209921355118</v>
      </c>
      <c r="F23" s="198" cm="1">
        <f t="array" ref="F23:F40">_xlfn.IFNA(VALUE((INDEX('EPD List'!$A:$AD,MATCH(_xlfn.ANCHORARRAY($B23),'EPD List'!$D:$D,0),MATCH(F$16,'EPD List'!$7:$7,0)))),"")</f>
        <v>888.94666666666672</v>
      </c>
      <c r="G23" s="198" cm="1">
        <f t="array" ref="G23:G40">_xlfn.IFNA(VALUE((INDEX('EPD List'!$A:$AD,MATCH(_xlfn.ANCHORARRAY($B23),'EPD List'!$D:$D,0),MATCH(G$16,'EPD List'!$7:$7,0)))),"")</f>
        <v>1.6133333333333335</v>
      </c>
      <c r="H23" s="322" cm="1">
        <f t="array" ref="H23:H40">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551</v>
      </c>
      <c r="I23" s="131"/>
    </row>
    <row r="24" spans="1:10" x14ac:dyDescent="0.25">
      <c r="A24" s="133"/>
      <c r="B24" s="204" t="str">
        <v>Softwood (Radiata pine), surfaced, kiln-dried, H3 copper azole  treated,  [majority from sustainable forest management practices] (FWPA)</v>
      </c>
      <c r="C24" s="132" t="str">
        <v>m³</v>
      </c>
      <c r="D24" s="198">
        <v>185.78316666666683</v>
      </c>
      <c r="E24" s="198">
        <v>0.33717453115547524</v>
      </c>
      <c r="F24" s="198">
        <v>888.94666666666672</v>
      </c>
      <c r="G24" s="198">
        <v>1.6133333333333335</v>
      </c>
      <c r="H24" s="216">
        <v>551</v>
      </c>
      <c r="I24" s="131"/>
    </row>
    <row r="25" spans="1:10" x14ac:dyDescent="0.25">
      <c r="A25" s="133"/>
      <c r="B25" s="204" t="str">
        <v>Maximum variaton, Softwood (Radiata pine),surfaced, dressed, kiln-dried, LOSP azole+permethrin), e.g. framing [majority from sustainable forest management practices] (FWPA)</v>
      </c>
      <c r="C25" s="132" t="str">
        <v>m³</v>
      </c>
      <c r="D25" s="198">
        <v>332.10566666666671</v>
      </c>
      <c r="E25" s="198">
        <v>0.60273260738052037</v>
      </c>
      <c r="F25" s="198">
        <v>888.94666666666672</v>
      </c>
      <c r="G25" s="198">
        <v>1.6133333333333335</v>
      </c>
      <c r="H25" s="216">
        <v>551</v>
      </c>
      <c r="I25" s="131"/>
    </row>
    <row r="26" spans="1:10" x14ac:dyDescent="0.25">
      <c r="A26" s="133"/>
      <c r="B26" s="204" t="str">
        <v>Softwood (Radiata pine), surfaced, kiln-dried, untreated  [majority from sustainable forest management practices] (FWPA)</v>
      </c>
      <c r="C26" s="132" t="str">
        <v>m³</v>
      </c>
      <c r="D26" s="198">
        <v>170.94666666666672</v>
      </c>
      <c r="E26" s="198">
        <v>0.3102480338777982</v>
      </c>
      <c r="F26" s="198">
        <v>888.94666666666672</v>
      </c>
      <c r="G26" s="198">
        <v>1.6133333333333335</v>
      </c>
      <c r="H26" s="216">
        <v>551</v>
      </c>
      <c r="I26" s="131"/>
    </row>
    <row r="27" spans="1:10" x14ac:dyDescent="0.25">
      <c r="A27" s="133"/>
      <c r="B27" s="204" t="str">
        <v>Softwood, , Min variaton, Softwood (Radiata pine),surfaced, dressed, kiln-dried, LOSP azole+permethrin), e.g. framing [majority from sustainable forest management practices] (FWPA) (FWPA) (Australia)</v>
      </c>
      <c r="C27" s="132" t="str">
        <v>m³</v>
      </c>
      <c r="D27" s="198">
        <v>112.72666666666669</v>
      </c>
      <c r="E27" s="198">
        <v>0.20458560193587449</v>
      </c>
      <c r="F27" s="198">
        <v>888.94666666666672</v>
      </c>
      <c r="G27" s="198">
        <v>1.6133333333333335</v>
      </c>
      <c r="H27" s="216">
        <v>551</v>
      </c>
      <c r="I27" s="131"/>
    </row>
    <row r="28" spans="1:10" x14ac:dyDescent="0.25">
      <c r="A28" s="133"/>
      <c r="B28" s="204" t="str">
        <v>Softwood (Radiata pine), surfaced, kiln-dried, untreated,  [from sustainable forest management practices] (Timberlink, Australia)</v>
      </c>
      <c r="C28" s="132" t="str">
        <v>m³</v>
      </c>
      <c r="D28" s="198">
        <v>154.34325333333334</v>
      </c>
      <c r="E28" s="198">
        <v>0.31370579945799482</v>
      </c>
      <c r="F28" s="198">
        <v>865.33333333333337</v>
      </c>
      <c r="G28" s="198">
        <v>1.7588075880758809</v>
      </c>
      <c r="H28" s="216">
        <v>492</v>
      </c>
      <c r="I28" s="131"/>
    </row>
    <row r="29" spans="1:10" x14ac:dyDescent="0.25">
      <c r="A29" s="133"/>
      <c r="B29" s="204" t="str">
        <v>Softwood (Radiata pine), surfaced, kiln-dried, H3, treated, eg outdoor use, not in contact with ground, non structural [from sustainable forest management practices] (Timberlink, Australia)</v>
      </c>
      <c r="C29" s="132" t="str">
        <v>m³</v>
      </c>
      <c r="D29" s="198">
        <v>160.34343333333334</v>
      </c>
      <c r="E29" s="198">
        <v>0.30368074494949515</v>
      </c>
      <c r="F29" s="198">
        <v>865.33333333333337</v>
      </c>
      <c r="G29" s="198">
        <v>1.6388888888888891</v>
      </c>
      <c r="H29" s="216">
        <v>528</v>
      </c>
      <c r="I29" s="131"/>
    </row>
    <row r="30" spans="1:10" x14ac:dyDescent="0.25">
      <c r="A30" s="133"/>
      <c r="B30" s="204" t="str">
        <v>Softwood (Radiata pine), surfaced, kiln-dried, H2F treated, eg framing [from sustainable forest management practices] (Timberlink, Australia)</v>
      </c>
      <c r="C30" s="132" t="str">
        <v>m³</v>
      </c>
      <c r="D30" s="198">
        <v>184.35193333333336</v>
      </c>
      <c r="E30" s="198">
        <v>0.35047896070975915</v>
      </c>
      <c r="F30" s="198">
        <v>854.33333333333337</v>
      </c>
      <c r="G30" s="198">
        <v>1.6242078580481623</v>
      </c>
      <c r="H30" s="216">
        <v>526</v>
      </c>
      <c r="I30" s="131"/>
    </row>
    <row r="31" spans="1:10" x14ac:dyDescent="0.25">
      <c r="A31" s="133"/>
      <c r="B31" s="204" t="str">
        <v>Softwood (Radiata pine), surfaced, kiln-dried, H3 Copper+DDAX treated,  [majority from sustainable forest management practices] (FWPA)</v>
      </c>
      <c r="C31" s="132" t="str">
        <v>m³</v>
      </c>
      <c r="D31" s="198">
        <v>188.39966666666669</v>
      </c>
      <c r="E31" s="198">
        <v>0.34192316999395067</v>
      </c>
      <c r="F31" s="198">
        <v>888.94666666666672</v>
      </c>
      <c r="G31" s="198">
        <v>1.6133333333333335</v>
      </c>
      <c r="H31" s="216">
        <v>551</v>
      </c>
      <c r="I31" s="131"/>
    </row>
    <row r="32" spans="1:10" x14ac:dyDescent="0.25">
      <c r="A32" s="133"/>
      <c r="B32" s="204" t="str">
        <v>Softwood (Radiata pine), surfaced, kiln-dried, H4 CCA treated, e.g. framing [majority from sustainable forest management practices] (FWPA)</v>
      </c>
      <c r="C32" s="132" t="str">
        <v>m³</v>
      </c>
      <c r="D32" s="198">
        <v>195.70366666666678</v>
      </c>
      <c r="E32" s="198">
        <v>0.35517906836055668</v>
      </c>
      <c r="F32" s="198">
        <v>888.94666666666672</v>
      </c>
      <c r="G32" s="198">
        <v>1.6133333333333335</v>
      </c>
      <c r="H32" s="216">
        <v>551</v>
      </c>
      <c r="I32" s="131"/>
    </row>
    <row r="33" spans="1:9" x14ac:dyDescent="0.25">
      <c r="A33" s="133"/>
      <c r="B33" s="204" t="str">
        <v>Softwood (Radiata pine), surfaced, kiln-dried, H4 Copper Azole treated, e.g. framing [majority from sustainable forest management practices] (FWPA)</v>
      </c>
      <c r="C33" s="132" t="str">
        <v>m³</v>
      </c>
      <c r="D33" s="198">
        <v>189.80876666666677</v>
      </c>
      <c r="E33" s="198">
        <v>0.34448052026618292</v>
      </c>
      <c r="F33" s="198">
        <v>888.94666666666672</v>
      </c>
      <c r="G33" s="198">
        <v>1.6133333333333335</v>
      </c>
      <c r="H33" s="216">
        <v>551</v>
      </c>
      <c r="I33" s="131"/>
    </row>
    <row r="34" spans="1:9" x14ac:dyDescent="0.25">
      <c r="A34" s="133"/>
      <c r="B34" s="204" t="str">
        <v>Softwood (Radiata pine), surfaced, kiln-dried, H3 LOSP treated, e.g. framing [majority from sustainable forest management practices] (FWPA)</v>
      </c>
      <c r="C34" s="132" t="str">
        <v>m³</v>
      </c>
      <c r="D34" s="198">
        <v>230.3896666666667</v>
      </c>
      <c r="E34" s="198">
        <v>0.41813006654567464</v>
      </c>
      <c r="F34" s="198">
        <v>888.94666666666672</v>
      </c>
      <c r="G34" s="198">
        <v>1.6133333333333335</v>
      </c>
      <c r="H34" s="216">
        <v>551</v>
      </c>
      <c r="I34" s="131"/>
    </row>
    <row r="35" spans="1:9" x14ac:dyDescent="0.25">
      <c r="A35" s="133"/>
      <c r="B35" s="204" t="str">
        <v>sawn softwood (Abodo Wood Ltd) (New Zealand)</v>
      </c>
      <c r="C35" s="132" t="str">
        <v>m³</v>
      </c>
      <c r="D35" s="198">
        <v>224</v>
      </c>
      <c r="E35" s="198">
        <v>0.53333333333333344</v>
      </c>
      <c r="F35" s="198">
        <v>716.09999999999991</v>
      </c>
      <c r="G35" s="198">
        <v>1.7049999999999998</v>
      </c>
      <c r="H35" s="216">
        <v>420</v>
      </c>
      <c r="I35" s="131"/>
    </row>
    <row r="36" spans="1:9" x14ac:dyDescent="0.25">
      <c r="A36" s="133"/>
      <c r="B36" s="204" t="str">
        <v>Thermally Modified Timber, surfaced softwood (Abodo Wood Ltd) (New Zealand)</v>
      </c>
      <c r="C36" s="132" t="str">
        <v>m³</v>
      </c>
      <c r="D36" s="198">
        <v>243</v>
      </c>
      <c r="E36" s="198">
        <v>0.57857142857142851</v>
      </c>
      <c r="F36" s="198">
        <v>716.09999999999991</v>
      </c>
      <c r="G36" s="198">
        <v>1.7049999999999998</v>
      </c>
      <c r="H36" s="216">
        <v>420</v>
      </c>
      <c r="I36" s="131"/>
    </row>
    <row r="37" spans="1:9" x14ac:dyDescent="0.25">
      <c r="A37" s="133"/>
      <c r="B37" s="204" t="str">
        <v>Softwood (Radiata pine), surfaced, kiln-dried, H3 CCA treated, [majority from sustainable forest management practices] (FWPA)</v>
      </c>
      <c r="C37" s="132" t="str">
        <v>m³</v>
      </c>
      <c r="D37" s="198">
        <v>261.62986666666677</v>
      </c>
      <c r="E37" s="198">
        <v>0.47482734422262562</v>
      </c>
      <c r="F37" s="198">
        <v>888.94666666666672</v>
      </c>
      <c r="G37" s="198">
        <v>1.6133333333333335</v>
      </c>
      <c r="H37" s="322">
        <v>551</v>
      </c>
      <c r="I37" s="131"/>
    </row>
    <row r="38" spans="1:9" x14ac:dyDescent="0.25">
      <c r="A38" s="133"/>
      <c r="B38" s="204" t="str">
        <v>Thermally Modified Timber, Finger-Jointed softwood (Abodo Wood Ltd) (New Zealand)</v>
      </c>
      <c r="C38" s="132" t="str">
        <v>m³</v>
      </c>
      <c r="D38" s="198">
        <v>290</v>
      </c>
      <c r="E38" s="198">
        <v>0.69047619047619047</v>
      </c>
      <c r="F38" s="198">
        <v>716.09999999999991</v>
      </c>
      <c r="G38" s="198">
        <v>1.7049999999999998</v>
      </c>
      <c r="H38" s="216">
        <v>420</v>
      </c>
      <c r="I38" s="131"/>
    </row>
    <row r="39" spans="1:9" x14ac:dyDescent="0.25">
      <c r="A39" s="133"/>
      <c r="B39" s="204" t="str">
        <v>Planed and painted softwood product (Latvia Timber International) (Europe)</v>
      </c>
      <c r="C39" s="132" t="str">
        <v>m³</v>
      </c>
      <c r="D39" s="198">
        <v>100</v>
      </c>
      <c r="E39" s="198">
        <v>0.22781637999772175</v>
      </c>
      <c r="F39" s="198">
        <v>667.93558333333328</v>
      </c>
      <c r="G39" s="198">
        <v>1.5216666666666665</v>
      </c>
      <c r="H39" s="216">
        <v>438.95</v>
      </c>
      <c r="I39" s="131"/>
    </row>
    <row r="40" spans="1:9" x14ac:dyDescent="0.25">
      <c r="A40" s="133"/>
      <c r="B40" s="217" t="str">
        <v>Surfaced, , KVH structural timber - finger jointed (Stora Enso) (Czech Republic)</v>
      </c>
      <c r="C40" s="218" t="str">
        <v>m³</v>
      </c>
      <c r="D40" s="219">
        <v>31.572999999999979</v>
      </c>
      <c r="E40" s="219">
        <v>7.0162222222222237E-2</v>
      </c>
      <c r="F40" s="219">
        <v>-717</v>
      </c>
      <c r="G40" s="219">
        <v>-1.5933333333333333</v>
      </c>
      <c r="H40" s="293">
        <v>450</v>
      </c>
      <c r="I40" s="131"/>
    </row>
    <row r="41" spans="1:9" x14ac:dyDescent="0.25">
      <c r="B41" s="130"/>
      <c r="C41" s="130"/>
      <c r="D41" s="207"/>
      <c r="E41" s="207"/>
      <c r="F41" s="207"/>
      <c r="G41" s="207"/>
      <c r="H41" s="130"/>
    </row>
    <row r="90" spans="10:10" x14ac:dyDescent="0.25">
      <c r="J90" s="198"/>
    </row>
  </sheetData>
  <dataValidations disablePrompts="1" count="1">
    <dataValidation type="list" allowBlank="1" showInputMessage="1" showErrorMessage="1" sqref="B6:B9" xr:uid="{876F6851-7587-4F44-9F1E-C261AAA9FBEB}">
      <formula1>"Tier 1,Tier 2,Tier 3,Tier 4"</formula1>
    </dataValidation>
  </dataValidations>
  <hyperlinks>
    <hyperlink ref="L15" r:id="rId1" location="overview-of-the-forestry-sector-202122" display="https://www.agriculture.gov.au/abares/research-topics/forests/forest-economics/forest-wood-products-statistics - overview-of-the-forestry-sector-202122" xr:uid="{B65E25EC-BFCC-420A-8CEA-7EF443D37AD1}"/>
  </hyperlinks>
  <pageMargins left="0.7" right="0.7" top="0.75" bottom="0.75" header="0.3" footer="0.3"/>
  <pageSetup paperSize="9" orientation="portrait" horizontalDpi="300" verticalDpi="300"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DFFB-CC50-44F6-8A4C-944D065084E1}">
  <sheetPr codeName="Sheet39">
    <tabColor rgb="FF00CCFF"/>
  </sheetPr>
  <dimension ref="A1:K90"/>
  <sheetViews>
    <sheetView workbookViewId="0">
      <selection activeCell="C18" sqref="C18:D35"/>
    </sheetView>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9" width="14.453125" style="132" customWidth="1"/>
    <col min="10" max="10" width="13.26953125" style="132" customWidth="1"/>
    <col min="11" max="16384" width="9.1796875" style="132"/>
  </cols>
  <sheetData>
    <row r="1" spans="1:9" ht="13" x14ac:dyDescent="0.25">
      <c r="A1" s="202" t="str">
        <f>B16</f>
        <v>Sawn hardwood</v>
      </c>
    </row>
    <row r="2" spans="1:9" ht="13" x14ac:dyDescent="0.25">
      <c r="A2" s="202"/>
      <c r="C2" s="202"/>
    </row>
    <row r="3" spans="1:9" ht="13" x14ac:dyDescent="0.3">
      <c r="A3" s="227" t="s">
        <v>5626</v>
      </c>
      <c r="B3" s="132" t="s">
        <v>6539</v>
      </c>
    </row>
    <row r="4" spans="1:9" ht="13" x14ac:dyDescent="0.25">
      <c r="A4" s="202"/>
    </row>
    <row r="5" spans="1:9" ht="92.25" customHeight="1" x14ac:dyDescent="0.3">
      <c r="A5" s="227" t="s">
        <v>96</v>
      </c>
      <c r="B5" s="200" t="s">
        <v>6540</v>
      </c>
    </row>
    <row r="6" spans="1:9" ht="13" x14ac:dyDescent="0.3">
      <c r="A6" s="227" t="s">
        <v>5630</v>
      </c>
      <c r="B6" s="201" t="s">
        <v>71</v>
      </c>
    </row>
    <row r="7" spans="1:9" ht="13" x14ac:dyDescent="0.3">
      <c r="A7" s="227" t="s">
        <v>5631</v>
      </c>
      <c r="B7" s="201" t="s">
        <v>71</v>
      </c>
    </row>
    <row r="8" spans="1:9" ht="13" x14ac:dyDescent="0.3">
      <c r="A8" s="227" t="s">
        <v>5632</v>
      </c>
      <c r="B8" s="201" t="s">
        <v>72</v>
      </c>
    </row>
    <row r="9" spans="1:9" ht="13" x14ac:dyDescent="0.3">
      <c r="A9" s="227" t="s">
        <v>5633</v>
      </c>
      <c r="B9" s="202" t="s">
        <v>72</v>
      </c>
    </row>
    <row r="10" spans="1:9" ht="13" x14ac:dyDescent="0.3">
      <c r="A10" s="227"/>
      <c r="B10" s="202"/>
    </row>
    <row r="11" spans="1:9" ht="25.5" x14ac:dyDescent="0.3">
      <c r="A11" s="227" t="s">
        <v>5634</v>
      </c>
      <c r="B11" s="200" t="s">
        <v>5828</v>
      </c>
    </row>
    <row r="12" spans="1:9" x14ac:dyDescent="0.25">
      <c r="A12" s="228"/>
    </row>
    <row r="13" spans="1:9" x14ac:dyDescent="0.25">
      <c r="A13" s="228"/>
    </row>
    <row r="14" spans="1:9" ht="13" x14ac:dyDescent="0.3">
      <c r="A14" s="227" t="s">
        <v>5635</v>
      </c>
    </row>
    <row r="15" spans="1:9" ht="13" x14ac:dyDescent="0.3">
      <c r="A15" s="227"/>
      <c r="B15" s="135"/>
      <c r="C15" s="135"/>
      <c r="D15" s="299" t="s">
        <v>77</v>
      </c>
      <c r="E15" s="300"/>
      <c r="F15" s="299" t="s">
        <v>5424</v>
      </c>
      <c r="G15" s="301"/>
      <c r="H15" s="135"/>
    </row>
    <row r="16" spans="1:9" ht="39" x14ac:dyDescent="0.25">
      <c r="A16" s="133"/>
      <c r="B16" s="319" t="s">
        <v>4750</v>
      </c>
      <c r="C16" s="311" t="s">
        <v>24</v>
      </c>
      <c r="D16" s="208" t="s">
        <v>146</v>
      </c>
      <c r="E16" s="209" t="s">
        <v>153</v>
      </c>
      <c r="F16" s="208" t="s">
        <v>147</v>
      </c>
      <c r="G16" s="208" t="s">
        <v>154</v>
      </c>
      <c r="H16" s="208" t="s">
        <v>5840</v>
      </c>
      <c r="I16" s="131"/>
    </row>
    <row r="17" spans="1:11" ht="13" x14ac:dyDescent="0.3">
      <c r="A17" s="133"/>
      <c r="B17" s="317"/>
      <c r="C17" s="206" t="s">
        <v>5636</v>
      </c>
      <c r="D17" s="207" t="str" cm="1">
        <f t="array" ref="D17">IF(AND(_xlfn.ANCHORARRAY(C23)=C23),C23,"Mixed")</f>
        <v>m³</v>
      </c>
      <c r="E17" s="207" t="s">
        <v>2774</v>
      </c>
      <c r="F17" s="207" t="str" cm="1">
        <f t="array" ref="F17">IF(AND(_xlfn.ANCHORARRAY(C23)=C23),C23,"Mixed")</f>
        <v>m³</v>
      </c>
      <c r="G17" s="207" t="s">
        <v>2774</v>
      </c>
      <c r="H17" s="325"/>
      <c r="I17" s="131"/>
    </row>
    <row r="18" spans="1:11" s="200" customFormat="1" ht="13" x14ac:dyDescent="0.3">
      <c r="A18" s="221"/>
      <c r="B18" s="214"/>
      <c r="C18" s="202" t="s">
        <v>5637</v>
      </c>
      <c r="D18" s="198">
        <f>MAX(_xlfn.ANCHORARRAY(D23))</f>
        <v>562.50380000000018</v>
      </c>
      <c r="E18" s="198">
        <f t="shared" ref="E18" si="0">MAX(_xlfn.ANCHORARRAY(E23))</f>
        <v>0.7653112925170068</v>
      </c>
      <c r="F18" s="230">
        <f>VLOOKUP($D18,$D$23:$F$211,3,FALSE)</f>
        <v>1212.75</v>
      </c>
      <c r="G18" s="230">
        <f>VLOOKUP($D18,$D$23:$G$211,4,FALSE)</f>
        <v>1.65</v>
      </c>
      <c r="H18" s="322">
        <f>D18/E18</f>
        <v>735.00000000000023</v>
      </c>
      <c r="I18" s="131"/>
      <c r="J18" s="132"/>
    </row>
    <row r="19" spans="1:11" ht="13" x14ac:dyDescent="0.25">
      <c r="A19" s="133"/>
      <c r="B19" s="204"/>
      <c r="C19" s="202" t="s">
        <v>5638</v>
      </c>
      <c r="D19" s="198">
        <f>MIN(_xlfn.ANCHORARRAY(D23))</f>
        <v>104.25999999999999</v>
      </c>
      <c r="E19" s="198">
        <f t="shared" ref="E19:G19" si="1">MIN(_xlfn.ANCHORARRAY(E23))</f>
        <v>0.12561445783132519</v>
      </c>
      <c r="F19" s="198">
        <f t="shared" si="1"/>
        <v>1041.9199999999998</v>
      </c>
      <c r="G19" s="198">
        <f t="shared" si="1"/>
        <v>1.2833333333333334</v>
      </c>
      <c r="H19" s="322">
        <f>D19/E19</f>
        <v>830.00000000000068</v>
      </c>
      <c r="I19" s="131"/>
      <c r="K19" s="200"/>
    </row>
    <row r="20" spans="1:11" ht="13" x14ac:dyDescent="0.25">
      <c r="A20" s="133"/>
      <c r="B20" s="204"/>
      <c r="C20" s="202" t="s">
        <v>5639</v>
      </c>
      <c r="D20" s="198">
        <f>AVERAGE(_xlfn.ANCHORARRAY(D23))</f>
        <v>346.88262000000003</v>
      </c>
      <c r="E20" s="198">
        <f t="shared" ref="E20:G20" si="2">AVERAGE(_xlfn.ANCHORARRAY(E23))</f>
        <v>0.46607131305283916</v>
      </c>
      <c r="F20" s="198">
        <f t="shared" si="2"/>
        <v>1165.5515384615383</v>
      </c>
      <c r="G20" s="198">
        <f t="shared" si="2"/>
        <v>1.5428205128205132</v>
      </c>
      <c r="H20" s="322">
        <f>D20/E20</f>
        <v>744.26940746012713</v>
      </c>
      <c r="I20" s="131"/>
      <c r="K20" s="200"/>
    </row>
    <row r="21" spans="1:11" ht="13" x14ac:dyDescent="0.25">
      <c r="A21" s="133"/>
      <c r="B21" s="204"/>
      <c r="C21" s="202"/>
      <c r="H21" s="322"/>
      <c r="I21" s="131"/>
    </row>
    <row r="22" spans="1:11" ht="13" x14ac:dyDescent="0.25">
      <c r="A22" s="133"/>
      <c r="B22" s="197" t="s">
        <v>5640</v>
      </c>
      <c r="D22" s="132"/>
      <c r="E22" s="132"/>
      <c r="F22" s="132"/>
      <c r="G22" s="132"/>
      <c r="H22" s="216"/>
      <c r="I22" s="131"/>
    </row>
    <row r="23" spans="1:11" x14ac:dyDescent="0.25">
      <c r="A23" s="133"/>
      <c r="B23" s="204" t="str" cm="1">
        <f t="array" ref="B23:B35">_xlfn.UNIQUE(_xlfn._xlws.FILTER('EPD List'!D:D,ISNUMBER(SEARCH(B16,'EPD List'!C:C)),0))</f>
        <v>Hardwood, rough sawn, kiln-dried H3 ACQ, Australia</v>
      </c>
      <c r="C23" s="132" t="str" cm="1">
        <f t="array" ref="C23:C35">_xlfn.IFNA(INDEX('EPD List'!$A:$AB,MATCH(_xlfn.ANCHORARRAY(B23),'EPD List'!$D:$D,0),MATCH(C$16,'EPD List'!$7:$7,0)),"")</f>
        <v>m³</v>
      </c>
      <c r="D23" s="198" cm="1">
        <f t="array" ref="D23:D35">_xlfn.IFNA(VALUE((INDEX('EPD List'!$A:$AD,MATCH(_xlfn.ANCHORARRAY($B23),'EPD List'!$D:$D,0),MATCH(D$16,'EPD List'!$7:$7,0)))),"")</f>
        <v>349.27100000000007</v>
      </c>
      <c r="E23" s="198" cm="1">
        <f t="array" ref="E23:E35">_xlfn.IFNA(VALUE((INDEX('EPD List'!$A:$AD,MATCH(_xlfn.ANCHORARRAY($B23),'EPD List'!$D:$D,0),MATCH(E$16,'EPD List'!$7:$7,0)))),"")</f>
        <v>0.47519863945578233</v>
      </c>
      <c r="F23" s="198" cm="1">
        <f t="array" ref="F23:F35">_xlfn.IFNA(VALUE((INDEX('EPD List'!$A:$AD,MATCH(_xlfn.ANCHORARRAY($B23),'EPD List'!$D:$D,0),MATCH(F$16,'EPD List'!$7:$7,0)))),"")</f>
        <v>1212.75</v>
      </c>
      <c r="G23" s="198" cm="1">
        <f t="array" ref="G23:G35">_xlfn.IFNA(VALUE((INDEX('EPD List'!$A:$AD,MATCH(_xlfn.ANCHORARRAY($B23),'EPD List'!$D:$D,0),MATCH(G$16,'EPD List'!$7:$7,0)))),"")</f>
        <v>1.65</v>
      </c>
      <c r="H23" s="322" cm="1">
        <f t="array" ref="H23:H35">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735</v>
      </c>
      <c r="I23" s="131"/>
    </row>
    <row r="24" spans="1:11" x14ac:dyDescent="0.25">
      <c r="A24" s="133"/>
      <c r="B24" s="204" t="str">
        <v>Hardwood, rough sawn, kiln-dried H3 copper, Australia</v>
      </c>
      <c r="C24" s="132" t="str">
        <v>m³</v>
      </c>
      <c r="D24" s="198">
        <v>353.32169999999996</v>
      </c>
      <c r="E24" s="198">
        <v>0.48070979591836727</v>
      </c>
      <c r="F24" s="198">
        <v>1212.75</v>
      </c>
      <c r="G24" s="198">
        <v>1.65</v>
      </c>
      <c r="H24" s="216">
        <v>735</v>
      </c>
      <c r="I24" s="131"/>
    </row>
    <row r="25" spans="1:11" x14ac:dyDescent="0.25">
      <c r="A25" s="133"/>
      <c r="B25" s="204" t="str">
        <v>Hardwood, rough sawn, kiln-dried H1, FWPA, Australia</v>
      </c>
      <c r="C25" s="132" t="str">
        <v>m³</v>
      </c>
      <c r="D25" s="198">
        <v>332.55242999999996</v>
      </c>
      <c r="E25" s="198">
        <v>0.45245228571428564</v>
      </c>
      <c r="F25" s="198">
        <v>1212.75</v>
      </c>
      <c r="G25" s="198">
        <v>1.65</v>
      </c>
      <c r="H25" s="216">
        <v>735</v>
      </c>
      <c r="I25" s="131"/>
    </row>
    <row r="26" spans="1:11" x14ac:dyDescent="0.25">
      <c r="A26" s="133"/>
      <c r="B26" s="204" t="str">
        <v>Hardwood, rough-sawn, kiln-dried hardwood, Wood solutions, FWPA, Australia</v>
      </c>
      <c r="C26" s="132" t="str">
        <v>m³</v>
      </c>
      <c r="D26" s="198">
        <v>321.75</v>
      </c>
      <c r="E26" s="198">
        <v>0.43775510204081614</v>
      </c>
      <c r="F26" s="198">
        <v>1212.75</v>
      </c>
      <c r="G26" s="198">
        <v>1.65</v>
      </c>
      <c r="H26" s="216">
        <v>735</v>
      </c>
      <c r="I26" s="131"/>
    </row>
    <row r="27" spans="1:11" x14ac:dyDescent="0.25">
      <c r="A27" s="133"/>
      <c r="B27" s="204" t="str">
        <v>Hardwood, dressed, kiln-dried H3 ACQ, Australia</v>
      </c>
      <c r="C27" s="132" t="str">
        <v>m³</v>
      </c>
      <c r="D27" s="198">
        <v>507.27100000000007</v>
      </c>
      <c r="E27" s="198">
        <v>0.69016462585034011</v>
      </c>
      <c r="F27" s="198">
        <v>1212.75</v>
      </c>
      <c r="G27" s="198">
        <v>1.65</v>
      </c>
      <c r="H27" s="216">
        <v>735</v>
      </c>
      <c r="I27" s="131"/>
    </row>
    <row r="28" spans="1:11" x14ac:dyDescent="0.25">
      <c r="A28" s="133"/>
      <c r="B28" s="204" t="str">
        <v>Hardwood, dressed, kiln-dried H1, Australia</v>
      </c>
      <c r="C28" s="132" t="str">
        <v>m³</v>
      </c>
      <c r="D28" s="198">
        <v>490.55242999999996</v>
      </c>
      <c r="E28" s="198">
        <v>0.66741827210884352</v>
      </c>
      <c r="F28" s="198">
        <v>1212.75</v>
      </c>
      <c r="G28" s="198">
        <v>1.65</v>
      </c>
      <c r="H28" s="216">
        <v>735</v>
      </c>
      <c r="I28" s="131"/>
    </row>
    <row r="29" spans="1:11" x14ac:dyDescent="0.25">
      <c r="A29" s="133"/>
      <c r="B29" s="204" t="str">
        <v>Hardwood, dressed, kiln-dried hardwood, Wood solutions, FWPA, Australia</v>
      </c>
      <c r="C29" s="132" t="str">
        <v>m³</v>
      </c>
      <c r="D29" s="198">
        <v>479.75</v>
      </c>
      <c r="E29" s="198">
        <v>0.65272108843537402</v>
      </c>
      <c r="F29" s="198">
        <v>1212.75</v>
      </c>
      <c r="G29" s="198">
        <v>1.65</v>
      </c>
      <c r="H29" s="216">
        <v>735</v>
      </c>
      <c r="I29" s="131"/>
    </row>
    <row r="30" spans="1:11" x14ac:dyDescent="0.25">
      <c r="A30" s="133"/>
      <c r="B30" s="204" t="str">
        <v>Hardwood, dressed, kiln-dried H3 copper, Australia</v>
      </c>
      <c r="C30" s="132" t="str">
        <v>m³</v>
      </c>
      <c r="D30" s="198">
        <v>501.32169999999996</v>
      </c>
      <c r="E30" s="198">
        <v>0.68207034013605439</v>
      </c>
      <c r="F30" s="198">
        <v>1212.75</v>
      </c>
      <c r="G30" s="198">
        <v>1.65</v>
      </c>
      <c r="H30" s="216">
        <v>735</v>
      </c>
      <c r="I30" s="131"/>
    </row>
    <row r="31" spans="1:11" x14ac:dyDescent="0.25">
      <c r="A31" s="133"/>
      <c r="B31" s="204" t="str">
        <v>Max variation, hardwood, dressed, kiln-dried H3 ACQ FWPA, Australia</v>
      </c>
      <c r="C31" s="132" t="str">
        <v>m³</v>
      </c>
      <c r="D31" s="198">
        <v>562.50380000000018</v>
      </c>
      <c r="E31" s="198">
        <v>0.7653112925170068</v>
      </c>
      <c r="F31" s="198">
        <v>1212.75</v>
      </c>
      <c r="G31" s="198">
        <v>1.65</v>
      </c>
      <c r="H31" s="216">
        <v>735</v>
      </c>
      <c r="I31" s="131"/>
    </row>
    <row r="32" spans="1:11" x14ac:dyDescent="0.25">
      <c r="A32" s="133"/>
      <c r="B32" s="204" t="str">
        <v>Hardwood, rough-sawn, green hardwood, Wood solutions, FWPA, Australia</v>
      </c>
      <c r="C32" s="132" t="str">
        <v>m³</v>
      </c>
      <c r="D32" s="198">
        <v>192.91999999999985</v>
      </c>
      <c r="E32" s="198">
        <v>0.25119791666666647</v>
      </c>
      <c r="F32" s="198">
        <v>1041.9199999999998</v>
      </c>
      <c r="G32" s="198">
        <v>1.3566666666666665</v>
      </c>
      <c r="H32" s="216">
        <v>768</v>
      </c>
      <c r="I32" s="131"/>
    </row>
    <row r="33" spans="1:9" x14ac:dyDescent="0.25">
      <c r="A33" s="133"/>
      <c r="B33" s="204" t="str">
        <v>Hardwood, , Min variation, hardwood, white cypress, roughsawn green (FWPA) (Australia)</v>
      </c>
      <c r="C33" s="132" t="str">
        <v>m³</v>
      </c>
      <c r="D33" s="198">
        <v>104.25999999999999</v>
      </c>
      <c r="E33" s="198">
        <v>0.12561445783132519</v>
      </c>
      <c r="F33" s="198">
        <v>1065.1666666666667</v>
      </c>
      <c r="G33" s="198">
        <v>1.2833333333333334</v>
      </c>
      <c r="H33" s="216">
        <v>830</v>
      </c>
      <c r="I33" s="131"/>
    </row>
    <row r="34" spans="1:9" x14ac:dyDescent="0.25">
      <c r="A34" s="133"/>
      <c r="B34" s="204" t="str">
        <v>White Cypress, rough-sawn, green, FWPA</v>
      </c>
      <c r="C34" s="132" t="str">
        <v>m³</v>
      </c>
      <c r="D34" s="198">
        <v>130</v>
      </c>
      <c r="E34" s="198">
        <v>0.15662650602409633</v>
      </c>
      <c r="F34" s="198">
        <v>1065.1666666666667</v>
      </c>
      <c r="G34" s="198">
        <v>1.2833333333333334</v>
      </c>
      <c r="H34" s="216">
        <v>830</v>
      </c>
      <c r="I34" s="131"/>
    </row>
    <row r="35" spans="1:9" x14ac:dyDescent="0.25">
      <c r="A35" s="133"/>
      <c r="B35" s="217" t="str">
        <v>White Cypress, dressed, green, FWPA</v>
      </c>
      <c r="C35" s="218" t="str">
        <v>m³</v>
      </c>
      <c r="D35" s="219">
        <v>184</v>
      </c>
      <c r="E35" s="219">
        <v>0.22168674698795177</v>
      </c>
      <c r="F35" s="219">
        <v>1065.1666666666667</v>
      </c>
      <c r="G35" s="219">
        <v>1.2833333333333334</v>
      </c>
      <c r="H35" s="293">
        <v>830</v>
      </c>
      <c r="I35" s="131"/>
    </row>
    <row r="36" spans="1:9" x14ac:dyDescent="0.25">
      <c r="B36" s="130"/>
      <c r="C36" s="130"/>
      <c r="D36" s="207"/>
      <c r="E36" s="207"/>
      <c r="F36" s="207"/>
      <c r="G36" s="207"/>
      <c r="H36" s="130"/>
    </row>
    <row r="90" spans="10:10" x14ac:dyDescent="0.25">
      <c r="J90" s="198"/>
    </row>
  </sheetData>
  <dataValidations count="1">
    <dataValidation type="list" allowBlank="1" showInputMessage="1" showErrorMessage="1" sqref="B6:B9" xr:uid="{1ACF78CF-4CF3-4558-B6FD-9A1AE7AC7804}">
      <formula1>"Tier 1,Tier 2,Tier 3,Tier 4"</formula1>
    </dataValidation>
  </dataValidations>
  <pageMargins left="0.7" right="0.7" top="0.75" bottom="0.75" header="0.3" footer="0.3"/>
  <pageSetup paperSize="9"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A29A5-E4E7-4819-9E45-9CD46CA9D8DD}">
  <sheetPr codeName="Sheet38">
    <tabColor rgb="FF00CCFF"/>
  </sheetPr>
  <dimension ref="A1:V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9" width="14.453125" style="132" customWidth="1"/>
    <col min="10" max="10" width="13.26953125" style="132" customWidth="1"/>
    <col min="11" max="11" width="16.26953125" style="132" customWidth="1"/>
    <col min="12" max="17" width="9.1796875" style="132"/>
    <col min="18" max="18" width="22.81640625" style="132" customWidth="1"/>
    <col min="19" max="19" width="43.54296875" style="132" customWidth="1"/>
    <col min="20" max="20" width="38.7265625" style="132" customWidth="1"/>
    <col min="21" max="21" width="41.453125" style="132" customWidth="1"/>
    <col min="22" max="22" width="36.7265625" style="132" customWidth="1"/>
    <col min="23" max="16384" width="9.1796875" style="132"/>
  </cols>
  <sheetData>
    <row r="1" spans="1:22" ht="13" x14ac:dyDescent="0.25">
      <c r="A1" s="202" t="str">
        <f>B16</f>
        <v>Sawn softwood</v>
      </c>
    </row>
    <row r="2" spans="1:22" ht="13" x14ac:dyDescent="0.25">
      <c r="A2" s="202"/>
      <c r="C2" s="202"/>
    </row>
    <row r="3" spans="1:22" ht="13" x14ac:dyDescent="0.3">
      <c r="A3" s="227" t="s">
        <v>5626</v>
      </c>
      <c r="B3" s="132" t="s">
        <v>6541</v>
      </c>
    </row>
    <row r="4" spans="1:22" ht="13" x14ac:dyDescent="0.25">
      <c r="A4" s="202"/>
    </row>
    <row r="5" spans="1:22" ht="92.25" customHeight="1" x14ac:dyDescent="0.3">
      <c r="A5" s="227" t="s">
        <v>5628</v>
      </c>
      <c r="B5" s="200" t="s">
        <v>6542</v>
      </c>
    </row>
    <row r="6" spans="1:22" ht="13" x14ac:dyDescent="0.3">
      <c r="A6" s="227" t="s">
        <v>5630</v>
      </c>
      <c r="B6" s="132" t="s">
        <v>72</v>
      </c>
      <c r="D6" s="271"/>
    </row>
    <row r="7" spans="1:22" ht="13" x14ac:dyDescent="0.3">
      <c r="A7" s="227" t="s">
        <v>5631</v>
      </c>
      <c r="B7" s="201" t="s">
        <v>71</v>
      </c>
      <c r="K7" s="202" t="s">
        <v>5700</v>
      </c>
    </row>
    <row r="8" spans="1:22" ht="13" x14ac:dyDescent="0.3">
      <c r="A8" s="227" t="s">
        <v>5632</v>
      </c>
      <c r="B8" s="201" t="s">
        <v>72</v>
      </c>
    </row>
    <row r="9" spans="1:22" ht="13" x14ac:dyDescent="0.3">
      <c r="A9" s="227" t="s">
        <v>5633</v>
      </c>
      <c r="B9" s="202" t="s">
        <v>72</v>
      </c>
      <c r="S9" s="132" t="s">
        <v>146</v>
      </c>
      <c r="T9" s="132" t="s">
        <v>153</v>
      </c>
      <c r="U9" s="132" t="s">
        <v>147</v>
      </c>
      <c r="V9" s="132" t="s">
        <v>154</v>
      </c>
    </row>
    <row r="10" spans="1:22" ht="13" x14ac:dyDescent="0.3">
      <c r="A10" s="227"/>
      <c r="B10" s="202"/>
      <c r="L10" s="132" t="s">
        <v>5825</v>
      </c>
      <c r="M10" s="240">
        <f>P12</f>
        <v>0.16483516483516483</v>
      </c>
      <c r="O10" s="132" t="s">
        <v>6538</v>
      </c>
      <c r="P10" s="132">
        <v>3800</v>
      </c>
      <c r="R10" s="132" t="s">
        <v>5827</v>
      </c>
      <c r="S10" s="132">
        <f>(SUMIF(_xlfn.ANCHORARRAY($B$23),"*"&amp;"New Zealand"&amp;"*",_xlfn.ANCHORARRAY(D$23))+SUMIF(_xlfn.ANCHORARRAY($B$23),"*"&amp;"Europe"&amp;"*",_xlfn.ANCHORARRAY(D$23)))/(COUNTIF(_xlfn.ANCHORARRAY($B$23),"*"&amp;"New Zealand"&amp;"*")+COUNTIF(_xlfn.ANCHORARRAY($B$23),"*"&amp;"Europe"&amp;"*"))</f>
        <v>233.5</v>
      </c>
      <c r="T10" s="132">
        <f t="shared" ref="T10:U10" si="0">(SUMIF(_xlfn.ANCHORARRAY($B$23),"*"&amp;"New Zealand"&amp;"*",_xlfn.ANCHORARRAY(E$23))+SUMIF(_xlfn.ANCHORARRAY($B$23),"*"&amp;"Europe"&amp;"*",_xlfn.ANCHORARRAY(E$23)))/(COUNTIF(_xlfn.ANCHORARRAY($B$23),"*"&amp;"New Zealand"&amp;"*")+COUNTIF(_xlfn.ANCHORARRAY($B$23),"*"&amp;"Europe"&amp;"*"))</f>
        <v>0.55595238095238098</v>
      </c>
      <c r="U10" s="132">
        <f t="shared" si="0"/>
        <v>716.09999999999991</v>
      </c>
      <c r="V10" s="132">
        <f>(SUMIF(_xlfn.ANCHORARRAY($B$23),"*"&amp;"New Zealand"&amp;"*",_xlfn.ANCHORARRAY(G$23))+SUMIF(_xlfn.ANCHORARRAY($B$23),"*"&amp;"Europe"&amp;"*",_xlfn.ANCHORARRAY(G$23)))/(COUNTIF(_xlfn.ANCHORARRAY($B$23),"*"&amp;"New Zealand"&amp;"*")+COUNTIF(_xlfn.ANCHORARRAY($B$23),"*"&amp;"Europe"&amp;"*"))</f>
        <v>1.7049999999999998</v>
      </c>
    </row>
    <row r="11" spans="1:22" ht="25.5" x14ac:dyDescent="0.3">
      <c r="A11" s="227" t="s">
        <v>5634</v>
      </c>
      <c r="B11" s="200" t="s">
        <v>5828</v>
      </c>
      <c r="L11" s="132" t="s">
        <v>5829</v>
      </c>
      <c r="M11" s="240">
        <f>1-M10</f>
        <v>0.8351648351648352</v>
      </c>
      <c r="O11" s="132" t="s">
        <v>5825</v>
      </c>
      <c r="P11" s="132">
        <v>750</v>
      </c>
      <c r="R11" s="132" t="s">
        <v>5689</v>
      </c>
      <c r="S11" s="132">
        <f>(SUMIF(_xlfn.ANCHORARRAY($B$23),"*"&amp;"Australia"&amp;"*",_xlfn.ANCHORARRAY(D$23))+SUMIF(_xlfn.ANCHORARRAY($B$23),"*"&amp;"FWPA"&amp;"*",_xlfn.ANCHORARRAY(D$23)))/(COUNTIF(_xlfn.ANCHORARRAY($B$23),"*"&amp;"Australia"&amp;"*")+COUNTIF(_xlfn.ANCHORARRAY($B$23),"*"&amp;"FWPA"&amp;"*"))</f>
        <v>179.17065333333343</v>
      </c>
      <c r="T11" s="132">
        <f t="shared" ref="T11:V11" si="1">(SUMIF(_xlfn.ANCHORARRAY($B$23),"*"&amp;"Australia"&amp;"*",_xlfn.ANCHORARRAY(E$23))+SUMIF(_xlfn.ANCHORARRAY($B$23),"*"&amp;"FWPA"&amp;"*",_xlfn.ANCHORARRAY(E$23)))/(COUNTIF(_xlfn.ANCHORARRAY($B$23),"*"&amp;"Australia"&amp;"*")+COUNTIF(_xlfn.ANCHORARRAY($B$23),"*"&amp;"FWPA"&amp;"*"))</f>
        <v>0.32813404142421621</v>
      </c>
      <c r="U11" s="132">
        <f t="shared" si="1"/>
        <v>885.04952380952386</v>
      </c>
      <c r="V11" s="132">
        <f t="shared" si="1"/>
        <v>1.6219954445244253</v>
      </c>
    </row>
    <row r="12" spans="1:22" x14ac:dyDescent="0.25">
      <c r="A12" s="228"/>
      <c r="P12" s="275">
        <f>P11/(P10+P11)</f>
        <v>0.16483516483516483</v>
      </c>
      <c r="R12" s="132" t="s">
        <v>5830</v>
      </c>
      <c r="S12" s="132">
        <f>SUMPRODUCT(S10:S11,$M$10:$M$11)</f>
        <v>188.12604014652021</v>
      </c>
      <c r="T12" s="132">
        <f t="shared" ref="T12:V12" si="2">SUMPRODUCT(T10:T11,$M$10:$M$11)</f>
        <v>0.36568651497281479</v>
      </c>
      <c r="U12" s="132">
        <f t="shared" si="2"/>
        <v>857.20070120355842</v>
      </c>
      <c r="V12" s="132">
        <f t="shared" si="2"/>
        <v>1.6356775141083113</v>
      </c>
    </row>
    <row r="13" spans="1:22" x14ac:dyDescent="0.25">
      <c r="A13" s="228"/>
    </row>
    <row r="14" spans="1:22" ht="13" x14ac:dyDescent="0.3">
      <c r="A14" s="227" t="s">
        <v>5635</v>
      </c>
      <c r="L14" s="202" t="s">
        <v>5831</v>
      </c>
    </row>
    <row r="15" spans="1:22" ht="13" x14ac:dyDescent="0.3">
      <c r="A15" s="227"/>
      <c r="B15" s="135"/>
      <c r="C15" s="135"/>
      <c r="D15" s="299" t="s">
        <v>77</v>
      </c>
      <c r="E15" s="300"/>
      <c r="F15" s="299" t="s">
        <v>5424</v>
      </c>
      <c r="G15" s="301"/>
      <c r="H15" s="135"/>
      <c r="L15" s="243" t="s">
        <v>5835</v>
      </c>
    </row>
    <row r="16" spans="1:22" ht="39" x14ac:dyDescent="0.25">
      <c r="A16" s="133"/>
      <c r="B16" s="320" t="s">
        <v>4769</v>
      </c>
      <c r="C16" s="316" t="s">
        <v>24</v>
      </c>
      <c r="D16" s="314" t="s">
        <v>146</v>
      </c>
      <c r="E16" s="315" t="s">
        <v>153</v>
      </c>
      <c r="F16" s="314" t="s">
        <v>147</v>
      </c>
      <c r="G16" s="314" t="s">
        <v>154</v>
      </c>
      <c r="H16" s="314" t="s">
        <v>5840</v>
      </c>
      <c r="I16" s="131"/>
      <c r="L16" s="132" t="s">
        <v>5836</v>
      </c>
    </row>
    <row r="17" spans="1:11" ht="13" x14ac:dyDescent="0.3">
      <c r="A17" s="133"/>
      <c r="B17" s="211"/>
      <c r="C17" s="212" t="s">
        <v>5636</v>
      </c>
      <c r="D17" s="196" t="str" cm="1">
        <f t="array" ref="D17">IF(AND(_xlfn.ANCHORARRAY(C23)=C23),C23,"Mixed")</f>
        <v>m³</v>
      </c>
      <c r="E17" s="196" t="s">
        <v>2774</v>
      </c>
      <c r="F17" s="196" t="str" cm="1">
        <f t="array" ref="F17">IF(AND(_xlfn.ANCHORARRAY(C23)=C23),C23,"Mixed")</f>
        <v>m³</v>
      </c>
      <c r="G17" s="196" t="s">
        <v>2774</v>
      </c>
      <c r="H17" s="321"/>
      <c r="I17" s="131"/>
    </row>
    <row r="18" spans="1:11" s="200" customFormat="1" ht="13" x14ac:dyDescent="0.3">
      <c r="A18" s="221"/>
      <c r="B18" s="214"/>
      <c r="C18" s="202" t="s">
        <v>5637</v>
      </c>
      <c r="D18" s="198">
        <f>MAX(_xlfn.ANCHORARRAY(D23))</f>
        <v>332.10566666666671</v>
      </c>
      <c r="E18" s="198">
        <f t="shared" ref="E18" si="3">MAX(_xlfn.ANCHORARRAY(E23))</f>
        <v>0.60273260738052037</v>
      </c>
      <c r="F18" s="230">
        <f>VLOOKUP($D18,$D$23:$F$211,3,FALSE)</f>
        <v>888.94666666666672</v>
      </c>
      <c r="G18" s="230">
        <f>VLOOKUP($D18,$D$23:$G$211,4,FALSE)</f>
        <v>1.6133333333333335</v>
      </c>
      <c r="H18" s="322">
        <f>D18/E18</f>
        <v>551</v>
      </c>
      <c r="I18" s="140">
        <f>F18/G18</f>
        <v>551</v>
      </c>
      <c r="J18" s="132">
        <f>H18*0.5*0.9*44/12</f>
        <v>909.15000000000009</v>
      </c>
      <c r="K18" s="200">
        <f>J18/H18</f>
        <v>1.6500000000000001</v>
      </c>
    </row>
    <row r="19" spans="1:11" ht="13" x14ac:dyDescent="0.25">
      <c r="A19" s="133"/>
      <c r="B19" s="204"/>
      <c r="C19" s="202" t="s">
        <v>5638</v>
      </c>
      <c r="D19" s="198">
        <f>MIN(_xlfn.ANCHORARRAY(D23))</f>
        <v>112.72666666666669</v>
      </c>
      <c r="E19" s="198">
        <f t="shared" ref="E19:G19" si="4">MIN(_xlfn.ANCHORARRAY(E23))</f>
        <v>0.20458560193587449</v>
      </c>
      <c r="F19" s="198">
        <f t="shared" si="4"/>
        <v>716.09999999999991</v>
      </c>
      <c r="G19" s="198">
        <f t="shared" si="4"/>
        <v>1.6133333333333335</v>
      </c>
      <c r="H19" s="322">
        <f>D19/E19</f>
        <v>550.9999999999992</v>
      </c>
      <c r="I19" s="140">
        <f>F19/G19</f>
        <v>443.86363636363626</v>
      </c>
      <c r="J19" s="132">
        <f>H19*0.5*0.9*44/12</f>
        <v>909.14999999999873</v>
      </c>
      <c r="K19" s="200">
        <f>J19/H19</f>
        <v>1.6500000000000001</v>
      </c>
    </row>
    <row r="20" spans="1:11" ht="13" x14ac:dyDescent="0.25">
      <c r="A20" s="133"/>
      <c r="B20" s="204"/>
      <c r="C20" s="245" t="s">
        <v>5837</v>
      </c>
      <c r="D20" s="198">
        <f>S12</f>
        <v>188.12604014652021</v>
      </c>
      <c r="E20" s="198">
        <f t="shared" ref="E20:F20" si="5">T12</f>
        <v>0.36568651497281479</v>
      </c>
      <c r="F20" s="198">
        <f t="shared" si="5"/>
        <v>857.20070120355842</v>
      </c>
      <c r="G20" s="198">
        <f>V12</f>
        <v>1.6356775141083113</v>
      </c>
      <c r="H20" s="322">
        <f>D20/E20</f>
        <v>514.44620581785887</v>
      </c>
      <c r="I20" s="140">
        <f>F20/G20</f>
        <v>524.06461164251004</v>
      </c>
      <c r="J20" s="132">
        <f>H20*0.5*0.9*44/12</f>
        <v>848.83623959946715</v>
      </c>
      <c r="K20" s="200">
        <f>J20/H20</f>
        <v>1.6500000000000001</v>
      </c>
    </row>
    <row r="21" spans="1:11" ht="13" x14ac:dyDescent="0.25">
      <c r="A21" s="133"/>
      <c r="B21" s="204"/>
      <c r="C21" s="202" t="s">
        <v>5639</v>
      </c>
      <c r="D21" s="198">
        <f>AVERAGE(_xlfn.ANCHORARRAY(D23))</f>
        <v>187.12986606060619</v>
      </c>
      <c r="E21" s="198">
        <f t="shared" ref="E21:G21" si="6">AVERAGE(_xlfn.ANCHORARRAY(E23))</f>
        <v>0.35446063772170128</v>
      </c>
      <c r="F21" s="198">
        <f t="shared" si="6"/>
        <v>869.51333333333321</v>
      </c>
      <c r="G21" s="198">
        <f t="shared" si="6"/>
        <v>1.6299350455308912</v>
      </c>
      <c r="H21" s="322">
        <f>D21/E21</f>
        <v>527.92848103920642</v>
      </c>
      <c r="I21" s="131"/>
      <c r="J21" s="132">
        <f>H21*0.5*0.9*44/12</f>
        <v>871.08199371469061</v>
      </c>
      <c r="K21" s="200">
        <f>J21/H21</f>
        <v>1.6500000000000001</v>
      </c>
    </row>
    <row r="22" spans="1:11" ht="13" x14ac:dyDescent="0.25">
      <c r="A22" s="133"/>
      <c r="B22" s="197" t="s">
        <v>5640</v>
      </c>
      <c r="D22" s="132"/>
      <c r="E22" s="132"/>
      <c r="F22" s="132"/>
      <c r="G22" s="132"/>
      <c r="H22" s="216"/>
      <c r="I22" s="131"/>
    </row>
    <row r="23" spans="1:11" x14ac:dyDescent="0.25">
      <c r="A23" s="133"/>
      <c r="B23" s="204" t="str" cm="1">
        <f t="array" ref="B23:B44">_xlfn.UNIQUE(_xlfn._xlws.FILTER('EPD List'!D:D,ISNUMBER(SEARCH(B16,'EPD List'!C:C)),0))</f>
        <v>Softwood (Radiata pine), roughsawn, kiln-dried, H3 Copper Azole treated, e.g. framing [majority from sustainable forest management practices] (FWPA)</v>
      </c>
      <c r="C23" s="132" t="str" cm="1">
        <f t="array" ref="C23:C44">_xlfn.IFNA(INDEX('EPD List'!$A:$AB,MATCH(_xlfn.ANCHORARRAY(B23),'EPD List'!$D:$D,0),MATCH(C$16,'EPD List'!$7:$7,0)),"")</f>
        <v>m³</v>
      </c>
      <c r="D23" s="198" cm="1">
        <f t="array" ref="D23:D44">_xlfn.IFNA(VALUE((INDEX('EPD List'!$A:$AD,MATCH(_xlfn.ANCHORARRAY($B23),'EPD List'!$D:$D,0),MATCH(D$16,'EPD List'!$7:$7,0)))),"")</f>
        <v>139.78316666666683</v>
      </c>
      <c r="E23" s="198" cm="1">
        <f t="array" ref="E23:E44">_xlfn.IFNA(VALUE((INDEX('EPD List'!$A:$AD,MATCH(_xlfn.ANCHORARRAY($B23),'EPD List'!$D:$D,0),MATCH(E$16,'EPD List'!$7:$7,0)))),"")</f>
        <v>0.25368995765275293</v>
      </c>
      <c r="F23" s="198" cm="1">
        <f t="array" ref="F23:F44">_xlfn.IFNA(VALUE((INDEX('EPD List'!$A:$AD,MATCH(_xlfn.ANCHORARRAY($B23),'EPD List'!$D:$D,0),MATCH(F$16,'EPD List'!$7:$7,0)))),"")</f>
        <v>888.94666666666672</v>
      </c>
      <c r="G23" s="198" cm="1">
        <f t="array" ref="G23:G44">_xlfn.IFNA(VALUE((INDEX('EPD List'!$A:$AD,MATCH(_xlfn.ANCHORARRAY($B23),'EPD List'!$D:$D,0),MATCH(G$16,'EPD List'!$7:$7,0)))),"")</f>
        <v>1.6133333333333335</v>
      </c>
      <c r="H23" s="322" cm="1">
        <f t="array" ref="H23:H44">IFERROR(IF(_xlfn.ANCHORARRAY($C23)="kg",1,
IF(_xlfn.ANCHORARRAY($C23)="tonne",1000,
IF(OR(_xlfn.ANCHORARRAY($C23)="m³",_xlfn.ANCHORARRAY($C23)="m³"),INDEX('EPD List'!$A:$AB,MATCH(_xlfn.ANCHORARRAY($B23),'EPD List'!$D:$D,0),MATCH("Density (kg/m3)",'EPD List'!$7:$7,0)),
IF(OR(_xlfn.ANCHORARRAY($C23)="m²",_xlfn.ANCHORARRAY($C23)="m2"),INDEX('EPD List'!$A:$AB,MATCH(_xlfn.ANCHORARRAY($B23),'EPD List'!$D:$D,0),MATCH("Area density (kg/m2)",'EPD List'!$7:$7,0)),
IF(_xlfn.ANCHORARRAY($C23)="m",INDEX('EPD List'!$A:$AB,MATCH(_xlfn.ANCHORARRAY($B23),'EPD List'!$D:$D,0),MATCH("mass per m (kg/m)",'EPD List'!$7:$7,0)),
IF(_xlfn.ANCHORARRAY($C23)="unit",INDEX('EPD List'!$A:$AB,MATCH(_xlfn.ANCHORARRAY($B23),'EPD List'!$D:$D,0),MATCH("Mass per unit (kg/unit)",'EPD List'!$7:$7,0)),NA())))))),"")</f>
        <v>551</v>
      </c>
      <c r="I23" s="131"/>
    </row>
    <row r="24" spans="1:11" x14ac:dyDescent="0.25">
      <c r="A24" s="133"/>
      <c r="B24" s="204" t="str">
        <v>Softwood (Radiata pine), roughsawn, kiln-dried, untreated, e.g. framing [majority from sustainable forest management practices] (FWPA)</v>
      </c>
      <c r="C24" s="132" t="str">
        <v>m³</v>
      </c>
      <c r="D24" s="198">
        <v>124.94666666666672</v>
      </c>
      <c r="E24" s="198">
        <v>0.22676346037507566</v>
      </c>
      <c r="F24" s="198">
        <v>888.94666666666672</v>
      </c>
      <c r="G24" s="198">
        <v>1.6133333333333335</v>
      </c>
      <c r="H24" s="216">
        <v>551</v>
      </c>
      <c r="I24" s="131"/>
    </row>
    <row r="25" spans="1:11" x14ac:dyDescent="0.25">
      <c r="A25" s="133"/>
      <c r="B25" s="204" t="str">
        <v>Softwood (Radiata pine), roughsawn, kiln-dried, H3 Copper+DDAX treated, e.g. framing [majority from sustainable forest management practices] (FWPA)</v>
      </c>
      <c r="C25" s="132" t="str">
        <v>m³</v>
      </c>
      <c r="D25" s="198">
        <v>142.39966666666669</v>
      </c>
      <c r="E25" s="198">
        <v>0.25843859649122813</v>
      </c>
      <c r="F25" s="198">
        <v>888.94666666666672</v>
      </c>
      <c r="G25" s="198">
        <v>1.6133333333333335</v>
      </c>
      <c r="H25" s="216">
        <v>551</v>
      </c>
      <c r="I25" s="131"/>
    </row>
    <row r="26" spans="1:11" x14ac:dyDescent="0.25">
      <c r="A26" s="133"/>
      <c r="B26" s="204" t="str">
        <v>Softwood (Radiata pine), roughsawn, kiln-dried, H4 CCA treated, e.g. framing [majority from sustainable forest management practices] (FWPA)</v>
      </c>
      <c r="C26" s="132" t="str">
        <v>m³</v>
      </c>
      <c r="D26" s="198">
        <v>149.70366666666678</v>
      </c>
      <c r="E26" s="198">
        <v>0.27169449485783459</v>
      </c>
      <c r="F26" s="198">
        <v>888.94666666666672</v>
      </c>
      <c r="G26" s="198">
        <v>1.6133333333333335</v>
      </c>
      <c r="H26" s="216">
        <v>551</v>
      </c>
      <c r="I26" s="131"/>
    </row>
    <row r="27" spans="1:11" x14ac:dyDescent="0.25">
      <c r="A27" s="133"/>
      <c r="B27" s="204" t="str">
        <v>Softwood (Radiata pine), roughsawn, kiln-dried, H4 Copper Azole treated, e.g. framing [majority from sustainable forest management practices] (FWPA)</v>
      </c>
      <c r="C27" s="132" t="str">
        <v>m³</v>
      </c>
      <c r="D27" s="198">
        <v>143.80876666666677</v>
      </c>
      <c r="E27" s="198">
        <v>0.26099594676346038</v>
      </c>
      <c r="F27" s="198">
        <v>888.94666666666672</v>
      </c>
      <c r="G27" s="198">
        <v>1.6133333333333335</v>
      </c>
      <c r="H27" s="216">
        <v>551</v>
      </c>
      <c r="I27" s="131"/>
    </row>
    <row r="28" spans="1:11" x14ac:dyDescent="0.25">
      <c r="A28" s="133"/>
      <c r="B28" s="204" t="str">
        <v>Softwood (Radiata pine), roughsawn, kiln-dried, H3 LOSP treated, e.g. framing [majority from sustainable forest management practices] (FWPA)</v>
      </c>
      <c r="C28" s="132" t="str">
        <v>m³</v>
      </c>
      <c r="D28" s="198">
        <v>184.3896666666667</v>
      </c>
      <c r="E28" s="198">
        <v>0.33464549304295232</v>
      </c>
      <c r="F28" s="198">
        <v>888.94666666666672</v>
      </c>
      <c r="G28" s="198">
        <v>1.6133333333333335</v>
      </c>
      <c r="H28" s="216">
        <v>551</v>
      </c>
      <c r="I28" s="131"/>
    </row>
    <row r="29" spans="1:11" x14ac:dyDescent="0.25">
      <c r="A29" s="133"/>
      <c r="B29" s="204" t="str">
        <v>Softwood (Radiata pine), roughsawn, kiln-dried, H3 CCA treated, e.g. framing [majority from sustainable forest management practices] (FWPA)</v>
      </c>
      <c r="C29" s="132" t="str">
        <v>m³</v>
      </c>
      <c r="D29" s="198">
        <v>215.62986666666677</v>
      </c>
      <c r="E29" s="198">
        <v>0.39134277071990331</v>
      </c>
      <c r="F29" s="198">
        <v>888.94666666666672</v>
      </c>
      <c r="G29" s="198">
        <v>1.6133333333333335</v>
      </c>
      <c r="H29" s="216">
        <v>551</v>
      </c>
      <c r="I29" s="131"/>
    </row>
    <row r="30" spans="1:11" x14ac:dyDescent="0.25">
      <c r="A30" s="133"/>
      <c r="B30" s="204" t="str">
        <v>Softwood (Radiata pine), surfaced, kiln-dried, H2 LOSP treated, [majority from sustainable forest management practices] (FWPA)</v>
      </c>
      <c r="C30" s="132" t="str">
        <v>m³</v>
      </c>
      <c r="D30" s="198">
        <v>182.66316666666671</v>
      </c>
      <c r="E30" s="198">
        <v>0.33151209921355118</v>
      </c>
      <c r="F30" s="198">
        <v>888.94666666666672</v>
      </c>
      <c r="G30" s="198">
        <v>1.6133333333333335</v>
      </c>
      <c r="H30" s="216">
        <v>551</v>
      </c>
      <c r="I30" s="131"/>
    </row>
    <row r="31" spans="1:11" x14ac:dyDescent="0.25">
      <c r="A31" s="133"/>
      <c r="B31" s="204" t="str">
        <v>Softwood (Radiata pine), surfaced, kiln-dried, H3 copper azole  treated,  [majority from sustainable forest management practices] (FWPA)</v>
      </c>
      <c r="C31" s="132" t="str">
        <v>m³</v>
      </c>
      <c r="D31" s="198">
        <v>185.78316666666683</v>
      </c>
      <c r="E31" s="198">
        <v>0.33717453115547524</v>
      </c>
      <c r="F31" s="198">
        <v>888.94666666666672</v>
      </c>
      <c r="G31" s="198">
        <v>1.6133333333333335</v>
      </c>
      <c r="H31" s="216">
        <v>551</v>
      </c>
      <c r="I31" s="131"/>
    </row>
    <row r="32" spans="1:11" x14ac:dyDescent="0.25">
      <c r="A32" s="133"/>
      <c r="B32" s="204" t="str">
        <v>Maximum variaton, Softwood (Radiata pine),surfaced, dressed, kiln-dried, LOSP azole+permethrin), e.g. framing [majority from sustainable forest management practices] (FWPA)</v>
      </c>
      <c r="C32" s="132" t="str">
        <v>m³</v>
      </c>
      <c r="D32" s="198">
        <v>332.10566666666671</v>
      </c>
      <c r="E32" s="198">
        <v>0.60273260738052037</v>
      </c>
      <c r="F32" s="198">
        <v>888.94666666666672</v>
      </c>
      <c r="G32" s="198">
        <v>1.6133333333333335</v>
      </c>
      <c r="H32" s="216">
        <v>551</v>
      </c>
      <c r="I32" s="131"/>
    </row>
    <row r="33" spans="1:9" x14ac:dyDescent="0.25">
      <c r="A33" s="133"/>
      <c r="B33" s="204" t="str">
        <v>Softwood (Radiata pine), surfaced, kiln-dried, untreated  [majority from sustainable forest management practices] (FWPA)</v>
      </c>
      <c r="C33" s="132" t="str">
        <v>m³</v>
      </c>
      <c r="D33" s="198">
        <v>170.94666666666672</v>
      </c>
      <c r="E33" s="198">
        <v>0.3102480338777982</v>
      </c>
      <c r="F33" s="198">
        <v>888.94666666666672</v>
      </c>
      <c r="G33" s="198">
        <v>1.6133333333333335</v>
      </c>
      <c r="H33" s="216">
        <v>551</v>
      </c>
      <c r="I33" s="131"/>
    </row>
    <row r="34" spans="1:9" x14ac:dyDescent="0.25">
      <c r="A34" s="133"/>
      <c r="B34" s="204" t="str">
        <v>Softwood, , Min variaton, Softwood (Radiata pine),surfaced, dressed, kiln-dried, LOSP azole+permethrin), e.g. framing [majority from sustainable forest management practices] (FWPA) (FWPA) (Australia)</v>
      </c>
      <c r="C34" s="132" t="str">
        <v>m³</v>
      </c>
      <c r="D34" s="198">
        <v>112.72666666666669</v>
      </c>
      <c r="E34" s="198">
        <v>0.20458560193587449</v>
      </c>
      <c r="F34" s="198">
        <v>888.94666666666672</v>
      </c>
      <c r="G34" s="198">
        <v>1.6133333333333335</v>
      </c>
      <c r="H34" s="216">
        <v>551</v>
      </c>
      <c r="I34" s="131"/>
    </row>
    <row r="35" spans="1:9" x14ac:dyDescent="0.25">
      <c r="A35" s="133"/>
      <c r="B35" s="204" t="str">
        <v>Softwood (Radiata pine), surfaced, kiln-dried, untreated,  [from sustainable forest management practices] (Timberlink, Australia)</v>
      </c>
      <c r="C35" s="132" t="str">
        <v>m³</v>
      </c>
      <c r="D35" s="198">
        <v>154.34325333333334</v>
      </c>
      <c r="E35" s="198">
        <v>0.31370579945799482</v>
      </c>
      <c r="F35" s="198">
        <v>865.33333333333337</v>
      </c>
      <c r="G35" s="198">
        <v>1.7588075880758809</v>
      </c>
      <c r="H35" s="216">
        <v>492</v>
      </c>
      <c r="I35" s="131"/>
    </row>
    <row r="36" spans="1:9" x14ac:dyDescent="0.25">
      <c r="A36" s="133"/>
      <c r="B36" s="204" t="str">
        <v>Softwood (Radiata pine), surfaced, kiln-dried, H3, treated, eg outdoor use, not in contact with ground, non structural [from sustainable forest management practices] (Timberlink, Australia)</v>
      </c>
      <c r="C36" s="132" t="str">
        <v>m³</v>
      </c>
      <c r="D36" s="198">
        <v>160.34343333333334</v>
      </c>
      <c r="E36" s="198">
        <v>0.30368074494949515</v>
      </c>
      <c r="F36" s="198">
        <v>865.33333333333337</v>
      </c>
      <c r="G36" s="198">
        <v>1.6388888888888891</v>
      </c>
      <c r="H36" s="216">
        <v>528</v>
      </c>
      <c r="I36" s="131"/>
    </row>
    <row r="37" spans="1:9" x14ac:dyDescent="0.25">
      <c r="A37" s="133"/>
      <c r="B37" s="204" t="str">
        <v>Softwood (Radiata pine), surfaced, kiln-dried, H2F treated, eg framing [from sustainable forest management practices] (Timberlink, Australia)</v>
      </c>
      <c r="C37" s="132" t="str">
        <v>m³</v>
      </c>
      <c r="D37" s="198">
        <v>184.35193333333336</v>
      </c>
      <c r="E37" s="198">
        <v>0.35047896070975915</v>
      </c>
      <c r="F37" s="198">
        <v>854.33333333333337</v>
      </c>
      <c r="G37" s="198">
        <v>1.6242078580481623</v>
      </c>
      <c r="H37" s="216">
        <v>526</v>
      </c>
      <c r="I37" s="131"/>
    </row>
    <row r="38" spans="1:9" x14ac:dyDescent="0.25">
      <c r="A38" s="133"/>
      <c r="B38" s="204" t="str">
        <v>Softwood (Radiata pine), surfaced, kiln-dried, H3 Copper+DDAX treated,  [majority from sustainable forest management practices] (FWPA)</v>
      </c>
      <c r="C38" s="132" t="str">
        <v>m³</v>
      </c>
      <c r="D38" s="198">
        <v>188.39966666666669</v>
      </c>
      <c r="E38" s="198">
        <v>0.34192316999395067</v>
      </c>
      <c r="F38" s="198">
        <v>888.94666666666672</v>
      </c>
      <c r="G38" s="198">
        <v>1.6133333333333335</v>
      </c>
      <c r="H38" s="216">
        <v>551</v>
      </c>
      <c r="I38" s="131"/>
    </row>
    <row r="39" spans="1:9" x14ac:dyDescent="0.25">
      <c r="A39" s="133"/>
      <c r="B39" s="204" t="str">
        <v>Softwood (Radiata pine), surfaced, kiln-dried, H4 CCA treated, e.g. framing [majority from sustainable forest management practices] (FWPA)</v>
      </c>
      <c r="C39" s="132" t="str">
        <v>m³</v>
      </c>
      <c r="D39" s="198">
        <v>195.70366666666678</v>
      </c>
      <c r="E39" s="198">
        <v>0.35517906836055668</v>
      </c>
      <c r="F39" s="198">
        <v>888.94666666666672</v>
      </c>
      <c r="G39" s="198">
        <v>1.6133333333333335</v>
      </c>
      <c r="H39" s="216">
        <v>551</v>
      </c>
      <c r="I39" s="131"/>
    </row>
    <row r="40" spans="1:9" x14ac:dyDescent="0.25">
      <c r="A40" s="133"/>
      <c r="B40" s="204" t="str">
        <v>Softwood (Radiata pine), surfaced, kiln-dried, H4 Copper Azole treated, e.g. framing [majority from sustainable forest management practices] (FWPA)</v>
      </c>
      <c r="C40" s="132" t="str">
        <v>m³</v>
      </c>
      <c r="D40" s="198">
        <v>189.80876666666677</v>
      </c>
      <c r="E40" s="198">
        <v>0.34448052026618292</v>
      </c>
      <c r="F40" s="198">
        <v>888.94666666666672</v>
      </c>
      <c r="G40" s="198">
        <v>1.6133333333333335</v>
      </c>
      <c r="H40" s="216">
        <v>551</v>
      </c>
      <c r="I40" s="131"/>
    </row>
    <row r="41" spans="1:9" x14ac:dyDescent="0.25">
      <c r="A41" s="133"/>
      <c r="B41" s="204" t="str">
        <v>Softwood (Radiata pine), surfaced, kiln-dried, H3 LOSP treated, e.g. framing [majority from sustainable forest management practices] (FWPA)</v>
      </c>
      <c r="C41" s="132" t="str">
        <v>m³</v>
      </c>
      <c r="D41" s="198">
        <v>230.3896666666667</v>
      </c>
      <c r="E41" s="198">
        <v>0.41813006654567464</v>
      </c>
      <c r="F41" s="198">
        <v>888.94666666666672</v>
      </c>
      <c r="G41" s="198">
        <v>1.6133333333333335</v>
      </c>
      <c r="H41" s="216">
        <v>551</v>
      </c>
      <c r="I41" s="131"/>
    </row>
    <row r="42" spans="1:9" x14ac:dyDescent="0.25">
      <c r="A42" s="133"/>
      <c r="B42" s="204" t="str">
        <v>sawn softwood (Abodo Wood Ltd) (New Zealand)</v>
      </c>
      <c r="C42" s="132" t="str">
        <v>m³</v>
      </c>
      <c r="D42" s="198">
        <v>224</v>
      </c>
      <c r="E42" s="198">
        <v>0.53333333333333344</v>
      </c>
      <c r="F42" s="198">
        <v>716.09999999999991</v>
      </c>
      <c r="G42" s="198">
        <v>1.7049999999999998</v>
      </c>
      <c r="H42" s="216">
        <v>420</v>
      </c>
      <c r="I42" s="131"/>
    </row>
    <row r="43" spans="1:9" x14ac:dyDescent="0.25">
      <c r="A43" s="133"/>
      <c r="B43" s="204" t="str">
        <v>Thermally Modified Timber, surfaced softwood (Abodo Wood Ltd) (New Zealand)</v>
      </c>
      <c r="C43" s="132" t="str">
        <v>m³</v>
      </c>
      <c r="D43" s="198">
        <v>243</v>
      </c>
      <c r="E43" s="198">
        <v>0.57857142857142851</v>
      </c>
      <c r="F43" s="198">
        <v>716.09999999999991</v>
      </c>
      <c r="G43" s="198">
        <v>1.7049999999999998</v>
      </c>
      <c r="H43" s="216">
        <v>420</v>
      </c>
      <c r="I43" s="131"/>
    </row>
    <row r="44" spans="1:9" x14ac:dyDescent="0.25">
      <c r="A44" s="133"/>
      <c r="B44" s="217" t="str">
        <v>Softwood (Radiata pine), surfaced, kiln-dried, H3 CCA treated, [majority from sustainable forest management practices] (FWPA)</v>
      </c>
      <c r="C44" s="218" t="str">
        <v>m³</v>
      </c>
      <c r="D44" s="219">
        <v>261.62986666666677</v>
      </c>
      <c r="E44" s="219">
        <v>0.47482734422262562</v>
      </c>
      <c r="F44" s="219">
        <v>888.94666666666672</v>
      </c>
      <c r="G44" s="219">
        <v>1.6133333333333335</v>
      </c>
      <c r="H44" s="293">
        <v>551</v>
      </c>
      <c r="I44" s="131"/>
    </row>
    <row r="45" spans="1:9" x14ac:dyDescent="0.25">
      <c r="B45" s="130"/>
      <c r="C45" s="130"/>
      <c r="D45" s="207"/>
      <c r="E45" s="207"/>
      <c r="F45" s="207"/>
      <c r="G45" s="207"/>
      <c r="H45" s="130"/>
    </row>
    <row r="90" spans="10:10" x14ac:dyDescent="0.25">
      <c r="J90" s="198"/>
    </row>
  </sheetData>
  <dataValidations disablePrompts="1" count="1">
    <dataValidation type="list" allowBlank="1" showInputMessage="1" showErrorMessage="1" sqref="B6:B9" xr:uid="{9D4E2C62-F045-404E-A12D-0D3F040AD244}">
      <formula1>"Tier 1,Tier 2,Tier 3,Tier 4"</formula1>
    </dataValidation>
  </dataValidations>
  <hyperlinks>
    <hyperlink ref="L15" r:id="rId1" location="overview-of-the-forestry-sector-202122" display="https://www.agriculture.gov.au/abares/research-topics/forests/forest-economics/forest-wood-products-statistics - overview-of-the-forestry-sector-202122" xr:uid="{30D81317-098B-4ADB-8676-D084B9CBA2FD}"/>
  </hyperlinks>
  <pageMargins left="0.7" right="0.7" top="0.75" bottom="0.75" header="0.3" footer="0.3"/>
  <pageSetup paperSize="9" orientation="portrait" horizontalDpi="300" verticalDpi="300"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B688-1DFF-4B37-9F83-466D8A817303}">
  <sheetPr codeName="Sheet96">
    <tabColor rgb="FF00CCFF"/>
  </sheetPr>
  <dimension ref="A1:I90"/>
  <sheetViews>
    <sheetView workbookViewId="0"/>
  </sheetViews>
  <sheetFormatPr defaultColWidth="9.1796875" defaultRowHeight="12.5" x14ac:dyDescent="0.25"/>
  <cols>
    <col min="1" max="1" width="26.2695312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Vinyl flooring</v>
      </c>
    </row>
    <row r="2" spans="1:8" ht="13" x14ac:dyDescent="0.25">
      <c r="A2" s="202"/>
      <c r="C2" s="202"/>
    </row>
    <row r="3" spans="1:8" ht="13" x14ac:dyDescent="0.3">
      <c r="A3" s="227" t="s">
        <v>5626</v>
      </c>
      <c r="B3" s="132" t="s">
        <v>6543</v>
      </c>
    </row>
    <row r="4" spans="1:8" ht="13" x14ac:dyDescent="0.25">
      <c r="A4" s="202"/>
    </row>
    <row r="5" spans="1:8" ht="92.25" customHeight="1" x14ac:dyDescent="0.3">
      <c r="A5" s="227" t="s">
        <v>5628</v>
      </c>
      <c r="B5" s="200" t="s">
        <v>6544</v>
      </c>
      <c r="D5" s="200"/>
      <c r="E5" s="271"/>
    </row>
    <row r="6" spans="1:8" ht="13" x14ac:dyDescent="0.3">
      <c r="A6" s="227" t="s">
        <v>5630</v>
      </c>
      <c r="B6" s="201" t="s">
        <v>73</v>
      </c>
      <c r="D6" s="132"/>
    </row>
    <row r="7" spans="1:8" ht="13" x14ac:dyDescent="0.3">
      <c r="A7" s="227" t="s">
        <v>5631</v>
      </c>
      <c r="B7" s="201" t="s">
        <v>71</v>
      </c>
    </row>
    <row r="8" spans="1:8" ht="13" x14ac:dyDescent="0.3">
      <c r="A8" s="227" t="s">
        <v>5632</v>
      </c>
      <c r="B8" s="201" t="s">
        <v>73</v>
      </c>
    </row>
    <row r="9" spans="1:8" ht="13" x14ac:dyDescent="0.3">
      <c r="A9" s="227" t="s">
        <v>5633</v>
      </c>
      <c r="B9" s="202" t="s">
        <v>73</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5377</v>
      </c>
      <c r="C16" s="316" t="s">
        <v>24</v>
      </c>
      <c r="D16" s="314" t="s">
        <v>146</v>
      </c>
      <c r="E16" s="315" t="s">
        <v>153</v>
      </c>
      <c r="F16" s="314" t="s">
        <v>147</v>
      </c>
      <c r="G16" s="314" t="s">
        <v>154</v>
      </c>
      <c r="H16" s="131"/>
    </row>
    <row r="17" spans="1:9" ht="13" x14ac:dyDescent="0.3">
      <c r="A17" s="133"/>
      <c r="B17" s="211"/>
      <c r="C17" s="212" t="s">
        <v>5636</v>
      </c>
      <c r="D17" s="196" t="str" cm="1">
        <f t="array" ref="D17">IF(AND(_xlfn.ANCHORARRAY(C23)=C23),C23,"Mixed")</f>
        <v>m²</v>
      </c>
      <c r="E17" s="196" t="s">
        <v>2774</v>
      </c>
      <c r="F17" s="196" t="str" cm="1">
        <f t="array" ref="F17">IF(AND(_xlfn.ANCHORARRAY(C23)=C23),C23,"Mixed")</f>
        <v>m²</v>
      </c>
      <c r="G17" s="213" t="s">
        <v>2774</v>
      </c>
      <c r="H17" s="131"/>
    </row>
    <row r="18" spans="1:9" s="200" customFormat="1" ht="13" x14ac:dyDescent="0.3">
      <c r="A18" s="221"/>
      <c r="B18" s="214"/>
      <c r="C18" s="202" t="s">
        <v>5637</v>
      </c>
      <c r="D18" s="198">
        <f>MAX(_xlfn.ANCHORARRAY(D23))</f>
        <v>34.386000000000003</v>
      </c>
      <c r="E18" s="198">
        <f t="shared" ref="E18:G18" si="0">MAX(_xlfn.ANCHORARRAY(E23))</f>
        <v>7.8518518518518512</v>
      </c>
      <c r="F18" s="198">
        <f t="shared" si="0"/>
        <v>0</v>
      </c>
      <c r="G18" s="215">
        <f t="shared" si="0"/>
        <v>0</v>
      </c>
      <c r="H18" s="131"/>
      <c r="I18" s="132"/>
    </row>
    <row r="19" spans="1:9" ht="13" x14ac:dyDescent="0.25">
      <c r="A19" s="133"/>
      <c r="B19" s="204"/>
      <c r="C19" s="202" t="s">
        <v>5638</v>
      </c>
      <c r="D19" s="198">
        <f>MIN(_xlfn.ANCHORARRAY(D23))</f>
        <v>5.6266499999999997</v>
      </c>
      <c r="E19" s="198">
        <f t="shared" ref="E19:G19" si="1">MIN(_xlfn.ANCHORARRAY(E23))</f>
        <v>0.86798095238095241</v>
      </c>
      <c r="F19" s="198">
        <f t="shared" si="1"/>
        <v>0</v>
      </c>
      <c r="G19" s="215">
        <f t="shared" si="1"/>
        <v>0</v>
      </c>
      <c r="H19" s="131"/>
    </row>
    <row r="20" spans="1:9" ht="13" x14ac:dyDescent="0.25">
      <c r="A20" s="133"/>
      <c r="B20" s="204"/>
      <c r="C20" s="202" t="s">
        <v>5639</v>
      </c>
      <c r="D20" s="198">
        <f>AVERAGE(_xlfn.ANCHORARRAY(D23))</f>
        <v>15.914693396117892</v>
      </c>
      <c r="E20" s="198">
        <f t="shared" ref="E20:G20" si="2">AVERAGE(_xlfn.ANCHORARRAY(E23))</f>
        <v>3.1217176134591096</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34">_xlfn.UNIQUE(_xlfn._xlws.FILTER('EPD List'!D:D,ISNUMBER(SEARCH(B16,'EPD List'!C:C)),0))</f>
        <v>Vinyl Flooring, , VINYL FLOORING (LVT, SPC, WPC) (Changzhou Tooyei New Material Co.,ltd) (China)</v>
      </c>
      <c r="C23" s="132" t="str" cm="1">
        <f t="array" ref="C23:C34">_xlfn.IFNA(INDEX('EPD List'!$A:$AB,MATCH(_xlfn.ANCHORARRAY(B23),'EPD List'!$D:$D,0),MATCH(C$16,'EPD List'!$7:$7,0)),"")</f>
        <v>m²</v>
      </c>
      <c r="D23" s="198" cm="1">
        <f t="array" ref="D23:D34">_xlfn.IFNA(VALUE((INDEX('EPD List'!$A:$AD,MATCH(_xlfn.ANCHORARRAY($B23),'EPD List'!$D:$D,0),MATCH(D$16,'EPD List'!$7:$7,0)))),"")</f>
        <v>21.088799999999999</v>
      </c>
      <c r="E23" s="198" cm="1">
        <f t="array" ref="E23:E34">IFERROR(VALUE((INDEX('EPD List'!$A:$AD,MATCH(_xlfn.ANCHORARRAY($B23),'EPD List'!$D:$D,0),MATCH(E$16,'EPD List'!$7:$7,0)))),"")</f>
        <v>2.0084571428571429</v>
      </c>
      <c r="F23" s="198" cm="1">
        <f t="array" ref="F23:F34">_xlfn.IFNA(VALUE((INDEX('EPD List'!$A:$AD,MATCH(_xlfn.ANCHORARRAY($B23),'EPD List'!$D:$D,0),MATCH(F$16,'EPD List'!$7:$7,0)))),"")</f>
        <v>0</v>
      </c>
      <c r="G23" s="215" cm="1">
        <f t="array" ref="G23:G34">IFERROR(VALUE((INDEX('EPD List'!$A:$AD,MATCH(_xlfn.ANCHORARRAY($B23),'EPD List'!$D:$D,0),MATCH(G$16,'EPD List'!$7:$7,0)))),"")</f>
        <v>0</v>
      </c>
      <c r="H23" s="131"/>
    </row>
    <row r="24" spans="1:9" x14ac:dyDescent="0.25">
      <c r="A24" s="133"/>
      <c r="B24" s="204" t="str">
        <v>Vinyl Flooring, , VINYL FLOORING (LVT, SPC, WPC) (BIYORK MATERIALS CANADA INC) (China and Canada)</v>
      </c>
      <c r="C24" s="132" t="str">
        <v>m²</v>
      </c>
      <c r="D24" s="198">
        <v>21.088799999999999</v>
      </c>
      <c r="E24" s="198">
        <v>2.0084571428571429</v>
      </c>
      <c r="F24" s="198">
        <v>0</v>
      </c>
      <c r="G24" s="215">
        <v>0</v>
      </c>
      <c r="H24" s="131"/>
    </row>
    <row r="25" spans="1:9" x14ac:dyDescent="0.25">
      <c r="A25" s="133"/>
      <c r="B25" s="204" t="str">
        <v>Vinyl Flooring, , VINYL FLOORING (LVT, SPC, WPC) (REPUBLIC FLOOR GMBH) (China and Europe)</v>
      </c>
      <c r="C25" s="132" t="str">
        <v>m²</v>
      </c>
      <c r="D25" s="198">
        <v>21.088799999999999</v>
      </c>
      <c r="E25" s="198">
        <v>2.0084571428571429</v>
      </c>
      <c r="F25" s="198">
        <v>0</v>
      </c>
      <c r="G25" s="215">
        <v>0</v>
      </c>
      <c r="H25" s="131"/>
    </row>
    <row r="26" spans="1:9" x14ac:dyDescent="0.25">
      <c r="A26" s="133"/>
      <c r="B26" s="204" t="str">
        <v>Vinyl Flooring, , DIOCO REGAL PLUS 70 VINYL FLOOR DIOCO GREENFLOORING VINYL FLOOR (DIOCO GLOBAL TRADING, S.L.) (Global)</v>
      </c>
      <c r="C26" s="132" t="str">
        <v>m²</v>
      </c>
      <c r="D26" s="198">
        <v>34.386000000000003</v>
      </c>
      <c r="E26" s="198">
        <v>2.2969939879759522</v>
      </c>
      <c r="F26" s="198">
        <v>0</v>
      </c>
      <c r="G26" s="215">
        <v>0</v>
      </c>
      <c r="H26" s="131"/>
    </row>
    <row r="27" spans="1:9" x14ac:dyDescent="0.25">
      <c r="A27" s="133"/>
      <c r="B27" s="204" t="str">
        <v>Vinyl Flooring, , VINYL FLOORING (LVT, SPC, WPC) (JIANGSU ZHENGYOUNG FLOORING DECORATION MATERIAL CO., LTD.) (China)</v>
      </c>
      <c r="C27" s="132" t="str">
        <v>m²</v>
      </c>
      <c r="D27" s="198">
        <v>9.1138000000000012</v>
      </c>
      <c r="E27" s="198">
        <v>0.86798095238095241</v>
      </c>
      <c r="F27" s="198">
        <v>0</v>
      </c>
      <c r="G27" s="215">
        <v>0</v>
      </c>
      <c r="H27" s="131"/>
    </row>
    <row r="28" spans="1:9" x14ac:dyDescent="0.25">
      <c r="A28" s="133"/>
      <c r="B28" s="204" t="str">
        <v>Vinyl Flooring, , Sphera Resilisent Homogeneous Vinyl Floor Covering (Forbo Flooring Systems) (Global)</v>
      </c>
      <c r="C28" s="132" t="str">
        <v>m²</v>
      </c>
      <c r="D28" s="198">
        <v>6.09253</v>
      </c>
      <c r="E28" s="198">
        <v>2.1008724137931036</v>
      </c>
      <c r="F28" s="198">
        <v>0</v>
      </c>
      <c r="G28" s="215">
        <v>0</v>
      </c>
      <c r="H28" s="131"/>
    </row>
    <row r="29" spans="1:9" x14ac:dyDescent="0.25">
      <c r="A29" s="133"/>
      <c r="B29" s="204" t="str">
        <v>Vinyl Flooring, , Step Resilient Heterogeneous Vinyl Floor Covering (Forbo Flooring Systems) (Global)</v>
      </c>
      <c r="C29" s="132" t="str">
        <v>m²</v>
      </c>
      <c r="D29" s="198">
        <v>5.6266499999999997</v>
      </c>
      <c r="E29" s="198">
        <v>2.0460545454545453</v>
      </c>
      <c r="F29" s="198">
        <v>0</v>
      </c>
      <c r="G29" s="215">
        <v>0</v>
      </c>
      <c r="H29" s="131"/>
    </row>
    <row r="30" spans="1:9" x14ac:dyDescent="0.25">
      <c r="A30" s="133"/>
      <c r="B30" s="204" t="str">
        <v>Vinyl Flooring, , Mipolam Evo Homogeneous Commercial Flooring (Gerflor) (North America)</v>
      </c>
      <c r="C30" s="132" t="str">
        <v>m²</v>
      </c>
      <c r="D30" s="198">
        <v>21.2</v>
      </c>
      <c r="E30" s="198">
        <v>7.8518518518518512</v>
      </c>
      <c r="F30" s="198">
        <v>0</v>
      </c>
      <c r="G30" s="215">
        <v>0</v>
      </c>
      <c r="H30" s="131"/>
    </row>
    <row r="31" spans="1:9" x14ac:dyDescent="0.25">
      <c r="A31" s="133"/>
      <c r="B31" s="204" t="str">
        <v>Vinyl Flooring, , Mipolam Evo Homogeneous Commercial Flooring (Gerflor) (Europe)</v>
      </c>
      <c r="C31" s="132" t="str">
        <v>m²</v>
      </c>
      <c r="D31" s="198">
        <v>21.1</v>
      </c>
      <c r="E31" s="198">
        <v>7.8148148148148149</v>
      </c>
      <c r="F31" s="198">
        <v>0</v>
      </c>
      <c r="G31" s="215">
        <v>0</v>
      </c>
      <c r="H31" s="131"/>
    </row>
    <row r="32" spans="1:9" x14ac:dyDescent="0.25">
      <c r="A32" s="133"/>
      <c r="B32" s="204" t="str">
        <v>Vinyl Flooring, , Altro Stronghold 30, 3mm (Altro Ltd) (Global)</v>
      </c>
      <c r="C32" s="132" t="str">
        <v>m²</v>
      </c>
      <c r="D32" s="198">
        <v>8.58</v>
      </c>
      <c r="E32" s="198">
        <v>2.2000000000000002</v>
      </c>
      <c r="F32" s="198">
        <v>0</v>
      </c>
      <c r="G32" s="215">
        <v>0</v>
      </c>
      <c r="H32" s="131"/>
    </row>
    <row r="33" spans="1:8" x14ac:dyDescent="0.25">
      <c r="A33" s="133"/>
      <c r="B33" s="204" t="str">
        <v>Vinyl Flooring, , Excellence (Zeno Project B.V) (Global)</v>
      </c>
      <c r="C33" s="132" t="str">
        <v>m²</v>
      </c>
      <c r="D33" s="198">
        <v>11.2</v>
      </c>
      <c r="E33" s="198">
        <v>2.6666666666666665</v>
      </c>
      <c r="F33" s="198">
        <v>0</v>
      </c>
      <c r="G33" s="215">
        <v>0</v>
      </c>
      <c r="H33" s="131"/>
    </row>
    <row r="34" spans="1:8" x14ac:dyDescent="0.25">
      <c r="A34" s="133"/>
      <c r="B34" s="217" t="str">
        <v>Vinyl Flooring, , Non-coated slip retardant flooring sheet Accolade Safe, Infinity Safe (Armstrong Flooring Pty Ltd) (Global)</v>
      </c>
      <c r="C34" s="218" t="str">
        <v>m²</v>
      </c>
      <c r="D34" s="219">
        <v>10.410940753414723</v>
      </c>
      <c r="E34" s="219">
        <v>3.5900046999999993</v>
      </c>
      <c r="F34" s="219">
        <v>0</v>
      </c>
      <c r="G34" s="220">
        <v>0</v>
      </c>
      <c r="H34" s="131"/>
    </row>
    <row r="35" spans="1:8" x14ac:dyDescent="0.25">
      <c r="B35" s="130"/>
      <c r="C35" s="130"/>
      <c r="D35" s="207"/>
      <c r="E35" s="207"/>
      <c r="F35" s="207"/>
      <c r="G35" s="207"/>
    </row>
    <row r="90" spans="9:9" x14ac:dyDescent="0.25">
      <c r="I90" s="198"/>
    </row>
  </sheetData>
  <dataValidations count="1">
    <dataValidation type="list" allowBlank="1" showInputMessage="1" showErrorMessage="1" sqref="B6:B9" xr:uid="{4FFEDE2B-3F17-4832-A855-DBD4D0D92D7A}">
      <formula1>"Tier 1,Tier 2,Tier 3,Tier 4"</formula1>
    </dataValidation>
  </dataValidations>
  <pageMargins left="0.7" right="0.7" top="0.75" bottom="0.75" header="0.3" footer="0.3"/>
  <pageSetup paperSize="9" orientation="portrait"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ED164-8EAF-4144-B334-C51C04B22DD7}">
  <sheetPr codeName="Sheet116">
    <tabColor rgb="FF00CCFF"/>
  </sheetPr>
  <dimension ref="A1:X80"/>
  <sheetViews>
    <sheetView zoomScale="80" zoomScaleNormal="80" workbookViewId="0"/>
  </sheetViews>
  <sheetFormatPr defaultColWidth="9.1796875" defaultRowHeight="12.5" x14ac:dyDescent="0.25"/>
  <cols>
    <col min="1" max="1" width="29.1796875" style="132" bestFit="1" customWidth="1"/>
    <col min="2" max="2" width="89.26953125" style="132" bestFit="1" customWidth="1"/>
    <col min="3" max="3" width="17.81640625" style="132" bestFit="1" customWidth="1"/>
    <col min="4" max="4" width="26.453125" style="132" bestFit="1" customWidth="1"/>
    <col min="5" max="5" width="25.1796875" style="132" bestFit="1" customWidth="1"/>
    <col min="6" max="6" width="23.7265625" style="132" bestFit="1" customWidth="1"/>
    <col min="7" max="7" width="22.26953125" style="132" bestFit="1" customWidth="1"/>
    <col min="8" max="9" width="9.1796875" style="132" customWidth="1"/>
    <col min="10" max="10" width="44.453125" style="132" bestFit="1" customWidth="1"/>
    <col min="11" max="11" width="8.7265625" style="132" bestFit="1" customWidth="1"/>
    <col min="12" max="12" width="17.7265625" style="132" bestFit="1" customWidth="1"/>
    <col min="13" max="13" width="18.1796875" style="132" bestFit="1" customWidth="1"/>
    <col min="14" max="14" width="17.453125" style="132" bestFit="1" customWidth="1"/>
    <col min="15" max="15" width="13.54296875" style="132" bestFit="1" customWidth="1"/>
    <col min="16" max="16" width="10.1796875" style="132" bestFit="1" customWidth="1"/>
    <col min="17" max="17" width="13.7265625" style="132" bestFit="1" customWidth="1"/>
    <col min="18" max="18" width="22.81640625" style="132" bestFit="1" customWidth="1"/>
    <col min="19" max="19" width="10.54296875" style="132" bestFit="1" customWidth="1"/>
    <col min="20" max="20" width="13" style="132" bestFit="1" customWidth="1"/>
    <col min="21" max="21" width="15.1796875" style="132" bestFit="1" customWidth="1"/>
    <col min="22" max="22" width="21.1796875" style="132" bestFit="1" customWidth="1"/>
    <col min="23" max="23" width="107.54296875" style="132" customWidth="1"/>
    <col min="24" max="24" width="9.1796875" style="132" customWidth="1"/>
    <col min="25" max="16384" width="9.1796875" style="132"/>
  </cols>
  <sheetData>
    <row r="1" spans="1:23" ht="13" x14ac:dyDescent="0.25">
      <c r="A1" s="202" t="str">
        <f>B16</f>
        <v>Generic windows and doors</v>
      </c>
    </row>
    <row r="3" spans="1:23" ht="25" x14ac:dyDescent="0.25">
      <c r="A3" s="282" t="s">
        <v>5626</v>
      </c>
      <c r="B3" s="232" t="s">
        <v>6545</v>
      </c>
    </row>
    <row r="5" spans="1:23" ht="13" x14ac:dyDescent="0.25">
      <c r="A5" s="282" t="s">
        <v>5628</v>
      </c>
      <c r="B5" s="75"/>
    </row>
    <row r="6" spans="1:23" ht="13" x14ac:dyDescent="0.25">
      <c r="A6" s="282" t="s">
        <v>5630</v>
      </c>
      <c r="B6" s="75" t="s">
        <v>75</v>
      </c>
    </row>
    <row r="7" spans="1:23" ht="13" x14ac:dyDescent="0.25">
      <c r="A7" s="282" t="s">
        <v>5631</v>
      </c>
      <c r="B7" s="75" t="s">
        <v>75</v>
      </c>
    </row>
    <row r="8" spans="1:23" ht="13" x14ac:dyDescent="0.25">
      <c r="A8" s="282" t="s">
        <v>5632</v>
      </c>
      <c r="B8" s="75" t="s">
        <v>75</v>
      </c>
    </row>
    <row r="9" spans="1:23" ht="13" x14ac:dyDescent="0.25">
      <c r="A9" s="282" t="s">
        <v>5711</v>
      </c>
      <c r="B9" s="75" t="s">
        <v>75</v>
      </c>
    </row>
    <row r="11" spans="1:23" ht="13" x14ac:dyDescent="0.25">
      <c r="A11" s="282" t="s">
        <v>5634</v>
      </c>
      <c r="B11" s="232"/>
    </row>
    <row r="12" spans="1:23" x14ac:dyDescent="0.25">
      <c r="J12" s="228"/>
      <c r="L12" s="132" t="str" cm="1">
        <f t="array" aca="1" ref="L12:R12" ca="1">INDEX('EF Table_detail'!G:G,MATCH(L16:R16,'EF Table_detail'!B:B,0))</f>
        <v>Tier 2</v>
      </c>
      <c r="M12" s="132" t="str">
        <f ca="1"/>
        <v>Tier 2</v>
      </c>
      <c r="N12" s="132" t="str">
        <f ca="1"/>
        <v>Tier 2</v>
      </c>
      <c r="O12" s="132" t="str">
        <f ca="1"/>
        <v>Tier 4</v>
      </c>
      <c r="P12" s="132" t="str">
        <f ca="1"/>
        <v>Tier 2</v>
      </c>
      <c r="Q12" s="132" t="str">
        <f ca="1"/>
        <v>Tier 2</v>
      </c>
      <c r="R12" s="132" t="str">
        <f ca="1"/>
        <v>Tier 4</v>
      </c>
    </row>
    <row r="13" spans="1:23" x14ac:dyDescent="0.25">
      <c r="J13" s="228"/>
    </row>
    <row r="14" spans="1:23" ht="51" customHeight="1" x14ac:dyDescent="0.3">
      <c r="A14" s="282" t="s">
        <v>5635</v>
      </c>
      <c r="B14" s="232" t="s">
        <v>6546</v>
      </c>
      <c r="D14" s="135"/>
      <c r="E14" s="135"/>
      <c r="F14" s="135"/>
      <c r="G14" s="135"/>
      <c r="J14" s="227"/>
    </row>
    <row r="15" spans="1:23" ht="13" x14ac:dyDescent="0.25">
      <c r="B15" s="135"/>
      <c r="C15" s="136"/>
      <c r="D15" s="286" t="s">
        <v>77</v>
      </c>
      <c r="E15" s="288"/>
      <c r="F15" s="286" t="s">
        <v>5424</v>
      </c>
      <c r="G15" s="287"/>
      <c r="H15" s="131"/>
      <c r="L15" s="202" t="s">
        <v>5771</v>
      </c>
    </row>
    <row r="16" spans="1:23" ht="50" x14ac:dyDescent="0.25">
      <c r="A16" s="133"/>
      <c r="B16" s="294" t="s">
        <v>5807</v>
      </c>
      <c r="C16" s="296" t="s">
        <v>24</v>
      </c>
      <c r="D16" s="295" t="s">
        <v>5719</v>
      </c>
      <c r="E16" s="295" t="s">
        <v>5720</v>
      </c>
      <c r="F16" s="295" t="s">
        <v>5721</v>
      </c>
      <c r="G16" s="295" t="s">
        <v>5722</v>
      </c>
      <c r="H16" s="131"/>
      <c r="J16" s="234" t="s">
        <v>5723</v>
      </c>
      <c r="K16" s="234"/>
      <c r="L16" s="235" t="s">
        <v>2843</v>
      </c>
      <c r="M16" s="235" t="s">
        <v>5546</v>
      </c>
      <c r="N16" s="235" t="s">
        <v>5548</v>
      </c>
      <c r="O16" s="235" t="s">
        <v>3630</v>
      </c>
      <c r="P16" s="235" t="s">
        <v>4749</v>
      </c>
      <c r="Q16" s="235" t="s">
        <v>5493</v>
      </c>
      <c r="R16" s="235" t="s">
        <v>4839</v>
      </c>
      <c r="S16" s="235" t="s">
        <v>5808</v>
      </c>
      <c r="T16" s="235" t="s">
        <v>5821</v>
      </c>
      <c r="U16" s="235" t="s">
        <v>6547</v>
      </c>
      <c r="V16" s="236" t="s">
        <v>5811</v>
      </c>
      <c r="W16" s="237" t="s">
        <v>5442</v>
      </c>
    </row>
    <row r="17" spans="1:24" s="200" customFormat="1" ht="13" x14ac:dyDescent="0.25">
      <c r="A17" s="133"/>
      <c r="B17" s="194" t="s">
        <v>5580</v>
      </c>
      <c r="C17" s="195" t="s">
        <v>5731</v>
      </c>
      <c r="D17" s="289" t="s">
        <v>2789</v>
      </c>
      <c r="E17" s="289" t="s">
        <v>2774</v>
      </c>
      <c r="F17" s="289" t="s">
        <v>2789</v>
      </c>
      <c r="G17" s="290" t="s">
        <v>2774</v>
      </c>
      <c r="H17" s="131"/>
      <c r="I17" s="132"/>
      <c r="J17" s="238" t="str">
        <f>IF(B17&lt;&gt;"",B17,J16)</f>
        <v>Window - aluminium frame - generic</v>
      </c>
      <c r="K17" s="238" t="str">
        <f>C17</f>
        <v>Unit</v>
      </c>
      <c r="L17" s="239" t="str">
        <f>"kg/"&amp;$D17</f>
        <v>kg/m²</v>
      </c>
      <c r="M17" s="239" t="str">
        <f t="shared" ref="M17:R17" si="0">"kg/"&amp;$D17</f>
        <v>kg/m²</v>
      </c>
      <c r="N17" s="239" t="str">
        <f t="shared" si="0"/>
        <v>kg/m²</v>
      </c>
      <c r="O17" s="239" t="str">
        <f t="shared" si="0"/>
        <v>kg/m²</v>
      </c>
      <c r="P17" s="239" t="str">
        <f t="shared" si="0"/>
        <v>kg/m²</v>
      </c>
      <c r="Q17" s="239" t="str">
        <f t="shared" si="0"/>
        <v>kg/m²</v>
      </c>
      <c r="R17" s="239" t="str">
        <f t="shared" si="0"/>
        <v>kg/m²</v>
      </c>
      <c r="S17" s="240"/>
      <c r="T17" s="239" t="str">
        <f>"kWh/"&amp;$D17</f>
        <v>kWh/m²</v>
      </c>
      <c r="U17" s="239" t="s">
        <v>6475</v>
      </c>
      <c r="V17" s="132"/>
      <c r="W17" s="132"/>
      <c r="X17" s="132"/>
    </row>
    <row r="18" spans="1:24" x14ac:dyDescent="0.25">
      <c r="A18" s="133"/>
      <c r="B18" s="204"/>
      <c r="C18" s="132" t="s">
        <v>32</v>
      </c>
      <c r="D18" s="132" cm="1">
        <f t="array" aca="1" ref="D18" ca="1">SUMPRODUCT($L18:$R18,INDEX('EF Table_detail'!$R:$R,MATCH($L$16:$R$16,'EF Table_detail'!$B:$B,0)))+T18*0.92</f>
        <v>254.68802557153847</v>
      </c>
      <c r="E18" s="132">
        <f ca="1">D18/$U18</f>
        <v>11.073392416153848</v>
      </c>
      <c r="F18" s="132" cm="1">
        <f t="array" aca="1" ref="F18" ca="1">SUMPRODUCT($L18:$R18*(1+$S18),INDEX('EF Table_detail'!$V:$V,MATCH($L$16:$R$16,'EF Table_detail'!$B:$B,0)))</f>
        <v>0</v>
      </c>
      <c r="G18" s="216">
        <f ca="1">F18/$U18</f>
        <v>0</v>
      </c>
      <c r="H18" s="131"/>
      <c r="J18" s="238" t="str">
        <f>IF(B18&lt;&gt;"",B18,J17)</f>
        <v>Window - aluminium frame - generic</v>
      </c>
      <c r="K18" s="238" t="str">
        <f t="shared" ref="K18:K52" si="1">C18</f>
        <v>Max in category EF</v>
      </c>
      <c r="L18" s="132">
        <f>0.28*U18*(1+S18)</f>
        <v>6.7620000000000005</v>
      </c>
      <c r="M18" s="132">
        <f>0.0134*U18*(1+S18)</f>
        <v>0.32361000000000006</v>
      </c>
      <c r="N18" s="132">
        <f>0.0012*U18*(1+S18)</f>
        <v>2.8979999999999999E-2</v>
      </c>
      <c r="O18" s="132">
        <f>0.629*U18*(1+S18)</f>
        <v>15.19035</v>
      </c>
      <c r="R18" s="132">
        <f>0.0048*U18*(1+S18)</f>
        <v>0.11592</v>
      </c>
      <c r="S18" s="240">
        <v>0.05</v>
      </c>
      <c r="T18" s="132">
        <f>SUM(L18:R18)*0.1</f>
        <v>2.242086</v>
      </c>
      <c r="U18" s="132">
        <v>23</v>
      </c>
      <c r="V18" s="241" t="s">
        <v>6548</v>
      </c>
      <c r="W18" s="132" t="s">
        <v>5822</v>
      </c>
    </row>
    <row r="19" spans="1:24" x14ac:dyDescent="0.25">
      <c r="A19" s="133"/>
      <c r="B19" s="204"/>
      <c r="C19" s="132" t="s">
        <v>34</v>
      </c>
      <c r="D19" s="132" cm="1">
        <f t="array" aca="1" ref="D19" ca="1">SUMPRODUCT($L18:$R18*(1+$S18),INDEX('EF Table_detail'!$O:$O,MATCH($L$16:$R$16,'EF Table_detail'!$B:$B,0)))+$T18*0.92</f>
        <v>46.730477480925003</v>
      </c>
      <c r="E19" s="132">
        <f ca="1">D19/$U18</f>
        <v>2.0317598904750001</v>
      </c>
      <c r="G19" s="216"/>
      <c r="H19" s="131"/>
      <c r="J19" s="238" t="str">
        <f>IF(B19&lt;&gt;"",B19,J18)</f>
        <v>Window - aluminium frame - generic</v>
      </c>
      <c r="K19" s="238" t="str">
        <f t="shared" si="1"/>
        <v>Min in category EF</v>
      </c>
    </row>
    <row r="20" spans="1:24" x14ac:dyDescent="0.25">
      <c r="A20" s="133"/>
      <c r="B20" s="204"/>
      <c r="C20" s="132" t="s">
        <v>36</v>
      </c>
      <c r="D20" s="132" cm="1">
        <f t="array" aca="1" ref="D20" ca="1">SUMPRODUCT($L18:$R18*(1+$S18),INDEX('EF Table_detail'!$P:$P,MATCH($L$16:$R$16,'EF Table_detail'!$B:$B,0)))+$T18*0.92</f>
        <v>159.28532210400789</v>
      </c>
      <c r="E20" s="132">
        <f ca="1">D20/$U18</f>
        <v>6.9254487871307777</v>
      </c>
      <c r="F20" s="132" cm="1">
        <f t="array" aca="1" ref="F20" ca="1">SUMPRODUCT($L18:$R18*(1+$S18),INDEX('EF Table_detail'!$W:$W,MATCH($L$16:$R$16,'EF Table_detail'!$B:$B,0)))</f>
        <v>0</v>
      </c>
      <c r="G20" s="216">
        <f ca="1">F20/$U18</f>
        <v>0</v>
      </c>
      <c r="H20" s="131"/>
      <c r="J20" s="238" t="str">
        <f>IF(B20&lt;&gt;"",B20,J19)</f>
        <v>Window - aluminium frame - generic</v>
      </c>
      <c r="K20" s="238" t="str">
        <f t="shared" si="1"/>
        <v>Average EF</v>
      </c>
    </row>
    <row r="21" spans="1:24" ht="13" x14ac:dyDescent="0.25">
      <c r="A21" s="133"/>
      <c r="B21" s="197" t="s">
        <v>5583</v>
      </c>
      <c r="C21" s="132" t="s">
        <v>5731</v>
      </c>
      <c r="D21" s="239" t="s">
        <v>2789</v>
      </c>
      <c r="E21" s="239" t="s">
        <v>2774</v>
      </c>
      <c r="F21" s="239" t="s">
        <v>2789</v>
      </c>
      <c r="G21" s="291" t="s">
        <v>2774</v>
      </c>
      <c r="H21" s="131"/>
      <c r="J21" s="238" t="str">
        <f t="shared" ref="J21:J52" si="2">IF(B21&lt;&gt;"",B21,J20)</f>
        <v>Door - timber with glazing - generic</v>
      </c>
      <c r="K21" s="238" t="str">
        <f t="shared" si="1"/>
        <v>Unit</v>
      </c>
      <c r="L21" s="239" t="str">
        <f t="shared" ref="L21:R21" si="3">"kg/"&amp;$D21</f>
        <v>kg/m²</v>
      </c>
      <c r="M21" s="239" t="str">
        <f t="shared" si="3"/>
        <v>kg/m²</v>
      </c>
      <c r="N21" s="239" t="str">
        <f t="shared" si="3"/>
        <v>kg/m²</v>
      </c>
      <c r="O21" s="239" t="str">
        <f t="shared" si="3"/>
        <v>kg/m²</v>
      </c>
      <c r="P21" s="239" t="str">
        <f t="shared" si="3"/>
        <v>kg/m²</v>
      </c>
      <c r="Q21" s="239" t="str">
        <f t="shared" si="3"/>
        <v>kg/m²</v>
      </c>
      <c r="R21" s="239" t="str">
        <f t="shared" si="3"/>
        <v>kg/m²</v>
      </c>
      <c r="S21" s="240"/>
      <c r="T21" s="239" t="str">
        <f t="shared" ref="T21" si="4">"kWh/"&amp;$D21</f>
        <v>kWh/m²</v>
      </c>
      <c r="U21" s="239" t="s">
        <v>6475</v>
      </c>
    </row>
    <row r="22" spans="1:24" x14ac:dyDescent="0.25">
      <c r="A22" s="133"/>
      <c r="B22" s="204"/>
      <c r="C22" s="132" t="s">
        <v>32</v>
      </c>
      <c r="D22" s="132" cm="1">
        <f t="array" aca="1" ref="D22" ca="1">SUMPRODUCT($L22:$R22*(1+$S22),INDEX('EF Table_detail'!$R:$R,MATCH($L$16:$R$16,'EF Table_detail'!$B:$B,0)))+T22*0.92</f>
        <v>78.434165737992515</v>
      </c>
      <c r="E22" s="132">
        <f ca="1">D22/$U22</f>
        <v>1.8501867589153853</v>
      </c>
      <c r="F22" s="132" cm="1">
        <f t="array" aca="1" ref="F22" ca="1">SUMPRODUCT($L22:$R22*(1+$S22),INDEX('EF Table_detail'!$V:$V,MATCH($L$16:$R$16,'EF Table_detail'!$B:$B,0)))</f>
        <v>29.304603658536585</v>
      </c>
      <c r="G22" s="216">
        <f ca="1">F22/$U22</f>
        <v>0.69126750000000003</v>
      </c>
      <c r="H22" s="131"/>
      <c r="J22" s="238" t="str">
        <f t="shared" si="2"/>
        <v>Door - timber with glazing - generic</v>
      </c>
      <c r="K22" s="238" t="str">
        <f t="shared" si="1"/>
        <v>Max in category EF</v>
      </c>
      <c r="L22" s="132">
        <v>0</v>
      </c>
      <c r="M22" s="132">
        <v>0</v>
      </c>
      <c r="N22" s="132">
        <v>0</v>
      </c>
      <c r="O22" s="132">
        <f>0.527*U22</f>
        <v>22.340882694541232</v>
      </c>
      <c r="P22" s="132">
        <f>(0.197+0.138+0.064)*U22</f>
        <v>16.914634146341463</v>
      </c>
      <c r="Q22" s="132">
        <f>0.025*U22</f>
        <v>1.0598141695702672</v>
      </c>
      <c r="S22" s="240">
        <v>0.05</v>
      </c>
      <c r="T22" s="132">
        <f>SUM(L22:R22)*(1+S22)*0.1</f>
        <v>4.2331097560975612</v>
      </c>
      <c r="U22" s="132">
        <f>73/(0.82*2.1)</f>
        <v>42.392566782810682</v>
      </c>
      <c r="V22" s="241" t="s">
        <v>4008</v>
      </c>
      <c r="W22" s="132" t="s">
        <v>5822</v>
      </c>
    </row>
    <row r="23" spans="1:24" x14ac:dyDescent="0.25">
      <c r="A23" s="133"/>
      <c r="B23" s="204"/>
      <c r="C23" s="132" t="s">
        <v>34</v>
      </c>
      <c r="D23" s="132" cm="1">
        <f t="array" aca="1" ref="D23" ca="1">SUMPRODUCT($L22:$R22*(1+$S22),INDEX('EF Table_detail'!$O:$O,MATCH($L$16:$R$16,'EF Table_detail'!$B:$B,0)))+$T22*0.92</f>
        <v>34.962369903056228</v>
      </c>
      <c r="E23" s="132">
        <f ca="1">D23/$U22</f>
        <v>0.82472878045291542</v>
      </c>
      <c r="G23" s="216"/>
      <c r="H23" s="131"/>
      <c r="J23" s="238" t="str">
        <f t="shared" si="2"/>
        <v>Door - timber with glazing - generic</v>
      </c>
      <c r="K23" s="238" t="str">
        <f t="shared" si="1"/>
        <v>Min in category EF</v>
      </c>
    </row>
    <row r="24" spans="1:24" x14ac:dyDescent="0.25">
      <c r="A24" s="133"/>
      <c r="B24" s="204"/>
      <c r="C24" s="132" t="s">
        <v>36</v>
      </c>
      <c r="D24" s="132" cm="1">
        <f t="array" aca="1" ref="D24" ca="1">SUMPRODUCT($L22:$R22*(1+$S22),INDEX('EF Table_detail'!$P:$P,MATCH($L$16:$R$16,'EF Table_detail'!$B:$B,0)))+$T22*0.92</f>
        <v>54.461737479109765</v>
      </c>
      <c r="E24" s="132">
        <f ca="1">D24/$U22</f>
        <v>1.2847001635483153</v>
      </c>
      <c r="F24" s="132" cm="1">
        <f t="array" aca="1" ref="F24" ca="1">SUMPRODUCT($L22:$R22*(1+$S22),INDEX('EF Table_detail'!$W:$W,MATCH($L$16:$R$16,'EF Table_detail'!$B:$B,0)))</f>
        <v>27.401056754221397</v>
      </c>
      <c r="G24" s="216">
        <f ca="1">F24/$U22</f>
        <v>0.64636465384615405</v>
      </c>
      <c r="H24" s="131"/>
      <c r="J24" s="238" t="str">
        <f t="shared" si="2"/>
        <v>Door - timber with glazing - generic</v>
      </c>
      <c r="K24" s="238" t="str">
        <f t="shared" si="1"/>
        <v>Average EF</v>
      </c>
    </row>
    <row r="25" spans="1:24" ht="13" x14ac:dyDescent="0.25">
      <c r="A25" s="133"/>
      <c r="B25" s="197" t="s">
        <v>5584</v>
      </c>
      <c r="C25" s="132" t="s">
        <v>5731</v>
      </c>
      <c r="D25" s="239" t="s">
        <v>2789</v>
      </c>
      <c r="E25" s="239" t="s">
        <v>2774</v>
      </c>
      <c r="F25" s="239" t="s">
        <v>2789</v>
      </c>
      <c r="G25" s="291" t="s">
        <v>2774</v>
      </c>
      <c r="H25" s="131"/>
      <c r="J25" s="238" t="str">
        <f t="shared" si="2"/>
        <v>Door - steel with glazing - generic</v>
      </c>
      <c r="K25" s="238" t="str">
        <f t="shared" si="1"/>
        <v>Unit</v>
      </c>
      <c r="L25" s="239" t="str">
        <f t="shared" ref="L25:R25" si="5">"kg/"&amp;$D25</f>
        <v>kg/m²</v>
      </c>
      <c r="M25" s="239" t="str">
        <f t="shared" si="5"/>
        <v>kg/m²</v>
      </c>
      <c r="N25" s="239" t="str">
        <f t="shared" si="5"/>
        <v>kg/m²</v>
      </c>
      <c r="O25" s="239" t="str">
        <f t="shared" si="5"/>
        <v>kg/m²</v>
      </c>
      <c r="P25" s="239" t="str">
        <f t="shared" si="5"/>
        <v>kg/m²</v>
      </c>
      <c r="Q25" s="239" t="str">
        <f t="shared" si="5"/>
        <v>kg/m²</v>
      </c>
      <c r="R25" s="239" t="str">
        <f t="shared" si="5"/>
        <v>kg/m²</v>
      </c>
      <c r="S25" s="240"/>
      <c r="T25" s="239" t="str">
        <f t="shared" ref="T25" si="6">"kWh/"&amp;$D25</f>
        <v>kWh/m²</v>
      </c>
      <c r="U25" s="239" t="s">
        <v>6475</v>
      </c>
    </row>
    <row r="26" spans="1:24" x14ac:dyDescent="0.25">
      <c r="A26" s="133"/>
      <c r="B26" s="204"/>
      <c r="C26" s="132" t="s">
        <v>32</v>
      </c>
      <c r="D26" s="132" cm="1">
        <f t="array" aca="1" ref="D26" ca="1">SUMPRODUCT($L26:$R26*(1+$S26),INDEX('EF Table_detail'!$R:$R,MATCH($L$16:$R$16,'EF Table_detail'!$B:$B,0)))+T26*0.92</f>
        <v>189.96418810384617</v>
      </c>
      <c r="E26" s="132">
        <f ca="1">D26/$U26</f>
        <v>3.6715150387291486</v>
      </c>
      <c r="F26" s="132" cm="1">
        <f t="array" aca="1" ref="F26" ca="1">SUMPRODUCT($L26:$R26*(1+$S26),INDEX('EF Table_detail'!$V:$V,MATCH($L$16:$R$16,'EF Table_detail'!$B:$B,0)))</f>
        <v>0</v>
      </c>
      <c r="G26" s="216">
        <f ca="1">F26/$U26</f>
        <v>0</v>
      </c>
      <c r="H26" s="131"/>
      <c r="J26" s="238" t="str">
        <f t="shared" si="2"/>
        <v>Door - steel with glazing - generic</v>
      </c>
      <c r="K26" s="238" t="str">
        <f t="shared" si="1"/>
        <v>Max in category EF</v>
      </c>
      <c r="O26" s="132">
        <f>20.04*(1+S26)</f>
        <v>21.042000000000002</v>
      </c>
      <c r="Q26" s="132">
        <f>26.86*(1+S26)</f>
        <v>28.202999999999999</v>
      </c>
      <c r="R26" s="132">
        <f>(1.05+0.84)*(1+S26)</f>
        <v>1.9845000000000002</v>
      </c>
      <c r="S26" s="240">
        <v>0.05</v>
      </c>
      <c r="T26" s="132">
        <f>SUM(L26:R26)*(1+S26)*0.1</f>
        <v>5.3790975000000003</v>
      </c>
      <c r="U26" s="132">
        <v>51.74</v>
      </c>
      <c r="V26" s="241" t="s">
        <v>6549</v>
      </c>
      <c r="W26" s="132" t="s">
        <v>5822</v>
      </c>
    </row>
    <row r="27" spans="1:24" x14ac:dyDescent="0.25">
      <c r="A27" s="133"/>
      <c r="B27" s="204"/>
      <c r="C27" s="132" t="s">
        <v>34</v>
      </c>
      <c r="D27" s="132" cm="1">
        <f t="array" aca="1" ref="D27" ca="1">SUMPRODUCT($L26:$R26*(1+$S26),INDEX('EF Table_detail'!$O:$O,MATCH($L$16:$R$16,'EF Table_detail'!$B:$B,0)))+$T26*0.92</f>
        <v>115.80482759297658</v>
      </c>
      <c r="E27" s="132">
        <f ca="1">D27/$U26</f>
        <v>2.2382069499995474</v>
      </c>
      <c r="G27" s="216"/>
      <c r="H27" s="131"/>
      <c r="J27" s="238" t="str">
        <f t="shared" si="2"/>
        <v>Door - steel with glazing - generic</v>
      </c>
      <c r="K27" s="238" t="str">
        <f t="shared" si="1"/>
        <v>Min in category EF</v>
      </c>
    </row>
    <row r="28" spans="1:24" x14ac:dyDescent="0.25">
      <c r="A28" s="133"/>
      <c r="B28" s="204"/>
      <c r="C28" s="132" t="s">
        <v>36</v>
      </c>
      <c r="D28" s="132" cm="1">
        <f t="array" aca="1" ref="D28" ca="1">SUMPRODUCT($L26:$R26*(1+$S26),INDEX('EF Table_detail'!$P:$P,MATCH($L$16:$R$16,'EF Table_detail'!$B:$B,0)))+$T26*0.92</f>
        <v>138.15751391304585</v>
      </c>
      <c r="E28" s="132">
        <f ca="1">D28/$U26</f>
        <v>2.6702263995563555</v>
      </c>
      <c r="F28" s="132" cm="1">
        <f t="array" aca="1" ref="F28" ca="1">SUMPRODUCT($L26:$R26*(1+$S26),INDEX('EF Table_detail'!$W:$W,MATCH($L$16:$R$16,'EF Table_detail'!$B:$B,0)))</f>
        <v>0</v>
      </c>
      <c r="G28" s="216">
        <f ca="1">F28/$U26</f>
        <v>0</v>
      </c>
      <c r="H28" s="131"/>
      <c r="J28" s="238" t="str">
        <f t="shared" si="2"/>
        <v>Door - steel with glazing - generic</v>
      </c>
      <c r="K28" s="238" t="str">
        <f t="shared" si="1"/>
        <v>Average EF</v>
      </c>
    </row>
    <row r="29" spans="1:24" ht="13" x14ac:dyDescent="0.25">
      <c r="A29" s="133"/>
      <c r="B29" s="197" t="s">
        <v>5585</v>
      </c>
      <c r="C29" s="132" t="s">
        <v>5731</v>
      </c>
      <c r="D29" s="239" t="s">
        <v>2789</v>
      </c>
      <c r="E29" s="239" t="s">
        <v>2774</v>
      </c>
      <c r="F29" s="239" t="s">
        <v>2789</v>
      </c>
      <c r="G29" s="291" t="s">
        <v>2774</v>
      </c>
      <c r="H29" s="131"/>
      <c r="J29" s="238" t="str">
        <f t="shared" si="2"/>
        <v>Door - fully glazed - minor aluminium frame - generic</v>
      </c>
      <c r="K29" s="238" t="str">
        <f t="shared" si="1"/>
        <v>Unit</v>
      </c>
      <c r="L29" s="239" t="str">
        <f t="shared" ref="L29:R29" si="7">"kg/"&amp;$D29</f>
        <v>kg/m²</v>
      </c>
      <c r="M29" s="239" t="str">
        <f t="shared" si="7"/>
        <v>kg/m²</v>
      </c>
      <c r="N29" s="239" t="str">
        <f t="shared" si="7"/>
        <v>kg/m²</v>
      </c>
      <c r="O29" s="239" t="str">
        <f t="shared" si="7"/>
        <v>kg/m²</v>
      </c>
      <c r="P29" s="239" t="str">
        <f t="shared" si="7"/>
        <v>kg/m²</v>
      </c>
      <c r="Q29" s="239" t="str">
        <f t="shared" si="7"/>
        <v>kg/m²</v>
      </c>
      <c r="R29" s="239" t="str">
        <f t="shared" si="7"/>
        <v>kg/m²</v>
      </c>
      <c r="S29" s="240"/>
      <c r="T29" s="239" t="str">
        <f t="shared" ref="T29" si="8">"kWh/"&amp;$D29</f>
        <v>kWh/m²</v>
      </c>
      <c r="U29" s="239" t="s">
        <v>6475</v>
      </c>
    </row>
    <row r="30" spans="1:24" x14ac:dyDescent="0.25">
      <c r="A30" s="133"/>
      <c r="B30" s="204"/>
      <c r="C30" s="132" t="s">
        <v>32</v>
      </c>
      <c r="D30" s="132" cm="1">
        <f t="array" aca="1" ref="D30" ca="1">SUMPRODUCT($L30:$R30*(1+$S30),INDEX('EF Table_detail'!$R:$R,MATCH($L$16:$R$16,'EF Table_detail'!$B:$B,0)))+T30*0.92</f>
        <v>322.27605173076927</v>
      </c>
      <c r="E30" s="132">
        <f ca="1">D30/$U30</f>
        <v>7.3244557211538472</v>
      </c>
      <c r="F30" s="132" cm="1">
        <f t="array" aca="1" ref="F30" ca="1">SUMPRODUCT($L30:$R30*(1+$S30),INDEX('EF Table_detail'!$V:$V,MATCH($L$16:$R$16,'EF Table_detail'!$B:$B,0)))</f>
        <v>0</v>
      </c>
      <c r="G30" s="216">
        <f ca="1">F30/$U30</f>
        <v>0</v>
      </c>
      <c r="H30" s="131"/>
      <c r="J30" s="238" t="str">
        <f t="shared" si="2"/>
        <v>Door - fully glazed - minor aluminium frame - generic</v>
      </c>
      <c r="K30" s="238" t="str">
        <f t="shared" si="1"/>
        <v>Max in category EF</v>
      </c>
      <c r="L30" s="132">
        <f>6.9</f>
        <v>6.9</v>
      </c>
      <c r="O30" s="132">
        <f>35*(1+S30)</f>
        <v>36.75</v>
      </c>
      <c r="Q30" s="132">
        <f>1*(1+S30)</f>
        <v>1.05</v>
      </c>
      <c r="R30" s="132">
        <f>0.4*(1+S30)</f>
        <v>0.42000000000000004</v>
      </c>
      <c r="S30" s="240">
        <v>0.05</v>
      </c>
      <c r="T30" s="132">
        <f>SUM(L30:R30)*(1+S30)*0.1</f>
        <v>4.7375999999999996</v>
      </c>
      <c r="U30" s="132">
        <v>44</v>
      </c>
      <c r="V30" s="241" t="s">
        <v>6550</v>
      </c>
      <c r="W30" s="132" t="s">
        <v>5822</v>
      </c>
    </row>
    <row r="31" spans="1:24" x14ac:dyDescent="0.25">
      <c r="A31" s="133"/>
      <c r="B31" s="204"/>
      <c r="C31" s="132" t="s">
        <v>34</v>
      </c>
      <c r="D31" s="132" cm="1">
        <f t="array" aca="1" ref="D31" ca="1">SUMPRODUCT($L30:$R30*(1+$S30),INDEX('EF Table_detail'!$O:$O,MATCH($L$16:$R$16,'EF Table_detail'!$B:$B,0)))+$T30*0.92</f>
        <v>76.359900890468239</v>
      </c>
      <c r="E31" s="132">
        <f ca="1">D31/$U30</f>
        <v>1.7354522929651872</v>
      </c>
      <c r="G31" s="216"/>
      <c r="H31" s="131"/>
      <c r="J31" s="238" t="str">
        <f t="shared" si="2"/>
        <v>Door - fully glazed - minor aluminium frame - generic</v>
      </c>
      <c r="K31" s="238" t="str">
        <f t="shared" si="1"/>
        <v>Min in category EF</v>
      </c>
    </row>
    <row r="32" spans="1:24" x14ac:dyDescent="0.25">
      <c r="A32" s="133"/>
      <c r="B32" s="204"/>
      <c r="C32" s="132" t="s">
        <v>36</v>
      </c>
      <c r="D32" s="132" cm="1">
        <f t="array" aca="1" ref="D32" ca="1">SUMPRODUCT($L30:$R30*(1+$S30),INDEX('EF Table_detail'!$P:$P,MATCH($L$16:$R$16,'EF Table_detail'!$B:$B,0)))+$T30*0.92</f>
        <v>199.33829419479162</v>
      </c>
      <c r="E32" s="132">
        <f ca="1">D32/$U30</f>
        <v>4.5304157771543547</v>
      </c>
      <c r="F32" s="132" cm="1">
        <f t="array" aca="1" ref="F32" ca="1">SUMPRODUCT($L30:$R30*(1+$S30),INDEX('EF Table_detail'!$W:$W,MATCH($L$16:$R$16,'EF Table_detail'!$B:$B,0)))</f>
        <v>0</v>
      </c>
      <c r="G32" s="216">
        <f ca="1">F32/$U30</f>
        <v>0</v>
      </c>
      <c r="H32" s="131"/>
      <c r="J32" s="238" t="str">
        <f t="shared" si="2"/>
        <v>Door - fully glazed - minor aluminium frame - generic</v>
      </c>
      <c r="K32" s="238" t="str">
        <f t="shared" si="1"/>
        <v>Average EF</v>
      </c>
    </row>
    <row r="33" spans="1:23" ht="13" x14ac:dyDescent="0.25">
      <c r="A33" s="133"/>
      <c r="B33" s="197" t="s">
        <v>5586</v>
      </c>
      <c r="C33" s="132" t="s">
        <v>5731</v>
      </c>
      <c r="D33" s="239" t="s">
        <v>2789</v>
      </c>
      <c r="E33" s="239" t="s">
        <v>2774</v>
      </c>
      <c r="F33" s="239" t="s">
        <v>2789</v>
      </c>
      <c r="G33" s="291" t="s">
        <v>2774</v>
      </c>
      <c r="H33" s="131"/>
      <c r="J33" s="238" t="str">
        <f t="shared" si="2"/>
        <v>Door - aluminium with glazing - generic</v>
      </c>
      <c r="K33" s="238" t="str">
        <f t="shared" si="1"/>
        <v>Unit</v>
      </c>
      <c r="L33" s="239" t="str">
        <f t="shared" ref="L33:R33" si="9">"kg/"&amp;$D33</f>
        <v>kg/m²</v>
      </c>
      <c r="M33" s="239" t="str">
        <f t="shared" si="9"/>
        <v>kg/m²</v>
      </c>
      <c r="N33" s="239" t="str">
        <f t="shared" si="9"/>
        <v>kg/m²</v>
      </c>
      <c r="O33" s="239" t="str">
        <f t="shared" si="9"/>
        <v>kg/m²</v>
      </c>
      <c r="P33" s="239" t="str">
        <f t="shared" si="9"/>
        <v>kg/m²</v>
      </c>
      <c r="Q33" s="239" t="str">
        <f t="shared" si="9"/>
        <v>kg/m²</v>
      </c>
      <c r="R33" s="239" t="str">
        <f t="shared" si="9"/>
        <v>kg/m²</v>
      </c>
      <c r="S33" s="240"/>
      <c r="T33" s="239" t="str">
        <f t="shared" ref="T33" si="10">"kWh/"&amp;$D33</f>
        <v>kWh/m²</v>
      </c>
      <c r="U33" s="239" t="s">
        <v>6475</v>
      </c>
    </row>
    <row r="34" spans="1:23" x14ac:dyDescent="0.25">
      <c r="A34" s="133"/>
      <c r="B34" s="204"/>
      <c r="C34" s="132" t="s">
        <v>32</v>
      </c>
      <c r="D34" s="132" cm="1">
        <f t="array" aca="1" ref="D34" ca="1">SUMPRODUCT($L34:$R34*(1+$S34),INDEX('EF Table_detail'!$R:$R,MATCH($L$16:$R$16,'EF Table_detail'!$B:$B,0)))+T34*0.92</f>
        <v>414.76848201519238</v>
      </c>
      <c r="E34" s="132">
        <f ca="1">D34/$U34</f>
        <v>14.253212440384617</v>
      </c>
      <c r="F34" s="132" cm="1">
        <f t="array" aca="1" ref="F34" ca="1">SUMPRODUCT($L34:$R34*(1+$S34),INDEX('EF Table_detail'!$V:$V,MATCH($L$16:$R$16,'EF Table_detail'!$B:$B,0)))</f>
        <v>0</v>
      </c>
      <c r="G34" s="216">
        <f ca="1">F34/$U34</f>
        <v>0</v>
      </c>
      <c r="H34" s="131"/>
      <c r="J34" s="238" t="str">
        <f t="shared" si="2"/>
        <v>Door - aluminium with glazing - generic</v>
      </c>
      <c r="K34" s="238" t="str">
        <f t="shared" si="1"/>
        <v>Max in category EF</v>
      </c>
      <c r="L34" s="132">
        <f>0.355*U34*(1+S34)</f>
        <v>10.847025</v>
      </c>
      <c r="M34" s="132">
        <f>0.017*U34*(1+S34)</f>
        <v>0.51943500000000009</v>
      </c>
      <c r="N34" s="132">
        <f>0.0015*U34*(1+S34)</f>
        <v>4.5832500000000005E-2</v>
      </c>
      <c r="O34" s="132">
        <f>0.535*U34*(1+S34)</f>
        <v>16.346925000000002</v>
      </c>
      <c r="R34" s="132">
        <f>(0.0253+0.0007+0.0139)*U34*(1+S34)</f>
        <v>1.2191445000000001</v>
      </c>
      <c r="S34" s="240">
        <v>0.05</v>
      </c>
      <c r="T34" s="132">
        <f>SUM(L34:R34)*(1+S34)*0.1</f>
        <v>3.0427280100000003</v>
      </c>
      <c r="U34" s="132">
        <v>29.1</v>
      </c>
      <c r="V34" s="241" t="s">
        <v>6548</v>
      </c>
      <c r="W34" s="132" t="s">
        <v>5822</v>
      </c>
    </row>
    <row r="35" spans="1:23" x14ac:dyDescent="0.25">
      <c r="A35" s="133"/>
      <c r="B35" s="204"/>
      <c r="C35" s="132" t="s">
        <v>34</v>
      </c>
      <c r="D35" s="132" cm="1">
        <f t="array" aca="1" ref="D35" ca="1">SUMPRODUCT($L34:$R34*(1+$S34),INDEX('EF Table_detail'!$O:$O,MATCH($L$16:$R$16,'EF Table_detail'!$B:$B,0)))+$T34*0.92</f>
        <v>68.222614785018763</v>
      </c>
      <c r="E35" s="132">
        <f ca="1">D35/$U34</f>
        <v>2.3444197520625005</v>
      </c>
      <c r="G35" s="216"/>
      <c r="H35" s="131"/>
      <c r="J35" s="238" t="str">
        <f t="shared" si="2"/>
        <v>Door - aluminium with glazing - generic</v>
      </c>
      <c r="K35" s="238" t="str">
        <f t="shared" si="1"/>
        <v>Min in category EF</v>
      </c>
    </row>
    <row r="36" spans="1:23" x14ac:dyDescent="0.25">
      <c r="A36" s="133"/>
      <c r="B36" s="204"/>
      <c r="C36" s="132" t="s">
        <v>36</v>
      </c>
      <c r="D36" s="132" cm="1">
        <f t="array" aca="1" ref="D36" ca="1">SUMPRODUCT($L34:$R34*(1+$S34),INDEX('EF Table_detail'!$P:$P,MATCH($L$16:$R$16,'EF Table_detail'!$B:$B,0)))+$T34*0.92</f>
        <v>244.8242788549143</v>
      </c>
      <c r="E36" s="132">
        <f ca="1">D36/$U34</f>
        <v>8.4132054589317615</v>
      </c>
      <c r="F36" s="132" cm="1">
        <f t="array" aca="1" ref="F36" ca="1">SUMPRODUCT($L34:$R34*(1+$S34),INDEX('EF Table_detail'!$W:$W,MATCH($L$16:$R$16,'EF Table_detail'!$B:$B,0)))</f>
        <v>0</v>
      </c>
      <c r="G36" s="216">
        <f ca="1">F36/$U34</f>
        <v>0</v>
      </c>
      <c r="H36" s="131"/>
      <c r="J36" s="238" t="str">
        <f t="shared" si="2"/>
        <v>Door - aluminium with glazing - generic</v>
      </c>
      <c r="K36" s="238" t="str">
        <f t="shared" si="1"/>
        <v>Average EF</v>
      </c>
    </row>
    <row r="37" spans="1:23" ht="13" x14ac:dyDescent="0.25">
      <c r="A37" s="133"/>
      <c r="B37" s="197" t="s">
        <v>5582</v>
      </c>
      <c r="C37" s="132" t="s">
        <v>5731</v>
      </c>
      <c r="D37" s="239" t="s">
        <v>2789</v>
      </c>
      <c r="E37" s="239" t="s">
        <v>2774</v>
      </c>
      <c r="F37" s="239" t="s">
        <v>2789</v>
      </c>
      <c r="G37" s="291" t="s">
        <v>2774</v>
      </c>
      <c r="H37" s="131"/>
      <c r="J37" s="238" t="str">
        <f t="shared" si="2"/>
        <v>Window - timber frame - generic</v>
      </c>
      <c r="K37" s="238" t="str">
        <f t="shared" si="1"/>
        <v>Unit</v>
      </c>
      <c r="L37" s="239" t="str">
        <f t="shared" ref="L37:R37" si="11">"kg/"&amp;$D37</f>
        <v>kg/m²</v>
      </c>
      <c r="M37" s="239" t="str">
        <f t="shared" si="11"/>
        <v>kg/m²</v>
      </c>
      <c r="N37" s="239" t="str">
        <f t="shared" si="11"/>
        <v>kg/m²</v>
      </c>
      <c r="O37" s="239" t="str">
        <f t="shared" si="11"/>
        <v>kg/m²</v>
      </c>
      <c r="P37" s="239" t="str">
        <f t="shared" si="11"/>
        <v>kg/m²</v>
      </c>
      <c r="Q37" s="239" t="str">
        <f t="shared" si="11"/>
        <v>kg/m²</v>
      </c>
      <c r="R37" s="239" t="str">
        <f t="shared" si="11"/>
        <v>kg/m²</v>
      </c>
      <c r="S37" s="240"/>
      <c r="T37" s="239" t="str">
        <f t="shared" ref="T37" si="12">"kWh/"&amp;$D37</f>
        <v>kWh/m²</v>
      </c>
      <c r="U37" s="239" t="s">
        <v>6475</v>
      </c>
    </row>
    <row r="38" spans="1:23" x14ac:dyDescent="0.25">
      <c r="A38" s="133"/>
      <c r="B38" s="204"/>
      <c r="C38" s="132" t="s">
        <v>32</v>
      </c>
      <c r="D38" s="132" cm="1">
        <f t="array" aca="1" ref="D38" ca="1">SUMPRODUCT($L38:$R38*(1+$S38),INDEX('EF Table_detail'!$R:$R,MATCH($L$16:$R$16,'EF Table_detail'!$B:$B,0)))+T38*0.92</f>
        <v>326.63373755112457</v>
      </c>
      <c r="E38" s="132">
        <f ca="1">D38/$U38</f>
        <v>10.851619187745001</v>
      </c>
      <c r="F38" s="132" cm="1">
        <f t="array" aca="1" ref="F38" ca="1">SUMPRODUCT($L38:$R38*(1+$S38),INDEX('EF Table_detail'!$V:$V,MATCH($L$16:$R$16,'EF Table_detail'!$B:$B,0)))</f>
        <v>6.4064125125000002</v>
      </c>
      <c r="G38" s="216">
        <f ca="1">F38/$U38</f>
        <v>0.212837625</v>
      </c>
      <c r="H38" s="131"/>
      <c r="J38" s="238" t="str">
        <f t="shared" si="2"/>
        <v>Window - timber frame - generic</v>
      </c>
      <c r="K38" s="238" t="str">
        <f t="shared" si="1"/>
        <v>Max in category EF</v>
      </c>
      <c r="L38" s="132">
        <v>7.8696450000000002</v>
      </c>
      <c r="M38" s="132">
        <v>0.67002600000000001</v>
      </c>
      <c r="N38" s="132">
        <v>3.1605000000000001E-2</v>
      </c>
      <c r="O38" s="132">
        <v>16.845465000000001</v>
      </c>
      <c r="P38" s="132">
        <v>3.6977850000000001</v>
      </c>
      <c r="R38" s="132">
        <v>0.80592750000000002</v>
      </c>
      <c r="S38" s="240">
        <v>0.05</v>
      </c>
      <c r="T38" s="132">
        <f>SUM(L38:R38)*(1+S38)*0.1</f>
        <v>3.1416476175000003</v>
      </c>
      <c r="U38" s="132">
        <v>30.1</v>
      </c>
      <c r="V38" s="241" t="s">
        <v>6548</v>
      </c>
      <c r="W38" s="132" t="s">
        <v>5822</v>
      </c>
    </row>
    <row r="39" spans="1:23" x14ac:dyDescent="0.25">
      <c r="A39" s="133"/>
      <c r="B39" s="204"/>
      <c r="C39" s="132" t="s">
        <v>34</v>
      </c>
      <c r="D39" s="132" cm="1">
        <f t="array" aca="1" ref="D39" ca="1">SUMPRODUCT($L38:$R38*(1+$S38),INDEX('EF Table_detail'!$O:$O,MATCH($L$16:$R$16,'EF Table_detail'!$B:$B,0)))+$T38*0.92</f>
        <v>57.944724259119397</v>
      </c>
      <c r="E39" s="132">
        <f ca="1">D39/$U38</f>
        <v>1.9250738956518072</v>
      </c>
      <c r="G39" s="216"/>
      <c r="H39" s="131"/>
      <c r="J39" s="238" t="str">
        <f t="shared" si="2"/>
        <v>Window - timber frame - generic</v>
      </c>
      <c r="K39" s="238" t="str">
        <f t="shared" si="1"/>
        <v>Min in category EF</v>
      </c>
    </row>
    <row r="40" spans="1:23" x14ac:dyDescent="0.25">
      <c r="A40" s="133"/>
      <c r="B40" s="204"/>
      <c r="C40" s="132" t="s">
        <v>36</v>
      </c>
      <c r="D40" s="132" cm="1">
        <f t="array" aca="1" ref="D40" ca="1">SUMPRODUCT($L38:$R38*(1+$S38),INDEX('EF Table_detail'!$P:$P,MATCH($L$16:$R$16,'EF Table_detail'!$B:$B,0)))+$T38*0.92</f>
        <v>194.26973721570525</v>
      </c>
      <c r="E40" s="132">
        <f ca="1">D40/$U38</f>
        <v>6.4541440935450245</v>
      </c>
      <c r="F40" s="132" cm="1">
        <f t="array" aca="1" ref="F40" ca="1">SUMPRODUCT($L38:$R38*(1+$S38),INDEX('EF Table_detail'!$W:$W,MATCH($L$16:$R$16,'EF Table_detail'!$B:$B,0)))</f>
        <v>5.9902694775000027</v>
      </c>
      <c r="G40" s="216">
        <f ca="1">F40/$U38</f>
        <v>0.19901227500000007</v>
      </c>
      <c r="H40" s="131"/>
      <c r="J40" s="238" t="str">
        <f t="shared" si="2"/>
        <v>Window - timber frame - generic</v>
      </c>
      <c r="K40" s="238" t="str">
        <f t="shared" si="1"/>
        <v>Average EF</v>
      </c>
    </row>
    <row r="41" spans="1:23" ht="13" x14ac:dyDescent="0.25">
      <c r="A41" s="133"/>
      <c r="B41" s="197" t="s">
        <v>5587</v>
      </c>
      <c r="C41" s="132" t="s">
        <v>5731</v>
      </c>
      <c r="D41" s="239" t="s">
        <v>2789</v>
      </c>
      <c r="E41" s="239" t="s">
        <v>2774</v>
      </c>
      <c r="F41" s="239" t="s">
        <v>2789</v>
      </c>
      <c r="G41" s="291" t="s">
        <v>2774</v>
      </c>
      <c r="H41" s="131"/>
      <c r="J41" s="238" t="str">
        <f t="shared" si="2"/>
        <v>Door - timber solid - generic</v>
      </c>
      <c r="K41" s="238" t="str">
        <f t="shared" si="1"/>
        <v>Unit</v>
      </c>
      <c r="L41" s="239" t="str">
        <f t="shared" ref="L41:R41" si="13">"kg/"&amp;$D41</f>
        <v>kg/m²</v>
      </c>
      <c r="M41" s="239" t="str">
        <f t="shared" si="13"/>
        <v>kg/m²</v>
      </c>
      <c r="N41" s="239" t="str">
        <f t="shared" si="13"/>
        <v>kg/m²</v>
      </c>
      <c r="O41" s="239" t="str">
        <f t="shared" si="13"/>
        <v>kg/m²</v>
      </c>
      <c r="P41" s="239" t="str">
        <f t="shared" si="13"/>
        <v>kg/m²</v>
      </c>
      <c r="Q41" s="239" t="str">
        <f t="shared" si="13"/>
        <v>kg/m²</v>
      </c>
      <c r="R41" s="239" t="str">
        <f t="shared" si="13"/>
        <v>kg/m²</v>
      </c>
      <c r="S41" s="240"/>
      <c r="T41" s="239" t="str">
        <f t="shared" ref="T41" si="14">"kWh/"&amp;$D41</f>
        <v>kWh/m²</v>
      </c>
      <c r="U41" s="239" t="s">
        <v>6475</v>
      </c>
    </row>
    <row r="42" spans="1:23" x14ac:dyDescent="0.25">
      <c r="A42" s="133"/>
      <c r="B42" s="204"/>
      <c r="C42" s="132" t="s">
        <v>32</v>
      </c>
      <c r="D42" s="132" cm="1">
        <f t="array" aca="1" ref="D42" ca="1">SUMPRODUCT($L42:$R42*(1+$S42),INDEX('EF Table_detail'!$R:$R,MATCH($L$16:$R$16,'EF Table_detail'!$B:$B,0)))+T42*0.92</f>
        <v>117.26307843264001</v>
      </c>
      <c r="E42" s="132">
        <f ca="1">D42/$U42</f>
        <v>1.8913399747200001</v>
      </c>
      <c r="F42" s="132" cm="1">
        <f t="array" aca="1" ref="F42" ca="1">SUMPRODUCT($L42:$R42*(1+$S42),INDEX('EF Table_detail'!$V:$V,MATCH($L$16:$R$16,'EF Table_detail'!$B:$B,0)))</f>
        <v>73.536309000000003</v>
      </c>
      <c r="G42" s="216">
        <f ca="1">F42/$U42</f>
        <v>1.1860695000000001</v>
      </c>
      <c r="H42" s="131"/>
      <c r="J42" s="238" t="str">
        <f t="shared" si="2"/>
        <v>Door - timber solid - generic</v>
      </c>
      <c r="K42" s="238" t="str">
        <f t="shared" si="1"/>
        <v>Max in category EF</v>
      </c>
      <c r="P42" s="132">
        <f>(31.3+8.6+25.3)/100*U42*(1+S42)</f>
        <v>42.4452</v>
      </c>
      <c r="Q42" s="132">
        <f>27.3/100*U42*(1+S42)</f>
        <v>17.772300000000001</v>
      </c>
      <c r="S42" s="240">
        <v>0.05</v>
      </c>
      <c r="T42" s="132">
        <f>SUM(L42:R42)*(1+S42)*0.1</f>
        <v>6.3228375000000012</v>
      </c>
      <c r="U42" s="132">
        <v>62</v>
      </c>
      <c r="V42" s="241" t="s">
        <v>4008</v>
      </c>
      <c r="W42" s="132" t="s">
        <v>5822</v>
      </c>
    </row>
    <row r="43" spans="1:23" x14ac:dyDescent="0.25">
      <c r="A43" s="133"/>
      <c r="B43" s="204"/>
      <c r="C43" s="132" t="s">
        <v>34</v>
      </c>
      <c r="D43" s="132" cm="1">
        <f t="array" aca="1" ref="D43" ca="1">SUMPRODUCT($L42:$R42*(1+$S42),INDEX('EF Table_detail'!$O:$O,MATCH($L$16:$R$16,'EF Table_detail'!$B:$B,0)))+$T42*0.92</f>
        <v>62.280363694384491</v>
      </c>
      <c r="E43" s="132">
        <f ca="1">D43/$U42</f>
        <v>1.0045219950707176</v>
      </c>
      <c r="G43" s="216"/>
      <c r="H43" s="131"/>
      <c r="J43" s="238" t="str">
        <f t="shared" si="2"/>
        <v>Door - timber solid - generic</v>
      </c>
      <c r="K43" s="238" t="str">
        <f t="shared" si="1"/>
        <v>Min in category EF</v>
      </c>
    </row>
    <row r="44" spans="1:23" x14ac:dyDescent="0.25">
      <c r="A44" s="133"/>
      <c r="B44" s="204"/>
      <c r="C44" s="132" t="s">
        <v>36</v>
      </c>
      <c r="D44" s="132" cm="1">
        <f t="array" aca="1" ref="D44" ca="1">SUMPRODUCT($L42:$R42*(1+$S42),INDEX('EF Table_detail'!$P:$P,MATCH($L$16:$R$16,'EF Table_detail'!$B:$B,0)))+$T42*0.92</f>
        <v>82.813628373059714</v>
      </c>
      <c r="E44" s="132">
        <f ca="1">D44/$U42</f>
        <v>1.3357036834364471</v>
      </c>
      <c r="F44" s="132" cm="1">
        <f t="array" aca="1" ref="F44" ca="1">SUMPRODUCT($L42:$R42*(1+$S42),INDEX('EF Table_detail'!$W:$W,MATCH($L$16:$R$16,'EF Table_detail'!$B:$B,0)))</f>
        <v>68.75959149230772</v>
      </c>
      <c r="G44" s="216">
        <f ca="1">F44/$U42</f>
        <v>1.1090256692307696</v>
      </c>
      <c r="H44" s="131"/>
      <c r="J44" s="238" t="str">
        <f t="shared" si="2"/>
        <v>Door - timber solid - generic</v>
      </c>
      <c r="K44" s="238" t="str">
        <f t="shared" si="1"/>
        <v>Average EF</v>
      </c>
    </row>
    <row r="45" spans="1:23" ht="13" x14ac:dyDescent="0.25">
      <c r="A45" s="133"/>
      <c r="B45" s="197" t="s">
        <v>5588</v>
      </c>
      <c r="C45" s="132" t="s">
        <v>5731</v>
      </c>
      <c r="D45" s="239" t="s">
        <v>2789</v>
      </c>
      <c r="E45" s="239" t="s">
        <v>2774</v>
      </c>
      <c r="F45" s="239" t="s">
        <v>2789</v>
      </c>
      <c r="G45" s="291" t="s">
        <v>2774</v>
      </c>
      <c r="H45" s="131"/>
      <c r="J45" s="238" t="str">
        <f t="shared" si="2"/>
        <v>Door - steel solid - generic</v>
      </c>
      <c r="K45" s="238" t="str">
        <f t="shared" si="1"/>
        <v>Unit</v>
      </c>
      <c r="L45" s="239" t="str">
        <f t="shared" ref="L45:R45" si="15">"kg/"&amp;$D45</f>
        <v>kg/m²</v>
      </c>
      <c r="M45" s="239" t="str">
        <f t="shared" si="15"/>
        <v>kg/m²</v>
      </c>
      <c r="N45" s="239" t="str">
        <f t="shared" si="15"/>
        <v>kg/m²</v>
      </c>
      <c r="O45" s="239" t="str">
        <f t="shared" si="15"/>
        <v>kg/m²</v>
      </c>
      <c r="P45" s="239" t="str">
        <f t="shared" si="15"/>
        <v>kg/m²</v>
      </c>
      <c r="Q45" s="239" t="str">
        <f t="shared" si="15"/>
        <v>kg/m²</v>
      </c>
      <c r="R45" s="239" t="str">
        <f t="shared" si="15"/>
        <v>kg/m²</v>
      </c>
      <c r="S45" s="240"/>
      <c r="T45" s="239" t="str">
        <f t="shared" ref="T45" si="16">"kWh/"&amp;$D45</f>
        <v>kWh/m²</v>
      </c>
      <c r="U45" s="239" t="s">
        <v>6475</v>
      </c>
    </row>
    <row r="46" spans="1:23" x14ac:dyDescent="0.25">
      <c r="A46" s="133"/>
      <c r="B46" s="204"/>
      <c r="C46" s="132" t="s">
        <v>32</v>
      </c>
      <c r="D46" s="132" cm="1">
        <f t="array" aca="1" ref="D46" ca="1">SUMPRODUCT($L46:$R46*(1+$S46),INDEX('EF Table_detail'!$R:$R,MATCH($L$16:$R$16,'EF Table_detail'!$B:$B,0)))+T46*0.92</f>
        <v>398.58340725000005</v>
      </c>
      <c r="E46" s="132">
        <f ca="1">D46/$U46</f>
        <v>4.0671776250000002</v>
      </c>
      <c r="F46" s="132" cm="1">
        <f t="array" aca="1" ref="F46" ca="1">SUMPRODUCT($L46:$R46*(1+$S46),INDEX('EF Table_detail'!$V:$V,MATCH($L$16:$R$16,'EF Table_detail'!$B:$B,0)))</f>
        <v>0</v>
      </c>
      <c r="G46" s="216">
        <f ca="1">F46/$U46</f>
        <v>0</v>
      </c>
      <c r="H46" s="131"/>
      <c r="J46" s="238" t="str">
        <f t="shared" si="2"/>
        <v>Door - steel solid - generic</v>
      </c>
      <c r="K46" s="238" t="str">
        <f t="shared" si="1"/>
        <v>Max in category EF</v>
      </c>
      <c r="Q46" s="132">
        <f>(0.89*U46)*(1+S46)</f>
        <v>91.581000000000003</v>
      </c>
      <c r="S46" s="240">
        <v>0.05</v>
      </c>
      <c r="T46" s="132">
        <f>SUM(L46:R46)*(1+S46)*0.1</f>
        <v>9.6160050000000012</v>
      </c>
      <c r="U46" s="132">
        <v>98</v>
      </c>
      <c r="V46" s="241" t="s">
        <v>4015</v>
      </c>
      <c r="W46" s="132" t="s">
        <v>5822</v>
      </c>
    </row>
    <row r="47" spans="1:23" x14ac:dyDescent="0.25">
      <c r="A47" s="133"/>
      <c r="B47" s="204"/>
      <c r="C47" s="132" t="s">
        <v>34</v>
      </c>
      <c r="D47" s="132" cm="1">
        <f t="array" aca="1" ref="D47" ca="1">SUMPRODUCT($L46:$R46*(1+$S46),INDEX('EF Table_detail'!$O:$O,MATCH($L$16:$R$16,'EF Table_detail'!$B:$B,0)))+$T46*0.92</f>
        <v>270.9552220916388</v>
      </c>
      <c r="E47" s="132">
        <f ca="1">D47/$U46</f>
        <v>2.7648492050167226</v>
      </c>
      <c r="G47" s="216"/>
      <c r="H47" s="131"/>
      <c r="J47" s="238" t="str">
        <f t="shared" si="2"/>
        <v>Door - steel solid - generic</v>
      </c>
      <c r="K47" s="238" t="str">
        <f t="shared" si="1"/>
        <v>Min in category EF</v>
      </c>
    </row>
    <row r="48" spans="1:23" x14ac:dyDescent="0.25">
      <c r="A48" s="133"/>
      <c r="B48" s="204"/>
      <c r="C48" s="132" t="s">
        <v>36</v>
      </c>
      <c r="D48" s="132" cm="1">
        <f t="array" aca="1" ref="D48" ca="1">SUMPRODUCT($L46:$R46*(1+$S46),INDEX('EF Table_detail'!$P:$P,MATCH($L$16:$R$16,'EF Table_detail'!$B:$B,0)))+$T46*0.92</f>
        <v>298.5752360813961</v>
      </c>
      <c r="E48" s="132">
        <f ca="1">D48/$U46</f>
        <v>3.0466860824632254</v>
      </c>
      <c r="F48" s="132" cm="1">
        <f t="array" aca="1" ref="F48" ca="1">SUMPRODUCT($L46:$R46*(1+$S46),INDEX('EF Table_detail'!$W:$W,MATCH($L$16:$R$16,'EF Table_detail'!$B:$B,0)))</f>
        <v>0</v>
      </c>
      <c r="G48" s="216">
        <f ca="1">F48/$U46</f>
        <v>0</v>
      </c>
      <c r="H48" s="131"/>
      <c r="J48" s="238" t="str">
        <f t="shared" si="2"/>
        <v>Door - steel solid - generic</v>
      </c>
      <c r="K48" s="238" t="str">
        <f t="shared" si="1"/>
        <v>Average EF</v>
      </c>
    </row>
    <row r="49" spans="1:23" ht="13" x14ac:dyDescent="0.25">
      <c r="A49" s="133"/>
      <c r="B49" s="197" t="s">
        <v>5589</v>
      </c>
      <c r="C49" s="132" t="s">
        <v>5731</v>
      </c>
      <c r="D49" s="239" t="s">
        <v>2789</v>
      </c>
      <c r="E49" s="239" t="s">
        <v>2774</v>
      </c>
      <c r="F49" s="239" t="s">
        <v>2789</v>
      </c>
      <c r="G49" s="291" t="s">
        <v>2774</v>
      </c>
      <c r="H49" s="131"/>
      <c r="J49" s="238" t="str">
        <f t="shared" si="2"/>
        <v>Revolving door - glass, aluminium, steel - generic</v>
      </c>
      <c r="K49" s="238" t="str">
        <f t="shared" si="1"/>
        <v>Unit</v>
      </c>
      <c r="L49" s="239" t="str">
        <f t="shared" ref="L49:R49" si="17">"kg/"&amp;$D49</f>
        <v>kg/m²</v>
      </c>
      <c r="M49" s="239" t="str">
        <f t="shared" si="17"/>
        <v>kg/m²</v>
      </c>
      <c r="N49" s="239" t="str">
        <f t="shared" si="17"/>
        <v>kg/m²</v>
      </c>
      <c r="O49" s="239" t="str">
        <f t="shared" si="17"/>
        <v>kg/m²</v>
      </c>
      <c r="P49" s="239" t="str">
        <f t="shared" si="17"/>
        <v>kg/m²</v>
      </c>
      <c r="Q49" s="239" t="str">
        <f t="shared" si="17"/>
        <v>kg/m²</v>
      </c>
      <c r="R49" s="239" t="str">
        <f t="shared" si="17"/>
        <v>kg/m²</v>
      </c>
      <c r="S49" s="240"/>
      <c r="T49" s="239" t="str">
        <f t="shared" ref="T49" si="18">"kWh/"&amp;$D49</f>
        <v>kWh/m²</v>
      </c>
      <c r="U49" s="239" t="s">
        <v>6475</v>
      </c>
    </row>
    <row r="50" spans="1:23" x14ac:dyDescent="0.25">
      <c r="A50" s="133"/>
      <c r="B50" s="204"/>
      <c r="C50" s="132" t="s">
        <v>32</v>
      </c>
      <c r="D50" s="132" cm="1">
        <f t="array" aca="1" ref="D50" ca="1">SUMPRODUCT($L50:$R50*(1+$S50),INDEX('EF Table_detail'!$R:$R,MATCH($L$16:$R$16,'EF Table_detail'!$B:$B,0)))+T50*0.92</f>
        <v>1672.2585858778434</v>
      </c>
      <c r="E50" s="132">
        <f ca="1">D50/$U50</f>
        <v>10.196272315258858</v>
      </c>
      <c r="F50" s="132" cm="1">
        <f t="array" aca="1" ref="F50" ca="1">SUMPRODUCT($L50:$R50*(1+$S50),INDEX('EF Table_detail'!$V:$V,MATCH($L$16:$R$16,'EF Table_detail'!$B:$B,0)))</f>
        <v>28.113423969299276</v>
      </c>
      <c r="G50" s="216">
        <f ca="1">F50/$U50</f>
        <v>0.17141614874999997</v>
      </c>
      <c r="H50" s="131"/>
      <c r="J50" s="238" t="str">
        <f t="shared" si="2"/>
        <v>Revolving door - glass, aluminium, steel - generic</v>
      </c>
      <c r="K50" s="238" t="str">
        <f t="shared" si="1"/>
        <v>Max in category EF</v>
      </c>
      <c r="L50" s="132">
        <f>0.23885*U50*(1+S50)</f>
        <v>41.13168993840489</v>
      </c>
      <c r="O50" s="132">
        <f>0.32444*U50*(1+S50)</f>
        <v>55.870904264668546</v>
      </c>
      <c r="P50" s="132">
        <f>0.09423*U50*(1+S50)</f>
        <v>16.227084542164086</v>
      </c>
      <c r="Q50" s="132">
        <f>0.23327*U50*(1+S50)</f>
        <v>40.170773757302527</v>
      </c>
      <c r="R50" s="132">
        <f>(0.001+2.486)/100*U50*(1+S50)</f>
        <v>4.2827930867411741</v>
      </c>
      <c r="S50" s="240">
        <v>0.05</v>
      </c>
      <c r="T50" s="132">
        <f>SUM(L50:R50)*(1+S50)*0.1</f>
        <v>16.556740786874531</v>
      </c>
      <c r="U50" s="132">
        <f>2582.78/15.748</f>
        <v>164.00685801371606</v>
      </c>
      <c r="V50" s="241" t="s">
        <v>6551</v>
      </c>
      <c r="W50" s="132" t="s">
        <v>5822</v>
      </c>
    </row>
    <row r="51" spans="1:23" x14ac:dyDescent="0.25">
      <c r="A51" s="133"/>
      <c r="B51" s="204"/>
      <c r="C51" s="132" t="s">
        <v>34</v>
      </c>
      <c r="D51" s="132" cm="1">
        <f t="array" aca="1" ref="D51" ca="1">SUMPRODUCT($L50:$R50*(1+$S50),INDEX('EF Table_detail'!$O:$O,MATCH($L$16:$R$16,'EF Table_detail'!$B:$B,0)))+$T50*0.92</f>
        <v>360.37145768948818</v>
      </c>
      <c r="E51" s="132">
        <f ca="1">D51/$U50</f>
        <v>2.1972950524992676</v>
      </c>
      <c r="G51" s="216"/>
      <c r="H51" s="131"/>
      <c r="J51" s="238" t="str">
        <f t="shared" si="2"/>
        <v>Revolving door - glass, aluminium, steel - generic</v>
      </c>
      <c r="K51" s="238" t="str">
        <f t="shared" si="1"/>
        <v>Min in category EF</v>
      </c>
    </row>
    <row r="52" spans="1:23" x14ac:dyDescent="0.25">
      <c r="A52" s="133"/>
      <c r="B52" s="204"/>
      <c r="C52" s="132" t="s">
        <v>36</v>
      </c>
      <c r="D52" s="132" cm="1">
        <f t="array" aca="1" ref="D52" ca="1">SUMPRODUCT($L50:$R50*(1+$S50),INDEX('EF Table_detail'!$P:$P,MATCH($L$16:$R$16,'EF Table_detail'!$B:$B,0)))+$T50*0.92</f>
        <v>1014.8752707584532</v>
      </c>
      <c r="E52" s="132">
        <f ca="1">D52/$U50</f>
        <v>6.188005081309333</v>
      </c>
      <c r="F52" s="132" cm="1">
        <f t="array" aca="1" ref="F52" ca="1">SUMPRODUCT($L50:$R50*(1+$S50),INDEX('EF Table_detail'!$W:$W,MATCH($L$16:$R$16,'EF Table_detail'!$B:$B,0)))</f>
        <v>26.287252839669588</v>
      </c>
      <c r="G52" s="216">
        <f ca="1">F52/$U50</f>
        <v>0.16028142455769234</v>
      </c>
      <c r="H52" s="131"/>
      <c r="J52" s="238" t="str">
        <f t="shared" si="2"/>
        <v>Revolving door - glass, aluminium, steel - generic</v>
      </c>
      <c r="K52" s="238" t="str">
        <f t="shared" si="1"/>
        <v>Average EF</v>
      </c>
    </row>
    <row r="53" spans="1:23" x14ac:dyDescent="0.25">
      <c r="A53" s="133"/>
      <c r="B53" s="204"/>
      <c r="G53" s="216"/>
      <c r="H53" s="131"/>
      <c r="J53" s="238"/>
      <c r="K53" s="238"/>
      <c r="L53" s="239"/>
      <c r="M53" s="239"/>
      <c r="N53" s="239"/>
      <c r="O53" s="239"/>
      <c r="P53" s="239"/>
      <c r="Q53" s="239"/>
      <c r="R53" s="239"/>
      <c r="S53" s="240"/>
      <c r="T53" s="239"/>
      <c r="U53" s="239"/>
    </row>
    <row r="54" spans="1:23" ht="13" x14ac:dyDescent="0.25">
      <c r="A54" s="133"/>
      <c r="B54" s="292"/>
      <c r="C54" s="218"/>
      <c r="D54" s="218"/>
      <c r="E54" s="218"/>
      <c r="F54" s="218"/>
      <c r="G54" s="293"/>
      <c r="H54" s="131"/>
      <c r="J54" s="238"/>
      <c r="K54" s="238"/>
      <c r="S54" s="240"/>
    </row>
    <row r="55" spans="1:23" x14ac:dyDescent="0.25">
      <c r="B55" s="130"/>
      <c r="C55" s="130"/>
      <c r="D55" s="130"/>
      <c r="E55" s="130"/>
      <c r="F55" s="130"/>
      <c r="G55" s="130"/>
      <c r="J55" s="238"/>
      <c r="K55" s="238"/>
    </row>
    <row r="56" spans="1:23" x14ac:dyDescent="0.25">
      <c r="J56" s="238"/>
      <c r="K56" s="238"/>
    </row>
    <row r="57" spans="1:23" x14ac:dyDescent="0.25">
      <c r="J57" s="238"/>
      <c r="K57" s="238"/>
      <c r="L57" s="239"/>
      <c r="M57" s="239"/>
      <c r="N57" s="239"/>
      <c r="O57" s="239"/>
      <c r="P57" s="239"/>
      <c r="Q57" s="239"/>
      <c r="R57" s="239"/>
      <c r="S57" s="240"/>
      <c r="T57" s="239"/>
      <c r="U57" s="239"/>
      <c r="V57" s="239"/>
    </row>
    <row r="58" spans="1:23" x14ac:dyDescent="0.25">
      <c r="J58" s="238"/>
      <c r="K58" s="238"/>
      <c r="S58" s="240"/>
    </row>
    <row r="59" spans="1:23" x14ac:dyDescent="0.25">
      <c r="J59" s="238"/>
      <c r="K59" s="238"/>
    </row>
    <row r="60" spans="1:23" x14ac:dyDescent="0.25">
      <c r="J60" s="238"/>
      <c r="K60" s="238"/>
    </row>
    <row r="61" spans="1:23" x14ac:dyDescent="0.25">
      <c r="J61" s="238"/>
      <c r="K61" s="238"/>
      <c r="L61" s="239"/>
      <c r="M61" s="239"/>
      <c r="N61" s="239"/>
      <c r="O61" s="239"/>
      <c r="P61" s="239"/>
      <c r="Q61" s="239"/>
      <c r="R61" s="239"/>
      <c r="S61" s="240"/>
      <c r="T61" s="239"/>
      <c r="U61" s="239"/>
      <c r="V61" s="239"/>
    </row>
    <row r="62" spans="1:23" x14ac:dyDescent="0.25">
      <c r="J62" s="238"/>
      <c r="K62" s="238"/>
      <c r="S62" s="240"/>
    </row>
    <row r="63" spans="1:23" x14ac:dyDescent="0.25">
      <c r="J63" s="238"/>
      <c r="K63" s="238"/>
    </row>
    <row r="64" spans="1:23" x14ac:dyDescent="0.25">
      <c r="J64" s="238"/>
      <c r="K64" s="238"/>
    </row>
    <row r="65" spans="10:22" x14ac:dyDescent="0.25">
      <c r="J65" s="238"/>
      <c r="K65" s="238"/>
      <c r="L65" s="239"/>
      <c r="M65" s="239"/>
      <c r="N65" s="239"/>
      <c r="O65" s="239"/>
      <c r="P65" s="239"/>
      <c r="Q65" s="239"/>
      <c r="R65" s="239"/>
      <c r="S65" s="240"/>
      <c r="T65" s="239"/>
      <c r="U65" s="239"/>
      <c r="V65" s="239"/>
    </row>
    <row r="66" spans="10:22" x14ac:dyDescent="0.25">
      <c r="J66" s="238"/>
      <c r="K66" s="238"/>
      <c r="S66" s="240"/>
    </row>
    <row r="67" spans="10:22" x14ac:dyDescent="0.25">
      <c r="J67" s="238"/>
      <c r="K67" s="238"/>
    </row>
    <row r="68" spans="10:22" x14ac:dyDescent="0.25">
      <c r="J68" s="238"/>
      <c r="K68" s="238"/>
    </row>
    <row r="69" spans="10:22" x14ac:dyDescent="0.25">
      <c r="J69" s="238"/>
      <c r="K69" s="238"/>
      <c r="L69" s="239"/>
      <c r="M69" s="239"/>
      <c r="N69" s="239"/>
      <c r="O69" s="239"/>
      <c r="P69" s="239"/>
      <c r="Q69" s="239"/>
      <c r="R69" s="239"/>
      <c r="S69" s="240"/>
      <c r="T69" s="239"/>
      <c r="U69" s="239"/>
      <c r="V69" s="239"/>
    </row>
    <row r="70" spans="10:22" x14ac:dyDescent="0.25">
      <c r="J70" s="238"/>
      <c r="K70" s="238"/>
      <c r="S70" s="240"/>
    </row>
    <row r="71" spans="10:22" x14ac:dyDescent="0.25">
      <c r="J71" s="238"/>
      <c r="K71" s="238"/>
    </row>
    <row r="72" spans="10:22" x14ac:dyDescent="0.25">
      <c r="J72" s="238"/>
      <c r="K72" s="238"/>
    </row>
    <row r="73" spans="10:22" x14ac:dyDescent="0.25">
      <c r="J73" s="238"/>
      <c r="K73" s="238"/>
      <c r="L73" s="239"/>
      <c r="M73" s="239"/>
      <c r="N73" s="239"/>
      <c r="O73" s="239"/>
      <c r="P73" s="239"/>
      <c r="Q73" s="239"/>
      <c r="R73" s="239"/>
      <c r="S73" s="240"/>
      <c r="T73" s="239"/>
      <c r="U73" s="239"/>
      <c r="V73" s="239"/>
    </row>
    <row r="74" spans="10:22" x14ac:dyDescent="0.25">
      <c r="J74" s="238"/>
      <c r="K74" s="238"/>
      <c r="S74" s="240"/>
    </row>
    <row r="75" spans="10:22" x14ac:dyDescent="0.25">
      <c r="J75" s="238"/>
      <c r="K75" s="238"/>
    </row>
    <row r="76" spans="10:22" x14ac:dyDescent="0.25">
      <c r="J76" s="238"/>
      <c r="K76" s="238"/>
    </row>
    <row r="77" spans="10:22" x14ac:dyDescent="0.25">
      <c r="J77" s="238"/>
      <c r="K77" s="238"/>
      <c r="L77" s="239"/>
      <c r="M77" s="239"/>
      <c r="N77" s="239"/>
      <c r="O77" s="239"/>
      <c r="P77" s="239"/>
      <c r="Q77" s="239"/>
      <c r="R77" s="239"/>
      <c r="S77" s="240"/>
      <c r="T77" s="239"/>
      <c r="U77" s="239"/>
      <c r="V77" s="239"/>
    </row>
    <row r="78" spans="10:22" x14ac:dyDescent="0.25">
      <c r="J78" s="238"/>
      <c r="K78" s="238"/>
      <c r="S78" s="240"/>
    </row>
    <row r="79" spans="10:22" x14ac:dyDescent="0.25">
      <c r="J79" s="238"/>
      <c r="K79" s="238"/>
    </row>
    <row r="80" spans="10:22" x14ac:dyDescent="0.25">
      <c r="J80" s="238"/>
      <c r="K80" s="238"/>
    </row>
  </sheetData>
  <dataValidations count="1">
    <dataValidation allowBlank="1" showInputMessage="1" showErrorMessage="1" sqref="B6:B9" xr:uid="{8209F9C0-0485-46E0-A77F-934811F6887F}"/>
  </dataValidations>
  <hyperlinks>
    <hyperlink ref="V18" r:id="rId1" xr:uid="{3D79888D-B3D3-44EC-A944-D300329ABF26}"/>
    <hyperlink ref="V22" r:id="rId2" xr:uid="{A101D390-9179-46F1-A6E1-123634E79D50}"/>
    <hyperlink ref="V26" r:id="rId3" xr:uid="{AE2A0568-5B24-4ABC-8419-9858A2D6DCAD}"/>
    <hyperlink ref="V30" r:id="rId4" xr:uid="{358A3D57-24A0-4832-A705-E34F90A42C8F}"/>
    <hyperlink ref="V34" r:id="rId5" xr:uid="{1245AB4F-861A-4790-A718-6C085D8C999D}"/>
    <hyperlink ref="V38" r:id="rId6" xr:uid="{E09AC659-4D66-442E-8FC9-19E211842789}"/>
    <hyperlink ref="V42" r:id="rId7" xr:uid="{AA8B9D03-C6EE-44F4-BBE4-9AAE25D862B9}"/>
    <hyperlink ref="V46" r:id="rId8" xr:uid="{AF30D632-EDE5-4500-9C1E-CC1BF30F8ED2}"/>
    <hyperlink ref="V50" r:id="rId9" xr:uid="{A0606FDA-4865-4626-922D-ECA17922C5B5}"/>
  </hyperlinks>
  <pageMargins left="0.7" right="0.7" top="0.75" bottom="0.75" header="0.3" footer="0.3"/>
  <pageSetup paperSize="9" orientation="portrait" horizontalDpi="300" verticalDpi="300"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6D57A-2112-40EA-B76F-B617C5FCB558}">
  <sheetPr codeName="Sheet18">
    <tabColor rgb="FF00CCFF"/>
  </sheetPr>
  <dimension ref="A1:H30"/>
  <sheetViews>
    <sheetView workbookViewId="0"/>
  </sheetViews>
  <sheetFormatPr defaultColWidth="9.1796875" defaultRowHeight="12.5" x14ac:dyDescent="0.25"/>
  <cols>
    <col min="1" max="1" width="26.26953125" style="132" customWidth="1"/>
    <col min="2" max="2" width="109.1796875" style="132" customWidth="1"/>
    <col min="3" max="3" width="21" style="132" customWidth="1"/>
    <col min="4" max="6" width="19.7265625" style="198" customWidth="1"/>
    <col min="7" max="7" width="23.54296875" style="198" customWidth="1"/>
    <col min="8" max="16384" width="9.1796875" style="132"/>
  </cols>
  <sheetData>
    <row r="1" spans="1:8" ht="13" x14ac:dyDescent="0.25">
      <c r="A1" s="202" t="str">
        <f>B16</f>
        <v>AAC reinforced</v>
      </c>
    </row>
    <row r="2" spans="1:8" ht="13" x14ac:dyDescent="0.25">
      <c r="A2" s="202"/>
    </row>
    <row r="3" spans="1:8" ht="13" x14ac:dyDescent="0.3">
      <c r="A3" s="227" t="s">
        <v>5626</v>
      </c>
      <c r="B3" s="132" t="s">
        <v>5641</v>
      </c>
    </row>
    <row r="4" spans="1:8" ht="13" x14ac:dyDescent="0.3">
      <c r="A4" s="227"/>
    </row>
    <row r="5" spans="1:8" ht="73.5" customHeight="1" x14ac:dyDescent="0.3">
      <c r="A5" s="227" t="s">
        <v>5628</v>
      </c>
      <c r="B5" s="200" t="s">
        <v>5642</v>
      </c>
    </row>
    <row r="6" spans="1:8" ht="13" x14ac:dyDescent="0.3">
      <c r="A6" s="227" t="s">
        <v>5630</v>
      </c>
      <c r="B6" s="201" t="s">
        <v>71</v>
      </c>
    </row>
    <row r="7" spans="1:8" ht="13" x14ac:dyDescent="0.3">
      <c r="A7" s="227" t="s">
        <v>5631</v>
      </c>
      <c r="B7" s="201" t="s">
        <v>71</v>
      </c>
    </row>
    <row r="8" spans="1:8" ht="13" x14ac:dyDescent="0.3">
      <c r="A8" s="227" t="s">
        <v>5632</v>
      </c>
      <c r="B8" s="201" t="s">
        <v>74</v>
      </c>
    </row>
    <row r="9" spans="1:8" ht="13" x14ac:dyDescent="0.3">
      <c r="A9" s="227" t="s">
        <v>5633</v>
      </c>
      <c r="B9" s="202" t="s">
        <v>74</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2770</v>
      </c>
      <c r="C16" s="316" t="s">
        <v>24</v>
      </c>
      <c r="D16" s="314" t="s">
        <v>146</v>
      </c>
      <c r="E16" s="315" t="s">
        <v>153</v>
      </c>
      <c r="F16" s="314" t="s">
        <v>147</v>
      </c>
      <c r="G16" s="314" t="s">
        <v>154</v>
      </c>
      <c r="H16" s="131"/>
    </row>
    <row r="17" spans="1:8" ht="13" x14ac:dyDescent="0.3">
      <c r="A17" s="133"/>
      <c r="B17" s="211"/>
      <c r="C17" s="212" t="s">
        <v>5636</v>
      </c>
      <c r="D17" s="196" t="str" cm="1">
        <f t="array" ref="D17">IF(AND(_xlfn.ANCHORARRAY(C23)=C23),C23,"Mixed")</f>
        <v>kg</v>
      </c>
      <c r="E17" s="196" t="s">
        <v>2774</v>
      </c>
      <c r="F17" s="196" t="str" cm="1">
        <f t="array" ref="F17">IF(AND(_xlfn.ANCHORARRAY(C23)=C23),C23,"Mixed")</f>
        <v>kg</v>
      </c>
      <c r="G17" s="213" t="s">
        <v>2774</v>
      </c>
      <c r="H17" s="131"/>
    </row>
    <row r="18" spans="1:8" s="200" customFormat="1" ht="13" x14ac:dyDescent="0.3">
      <c r="A18" s="221"/>
      <c r="B18" s="214"/>
      <c r="C18" s="202" t="s">
        <v>5637</v>
      </c>
      <c r="D18" s="198">
        <f t="shared" ref="D18:G18" si="0">MAX(_xlfn.ANCHORARRAY(D23))</f>
        <v>0.53456487089576021</v>
      </c>
      <c r="E18" s="198">
        <f t="shared" si="0"/>
        <v>0.53456487089576021</v>
      </c>
      <c r="F18" s="198">
        <f t="shared" si="0"/>
        <v>0</v>
      </c>
      <c r="G18" s="215">
        <f t="shared" si="0"/>
        <v>0</v>
      </c>
      <c r="H18" s="222"/>
    </row>
    <row r="19" spans="1:8" ht="13" x14ac:dyDescent="0.25">
      <c r="A19" s="133"/>
      <c r="B19" s="204"/>
      <c r="C19" s="202" t="s">
        <v>5638</v>
      </c>
      <c r="D19" s="198">
        <f>MIN(_xlfn.ANCHORARRAY(D23))</f>
        <v>0.37321063394683029</v>
      </c>
      <c r="E19" s="198">
        <f t="shared" ref="E19:G19" si="1">MIN(_xlfn.ANCHORARRAY(E23))</f>
        <v>0.37321063394683029</v>
      </c>
      <c r="F19" s="198">
        <f t="shared" si="1"/>
        <v>0</v>
      </c>
      <c r="G19" s="215">
        <f t="shared" si="1"/>
        <v>0</v>
      </c>
      <c r="H19" s="131"/>
    </row>
    <row r="20" spans="1:8" ht="13" x14ac:dyDescent="0.25">
      <c r="A20" s="133"/>
      <c r="B20" s="204"/>
      <c r="C20" s="202" t="s">
        <v>5639</v>
      </c>
      <c r="D20" s="198">
        <f>AVERAGE(_xlfn.ANCHORARRAY(D23))</f>
        <v>0.45082619212704922</v>
      </c>
      <c r="E20" s="198">
        <f t="shared" ref="E20:G20" si="2">AVERAGE(_xlfn.ANCHORARRAY(E23))</f>
        <v>0.45082619212704922</v>
      </c>
      <c r="F20" s="198">
        <f t="shared" si="2"/>
        <v>0</v>
      </c>
      <c r="G20" s="215">
        <f t="shared" si="2"/>
        <v>0</v>
      </c>
      <c r="H20" s="131"/>
    </row>
    <row r="21" spans="1:8" ht="13" x14ac:dyDescent="0.25">
      <c r="A21" s="133"/>
      <c r="B21" s="204"/>
      <c r="C21" s="202"/>
      <c r="G21" s="215"/>
      <c r="H21" s="131"/>
    </row>
    <row r="22" spans="1:8" ht="13" x14ac:dyDescent="0.25">
      <c r="A22" s="133"/>
      <c r="B22" s="197" t="s">
        <v>5640</v>
      </c>
      <c r="D22" s="132"/>
      <c r="E22" s="132"/>
      <c r="F22" s="132"/>
      <c r="G22" s="216"/>
      <c r="H22" s="131"/>
    </row>
    <row r="23" spans="1:8" x14ac:dyDescent="0.25">
      <c r="A23" s="133"/>
      <c r="B23" s="204" t="str" cm="1">
        <f t="array" ref="B23:B29">_xlfn.UNIQUE(_xlfn._xlws.FILTER('EPD List'!D:D,ISNUMBER(SEARCH(B16,'EPD List'!C:C)),0))</f>
        <v>AAC reinforced, , Powerfloor 75 AAC reinforced (Hebel) (Australia)</v>
      </c>
      <c r="C23" s="132" t="str" cm="1">
        <f t="array" ref="C23:C29">_xlfn.IFNA(INDEX('EPD List'!$A:$AB,MATCH(_xlfn.ANCHORARRAY(B23),'EPD List'!$D:$D,0),MATCH(C$16,'EPD List'!$7:$7,0)),"")</f>
        <v>kg</v>
      </c>
      <c r="D23" s="198" cm="1">
        <f t="array" ref="D23:D29">_xlfn.IFNA(VALUE((INDEX('EPD List'!$A:$AD,MATCH(_xlfn.ANCHORARRAY($B23),'EPD List'!$D:$D,0),MATCH(D$16,'EPD List'!$7:$7,0)))),"")</f>
        <v>0.40152477763659467</v>
      </c>
      <c r="E23" s="198" cm="1">
        <f t="array" ref="E23:E29">_xlfn.IFNA(VALUE((INDEX('EPD List'!$A:$AD,MATCH(_xlfn.ANCHORARRAY($B23),'EPD List'!$D:$D,0),MATCH(E$16,'EPD List'!$7:$7,0)))),"")</f>
        <v>0.40152477763659467</v>
      </c>
      <c r="F23" s="198" cm="1">
        <f t="array" ref="F23:F29">_xlfn.IFNA(VALUE((INDEX('EPD List'!$A:$AD,MATCH(_xlfn.ANCHORARRAY($B23),'EPD List'!$D:$D,0),MATCH(F$16,'EPD List'!$7:$7,0)))),"")</f>
        <v>0</v>
      </c>
      <c r="G23" s="215" cm="1">
        <f t="array" ref="G23:G29">_xlfn.IFNA(VALUE((INDEX('EPD List'!$A:$AD,MATCH(_xlfn.ANCHORARRAY($B23),'EPD List'!$D:$D,0),MATCH(G$16,'EPD List'!$7:$7,0)))),"")</f>
        <v>0</v>
      </c>
      <c r="H23" s="131"/>
    </row>
    <row r="24" spans="1:8" x14ac:dyDescent="0.25">
      <c r="A24" s="133"/>
      <c r="B24" s="204" t="str">
        <v>AAC reinforced, , Powerfloor 150 DP AAC reinforced (Hebel) (Australia)</v>
      </c>
      <c r="C24" s="132" t="str">
        <v>kg</v>
      </c>
      <c r="D24" s="198">
        <v>0.52217001512205652</v>
      </c>
      <c r="E24" s="198">
        <v>0.52217001512205652</v>
      </c>
      <c r="F24" s="198">
        <v>0</v>
      </c>
      <c r="G24" s="215">
        <v>0</v>
      </c>
      <c r="H24" s="131"/>
    </row>
    <row r="25" spans="1:8" x14ac:dyDescent="0.25">
      <c r="A25" s="133"/>
      <c r="B25" s="204" t="str">
        <v>AAC reinforced, , Powerfloor 250 DP Joint Edge AAC reinforced (Hebel) (Australia)</v>
      </c>
      <c r="C25" s="132" t="str">
        <v>kg</v>
      </c>
      <c r="D25" s="198">
        <v>0.53456487089576021</v>
      </c>
      <c r="E25" s="198">
        <v>0.53456487089576021</v>
      </c>
      <c r="F25" s="198">
        <v>0</v>
      </c>
      <c r="G25" s="215">
        <v>0</v>
      </c>
      <c r="H25" s="131"/>
    </row>
    <row r="26" spans="1:8" x14ac:dyDescent="0.25">
      <c r="A26" s="133"/>
      <c r="B26" s="204" t="str">
        <v>AAC reinforced, , PowerPanel STD 75 AAC reinforced (Hebel) (Australia)</v>
      </c>
      <c r="C26" s="132" t="str">
        <v>kg</v>
      </c>
      <c r="D26" s="198">
        <v>0.37321063394683029</v>
      </c>
      <c r="E26" s="198">
        <v>0.37321063394683029</v>
      </c>
      <c r="F26" s="198">
        <v>0</v>
      </c>
      <c r="G26" s="215">
        <v>0</v>
      </c>
      <c r="H26" s="131"/>
    </row>
    <row r="27" spans="1:8" x14ac:dyDescent="0.25">
      <c r="A27" s="133"/>
      <c r="B27" s="204" t="str">
        <v>AAC reinforced, , PowerPanel 100 tongue and groove AAC reinforced (Hebel) (Australia)</v>
      </c>
      <c r="C27" s="132" t="str">
        <v>kg</v>
      </c>
      <c r="D27" s="198">
        <v>0.42910580691129319</v>
      </c>
      <c r="E27" s="198">
        <v>0.42910580691129319</v>
      </c>
      <c r="F27" s="198">
        <v>0</v>
      </c>
      <c r="G27" s="215">
        <v>0</v>
      </c>
      <c r="H27" s="131"/>
    </row>
    <row r="28" spans="1:8" x14ac:dyDescent="0.25">
      <c r="A28" s="133"/>
      <c r="B28" s="204" t="str">
        <v>AAC reinforced, , PowerPanel 200 tongue and groove AAC reinforced (Hebel) (Australia)</v>
      </c>
      <c r="C28" s="132" t="str">
        <v>kg</v>
      </c>
      <c r="D28" s="198">
        <v>0.44438571063176741</v>
      </c>
      <c r="E28" s="198">
        <v>0.44438571063176741</v>
      </c>
      <c r="F28" s="198">
        <v>0</v>
      </c>
      <c r="G28" s="215">
        <v>0</v>
      </c>
      <c r="H28" s="131"/>
    </row>
    <row r="29" spans="1:8" x14ac:dyDescent="0.25">
      <c r="A29" s="133"/>
      <c r="B29" s="217" t="str">
        <v>AAC reinforced, , PowerPanel 300 tongue and groove AAC reinforced (Hebel) (Australia)</v>
      </c>
      <c r="C29" s="218" t="str">
        <v>kg</v>
      </c>
      <c r="D29" s="219">
        <v>0.45082152974504253</v>
      </c>
      <c r="E29" s="219">
        <v>0.45082152974504253</v>
      </c>
      <c r="F29" s="219">
        <v>0</v>
      </c>
      <c r="G29" s="220">
        <v>0</v>
      </c>
      <c r="H29" s="131"/>
    </row>
    <row r="30" spans="1:8" x14ac:dyDescent="0.25">
      <c r="B30" s="130"/>
      <c r="C30" s="130"/>
      <c r="D30" s="207"/>
      <c r="E30" s="207"/>
      <c r="F30" s="207"/>
      <c r="G30" s="207"/>
    </row>
  </sheetData>
  <dataValidations count="1">
    <dataValidation type="list" allowBlank="1" showInputMessage="1" showErrorMessage="1" sqref="B6:B9" xr:uid="{B602B1AD-123B-42C8-A0B3-E270AB403358}">
      <formula1>"Tier 1,Tier 2,Tier 3,Tier 4"</formula1>
    </dataValidation>
  </dataValidation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17A90-A97A-42C8-9D94-031C348C3574}">
  <sheetPr codeName="Sheet94">
    <tabColor rgb="FF00CCFF"/>
  </sheetPr>
  <dimension ref="A1:I90"/>
  <sheetViews>
    <sheetView workbookViewId="0"/>
  </sheetViews>
  <sheetFormatPr defaultColWidth="9.1796875" defaultRowHeight="12.5" x14ac:dyDescent="0.25"/>
  <cols>
    <col min="1" max="1" width="30.54296875" style="132" customWidth="1"/>
    <col min="2" max="2" width="128.81640625" style="132" customWidth="1"/>
    <col min="3" max="3" width="21" style="132" customWidth="1"/>
    <col min="4" max="6" width="19.7265625" style="198" customWidth="1"/>
    <col min="7" max="7" width="23.54296875" style="198" customWidth="1"/>
    <col min="8" max="8" width="14.453125" style="132" customWidth="1"/>
    <col min="9" max="9" width="13.26953125" style="132" customWidth="1"/>
    <col min="10" max="16384" width="9.1796875" style="132"/>
  </cols>
  <sheetData>
    <row r="1" spans="1:8" ht="13" x14ac:dyDescent="0.25">
      <c r="A1" s="202" t="str">
        <f>B16</f>
        <v>Access flooring</v>
      </c>
    </row>
    <row r="2" spans="1:8" ht="13" x14ac:dyDescent="0.25">
      <c r="A2" s="202"/>
      <c r="C2" s="202"/>
    </row>
    <row r="3" spans="1:8" ht="13" x14ac:dyDescent="0.3">
      <c r="A3" s="227" t="s">
        <v>5626</v>
      </c>
      <c r="B3" s="132" t="s">
        <v>5643</v>
      </c>
    </row>
    <row r="4" spans="1:8" ht="13" x14ac:dyDescent="0.25">
      <c r="A4" s="202"/>
    </row>
    <row r="5" spans="1:8" ht="92.25" customHeight="1" x14ac:dyDescent="0.3">
      <c r="A5" s="227" t="s">
        <v>5628</v>
      </c>
      <c r="B5" s="200" t="s">
        <v>5644</v>
      </c>
      <c r="D5" s="200"/>
      <c r="E5" s="271"/>
    </row>
    <row r="6" spans="1:8" ht="13" x14ac:dyDescent="0.3">
      <c r="A6" s="227" t="s">
        <v>5630</v>
      </c>
      <c r="B6" s="201" t="s">
        <v>72</v>
      </c>
      <c r="D6" s="132"/>
    </row>
    <row r="7" spans="1:8" ht="13" x14ac:dyDescent="0.3">
      <c r="A7" s="227" t="s">
        <v>5631</v>
      </c>
      <c r="B7" s="201" t="s">
        <v>71</v>
      </c>
    </row>
    <row r="8" spans="1:8" ht="13" x14ac:dyDescent="0.3">
      <c r="A8" s="227" t="s">
        <v>5632</v>
      </c>
      <c r="B8" s="201" t="s">
        <v>73</v>
      </c>
    </row>
    <row r="9" spans="1:8" ht="13" x14ac:dyDescent="0.3">
      <c r="A9" s="227" t="s">
        <v>5633</v>
      </c>
      <c r="B9" s="202" t="s">
        <v>73</v>
      </c>
    </row>
    <row r="10" spans="1:8" ht="13" x14ac:dyDescent="0.3">
      <c r="A10" s="227"/>
      <c r="B10" s="202"/>
    </row>
    <row r="11" spans="1:8" ht="13" x14ac:dyDescent="0.3">
      <c r="A11" s="227" t="s">
        <v>5634</v>
      </c>
      <c r="B11" s="200"/>
    </row>
    <row r="12" spans="1:8" x14ac:dyDescent="0.25">
      <c r="A12" s="228"/>
    </row>
    <row r="13" spans="1:8" x14ac:dyDescent="0.25">
      <c r="A13" s="228"/>
    </row>
    <row r="14" spans="1:8" ht="13" x14ac:dyDescent="0.3">
      <c r="A14" s="227" t="s">
        <v>5635</v>
      </c>
    </row>
    <row r="15" spans="1:8" ht="13" x14ac:dyDescent="0.3">
      <c r="A15" s="227"/>
      <c r="B15" s="135"/>
      <c r="C15" s="135"/>
      <c r="D15" s="299" t="s">
        <v>77</v>
      </c>
      <c r="E15" s="300"/>
      <c r="F15" s="299" t="s">
        <v>5424</v>
      </c>
      <c r="G15" s="301"/>
    </row>
    <row r="16" spans="1:8" ht="39" x14ac:dyDescent="0.25">
      <c r="A16" s="133"/>
      <c r="B16" s="320" t="s">
        <v>2785</v>
      </c>
      <c r="C16" s="316" t="s">
        <v>24</v>
      </c>
      <c r="D16" s="314" t="s">
        <v>146</v>
      </c>
      <c r="E16" s="315" t="s">
        <v>153</v>
      </c>
      <c r="F16" s="314" t="s">
        <v>147</v>
      </c>
      <c r="G16" s="314" t="s">
        <v>154</v>
      </c>
      <c r="H16" s="131"/>
    </row>
    <row r="17" spans="1:9" ht="13" x14ac:dyDescent="0.3">
      <c r="A17" s="133"/>
      <c r="B17" s="211"/>
      <c r="C17" s="212" t="s">
        <v>5636</v>
      </c>
      <c r="D17" s="196" t="str" cm="1">
        <f t="array" ref="D17">IF(AND(_xlfn.ANCHORARRAY(C23)=C23),C23,"Mixed")</f>
        <v>m²</v>
      </c>
      <c r="E17" s="196" t="s">
        <v>2774</v>
      </c>
      <c r="F17" s="196" t="str" cm="1">
        <f t="array" ref="F17">IF(AND(_xlfn.ANCHORARRAY(C23)=C23),C23,"Mixed")</f>
        <v>m²</v>
      </c>
      <c r="G17" s="213" t="s">
        <v>2774</v>
      </c>
      <c r="H17" s="131"/>
    </row>
    <row r="18" spans="1:9" s="200" customFormat="1" ht="13" x14ac:dyDescent="0.3">
      <c r="A18" s="221"/>
      <c r="B18" s="214"/>
      <c r="C18" s="202" t="s">
        <v>5637</v>
      </c>
      <c r="D18" s="198">
        <f>MAX(_xlfn.ANCHORARRAY(D23))</f>
        <v>76</v>
      </c>
      <c r="E18" s="198">
        <f t="shared" ref="E18:G18" si="0">MAX(_xlfn.ANCHORARRAY(E23))</f>
        <v>1.2925170068027212</v>
      </c>
      <c r="F18" s="198">
        <f t="shared" si="0"/>
        <v>0</v>
      </c>
      <c r="G18" s="215">
        <f t="shared" si="0"/>
        <v>0</v>
      </c>
      <c r="H18" s="131"/>
      <c r="I18" s="132"/>
    </row>
    <row r="19" spans="1:9" ht="13" x14ac:dyDescent="0.25">
      <c r="A19" s="133"/>
      <c r="B19" s="204"/>
      <c r="C19" s="202" t="s">
        <v>5638</v>
      </c>
      <c r="D19" s="198">
        <f>MIN(_xlfn.ANCHORARRAY(D23))</f>
        <v>19</v>
      </c>
      <c r="E19" s="198">
        <f t="shared" ref="E19:G19" si="1">MIN(_xlfn.ANCHORARRAY(E23))</f>
        <v>0.30583845612747351</v>
      </c>
      <c r="F19" s="198">
        <f t="shared" si="1"/>
        <v>0</v>
      </c>
      <c r="G19" s="215">
        <f t="shared" si="1"/>
        <v>0</v>
      </c>
      <c r="H19" s="131"/>
    </row>
    <row r="20" spans="1:9" ht="13" x14ac:dyDescent="0.25">
      <c r="A20" s="133"/>
      <c r="B20" s="204"/>
      <c r="C20" s="202" t="s">
        <v>5639</v>
      </c>
      <c r="D20" s="198">
        <f>AVERAGE(_xlfn.ANCHORARRAY(D23))</f>
        <v>38.243055172413797</v>
      </c>
      <c r="E20" s="198">
        <f t="shared" ref="E20:G20" si="2">AVERAGE(_xlfn.ANCHORARRAY(E23))</f>
        <v>0.82622084740519997</v>
      </c>
      <c r="F20" s="198">
        <f t="shared" si="2"/>
        <v>0</v>
      </c>
      <c r="G20" s="215">
        <f t="shared" si="2"/>
        <v>0</v>
      </c>
      <c r="H20" s="131"/>
    </row>
    <row r="21" spans="1:9" ht="13" x14ac:dyDescent="0.25">
      <c r="A21" s="133"/>
      <c r="B21" s="204"/>
      <c r="C21" s="202"/>
      <c r="G21" s="215"/>
      <c r="H21" s="131"/>
    </row>
    <row r="22" spans="1:9" ht="13" x14ac:dyDescent="0.25">
      <c r="A22" s="133"/>
      <c r="B22" s="197" t="s">
        <v>5640</v>
      </c>
      <c r="D22" s="132"/>
      <c r="E22" s="132"/>
      <c r="F22" s="132"/>
      <c r="G22" s="216"/>
      <c r="H22" s="131"/>
    </row>
    <row r="23" spans="1:9" x14ac:dyDescent="0.25">
      <c r="A23" s="133"/>
      <c r="B23" s="204" t="str" cm="1">
        <f t="array" ref="B23:B51">_xlfn.UNIQUE(_xlfn._xlws.FILTER('EPD List'!D:D,ISNUMBER(SEARCH(B16,'EPD List'!C:C)),0))</f>
        <v>Access floor, , Icon Data HPL access floor system (ASP Accees Floors) (Australia)</v>
      </c>
      <c r="C23" s="132" t="str" cm="1">
        <f t="array" ref="C23:C51">_xlfn.IFNA(INDEX('EPD List'!$A:$AB,MATCH(_xlfn.ANCHORARRAY(B23),'EPD List'!$D:$D,0),MATCH(C$16,'EPD List'!$7:$7,0)),"")</f>
        <v>m²</v>
      </c>
      <c r="D23" s="198" cm="1">
        <f t="array" ref="D23:D51">_xlfn.IFNA(VALUE((INDEX('EPD List'!$A:$AD,MATCH(_xlfn.ANCHORARRAY($B23),'EPD List'!$D:$D,0),MATCH(D$16,'EPD List'!$7:$7,0)))),"")</f>
        <v>36.413499999999999</v>
      </c>
      <c r="E23" s="198" cm="1">
        <f t="array" ref="E23:E51">IFERROR(VALUE((INDEX('EPD List'!$A:$AD,MATCH(_xlfn.ANCHORARRAY($B23),'EPD List'!$D:$D,0),MATCH(E$16,'EPD List'!$7:$7,0)))),"")</f>
        <v>0.94091731266149858</v>
      </c>
      <c r="F23" s="198" cm="1">
        <f t="array" ref="F23:F51">_xlfn.IFNA(VALUE((INDEX('EPD List'!$A:$AD,MATCH(_xlfn.ANCHORARRAY($B23),'EPD List'!$D:$D,0),MATCH(F$16,'EPD List'!$7:$7,0)))),"")</f>
        <v>0</v>
      </c>
      <c r="G23" s="215" cm="1">
        <f t="array" ref="G23:G51">IFERROR(VALUE((INDEX('EPD List'!$A:$AD,MATCH(_xlfn.ANCHORARRAY($B23),'EPD List'!$D:$D,0),MATCH(G$16,'EPD List'!$7:$7,0)))),"")</f>
        <v>0</v>
      </c>
      <c r="H23" s="131"/>
    </row>
    <row r="24" spans="1:9" x14ac:dyDescent="0.25">
      <c r="A24" s="133"/>
      <c r="B24" s="204" t="str">
        <v>Icon Air, , Icon Air access floor system (ASP Accees Floors) (Australia)</v>
      </c>
      <c r="C24" s="132" t="str">
        <v>m²</v>
      </c>
      <c r="D24" s="198">
        <v>33.111899999999999</v>
      </c>
      <c r="E24" s="198">
        <v>0.86680366492146588</v>
      </c>
      <c r="F24" s="198">
        <v>0</v>
      </c>
      <c r="G24" s="215">
        <v>0</v>
      </c>
      <c r="H24" s="131"/>
    </row>
    <row r="25" spans="1:9" x14ac:dyDescent="0.25">
      <c r="A25" s="133"/>
      <c r="B25" s="204" t="str">
        <v>Access floor, , Icon X access floor system (ASP Accees Floors) (Australia)</v>
      </c>
      <c r="C25" s="132" t="str">
        <v>m²</v>
      </c>
      <c r="D25" s="198">
        <v>32.711700000000008</v>
      </c>
      <c r="E25" s="198">
        <v>0.86538888888888899</v>
      </c>
      <c r="F25" s="198">
        <v>0</v>
      </c>
      <c r="G25" s="215">
        <v>0</v>
      </c>
      <c r="H25" s="131"/>
    </row>
    <row r="26" spans="1:9" x14ac:dyDescent="0.25">
      <c r="A26" s="133"/>
      <c r="B26" s="204" t="str">
        <v>Access floor, , Urban X S2 access floor system - medium (ASP Accees Floors) (Australia)</v>
      </c>
      <c r="C26" s="132" t="str">
        <v>m²</v>
      </c>
      <c r="D26" s="198">
        <v>19</v>
      </c>
      <c r="E26" s="198">
        <v>0.34547338945760681</v>
      </c>
      <c r="F26" s="198">
        <v>0</v>
      </c>
      <c r="G26" s="215">
        <v>0</v>
      </c>
      <c r="H26" s="131"/>
    </row>
    <row r="27" spans="1:9" x14ac:dyDescent="0.25">
      <c r="A27" s="133"/>
      <c r="B27" s="204" t="str">
        <v>Access floor, , Urban X S2 access floor system - heavy (ASP Accees Floors) (Australia)</v>
      </c>
      <c r="C27" s="132" t="str">
        <v>m²</v>
      </c>
      <c r="D27" s="198">
        <v>23</v>
      </c>
      <c r="E27" s="198">
        <v>0.37817751323621296</v>
      </c>
      <c r="F27" s="198">
        <v>0</v>
      </c>
      <c r="G27" s="215">
        <v>0</v>
      </c>
      <c r="H27" s="131"/>
    </row>
    <row r="28" spans="1:9" x14ac:dyDescent="0.25">
      <c r="A28" s="133"/>
      <c r="B28" s="204" t="str">
        <v>Access floor, , Urban X S2 access floor system - extra heavy (ASP Accees Floors) (Australia)</v>
      </c>
      <c r="C28" s="132" t="str">
        <v>m²</v>
      </c>
      <c r="D28" s="198">
        <v>25</v>
      </c>
      <c r="E28" s="198">
        <v>0.38178430713783951</v>
      </c>
      <c r="F28" s="198">
        <v>0</v>
      </c>
      <c r="G28" s="215">
        <v>0</v>
      </c>
      <c r="H28" s="131"/>
    </row>
    <row r="29" spans="1:9" x14ac:dyDescent="0.25">
      <c r="A29" s="133"/>
      <c r="B29" s="204" t="str">
        <v>Access floor, , Urban X S4 access floor system - medium (ASP Accees Floors) (Australia)</v>
      </c>
      <c r="C29" s="132" t="str">
        <v>m²</v>
      </c>
      <c r="D29" s="198">
        <v>20</v>
      </c>
      <c r="E29" s="198">
        <v>0.36148715816870608</v>
      </c>
      <c r="F29" s="198">
        <v>0</v>
      </c>
      <c r="G29" s="215">
        <v>0</v>
      </c>
      <c r="H29" s="131"/>
    </row>
    <row r="30" spans="1:9" x14ac:dyDescent="0.25">
      <c r="A30" s="133"/>
      <c r="B30" s="204" t="str">
        <v>Access floor, , Urban X S4 access floor system - heavy (ASP Accees Floors) (Australia)</v>
      </c>
      <c r="C30" s="132" t="str">
        <v>m²</v>
      </c>
      <c r="D30" s="198">
        <v>23</v>
      </c>
      <c r="E30" s="198">
        <v>0.37613658664224509</v>
      </c>
      <c r="F30" s="198">
        <v>0</v>
      </c>
      <c r="G30" s="215">
        <v>0</v>
      </c>
      <c r="H30" s="131"/>
    </row>
    <row r="31" spans="1:9" x14ac:dyDescent="0.25">
      <c r="A31" s="133"/>
      <c r="B31" s="204" t="str">
        <v>Access floor, , Urban X S4 access floor system - extra heavy (ASP Accees Floors) (Australia)</v>
      </c>
      <c r="C31" s="132" t="str">
        <v>m²</v>
      </c>
      <c r="D31" s="198">
        <v>26</v>
      </c>
      <c r="E31" s="198">
        <v>0.39506472983650398</v>
      </c>
      <c r="F31" s="198">
        <v>0</v>
      </c>
      <c r="G31" s="215">
        <v>0</v>
      </c>
      <c r="H31" s="131"/>
    </row>
    <row r="32" spans="1:9" x14ac:dyDescent="0.25">
      <c r="A32" s="133"/>
      <c r="B32" s="204" t="str">
        <v>Access floor, , Urban X S6 access floor system - medium (ASP Accees Floors) (Australia)</v>
      </c>
      <c r="C32" s="132" t="str">
        <v>m²</v>
      </c>
      <c r="D32" s="198">
        <v>20.3</v>
      </c>
      <c r="E32" s="198">
        <v>0.36258417132548626</v>
      </c>
      <c r="F32" s="198">
        <v>0</v>
      </c>
      <c r="G32" s="215">
        <v>0</v>
      </c>
      <c r="H32" s="131"/>
    </row>
    <row r="33" spans="1:8" x14ac:dyDescent="0.25">
      <c r="A33" s="133"/>
      <c r="B33" s="204" t="str">
        <v>Access floor, , Urban X S6 access floor system - heavy (ASP Accees Floors) (Australia)</v>
      </c>
      <c r="C33" s="132" t="str">
        <v>m²</v>
      </c>
      <c r="D33" s="198">
        <v>24</v>
      </c>
      <c r="E33" s="198">
        <v>0.38829924928811804</v>
      </c>
      <c r="F33" s="198">
        <v>0</v>
      </c>
      <c r="G33" s="215">
        <v>0</v>
      </c>
      <c r="H33" s="131"/>
    </row>
    <row r="34" spans="1:8" x14ac:dyDescent="0.25">
      <c r="A34" s="133"/>
      <c r="B34" s="204" t="str">
        <v>Access floor, , Urban X S6 access floor system - extra heavy (ASP Accees Floors) (Australia)</v>
      </c>
      <c r="C34" s="132" t="str">
        <v>m²</v>
      </c>
      <c r="D34" s="198">
        <v>26.5</v>
      </c>
      <c r="E34" s="198">
        <v>0.39866409916957518</v>
      </c>
      <c r="F34" s="198">
        <v>0</v>
      </c>
      <c r="G34" s="215">
        <v>0</v>
      </c>
      <c r="H34" s="131"/>
    </row>
    <row r="35" spans="1:8" x14ac:dyDescent="0.25">
      <c r="A35" s="133"/>
      <c r="B35" s="204" t="str">
        <v>Access floor, , Urban IL S2 access floor system (ASP Accees Floors) (Australia)</v>
      </c>
      <c r="C35" s="132" t="str">
        <v>m²</v>
      </c>
      <c r="D35" s="198">
        <v>20</v>
      </c>
      <c r="E35" s="198">
        <v>0.30583845612747351</v>
      </c>
      <c r="F35" s="198">
        <v>0</v>
      </c>
      <c r="G35" s="215">
        <v>0</v>
      </c>
      <c r="H35" s="131"/>
    </row>
    <row r="36" spans="1:8" x14ac:dyDescent="0.25">
      <c r="A36" s="133"/>
      <c r="B36" s="204" t="str">
        <v>Access floor, , Urban IL S4 access floor system (ASP Accees Floors) (Australia)</v>
      </c>
      <c r="C36" s="132" t="str">
        <v>m²</v>
      </c>
      <c r="D36" s="198">
        <v>21</v>
      </c>
      <c r="E36" s="198">
        <v>0.3195179842979734</v>
      </c>
      <c r="F36" s="198">
        <v>0</v>
      </c>
      <c r="G36" s="215">
        <v>0</v>
      </c>
      <c r="H36" s="131"/>
    </row>
    <row r="37" spans="1:8" x14ac:dyDescent="0.25">
      <c r="A37" s="133"/>
      <c r="B37" s="204" t="str">
        <v>Access floor, , Urban IL S6 access floor system - extra heavy (ASP Accees Floors) (Australia)</v>
      </c>
      <c r="C37" s="132" t="str">
        <v>m²</v>
      </c>
      <c r="D37" s="198">
        <v>21</v>
      </c>
      <c r="E37" s="198">
        <v>0.31634128705712228</v>
      </c>
      <c r="F37" s="198">
        <v>0</v>
      </c>
      <c r="G37" s="215">
        <v>0</v>
      </c>
      <c r="H37" s="131"/>
    </row>
    <row r="38" spans="1:8" x14ac:dyDescent="0.25">
      <c r="A38" s="133"/>
      <c r="B38" s="204" t="str">
        <v>Access floor, , ConCore 800 (Tate Asia-Pacific Pty td) (Australia)</v>
      </c>
      <c r="C38" s="132" t="str">
        <v>m²</v>
      </c>
      <c r="D38" s="198">
        <v>34</v>
      </c>
      <c r="E38" s="198">
        <v>1.1447811447811449</v>
      </c>
      <c r="F38" s="198">
        <v>0</v>
      </c>
      <c r="G38" s="215">
        <v>0</v>
      </c>
      <c r="H38" s="131"/>
    </row>
    <row r="39" spans="1:8" x14ac:dyDescent="0.25">
      <c r="A39" s="133"/>
      <c r="B39" s="204" t="str">
        <v>Access floor, , ConCore 1000 (Tate Asia-Pacific Pty td) (Australia)</v>
      </c>
      <c r="C39" s="132" t="str">
        <v>m²</v>
      </c>
      <c r="D39" s="198">
        <v>37</v>
      </c>
      <c r="E39" s="198">
        <v>1.1671924290220821</v>
      </c>
      <c r="F39" s="198">
        <v>0</v>
      </c>
      <c r="G39" s="215">
        <v>0</v>
      </c>
      <c r="H39" s="131"/>
    </row>
    <row r="40" spans="1:8" x14ac:dyDescent="0.25">
      <c r="A40" s="133"/>
      <c r="B40" s="204" t="str">
        <v>Access floor, , ConCore 1250 (Tate Asia-Pacific Pty td) (Australia)</v>
      </c>
      <c r="C40" s="132" t="str">
        <v>m²</v>
      </c>
      <c r="D40" s="198">
        <v>39</v>
      </c>
      <c r="E40" s="198">
        <v>1.1607142857142856</v>
      </c>
      <c r="F40" s="198">
        <v>0</v>
      </c>
      <c r="G40" s="215">
        <v>0</v>
      </c>
      <c r="H40" s="131"/>
    </row>
    <row r="41" spans="1:8" x14ac:dyDescent="0.25">
      <c r="A41" s="133"/>
      <c r="B41" s="204" t="str">
        <v>Access floor, , ConCore 1500 (Tate Asia-Pacific Pty td) (Australia)</v>
      </c>
      <c r="C41" s="132" t="str">
        <v>m²</v>
      </c>
      <c r="D41" s="198">
        <v>50</v>
      </c>
      <c r="E41" s="198">
        <v>1.2106537530266344</v>
      </c>
      <c r="F41" s="198">
        <v>0</v>
      </c>
      <c r="G41" s="215">
        <v>0</v>
      </c>
      <c r="H41" s="131"/>
    </row>
    <row r="42" spans="1:8" x14ac:dyDescent="0.25">
      <c r="A42" s="133"/>
      <c r="B42" s="204" t="str">
        <v>Access floor, , ConCore 2000 (Tate Asia-Pacific Pty td) (Australia)</v>
      </c>
      <c r="C42" s="132" t="str">
        <v>m²</v>
      </c>
      <c r="D42" s="198">
        <v>59</v>
      </c>
      <c r="E42" s="198">
        <v>1.2317327766179542</v>
      </c>
      <c r="F42" s="198">
        <v>0</v>
      </c>
      <c r="G42" s="215">
        <v>0</v>
      </c>
      <c r="H42" s="131"/>
    </row>
    <row r="43" spans="1:8" x14ac:dyDescent="0.25">
      <c r="A43" s="133"/>
      <c r="B43" s="204" t="str">
        <v>Access floor, , ConCore 2500 (Tate Asia-Pacific Pty td) (Australia)</v>
      </c>
      <c r="C43" s="132" t="str">
        <v>m²</v>
      </c>
      <c r="D43" s="198">
        <v>64</v>
      </c>
      <c r="E43" s="198">
        <v>1.2307692307692308</v>
      </c>
      <c r="F43" s="198">
        <v>0</v>
      </c>
      <c r="G43" s="215">
        <v>0</v>
      </c>
      <c r="H43" s="131"/>
    </row>
    <row r="44" spans="1:8" x14ac:dyDescent="0.25">
      <c r="A44" s="133"/>
      <c r="B44" s="204" t="str">
        <v>Access floor, , ConCore 3000 (Tate Asia-Pacific Pty td) (Australia)</v>
      </c>
      <c r="C44" s="132" t="str">
        <v>m²</v>
      </c>
      <c r="D44" s="198">
        <v>71</v>
      </c>
      <c r="E44" s="198">
        <v>1.243432574430823</v>
      </c>
      <c r="F44" s="198">
        <v>0</v>
      </c>
      <c r="G44" s="215">
        <v>0</v>
      </c>
      <c r="H44" s="131"/>
    </row>
    <row r="45" spans="1:8" x14ac:dyDescent="0.25">
      <c r="A45" s="133"/>
      <c r="B45" s="204" t="str">
        <v>Access floor, , ConCore 1000 with HPL (Tate Asia-Pacific Pty td) (Australia)</v>
      </c>
      <c r="C45" s="132" t="str">
        <v>m²</v>
      </c>
      <c r="D45" s="198">
        <v>41</v>
      </c>
      <c r="E45" s="198">
        <v>1.2202380952380951</v>
      </c>
      <c r="F45" s="198">
        <v>0</v>
      </c>
      <c r="G45" s="215">
        <v>0</v>
      </c>
      <c r="H45" s="131"/>
    </row>
    <row r="46" spans="1:8" x14ac:dyDescent="0.25">
      <c r="A46" s="133"/>
      <c r="B46" s="204" t="str">
        <v>Access floor, , ConCore 1250 with HPL (Tate Asia-Pacific Pty td) (Australia)</v>
      </c>
      <c r="C46" s="132" t="str">
        <v>m²</v>
      </c>
      <c r="D46" s="198">
        <v>45</v>
      </c>
      <c r="E46" s="198">
        <v>1.267605633802817</v>
      </c>
      <c r="F46" s="198">
        <v>0</v>
      </c>
      <c r="G46" s="215">
        <v>0</v>
      </c>
      <c r="H46" s="131"/>
    </row>
    <row r="47" spans="1:8" x14ac:dyDescent="0.25">
      <c r="A47" s="133"/>
      <c r="B47" s="204" t="str">
        <v>Access floor, , ConCore 1500 with HPL (Tate Asia-Pacific Pty td) (Australia)</v>
      </c>
      <c r="C47" s="132" t="str">
        <v>m²</v>
      </c>
      <c r="D47" s="198">
        <v>55</v>
      </c>
      <c r="E47" s="198">
        <v>1.2761020881670533</v>
      </c>
      <c r="F47" s="198">
        <v>0</v>
      </c>
      <c r="G47" s="215">
        <v>0</v>
      </c>
      <c r="H47" s="131"/>
    </row>
    <row r="48" spans="1:8" x14ac:dyDescent="0.25">
      <c r="A48" s="133"/>
      <c r="B48" s="204" t="str">
        <v>Access floor, , ConCore 2000 with HPL (Tate Asia-Pacific Pty td) (Australia)</v>
      </c>
      <c r="C48" s="132" t="str">
        <v>m²</v>
      </c>
      <c r="D48" s="198">
        <v>64</v>
      </c>
      <c r="E48" s="198">
        <v>1.2877263581488934</v>
      </c>
      <c r="F48" s="198">
        <v>0</v>
      </c>
      <c r="G48" s="215">
        <v>0</v>
      </c>
      <c r="H48" s="131"/>
    </row>
    <row r="49" spans="1:8" x14ac:dyDescent="0.25">
      <c r="A49" s="133"/>
      <c r="B49" s="204" t="str">
        <v>Access floor, , ConCore 2500 with HPL (Tate Asia-Pacific Pty td) (Australia)</v>
      </c>
      <c r="C49" s="132" t="str">
        <v>m²</v>
      </c>
      <c r="D49" s="198">
        <v>69</v>
      </c>
      <c r="E49" s="198">
        <v>1.2849162011173183</v>
      </c>
      <c r="F49" s="198">
        <v>0</v>
      </c>
      <c r="G49" s="215">
        <v>0</v>
      </c>
      <c r="H49" s="131"/>
    </row>
    <row r="50" spans="1:8" x14ac:dyDescent="0.25">
      <c r="A50" s="133"/>
      <c r="B50" s="204" t="str">
        <v>Access floor, , ConCore 3000 with HPL (Tate Asia-Pacific Pty td) (Australia)</v>
      </c>
      <c r="C50" s="132" t="str">
        <v>m²</v>
      </c>
      <c r="D50" s="198">
        <v>76</v>
      </c>
      <c r="E50" s="198">
        <v>1.2925170068027212</v>
      </c>
      <c r="F50" s="198">
        <v>0</v>
      </c>
      <c r="G50" s="215">
        <v>0</v>
      </c>
      <c r="H50" s="131"/>
    </row>
    <row r="51" spans="1:8" x14ac:dyDescent="0.25">
      <c r="A51" s="133"/>
      <c r="B51" s="217" t="str">
        <v>Access floors, , Evo Access Floor System - Middle East (ASP Access Floors) (Australia)</v>
      </c>
      <c r="C51" s="218" t="str">
        <v>m²</v>
      </c>
      <c r="D51" s="219">
        <v>34.011499999999998</v>
      </c>
      <c r="E51" s="219">
        <v>0.9395441988950276</v>
      </c>
      <c r="F51" s="219">
        <v>0</v>
      </c>
      <c r="G51" s="220">
        <v>0</v>
      </c>
      <c r="H51" s="131"/>
    </row>
    <row r="52" spans="1:8" x14ac:dyDescent="0.25">
      <c r="B52" s="130"/>
      <c r="C52" s="130"/>
      <c r="D52" s="207"/>
      <c r="E52" s="207"/>
      <c r="F52" s="207"/>
      <c r="G52" s="207"/>
    </row>
    <row r="90" spans="9:9" x14ac:dyDescent="0.25">
      <c r="I90" s="198"/>
    </row>
  </sheetData>
  <dataValidations count="1">
    <dataValidation type="list" allowBlank="1" showInputMessage="1" showErrorMessage="1" sqref="B6:B9" xr:uid="{DC26BCC5-25AD-48DF-A55C-AD166B0FC4E6}">
      <formula1>"Tier 1,Tier 2,Tier 3,Tier 4"</formula1>
    </dataValidation>
  </dataValidations>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4a5dd90e-367a-41ec-8f90-a2fa4b8e94f7" xsi:nil="true"/>
    <lcf76f155ced4ddcb4097134ff3c332f xmlns="5bee7c71-cfe6-48ab-9ba7-3a914dd5e4c4">
      <Terms xmlns="http://schemas.microsoft.com/office/infopath/2007/PartnerControls"/>
    </lcf76f155ced4ddcb4097134ff3c332f>
    <_ip_UnifiedCompliancePolicyProperties xmlns="http://schemas.microsoft.com/sharepoint/v3" xsi:nil="true"/>
    <PublishingExpirationDate xmlns="http://schemas.microsoft.com/sharepoint/v3" xsi:nil="true"/>
    <_Flow_SignoffStatus xmlns="5bee7c71-cfe6-48ab-9ba7-3a914dd5e4c4" xsi:nil="true"/>
    <PublishingStartDate xmlns="http://schemas.microsoft.com/sharepoint/v3" xsi:nil="true"/>
    <Moveto xmlns="5bee7c71-cfe6-48ab-9ba7-3a914dd5e4c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7B2986E406E644EAEBD04331045EEFA" ma:contentTypeVersion="23" ma:contentTypeDescription="Create a new document." ma:contentTypeScope="" ma:versionID="74bfb8b9f892d8e7477d100a4a11f078">
  <xsd:schema xmlns:xsd="http://www.w3.org/2001/XMLSchema" xmlns:xs="http://www.w3.org/2001/XMLSchema" xmlns:p="http://schemas.microsoft.com/office/2006/metadata/properties" xmlns:ns1="http://schemas.microsoft.com/sharepoint/v3" xmlns:ns2="5bee7c71-cfe6-48ab-9ba7-3a914dd5e4c4" xmlns:ns3="d169844b-d1ff-4126-87e2-905c6feede16" xmlns:ns4="4a5dd90e-367a-41ec-8f90-a2fa4b8e94f7" targetNamespace="http://schemas.microsoft.com/office/2006/metadata/properties" ma:root="true" ma:fieldsID="a2ba62efb958e21a76cfc5e06202505d" ns1:_="" ns2:_="" ns3:_="" ns4:_="">
    <xsd:import namespace="http://schemas.microsoft.com/sharepoint/v3"/>
    <xsd:import namespace="5bee7c71-cfe6-48ab-9ba7-3a914dd5e4c4"/>
    <xsd:import namespace="d169844b-d1ff-4126-87e2-905c6feede16"/>
    <xsd:import namespace="4a5dd90e-367a-41ec-8f90-a2fa4b8e94f7"/>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oveto" minOccurs="0"/>
                <xsd:element ref="ns2:MediaServiceLocation" minOccurs="0"/>
                <xsd:element ref="ns2:_Flow_SignoffStatus" minOccurs="0"/>
                <xsd:element ref="ns2:MediaLengthInSeconds" minOccurs="0"/>
                <xsd:element ref="ns2:lcf76f155ced4ddcb4097134ff3c332f" minOccurs="0"/>
                <xsd:element ref="ns4:TaxCatchAll" minOccurs="0"/>
                <xsd:element ref="ns2:MediaServiceObjectDetectorVersions" minOccurs="0"/>
                <xsd:element ref="ns1:_ip_UnifiedCompliancePolicyProperties" minOccurs="0"/>
                <xsd:element ref="ns1:_ip_UnifiedCompliancePolicyUIA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ee7c71-cfe6-48ab-9ba7-3a914dd5e4c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oveto" ma:index="21" nillable="true" ma:displayName="Move to " ma:format="Dropdown" ma:internalName="Moveto">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_Flow_SignoffStatus" ma:index="23" nillable="true" ma:displayName="Sign-off status" ma:internalName="Sign_x002d_off_x0020_status">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69844b-d1ff-4126-87e2-905c6feede1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5dd90e-367a-41ec-8f90-a2fa4b8e94f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7ee85653-6c5c-4426-b1d9-a855ff70dc16}" ma:internalName="TaxCatchAll" ma:showField="CatchAllData" ma:web="4a5dd90e-367a-41ec-8f90-a2fa4b8e94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3EB8AF-0FFA-4D40-8795-6B3768E242CA}">
  <ds:schemaRefs>
    <ds:schemaRef ds:uri="http://schemas.microsoft.com/office/2006/metadata/properties"/>
    <ds:schemaRef ds:uri="http://schemas.microsoft.com/office/infopath/2007/PartnerControls"/>
    <ds:schemaRef ds:uri="http://schemas.microsoft.com/sharepoint/v3"/>
    <ds:schemaRef ds:uri="4a5dd90e-367a-41ec-8f90-a2fa4b8e94f7"/>
    <ds:schemaRef ds:uri="5bee7c71-cfe6-48ab-9ba7-3a914dd5e4c4"/>
  </ds:schemaRefs>
</ds:datastoreItem>
</file>

<file path=customXml/itemProps2.xml><?xml version="1.0" encoding="utf-8"?>
<ds:datastoreItem xmlns:ds="http://schemas.openxmlformats.org/officeDocument/2006/customXml" ds:itemID="{FFC204DE-8E62-4628-814D-FC67415B54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bee7c71-cfe6-48ab-9ba7-3a914dd5e4c4"/>
    <ds:schemaRef ds:uri="d169844b-d1ff-4126-87e2-905c6feede16"/>
    <ds:schemaRef ds:uri="4a5dd90e-367a-41ec-8f90-a2fa4b8e94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69DF8F-6745-401F-A426-32334887C67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76</vt:i4>
      </vt:variant>
    </vt:vector>
  </HeadingPairs>
  <TitlesOfParts>
    <vt:vector size="76" baseType="lpstr">
      <vt:lpstr>Introduction</vt:lpstr>
      <vt:lpstr>Methodology</vt:lpstr>
      <vt:lpstr>EPD List</vt:lpstr>
      <vt:lpstr>Emission Factors database</vt:lpstr>
      <vt:lpstr>EF Table_detail</vt:lpstr>
      <vt:lpstr>Database CSV</vt:lpstr>
      <vt:lpstr>AAC_block</vt:lpstr>
      <vt:lpstr>AAC_panel</vt:lpstr>
      <vt:lpstr>Access_floor</vt:lpstr>
      <vt:lpstr>Aluminium_cladding</vt:lpstr>
      <vt:lpstr>Aluminium_extru_anodised</vt:lpstr>
      <vt:lpstr>Aluminium_extru_powdercoat</vt:lpstr>
      <vt:lpstr>Aluminium_extruded</vt:lpstr>
      <vt:lpstr>Asphalt</vt:lpstr>
      <vt:lpstr>Building_services</vt:lpstr>
      <vt:lpstr>Carpet_flooring</vt:lpstr>
      <vt:lpstr>Ceiling_Wall_generic</vt:lpstr>
      <vt:lpstr>Ceiling_tile</vt:lpstr>
      <vt:lpstr>Clay_bricks</vt:lpstr>
      <vt:lpstr>Concrete_10MPa</vt:lpstr>
      <vt:lpstr>Concrete_20MPa</vt:lpstr>
      <vt:lpstr>Concrete_25MPa</vt:lpstr>
      <vt:lpstr>Concrete_32MPa</vt:lpstr>
      <vt:lpstr>Concrete_40MPa</vt:lpstr>
      <vt:lpstr>Concrete_50MPa</vt:lpstr>
      <vt:lpstr>Concrete_65MPa</vt:lpstr>
      <vt:lpstr>Concrete_80MPa</vt:lpstr>
      <vt:lpstr>Concrete_80upMPa</vt:lpstr>
      <vt:lpstr>Concrete_bricks</vt:lpstr>
      <vt:lpstr>Concrete_hollowcore</vt:lpstr>
      <vt:lpstr>Concrete_precast_panel</vt:lpstr>
      <vt:lpstr>Curtain_wall</vt:lpstr>
      <vt:lpstr>Eng_Timber_Decorative_Pb</vt:lpstr>
      <vt:lpstr>Eng_Timber_GLT_CLT_Hard</vt:lpstr>
      <vt:lpstr>Eng_Timber_GLT_CLT_Soft</vt:lpstr>
      <vt:lpstr>Eng_Timber_LVL</vt:lpstr>
      <vt:lpstr>Eng_Timber_MDF</vt:lpstr>
      <vt:lpstr>Eng_Timber_OSB</vt:lpstr>
      <vt:lpstr>Eng_Timber_Particleboard</vt:lpstr>
      <vt:lpstr>Eng_Timber_Plywood</vt:lpstr>
      <vt:lpstr>Epoxy_flooring</vt:lpstr>
      <vt:lpstr>Escalator</vt:lpstr>
      <vt:lpstr>Fibre_Cement</vt:lpstr>
      <vt:lpstr>Fill_base_quarry</vt:lpstr>
      <vt:lpstr>GRC</vt:lpstr>
      <vt:lpstr>Glass</vt:lpstr>
      <vt:lpstr>Hybrid_flooring</vt:lpstr>
      <vt:lpstr>Laminate_flooring</vt:lpstr>
      <vt:lpstr>Lift_Cat1_2</vt:lpstr>
      <vt:lpstr>Lift_Cat3_4</vt:lpstr>
      <vt:lpstr>Lift_Cat5_6</vt:lpstr>
      <vt:lpstr>Linoleum_flooring</vt:lpstr>
      <vt:lpstr>Panel_SIP_less_equal_100</vt:lpstr>
      <vt:lpstr>Panel_SIP_more100</vt:lpstr>
      <vt:lpstr>Pavers_ceramic</vt:lpstr>
      <vt:lpstr>Pavers_stone</vt:lpstr>
      <vt:lpstr>Plasterboard</vt:lpstr>
      <vt:lpstr>Plastic_sheeting</vt:lpstr>
      <vt:lpstr>Recovered_aggregate</vt:lpstr>
      <vt:lpstr>Reinforcing_steel</vt:lpstr>
      <vt:lpstr>Roller_Door</vt:lpstr>
      <vt:lpstr>Roof_Tiles_Clay</vt:lpstr>
      <vt:lpstr>Rubber_flooring</vt:lpstr>
      <vt:lpstr>Stabilised_sand</vt:lpstr>
      <vt:lpstr>Stainless_steel</vt:lpstr>
      <vt:lpstr>Steel_cladding_metallic</vt:lpstr>
      <vt:lpstr>Steel_cladding_painted</vt:lpstr>
      <vt:lpstr>Structural_steel_cold</vt:lpstr>
      <vt:lpstr>Structural_steel_hot</vt:lpstr>
      <vt:lpstr>Structural_steel_hot_gal</vt:lpstr>
      <vt:lpstr>Structural_steel_hot_painted</vt:lpstr>
      <vt:lpstr>Timber_Weatherboard</vt:lpstr>
      <vt:lpstr>Timber_hardwood</vt:lpstr>
      <vt:lpstr>Timber_softwood</vt:lpstr>
      <vt:lpstr>Vinyl_flooring</vt:lpstr>
      <vt:lpstr>Window_doors_generic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National Australian emission factors database</dc:title>
  <dc:subject/>
  <dc:creator/>
  <cp:keywords/>
  <dc:description/>
  <cp:lastModifiedBy/>
  <cp:revision>1</cp:revision>
  <dcterms:created xsi:type="dcterms:W3CDTF">2025-04-23T07:32:59Z</dcterms:created>
  <dcterms:modified xsi:type="dcterms:W3CDTF">2025-05-01T23:09:19Z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0x010100E7B2986E406E644EAEBD04331045EEFA</vt:lpwstr>
  </property>
</Properties>
</file>